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>
    <definedName hidden="1" localSheetId="0" name="_xlnm._FilterDatabase">'Лист1'!$A$1:$T$8336</definedName>
  </definedNames>
  <calcPr/>
</workbook>
</file>

<file path=xl/sharedStrings.xml><?xml version="1.0" encoding="utf-8"?>
<sst xmlns="http://schemas.openxmlformats.org/spreadsheetml/2006/main" count="73825" uniqueCount="51655">
  <si>
    <t>Координаты</t>
  </si>
  <si>
    <t>Полное наименование</t>
  </si>
  <si>
    <t>Краткое наименование</t>
  </si>
  <si>
    <t>Направление</t>
  </si>
  <si>
    <t>ИНН</t>
  </si>
  <si>
    <t>Регион</t>
  </si>
  <si>
    <t>Основной ОКВЭД</t>
  </si>
  <si>
    <t>Дополнительный ОКВЭД</t>
  </si>
  <si>
    <t>Сайт</t>
  </si>
  <si>
    <t>Адрес</t>
  </si>
  <si>
    <t>Руководитель</t>
  </si>
  <si>
    <t>Телефон</t>
  </si>
  <si>
    <t>Почта</t>
  </si>
  <si>
    <t>54.580602,100.562138</t>
  </si>
  <si>
    <t>ОБЩЕСТВО С ОГРАНИЧЕННОЙ ОТВЕТСТВЕННОСТЬЮ "ДОМСТРОЙ"</t>
  </si>
  <si>
    <t>"ДОМСТРОЙ"</t>
  </si>
  <si>
    <t>Заводы ЖБИ</t>
  </si>
  <si>
    <t>3816997561</t>
  </si>
  <si>
    <t>38-Иркутская область</t>
  </si>
  <si>
    <t>665263, ИРКУТСКАЯ ОБЛАСТЬ, ГОРОД ТУЛУН, УЛИЦА НОВО-ВОЛОДАРСКОГО, ДОМ 6,..</t>
  </si>
  <si>
    <t>Агирбов Константин Олегович</t>
  </si>
  <si>
    <t>+7 (964) 812-45-38', '+7 (950) 079-45-38'</t>
  </si>
  <si>
    <t>ooodomstrog08@mail.ru'</t>
  </si>
  <si>
    <t>56.125736,101.166677</t>
  </si>
  <si>
    <t>ОБЩЕСТВО С ОГРАНИЧЕННОЙ ОТВЕТСТВЕННОСТЬЮ "ЖБИ-СЕРВИС"</t>
  </si>
  <si>
    <t>"ЖБИ-СЕРВИС"</t>
  </si>
  <si>
    <t>3805733969</t>
  </si>
  <si>
    <t>665770, ИРКУТСКАЯ ОБЛАСТЬ, Р-Н БРАТСКИЙ, Г. ВИХОРЕВКА, УЛ. КОМСОМОЛЬСКАЯ, Д. 18, ОФИС 31</t>
  </si>
  <si>
    <t>Криштоп Максим Евгеньевич</t>
  </si>
  <si>
    <t>56.155333,101.620839</t>
  </si>
  <si>
    <t>ОБЩЕСТВО С ОГРАНИЧЕННОЙ ОТВЕТСТВЕННОСТЬЮ "Подворье"</t>
  </si>
  <si>
    <t>"Подворье"</t>
  </si>
  <si>
    <t>3804048390</t>
  </si>
  <si>
    <t>665717, ИРКУТСКАЯ ОБЛАСТЬ, ГОРОД БРАТСК, УЛИЦА МИРА (ЦЕНТРАЛЬНЫЙ Ж/Р), 31Б, 1003</t>
  </si>
  <si>
    <t>Муравьев Игорь Леонтьевич</t>
  </si>
  <si>
    <t>56.295725,101.727172</t>
  </si>
  <si>
    <t>ОБЩЕСТВО С ОГРАНИЧЕННОЙ ОТВЕТСТВЕННОСТЬЮ "БРАТСКГАЗОБЕТОН"</t>
  </si>
  <si>
    <t>"БРАТСКГАЗОБЕТОН"</t>
  </si>
  <si>
    <t>3804115430</t>
  </si>
  <si>
    <t>665702, ИРКУТСКАЯ ОБЛ., Г. Братск, УЛ. 25-ЛЕТИЯ БРАТСКГЭССТРОЯ (ПАДУН Ж/Р), Д. 44А, ПОМЕЩ. 303</t>
  </si>
  <si>
    <t>Лащинский Александр Викторович</t>
  </si>
  <si>
    <t>54.113048,102.163475</t>
  </si>
  <si>
    <t>ОБЩЕСТВО С ОГРАНИЧЕННОЙ ОТВЕТСТВЕННОСТЬЮ "КАМЕНЬЯ"</t>
  </si>
  <si>
    <t>"КАМЕНЬЯ"</t>
  </si>
  <si>
    <t>3814013830</t>
  </si>
  <si>
    <t>666302, ИРКУТСКАЯ ОБЛАСТЬ, Г. САЯНСК, МКР ЦЕНТРАЛЬНЫЙ, Д.1,..</t>
  </si>
  <si>
    <t>Игнашкин Владимир Викторович</t>
  </si>
  <si>
    <t>56.54647,102.45532</t>
  </si>
  <si>
    <t>ОБЩЕСТВО С ОГРАНИЧЕННОЙ ОТВЕТСТВЕННОСТЬЮ "ЭНЕРГИЯ"</t>
  </si>
  <si>
    <t>"ЭНЕРГИЯ"</t>
  </si>
  <si>
    <t>3823016139</t>
  </si>
  <si>
    <t>665790, ИРКУТСКАЯ ОБЛАСТЬ, Р-Н БРАТСКИЙ, П КЕЖЕМСКИЙ, УЛ. ПОБЕДЫ, Д.39</t>
  </si>
  <si>
    <t>Фирсов Михаил Алексеевич</t>
  </si>
  <si>
    <t>+7 (914) 008-18-82'</t>
  </si>
  <si>
    <t>51.794454,102.537731</t>
  </si>
  <si>
    <t>ОБЩЕСТВО С ОГРАНИЧЕННОЙ ОТВЕТСТВЕННОСТЬЮ "ГАЛБАЙ"</t>
  </si>
  <si>
    <t>"ГАЛБАЙ"</t>
  </si>
  <si>
    <t>0320991015</t>
  </si>
  <si>
    <t>03-Республика Бурятия</t>
  </si>
  <si>
    <t>671001, Республика Бурятия, муниципальный район ТУНКИНСКИЙ, Село ГАЛБАЙ, сельское поселение ГАЛБАЙ, УЛ САЯНСКАЯ, Д. 6,</t>
  </si>
  <si>
    <t>Хамагаев Цанжа Валериевич</t>
  </si>
  <si>
    <t>+7 (951) 629-06-68'</t>
  </si>
  <si>
    <t>tunkabs@bk.ru'</t>
  </si>
  <si>
    <t>57.942686,102.733519</t>
  </si>
  <si>
    <t>ОБЩЕСТВО С ОГРАНИЧЕННОЙ ОТВЕТСТВЕННОСТЬЮ "БАЗИС-И"</t>
  </si>
  <si>
    <t>"БАЗИС-И"</t>
  </si>
  <si>
    <t>3817026474</t>
  </si>
  <si>
    <t>ИРКУТСКАЯ ОБЛ.,Г УСТЬ-ИЛИМСК,А/Я 154</t>
  </si>
  <si>
    <t>Уколова Дарьяна Сергеевна</t>
  </si>
  <si>
    <t>50.377577,103.282048</t>
  </si>
  <si>
    <t>ОБЩЕСТВО С ОГРАНИЧЕННОЙ ОТВЕТСТВЕННОСТЬЮ "УНИСОН"</t>
  </si>
  <si>
    <t>"УНИСОН"</t>
  </si>
  <si>
    <t>0307033951</t>
  </si>
  <si>
    <t>671950, БУРЯТИЯ РЕСПУБЛИКА, Р-Н ЗАКАМЕНСКИЙ, Г. ЗАКАМЕНСК, УЛ. НАБЕРЕЖНАЯ, Д. 7-3</t>
  </si>
  <si>
    <t>Мадыев Алексей Васильевич</t>
  </si>
  <si>
    <t>+7 (301) 241-95-41'</t>
  </si>
  <si>
    <t>50.74035,103.42974</t>
  </si>
  <si>
    <t>ОБЩЕСТВО С ОГРАНИЧЕННОЙ ОТВЕТСТВЕННОСТЬЮ "ЗАВОД БЕТОННЫХ БЛОКОВ"</t>
  </si>
  <si>
    <t>"ЗАВОД БЕТОННЫХ БЛОКОВ"</t>
  </si>
  <si>
    <t>0307036159</t>
  </si>
  <si>
    <t>671958, БУРЯТИЯ РЕСП., Закаменский Р-Н, У. Мыла, УЛ. РАБОЧАЯ, Д. 9</t>
  </si>
  <si>
    <t>Шагдуров Тимур Жаргалович</t>
  </si>
  <si>
    <t>52.849075,103.521674</t>
  </si>
  <si>
    <t>ОБЩЕСТВО С ОГРАНИЧЕННОЙ ОТВЕТСТВЕННОСТЬЮ "ЖБИ СЕРВИС"</t>
  </si>
  <si>
    <t>"ЖБИ СЕРВИС"</t>
  </si>
  <si>
    <t>3801156615</t>
  </si>
  <si>
    <t>665476, Иркутская область, УСОЛЬСКИЙ, 1 БЕЛОРЕЧЕНСКОЕ, С МАЛЬТА, УЛ ЛЕНИНА, Д. 50</t>
  </si>
  <si>
    <t>Горлов Сергей Алексеевич</t>
  </si>
  <si>
    <t>52.742072,103.592856</t>
  </si>
  <si>
    <t>ОБЩЕСТВО С ОГРАНИЧЕННОЙ ОТВЕТСТВЕННОСТЬЮ "МОНОЛИТ"</t>
  </si>
  <si>
    <t>"МОНОЛИТ"</t>
  </si>
  <si>
    <t>3851008316</t>
  </si>
  <si>
    <t>665458, ИРКУТСКАЯ ОБЛАСТЬ, Г. УСОЛЬЕ-СИБИРСКОЕ, УЛ. КУПЦА ПОНОМАРЕВА, Д 27</t>
  </si>
  <si>
    <t>Щербенюк Максим Васильевич</t>
  </si>
  <si>
    <t>+7 (952) 612-28-33'</t>
  </si>
  <si>
    <t>smv171286@mail.ru'</t>
  </si>
  <si>
    <t>52.757095,103.637332</t>
  </si>
  <si>
    <t>ОБЩЕСТВО С ОГРАНИЧЕННОЙ ОТВЕТСТВЕННОСТЬЮ "СИБИРСКИЙ ЖЕЛЕЗОБЕТОН"</t>
  </si>
  <si>
    <t>"СИБИРСКИЙ ЖЕЛЕЗОБЕТОН"</t>
  </si>
  <si>
    <t>3819006307</t>
  </si>
  <si>
    <t>ИРКУТСКАЯ ОБЛ.,Г УСОЛЬЕ-СИБИРСКОЕ,П/О 12,БОЛЬШАЯ БАЗА Д 60</t>
  </si>
  <si>
    <t>Бухин Дмитрий Гарриевич</t>
  </si>
  <si>
    <t>52.730987,103.664784</t>
  </si>
  <si>
    <t>ОБЩЕСТВО С ОГРАНИЧЕННОЙ ОТВЕТСТВЕННОСТЬЮ "УСОЛЬСКОЕ ЖЕЛЕЗОБЕТОННОЕ ИЗДЕЛИЕ"</t>
  </si>
  <si>
    <t>"УСОЛЬСКОЕ ЖЕЛЕЗОБЕТОННОЕ ИЗДЕЛИЕ"</t>
  </si>
  <si>
    <t>3851020916</t>
  </si>
  <si>
    <t>665460, ИРКУТСКАЯ ОБЛ, УСОЛЬЕ-СИБИРСКОЕ Г, ЛЕНИНСКИЙ ПР-КТ, ДОМ 58,..</t>
  </si>
  <si>
    <t>Минина Елена Валерьевна</t>
  </si>
  <si>
    <t>+7 (904) 142-90-15'</t>
  </si>
  <si>
    <t>52.722681,103.66518</t>
  </si>
  <si>
    <t>ОБЩЕСТВО С ОГРАНИЧЕННОЙ ОТВЕТСТВЕННОСТЬЮ "ПРОМЫШЛЕННО-СТРОИТЕЛЬНЫЕ ЖЕЛЕЗОБЕТОННЫЕ ИЗДЕЛИЯ"</t>
  </si>
  <si>
    <t>"ПРОМЫШЛЕННО-СТРОИТЕЛЬНЫЕ ЖЕЛЕЗОБЕТОННЫЕ ИЗДЕЛИЯ"</t>
  </si>
  <si>
    <t>3851026570</t>
  </si>
  <si>
    <t>665466, Иркутская область, городской округ ГОРОД УСОЛЬЕ-СИБИРСКОЕ, Город УСОЛЬЕ-СИБИРСКОЕ, ПР-КТ ХИМИКОВ, Д. 55,..</t>
  </si>
  <si>
    <t>Гусев Алексей Сергеевич</t>
  </si>
  <si>
    <t>PSJBI@MAIL.RU'</t>
  </si>
  <si>
    <t>53.090699,103.775825</t>
  </si>
  <si>
    <t>ОБЩЕСТВО С ОГРАНИЧЕННОЙ ОТВЕТСТВЕННОСТЬЮ "ПРОИЗВОДСТВО"</t>
  </si>
  <si>
    <t>"ПРОИЗВОДСТВО"</t>
  </si>
  <si>
    <t>3849073614</t>
  </si>
  <si>
    <t>669343, ИРКУТСКАЯ ОБЛАСТЬ, БОХАНСКИЙ РАЙОН, СЕЛО ТАРАСА, ПЕРЕУЛОК ЭНЕРГЕТИКОВ, ДОМ 5,..</t>
  </si>
  <si>
    <t>Дружинина Дарья Алексеевна</t>
  </si>
  <si>
    <t>52.489617,103.836605</t>
  </si>
  <si>
    <t>ОБЩЕСТВО С ОГРАНИЧЕННОЙ ОТВЕТСТВЕННОСТЬЮ "СТРОЙКВАРТАЛ"</t>
  </si>
  <si>
    <t>"СТРОЙКВАРТАЛ"</t>
  </si>
  <si>
    <t>3801140037</t>
  </si>
  <si>
    <t>665801, ИРКУТСКАЯ ОБЛАСТЬ, Г. АНГАРСК, КВ-Л 251, Д. 9</t>
  </si>
  <si>
    <t>Жуков Павел Владимирович</t>
  </si>
  <si>
    <t>+7 (902) 561-48-09'</t>
  </si>
  <si>
    <t>52.509101,103.84875</t>
  </si>
  <si>
    <t>ОБЩЕСТВО С ОГРАНИЧЕННОЙ ОТВЕТСТВЕННОСТЬЮ "ЖБИ-5"</t>
  </si>
  <si>
    <t>"ЖБИ-5"</t>
  </si>
  <si>
    <t>3801149921</t>
  </si>
  <si>
    <t>665838, ИРКУТСКАЯ ОБЛАСТЬ, ГОРОД АНГАРСК, МИКРОРАЙОН 19, ДОМ 1,..</t>
  </si>
  <si>
    <t>Старикова Наталья Геннадьевна</t>
  </si>
  <si>
    <t>52.517887,103.855964</t>
  </si>
  <si>
    <t>ОБЩЕСТВО С ОГРАНИЧЕННОЙ ОТВЕТСТВЕННОСТЬЮ "ЗАВОД ЖЕЛЕЗОБЕТОННЫХ ИЗДЕЛИЙ 5"</t>
  </si>
  <si>
    <t>"ЗАВОД ЖЕЛЕЗОБЕТОННЫХ ИЗДЕЛИЙ 5"</t>
  </si>
  <si>
    <t>3801152515</t>
  </si>
  <si>
    <t>665826, ИРКУТСКАЯ ОБЛ., Г. Ангарск, МКР. 12, Д. 3,..</t>
  </si>
  <si>
    <t>Тимошик Игорь Иванович</t>
  </si>
  <si>
    <t>52.558759,103.880353</t>
  </si>
  <si>
    <t>ОБЩЕСТВО С ОГРАНИЧЕННОЙ ОТВЕТСТВЕННОСТЬЮ "ВОСТОЧНО-СИБИРСКАЯ КОМПАНИЯ ВОСХОД"</t>
  </si>
  <si>
    <t>"ВОСТОЧНО-СИБИРСКАЯ КОМПАНИЯ ВОСХОД"</t>
  </si>
  <si>
    <t>3801145821</t>
  </si>
  <si>
    <t>665806, ИРКУТСКАЯ ОБЛАСТЬ, Г. АНГАРСК, КВ-Л 14, Д. 1, ОФИС 115</t>
  </si>
  <si>
    <t>Евдокимова Дарья Николаевна</t>
  </si>
  <si>
    <t>Rabota438@mail.ru'</t>
  </si>
  <si>
    <t>52.537868,103.893397</t>
  </si>
  <si>
    <t>ОБЩЕСТВО С ОГРАНИЧЕННОЙ ОТВЕТСТВЕННОСТЬЮ "ДЕТАЛИ ТОРГОВЛИ ТРЕЙД"</t>
  </si>
  <si>
    <t>"ДЕТАЛИ ТОРГОВЛИ ТРЕЙД"</t>
  </si>
  <si>
    <t>3812157730</t>
  </si>
  <si>
    <t>ИРКУТСКАЯ ОБЛ.,Г АНГАРСК,КВАРТАЛ 89 Д 1..</t>
  </si>
  <si>
    <t>Упханова Любовь Сергеевна</t>
  </si>
  <si>
    <t>52.604117,103.919484</t>
  </si>
  <si>
    <t>ОБЩЕСТВО С ОГРАНИЧЕННОЙ ОТВЕТСТВЕННОСТЬЮ "МОНОЛИТСТРОЙ"</t>
  </si>
  <si>
    <t>"МОНОЛИТСТРОЙ"</t>
  </si>
  <si>
    <t>3801154008</t>
  </si>
  <si>
    <t>665809, ИРКУТСКАЯ ОБЛ., Г. Ангарск, КВ-Л 6 (ПЕРВЫЙ ПРОМЫШЛЕННЫЙ МАССИВ ТЕР.), СТР. 2</t>
  </si>
  <si>
    <t>Колбасин Николай Александрович</t>
  </si>
  <si>
    <t>52.562553,103.943199</t>
  </si>
  <si>
    <t>ОБЩЕСТВО С ОГРАНИЧЕННОЙ ОТВЕТСТВЕННОСТЬЮ "ПСК ЖБИ СИБИРИ"</t>
  </si>
  <si>
    <t>"ПСК ЖБИ СИБИРИ"</t>
  </si>
  <si>
    <t>3801150003</t>
  </si>
  <si>
    <t>665809, Иркутская область, городской округ АНГАРСКИЙ, Город АНГАРСК, ТЕР. ПЕРВЫЙ ПРОМЫШЛЕННЫЙ МАССИВ, КВ-Л 6, СТР. 2, ОФИС 103</t>
  </si>
  <si>
    <t>Сердцева Ксения Александровна</t>
  </si>
  <si>
    <t>52.485691,103.972305</t>
  </si>
  <si>
    <t>ОБЩЕСТВО С ОГРАНИЧЕННОЙ ОТВЕТСТВЕННОСТЬЮ ТОРГОВЫЙ ДОМ "РУСИР"</t>
  </si>
  <si>
    <t>"РУСИР"</t>
  </si>
  <si>
    <t>3801128110</t>
  </si>
  <si>
    <t>665814, ИРКУТСКАЯ ОБЛАСТЬ, ГОРОД АНГАРСК, КВАРТАЛ 35 (ВТОРОЙ ПРОМЫШЛЕННЫЙ МАССИВ ТЕР.), СТРОЕНИЕ 68</t>
  </si>
  <si>
    <t>Лаукарт Руслан Владимирович</t>
  </si>
  <si>
    <t>+7 (220) 602-22-90', '+7 (395) 266-55-22'</t>
  </si>
  <si>
    <t>52.205518,103.985375</t>
  </si>
  <si>
    <t>АКЦИОНЕРНОЕ ОБЩЕСТВО "ИРКУТСКИЙ ДОМОСТРОИТЕЛЬНЫЙ КОМБИНАТ"</t>
  </si>
  <si>
    <t>"ИРКУТСКИЙ ДОМОСТРОИТЕЛЬНЫЙ КОМБИНАТ"</t>
  </si>
  <si>
    <t>3811169123</t>
  </si>
  <si>
    <t>666021, ИРКУТСКАЯ ОБЛАСТЬ, Р-Н ШЕЛЕХОВСКИЙ, С ВВЕДЕНЩИНА, УЛ. ЗАВОДСКАЯ (ПРОМЫШЛЕННАЯ ЗОНА ТЕР), ЗД. 1</t>
  </si>
  <si>
    <t>Антипин Николай Олегович</t>
  </si>
  <si>
    <t>olavo78@mail.ru', 'office@dskarkas.ru', 'office@dskars.ru'</t>
  </si>
  <si>
    <t>52.363302,104.047826</t>
  </si>
  <si>
    <t>ОБЩЕСТВО С ОГРАНИЧЕННОЙ ОТВЕТСТВЕННОСТЬЮ СТРОИТЕЛЬНО-ПРОИЗВОДСТВЕННАЯ ФИРМА "РЕГИОН"</t>
  </si>
  <si>
    <t>СТРОИТЕЛЬНО-ПРОИЗВОДСТВЕННАЯ ФИРМА "РЕГИОН"</t>
  </si>
  <si>
    <t>3827027847</t>
  </si>
  <si>
    <t>664084, Иркутская область, муниципальный район ИРКУТСКИЙ, Д МАЛАЯ ЕЛАНКА, сельское поселение МАМОНСКОЕ, УЛ СОСНОВАЯ, Д. 1,</t>
  </si>
  <si>
    <t>Качановский Андрей Витальевич</t>
  </si>
  <si>
    <t>52.196654,104.101824</t>
  </si>
  <si>
    <t>ОБЩЕСТВО С ОГРАНИЧЕННОЙ ОТВЕТСТВЕННОСТЬЮ "ЗАВОД ЖЕЛЕЗОБЕТОННЫХ ИЗДЕЛИЙ "ПРОГРЕСС"</t>
  </si>
  <si>
    <t>"ЗАВОД ЖЕЛЕЗОБЕТОННЫХ ИЗДЕЛИЙ "ПРОГРЕСС"</t>
  </si>
  <si>
    <t>3810082021</t>
  </si>
  <si>
    <t>666037, ИРКУТСКАЯ ОБЛАСТЬ, Г. ШЕЛЕХОВ, ПР-КТ СТРОИТЕЛЕЙ И МОНТАЖНИКОВ, ЗД. 15А, ПОМЕЩ. 30</t>
  </si>
  <si>
    <t>Пономаренко Михаил Сергеевич</t>
  </si>
  <si>
    <t>52.223783,104.10433</t>
  </si>
  <si>
    <t>ОБЩЕСТВО С ОГРАНИЧЕННОЙ ОТВЕТСТВЕННОСТЬЮ "КОНТУР ПЛЮС"</t>
  </si>
  <si>
    <t>"КОНТУР ПЛЮС"</t>
  </si>
  <si>
    <t>3810065241</t>
  </si>
  <si>
    <t>666033, ИРКУТСКАЯ ОБЛАСТЬ, Г. ШЕЛЕХОВ, УЛ. РУДНЕВА, Д. 39</t>
  </si>
  <si>
    <t>Биктагирова Мария Геннадьевна</t>
  </si>
  <si>
    <t>56.588744,104.117778</t>
  </si>
  <si>
    <t>ОБЩЕСТВО С ОГРАНИЧЕННОЙ ОТВЕТСТВЕННОСТЬЮ "ИЛИМ СПЕЦ КОМПЛЕКТ"</t>
  </si>
  <si>
    <t>"ИЛИМ СПЕЦ КОМПЛЕКТ"</t>
  </si>
  <si>
    <t>3834013549</t>
  </si>
  <si>
    <t>665653, ИРКУТСКАЯ ОБЛАСТЬ, Р-Н НИЖНЕИЛИМСКИЙ, Г. ЖЕЛЕЗНОГОРСК-ИЛИМСКИЙ, КВ-Л 7, Д.11,..</t>
  </si>
  <si>
    <t>Косых Евгений Николаевич</t>
  </si>
  <si>
    <t>52.25057,104.130264</t>
  </si>
  <si>
    <t>ОБЩЕСТВО С ОГРАНИЧЕННОЙ ОТВЕТСТВЕННОСТЬЮ "БЕТОН БАЙК"</t>
  </si>
  <si>
    <t>"БЕТОН БАЙК"</t>
  </si>
  <si>
    <t>3827050356</t>
  </si>
  <si>
    <t>664519, ИРКУТСКАЯ ОБЛАСТЬ, Р-Н ИРКУТСКИЙ, С СМОЛЕНЩИНА, УЛ. ЗАРЕЧНАЯ, ДВЛД. 16, К. А</t>
  </si>
  <si>
    <t>Вологдин Роман Владимирович</t>
  </si>
  <si>
    <t>51.522826,104.149928</t>
  </si>
  <si>
    <t>АКЦИОНЕРНОЕ ОБЩЕСТВО "БАЙКАЛСТРОЙКОНСТРУКЦИЯ"</t>
  </si>
  <si>
    <t>"БАЙКАЛСТРОЙКОНСТРУКЦИЯ"</t>
  </si>
  <si>
    <t>3837049180</t>
  </si>
  <si>
    <t>ИРКУТСКАЯ ОБЛ.,СЛЮДЯНСКИЙ Р-Н,Г БАЙКАЛЬСК,ПРОМБАЗА</t>
  </si>
  <si>
    <t>Просекин Антон Сергеевич</t>
  </si>
  <si>
    <t>52.344469,104.15822</t>
  </si>
  <si>
    <t>ОБЩЕСТВО С ОГРАНИЧЕННОЙ ОТВЕТСТВЕННОСТЬЮ "ВОЛНА"</t>
  </si>
  <si>
    <t>"ВОЛНА"</t>
  </si>
  <si>
    <t>3810053278</t>
  </si>
  <si>
    <t>664048, ИРКУТСКАЯ ОБЛАСТЬ, Г. ИРКУТСК, УЛ. БАУМАНА, Д.239,..</t>
  </si>
  <si>
    <t>Зотов Иван Александрович</t>
  </si>
  <si>
    <t>52.243346,104.188888</t>
  </si>
  <si>
    <t>ОБЩЕСТВО С ОГРАНИЧЕННОЙ ОТВЕТСТВЕННОСТЬЮ "КОРПОРАЦИЯ БЕТОНА"</t>
  </si>
  <si>
    <t>"КОРПОРАЦИЯ БЕТОНА"</t>
  </si>
  <si>
    <t>3827057270</t>
  </si>
  <si>
    <t>664528, ИРКУТСКАЯ ОБЛАСТЬ, Р-Н ИРКУТСКИЙ, РП МАРКОВА, УЛ. ПРОМЫШЛЕННАЯ, Д. 5-В</t>
  </si>
  <si>
    <t>Балк Илья Аркадьевич</t>
  </si>
  <si>
    <t>fb38@mail.ru'</t>
  </si>
  <si>
    <t>52.358078,104.213242</t>
  </si>
  <si>
    <t>ОБЩЕСТВО С ОГРАНИЧЕННОЙ ОТВЕТСТВЕННОСТЬЮ "ИРКСИБСТРОЙ"</t>
  </si>
  <si>
    <t>"ИРКСИБСТРОЙ"</t>
  </si>
  <si>
    <t>3810066767</t>
  </si>
  <si>
    <t>664020, ИРКУТСКАЯ ОБЛАСТЬ, Г. ИРКУТСК, УЛ. АВИАСТРОИТЕЛЕЙ, Д. 65</t>
  </si>
  <si>
    <t>Колтун Дмитрий Александрович</t>
  </si>
  <si>
    <t>+7 (964) 123-48-88'</t>
  </si>
  <si>
    <t>52.279622,104.215604</t>
  </si>
  <si>
    <t>ОБЩЕСТВО С ОГРАНИЧЕННОЙ ОТВЕТСТВЕННОСТЬЮ "А БЕТОН"</t>
  </si>
  <si>
    <t>"А БЕТОН"</t>
  </si>
  <si>
    <t>3827001310</t>
  </si>
  <si>
    <t>Г ИРКУТСК,УЛ РАКИТНАЯ Д 18,КОР.А</t>
  </si>
  <si>
    <t>Изотова Татьяна Викторовна</t>
  </si>
  <si>
    <t>+7 (902) 512-60-20', '+7 (952) 610-67-24'</t>
  </si>
  <si>
    <t>52.347648,104.215829</t>
  </si>
  <si>
    <t>ОБЩЕСТВО С ОГРАНИЧЕННОЙ ОТВЕТСТВЕННОСТЬЮ "ИРКСТРОЙ"</t>
  </si>
  <si>
    <t>"ИРКСТРОЙ"</t>
  </si>
  <si>
    <t>3810084170</t>
  </si>
  <si>
    <t>664020, ИРКУТСКАЯ ОБЛАСТЬ, ГОРОД ИРКУТСК, УЛИЦА МИРА, ДОМ 91,..</t>
  </si>
  <si>
    <t>Алиев Алиман Сулейман Оглы</t>
  </si>
  <si>
    <t>52.266192,104.217886</t>
  </si>
  <si>
    <t>ОБЩЕСТВО С ОГРАНИЧЕННОЙ ОТВЕТСТВЕННОСТЬЮ "ТОРГОВО-ПРОИЗВОДСТВЕННАЯ КОМПАНИЯ "АВАНГАРД"</t>
  </si>
  <si>
    <t>"ТОРГОВО-ПРОИЗВОДСТВЕННАЯ КОМПАНИЯ "АВАНГАРД"</t>
  </si>
  <si>
    <t>3812113814</t>
  </si>
  <si>
    <t>664043, ИРКУТСКАЯ ОБЛ, ИРКУТСК Г, БУЛАВИНА УЛ, ДОМ 10-А,..</t>
  </si>
  <si>
    <t>Гаврилова Яна Евгеньевна</t>
  </si>
  <si>
    <t>+7 (924) 638-78-55'</t>
  </si>
  <si>
    <t>TPK-AVANGARD111@YANDEX.RU</t>
  </si>
  <si>
    <t>52.273186,104.232133</t>
  </si>
  <si>
    <t>ОБЩЕСТВО С ОГРАНИЧЕННОЙ ОТВЕТСТВЕННОСТЬЮ "ГРЭЙД"</t>
  </si>
  <si>
    <t>"ГРЭЙД"</t>
  </si>
  <si>
    <t>3812525991</t>
  </si>
  <si>
    <t>664043, ИРКУТСКАЯ ОБЛАСТЬ, ГОРОД ИРКУТСК, УЛИЦА ВОРОНЕЖСКАЯ, ДОМ 2, ПОМЕЩЕНИЕ 3</t>
  </si>
  <si>
    <t>Глызин Андрей Васильевич</t>
  </si>
  <si>
    <t>52.3147,104.235709</t>
  </si>
  <si>
    <t>ОБЩЕСТВО С ОГРАНИЧЕННОЙ ОТВЕТСТВЕННОСТЬЮ "СТРОЙИННОВАЦИИ"</t>
  </si>
  <si>
    <t>"СТРОЙИННОВАЦИИ"</t>
  </si>
  <si>
    <t>3812990188</t>
  </si>
  <si>
    <t>664024, Иркутская область, ГОРОД ИРКУТСК, Г ИРКУТСК, УЛ ТРАКТОВАЯ, СТР. 11Б</t>
  </si>
  <si>
    <t>Чупров Максим Александрович</t>
  </si>
  <si>
    <t>ZAVOD@YANDEX.RU'</t>
  </si>
  <si>
    <t>52.331141,104.247459</t>
  </si>
  <si>
    <t>ОБЩЕСТВО С ОГРАНИЧЕННОЙ ОТВЕТСТВЕННОСТЬЮ ПРОИЗВОДСТВЕННО-СТРОИТЕЛЬНАЯ КОМПАНИЯ "ИРКУТСКИЙ ЗАВОД "ЖБИ"</t>
  </si>
  <si>
    <t>ПРОИЗВОДСТВЕННО-СТРОИТЕЛЬНАЯ КОМПАНИЯ "ИРКУТСКИЙ ЗАВОД "ЖБИ"</t>
  </si>
  <si>
    <t>3810058283</t>
  </si>
  <si>
    <t>664014, ИРКУТСКАЯ ОБЛАСТЬ, Г. ИРКУТСК, УЛ. ГЕНЕРАЛА ДОВАТОРА, Д. 21-А</t>
  </si>
  <si>
    <t>Полянский Михаил Сергеевич</t>
  </si>
  <si>
    <t>mihaleva@mail.ru'</t>
  </si>
  <si>
    <t>52.342901,104.26344</t>
  </si>
  <si>
    <t>ОБЩЕСТВО С ОГРАНИЧЕННОЙ ОТВЕТСТВЕННОСТЬЮ "ТСК Меркурий"</t>
  </si>
  <si>
    <t>"ТСК Меркурий"</t>
  </si>
  <si>
    <t>3810324834</t>
  </si>
  <si>
    <t>http://peskoblok-irk.ru</t>
  </si>
  <si>
    <t>664014, ИРКУТСКАЯ ОБЛАСТЬ, Г. ИРКУТСК, УЛ. ПОЛЯРНАЯ, Д.117А</t>
  </si>
  <si>
    <t>Быков Владимир Викторович</t>
  </si>
  <si>
    <t>52.32845,104.265488</t>
  </si>
  <si>
    <t>ОБЩЕСТВО С ОГРАНИЧЕННОЙ ОТВЕТСТВЕННОСТЬЮ "ЖИЛКИНСКИЙ БЕТОН"</t>
  </si>
  <si>
    <t>"ЖИЛКИНСКИЙ БЕТОН"</t>
  </si>
  <si>
    <t>3810069824</t>
  </si>
  <si>
    <t>664014, ИРКУТСКАЯ ОБЛАСТЬ, Г. ИРКУТСК, УЛ. ПОЛЯРНАЯ, Д. 85, ОФИС 3</t>
  </si>
  <si>
    <t>Жук Тарас Анатольевич</t>
  </si>
  <si>
    <t>+7 (902) 175-09-09'</t>
  </si>
  <si>
    <t>52.252119,104.274992</t>
  </si>
  <si>
    <t>ОБЩЕСТВО С ОГРАНИЧЕННОЙ ОТВЕТСТВЕННОСТЬЮ АПК "ПРОБЕТОН"</t>
  </si>
  <si>
    <t>АПК "ПРОБЕТОН"</t>
  </si>
  <si>
    <t>3812990558</t>
  </si>
  <si>
    <t>664033, Иркутская область, ГОРОД ИРКУТСК, Г ИРКУТСК, УЛ ЛЕРМОНТОВА, Д. 275/10</t>
  </si>
  <si>
    <t>Пантелеева Оксана Владимировна</t>
  </si>
  <si>
    <t>OXI0712@MAIL.RU'</t>
  </si>
  <si>
    <t>52.289588,104.280606</t>
  </si>
  <si>
    <t>ОБЩЕСТВО С ОГРАНИЧЕННОЙ ОТВЕТСТВЕННОСТЬЮ "ЖБИ-ТРАНССТРОЙ"</t>
  </si>
  <si>
    <t>"ЖБИ-ТРАНССТРОЙ"</t>
  </si>
  <si>
    <t>3811437206</t>
  </si>
  <si>
    <t>664007, ИРКУТСКАЯ ОБЛАСТЬ, Г. ИРКУТСК, УЛ. ЯМСКАЯ, Д. 17, ПОМЕЩЕНИЯ 5,6</t>
  </si>
  <si>
    <t>Котова Ксения Евгеньевна</t>
  </si>
  <si>
    <t>bstl@mail.ru'</t>
  </si>
  <si>
    <t>ОБЩЕСТВО С ОГРАНИЧЕННОЙ ОТВЕТСТВЕННОСТЬЮ "СИБКАМЕНЬСЕРВИС"</t>
  </si>
  <si>
    <t>"СИБКАМЕНЬСЕРВИС"</t>
  </si>
  <si>
    <t>3812119069</t>
  </si>
  <si>
    <t>664009, ИРКУТСКАЯ ОБЛАСТЬ, Г. ИРКУТСК, УЛ. ШИРЯМОВА, СТР. 34Д/3, ЛИТЕР Б</t>
  </si>
  <si>
    <t>Баженова Мария Александровна</t>
  </si>
  <si>
    <t>+7 (902) 513-08-80'</t>
  </si>
  <si>
    <t>52.289946,104.282232</t>
  </si>
  <si>
    <t>ОБЩЕСТВО С ОГРАНИЧЕННОЙ ОТВЕТСТВЕННОСТЬЮ "ИРКУТСКЗОЛОПРОДУКТ"</t>
  </si>
  <si>
    <t>"ИРКУТСКЗОЛОПРОДУКТ"</t>
  </si>
  <si>
    <t>3808268815</t>
  </si>
  <si>
    <t>664025, ИРКУТСКАЯ ОБЛАСТЬ, ГОРОД ИРКУТСК, УЛИЦА СУХЭ-БАТОРА, ДОМ 3</t>
  </si>
  <si>
    <t>Бутаков Сергей Николаевич</t>
  </si>
  <si>
    <t>52.28929,104.28437</t>
  </si>
  <si>
    <t>ОБЩЕСТВО С ОГРАНИЧЕННОЙ ОТВЕТСТВЕННОСТЬЮ "ЗАВОД КОНСТРУКЦИОННОГО ЖЕЛЕЗОБЕТОНА"</t>
  </si>
  <si>
    <t>"ЗАВОД КОНСТРУКЦИОННОГО ЖЕЛЕЗОБЕТОНА"</t>
  </si>
  <si>
    <t>3808233957</t>
  </si>
  <si>
    <t>664011, ИРКУТСКАЯ ОБЛАСТЬ, ГОРОД ИРКУТСК, УЛИЦА ПРОЛЕТАРСКАЯ, ДОМ 8, ОФИС 45</t>
  </si>
  <si>
    <t>Крупицкий Дмитрий Михайлович</t>
  </si>
  <si>
    <t>sm844@mail.ru'</t>
  </si>
  <si>
    <t>ОБЩЕСТВО С ОГРАНИЧЕННОЙ ОТВЕТСТВЕННОСТЬЮ "ИРКУТСКИЙ БЕТОН"</t>
  </si>
  <si>
    <t>"ИРКУТСКИЙ БЕТОН"</t>
  </si>
  <si>
    <t>3849052004</t>
  </si>
  <si>
    <t>664011, ИРКУТСКАЯ ОБЛАСТЬ, ГОРОД ИРКУТСК, УЛИЦА ПРОЛЕТАРСКАЯ, ДОМ 8, ОФИС 44</t>
  </si>
  <si>
    <t>Харитонов Павел Михайлович</t>
  </si>
  <si>
    <t>52.289742,104.286544</t>
  </si>
  <si>
    <t>ОБЩЕСТВО С ОГРАНИЧЕННОЙ ОТВЕТСТВЕННОСТЬЮ "АЛИТ"</t>
  </si>
  <si>
    <t>"АЛИТ"</t>
  </si>
  <si>
    <t>3808207322</t>
  </si>
  <si>
    <t>664011, ИРКУТСКАЯ ОБЛАСТЬ, ГОРОД ИРКУТСК, УЛИЦА НЕКРАСОВА, 10, В</t>
  </si>
  <si>
    <t>Афоничев Виталий Викторович</t>
  </si>
  <si>
    <t>ОБЩЕСТВО С ОГРАНИЧЕННОЙ ОТВЕТСТВЕННОСТЬЮ "ПРОМСТРОЙКЛАСТЕР"</t>
  </si>
  <si>
    <t>"ПРОМСТРОЙКЛАСТЕР"</t>
  </si>
  <si>
    <t>3810065410</t>
  </si>
  <si>
    <t>664011, ИРКУТСКАЯ ОБЛАСТЬ, ГОРОД ИРКУТСК, УЛИЦА НЕКРАСОВА, ДОМ 10</t>
  </si>
  <si>
    <t>Пономарев Алексей Владимирович</t>
  </si>
  <si>
    <t>account@alit.su'</t>
  </si>
  <si>
    <t>52.282448,104.288871</t>
  </si>
  <si>
    <t>ОБЩЕСТВО С ОГРАНИЧЕННОЙ ОТВЕТСТВЕННОСТЬЮ "ДИСКУС СТРОЙ ИРКУТСК"</t>
  </si>
  <si>
    <t>"ДИСКУС СТРОЙ ИРКУТСК"</t>
  </si>
  <si>
    <t>3849052981</t>
  </si>
  <si>
    <t>664003, ИРКУТСКАЯ ОБЛАСТЬ, ГОРОД ИРКУТСК, ПЕРЕУЛОК ПИОНЕРСКИЙ, ДОМ 11, ОФИС 309</t>
  </si>
  <si>
    <t>Джулай Алексей Юрьевич</t>
  </si>
  <si>
    <t>52.311683,104.291171</t>
  </si>
  <si>
    <t>ОБЩЕСТВО С ОГРАНИЧЕННОЙ ОТВЕТСТВЕННОСТЬЮ "ДЕРЖАВА"</t>
  </si>
  <si>
    <t>"ДЕРЖАВА"</t>
  </si>
  <si>
    <t>3849088191</t>
  </si>
  <si>
    <t>664035, Иркутская область, ГОРОД ИРКУТСК, Г ИРКУТСК, УЛ СУРНОВА, Д. 30/6</t>
  </si>
  <si>
    <t>Иванов Виктор Иннокентьевич</t>
  </si>
  <si>
    <t>52.218045,104.292509</t>
  </si>
  <si>
    <t>ОБЩЕСТВО С ОГРАНИЧЕННОЙ ОТВЕТСТВЕННОСТЬЮ "ЖБК СТАНДАРТ"</t>
  </si>
  <si>
    <t>"ЖБК СТАНДАРТ"</t>
  </si>
  <si>
    <t>3812536425</t>
  </si>
  <si>
    <t>664059, ИРКУТСКАЯ ОБЛ., Г. Иркутск, МКР. ЮБИЛЕЙНЫЙ, Д. 83,..</t>
  </si>
  <si>
    <t>Филиппов Сергей Николаевич</t>
  </si>
  <si>
    <t>81@MAIL.RU'</t>
  </si>
  <si>
    <t>52.264781,104.296354</t>
  </si>
  <si>
    <t>ОБЩЕСТВО С ОГРАНИЧЕННОЙ ОТВЕТСТВЕННОСТЬЮ "АНДРИАННА"</t>
  </si>
  <si>
    <t>"АНДРИАННА"</t>
  </si>
  <si>
    <t>3811115230</t>
  </si>
  <si>
    <t>http://sculptor38.ru</t>
  </si>
  <si>
    <t>664022, ИРКУТСКАЯ ОБЛАСТЬ, Г. ИРКУТСК, УЛ. 4-Я СОВЕТСКАЯ, Д.2</t>
  </si>
  <si>
    <t>Трусов Андрей Сергеевич</t>
  </si>
  <si>
    <t>+7 (904) 354-56-08'</t>
  </si>
  <si>
    <t>52.271929,104.296551</t>
  </si>
  <si>
    <t>ОБЩЕСТВО С ОГРАНИЧЕННОЙ ОТВЕТСТВЕННОСТЬЮ "ЗАВОД ТЕПЛОФАСАД"</t>
  </si>
  <si>
    <t>"ЗАВОД ТЕПЛОФАСАД"</t>
  </si>
  <si>
    <t>3808268967</t>
  </si>
  <si>
    <t>664022, ИРКУТСКАЯ ОБЛАСТЬ, Г. ИРКУТСК, УЛ. КРАСНЫХ МАДЬЯР, Д. 14, ПОМЕЩ. 132</t>
  </si>
  <si>
    <t>Анфиногенов Егор Александрович</t>
  </si>
  <si>
    <t>gb@bondfin.ru'</t>
  </si>
  <si>
    <t>52.260757,104.302983</t>
  </si>
  <si>
    <t>ОБЩЕСТВО С ОГРАНИЧЕННОЙ ОТВЕТСТВЕННОСТЬЮ "АРЕС"</t>
  </si>
  <si>
    <t>"АРЕС"</t>
  </si>
  <si>
    <t>3816031376</t>
  </si>
  <si>
    <t>664022, Иркутская область, городской округ ГОРОД ИРКУТСК, Город ИРКУТСК, ПЕР ПОГРАНИЧНЫЙ, Д. 1В,..</t>
  </si>
  <si>
    <t>Ермолаева Яна Михайловна</t>
  </si>
  <si>
    <t>INFO@PROARES.RU'</t>
  </si>
  <si>
    <t>52.231274,104.303549</t>
  </si>
  <si>
    <t>ОБЩЕСТВО С ОГРАНИЧЕННОЙ ОТВЕТСТВЕННОСТЬЮ "ГРУППА КОМПАНИЙ СТАРАТЕЛЬ"</t>
  </si>
  <si>
    <t>"ГРУППА КОМПАНИЙ СТАРАТЕЛЬ"</t>
  </si>
  <si>
    <t>3812156896</t>
  </si>
  <si>
    <t>664056, Иркутская область, городской округ ГОРОД ИРКУТСК, Город ИРКУТСК, УЛ АКАДЕМИЧЕСКАЯ, Д. 74, ОФИС 15</t>
  </si>
  <si>
    <t>Саломатов Федор Сергеевич</t>
  </si>
  <si>
    <t>staratel@mail.ru'</t>
  </si>
  <si>
    <t>52.226684,104.307403</t>
  </si>
  <si>
    <t>ОБЩЕСТВО С ОГРАНИЧЕННОЙ ОТВЕТСТВЕННОСТЬЮ МЕРА</t>
  </si>
  <si>
    <t>МЕРА</t>
  </si>
  <si>
    <t>3812990773</t>
  </si>
  <si>
    <t>664056, Иркутская область, ГОРОД ИРКУТСК, Г ИРКУТСК, УЛ БАГРАТИОНА, Д. 25/3</t>
  </si>
  <si>
    <t>Шадрина Наталья Николаевна</t>
  </si>
  <si>
    <t>MERA38@BK.RU'</t>
  </si>
  <si>
    <t>52.236525,104.308059</t>
  </si>
  <si>
    <t>ОБЩЕСТВО С ОГРАНИЧЕННОЙ ОТВЕТСТВЕННОСТЬЮ "Стройка"</t>
  </si>
  <si>
    <t>"Стройка"</t>
  </si>
  <si>
    <t>3812134564</t>
  </si>
  <si>
    <t>664056, ИРКУТСКАЯ ОБЛ, ИРКУТСК Г, СТАРО-КУЗЬМИХИНСКАЯ УЛ, 102, ОФИС 1</t>
  </si>
  <si>
    <t>Гильфанов Алексей Михайлович</t>
  </si>
  <si>
    <t>52.267482,104.310026</t>
  </si>
  <si>
    <t>ОБЩЕСТВО С ОГРАНИЧЕННОЙ ОТВЕТСТВЕННОСТЬЮ "ЗАВОД ЖЕЛЕЗОБЕТОННЫХ ИЗДЕЛИЙ СИГМА"</t>
  </si>
  <si>
    <t>"ЗАВОД ЖЕЛЕЗОБЕТОННЫХ ИЗДЕЛИЙ СИГМА"</t>
  </si>
  <si>
    <t>3811474617</t>
  </si>
  <si>
    <t>664047, ИРКУТСКАЯ ОБЛ., Г. Иркутск, УЛ. БАЙКАЛЬСКАЯ, Д. 105А, ОФИС 407Б</t>
  </si>
  <si>
    <t>Готовский Дмитрий Сергеевич</t>
  </si>
  <si>
    <t>ОБЩЕСТВО С ОГРАНИЧЕННОЙ ОТВЕТСТВЕННОСТЬЮ "ПРОФЕССИОНАЛ"</t>
  </si>
  <si>
    <t>"ПРОФЕССИОНАЛ"</t>
  </si>
  <si>
    <t>3812089015</t>
  </si>
  <si>
    <t>664047, Иркутская область, городской округ ГОРОД ИРКУТСК, Город ИРКУТСК, УЛ БАЙКАЛЬСКАЯ, Д. 105А, ОФИС 2408</t>
  </si>
  <si>
    <t>52.278751,104.31079</t>
  </si>
  <si>
    <t>ОБЩЕСТВО С ОГРАНИЧЕННОЙ ОТВЕТСТВЕННОСТЬЮ "ПРОМСТРОЙИНДУСТРИЯ"</t>
  </si>
  <si>
    <t>"ПРОМСТРОЙИНДУСТРИЯ"</t>
  </si>
  <si>
    <t>3811465877</t>
  </si>
  <si>
    <t>664047, ИРКУТСКАЯ ОБЛАСТЬ, Г. ИРКУТСК, УЛ. КАРЛА ЛИБКНЕХТА, Д. 116,..</t>
  </si>
  <si>
    <t>Малиновский Эдуард Станиславович</t>
  </si>
  <si>
    <t>52.271973,104.312119</t>
  </si>
  <si>
    <t>ОБЩЕСТВО С ОГРАНИЧЕННОЙ ОТВЕТСТВЕННОСТЬЮ "ВЕРУМ"</t>
  </si>
  <si>
    <t>"ВЕРУМ"</t>
  </si>
  <si>
    <t>3811473035</t>
  </si>
  <si>
    <t>664047, Иркутская область, городской округ ГОРОД ИРКУТСК, Город ИРКУТСК, УЛ АЛЕКСАНДРА НЕВСКОГО, Д. 46Б,..</t>
  </si>
  <si>
    <t>Кузнецова Вера Васильевна</t>
  </si>
  <si>
    <t>52.278178,104.315982</t>
  </si>
  <si>
    <t>ОБЩЕСТВО С ОГРАНИЧЕННОЙ ОТВЕТСТВЕННОСТЬЮ "ПРИБАЙКАЛЬСКАЯ ПРОИЗВОДСТВЕННАЯ КОМПАНИЯ"</t>
  </si>
  <si>
    <t>"ПРИБАЙКАЛЬСКАЯ ПРОИЗВОДСТВЕННАЯ КОМПАНИЯ"</t>
  </si>
  <si>
    <t>3811176603</t>
  </si>
  <si>
    <t>664047, ИРКУТСКАЯ ОБЛАСТЬ, Г. ИРКУТСК, УЛ. СОВЕТСКАЯ, Д. 96,..</t>
  </si>
  <si>
    <t>Иванов Вячеслав Викторович</t>
  </si>
  <si>
    <t>52.250956,104.330472</t>
  </si>
  <si>
    <t>ОБЩЕСТВО С ОГРАНИЧЕННОЙ ОТВЕТСТВЕННОСТЬЮ "ИРКУТСПЕЦСТРОЙ"</t>
  </si>
  <si>
    <t>"ИРКУТСПЕЦСТРОЙ"</t>
  </si>
  <si>
    <t>3811040722</t>
  </si>
  <si>
    <t>664075, Иркутская область, городской округ ГОРОД ИРКУТСК, Город ИРКУТСК, УЛ ВЕРХНЯЯ НАБЕРЕЖНАЯ, Д. 161/16,..</t>
  </si>
  <si>
    <t>Головин Сергей Валерьевич</t>
  </si>
  <si>
    <t>bevj2004@yandex.ru'</t>
  </si>
  <si>
    <t>52.307349,104.331631</t>
  </si>
  <si>
    <t>ОБЩЕСТВО С ОГРАНИЧЕННОЙ ОТВЕТСТВЕННОСТЬЮ"САМСТРОЙ"</t>
  </si>
  <si>
    <t>"САМСТРОЙ"</t>
  </si>
  <si>
    <t>3849057669</t>
  </si>
  <si>
    <t>664044, ИРКУТСКАЯ ОБЛАСТЬ, ГОРОД ИРКУТСК, УЛИЦА КАРЬЕРНАЯ, ДОМ 20</t>
  </si>
  <si>
    <t>Григорян Айк Самвелович</t>
  </si>
  <si>
    <t>svet@irkutsk.ru'</t>
  </si>
  <si>
    <t>52.250112,104.332331</t>
  </si>
  <si>
    <t>ОБЩЕСТВО С ОГРАНИЧЕННОЙ ОТВЕТСТВЕННОСТЬЮ "СТРОЙ-РИТЭЙЛ"</t>
  </si>
  <si>
    <t>"СТРОЙ-РИТЭЙЛ"</t>
  </si>
  <si>
    <t>3849066430</t>
  </si>
  <si>
    <t>664075, Иркутская область, городской округ ГОРОД ИРКУТСК, Город ИРКУТСК, УЛ ВЕРХНЯЯ НАБЕРЕЖНАЯ, Д. 167/3,..</t>
  </si>
  <si>
    <t>Брауэр Евгений Викторович</t>
  </si>
  <si>
    <t>+7 (902) 175-02-25'</t>
  </si>
  <si>
    <t>52.304789,104.336661</t>
  </si>
  <si>
    <t>ОБЩЕСТВО С ОГРАНИЧЕННОЙ ОТВЕТСТВЕННОСТЬЮ "Монтажно Строительная Компания Вавилон"</t>
  </si>
  <si>
    <t>"Монтажно Строительная Компания Вавилон"</t>
  </si>
  <si>
    <t>3811163474</t>
  </si>
  <si>
    <t>664044, ИРКУТСКАЯ ОБЛАСТЬ, Г. ИРКУТСК, УЛ. 2-Я КАРЬЕРНАЯ, Д. 1Б</t>
  </si>
  <si>
    <t>Швецов Алексей Борисович</t>
  </si>
  <si>
    <t>MELTOM@MAIL.ru'</t>
  </si>
  <si>
    <t>52.25251,104.352642</t>
  </si>
  <si>
    <t>ОБЩЕСТВО С ОГРАНИЧЕННОЙ ОТВЕТСТВЕННОСТЬЮ ПК "ТСТ"</t>
  </si>
  <si>
    <t>ПК "ТСТ"</t>
  </si>
  <si>
    <t>3811082722</t>
  </si>
  <si>
    <t>664057, Иркутская область, г Иркутск, ул Байкальская, д 258,..</t>
  </si>
  <si>
    <t>Юшкевич Михаил Аркадьевич</t>
  </si>
  <si>
    <t>582907@mail.ru'</t>
  </si>
  <si>
    <t>52.229338,104.416252</t>
  </si>
  <si>
    <t>ОБЩЕСТВО С ОГРАНИЧЕННОЙ ОТВЕТСТВЕННОСТЬЮ "ВЫБОР ПЛЮС"</t>
  </si>
  <si>
    <t>"ВЫБОР ПЛЮС"</t>
  </si>
  <si>
    <t>3802011740</t>
  </si>
  <si>
    <t>664038, ИРКУТСКАЯ ОБЛАСТЬ, Р-Н ИРКУТСКИЙ, П МОЛОДЕЖНЫЙ, УЛ. ЗВЕЗДНАЯ, Д. 56А</t>
  </si>
  <si>
    <t>Митов Антон Дмитриевич</t>
  </si>
  <si>
    <t>56.811611,105.862719</t>
  </si>
  <si>
    <t>ОБЩЕСТВО С ОГРАНИЧЕННОЙ ОТВЕТСТВЕННОСТЬЮ "СТАРОН"</t>
  </si>
  <si>
    <t>"СТАРОН"</t>
  </si>
  <si>
    <t>3818047413</t>
  </si>
  <si>
    <t>666785, ИРКУТСКАЯ ОБЛАСТЬ, Г. УСТЬ-КУТ, УЛ. ЧЕРНОМОРСКАЯ, Д. 29А,..</t>
  </si>
  <si>
    <t>Омолоев Артём Сергеевич</t>
  </si>
  <si>
    <t>51.983199,106.583456</t>
  </si>
  <si>
    <t>ОБЩЕСТВО С ОГРАНИЧЕННОЙ ОТВЕТСТВЕННОСТЬЮ "БАЙКАЛЬСКИЙ ЖЕЛЕЗОБЕТОННЫЙ ЗАВОД"</t>
  </si>
  <si>
    <t>"БАЙКАЛЬСКИЙ ЖЕЛЕЗОБЕТОННЫЙ ЗАВОД"</t>
  </si>
  <si>
    <t>0309407539</t>
  </si>
  <si>
    <t>671205, БУРЯТИЯ РЕСП, КАБАНСКИЙ Р-Н, КАМЕНСК ПГТ, ШКОЛЬНАЯ УЛ, ДОМ 1,..</t>
  </si>
  <si>
    <t>Ёлшин Вячеслав Сергеевич</t>
  </si>
  <si>
    <t>51.62,107.000921</t>
  </si>
  <si>
    <t>ОБЩЕСТВО С ОГРАНИЧЕННОЙ ОТВЕТСТВЕННОСТЬЮ ПРОИЗВОДСТВЕННАЯ КОМПАНИЯ "БАЙКАЛКРЕМНЕГРАНИТ"</t>
  </si>
  <si>
    <t>ПРОИЗВОДСТВЕННАЯ КОМПАНИЯ "БАЙКАЛКРЕМНЕГРАНИТ"</t>
  </si>
  <si>
    <t>0323376480</t>
  </si>
  <si>
    <t>РЕСПУБЛИКА БУРЯТИЯ,ИВОЛГИНСКИЙ Р-Н,С КОКОРИНО,УЛ К МАРКСА 46</t>
  </si>
  <si>
    <t>Долбанов Анатолий Владимирович</t>
  </si>
  <si>
    <t>+7 (902) 168-99-93'</t>
  </si>
  <si>
    <t>51.802118,107.496153</t>
  </si>
  <si>
    <t>ОБЩЕСТВО С ОГРАНИЧЕННОЙ ОТВЕТСТВЕННОСТЬЮ "АРБОЛИТЭКО"</t>
  </si>
  <si>
    <t>"АРБОЛИТЭКО"</t>
  </si>
  <si>
    <t>0300000940</t>
  </si>
  <si>
    <t>670018, БУРЯТИЯ РЕСП., Г. Улан-Удэ, УЛ. ПОКРОВСКАЯ, Д. 33А, ОФИС 8</t>
  </si>
  <si>
    <t>Тангаев Баир Эрдынеевич</t>
  </si>
  <si>
    <t>51.837002,107.499216</t>
  </si>
  <si>
    <t>ОБЩЕСТВО С ОГРАНИЧЕННОЙ ОТВЕТСТВЕННОСТЬЮ "БЕТОН МАРКЕТ"</t>
  </si>
  <si>
    <t>"БЕТОН МАРКЕТ"</t>
  </si>
  <si>
    <t>0326578301</t>
  </si>
  <si>
    <t>670023, БУРЯТИЯ РЕСПУБЛИКА, ГОРОД УЛАН-УДЭ, УЛИЦА 4-Я (СНТ КОММУНАЛЬНИК ТЕР), ДОМ 278</t>
  </si>
  <si>
    <t>Закарян Авгар Абгарович</t>
  </si>
  <si>
    <t>51.844964,107.514083</t>
  </si>
  <si>
    <t>ОБЩЕСТВО С ОГРАНИЧЕННОЙ ОТВЕТСТВЕННОСТЬЮ "ЗАРЕЧНАЯ СТРОЙДЕТАЛЬ"</t>
  </si>
  <si>
    <t>"ЗАРЕЧНАЯ СТРОЙДЕТАЛЬ"</t>
  </si>
  <si>
    <t>0326009827</t>
  </si>
  <si>
    <t>Г УЛАН-УДЭ,РП ЗАРЕЧНЫЙ,УЛ КАБАНСКАЯ 17 А</t>
  </si>
  <si>
    <t>Ширабжалсанов Гомбожаб</t>
  </si>
  <si>
    <t>51.842282,107.514937</t>
  </si>
  <si>
    <t>ОБЩЕСТВО С ОГРАНИЧЕННОЙ ОТВЕТСТВЕННОСТЬЮ "СТРОИТЕЛЬНАЯ КОМПАНИЯ "АВАНГАРД"</t>
  </si>
  <si>
    <t>"СТРОИТЕЛЬНАЯ КОМПАНИЯ "АВАНГАРД"</t>
  </si>
  <si>
    <t>0326553603</t>
  </si>
  <si>
    <t>670023, БУРЯТИЯ РЕСПУБЛИКА, ГОРОД УЛАН-УДЭ, УЛИЦА СТРОИТЕЛЕЙ, ДОМ 42Б, КОМНАТА 2</t>
  </si>
  <si>
    <t>Чен Владимир Борисович</t>
  </si>
  <si>
    <t>avangard0328@mail.ru', 'avangard0328@mail.ru'</t>
  </si>
  <si>
    <t>51.77672,107.55007</t>
  </si>
  <si>
    <t>ОБЩЕСТВО С ОГРАНИЧЕННОЙ ОТВЕТСТВЕННОСТЬЮ "ЖЕЛЕЗОБЕТОН"</t>
  </si>
  <si>
    <t>"ЖЕЛЕЗОБЕТОН"</t>
  </si>
  <si>
    <t>0323393687</t>
  </si>
  <si>
    <t>670049, БУРЯТИЯ РЕСПУБЛИКА, ГОРОД УЛАН-УДЭ, МИКРОРАЙОН МЕДВЕДЧИКОВО, ДОМ 14</t>
  </si>
  <si>
    <t>Кузнецова Елена Сергеевна</t>
  </si>
  <si>
    <t>+7 (914) 055-73-41'</t>
  </si>
  <si>
    <t>ОБЩЕСТВО С ОГРАНИЧЕННОЙ ОТВЕТСТВЕННОСТЬЮ "АЛЬФА-ПРОМ"</t>
  </si>
  <si>
    <t>"АЛЬФА-ПРОМ"</t>
  </si>
  <si>
    <t>0323393694</t>
  </si>
  <si>
    <t>670049, БУРЯТИЯ РЕСПУБЛИКА, Г. УЛАН-УДЭ, МКР МЕДВЕДЧИКОВО, Д. 14</t>
  </si>
  <si>
    <t>Кузнецов Семен Сергеевич</t>
  </si>
  <si>
    <t>ОБЩЕСТВО С ОГРАНИЧЕННОЙ ОТВЕТСТВЕННОСТЬЮ СК "СТРОИТЕЛЬ"</t>
  </si>
  <si>
    <t>СК "СТРОИТЕЛЬ"</t>
  </si>
  <si>
    <t>0323398460</t>
  </si>
  <si>
    <t>51.776107,107.553196</t>
  </si>
  <si>
    <t>0323367415</t>
  </si>
  <si>
    <t>Г УЛАН-УДЭ,СТ МЕДВЕДЧИКОВО</t>
  </si>
  <si>
    <t>Мирхусеева Сарюна Дамдинжаповна</t>
  </si>
  <si>
    <t>zbb@inbox.ru'</t>
  </si>
  <si>
    <t>51.844158,107.556115</t>
  </si>
  <si>
    <t>ОБЩЕСТВО С ОГРАНИЧЕННОЙ ОТВЕТСТВЕННОСТЬЮ "ЖБИ АКВА-СФЕРА"</t>
  </si>
  <si>
    <t>"ЖБИ АКВА-СФЕРА"</t>
  </si>
  <si>
    <t>0326560270</t>
  </si>
  <si>
    <t>670000, БУРЯТИЯ РЕСПУБЛИКА, ГОРОД УЛАН-УДЭ, УЛИЦА ИВОЛГИНСКАЯ, ДОМ 35А</t>
  </si>
  <si>
    <t>Батков Дмитрий Сергеевич</t>
  </si>
  <si>
    <t>03@yandex.ru'</t>
  </si>
  <si>
    <t>51.784008,107.570003</t>
  </si>
  <si>
    <t>Общество с ограниченной ответственностью "МИР БЕТОНА"</t>
  </si>
  <si>
    <t>"МИР БЕТОНА"</t>
  </si>
  <si>
    <t>0323352715</t>
  </si>
  <si>
    <t>670049, БУРЯТИЯ РЕСПУБЛИКА, ГОРОД УЛАН-УДЭ, УЛИЦА ДОМОСТРОИТЕЛЬНАЯ, 2 "Б"</t>
  </si>
  <si>
    <t>Чжао Екатерина Биньфэновна</t>
  </si>
  <si>
    <t>+7 (951) 627-90-49'</t>
  </si>
  <si>
    <t>51.785017,107.576022</t>
  </si>
  <si>
    <t>ОБЩЕСТВО С ОГРАНИЧЕННОЙ ОТВЕТСТВЕННОСТЬЮ "КРАСОТА ПОД НОГАМИ"</t>
  </si>
  <si>
    <t>"КРАСОТА ПОД НОГАМИ"</t>
  </si>
  <si>
    <t>0323413485</t>
  </si>
  <si>
    <t>670049, БУРЯТИЯ РЕСП., Г. Улан-Удэ, УЛ. ДОМОСТРОИТЕЛЬНАЯ, Д. 30, ОФИС 20</t>
  </si>
  <si>
    <t>Ершова Мария Алексеевна</t>
  </si>
  <si>
    <t>ALBERTAGASIN@MAIL.RU', 'KPN2020@MAIL.RU'</t>
  </si>
  <si>
    <t>51.82985,107.579741</t>
  </si>
  <si>
    <t>ОБЩЕСТВО С ОГРАНИЧЕННОЙ ОТВЕТСТВЕННОСТЬЮ "ТОРГОВЫЙ ДОМ СЕЛЕНГИНСКИЙ ЗАВОД ЖЕЛЕЗОБЕТОННЫХ ИЗДЕЛИЙ"</t>
  </si>
  <si>
    <t>"СЕЛЕНГИНСКИЙ ЗАВОД ЖЕЛЕЗОБЕТОННЫХ ИЗДЕЛИЙ"</t>
  </si>
  <si>
    <t>0326548890</t>
  </si>
  <si>
    <t>670000, БУРЯТИЯ РЕСПУБЛИКА, ГОРОД УЛАН-УДЭ, УЛИЦА СОВЕТСКАЯ, ДОМ 14, ОФИС 304</t>
  </si>
  <si>
    <t>Мельников Николай Владимирович</t>
  </si>
  <si>
    <t>+7 (902) 564-67-42'</t>
  </si>
  <si>
    <t>51.834809,107.584547</t>
  </si>
  <si>
    <t>ОБЩЕСТВО С ОГРАНИЧЕННОЙ ОТВЕТСТВЕННОСТЬЮ "СТРОЙУСПЕХ"</t>
  </si>
  <si>
    <t>"СТРОЙУСПЕХ"</t>
  </si>
  <si>
    <t>0326566786</t>
  </si>
  <si>
    <t>670004, БУРЯТИЯ РЕСПУБЛИКА, ГОРОД УЛАН-УДЭ, ПРОЕЗД 2-Й АКТИВНЫЙ, ДОМ 2</t>
  </si>
  <si>
    <t>Черкашина Наталия Александровна</t>
  </si>
  <si>
    <t>51.826544,107.589694</t>
  </si>
  <si>
    <t>ОБЩЕСТВО С ОГРАНИЧЕННОЙ ОТВЕТСТВЕННОСТЬЮ "УЛАН-УДЭНСКИЙ ДОМОСТРОИТЕЛЬНЫЙ КОМБИНАТ"</t>
  </si>
  <si>
    <t>"УЛАН-УДЭНСКИЙ ДОМОСТРОИТЕЛЬНЫЙ КОМБИНАТ"</t>
  </si>
  <si>
    <t>0326581600</t>
  </si>
  <si>
    <t>670000, БУРЯТИЯ РЕСПУБЛИКА, Г. УЛАН-УДЭ, УЛ. БАЛТАХИНОВА, Д. ЗД15, ПОМ/ОФИС CXXIX/5</t>
  </si>
  <si>
    <t>Бояков Виктор Николаевич</t>
  </si>
  <si>
    <t>BURSTROI14@MAIL.RU', 'burstroi14@mail.ru'</t>
  </si>
  <si>
    <t>51.851324,107.592659</t>
  </si>
  <si>
    <t>ОБЩЕСТВО С ОГРАНИЧЕННОЙ ОТВЕТСТВЕННОСТЬЮ "СИБСПЕЦСТРОЙ"</t>
  </si>
  <si>
    <t>"СИБСПЕЦСТРОЙ"</t>
  </si>
  <si>
    <t>0326483226</t>
  </si>
  <si>
    <t>670034, БУРЯТИЯ РЕСПУБЛИКА, ГОРОД УЛАН-УДЭ, УЛИЦА ДЗЕРЖИНСКОГО, 1</t>
  </si>
  <si>
    <t>Харанутов Игорь Миронович</t>
  </si>
  <si>
    <t>+7 (983) 453-47-20'</t>
  </si>
  <si>
    <t>51.826894,107.595641</t>
  </si>
  <si>
    <t>ОБЩЕСТВО С ОГРАНИЧЕННОЙ ОТВЕТСТВЕННОСТЬЮ "ЭКСПЕРТ-01"</t>
  </si>
  <si>
    <t>"ЭКСПЕРТ-01"</t>
  </si>
  <si>
    <t>0326521760</t>
  </si>
  <si>
    <t>670000, БУРЯТИЯ РЕСПУБЛИКА, ГОРОД УЛАН-УДЭ, УЛИЦА ДИМИТРОВА, ДОМ 4</t>
  </si>
  <si>
    <t>Сорокин Александр Петрович</t>
  </si>
  <si>
    <t>+7 (301) 223-12-01'</t>
  </si>
  <si>
    <t>333141@mail.ru', '333141@mail.ru'</t>
  </si>
  <si>
    <t>51.784014,107.600959</t>
  </si>
  <si>
    <t>ОБЩЕСТВО С ОГРАНИЧЕННОЙ ОТВЕТСТВЕННОСТЬЮ "ВИА-СТРОЙ"</t>
  </si>
  <si>
    <t>"ВИА-СТРОЙ"</t>
  </si>
  <si>
    <t>0323403769</t>
  </si>
  <si>
    <t>670049, БУРЯТИЯ РЕСПУБЛИКА, Г. УЛАН-УДЭ, УЛ. РИНЧИНО, Д. 21,..</t>
  </si>
  <si>
    <t>Кавелин Сергей Владимирович</t>
  </si>
  <si>
    <t>51.801138,107.604723</t>
  </si>
  <si>
    <t>ОБЩЕСТВО С ОГРАНИЧЕННОЙ ОТВЕТСТВЕННОСТЬЮ "МБ ГРУПП"</t>
  </si>
  <si>
    <t>"МБ ГРУПП"</t>
  </si>
  <si>
    <t>0300002111</t>
  </si>
  <si>
    <t>670031, Республика Бурятия, ГОРОД УЛАН-УДЭ, Г УЛАН-УДЭ, УЛ БАБУШКИНА, Д. 166</t>
  </si>
  <si>
    <t>Аюшеев Санжи-Жамсо Чингисович</t>
  </si>
  <si>
    <t>BETONA@YANDEX.RU'</t>
  </si>
  <si>
    <t>51.812481,107.609125</t>
  </si>
  <si>
    <t>ОБЩЕСТВО С ОГРАНИЧЕННОЙ ОТВЕТСТВЕННОСТЬЮ "СТРОЙТОРГСЕРВИС ПЛЮС"</t>
  </si>
  <si>
    <t>"СТРОЙТОРГСЕРВИС ПЛЮС"</t>
  </si>
  <si>
    <t>0323337587</t>
  </si>
  <si>
    <t>670031, БУРЯТИЯ РЕСПУБЛИКА, ГОРОД УЛАН-УДЭ, БУЛЬВАР КАРЛА МАРКСА, 1, А</t>
  </si>
  <si>
    <t>Афанасьева Ольга Васильевна</t>
  </si>
  <si>
    <t>51.811941,107.611065</t>
  </si>
  <si>
    <t>ОБЩЕСТВО С ОГРАНИЧЕННОЙ ОТВЕТСТВЕННОСТЬЮ "АРБОЛИТСТРОЙ"</t>
  </si>
  <si>
    <t>"АРБОЛИТСТРОЙ"</t>
  </si>
  <si>
    <t>0323398614</t>
  </si>
  <si>
    <t>670031, БУРЯТИЯ РЕСПУБЛИКА, ГОРОД УЛАН-УДЭ, УЛИЦА ЦЫБИКОВА, ДОМ 5,..</t>
  </si>
  <si>
    <t>Панфилова Татьяна Владимировна</t>
  </si>
  <si>
    <t>+7 (924) 454-17-24'</t>
  </si>
  <si>
    <t>51.80889,107.625555</t>
  </si>
  <si>
    <t>ОБЩЕСТВО С ОГРАНИЧЕННОЙ ОТВЕТСТВЕННОСТЬЮ "СЕЛЕНГИНСКИЙ ЗАВОД ЖЕЛЕЗОБЕТОННЫХ КОНСТРУКЦИЙ"</t>
  </si>
  <si>
    <t>"СЕЛЕНГИНСКИЙ ЗАВОД ЖЕЛЕЗОБЕТОННЫХ КОНСТРУКЦИЙ"</t>
  </si>
  <si>
    <t>0309406983</t>
  </si>
  <si>
    <t>670047, БУРЯТИЯ РЕСПУБЛИКА, ГОРОД УЛАН-УДЭ, УЛИЦА САХЬЯНОВОЙ, ДОМ 23Г, КАБИНЕТ 1</t>
  </si>
  <si>
    <t>+7 (902) 168-42-68'</t>
  </si>
  <si>
    <t>sekretar@yandex.ru'</t>
  </si>
  <si>
    <t>51.837475,107.628322</t>
  </si>
  <si>
    <t>ОБЩЕСТВО С ОГРАНИЧЕННОЙ ОТВЕТСТВЕННОСТЬЮ "ЛИКО"</t>
  </si>
  <si>
    <t>"ЛИКО"</t>
  </si>
  <si>
    <t>0326475345</t>
  </si>
  <si>
    <t>670045, БУРЯТИЯ РЕСПУБЛИКА, ГОРОД УЛАН-УДЭ, УЛИЦА ТРАКТОВАЯ, 36</t>
  </si>
  <si>
    <t>Зверьков Вячеслав Борисович</t>
  </si>
  <si>
    <t>51.818255,107.629301</t>
  </si>
  <si>
    <t>ОБЩЕСТВО С ОГРАНИЧЕННОЙ ОТВЕТСТВЕННОСТЬЮ "ДОЛОМИТ"</t>
  </si>
  <si>
    <t>"ДОЛОМИТ"</t>
  </si>
  <si>
    <t>0326477952</t>
  </si>
  <si>
    <t>670042, БУРЯТИЯ РЕСПУБЛИКА, ГОРОД УЛАН-УДЭ, УЛИЦА ЖЕРДЕВА, ДОМ 3,..</t>
  </si>
  <si>
    <t>Михалёв Вячеслав Петрович</t>
  </si>
  <si>
    <t>51.840969,107.641213</t>
  </si>
  <si>
    <t>ОБЩЕСТВО С ОГРАНИЧЕННОЙ ОТВЕТСТВЕННОСТЬЮ "ДИМАЛ СЕРВИС"</t>
  </si>
  <si>
    <t>"ДИМАЛ СЕРВИС"</t>
  </si>
  <si>
    <t>0326590891</t>
  </si>
  <si>
    <t>670045, Республика Бурятия, Город УЛАН-УДЭ, УЛ БОТАНИЧЕСКАЯ, Д. 35В, ОФИС 1А</t>
  </si>
  <si>
    <t>Плюснина Елена Владимировна</t>
  </si>
  <si>
    <t>51.838799,107.644644</t>
  </si>
  <si>
    <t>ОБЩЕСТВО С ОГРАНИЧЕННОЙ ОТВЕТСТВЕННОСТЬЮ "ДомСтройКомплект"</t>
  </si>
  <si>
    <t>"ДомСтройКомплект"</t>
  </si>
  <si>
    <t>0323367454</t>
  </si>
  <si>
    <t>670045, БУРЯТИЯ РЕСПУБЛИКА, Г. УЛАН-УДЭ, УЛ. БОТАНИЧЕСКАЯ, Д. 38, КАБИНЕТ 1</t>
  </si>
  <si>
    <t>Шерстянников Александр Геннадьевич</t>
  </si>
  <si>
    <t>+7 (914) 847-54-34', '+7 (914) 053-50-87', '+7 (902) 166-06-64'</t>
  </si>
  <si>
    <t>KES9052@MAIL.RU'</t>
  </si>
  <si>
    <t>51.827301,107.65997</t>
  </si>
  <si>
    <t>ОБЩЕСТВО С ОГРАНИЧЕННОЙ ОТВЕТСТВЕННОСТЬЮ "СИБИРСКИЙ ДОМ"</t>
  </si>
  <si>
    <t>"СИБИРСКИЙ ДОМ"</t>
  </si>
  <si>
    <t>0323406960</t>
  </si>
  <si>
    <t>670011, БУРЯТИЯ РЕСПУБЛИКА, ГОРОД УЛАН-УДЭ, НАСЕЛЕННЫЙ ПУНКТ ЭНЕРГЕТИК, ДОМ 100, СТРОЕНИЕ 1, ОФИС 1</t>
  </si>
  <si>
    <t>Тимофеев Андрей Викторович</t>
  </si>
  <si>
    <t>+7 (902) 166-35-54'</t>
  </si>
  <si>
    <t>51.818555,107.662045</t>
  </si>
  <si>
    <t>ОБЩЕСТВО С ОГРАНИЧЕННОЙ ОТВЕТСТВЕННОСТЬЮ "БЕТОН ПЛЮС"</t>
  </si>
  <si>
    <t>"БЕТОН ПЛЮС"</t>
  </si>
  <si>
    <t>0326551701</t>
  </si>
  <si>
    <t>670013, БУРЯТИЯ РЕСПУБЛИКА, ГОРОД УЛАН-УДЭ, УЛИЦА КЛЮЧЕВСКАЯ, ДОМ 90А, ОФИС 2</t>
  </si>
  <si>
    <t>Плюснина Татьяна Павловна</t>
  </si>
  <si>
    <t>+7 (902) 161-53-26'</t>
  </si>
  <si>
    <t>51.81816,107.662054</t>
  </si>
  <si>
    <t>0323374042</t>
  </si>
  <si>
    <t>670013, БУРЯТИЯ РЕСПУБЛИКА, Г. УЛАН-УДЭ, УЛ. КЛЮЧЕВСКАЯ, Д. 90Б, ОФИС 1</t>
  </si>
  <si>
    <t>Плюснин Максим Викторович</t>
  </si>
  <si>
    <t>+7 (902) 562-93-30'</t>
  </si>
  <si>
    <t>51.824874,107.67384</t>
  </si>
  <si>
    <t>ОБЩЕСТВО С ОГРАНИЧЕННОЙ ОТВЕТСТВЕННОСТЬЮ "СЕРГЕЙСТРОЙГАРАНТ"</t>
  </si>
  <si>
    <t>"СЕРГЕЙСТРОЙГАРАНТ"</t>
  </si>
  <si>
    <t>0323413238</t>
  </si>
  <si>
    <t>670013, БУРЯТИЯ РЕСПУБЛИКА, ГОРОД УЛАН-УДЭ, УЛИЦА ПУГАЧЕВА, ДОМ 23,..</t>
  </si>
  <si>
    <t>Кравцов Сергей Валерьевич</t>
  </si>
  <si>
    <t>tsidenov@yandex.ru'</t>
  </si>
  <si>
    <t>51.821935,107.678214</t>
  </si>
  <si>
    <t>ОБЩЕСТВО С ОГРАНИЧЕННОЙ ОТВЕТСТВЕННОСТЬЮ "ЭКО ГАЗОБЕТОН БУРЯТИИ"</t>
  </si>
  <si>
    <t>"ЭКО ГАЗОБЕТОН БУРЯТИИ"</t>
  </si>
  <si>
    <t>0300006726</t>
  </si>
  <si>
    <t>670033, Республика Бурятия, ГОРОД УЛАН-УДЭ, Г УЛАН-УДЭ, УЛ ТУЛАЕВА, Д. 136</t>
  </si>
  <si>
    <t>Фомин Дмитрий Александрович</t>
  </si>
  <si>
    <t>51.82847,107.682365</t>
  </si>
  <si>
    <t>ОБЩЕСТВО С ОГРАНИЧЕННОЙ ОТВЕТСТВЕННОСТЬЮ "СТРОЙТЕХРЕСУРС"</t>
  </si>
  <si>
    <t>"СТРОЙТЕХРЕСУРС"</t>
  </si>
  <si>
    <t>0323114735</t>
  </si>
  <si>
    <t>Г УЛАН-УДЭ,УЛ ОНОХОЙСКАЯ 1</t>
  </si>
  <si>
    <t>IRK2@RAMBLER.RU'</t>
  </si>
  <si>
    <t>51.832477,107.690027</t>
  </si>
  <si>
    <t>ОБЩЕСТВО С ОГРАНИЧЕННОЙ ОТВЕТСТВЕННОСТЬЮ "БЕТОМИКС"</t>
  </si>
  <si>
    <t>"БЕТОМИКС"</t>
  </si>
  <si>
    <t>0326473820</t>
  </si>
  <si>
    <t>670009, БУРЯТИЯ РЕСПУБЛИКА, ГОРОД УЛАН-УДЭ, МИКРОРАЙОН МАТРОСОВА, ДОМ 2, ОФИС 1</t>
  </si>
  <si>
    <t>Цыренов Глеб Евгеньевич</t>
  </si>
  <si>
    <t>ОБЩЕСТВО С ОГРАНИЧЕННОЙ ОТВЕТСТВЕННОСТЬЮ "ГАВАНЬ"</t>
  </si>
  <si>
    <t>"ГАВАНЬ"</t>
  </si>
  <si>
    <t>0326546878</t>
  </si>
  <si>
    <t>670045, БУРЯТИЯ РЕСПУБЛИКА, ГОРОД УЛАН-УДЭ, МИКРОРАЙОН МАТРОСОВА, ДОМ 2</t>
  </si>
  <si>
    <t>Трегубов Андрей Евгеньевич</t>
  </si>
  <si>
    <t>profmash@mail.ru'</t>
  </si>
  <si>
    <t>51.7702,107.70776</t>
  </si>
  <si>
    <t>ОБЩЕСТВО С ОГРАНИЧЕННОЙ ОТВЕТСТВЕННОСТЬЮ "ВОСТОКСПЕЦСТРОЙ"</t>
  </si>
  <si>
    <t>"ВОСТОКСПЕЦСТРОЙ"</t>
  </si>
  <si>
    <t>0323386841</t>
  </si>
  <si>
    <t>670011, БУРЯТИЯ РЕСПУБЛИКА, ГОРОД УЛАН-УДЭ, МИКРОРАЙОН ЭНЕРГЕТИК, ДОМ 100, СТРОЕНИЕ 2</t>
  </si>
  <si>
    <t>Макаров Сергей Владимирович</t>
  </si>
  <si>
    <t>+7 (902) 565-51-97'</t>
  </si>
  <si>
    <t>makarov@yandex.ru', 'ku@mail.ru'</t>
  </si>
  <si>
    <t>51.86236,107.726553</t>
  </si>
  <si>
    <t>0326559901</t>
  </si>
  <si>
    <t>670009, БУРЯТИЯ РЕСПУБЛИКА, ГОРОД УЛАН-УДЭ, УЛИЦА ЧАЙКОВСКОГО, ДОМ 6,..</t>
  </si>
  <si>
    <t>Сосорова Людмила Николаевна</t>
  </si>
  <si>
    <t>03@mail.ru', 'allion2000@mail.ru'</t>
  </si>
  <si>
    <t>51.859328,107.73621</t>
  </si>
  <si>
    <t>ОБЩЕСТВО С ОГРАНИЧЕННОЙ ОТВЕТСТВЕННОСТЬЮ "РИКО"</t>
  </si>
  <si>
    <t>"РИКО"</t>
  </si>
  <si>
    <t>0326522820</t>
  </si>
  <si>
    <t>670009, БУРЯТИЯ РЕСПУБЛИКА, ГОРОД УЛАН-УДЭ, УЛИЦА ХОРИНСКАЯ, ДОМ 1А</t>
  </si>
  <si>
    <t>Макальский Виктор Григорьевич</t>
  </si>
  <si>
    <t>+7 (902) 459-90-99'</t>
  </si>
  <si>
    <t>51.845053,107.763869</t>
  </si>
  <si>
    <t>ОБЩЕСТВО С ОГРАНИЧЕННОЙ ОТВЕТСТВЕННОСТЬЮ "ПРОИЗВОДСТВЕННО - ТОРГОВАЯ КОМПАНИЯ"</t>
  </si>
  <si>
    <t>"ПРОИЗВОДСТВЕННО - ТОРГОВАЯ КОМПАНИЯ"</t>
  </si>
  <si>
    <t>0323389232</t>
  </si>
  <si>
    <t>670013, БУРЯТИЯ РЕСПУБЛИКА, ГОРОД УЛАН-УДЭ, УЛИЦА ЧЕЛУТАЕВСКАЯ, ДОМ 12А</t>
  </si>
  <si>
    <t>Примак Олег Михайлович</t>
  </si>
  <si>
    <t>03@BK.RU'</t>
  </si>
  <si>
    <t>55.788641,109.579094</t>
  </si>
  <si>
    <t>ОБЩЕСТВО С ОГРАНИЧЕННОЙ ОТВЕТСТВЕННОСТЬЮ "ГРАД"</t>
  </si>
  <si>
    <t>"ГРАД"</t>
  </si>
  <si>
    <t>0317318674</t>
  </si>
  <si>
    <t>671710, БУРЯТИЯ РЕСП., Р-Н Северо-Байкальский, ПГТ. Нижнеангарск, УЛ. АЛЕКСАНДРОВОЙ, Д. 41,..</t>
  </si>
  <si>
    <t>Фролов Дмитрий Евгеньевич</t>
  </si>
  <si>
    <t>FV@MAIL.RU'</t>
  </si>
  <si>
    <t>52.035702,113.265026</t>
  </si>
  <si>
    <t>ОБЩЕСТВО С ОГРАНИЧЕННОЙ ОТВЕТСТВЕННОСТЬЮ "НОВАТЕК"</t>
  </si>
  <si>
    <t>"НОВАТЕК"</t>
  </si>
  <si>
    <t>7500003482</t>
  </si>
  <si>
    <t>75-Забайкальский край</t>
  </si>
  <si>
    <t>672018, Забайкальский край, ГОРОД ЧИТА, Г ЧИТА, УЛ ЗАБАЙКАЛЬСКАЯ, Д. 21</t>
  </si>
  <si>
    <t>Дугарнимаева Цындыма Аюровна</t>
  </si>
  <si>
    <t>81DBD@MAIL.RU'</t>
  </si>
  <si>
    <t>52.114509,113.333468</t>
  </si>
  <si>
    <t>ОБЩЕСТВО С ОГРАНИЧЕННОЙ ОТВЕТСТВЕННОСТЬЮ "ЗАВОД ЖБИ"</t>
  </si>
  <si>
    <t>"ЗАВОД ЖБИ"</t>
  </si>
  <si>
    <t>7536116377</t>
  </si>
  <si>
    <t>672013, ЗАБАЙКАЛЬСКИЙ КРАЙ, ГОРОД ЧИТА, ПРОЕЗД ИВАНОВСКИЙ, ВЛАДЕНИЕ 12</t>
  </si>
  <si>
    <t>Макеев Роман Викторович</t>
  </si>
  <si>
    <t>52.008657,113.336451</t>
  </si>
  <si>
    <t>ОБЩЕСТВО С ОГРАНИЧЕННОЙ ОТВЕТСТВЕННОСТЬЮ "ЖБИ КОМПЛЕКТ"</t>
  </si>
  <si>
    <t>"ЖБИ КОМПЛЕКТ"</t>
  </si>
  <si>
    <t>7536153481</t>
  </si>
  <si>
    <t>672018, ЗАБАЙКАЛЬСКИЙ КРАЙ, Г. ЧИТА, УЛ. ГАЙДАРА, Д. 13, СТР. 7</t>
  </si>
  <si>
    <t>Васильев Алексей Валерьевич</t>
  </si>
  <si>
    <t>+7 (924) 275-41-68'</t>
  </si>
  <si>
    <t>gbichita@mail.ru'</t>
  </si>
  <si>
    <t>52.061651,113.4036</t>
  </si>
  <si>
    <t>ОБЩЕСТВО С ОГРАНИЧЕННОЙ ОТВЕТСТВЕННОСТЬЮ "АЛЕКС ПЛЮС"</t>
  </si>
  <si>
    <t>"АЛЕКС ПЛЮС"</t>
  </si>
  <si>
    <t>7536125170</t>
  </si>
  <si>
    <t>672040, ЗАБАЙКАЛЬСКИЙ КРАЙ, Г. ЧИТА, МКР ДЕВИЧЬЯ СОПКА, Д.44,..</t>
  </si>
  <si>
    <t>Колькин Владислав Витальевич</t>
  </si>
  <si>
    <t>52.087534,113.450896</t>
  </si>
  <si>
    <t>ОБЩЕСТВО С ОГРАНИЧЕННОЙ ОТВЕТСТВЕННОСТЬЮ "ПРОМБЕТОН"</t>
  </si>
  <si>
    <t>"ПРОМБЕТОН"</t>
  </si>
  <si>
    <t>7536185589</t>
  </si>
  <si>
    <t>672014, ЗАБАЙКАЛЬСКИЙ КРАЙ, Г. Чита, ТРАКТ РОМАНОВСКИЙ, Д. 38Д, СТР. 2</t>
  </si>
  <si>
    <t>Приймак Сергей Александрович</t>
  </si>
  <si>
    <t>CHITA@INBOX.RU'</t>
  </si>
  <si>
    <t>52.087938,113.451193</t>
  </si>
  <si>
    <t>ОБЩЕСТВО С ОГРАНИЧЕННОЙ ОТВЕТСТВЕННОСТЬЮ "БЕТОН-СТРОЙ"</t>
  </si>
  <si>
    <t>"БЕТОН-СТРОЙ"</t>
  </si>
  <si>
    <t>7536180051</t>
  </si>
  <si>
    <t>672014, ЗАБАЙКАЛЬСКИЙ КРАЙ, ГОРОД ЧИТА, ТРАКТ РОМАНОВСКИЙ, ДОМ 38Д, СТРОЕНИЕ 1</t>
  </si>
  <si>
    <t>Зайцев Сергей Александрович</t>
  </si>
  <si>
    <t>52.057226,113.458226</t>
  </si>
  <si>
    <t>ОБЩЕСТВО С ОГРАНИЧЕННОЙ ОТВЕТСТВЕННОСТЬЮ ЗАВОД ЖЕЛЕЗОБЕТОННЫХ ИЗДЕЛИЙ "НОВИН"</t>
  </si>
  <si>
    <t>ЗАВОД ЖЕЛЕЗОБЕТОННЫХ ИЗДЕЛИЙ "НОВИН"</t>
  </si>
  <si>
    <t>7536176739</t>
  </si>
  <si>
    <t>672014, ЗАБАЙКАЛЬСКИЙ КРАЙ, ГОРОД ЧИТА, УЛИЦА ТРАКТОВАЯ, ДОМ 22, СТРОЕНИЕ 1</t>
  </si>
  <si>
    <t>Лопатин Владимир Викторович</t>
  </si>
  <si>
    <t>+7 (302) 223-97-10'</t>
  </si>
  <si>
    <t>52.056185,113.478555</t>
  </si>
  <si>
    <t>ОБЩЕСТВО С ОГРАНИЧЕННОЙ ОТВЕТСТВЕННОСТЬЮ "ШЕВ"</t>
  </si>
  <si>
    <t>"ШЕВ"</t>
  </si>
  <si>
    <t>7536137088</t>
  </si>
  <si>
    <t>672038, ЗАБАЙКАЛЬСКИЙ КРАЙ, Г. ЧИТА, МКР ОКТЯБРЬСКИЙ, Д.5,..</t>
  </si>
  <si>
    <t>Шадрина Екатерина Викторовна</t>
  </si>
  <si>
    <t>52.070271,113.483478</t>
  </si>
  <si>
    <t>ОБЩЕСТВО С ОГРАНИЧЕННОЙ ОТВЕТСТВЕННОСТЬЮ "ПРОГРЕСС"</t>
  </si>
  <si>
    <t>"ПРОГРЕСС"</t>
  </si>
  <si>
    <t>7536124868</t>
  </si>
  <si>
    <t>672049, ЗАБАЙКАЛЬСКИЙ КРАЙ, Г. ЧИТА, УЛ. ФЕДОРА ГЛАДКОВА, Д. 6, ПОМЕЩ. 2</t>
  </si>
  <si>
    <t>Климов Алексей Иванович</t>
  </si>
  <si>
    <t>+7 (914) 474-55-55'</t>
  </si>
  <si>
    <t>52.070597,113.48443</t>
  </si>
  <si>
    <t>ОБЩЕСТВО С ОГРАНИЧЕННОЙ ОТВЕТСТВЕННОСТЬЮ "БЕТОН-М"</t>
  </si>
  <si>
    <t>"БЕТОН-М"</t>
  </si>
  <si>
    <t>7536186310</t>
  </si>
  <si>
    <t>672049, ЗАБАЙКАЛЬСКИЙ КРАЙ, Г. Чита, УЛ. ФЕДОРА ГЛАДКОВА, Д. 8А,..</t>
  </si>
  <si>
    <t>Щелканов Максим Николаевич</t>
  </si>
  <si>
    <t>52.066384,113.491293</t>
  </si>
  <si>
    <t>ОБЩЕСТВО С ОГРАНИЧЕННОЙ ОТВЕТСТВЕННОСТЬЮ "ПРИОРИТЕТ-СТРОЙ"</t>
  </si>
  <si>
    <t>"ПРИОРИТЕТ-СТРОЙ"</t>
  </si>
  <si>
    <t>7536163867</t>
  </si>
  <si>
    <t>672000, ЗАБАЙКАЛЬСКИЙ КРАЙ, Г. ЧИТА, УЛ. ОЛЕНГУЙСКАЯ, ВЛД. 47, ПОМЕЩ. 17</t>
  </si>
  <si>
    <t>Казанцев Алексей Викторович</t>
  </si>
  <si>
    <t>+7 (999) 410-39-26'</t>
  </si>
  <si>
    <t>52.036727,113.494195</t>
  </si>
  <si>
    <t>ОБЩЕСТВО С ОГРАНИЧЕННОЙ ОТВЕТСТВЕННОСТЬЮ "ОЛИМП"</t>
  </si>
  <si>
    <t>"ОЛИМП"</t>
  </si>
  <si>
    <t>7536136060</t>
  </si>
  <si>
    <t>672007, ЗАБАЙКАЛЬСКИЙ КРАЙ, Г. ЧИТА, УЛ. КУРНАТОВСКОГО, Д.19, К.А,..</t>
  </si>
  <si>
    <t>Коротченков Владимир Петрович</t>
  </si>
  <si>
    <t>52.027646,113.506547</t>
  </si>
  <si>
    <t>ОБЩЕСТВО С ОГРАНИЧЕННОЙ ОТВЕТСТВЕННОСТЬЮ "ЗАБАЙКАЛФАСАД"</t>
  </si>
  <si>
    <t>"ЗАБАЙКАЛФАСАД"</t>
  </si>
  <si>
    <t>7536144769</t>
  </si>
  <si>
    <t>672000, ЗАБАЙКАЛЬСКИЙ КРАЙ, Г. ЧИТА, УЛ. АМУРСКАЯ, Д. 52А</t>
  </si>
  <si>
    <t>Сизикова Елена Алиоскяровна</t>
  </si>
  <si>
    <t>52.040599,113.507688</t>
  </si>
  <si>
    <t>ОБЩЕСТВО С ОГРАНИЧЕННОЙ ОТВЕТСТВЕННОСТЬЮ "ПРОФИТ СТРОЙ"</t>
  </si>
  <si>
    <t>"ПРОФИТ СТРОЙ"</t>
  </si>
  <si>
    <t>7536178359</t>
  </si>
  <si>
    <t>672000, ЗАБАЙКАЛЬСКИЙ КРАЙ, ЧИТА Г, УГДАНСКАЯ УЛ, ДОМ 17, ПОМЕЩЕНИЕ 5</t>
  </si>
  <si>
    <t>Башкирова Юлия Владимировна</t>
  </si>
  <si>
    <t>52.046194,113.510994</t>
  </si>
  <si>
    <t>ОБЩЕСТВО С ОГРАНИЧЕННОЙ ОТВЕТСТВЕННОСТЬЮ "ТЕХНОБЕТОН"</t>
  </si>
  <si>
    <t>"ТЕХНОБЕТОН"</t>
  </si>
  <si>
    <t>7500001125</t>
  </si>
  <si>
    <t>672012, Забайкальский край, ГОРОД ЧИТА, Г ЧИТА, УЛ НОВОБУЛЬВАРНАЯ, Д. 30</t>
  </si>
  <si>
    <t>Бахметьев Павел Васильевич</t>
  </si>
  <si>
    <t>BMW121290@ICLOUD.COM'</t>
  </si>
  <si>
    <t>52.033469,113.516671</t>
  </si>
  <si>
    <t>ОБЩЕСТВО С ОГРАНИЧЕННОЙ ОТВЕТСТВЕННОСТЬЮ "ОПОРА"</t>
  </si>
  <si>
    <t>"ОПОРА"</t>
  </si>
  <si>
    <t>7536188974</t>
  </si>
  <si>
    <t>672039, ЗАБАЙКАЛЬСКИЙ КРАЙ, Г. Чита, УЛ. НИКОЛАЯ ОСТРОВСКОГО, Д. 61,..</t>
  </si>
  <si>
    <t>Ермолаева Екатерина Игоревна</t>
  </si>
  <si>
    <t>MIK8887@BK.RU'</t>
  </si>
  <si>
    <t>52.042128,113.51694</t>
  </si>
  <si>
    <t>ОБЩЕСТВО С ОГРАНИЧЕННОЙ ОТВЕТСТВЕННОСТЬЮ "СТРОЙЛЮКС"</t>
  </si>
  <si>
    <t>"СТРОЙЛЮКС"</t>
  </si>
  <si>
    <t>7536091690</t>
  </si>
  <si>
    <t>672027, ЗАБАЙКАЛЬСКИЙ КРАЙ, Г. ЧИТА, УЛ. НАГОРНАЯ, Д. 26, ОФИС 2</t>
  </si>
  <si>
    <t>Грабовский Юрий Евгеньевич</t>
  </si>
  <si>
    <t>+7 (914) 437-99-32'</t>
  </si>
  <si>
    <t>52.155067,113.521558</t>
  </si>
  <si>
    <t>ОБЩЕСТВО С ОГРАНИЧЕННОЙ ОТВЕТСТВЕННОСТЬЮ "ЛЮДМИЛА"</t>
  </si>
  <si>
    <t>"ЛЮДМИЛА"</t>
  </si>
  <si>
    <t>7500004278</t>
  </si>
  <si>
    <t>672512, Забайкальский край, муниципальный район ЧИТИНСКИЙ, Село СМОЛЕНКА, сельское поселение СМОЛЕНСКОЕ, УЛ РОМАНОВСКАЯ, Д. 32</t>
  </si>
  <si>
    <t>Костромина Людмила Николаевна</t>
  </si>
  <si>
    <t>52.009949,113.55979</t>
  </si>
  <si>
    <t>ОБЩЕСТВО С ОГРАНИЧЕННОЙ ОТВЕТСТВЕННОСТЬЮ "СТРОЙКОНСТРУКЦИЯ"</t>
  </si>
  <si>
    <t>"СТРОЙКОНСТРУКЦИЯ"</t>
  </si>
  <si>
    <t>7536112823</t>
  </si>
  <si>
    <t>672015, ЗАБАЙКАЛЬСКИЙ КРАЙ, Г. ЧИТА, ТРАКТ АГИНСКИЙ, Д.25</t>
  </si>
  <si>
    <t>Внебрачных Игорь Валерьевич</t>
  </si>
  <si>
    <t>ОБЩЕСТВО С ОГРАНИЧЕННОЙ ОТВЕТСТВЕННОСТЬЮ "ЛУЧ"</t>
  </si>
  <si>
    <t>"ЛУЧ"</t>
  </si>
  <si>
    <t>7536186448</t>
  </si>
  <si>
    <t>672015, ЗАБАЙКАЛЬСКИЙ КРАЙ, Г. Чита, ТРАКТ АГИНСКИЙ, ВЛД. 25, СТР. 2</t>
  </si>
  <si>
    <t>Дроботушенко Дмитрий Николаевич</t>
  </si>
  <si>
    <t>DDROBOTUSHENKO@MAIL.RU', 'nympho@mail.ru'</t>
  </si>
  <si>
    <t>52.144181,113.599729</t>
  </si>
  <si>
    <t>ОБЩЕСТВО С ОГРАНИЧЕННОЙ ОТВЕТСТВЕННОСТЬЮ "ИНДУСТРИЯ ЖБИ"</t>
  </si>
  <si>
    <t>"ИНДУСТРИЯ ЖБИ"</t>
  </si>
  <si>
    <t>7524188232</t>
  </si>
  <si>
    <t>674650, ЗАБАЙКАЛЬСКИЙ КРАЙ, РАЙОН ЧИТИНСКИЙ, ПОСЕЛОК ЗАБАЙКАЛЬСКИЙ, УЛИЦА СВЕТЛАЯ, ДОМ 33/Б</t>
  </si>
  <si>
    <t>Замешаева Ирина Юрьевна</t>
  </si>
  <si>
    <t>57.85435,114.217474</t>
  </si>
  <si>
    <t>ОБЩЕСТВО С ОГРАНИЧЕННОЙ ОТВЕТСТВЕННОСТЬЮ "Негоциант Строй Сервис"</t>
  </si>
  <si>
    <t>"Негоциант Строй Сервис"</t>
  </si>
  <si>
    <t>3802012782</t>
  </si>
  <si>
    <t>666901, ИРКУТСКАЯ ОБЛАСТЬ, Г. БОДАЙБО, УЛ. ЖЕЛЕЗНОДОРОЖНАЯ, Д.13</t>
  </si>
  <si>
    <t>Михайлова Ольга Валерьевна</t>
  </si>
  <si>
    <t>51.082851,114.469137</t>
  </si>
  <si>
    <t>ОБЩЕСТВО С ОГРАНИЧЕННОЙ ОТВЕТСТВЕННОСТЬЮ "АРАЛ"</t>
  </si>
  <si>
    <t>"АРАЛ"</t>
  </si>
  <si>
    <t>8001013215</t>
  </si>
  <si>
    <t>79-Еврейская автономная область</t>
  </si>
  <si>
    <t>ЧИТИНСКАЯ ОБЛ.,АГИНСКИЙ БУРЯТСКИЙ АВТ. ОКРУГ,АГИНСКИЙ Р-Н,С АМИТХАША,УЛ РЯБИНОВАЯ, Д 2-А</t>
  </si>
  <si>
    <t>Базаров Баир Баторович</t>
  </si>
  <si>
    <t>+7 (924) 270-81-18'</t>
  </si>
  <si>
    <t>51.406598,115.61615</t>
  </si>
  <si>
    <t>ОБЩЕСТВО С ОГРАНИЧЕННОЙ ОТВЕТСТВЕННОСТЬЮ "РЕГИОН"</t>
  </si>
  <si>
    <t>"РЕГИОН"</t>
  </si>
  <si>
    <t>8003040133</t>
  </si>
  <si>
    <t>687440, ЗАБАЙКАЛЬСКИЙ КРАЙ, Р-Н МОГОЙТУЙСКИЙ, С УСТЬ-НАРИН, УЛ. ШКОЛЬНАЯ, Д. 5,..</t>
  </si>
  <si>
    <t>Рыгзынов Геннадий Баторович</t>
  </si>
  <si>
    <t>+7 (924) 470-28-21'</t>
  </si>
  <si>
    <t>admustnarin@mail.ru'</t>
  </si>
  <si>
    <t>51.669294,115.63833</t>
  </si>
  <si>
    <t>ОТКРЫТОЕ АКЦИОНЕРНОЕ ОБЩЕСТВО "ПРЕДПРИЯТИЕ СТРОИТЕЛЬНЫХ МАТЕРИАЛОВ"</t>
  </si>
  <si>
    <t>ОТКРЫТОЕ "ПРЕДПРИЯТИЕ СТРОИТЕЛЬНЫХ МАТЕРИАЛОВ"</t>
  </si>
  <si>
    <t>7527008135</t>
  </si>
  <si>
    <t>ЧИТИНСКАЯ ОБЛ.,ШИЛКИНСКИЙ Р-Н,PП ПЕРВОМАЙСКИЙ,А/Я 85</t>
  </si>
  <si>
    <t>Кудряшов Геннадий Михайлович</t>
  </si>
  <si>
    <t>+7 (914) 447-68-83'</t>
  </si>
  <si>
    <t>51.6831,115.673679</t>
  </si>
  <si>
    <t>ОБЩЕСТВО С ОГРАНИЧЕННОЙ ОТВЕТСТВЕННОСТЬЮ "ПРЕДПРИЯТИЕ СТРОИТЕЛЬНЫХ МАТЕРИАЛОВ"</t>
  </si>
  <si>
    <t>"ПРЕДПРИЯТИЕ СТРОИТЕЛЬНЫХ МАТЕРИАЛОВ"</t>
  </si>
  <si>
    <t>7527009227</t>
  </si>
  <si>
    <t>673390, ЗАБАЙКАЛЬСКИЙ КРАЙ, Р-Н ШИЛКИНСКИЙ, ПГТ ПЕРВОМАЙСКИЙ, УЛ. ПРОМЫШЛЕННАЯ, Д. 6</t>
  </si>
  <si>
    <t>Луговой Михаил Валерьевич</t>
  </si>
  <si>
    <t>la@zolotodelmachik.ru'</t>
  </si>
  <si>
    <t>63.446261,120.324499</t>
  </si>
  <si>
    <t>ОБЩЕСТВО С ОГРАНИЧЕННОЙ ОТВЕТСТВЕННОСТЬЮ "ВВК-ГРУПП"</t>
  </si>
  <si>
    <t>"ВВК-ГРУПП"</t>
  </si>
  <si>
    <t>1407008460</t>
  </si>
  <si>
    <t>14-Республика Саха (Якутия)</t>
  </si>
  <si>
    <t>678230, САХА /ЯКУТИЯ/ РЕСПУБЛИКА, УЛУС ВЕРХНЕВИЛЮЙСКИЙ, СЕЛО ВЕРХНЕВИЛЮЙСК, УЛИЦА ЛЕНИНА, ДОМ 7, ОФИС 2</t>
  </si>
  <si>
    <t>Корякин Евгений Данилович</t>
  </si>
  <si>
    <t>+7 (914) 271-52-85', '+7 (964) 417-77-36'</t>
  </si>
  <si>
    <t>63.744978,121.628296</t>
  </si>
  <si>
    <t>ОБЩЕСТВО С ОГРАНИЧЕННОЙ ОТВЕТСТВЕННОСТЬЮ "ВАРЛАМОВ"</t>
  </si>
  <si>
    <t>"ВАРЛАМОВ"</t>
  </si>
  <si>
    <t>1410005371</t>
  </si>
  <si>
    <t>РЕСПУБЛИКА САХА (ЯКУТИЯ),Г ВИЛЮЙСК,ПЕР ДРУЖБЫ, Д 16,..</t>
  </si>
  <si>
    <t>Варламов Афанасий Афанасьевич</t>
  </si>
  <si>
    <t>+7 (914) 103-55-14'</t>
  </si>
  <si>
    <t>56.656728,124.709006</t>
  </si>
  <si>
    <t>ОБЩЕСТВО С ОГРАНИЧЕННОЙ ОТВЕТСТВЕННОСТЬЮ "ДАЛЬСТРОЙ"</t>
  </si>
  <si>
    <t>"ДАЛЬСТРОЙ"</t>
  </si>
  <si>
    <t>1434044933</t>
  </si>
  <si>
    <t>678967, САХА /ЯКУТИЯ/ РЕСПУБЛИКА, РАЙОН НЕРЮНГРИНСКИЙ, ГОРОД НЕРЮНГРИ, ПРОСПЕКТ ДРУЖБЫ НАРОДОВ, 10, 2, 25</t>
  </si>
  <si>
    <t>Ленц Иван Геннадьевич</t>
  </si>
  <si>
    <t>+7 (924) 465-88-58'</t>
  </si>
  <si>
    <t>56.657979,124.72487</t>
  </si>
  <si>
    <t>ОБЩЕСТВО С ОГРАНИЧЕННОЙ ОТВЕТСТВЕННОСТЬЮ ИННОВАЦИОННАЯ ТЕХНОЛОГИЧЕСКАЯ КОМПАНИЯ "ЦИПОЛИН"</t>
  </si>
  <si>
    <t>ИННОВАЦИОННАЯ ТЕХНОЛОГИЧЕСКАЯ КОМПАНИЯ "ЦИПОЛИН"</t>
  </si>
  <si>
    <t>1434048310</t>
  </si>
  <si>
    <t>678960, САХА /ЯКУТИЯ/ РЕСПУБЛИКА, РАЙОН НЕРЮНГРИНСКИЙ, ГОРОД НЕРЮНГРИ, ПРОСПЕКТ ДРУЖБЫ НАРОДОВ, ДОМ 35,..</t>
  </si>
  <si>
    <t>Шандер Александр Владимирович</t>
  </si>
  <si>
    <t>+7 (914) 240-88-26'</t>
  </si>
  <si>
    <t>56.676414,124.841022</t>
  </si>
  <si>
    <t>ОБЩЕСТВО С ОГРАНИЧЕННОЙ ОТВЕТСТВЕННОСТЬЮ "ТЭГИЛ"</t>
  </si>
  <si>
    <t>"ТЭГИЛ"</t>
  </si>
  <si>
    <t>1435297292</t>
  </si>
  <si>
    <t>РЕСПУБЛИКА САХА (ЯКУТИЯ),Г НЕРЮНГРИ,PП СЕРЕБРЯНЫЙ БОР,СЕРЕБРЯНЫЙ БОР,ДОМ 74,..</t>
  </si>
  <si>
    <t>Лугинов Юрий Иванович</t>
  </si>
  <si>
    <t>62.10629,126.721537</t>
  </si>
  <si>
    <t>ОБЩЕСТВО С ОГРАНИЧЕННОЙ ОТВЕТСТВЕННОСТЬЮ "ГОРНЫЙИНВЕСТ"</t>
  </si>
  <si>
    <t>"ГОРНЫЙИНВЕСТ"</t>
  </si>
  <si>
    <t>1411004300</t>
  </si>
  <si>
    <t>678030, САХА /ЯКУТИЯ/ РЕСПУБЛИКА, УЛУС ГОРНЫЙ, СЕЛО БЕРДИГЕСТЯХ, УЛИЦА ПЕСЧАНАЯ, 1/3</t>
  </si>
  <si>
    <t>Мансурова Мария Константиновна</t>
  </si>
  <si>
    <t>+7 (914) 228-04-11'</t>
  </si>
  <si>
    <t>53.756797,127.276633</t>
  </si>
  <si>
    <t>ОБЩЕСТВО С ОГРАНИЧЕННОЙ ОТВЕТСТВЕННОСТЬЮ "ГОРНОПРОМЫШЛЕННАЯ КОМПАНИЯ "ЮГ"</t>
  </si>
  <si>
    <t>"ГОРНОПРОМЫШЛЕННАЯ КОМПАНИЯ "ЮГ"</t>
  </si>
  <si>
    <t>2815017017</t>
  </si>
  <si>
    <t>28-Амурская область</t>
  </si>
  <si>
    <t>676244, АМУРСКАЯ ОБЛАСТЬ, Г. ЗЕЯ, МКР СВЕТЛЫЙ, Д. 35,..</t>
  </si>
  <si>
    <t>Бараков Николай Иванович</t>
  </si>
  <si>
    <t>63.930645,127.467417</t>
  </si>
  <si>
    <t>ОБЩЕСТВО С ОГРАНИЧЕННОЙ ОТВЕТСТВЕННОСТЬЮ "ГАРАНТСТРОЙ"</t>
  </si>
  <si>
    <t>"ГАРАНТСТРОЙ"</t>
  </si>
  <si>
    <t>1413001819</t>
  </si>
  <si>
    <t>678300, САХА /ЯКУТИЯ/ РЕСП, У. Кобяйский, ПГТ. Сангар, УЛ. П.П.КОЧНЕВА, Д. 13,..</t>
  </si>
  <si>
    <t>Былков Петр Олегович</t>
  </si>
  <si>
    <t>5@MAIL.RU'</t>
  </si>
  <si>
    <t>50.285685,127.496029</t>
  </si>
  <si>
    <t>2801248342</t>
  </si>
  <si>
    <t>675028, АМУРСКАЯ ОБЛ, БЛАГОВЕЩЕНСК Г, СТУДЕНЧЕСКАЯ УЛ, ДОМ 6/1</t>
  </si>
  <si>
    <t>Козловцев Александр Викторович</t>
  </si>
  <si>
    <t>28@mail.ru'</t>
  </si>
  <si>
    <t>50.284033,127.497053</t>
  </si>
  <si>
    <t>ОБЩЕСТВО С ОГРАНИЧЕННОЙ ОТВЕТСТВЕННОСТЬЮ "СТРОЙИНДУСТРИЯ"</t>
  </si>
  <si>
    <t>"СТРОЙИНДУСТРИЯ"</t>
  </si>
  <si>
    <t>2801227960</t>
  </si>
  <si>
    <t>675028, АМУРСКАЯ ОБЛАСТЬ, Г. БЛАГОВЕЩЕНСК, УЛ. БОЛЬНИЧНАЯ, Д. 79/1</t>
  </si>
  <si>
    <t>Филатов Николай Борисович</t>
  </si>
  <si>
    <t>+7 (914) 392-84-00', '+7 (963) 818-85-84'</t>
  </si>
  <si>
    <t>ОБЩЕСТВО С ОГРАНИЧЕННОЙ ОТВЕТСТВЕННОСТЬЮ "СТРОЙИНДУСТРИЯ-ДВ"</t>
  </si>
  <si>
    <t>"СТРОЙИНДУСТРИЯ-ДВ"</t>
  </si>
  <si>
    <t>2801258446</t>
  </si>
  <si>
    <t>675004, АМУРСКАЯ ОБЛАСТЬ, ГОРОД БЛАГОВЕЩЕНСК, УЛИЦА БОЛЬНИЧНАЯ, ДОМ 79, КОРПУС 1</t>
  </si>
  <si>
    <t>Шеламков Валерий Александрович</t>
  </si>
  <si>
    <t>50.283049,127.499065</t>
  </si>
  <si>
    <t>ОБЩЕСТВО С ОГРАНИЧЕННОЙ ОТВЕТСТВЕННОСТЬЮ "ДАЛЬНЕВОСТОЧНАЯ СТРОИТЕЛЬНО-ПРОИЗВОДСТВЕННАЯ КОМПАНИЯ"</t>
  </si>
  <si>
    <t>"ДАЛЬНЕВОСТОЧНАЯ СТРОИТЕЛЬНО-ПРОИЗВОДСТВЕННАЯ КОМПАНИЯ"</t>
  </si>
  <si>
    <t>2801229621</t>
  </si>
  <si>
    <t>675004, АМУРСКАЯ ОБЛАСТЬ, Г. БЛАГОВЕЩЕНСК, УЛ. БОЛЬНИЧНАЯ, Д. 79/1, ЛИТЕР А2А3А5</t>
  </si>
  <si>
    <t>Карлашов Валерий Сергеевич</t>
  </si>
  <si>
    <t>+7 (963) 800-20-17'</t>
  </si>
  <si>
    <t>50.286698,127.500601</t>
  </si>
  <si>
    <t>ОБЩЕСТВО С ОГРАНИЧЕННОЙ ОТВЕТСТВЕННОСТЬЮ "ЗАВОД ЖЕЛЕЗОБЕТОННЫХ ИЗДЕЛИЙ № 17"</t>
  </si>
  <si>
    <t>"ЗАВОД ЖЕЛЕЗОБЕТОННЫХ ИЗДЕЛИЙ № 17"</t>
  </si>
  <si>
    <t>2801222457</t>
  </si>
  <si>
    <t>675000, АМУРСКАЯ ОБЛАСТЬ, ГОРОД БЛАГОВЕЩЕНСК, УЛИЦА ЗАГОРОДНАЯ, ДОМ 171</t>
  </si>
  <si>
    <t>Карапетян Норайр Арсенович</t>
  </si>
  <si>
    <t>+7 (914) 538-20-22'</t>
  </si>
  <si>
    <t>ОБЩЕСТВО С ОГРАНИЧЕННОЙ ОТВЕТСТВЕННОСТЬЮ "ЖЕЛЕЗОБЕТОННЫЕ КОНСТРУКЦИИ № 7"</t>
  </si>
  <si>
    <t>"ЖЕЛЕЗОБЕТОННЫЕ КОНСТРУКЦИИ № 7"</t>
  </si>
  <si>
    <t>2801231532</t>
  </si>
  <si>
    <t>675997, АМУРСКАЯ ОБЛ, БЛАГОВЕЩЕНСК Г, ЗАГОРОДНАЯ УЛ, ДОМ 171, ЭТАЖ 2</t>
  </si>
  <si>
    <t>50.285558,127.504949</t>
  </si>
  <si>
    <t>ОБЩЕСТВО С ОГРАНИЧЕННОЙ ОТВЕТСТВЕННОСТЬЮ "ОПОРА-Н"</t>
  </si>
  <si>
    <t>"ОПОРА-Н"</t>
  </si>
  <si>
    <t>2801264168</t>
  </si>
  <si>
    <t>675004, АМУРСКАЯ ОБЛ., Г. Благовещенск, УЛ. ЗАГОРОДНАЯ, Д. 157, ОФИС 1</t>
  </si>
  <si>
    <t>Негрозов Иван Владимирович</t>
  </si>
  <si>
    <t>N@YANDEX.RU'</t>
  </si>
  <si>
    <t>50.268749,127.516178</t>
  </si>
  <si>
    <t>ОБЩЕСТВО С ОГРАНИЧЕННОЙ ОТВЕТСТВЕННОСТЬЮ "КБ-ВОСТОК"</t>
  </si>
  <si>
    <t>"КБ-ВОСТОК"</t>
  </si>
  <si>
    <t>2801267923</t>
  </si>
  <si>
    <t>675011, Амурская область, ГОРОД БЛАГОВЕЩЕНСК, Г БЛАГОВЕЩЕНСК, УЛ КОМСОМОЛЬСКАЯ, Д. 48</t>
  </si>
  <si>
    <t>Кондратьев Владимир Викторович</t>
  </si>
  <si>
    <t>KBVOSTOK@BK.RU'</t>
  </si>
  <si>
    <t>50.288931,127.517912</t>
  </si>
  <si>
    <t>ОБЩЕСТВО С ОГРАНИЧЕННОЙ ОТВЕТСТВЕННОСТЬЮ "ДВК"</t>
  </si>
  <si>
    <t>"ДВК"</t>
  </si>
  <si>
    <t>2801265806</t>
  </si>
  <si>
    <t>675028, Амурская область, городской округ ГОРОД БЛАГОВЕЩЕНСК, Город БЛАГОВЕЩЕНСК, Ш ИГНАТЬЕВСКОЕ, Д. 8,</t>
  </si>
  <si>
    <t>Евдокимова Елена Викторовна</t>
  </si>
  <si>
    <t>DVKIRPICH@MAIL.RU'</t>
  </si>
  <si>
    <t>50.277828,127.519906</t>
  </si>
  <si>
    <t>ОБЩЕСТВО С ОГРАНИЧЕННОЙ ОТВЕТСТВЕННОСТЬЮ "РАДУГА"</t>
  </si>
  <si>
    <t>"РАДУГА"</t>
  </si>
  <si>
    <t>2801203856</t>
  </si>
  <si>
    <t>675000, Амурская область, г Благовещенск, ул. Забурхановская, д. 96</t>
  </si>
  <si>
    <t>Волошин Вячеслав Александрович</t>
  </si>
  <si>
    <t>+7 (914) 550-94-34'</t>
  </si>
  <si>
    <t>50.28119,127.528422</t>
  </si>
  <si>
    <t>ОБЩЕСТВО С ОГРАНИЧЕННОЙ ОТВЕТСТВЕННОСТЬЮ  "ФОРМОВОЧНЫЙ ЗАВОД"</t>
  </si>
  <si>
    <t xml:space="preserve"> "ФОРМОВОЧНЫЙ ЗАВОД"</t>
  </si>
  <si>
    <t>2801152866</t>
  </si>
  <si>
    <t>675016, АМУРСКАЯ ОБЛАСТЬ, ГОРОД БЛАГОВЕЩЕНСК, УЛИЦА Б.ХМЕЛЬНИЦКОГО, 101</t>
  </si>
  <si>
    <t>Федотова Лариса Николаевна</t>
  </si>
  <si>
    <t>50.257456,127.534611</t>
  </si>
  <si>
    <t>ОБЩЕСТВО С ОГРАНИЧЕННОЙ ОТВЕТСТВЕННОСТЬЮ "БЛАГОВЕЩЕНСКИЙ ГБЗ"</t>
  </si>
  <si>
    <t>"БЛАГОВЕЩЕНСКИЙ ГБЗ"</t>
  </si>
  <si>
    <t>2801247540</t>
  </si>
  <si>
    <t>675007, АМУРСКАЯ ОБЛАСТЬ, ГОРОД БЛАГОВЕЩЕНСК, СЕВЕРО-ЗАПАДНЫЙ ПРОМЫШЛЕННЫЙ УЗЕЛ, ДОМ ЛИТЕР А</t>
  </si>
  <si>
    <t>Монахов Евгений Владимирович</t>
  </si>
  <si>
    <t>50.304519,127.541708</t>
  </si>
  <si>
    <t>ОБЩЕСТВО С ОГРАНИЧЕННОЙ ОТВЕТСТВЕННОСТЬЮ "АМУРСКИЙ ЗАВОД ЖЕЛЕЗОБЕТОННЫХ КОНСТРУКЦИИ + "</t>
  </si>
  <si>
    <t>"АМУРСКИЙ ЗАВОД ЖЕЛЕЗОБЕТОННЫХ КОНСТРУКЦИИ + "</t>
  </si>
  <si>
    <t>2801137875</t>
  </si>
  <si>
    <t>675014, АМУРСКАЯ ОБЛАСТЬ, Г. БЛАГОВЕЩЕНСК, УЛ. КОЛЬЦЕВАЯ, Д. 47, КАБИНЕТ 203</t>
  </si>
  <si>
    <t>Даки Александру</t>
  </si>
  <si>
    <t>ОБЩЕСТВО С ОГРАНИЧЕННОЙ ОТВЕТСТВЕННОСТЬЮ  "АМУРСКИЙ ЗАВОД ЖЕЛЕЗОБЕТОННЫХ КОНСТРУКЦИЙ - ПАРТНЕР"</t>
  </si>
  <si>
    <t xml:space="preserve"> "АМУРСКИЙ ЗАВОД ЖЕЛЕЗОБЕТОННЫХ КОНСТРУКЦИЙ - ПАРТНЕР"</t>
  </si>
  <si>
    <t>2801137882</t>
  </si>
  <si>
    <t>675000, АМУРСКАЯ ОБЛ, БЛАГОВЕЩЕНСК Г, КОЛЬЦЕВАЯ УЛ, ДОМ 47, КАБИНЕТ 301</t>
  </si>
  <si>
    <t>ОБЩЕСТВО С ОГРАНИЧЕННОЙ ОТВЕТСТВЕННОСТЬЮ "АМУРСКИЙ ЗАВОД ЖЕЛЕЗОБЕТОННЫХ КОНСТРУКЦИЙ"</t>
  </si>
  <si>
    <t>"АМУРСКИЙ ЗАВОД ЖЕЛЕЗОБЕТОННЫХ КОНСТРУКЦИЙ"</t>
  </si>
  <si>
    <t>2801216735</t>
  </si>
  <si>
    <t>675014, АМУРСКАЯ ОБЛАСТЬ, ГОРОД БЛАГОВЕЩЕНСК, УЛИЦА КОЛЬЦЕВАЯ, ДОМ 47, КАБИНЕТ 206</t>
  </si>
  <si>
    <t>Панкратова Анна Степановна</t>
  </si>
  <si>
    <t>50.286013,127.544619</t>
  </si>
  <si>
    <t>ОБЩЕСТВО С ОГРАНИЧЕННОЙ ОТВЕТСТВЕННОСТЬЮ "СТРОЙ-БЕТОН"</t>
  </si>
  <si>
    <t>"СТРОЙ-БЕТОН"</t>
  </si>
  <si>
    <t>2801266817</t>
  </si>
  <si>
    <t>675016, АМУРСКАЯ ОБЛ., Г. Благовещенск, УЛ. ТОПОЛИНАЯ, Д. 51/1,..</t>
  </si>
  <si>
    <t>Песков Виталий Евгеньевич</t>
  </si>
  <si>
    <t>BETON28@MAIL.RU'</t>
  </si>
  <si>
    <t>50.271599,127.552425</t>
  </si>
  <si>
    <t>ОБЩЕСТВО С ОГРАНИЧЕННОЙ ОТВЕТСТВЕННОСТЬЮ "ПК ОПТИМА С"</t>
  </si>
  <si>
    <t>"ПК ОПТИМА С"</t>
  </si>
  <si>
    <t>2801248913</t>
  </si>
  <si>
    <t>675005, АМУРСКАЯ ОБЛАСТЬ, ГОРОД БЛАГОВЕЩЕНСК, УЛИЦА СЕВЕРНАЯ, ДОМ 78</t>
  </si>
  <si>
    <t>Сапрыкин Николай Владимирович</t>
  </si>
  <si>
    <t>ОБЩЕСТВО С ОГРАНИЧЕННОЙ ОТВЕТСТВЕННОСТЬЮ "СНВ"</t>
  </si>
  <si>
    <t>"СНВ"</t>
  </si>
  <si>
    <t>2801257080</t>
  </si>
  <si>
    <t>50.295371,127.552488</t>
  </si>
  <si>
    <t>ОБЩЕСТВО С ОГРАНИЧЕННОЙ ОТВЕТСТВЕННОСТЬЮ "ЖБИ Монолит"</t>
  </si>
  <si>
    <t>"ЖБИ Монолит"</t>
  </si>
  <si>
    <t>2801183085</t>
  </si>
  <si>
    <t>675000, АМУРСКАЯ ОБЛАСТЬ, ГОРОД БЛАГОВЕЩЕНСК, УЛИЦА ТЕКСТИЛЬНАЯ, 48</t>
  </si>
  <si>
    <t>Соколов Дмитрий Львович</t>
  </si>
  <si>
    <t>amur@mail.ru'</t>
  </si>
  <si>
    <t>50.289213,127.558066</t>
  </si>
  <si>
    <t>ОБЩЕСТВО С ОГРАНИЧЕННОЙ ОТВЕТСТВЕННОСТЬЮ "РАССАН-АМУР"</t>
  </si>
  <si>
    <t>"РАССАН-АМУР"</t>
  </si>
  <si>
    <t>2801198099</t>
  </si>
  <si>
    <t>675000, АМУРСКАЯ ОБЛАСТЬ, Г. БЛАГОВЕЩЕНСК, УЛ. МОСТОВАЯ, Д.31</t>
  </si>
  <si>
    <t>Воронцов Алексей Константинович</t>
  </si>
  <si>
    <t>+7 (924) 345-77-70'</t>
  </si>
  <si>
    <t>50.288355,127.564732</t>
  </si>
  <si>
    <t>ОБЩЕСТВО С ОГРАНИЧЕННОЙ ОТВЕТСТВЕННОСТЬЮ "ТСК"ВОСТОК БЛОК СТРОЙ"</t>
  </si>
  <si>
    <t>"ТСК"ВОСТОК БЛОК СТРОЙ"</t>
  </si>
  <si>
    <t>2801249138</t>
  </si>
  <si>
    <t>675003, АМУРСКАЯ ОБЛ, БЛАГОВЕЩЕНСК Г, ЧАЙКОВСКОГО УЛ, ДОМ 171, ПОМЕЩЕНИЕ 3</t>
  </si>
  <si>
    <t>Закоморный Алексей Витальевич</t>
  </si>
  <si>
    <t>50.286191,127.564992</t>
  </si>
  <si>
    <t>ОБЩЕСТВО С ОГРАНИЧЕННОЙ ОТВЕТСТВЕННОСТЬЮ "ВОСТОК БЛОК СТРОЙ"</t>
  </si>
  <si>
    <t>"ВОСТОК БЛОК СТРОЙ"</t>
  </si>
  <si>
    <t>2801229999</t>
  </si>
  <si>
    <t>675000, АМУРСКАЯ ОБЛАСТЬ, Г. БЛАГОВЕЩЕНСК, УЛ. ЧАЙКОВСКОГО, Д. 171, К. 2</t>
  </si>
  <si>
    <t>+7 (924) 678-07-29'</t>
  </si>
  <si>
    <t>50.340683,127.587594</t>
  </si>
  <si>
    <t>ОБЩЕСТВО С ОГРАНИЧЕННОЙ ОТВЕТСТВЕННОСТЬЮ "БЕЛОГОРСКИЙ ЗАВОД ЖБИ"</t>
  </si>
  <si>
    <t>"БЕЛОГОРСКИЙ ЗАВОД ЖБИ"</t>
  </si>
  <si>
    <t>2801230000</t>
  </si>
  <si>
    <t>675000, АМУРСКАЯ ОБЛ, БЛАГОВЕЩЕНСК Г, ПОГРАНИЧНАЯ УЛ, ДОМ 183, ОФИС 1</t>
  </si>
  <si>
    <t>Плахотнюк Сергей Иванович</t>
  </si>
  <si>
    <t>+7 (909) 883-10-58'</t>
  </si>
  <si>
    <t>50.346288,127.590639</t>
  </si>
  <si>
    <t>ОБЩЕСТВО С ОГРАНИЧЕННОЙ ОТВЕТСТВЕННОСТЬЮ "АМУРПУЛ"</t>
  </si>
  <si>
    <t>"АМУРПУЛ"</t>
  </si>
  <si>
    <t>2801005639</t>
  </si>
  <si>
    <t>Г БЛАГОВЕЩЕНСК,УЛ ПОГРАНИЧНАЯ, Д 187</t>
  </si>
  <si>
    <t>Широков Эдуард Фёдорович</t>
  </si>
  <si>
    <t>AMURPUL@AMUR.RU'</t>
  </si>
  <si>
    <t>50.34266,127.59337</t>
  </si>
  <si>
    <t>ОБЩЕСТВО С ОГРАНИЧЕННОЙ ОТВЕТСТВЕННОСТЬЮ "АНК ЗАВОД ЖЕЛЕЗОБЕТОННЫХ ИЗДЕЛИЙ"</t>
  </si>
  <si>
    <t>"АНК ЗАВОД ЖЕЛЕЗОБЕТОННЫХ ИЗДЕЛИЙ"</t>
  </si>
  <si>
    <t>2801090401</t>
  </si>
  <si>
    <t>Г БЛАГОВЕЩЕНСК,УЛ ПОГРАНИЧНАЯ, Д 138</t>
  </si>
  <si>
    <t>Белькевич Виталий Владимирович</t>
  </si>
  <si>
    <t>ОБЩЕСТВО С ОГРАНИЧЕННОЙ ОТВЕТСТВЕННОСТЬЮ "БЛАГОВЕЩЕНСКИЙ КОМБИНАТ ЖЕЛЕЗОБЕТОННЫХ ИЗДЕЛИЙ"</t>
  </si>
  <si>
    <t>"БЛАГОВЕЩЕНСКИЙ КОМБИНАТ ЖЕЛЕЗОБЕТОННЫХ ИЗДЕЛИЙ"</t>
  </si>
  <si>
    <t>2801215080</t>
  </si>
  <si>
    <t>675020, АМУРСКАЯ ОБЛАСТЬ, Г. БЛАГОВЕЩЕНСК, УЛ. ПОГРАНИЧНАЯ, Д. 138</t>
  </si>
  <si>
    <t>Чернова Наталья Витальевна</t>
  </si>
  <si>
    <t>+7 (924) 341-08-88'</t>
  </si>
  <si>
    <t>bk771073@yandex.ru'</t>
  </si>
  <si>
    <t>50.494854,127.652318</t>
  </si>
  <si>
    <t>ОБЩЕСТВО С ОГРАНИЧЕННОЙ ОТВЕТСТВЕННОСТЬЮ "Благовещенский завод строительных материалов"</t>
  </si>
  <si>
    <t>"Благовещенский завод строительных материалов"</t>
  </si>
  <si>
    <t>2801151781</t>
  </si>
  <si>
    <t>675901, АМУРСКАЯ ОБЛАСТЬ, Г. БЛАГОВЕЩЕНСК, С БЕЛОГОРЬЕ, УЛ. ЗАВОДСКАЯ, Д.10</t>
  </si>
  <si>
    <t>Мальцев Аркадий Викторович</t>
  </si>
  <si>
    <t>+7 (962) 285-35-51'</t>
  </si>
  <si>
    <t>50.096632,128.061536</t>
  </si>
  <si>
    <t>ОБЩЕСТВО С ОГРАНИЧЕННОЙ ОТВЕТСТВЕННОСТЬЮ "АмурЖБИ"</t>
  </si>
  <si>
    <t>"АмурЖБИ"</t>
  </si>
  <si>
    <t>2801165030</t>
  </si>
  <si>
    <t>676950, АМУРСКАЯ ОБЛАСТЬ, Р-Н ТАМБОВСКИЙ, С ТАМБОВКА, УЛ. 50 ЛЕТ ОКТЯБРЯ, Д.21, К.А, ОФИС 6</t>
  </si>
  <si>
    <t>Сюе Чани</t>
  </si>
  <si>
    <t>+7 (914) 538-88-11'</t>
  </si>
  <si>
    <t>51.375889,128.134156</t>
  </si>
  <si>
    <t>ОБЩЕСТВО С ОГРАНИЧЕННОЙ ОТВЕТСТВЕННОСТЬЮ "ЗАВОД ЖЕЛЕЗОБЕТОННЫХ ИЗДЕЛИЙ-СВОБОДНЫЙ"</t>
  </si>
  <si>
    <t>"ЗАВОД ЖЕЛЕЗОБЕТОННЫХ ИЗДЕЛИЙ-СВОБОДНЫЙ"</t>
  </si>
  <si>
    <t>2807008770</t>
  </si>
  <si>
    <t>676401, АМУРСКАЯ ОБЛ., Г. Свободный, ТЕР. ТОСЭР СВОБОДНЫЙ</t>
  </si>
  <si>
    <t>Гаридов Дмитрий Анатольевич</t>
  </si>
  <si>
    <t>50.910026,128.494506</t>
  </si>
  <si>
    <t>ОБЩЕСТВО С ОГРАНИЧЕННОЙ ОТВЕТСТВЕННОСТЬЮ "РЕГИОН-СТРОЙ"</t>
  </si>
  <si>
    <t>"РЕГИОН-СТРОЙ"</t>
  </si>
  <si>
    <t>2804020667</t>
  </si>
  <si>
    <t>676852, Амурская область, ГОРОД БЕЛОГОРСК, Г БЕЛОГОРСК, УЛ 50 ЛЕТ КОМСОМОЛА, Д. 33А</t>
  </si>
  <si>
    <t>Сиволонский Владислав Борисович</t>
  </si>
  <si>
    <t>28@MAIL.RU'</t>
  </si>
  <si>
    <t>61.398834,128.945416</t>
  </si>
  <si>
    <t>ОБЩЕСТВО С ОГРАНИЧЕННОЙ ОТВЕТСТВЕННОСТЬЮ "ДЕЛЬТА СТРОЙ"</t>
  </si>
  <si>
    <t>"ДЕЛЬТА СТРОЙ"</t>
  </si>
  <si>
    <t>1431011464</t>
  </si>
  <si>
    <t>678020, САХА /ЯКУТИЯ/ РЕСПУБЛИКА, У. ХАНГАЛАССКИЙ, П МОХСОГОЛЛОХ, УЛ. СОВЕТСКАЯ, Д. 1</t>
  </si>
  <si>
    <t>Гребнев Сергей Геннадьевич</t>
  </si>
  <si>
    <t>+7 (924) 767-77-77'</t>
  </si>
  <si>
    <t>61.399859,128.952261</t>
  </si>
  <si>
    <t>ОБЩЕСТВО С ОГРАНИЧЕННОЙ ОТВЕТСТВЕННОСТЬЮ "НИКОЛЬ"</t>
  </si>
  <si>
    <t>"НИКОЛЬ"</t>
  </si>
  <si>
    <t>1431013091</t>
  </si>
  <si>
    <t>678020, САХА /ЯКУТИЯ/ РЕСПУБЛИКА, УЛУС ХАНГАЛАССКИЙ, ПОСЕЛОК МОХСОГОЛЛОХ, УЛИЦА ЗАВОДСКАЯ, ДОМ 32</t>
  </si>
  <si>
    <t>Кючук Керим</t>
  </si>
  <si>
    <t>+7 (987) 390-69-76', '+7 (924) 368-56-99'</t>
  </si>
  <si>
    <t>ОБЩЕСТВО С ОГРАНИЧЕННОЙ ОТВЕТСТВЕННОСТЬЮ "ИНВЕСТСТРОЙКОМ"</t>
  </si>
  <si>
    <t>"ИНВЕСТСТРОЙКОМ"</t>
  </si>
  <si>
    <t>1431013341</t>
  </si>
  <si>
    <t>Сарач Али</t>
  </si>
  <si>
    <t>+7 (924) 368-56-99'</t>
  </si>
  <si>
    <t>ОБЩЕСТВО С ОГРАНИЧЕННОЙ ОТВЕТСТВЕННОСТЬЮ "СОКОЛ+"</t>
  </si>
  <si>
    <t>"СОКОЛ+"</t>
  </si>
  <si>
    <t>1431013373</t>
  </si>
  <si>
    <t>678020, САХА /ЯКУТИЯ/ РЕСПУБЛИКА, УЛУС ХАНГАЛАССКИЙ, ПОСЕЛОК МОХСОГОЛЛОХ, УЛИЦА ЗАВОДСКАЯ, ДОМ 30, ОФИС 1.1</t>
  </si>
  <si>
    <t>Рожин Андрей Александрович</t>
  </si>
  <si>
    <t>+7 (924) 175-65-61'</t>
  </si>
  <si>
    <t>62.032634,129.641116</t>
  </si>
  <si>
    <t>ОБЩЕСТВО С ОГРАНИЧЕННОЙ ОТВЕТСТВЕННОСТЬЮ "ЯКУТСКИЙ ГАЗОБЕТОННЫЙ ЗАВОД"</t>
  </si>
  <si>
    <t>"ЯКУТСКИЙ ГАЗОБЕТОННЫЙ ЗАВОД"</t>
  </si>
  <si>
    <t>1400007796</t>
  </si>
  <si>
    <t>677013, Республика Саха (Якутия), ГОРОД ЯКУТСК, Г ЯКУТСК, УЛ БИЛИБИНА, Д. 4/8</t>
  </si>
  <si>
    <t>Захаров Виталий Афанасьевич</t>
  </si>
  <si>
    <t>GAZOBETON_YKT@MAIL.RU'</t>
  </si>
  <si>
    <t>61.974233,129.641888</t>
  </si>
  <si>
    <t>ОБЩЕСТВО С ОГРАНИЧЕННОЙ ОТВЕТСТВЕННОСТЬЮ "БМ"</t>
  </si>
  <si>
    <t>"БМ"</t>
  </si>
  <si>
    <t>1435332839</t>
  </si>
  <si>
    <t>677007, САХА /ЯКУТИЯ/ РЕСПУБЛИКА, ГОРОД ЯКУТСК, УЛИЦА Н.КОНДАКОВА, ДОМ 14/3</t>
  </si>
  <si>
    <t>Сергеева Зульхия Гумаровна</t>
  </si>
  <si>
    <t>62.028056,129.647629</t>
  </si>
  <si>
    <t>ОБЩЕСТВО С ОГРАНИЧЕННОЙ ОТВЕТСТВЕННОСТЬЮ "ОРКОН"</t>
  </si>
  <si>
    <t>"ОРКОН"</t>
  </si>
  <si>
    <t>1435281711</t>
  </si>
  <si>
    <t>677013, САХА /ЯКУТИЯ/ РЕСП., Г. Якутск, УЛ. БИЛИБИНА, Д. 34,..</t>
  </si>
  <si>
    <t>Свиридов Анатолий Николаевич</t>
  </si>
  <si>
    <t>ksu_buh89@mail.ru'</t>
  </si>
  <si>
    <t>62.03182,129.656729</t>
  </si>
  <si>
    <t>ОБЩЕСТВО С ОГРАНИЧЕННОЙ ОТВЕТСТВЕННОСТЬЮ "СТРОЙ-ИНВЕСТ-КАПИТАЛ"</t>
  </si>
  <si>
    <t>"СТРОЙ-ИНВЕСТ-КАПИТАЛ"</t>
  </si>
  <si>
    <t>1435293509</t>
  </si>
  <si>
    <t>677008, Республика Саха (Якутия), г Якутск, УЛ БИЛИБИНА, д 2, корп 6</t>
  </si>
  <si>
    <t>Литвинцева Ольга Станиславовна</t>
  </si>
  <si>
    <t>+7 (411) 245-10-94', '+7 (924) 169-74-90', '+7 (914) 270-08-98'</t>
  </si>
  <si>
    <t>ooo_stinka@mail.ru', 'surovetskaya@mail.ru'</t>
  </si>
  <si>
    <t>62.045457,129.667032</t>
  </si>
  <si>
    <t>ОБЩЕСТВО С ОГРАНИЧЕННОЙ ОТВЕТСТВЕННОСТЬЮ "ВИЛЮЙСТРОЙГРУПП"</t>
  </si>
  <si>
    <t>"ВИЛЮЙСТРОЙГРУПП"</t>
  </si>
  <si>
    <t>1435310578</t>
  </si>
  <si>
    <t>677008, САХА /ЯКУТИЯ/ РЕСПУБЛИКА, ГОРОД ЯКУТСК, ПЕРЕУЛОК БАЗОВЫЙ, ДОМ 8</t>
  </si>
  <si>
    <t>Алексеев Владимир Владимирович</t>
  </si>
  <si>
    <t>+7 (914) 271-07-14', '+7 (924) 167-87-53'</t>
  </si>
  <si>
    <t>49.742924,129.676033</t>
  </si>
  <si>
    <t>ЗАКРЫТОЕ АКЦИОНЕРНОЕ ОБЩЕСТВО "Завод железобетонных изделий №13"</t>
  </si>
  <si>
    <t>ЗАКРЫТОЕ "Завод железобетонных изделий №13"</t>
  </si>
  <si>
    <t>2801142272</t>
  </si>
  <si>
    <t>676790, АМУРСКАЯ ОБЛАСТЬ, ГОРОД РАЙЧИХИНСК, ПОСЕЛОК ГОРОДСКОГО ТИПА ПРОГРЕСС, 1</t>
  </si>
  <si>
    <t>Вицинский Сергей Николаевич</t>
  </si>
  <si>
    <t>62.004691,129.67703</t>
  </si>
  <si>
    <t>ОБЩЕСТВО С ОГРАНИЧЕННОЙ ОТВЕТСТВЕННОСТЬЮ "РУСТАР"</t>
  </si>
  <si>
    <t>"РУСТАР"</t>
  </si>
  <si>
    <t>1435282916</t>
  </si>
  <si>
    <t>677008, САХА /ЯКУТИЯ/ РЕСПУБЛИКА, ГОРОД ЯКУТСК, ШОССЕ СЕРГЕЛЯХСКОЕ 4 КМ, 29, 9</t>
  </si>
  <si>
    <t>Федоров Степан Валентинович</t>
  </si>
  <si>
    <t>+7 (914) 224-41-78', '+7 (924) 266-99-37'</t>
  </si>
  <si>
    <t>rustar2015@mail.ru', 'ykt@mail.ru'</t>
  </si>
  <si>
    <t>62.014614,129.679887</t>
  </si>
  <si>
    <t>ОБЩЕСТВО С ОГРАНИЧЕННОЙ ОТВЕТСТВЕННОСТЬЮ "Сахагазосиликатстрой"</t>
  </si>
  <si>
    <t>"Сахагазосиликатстрой"</t>
  </si>
  <si>
    <t>1435256352</t>
  </si>
  <si>
    <t>677010, САХА /ЯКУТИЯ/ РЕСПУБЛИКА, ГОРОД ЯКУТСК, УЛИЦА ЯКОВА ПОТАПОВА, 5, 1, 5</t>
  </si>
  <si>
    <t>Сивцева Лина Владимировна</t>
  </si>
  <si>
    <t>+7 (914) 225-21-24', '+7 (924) 765-08-45'</t>
  </si>
  <si>
    <t>62.692154,129.685205</t>
  </si>
  <si>
    <t>ОБЩЕСТВО С ОГРАНИЧЕННОЙ ОТВЕТСТВЕННОСТЬЮ "ИНЖЕНЕРНО-ТЕХНИЧЕСКОЕ СОПРОВОЖДЕНИЕ"</t>
  </si>
  <si>
    <t>"ИНЖЕНЕРНО-ТЕХНИЧЕСКОЕ СОПРОВОЖДЕНИЕ"</t>
  </si>
  <si>
    <t>1417010927</t>
  </si>
  <si>
    <t>678380, САХА /ЯКУТИЯ/ РЕСП., У. Намский, С. Намцы, УЛ. Н.РЫКУНОВА, Д. 18</t>
  </si>
  <si>
    <t>Протопопова Ольга Николаевна</t>
  </si>
  <si>
    <t>ONPROTOPOPOVA@MAIL.RU'</t>
  </si>
  <si>
    <t>62.003002,129.701015</t>
  </si>
  <si>
    <t>ОБЩЕСТВО С ОГРАНИЧЕННОЙ ОТВЕТСТВЕННОСТЬЮ "АВТОСНАБ"</t>
  </si>
  <si>
    <t>"АВТОСНАБ"</t>
  </si>
  <si>
    <t>1435303813</t>
  </si>
  <si>
    <t>677007, САХА /ЯКУТИЯ/ РЕСПУБЛИКА, ГОРОД ЯКУТСК, УЛИЦА АВТОДОРОЖНАЯ, ДОМ 13/1Ж</t>
  </si>
  <si>
    <t>Куликов Николай Владимирович</t>
  </si>
  <si>
    <t>+7 (964) 423-99-88', '+7 (914) 827-06-39', '+7 (914) 270-40-07', '+7 (411) 235-82-28'</t>
  </si>
  <si>
    <t>ykt@mail.ru', 'serwis@yandex.ru'</t>
  </si>
  <si>
    <t>62.059527,129.704402</t>
  </si>
  <si>
    <t>ОБЩЕСТВО С ОГРАНИЧЕННОЙ ОТВЕТСТВЕННОСТЬЮ "СТРОИТЕЛЬНО-МОНТАЖНАЯ ФИРМА "СПЕКТР"</t>
  </si>
  <si>
    <t>"СТРОИТЕЛЬНО-МОНТАЖНАЯ ФИРМА "СПЕКТР"</t>
  </si>
  <si>
    <t>1435136866</t>
  </si>
  <si>
    <t>Г ЯКУТСК,УЛ КОСМОНАВТОВ, Д 20, КОРП 1</t>
  </si>
  <si>
    <t>Березкина Мария Михайловна</t>
  </si>
  <si>
    <t>+7 (914) 827-14-59'</t>
  </si>
  <si>
    <t>62.023655,129.707789</t>
  </si>
  <si>
    <t>Общество с ограниченной ответственностью"МедиаСтрой-ХХ1век"</t>
  </si>
  <si>
    <t>"МедиаСтрой-ХХ1век"</t>
  </si>
  <si>
    <t>1435127220</t>
  </si>
  <si>
    <t>Г ЯКУТСК,УЛ ОЙУНСКОГО, Д 20, КОРП 1,..</t>
  </si>
  <si>
    <t>Глактионова Светлана Юрьевна</t>
  </si>
  <si>
    <t>62.023874,129.7091</t>
  </si>
  <si>
    <t>ОБЩЕСТВО С ОГРАНИЧЕННОЙ ОТВЕТСТВЕННОСТЬЮ "ПРОИЗВОДСТВЕННОЕ ОБЪЕДИНЕНИЕ СК-15"</t>
  </si>
  <si>
    <t>"ПРОИЗВОДСТВЕННОЕ ОБЪЕДИНЕНИЕ СК-15"</t>
  </si>
  <si>
    <t>1435318457</t>
  </si>
  <si>
    <t>677016, САХА /ЯКУТИЯ/ РЕСПУБЛИКА, ГОРОД ЯКУТСК, УЛИЦА ОЙУНСКОГО, ДОМ 16,..</t>
  </si>
  <si>
    <t>Калининский Геннадий Гаврильевич</t>
  </si>
  <si>
    <t>+7 (914) 102-46-49'</t>
  </si>
  <si>
    <t>62.021781,129.710547</t>
  </si>
  <si>
    <t>ОБЩЕСТВО С ОГРАНИЧЕННОЙ ОТВЕТСТВЕННОСТЬЮ "ТИМС"</t>
  </si>
  <si>
    <t>"ТИМС"</t>
  </si>
  <si>
    <t>1435278701</t>
  </si>
  <si>
    <t>Г ЯКУТСК,УЛ БЕЛИНСКОГО, Д 58,..</t>
  </si>
  <si>
    <t>Ханин Михаил Александрович</t>
  </si>
  <si>
    <t>+7 (924) 567-81-11'</t>
  </si>
  <si>
    <t>62.002326,129.710601</t>
  </si>
  <si>
    <t>ОБЩЕСТВО С ОГРАНИЧЕННОЙ ОТВЕТСТВЕННОСТЬЮ "МНОГОПРОФИЛЬНАЯ КОМПАНИЯ "КЛЮЧ"</t>
  </si>
  <si>
    <t>"МНОГОПРОФИЛЬНАЯ КОМПАНИЯ "КЛЮЧ"</t>
  </si>
  <si>
    <t>1435335540</t>
  </si>
  <si>
    <t>677007, САХА /ЯКУТИЯ/ РЕСПУБЛИКА, ГОРОД ЯКУТСК, УЛИЦА КРУПСКОЙ, ДОМ 24, КОРПУС 3</t>
  </si>
  <si>
    <t>Ковалик Алевтина Сергеевна</t>
  </si>
  <si>
    <t>katkristina@mail.ru'</t>
  </si>
  <si>
    <t>62.032913,129.714589</t>
  </si>
  <si>
    <t>ОБЩЕСТВО С ОГРАНИЧЕННОЙ ОТВЕТСТВЕННОСТЬЮ "ЮДМ"</t>
  </si>
  <si>
    <t>"ЮДМ"</t>
  </si>
  <si>
    <t>1435336382</t>
  </si>
  <si>
    <t>677027, САХА /ЯКУТИЯ/ РЕСПУБЛИКА, Г. ЯКУТСК, УЛ. ЛЕРМОНТОВА, Д. 65,..</t>
  </si>
  <si>
    <t>Голобокова Татьяна Александровна</t>
  </si>
  <si>
    <t>62.025697,129.717455</t>
  </si>
  <si>
    <t>ОБЩЕСТВО С ОГРАНИЧЕННОЙ ОТВЕТСТВЕННОСТЬЮ "СИРИУС"</t>
  </si>
  <si>
    <t>"СИРИУС"</t>
  </si>
  <si>
    <t>1435184563</t>
  </si>
  <si>
    <t>Г ЯКУТСК,УЛ ПЕТРОВСКОГО, Д 10, КОРП 5,..</t>
  </si>
  <si>
    <t>Андон Наталья Сергеевна</t>
  </si>
  <si>
    <t>+7 (914) 266-22-32'</t>
  </si>
  <si>
    <t>62.032238,129.718263</t>
  </si>
  <si>
    <t>ОБЩЕСТВО С ОГРАНИЧЕННОЙ ОТВЕТСТВЕННОСТЬЮ "ПРОМСТРОЙМАТЕРИАЛЫ"</t>
  </si>
  <si>
    <t>"ПРОМСТРОЙМАТЕРИАЛЫ"</t>
  </si>
  <si>
    <t>1435327726</t>
  </si>
  <si>
    <t>677027, САХА /ЯКУТИЯ/ РЕСПУБЛИКА, ГОРОД ЯКУТСК, УЛИЦА КИРОВА, ДОМ 27,..</t>
  </si>
  <si>
    <t>Аргунов Андриан Ильич</t>
  </si>
  <si>
    <t>+7 (924) 868-50-64', '+7 (924) 765-54-07', '+7 (924) 763-54-07'</t>
  </si>
  <si>
    <t>62.017704,129.71909</t>
  </si>
  <si>
    <t>ОБЩЕСТВО С ОГРАНИЧЕННОЙ ОТВЕТСТВЕННОСТЬЮ "СахаЧайна"</t>
  </si>
  <si>
    <t>"СахаЧайна"</t>
  </si>
  <si>
    <t>1435236490</t>
  </si>
  <si>
    <t>677007, САХА /ЯКУТИЯ/ РЕСПУБЛИКА, ГОРОД ЯКУТСК, ПРОСПЕКТ ЛЕНИНА, 58, 39</t>
  </si>
  <si>
    <t>Ченохов Василий Васильевич</t>
  </si>
  <si>
    <t>62.034368,129.722728</t>
  </si>
  <si>
    <t>ОБЩЕСТВО С ОГРАНИЧЕННОЙ ОТВЕТСТВЕННОСТЬЮ "ГЕДЕОН-СНАБ"</t>
  </si>
  <si>
    <t>"ГЕДЕОН-СНАБ"</t>
  </si>
  <si>
    <t>1435303475</t>
  </si>
  <si>
    <t>677027, САХА /ЯКУТИЯ/ РЕСПУБЛИКА, ГОРОД ЯКУТСК, УЛИЦА ПУШКИНА, ДОМ 26,..</t>
  </si>
  <si>
    <t>Бурцев Антон Валерьевич</t>
  </si>
  <si>
    <t>+7 (914) 226-99-91'</t>
  </si>
  <si>
    <t>gedeonsnab@mail.ru'</t>
  </si>
  <si>
    <t>62.079409,129.725881</t>
  </si>
  <si>
    <t>ОБЩЕСТВО С ОГРАНИЧЕННОЙ ОТВЕТСТВЕННОСТЬЮ "ЕВРОСТАР+"</t>
  </si>
  <si>
    <t>"ЕВРОСТАР+"</t>
  </si>
  <si>
    <t>1435173642</t>
  </si>
  <si>
    <t>Г ЯКУТСК,УЛ КУЗЬМИНА, Д 28, КОРП 3,..</t>
  </si>
  <si>
    <t>Иванов Дмитрий Альбертович</t>
  </si>
  <si>
    <t>+7 (996) 915-25-86'</t>
  </si>
  <si>
    <t>62.020717,129.726078</t>
  </si>
  <si>
    <t>ОБЩЕСТВО С ОГРАНИЧЕННОЙ ОТВЕТСТВЕННОСТЬЮ "ФУНДАМЕНТ"</t>
  </si>
  <si>
    <t>"ФУНДАМЕНТ"</t>
  </si>
  <si>
    <t>1435357030</t>
  </si>
  <si>
    <t>677018, САХА /ЯКУТИЯ/ РЕСП, Г. Якутск, УЛ. ЯРОСЛАВСКОГО, Д. 45/4</t>
  </si>
  <si>
    <t>Гоголева Надежда Дмитриевна</t>
  </si>
  <si>
    <t>+7 (924) 175-82-08'</t>
  </si>
  <si>
    <t>62.034166,129.726528</t>
  </si>
  <si>
    <t>1435334628</t>
  </si>
  <si>
    <t>677027, САХА /ЯКУТИЯ/ РЕСПУБЛИКА, ГОРОД ЯКУТСК, УЛИЦА КОРОЛЕНКО, ДОМ 17,..</t>
  </si>
  <si>
    <t>62.027499,129.728288</t>
  </si>
  <si>
    <t>ОБЩЕСТВО С ОГРАНИЧЕННОЙ ОТВЕТСТВЕННОСТЬЮ "ВИПСТРОЙ"</t>
  </si>
  <si>
    <t>"ВИПСТРОЙ"</t>
  </si>
  <si>
    <t>1435206270</t>
  </si>
  <si>
    <t>677027, САХА /ЯКУТИЯ/ РЕСПУБЛИКА, ГОРОД ЯКУТСК, УЛИЦА ОРДЖОНИКИДЗЕ, ДОМ 33/1</t>
  </si>
  <si>
    <t>Винокуров Геннадий Михайлович</t>
  </si>
  <si>
    <t>+7 (924) 469-82-79'</t>
  </si>
  <si>
    <t>62.040295,129.728935</t>
  </si>
  <si>
    <t>ОБЩЕСТВО С ОГРАНИЧЕННОЙ ОТВЕТСТВЕННОСТЬЮ "СИТИМСТРОЙ"</t>
  </si>
  <si>
    <t>"СИТИМСТРОЙ"</t>
  </si>
  <si>
    <t>1435279261</t>
  </si>
  <si>
    <t>677005, САХА /ЯКУТИЯ/ РЕСПУБЛИКА, Г. ЯКУТСК, УЛ. ЛЕРМОНТОВА, Д.42,..</t>
  </si>
  <si>
    <t>Находкин Василий Павлович</t>
  </si>
  <si>
    <t>+7 (914) 272-27-10'</t>
  </si>
  <si>
    <t>62.049801,129.729169</t>
  </si>
  <si>
    <t>ОБЩЕСТВО С ОГРАНИЧЕННОЙ ОТВЕТСТВЕННОСТЬЮ "Стройплит-2012"</t>
  </si>
  <si>
    <t>"Стройплит-2012"</t>
  </si>
  <si>
    <t>1435253619</t>
  </si>
  <si>
    <t>677000, САХА /ЯКУТИЯ/ РЕСПУБЛИКА, ГОРОД ЯКУТСК, УЛИЦА ПЕКАРСКОГО, 1, 8</t>
  </si>
  <si>
    <t>Яковлев Николай Спиридонович</t>
  </si>
  <si>
    <t>+7 (924) 171-62-30'</t>
  </si>
  <si>
    <t>62.021777,129.73304</t>
  </si>
  <si>
    <t>ОБЩЕСТВО С ОГРАНИЧЕННОЙ ОТВЕТСТВЕННОСТЬЮ ПРОИЗВОДСТВЕННО-СТРОИТЕЛЬНАЯ ФИРМА "КАРПАТЫ-ПЛЮС"</t>
  </si>
  <si>
    <t>ПРОИЗВОДСТВЕННО-СТРОИТЕЛЬНАЯ ФИРМА "КАРПАТЫ-ПЛЮС"</t>
  </si>
  <si>
    <t>1435187155</t>
  </si>
  <si>
    <t>Г ЯКУТСК,УЛ ЧЕРНЫШЕВСКОГО, Д 22, КОРП 3,..</t>
  </si>
  <si>
    <t>Самхарадзе Лада Николаевна</t>
  </si>
  <si>
    <t>62.035933,129.735924</t>
  </si>
  <si>
    <t>ОБЩЕСТВО С ОГРАНИЧЕННОЙ ОТВЕТСТВЕННОСТЬЮ "Саха-АРМ"</t>
  </si>
  <si>
    <t>"Саха-АРМ"</t>
  </si>
  <si>
    <t>1435253320</t>
  </si>
  <si>
    <t>677000, САХА /ЯКУТИЯ/ РЕСП., Г. Якутск, УЛ. ПОЯРКОВА, Д. 13/1,..</t>
  </si>
  <si>
    <t>Чгрикян Саркис Михайлович</t>
  </si>
  <si>
    <t>+7 (914) 286-32-23'</t>
  </si>
  <si>
    <t>62.035343,129.736158</t>
  </si>
  <si>
    <t>ОБЩЕСТВО С ОГРАНИЧЕННОЙ ОТВЕТСТВЕННОСТЬЮ "Либерти"</t>
  </si>
  <si>
    <t>"Либерти"</t>
  </si>
  <si>
    <t>1435267481</t>
  </si>
  <si>
    <t>677000, САХА /ЯКУТИЯ/ РЕСПУБЛИКА, ГОРОД ЯКУТСК, УЛИЦА ПЕТРА АЛЕКСЕЕВА, 7, 2, 55</t>
  </si>
  <si>
    <t>+7 (924) 661-42-81'</t>
  </si>
  <si>
    <t>62.031023,129.743856</t>
  </si>
  <si>
    <t>ОБЩЕСТВО С ОГРАНИЧЕННОЙ ОТВЕТСТВЕННОСТЬЮ "Технология"</t>
  </si>
  <si>
    <t>"Технология"</t>
  </si>
  <si>
    <t>1417008910</t>
  </si>
  <si>
    <t>677000, САХА /ЯКУТИЯ/ РЕСП., Г. Якутск, ПР-КТ ЛЕНИНА, Д. 11/2,..</t>
  </si>
  <si>
    <t>Багынанова Изабелла Борисовна</t>
  </si>
  <si>
    <t>+7 (964) 424-19-53'</t>
  </si>
  <si>
    <t>62.061437,129.743973</t>
  </si>
  <si>
    <t>ОБЩЕСТВО С ОГРАНИЧЕННОЙ ОТВЕТСТВЕННОСТЬЮ "ЭКОМ"</t>
  </si>
  <si>
    <t>"ЭКОМ"</t>
  </si>
  <si>
    <t>1435187067</t>
  </si>
  <si>
    <t>Г ЯКУТСК,УЛ ДЗЕРЖИНСКОГО, Д 72, КОРП 1</t>
  </si>
  <si>
    <t>Челеков Александр Николаевич</t>
  </si>
  <si>
    <t>+7 (914) 226-26-76', '+7 (914) 238-93-33', '+7 (924) 896-32-89', '+7 (924) 865-60-60'</t>
  </si>
  <si>
    <t>62.059637,129.754941</t>
  </si>
  <si>
    <t>ОБЩЕСТВО С ОГРАНИЧЕННОЙ ОТВЕТСТВЕННОСТЬЮ "БЕТОННЫЕ КОНСТРУКЦИИ СЕВЕРА"</t>
  </si>
  <si>
    <t>"БЕТОННЫЕ КОНСТРУКЦИИ СЕВЕРА"</t>
  </si>
  <si>
    <t>1435330790</t>
  </si>
  <si>
    <t>677009, САХА /ЯКУТИЯ/ РЕСПУБЛИКА, Г. ЯКУТСК, УЛ. АВИАЦИОННАЯ, Д. 19</t>
  </si>
  <si>
    <t>Нестеров Алексей Афанасьевич</t>
  </si>
  <si>
    <t>+7 (914) 226-49-54'</t>
  </si>
  <si>
    <t>ОБЩЕСТВО С ОГРАНИЧЕННОЙ ОТВЕТСТВЕННОСТЬЮ "ЯКУТСКАЯ СТРОИТЕЛЬНО-МОНТАЖНАЯ КОМПАНИЯ"</t>
  </si>
  <si>
    <t>"ЯКУТСКАЯ СТРОИТЕЛЬНО-МОНТАЖНАЯ КОМПАНИЯ"</t>
  </si>
  <si>
    <t>1435331225</t>
  </si>
  <si>
    <t>677009, САХА /ЯКУТИЯ/ РЕСП., Г. Якутск, УЛ. АВИАЦИОННАЯ, Д. 19</t>
  </si>
  <si>
    <t>Семенова Сардана Спиридоновна</t>
  </si>
  <si>
    <t>+7 (914) 272-81-61'</t>
  </si>
  <si>
    <t>62.033794,129.755633</t>
  </si>
  <si>
    <t>ОБЩЕСТВО С ОГРАНИЧЕННОЙ ОТВЕТСТВЕННОСТЬЮ "НОРДВЕЙ"</t>
  </si>
  <si>
    <t>"НОРДВЕЙ"</t>
  </si>
  <si>
    <t>1435345186</t>
  </si>
  <si>
    <t>677000, САХА /ЯКУТИЯ/ РЕСПУБЛИКА, ГОРОД ЯКУТСК, МИКРОРАЙОН 202-Й, КОРПУС 18,..</t>
  </si>
  <si>
    <t>Бурнашев Андрей Юрьевич</t>
  </si>
  <si>
    <t>+7 (914) 271-23-38'</t>
  </si>
  <si>
    <t>62.107607,129.763457</t>
  </si>
  <si>
    <t>ОБЩЕСТВО С ОГРАНИЧЕННОЙ ОТВЕТСТВЕННОСТЬЮ ПРОИЗВОДСТВЕННАЯ ФИРМА "ТУЙМААДА СТРОЙ"</t>
  </si>
  <si>
    <t>ПРОИЗВОДСТВЕННАЯ ФИРМА "ТУЙМААДА СТРОЙ"</t>
  </si>
  <si>
    <t>1400009024</t>
  </si>
  <si>
    <t>677901, Республика Саха (Якутия), ГОРОД ЯКУТСК, Г ЯКУТСК, УЛ ЯРОСЛАВСКОГО, Д. 33</t>
  </si>
  <si>
    <t>Барсегян Володя Геворгович</t>
  </si>
  <si>
    <t>TUYMAADASTROY@LIST.RU'</t>
  </si>
  <si>
    <t>62.101672,129.795572</t>
  </si>
  <si>
    <t>ОБЩЕСТВО С ОГРАНИЧЕННОЙ ОТВЕТСТВЕННОСТЬЮ "СахаСтройПлит"</t>
  </si>
  <si>
    <t>"СахаСтройПлит"</t>
  </si>
  <si>
    <t>1435242448</t>
  </si>
  <si>
    <t>677901, САХА /ЯКУТИЯ/ РЕСПУБЛИКА, ГОРОД ЯКУТСК, УЛИЦА ОГОРОДНИКОВ (МАРХА МКР.), 2, 1</t>
  </si>
  <si>
    <t>Окорокова Елена Николаевна</t>
  </si>
  <si>
    <t>49.79869,129.873447</t>
  </si>
  <si>
    <t>ОБЩЕСТВО С ОГРАНИЧЕННОЙ ОТВЕТСТВЕННОСТЬЮ "ТОРГОВО-ПРОИЗВОДСТВЕННАЯ КОМПАНИЯ "ВОСТОК"</t>
  </si>
  <si>
    <t>"ТОРГОВО-ПРОИЗВОДСТВЕННАЯ КОМПАНИЯ "ВОСТОК"</t>
  </si>
  <si>
    <t>2801156324</t>
  </si>
  <si>
    <t>676885, Амурская область, муниципальный округ БУРЕЙСКИЙ, ПГТ НОВОБУРЕЙСКИЙ, ТЕР. ПЕРЕВАЛОЧНАЯ БАЗА, ЗД. 1,</t>
  </si>
  <si>
    <t>Носов Евгений Николаевич</t>
  </si>
  <si>
    <t>62.332834,129.952598</t>
  </si>
  <si>
    <t>ОБЩЕСТВО С ОГРАНИЧЕННОЙ ОТВЕТСТВЕННОСТЬЮ ЗАВОД СТРОИТЕЛЬНЫХ МАТЕРИАЛОВ "ТЕПЛОБЕТОН"</t>
  </si>
  <si>
    <t>ЗАВОД СТРОИТЕЛЬНЫХ МАТЕРИАЛОВ "ТЕПЛОБЕТОН"</t>
  </si>
  <si>
    <t>1435358650</t>
  </si>
  <si>
    <t>677903, САХА /ЯКУТИЯ/ РЕСП., Г. Якутск, С. Капитоновка, УЛ. СЕМЕНОВА, Д. 26</t>
  </si>
  <si>
    <t>Неустроев Петр Борисович</t>
  </si>
  <si>
    <t>PETRNEUS@BK.RU'</t>
  </si>
  <si>
    <t>62.104686,130.034937</t>
  </si>
  <si>
    <t>ОБЩЕСТВО С ОГРАНИЧЕННОЙ ОТВЕТСТВЕННОСТЬЮ "САХААГРОСТРОЙ"</t>
  </si>
  <si>
    <t>"САХААГРОСТРОЙ"</t>
  </si>
  <si>
    <t>1415013425</t>
  </si>
  <si>
    <t>678081, САХА /ЯКУТИЯ/ РЕСПУБЛИКА, УЛУС МЕГИНО-КАНГАЛАССКИЙ, СЕЛО ТЕКТЮР, УЛИЦА Н.БИЛГЭ, ДОМ 18</t>
  </si>
  <si>
    <t>Винокуров Николай Николаевич</t>
  </si>
  <si>
    <t>+7 (914) 231-00-65'</t>
  </si>
  <si>
    <t>61.739586,130.280833</t>
  </si>
  <si>
    <t>ОБЩЕСТВО С ОГРАНИЧЕННОЙ ОТВЕТСТВЕННОСТЬЮ "ИлинСтрой-88"</t>
  </si>
  <si>
    <t>"ИлинСтрой-88"</t>
  </si>
  <si>
    <t>1415013048</t>
  </si>
  <si>
    <t>678070, САХА /ЯКУТИЯ/ РЕСПУБЛИКА, УЛУС МЕГИНО-КАНГАЛАССКИЙ, СЕЛО МАЙЯ, УЛИЦА МАЙИНСКАЯ, 21, 5</t>
  </si>
  <si>
    <t>Никифоров Иван Самуилович</t>
  </si>
  <si>
    <t>+7 (914) 272-39-00'</t>
  </si>
  <si>
    <t>43.112653,131.879906</t>
  </si>
  <si>
    <t>ОБЩЕСТВО С ОГРАНИЧЕННОЙ ОТВЕТСТВЕННОСТЬЮ "СИЛ БЕТ"</t>
  </si>
  <si>
    <t>"СИЛ БЕТ"</t>
  </si>
  <si>
    <t>2540207003</t>
  </si>
  <si>
    <t>25-Приморский край</t>
  </si>
  <si>
    <t>690091, ПРИМОРСКИЙ КРАЙ, ВЛАДИВОСТОК Г, ПОСЬЕТСКАЯ УЛ, 28</t>
  </si>
  <si>
    <t>Львов Виктор Васильевич</t>
  </si>
  <si>
    <t>43.121412,131.881272</t>
  </si>
  <si>
    <t>ОБЩЕСТВО С ОГРАНИЧЕННОЙ ОТВЕТСТВЕННОСТЬЮ "ПРИМСТРОЙБЛОК ДВ"</t>
  </si>
  <si>
    <t>"ПРИМСТРОЙБЛОК ДВ"</t>
  </si>
  <si>
    <t>2540257727</t>
  </si>
  <si>
    <t>690090, ПРИМОРСКИЙ КРАЙ, ГОРОД ВЛАДИВОСТОК, УЛИЦА ПОГРАНИЧНАЯ, ДОМ 20, ОФИС 2</t>
  </si>
  <si>
    <t>Таран Павел Геннадьевич</t>
  </si>
  <si>
    <t>43.113989,131.881397</t>
  </si>
  <si>
    <t>Общество с ограниченной ответственностью "БИЗОН"</t>
  </si>
  <si>
    <t>"БИЗОН"</t>
  </si>
  <si>
    <t>2540258495</t>
  </si>
  <si>
    <t>690091, Приморский край, г Владивосток, ул Алеутская, 15</t>
  </si>
  <si>
    <t>Климко Ярослав Васильевич</t>
  </si>
  <si>
    <t>43.117589,131.887641</t>
  </si>
  <si>
    <t>ОБЩЕСТВО С ОГРАНИЧЕННОЙ ОТВЕТСТВЕННОСТЬЮ "Святогор"</t>
  </si>
  <si>
    <t>"Святогор"</t>
  </si>
  <si>
    <t>2536243351</t>
  </si>
  <si>
    <t>690091, ПРИМОРСКИЙ КРАЙ, ВЛАДИВОСТОК Г, СЕМЕНОВСКАЯ УЛ, ДОМ 32,..</t>
  </si>
  <si>
    <t>Пырков Михаил Игоревич</t>
  </si>
  <si>
    <t>+7 (914) 671-78-14'</t>
  </si>
  <si>
    <t>43.116181,131.888278</t>
  </si>
  <si>
    <t>ОБЩЕСТВО С ОГРАНИЧЕННОЙ ОТВЕТСТВЕННОСТЬЮ "ГРАНИТ-98"</t>
  </si>
  <si>
    <t>"ГРАНИТ-98"</t>
  </si>
  <si>
    <t>2536079750</t>
  </si>
  <si>
    <t>Г ВЛАДИВОСТОК,УЛ УБОРЕВИЧА, 5</t>
  </si>
  <si>
    <t>Воронов Андрей Юрьевич</t>
  </si>
  <si>
    <t>+7 (423) 230-01-55'</t>
  </si>
  <si>
    <t>43.121577,131.89286</t>
  </si>
  <si>
    <t>ОБЩЕСТВО С ОГРАНИЧЕННОЙ ОТВЕТСТВЕННОСТЬЮ "СИБИРЦЕВСКИЙ КОМБИНАТ СТРОИТЕЛЬНОЙ ИНДУСТРИИ"</t>
  </si>
  <si>
    <t>"СИБИРЦЕВСКИЙ КОМБИНАТ СТРОИТЕЛЬНОЙ ИНДУСТРИИ"</t>
  </si>
  <si>
    <t>2543017755</t>
  </si>
  <si>
    <t>https://sib-ksi.ru</t>
  </si>
  <si>
    <t>690091, ПРИМОРСКИЙ КРАЙ, ГОРОД ВЛАДИВОСТОК, УЛИЦА ПРАПОРЩИКА КОМАРОВА, ДОМ 45А, ОФИС 2</t>
  </si>
  <si>
    <t>Литовкина Варвара Александровна</t>
  </si>
  <si>
    <t>+7 (914) 652-15-25', '+7 (904) 628-68-21', '+7 (423) 205-59-88', '+7 (951) 020-43-57'</t>
  </si>
  <si>
    <t>a@sib-ksi', 'sales@sib-ksi'</t>
  </si>
  <si>
    <t>43.127887,131.893192</t>
  </si>
  <si>
    <t>ОБЩЕСТВО С ОГРАНИЧЕННОЙ ОТВЕТСТВЕННОСТЬЮ "ДАЛЬНЕВОСТОЧНЫЙ ЗАВОД ИННОВАЦИОННЫХ ЭНЕРГОЭФФЕКТИВНЫХ МАТЕРИАЛОВ"</t>
  </si>
  <si>
    <t>"ДАЛЬНЕВОСТОЧНЫЙ ЗАВОД ИННОВАЦИОННЫХ ЭНЕРГОЭФФЕКТИВНЫХ МАТЕРИАЛОВ"</t>
  </si>
  <si>
    <t>2540260261</t>
  </si>
  <si>
    <t>690106, ПРИМОРСКИЙ КРАЙ, Г. Владивосток, ПР-КТ ОКЕАНСКИЙ, Д. 48,..</t>
  </si>
  <si>
    <t>Головина Зинаида Николаевна</t>
  </si>
  <si>
    <t>DV@MAIL.RU'</t>
  </si>
  <si>
    <t>43.121379,131.893758</t>
  </si>
  <si>
    <t>ОБЩЕСТВО С ОГРАНИЧЕННОЙ ОТВЕТСТВЕННОСТЬЮ "СТИЛЬ МАСТЕР ДВ"</t>
  </si>
  <si>
    <t>"СТИЛЬ МАСТЕР ДВ"</t>
  </si>
  <si>
    <t>2536324628</t>
  </si>
  <si>
    <t>690091, ПРИМОРСКИЙ КРАЙ, Г. ВЛАДИВОСТОК, УЛ. ПРАПОРЩИКА КОМАРОВА, Д. 45Б, ПОМЕЩ. 3</t>
  </si>
  <si>
    <t>Магомедов Ислам Магомедшарифович</t>
  </si>
  <si>
    <t>ОБЩЕСТВО С ОГРАНИЧЕННОЙ ОТВЕТСТВЕННОСТЬЮ "ДОМА-ДВ.РУ"</t>
  </si>
  <si>
    <t>"ДОМА-ДВ.РУ"</t>
  </si>
  <si>
    <t>2536326047</t>
  </si>
  <si>
    <t>690091, ПРИМОРСКИЙ КРАЙ, ГОРОД ВЛАДИВОСТОК, УЛИЦА ПРАПОРЩИКА КОМАРОВА, ДОМ 45Б, ПОМЕЩЕНИЕ 3</t>
  </si>
  <si>
    <t>Тепляков Александр Владимирович</t>
  </si>
  <si>
    <t>DV@YAHOO.COM'</t>
  </si>
  <si>
    <t>43.131144,131.894225</t>
  </si>
  <si>
    <t>ОБЩЕСТВО С ОГРАНИЧЕННОЙ ОТВЕТСТВЕННОСТЬЮ "ДЕЛО БЕТОН"</t>
  </si>
  <si>
    <t>"ДЕЛО БЕТОН"</t>
  </si>
  <si>
    <t>2540140038</t>
  </si>
  <si>
    <t>690002, ПРИМОРСКИЙ КРАЙ, ГОРОД ВЛАДИВОСТОК, ПРОСПЕКТ ОКЕАНСКИЙ, 83, 20</t>
  </si>
  <si>
    <t>Григорьев Роман Владимирович</t>
  </si>
  <si>
    <t>+7 (924) 230-98-80', '+7 (914) 730-44-24'</t>
  </si>
  <si>
    <t>ОБЩЕСТВО С ОГРАНИЧЕННОЙ ОТВЕТСТВЕННОСТЬЮ "ПРИМОРСКИЙ КОМБИНАТ СТРОИТЕЛЬНЫХ ДЕТАЛЕЙ И КОНСТРУКЦИЙ"</t>
  </si>
  <si>
    <t>"ПРИМОРСКИЙ КОМБИНАТ СТРОИТЕЛЬНЫХ ДЕТАЛЕЙ И КОНСТРУКЦИЙ"</t>
  </si>
  <si>
    <t>2540261970</t>
  </si>
  <si>
    <t>690002, ПРИМОРСКИЙ КРАЙ, Г. Владивосток, ПР-КТ ОКЕАНСКИЙ, Д. 83,..</t>
  </si>
  <si>
    <t>Галаганова Ольга Анатольевна</t>
  </si>
  <si>
    <t>GALAG1961@YANDEX.RU'</t>
  </si>
  <si>
    <t>43.135269,131.898223</t>
  </si>
  <si>
    <t>ОБЩЕСТВО С ОГРАНИЧЕННОЙ ОТВЕТСТВЕННОСТЬЮ "МЕЗАБИТ"</t>
  </si>
  <si>
    <t>"МЕЗАБИТ"</t>
  </si>
  <si>
    <t>2540226630</t>
  </si>
  <si>
    <t>690078, ПРИМОРСКИЙ КРАЙ, ВЛАДИВОСТОК Г, ХАБАРОВСКАЯ УЛ, ДОМ 27А,..</t>
  </si>
  <si>
    <t>Карань Андрей Юрьевич</t>
  </si>
  <si>
    <t>+7 (914) 704-30-19', '+7 (902) 556-52-26'</t>
  </si>
  <si>
    <t>43.130479,131.899642</t>
  </si>
  <si>
    <t>ОБЩЕСТВО С ОГРАНИЧЕННОЙ ОТВЕТСТВЕННОСТЬЮ "ПРИМСТРОЙБЛОК"</t>
  </si>
  <si>
    <t>"ПРИМСТРОЙБЛОК"</t>
  </si>
  <si>
    <t>2540197796</t>
  </si>
  <si>
    <t>690002, Приморский край, Владивосток, пр-кт Острякова, д 5А</t>
  </si>
  <si>
    <t>0306@mail.ru'</t>
  </si>
  <si>
    <t>43.137565,131.899642</t>
  </si>
  <si>
    <t>ОБЩЕСТВО С ОГРАНИЧЕННОЙ ОТВЕТСТВЕННОСТЬЮ "Базальт ДВ"</t>
  </si>
  <si>
    <t>"Базальт ДВ"</t>
  </si>
  <si>
    <t>2539109668</t>
  </si>
  <si>
    <t>690078, ПРИМОРСКИЙ КРАЙ, ВЛАДИВОСТОК Г, ОСТРЯКОВА ПР-КТ, ДОМ 49, ОФИС 310</t>
  </si>
  <si>
    <t>Рыбенков Валерий Валерьевич</t>
  </si>
  <si>
    <t>+7 (423) 275-40-84', '+7 (902) 480-56-96', '+7 (908) 982-74-47', '+7 (908) 246-46-95'</t>
  </si>
  <si>
    <t>43.1007,131.902175</t>
  </si>
  <si>
    <t>ОБЩЕСТВО С ОГРАНИЧЕННОЙ ОТВЕТСТВЕННОСТЬЮ "ТЕХНОТОРГ"</t>
  </si>
  <si>
    <t>"ТЕХНОТОРГ"</t>
  </si>
  <si>
    <t>2536287422</t>
  </si>
  <si>
    <t>690021, ПРИМОРСКИЙ КРАЙ, Г. Владивосток, УЛ. ЗАПОРОЖСКАЯ, Д. 77, ОФИС 931</t>
  </si>
  <si>
    <t>Щепов Иван Романович</t>
  </si>
  <si>
    <t>+7 (914) 700-68-77'</t>
  </si>
  <si>
    <t>sales@zavodvl.ru'</t>
  </si>
  <si>
    <t>43.149471,131.90514</t>
  </si>
  <si>
    <t>ОБЩЕСТВО С ОГРАНИЧЕННОЙ ОТВЕТСТВЕННОСТЬЮ "ТЕПЛОБЛОК ДВ"</t>
  </si>
  <si>
    <t>"ТЕПЛОБЛОК ДВ"</t>
  </si>
  <si>
    <t>2543102070</t>
  </si>
  <si>
    <t>690048, ПРИМОРСКИЙ КРАЙ, ВЛАДИВОСТОК Г, ОВЧИННИКОВА УЛ, ДОМ 2, ОФИС 152</t>
  </si>
  <si>
    <t>Глущук Ольга Игоревна</t>
  </si>
  <si>
    <t>+7 (902) 555-90-33'</t>
  </si>
  <si>
    <t>43.120458,131.907224</t>
  </si>
  <si>
    <t>ОБЩЕСТВО С ОГРАНИЧЕННОЙ ОТВЕТСТВЕННОСТЬЮ "АГНИ ГРУПП"</t>
  </si>
  <si>
    <t>"АГНИ ГРУПП"</t>
  </si>
  <si>
    <t>2536298079</t>
  </si>
  <si>
    <t>690014, ПРИМОРСКИЙ КРАЙ, ГОРОД ВЛАДИВОСТОК, УЛИЦА НЕКРАСОВСКАЯ, ДОМ 48А, ПОМЕЩЕНИЕ III</t>
  </si>
  <si>
    <t>Блохин Алексей Игоревич</t>
  </si>
  <si>
    <t>43.176419,131.907556</t>
  </si>
  <si>
    <t>ОБЩЕСТВО С ОГРАНИЧЕННОЙ ОТВЕТСТВЕННОСТЬЮ "БЕТОН КОМПЛЕКТ"</t>
  </si>
  <si>
    <t>"БЕТОН КОМПЛЕКТ"</t>
  </si>
  <si>
    <t>2502058424</t>
  </si>
  <si>
    <t>690068, Приморский край, городской округ ВЛАДИВОСТОКСКИЙ, Город ВЛАДИВОСТОК, УЛ КИРОВА, Д. 25Е,..</t>
  </si>
  <si>
    <t>Литвина Ирина Викторовна</t>
  </si>
  <si>
    <t>+7 (951) 002-58-79'</t>
  </si>
  <si>
    <t>43.151859,131.907754</t>
  </si>
  <si>
    <t>ОБЩЕСТВО С ОГРАНИЧЕННОЙ ОТВЕТСТВЕННОСТЬЮ "АЛЬНИЛАМ"</t>
  </si>
  <si>
    <t>"АЛЬНИЛАМ"</t>
  </si>
  <si>
    <t>2502058801</t>
  </si>
  <si>
    <t>690048, Приморский край, городской округ ВЛАДИВОСТОКСКИЙ, Город ВЛАДИВОСТОК, ПР-КТ 100-ЛЕТИЯ ВЛАДИВОСТОКА, Д. 43,..</t>
  </si>
  <si>
    <t>Володарцев Денис Викторович</t>
  </si>
  <si>
    <t>+7 (423) 295-51-55', '+7 (908) 448-07-39'</t>
  </si>
  <si>
    <t>43.114838,131.9107</t>
  </si>
  <si>
    <t>ОБЩЕСТВО С ОГРАНИЧЕННОЙ ОТВЕТСТВЕННОСТЬЮ "НАНОТЕХ"</t>
  </si>
  <si>
    <t>"НАНОТЕХ"</t>
  </si>
  <si>
    <t>2536320461</t>
  </si>
  <si>
    <t>690001, ПРИМОРСКИЙ КРАЙ, ГОРОД ВЛАДИВОСТОК, УЛИЦА ПУШКИНСКАЯ, ДОМ 40, ОФИС 1004</t>
  </si>
  <si>
    <t>Зайцев Дмитрий Валерьевич</t>
  </si>
  <si>
    <t>43.822943,131.911365</t>
  </si>
  <si>
    <t>2511066140</t>
  </si>
  <si>
    <t>692515, ПРИМОРСКИЙ КРАЙ, ГОРОД УССУРИЙСК, УЛИЦА НОВОНИКОЛЬСКОЕ ШОССЕ, ДОМ 11А</t>
  </si>
  <si>
    <t>Половинко Александр Викторович</t>
  </si>
  <si>
    <t>43.174454,131.911653</t>
  </si>
  <si>
    <t>ОБЩЕСТВО С ОГРАНИЧЕННОЙ ОТВЕТСТВЕННОСТЬЮ "АМК"</t>
  </si>
  <si>
    <t>"АМК"</t>
  </si>
  <si>
    <t>2543165753</t>
  </si>
  <si>
    <t>690068, Приморский край, ВЛАДИВОСТОКСКИЙ, Г ВЛАДИВОСТОК, УЛ КИРОВА, Д. 40</t>
  </si>
  <si>
    <t>Мунтяну Александр Леонидович</t>
  </si>
  <si>
    <t>43.166695,131.912865</t>
  </si>
  <si>
    <t>ОБЩЕСТВО С ОГРАНИЧЕННОЙ ОТВЕТСТВЕННОСТЬЮ "СТРОЙБЕТОНКОНСТРУКТ"</t>
  </si>
  <si>
    <t>"СТРОЙБЕТОНКОНСТРУКТ"</t>
  </si>
  <si>
    <t>2543142932</t>
  </si>
  <si>
    <t>690039, ПРИМОРСКИЙ КРАЙ, ГОРОД ВЛАДИВОСТОК, УЛИЦА РУССКАЯ, ДОМ 46, ОФИС 5</t>
  </si>
  <si>
    <t>Волженцева Александра Васильевна</t>
  </si>
  <si>
    <t>43.800968,131.913054</t>
  </si>
  <si>
    <t>ОБЩЕСТВО С ОГРАНИЧЕННОЙ ОТВЕТСТВЕННОСТЬЮ "УССУРМЕГАСТРОЙ ДВ"</t>
  </si>
  <si>
    <t>"УССУРМЕГАСТРОЙ ДВ"</t>
  </si>
  <si>
    <t>2511112879</t>
  </si>
  <si>
    <t>692519, ПРИМОРСКИЙ КРАЙ, ГОРОД УССУРИЙСК, УЛИЦА СЕЛЬСКОХОЗЯЙСТВЕННАЯ, ДОМ 23, ПОМЕЩЕНИЕ 6</t>
  </si>
  <si>
    <t>Воробьёв Станислав Евгеньевич</t>
  </si>
  <si>
    <t>petrenko3604@yandex.ru'</t>
  </si>
  <si>
    <t>ОБЩЕСТВО С ОГРАНИЧЕННОЙ ОТВЕТСТВЕННОСТЬЮ "СКАНДИ"</t>
  </si>
  <si>
    <t>"СКАНДИ"</t>
  </si>
  <si>
    <t>2511117838</t>
  </si>
  <si>
    <t>692519, Приморский край, городской округ УССУРИЙСКИЙ, Город УССУРИЙСК, УЛ СЕЛЬСКОХОЗЯЙСТВЕННАЯ, ЗД. 23, НЕЖ. ПОМЕЩ. 9</t>
  </si>
  <si>
    <t>Кривоносов Алексей Владимирович</t>
  </si>
  <si>
    <t>43.088534,131.916863</t>
  </si>
  <si>
    <t>ОБЩЕСТВО С ОГРАНИЧЕННОЙ ОТВЕТСТВЕННОСТЬЮ "ПАРТНЕРОПТ-ДВ"</t>
  </si>
  <si>
    <t>"ПАРТНЕРОПТ-ДВ"</t>
  </si>
  <si>
    <t>2537144762</t>
  </si>
  <si>
    <t>690017, ПРИМОРСКИЙ КРАЙ, Г. ВЛАДИВОСТОК, УЛ. КИПАРИСОВАЯ, Д. 2, К. А,..</t>
  </si>
  <si>
    <t>Муравицкий Игорь Александрович</t>
  </si>
  <si>
    <t>43.170331,131.917977</t>
  </si>
  <si>
    <t>ОБЩЕСТВО С ОГРАНИЧЕННОЙ ОТВЕТСТВЕННОСТЬЮ "ПРИМСВАЯ"</t>
  </si>
  <si>
    <t>"ПРИМСВАЯ"</t>
  </si>
  <si>
    <t>2543154663</t>
  </si>
  <si>
    <t>690069, ПРИМОРСКИЙ КРАЙ, Г. Владивосток, УЛ. РУССКАЯ, Д. 27В, ОФИС 35</t>
  </si>
  <si>
    <t>Марченко Данила Сергеевич</t>
  </si>
  <si>
    <t>43.092787,131.921372</t>
  </si>
  <si>
    <t>ОБЩЕСТВО С ОГРАНИЧЕННОЙ ОТВЕТСТВЕННОСТЬЮ "СТРОЙДЕТАЛЬ"</t>
  </si>
  <si>
    <t>"СТРОЙДЕТАЛЬ"</t>
  </si>
  <si>
    <t>2537103540</t>
  </si>
  <si>
    <t>690017, Приморский край, Владивосток, ул Героев Тихоокеанцев, д 5А</t>
  </si>
  <si>
    <t>Богачев Дмитрий Викторович</t>
  </si>
  <si>
    <t>ОБЩЕСТВО С ОГРАНИЧЕННОЙ ОТВЕТСТВЕННОСТЬЮ "ЗАВОД СТРОИТЕЛЬНЫХ ДЕТАЛЕЙ"</t>
  </si>
  <si>
    <t>"ЗАВОД СТРОИТЕЛЬНЫХ ДЕТАЛЕЙ"</t>
  </si>
  <si>
    <t>2537132100</t>
  </si>
  <si>
    <t>690017, ПРИМОРСКИЙ КРАЙ, Г. ВЛАДИВОСТОК, УЛ. ГЕРОЕВ ТИХООКЕАНЦЕВ, Д. 5А, ОФИС 402</t>
  </si>
  <si>
    <t>Гребеньщуков Александр Константинович</t>
  </si>
  <si>
    <t>+7 (964) 446-69-03', '+7 (423) 245-52-26'</t>
  </si>
  <si>
    <t>43.456119,131.922091</t>
  </si>
  <si>
    <t>ОБЩЕСТВО С ОГРАНИЧЕННОЙ ОТВЕТСТВЕННОСТЬЮ ЗАВОД АВТОКЛАВНЫХ МАТЕРИАЛОВ</t>
  </si>
  <si>
    <t>ЗАВОД АВТОКЛАВНЫХ МАТЕРИАЛОВ</t>
  </si>
  <si>
    <t>2521016490</t>
  </si>
  <si>
    <t>692769, ПРИМОРСКИЙ КРАЙ, Р-Н НАДЕЖДИНСКИЙ, П КИПАРИСОВО-2, УЛ. ШКОЛЬНАЯ, Д. 7</t>
  </si>
  <si>
    <t>Турушев Даурен Берикович</t>
  </si>
  <si>
    <t>43.116714,131.93005</t>
  </si>
  <si>
    <t>ОБЩЕСТВО С ОГРАНИЧЕННОЙ ОТВЕТСТВЕННОСТЬЮ "АТИКА"</t>
  </si>
  <si>
    <t>"АТИКА"</t>
  </si>
  <si>
    <t>2536315091</t>
  </si>
  <si>
    <t>690066, ПРИМОРСКИЙ КРАЙ, ГОРОД ВЛАДИВОСТОК, УЛИЦА ТУНГУССКАЯ, ДОМ 65,..</t>
  </si>
  <si>
    <t>Кувшинов Виталий Витальевич</t>
  </si>
  <si>
    <t>ОБЩЕСТВО С ОГРАНИЧЕННОЙ ОТВЕТСТВЕННОСТЬЮ "ИНТЕРПРАЙЗ"</t>
  </si>
  <si>
    <t>"ИНТЕРПРАЙЗ"</t>
  </si>
  <si>
    <t>2538150720</t>
  </si>
  <si>
    <t>690066, Приморский край, городской округ ВЛАДИВОСТОКСКИЙ, Город ВЛАДИВОСТОК, УЛ ТУНГУССКАЯ, Д. 65,..</t>
  </si>
  <si>
    <t>Кувшинова Марина Петровна</t>
  </si>
  <si>
    <t>+7 (423) 266-62-00', '+7 (914) 710-09-61'</t>
  </si>
  <si>
    <t>43.807318,131.932862</t>
  </si>
  <si>
    <t>ОБЩЕСТВО С ОГРАНИЧЕННОЙ ОТВЕТСТВЕННОСТЬЮ "ПриморСтройКонструкция"</t>
  </si>
  <si>
    <t>"ПриморСтройКонструкция"</t>
  </si>
  <si>
    <t>2511071541</t>
  </si>
  <si>
    <t>692512, Приморский край, г Уссурийск, ул Ленинградская, д 47 Б..</t>
  </si>
  <si>
    <t>Гусаковский Вячеслав Эдуардович</t>
  </si>
  <si>
    <t>+7 (924) 260-22-49'</t>
  </si>
  <si>
    <t>43.170449,131.935099</t>
  </si>
  <si>
    <t>ЗАКРЫТОЕ АКЦИОНЕРНОЕ ОБЩЕСТВО "АСК"</t>
  </si>
  <si>
    <t>ЗАКРЫТОЕ "АСК"</t>
  </si>
  <si>
    <t>2539045855</t>
  </si>
  <si>
    <t>Г ВЛАДИВОСТОК,УЛ РУССКАЯ, 65</t>
  </si>
  <si>
    <t>Бричалов Евгений Леонидович</t>
  </si>
  <si>
    <t>43.797468,131.938171</t>
  </si>
  <si>
    <t>ОБЩЕСТВО С ОГРАНИЧЕННОЙ ОТВЕТСТВЕННОСТЬЮ "СТРОЙБЛОКСЕРВИС"</t>
  </si>
  <si>
    <t>"СТРОЙБЛОКСЕРВИС"</t>
  </si>
  <si>
    <t>2511099762</t>
  </si>
  <si>
    <t>692512, ПРИМОРСКИЙ КРАЙ, УССУРИЙСК Г, ПУШКИНА УЛ, ДОМ 6,..</t>
  </si>
  <si>
    <t>Боровских Виктор Владимирович</t>
  </si>
  <si>
    <t>+7 (902) 075-11-22'</t>
  </si>
  <si>
    <t>43.788176,131.940507</t>
  </si>
  <si>
    <t>ОБЩЕСТВО С ОГРАНИЧЕННОЙ ОТВЕТСТВЕННОСТЬЮ "БЕТОН-СЕРВИС"</t>
  </si>
  <si>
    <t>"БЕТОН-СЕРВИС"</t>
  </si>
  <si>
    <t>2511096497</t>
  </si>
  <si>
    <t>692511, ПРИМОРСКИЙ КРАЙ, ГОРОД УССУРИЙСК, УЛИЦА ПАРХОМЕНКО, ДОМ 7,..</t>
  </si>
  <si>
    <t>Ищенко Андрей Григорьевич</t>
  </si>
  <si>
    <t>+7 (914) 717-83-60'</t>
  </si>
  <si>
    <t>43.10151,131.945115</t>
  </si>
  <si>
    <t>ОБЩЕСТВО С ОГРАНИЧЕННОЙ ОТВЕТСТВЕННОСТЬЮ " ВЛАДСТРОЙИНЖИНИРИНГ"</t>
  </si>
  <si>
    <t>" ВЛАДСТРОЙИНЖИНИРИНГ"</t>
  </si>
  <si>
    <t>2537144402</t>
  </si>
  <si>
    <t>690016, ПРИМОРСКИЙ КРАЙ, ГОРОД ВЛАДИВОСТОК, УЛИЦА БОРИСЕНКО, ДОМ 17, ПОМЕЩЕНИЕ 1</t>
  </si>
  <si>
    <t>Демиденко Олег Михайлович</t>
  </si>
  <si>
    <t>43.33404,131.94896</t>
  </si>
  <si>
    <t>ОБЩЕСТВО С ОГРАНИЧЕННОЙ ОТВЕТСТВЕННОСТЬЮ "ЗАВОД ДАВИНЧИ"</t>
  </si>
  <si>
    <t>"ЗАВОД ДАВИНЧИ"</t>
  </si>
  <si>
    <t>2502067796</t>
  </si>
  <si>
    <t>692481, ПРИМОРСКИЙ КРАЙ, Р-Н Надеждинский, С. Вольно-Надеждинское, ТЕР. ТОР НАДЕЖДИНСКАЯ</t>
  </si>
  <si>
    <t>Исаков Алексей Геннадьевич</t>
  </si>
  <si>
    <t>ОБЩЕСТВО С ОГРАНИЧЕННОЙ ОТВЕТСТВЕННОСТЬЮ "СВЯТОГОР ДВ"</t>
  </si>
  <si>
    <t>"СВЯТОГОР ДВ"</t>
  </si>
  <si>
    <t>2521014662</t>
  </si>
  <si>
    <t>692481, ПРИМОРСКИЙ КРАЙ, РАЙОН НАДЕЖДИНСКИЙ, СЕЛО ВОЛЬНО-НАДЕЖДИНСКОЕ, ТЕРРИТОРИЯ ТОР НАДЕЖДИНСКАЯ</t>
  </si>
  <si>
    <t>+7 (914) 671-78-14', '+7 (914) 979-61-39'</t>
  </si>
  <si>
    <t>43.12359,131.949472</t>
  </si>
  <si>
    <t>ОБЩЕСТВО С ОГРАНИЧЕННОЙ ОТВЕТСТВЕННОСТЬЮ "ДАЛЬ НИП"</t>
  </si>
  <si>
    <t>"ДАЛЬ НИП"</t>
  </si>
  <si>
    <t>2536134289</t>
  </si>
  <si>
    <t>Г ВЛАДИВОСТОК,УЛ АДМИРАЛА КУЗНЕЦОВА, 52 А..</t>
  </si>
  <si>
    <t>Панин Игорь Петрович</t>
  </si>
  <si>
    <t>+7 (914) 707-92-11', '+7 (914) 291-68-79'</t>
  </si>
  <si>
    <t>43.137131,131.953595</t>
  </si>
  <si>
    <t>ОБЩЕСТВО С ОГРАНИЧЕННОЙ ОТВЕТСТВЕННОСТЬЮ "МУЛЬТИБЛОК"</t>
  </si>
  <si>
    <t>"МУЛЬТИБЛОК"</t>
  </si>
  <si>
    <t>2543156950</t>
  </si>
  <si>
    <t>690074, ПРИМОРСКИЙ КРАЙ, Г. Владивосток, УЛ. СНЕГОВАЯ, Д. 18А, КАБИНЕТ 1</t>
  </si>
  <si>
    <t>Осипов-Полянин Владимир Юрьевич</t>
  </si>
  <si>
    <t>POLYANIN@INBOX.RU'</t>
  </si>
  <si>
    <t>ОБЩЕСТВО С ОГРАНИЧЕННОЙ ОТВЕТСТВЕННОСТЬЮ "МУЛЬТИБЛОК-ДВ"</t>
  </si>
  <si>
    <t>"МУЛЬТИБЛОК-ДВ"</t>
  </si>
  <si>
    <t>2543162015</t>
  </si>
  <si>
    <t>690074, ПРИМОРСКИЙ КРАЙ, Г. Владивосток, УЛ. СНЕГОВАЯ, Д. 18А, ОФИС 1</t>
  </si>
  <si>
    <t>Лигай Сергей Эрнестович</t>
  </si>
  <si>
    <t>43.787518,131.953846</t>
  </si>
  <si>
    <t>ОБЩЕСТВО С ОГРАНИЧЕННОЙ ОТВЕТСТВЕННОСТЬЮ "СТРОИТЕЛЬНАЯ ТЕХНИКА"</t>
  </si>
  <si>
    <t>"СТРОИТЕЛЬНАЯ ТЕХНИКА"</t>
  </si>
  <si>
    <t>2511112727</t>
  </si>
  <si>
    <t>692519, ПРИМОРСКИЙ КРАЙ, ГОРОД УССУРИЙСК, УЛИЦА ГОГОЛЯ, ДОМ 9,..</t>
  </si>
  <si>
    <t>Бурик Василий Владимирович</t>
  </si>
  <si>
    <t>stroymag6a@mail.ru'</t>
  </si>
  <si>
    <t>43.802582,131.954736</t>
  </si>
  <si>
    <t>ОБЩЕСТВО С ОГРАНИЧЕННОЙ ОТВЕТСТВЕННОСТЬЮ "7 ОСНОВ"</t>
  </si>
  <si>
    <t>"7 ОСНОВ"</t>
  </si>
  <si>
    <t>2511111434</t>
  </si>
  <si>
    <t>692503, ПРИМОРСКИЙ КРАЙ, ГОРОД УССУРИЙСК, УЛИЦА ЛЕНИНА, ДОМ 136,..</t>
  </si>
  <si>
    <t>Семиглазов Александр Борисович</t>
  </si>
  <si>
    <t>43.799615,131.955544</t>
  </si>
  <si>
    <t>ОБЩЕСТВО С ОГРАНИЧЕННОЙ ОТВЕТСТВЕННОСТЬЮ "ГАЗБЕТ"</t>
  </si>
  <si>
    <t>"ГАЗБЕТ"</t>
  </si>
  <si>
    <t>2511118895</t>
  </si>
  <si>
    <t>692503, Приморский край, городской округ УССУРИЙСКИЙ, Город УССУРИЙСК, УЛ ЛЕНИНА, Д. 122, ОФИС 101</t>
  </si>
  <si>
    <t>Селиванова Юлия Николаевна</t>
  </si>
  <si>
    <t>43.119445,131.956497</t>
  </si>
  <si>
    <t>ОБЩЕСТВО С ОГРАНИЧЕННОЙ ОТВЕТСТВЕННОСТЬЮ "АПОТРОПЕЙ"</t>
  </si>
  <si>
    <t>"АПОТРОПЕЙ"</t>
  </si>
  <si>
    <t>2543140332</t>
  </si>
  <si>
    <t>690109, ПРИМОРСКИЙ КРАЙ, Г. Владивосток, УЛ. ЧЕРНЯХОВСКОГО, Д. 11,..</t>
  </si>
  <si>
    <t>Соболев Эдуард Эдуардович</t>
  </si>
  <si>
    <t>+7 (950) 280-58-78'</t>
  </si>
  <si>
    <t>43.133289,131.958608</t>
  </si>
  <si>
    <t>ОБЩЕСТВО С ОГРАНИЧЕННОЙ ОТВЕТСТВЕННОСТЬЮ "НВК ГРУПП"</t>
  </si>
  <si>
    <t>"НВК ГРУПП"</t>
  </si>
  <si>
    <t>2543148476</t>
  </si>
  <si>
    <t>690087, ПРИМОРСКИЙ КРАЙ, ГОРОД ВЛАДИВОСТОК, УЛИЦА РУДНЕВА, ДОМ 14Г, ОФИС 334</t>
  </si>
  <si>
    <t>Кичан Александр Сергеевич</t>
  </si>
  <si>
    <t>43.822904,131.960512</t>
  </si>
  <si>
    <t>ОБЩЕСТВО С ОГРАНИЧЕННОЙ ОТВЕТСТВЕННОСТЬЮ "ИППЕКО НЕОЛИТ"</t>
  </si>
  <si>
    <t>"ИППЕКО НЕОЛИТ"</t>
  </si>
  <si>
    <t>2511119708</t>
  </si>
  <si>
    <t>692522, Приморский край, городской округ УССУРИЙСКИЙ, Город УССУРИЙСК, УЛ ТУРГЕНЕВА, Д. 155А, ПОМЕЩ. 3</t>
  </si>
  <si>
    <t>Попов Юрий Иванович</t>
  </si>
  <si>
    <t>43.095671,131.964078</t>
  </si>
  <si>
    <t>ОБЩЕСТВО С ОГРАНИЧЕННОЙ ОТВЕТСТВЕННОСТЬЮ "СТОУНХАУС"</t>
  </si>
  <si>
    <t>"СТОУНХАУС"</t>
  </si>
  <si>
    <t>2537103491</t>
  </si>
  <si>
    <t>690011, Приморский край, Владивосток, ул Монтажная, д 15,..</t>
  </si>
  <si>
    <t>Малик Иван Александрович</t>
  </si>
  <si>
    <t>+7 (902) 482-67-48'</t>
  </si>
  <si>
    <t>dir@stonedv.ru'</t>
  </si>
  <si>
    <t>43.135815,131.969055</t>
  </si>
  <si>
    <t>АКЦИОНЕРНОЕ ОБЩЕСТВО "ВЛАДИВОСТОКСКИЙ КОМБИНАТ ПРОИЗВОДСТВЕННЫХ ПРЕДПРИЯТИЙ"</t>
  </si>
  <si>
    <t>"ВЛАДИВОСТОКСКИЙ КОМБИНАТ ПРОИЗВОДСТВЕННЫХ ПРЕДПРИЯТИЙ"</t>
  </si>
  <si>
    <t>2538010017</t>
  </si>
  <si>
    <t>Г ВЛАДИВОСТОК,УЛ СНЕГОВАЯ, 42 Б</t>
  </si>
  <si>
    <t>Ли Галина Дмитриевна</t>
  </si>
  <si>
    <t>+7 (423) 244-02-00', '+7 (950) 298-65-49', '+7 (423) 244-01-94'</t>
  </si>
  <si>
    <t>vkpp42@yandex.ru'</t>
  </si>
  <si>
    <t>43.136618,131.972666</t>
  </si>
  <si>
    <t>ОБЩЕСТВО С ОГРАНИЧЕННОЙ ОТВЕТСТВЕННОСТЬЮ "ЗАВОД СИНЕРГИЯ"</t>
  </si>
  <si>
    <t>"ЗАВОД СИНЕРГИЯ"</t>
  </si>
  <si>
    <t>2543148807</t>
  </si>
  <si>
    <t>690074, ПРИМОРСКИЙ КРАЙ, ГОРОД ВЛАДИВОСТОК, УЛИЦА СНЕГОВАЯ, ДОМ 113В, ОФИС 1</t>
  </si>
  <si>
    <t>Семенец Александр Андреевич</t>
  </si>
  <si>
    <t>43.786718,131.974032</t>
  </si>
  <si>
    <t>ОБЩЕСТВО С ОГРАНИЧЕННОЙ ОТВЕТСТВЕННОСТЬЮ "УССУРМЕГАСТРОЙ"</t>
  </si>
  <si>
    <t>"УССУРМЕГАСТРОЙ"</t>
  </si>
  <si>
    <t>2511091266</t>
  </si>
  <si>
    <t>692527, Приморский край, г Уссурийск, ул Андрея Кушнира, д 1,..</t>
  </si>
  <si>
    <t>Воробьева Галина Олеговна</t>
  </si>
  <si>
    <t>+7 (904) 622-06-38', '+7 (924) 725-37-99', '+7 (924) 133-33-99'</t>
  </si>
  <si>
    <t>43.824855,131.974678</t>
  </si>
  <si>
    <t>ОБЩЕСТВО С ОГРАНИЧЕННОЙ ОТВЕТСТВЕННОСТЬЮ "БЕТОНСТРОЙ"</t>
  </si>
  <si>
    <t>"БЕТОНСТРОЙ"</t>
  </si>
  <si>
    <t>2511088009</t>
  </si>
  <si>
    <t>692506, Приморский край, г Уссурийск, ул Черепанова, д 5</t>
  </si>
  <si>
    <t>Бойченко Михаил Сергеевич</t>
  </si>
  <si>
    <t>jekaikina@yandex.ru'</t>
  </si>
  <si>
    <t>43.317887,131.977858</t>
  </si>
  <si>
    <t>ОБЩЕСТВО С ОГРАНИЧЕННОЙ ОТВЕТСТВЕННОСТЬЮ "ДОМОСТРОИТЕЛЬНЫЙ КОМБИНАТ ПРИМОРЬЕ"</t>
  </si>
  <si>
    <t>"ДОМОСТРОИТЕЛЬНЫЙ КОМБИНАТ ПРИМОРЬЕ"</t>
  </si>
  <si>
    <t>2521014944</t>
  </si>
  <si>
    <t>692481, Приморский край, муниципальный район НАДЕЖДИНСКИЙ, Село ВОЛЬНО-НАДЕЖДИНСКОЕ, сельское поселение НАДЕЖДИНСКОЕ, ТЕР ТОР НАДЕЖДИНСКАЯ, УЛ ЦЕНТРАЛЬНАЯ, Д. 30,</t>
  </si>
  <si>
    <t>Леганов Павел Владимирович</t>
  </si>
  <si>
    <t>+7 (914) 705-99-81'</t>
  </si>
  <si>
    <t>43.820088,131.978514</t>
  </si>
  <si>
    <t>ОБЩЕСТВО С ОГРАНИЧЕННОЙ ОТВЕТСТВЕННОСТЬЮ "УССУРИЙСКИЕ МОСТОСТРОИТЕЛЬНЫЕ КОНСТРУКЦИИ"</t>
  </si>
  <si>
    <t>"УССУРИЙСКИЕ МОСТОСТРОИТЕЛЬНЫЕ КОНСТРУКЦИИ"</t>
  </si>
  <si>
    <t>2511105871</t>
  </si>
  <si>
    <t>692510, ПРИМОРСКИЙ КРАЙ, ГОРОД УССУРИЙСК, УЛИЦА ПОПОВА, ДОМ 32А, СТРОЕНИЕ Л, ОФИС 1</t>
  </si>
  <si>
    <t>Ефимов Алексей Викторович</t>
  </si>
  <si>
    <t>+7 (924) 260-79-78'</t>
  </si>
  <si>
    <t>43.31891,131.994828</t>
  </si>
  <si>
    <t>ОБЩЕСТВО С ОГРАНИЧЕННОЙ ОТВЕТСТВЕННОСТЬЮ "СТРОЙ БЕТОН"</t>
  </si>
  <si>
    <t>"СТРОЙ БЕТОН"</t>
  </si>
  <si>
    <t>2521015240</t>
  </si>
  <si>
    <t>692491, ПРИМОРСКИЙ КРАЙ, Р-Н Надеждинский, П. Шмидтовка, УЛ. СОЛНЕЧНАЯ, ДВЛД. 14</t>
  </si>
  <si>
    <t>Логвинов Андрей Олегович</t>
  </si>
  <si>
    <t>+7 (914) 750-17-52'</t>
  </si>
  <si>
    <t>43.773974,132.000658</t>
  </si>
  <si>
    <t>ОБЩЕСТВО С ОГРАНИЧЕННОЙ ОТВЕТСТВЕННОСТЬЮ "ПРИМСТРОЙДЕТАЛЬ"</t>
  </si>
  <si>
    <t>"ПРИМСТРОЙДЕТАЛЬ"</t>
  </si>
  <si>
    <t>2511062850</t>
  </si>
  <si>
    <t>692502, ПРИМОРСКИЙ КРАЙ, Г. УССУРИЙСК, УЛ. ШТАБСКОГО, Д.10</t>
  </si>
  <si>
    <t>Вакс Эльмира Митхаевна</t>
  </si>
  <si>
    <t>ОБЩЕСТВО С ОГРАНИЧЕННОЙ ОТВЕТСТВЕННОСТЬЮ "СТРОЙДЕТАЛЬ ДВ"</t>
  </si>
  <si>
    <t>"СТРОЙДЕТАЛЬ ДВ"</t>
  </si>
  <si>
    <t>2511103850</t>
  </si>
  <si>
    <t>692502, ПРИМОРСКИЙ КРАЙ, УССУРИЙСК Г, ШТАБСКОГО УЛ, ДОМ 10, ОФИС 3</t>
  </si>
  <si>
    <t>Брянцев Владимир Александрович</t>
  </si>
  <si>
    <t>+7 (914) 336-22-58', '+7 (423) 435-92-08'</t>
  </si>
  <si>
    <t>43.364544,132.000882</t>
  </si>
  <si>
    <t>ОБЩЕСТВО С ОГРАНИЧЕННОЙ ОТВЕТСТВЕННОСТЬЮ "ТЕХНО БЛОК"</t>
  </si>
  <si>
    <t>"ТЕХНО БЛОК"</t>
  </si>
  <si>
    <t>2502068905</t>
  </si>
  <si>
    <t>692481, Приморский край, НАДЕЖДИНСКИЙ, 2 НАДЕЖДИНСКОЕ, С ВОЛЬНО-НАДЕЖДИНСКОЕ, УЛ ЛЕНИНА, Д. 77</t>
  </si>
  <si>
    <t>Пушкарь Александр Васильевич</t>
  </si>
  <si>
    <t>43.234792,132.013432</t>
  </si>
  <si>
    <t>ОБЩЕСТВО С ОГРАНИЧЕННОЙ ОТВЕТСТВЕННОСТЬЮ "КРАСНЫЙ КВАДРАТ"</t>
  </si>
  <si>
    <t>"КРАСНЫЙ КВАДРАТ"</t>
  </si>
  <si>
    <t>2543018815</t>
  </si>
  <si>
    <t>690024, ПРИМОРСКИЙ КРАЙ, ГОРОД ВЛАДИВОСТОК, УЛИЦА БАКУНИНА, ДОМ 12, КАБИНЕТ 14</t>
  </si>
  <si>
    <t>Андрейцев Эдуард Юрьевич</t>
  </si>
  <si>
    <t>+7 (423) 255-55-33'</t>
  </si>
  <si>
    <t>43.231554,132.029655</t>
  </si>
  <si>
    <t>ОБЩЕСТВО С ОГРАНИЧЕННОЙ ОТВЕТСТВЕННОСТЬЮ "ПРИМОРЬЕ"</t>
  </si>
  <si>
    <t>"ПРИМОРЬЕ"</t>
  </si>
  <si>
    <t>2543164816</t>
  </si>
  <si>
    <t>690001, Приморский край, ВЛАДИВОСТОКСКИЙ, Г ВЛАДИВОСТОК, УЛ БРУСНИЧНАЯ, Д. 5</t>
  </si>
  <si>
    <t>Дячук Михаил Борисович</t>
  </si>
  <si>
    <t>999263@MAIL.RU'</t>
  </si>
  <si>
    <t>43.357996,132.030599</t>
  </si>
  <si>
    <t>ОБЩЕСТВО С ОГРАНИЧЕННОЙ ОТВЕТСТВЕННОСТЬЮ "ЗАВОД СТРОИТЕЛЬНЫХ МАТЕРИАЛОВ"</t>
  </si>
  <si>
    <t>"ЗАВОД СТРОИТЕЛЬНЫХ МАТЕРИАЛОВ"</t>
  </si>
  <si>
    <t>2502067806</t>
  </si>
  <si>
    <t>692491, Приморский край, НАДЕЖДИНСКИЙ, 2 НАДЕЖДИНСКОЕ, П НОВЫЙ, УЛ ГОРНАЯ, Д. 3</t>
  </si>
  <si>
    <t>Козицкий Анатолий Михайлович</t>
  </si>
  <si>
    <t>43.271838,132.049948</t>
  </si>
  <si>
    <t>ОБЩЕСТВО С ОГРАНИЧЕННОЙ ОТВЕТСТВЕННОСТЬЮ "АЛВИКС"</t>
  </si>
  <si>
    <t>"АЛВИКС"</t>
  </si>
  <si>
    <t>2539029282</t>
  </si>
  <si>
    <t>Г ВЛАДИВОСТОК,УЛ АЛЕКСАНДРОВИЧА, 13 К 15</t>
  </si>
  <si>
    <t>Слободенюк Виктор Васильевич</t>
  </si>
  <si>
    <t>43.302058,132.075514</t>
  </si>
  <si>
    <t>ОБЩЕСТВО С ОГРАНИЧЕННОЙ ОТВЕТСТВЕННОСТЬЮ "ЭКСПОТРЕЙД"</t>
  </si>
  <si>
    <t>"ЭКСПОТРЕЙД"</t>
  </si>
  <si>
    <t>2543134917</t>
  </si>
  <si>
    <t>690910, ПРИМОРСКИЙ КРАЙ, ГОРОД ВЛАДИВОСТОК, ПОСЕЛОК ТРУДОВОЕ, УЛИЦА УШАКОВА, ДОМ 38</t>
  </si>
  <si>
    <t>Шаптала Александр Валерьевич</t>
  </si>
  <si>
    <t>43.318412,132.082063</t>
  </si>
  <si>
    <t>ОБЩЕСТВО С ОГРАНИЧЕННОЙ ОТВЕТСТВЕННОСТЬЮ "АС ТЕХНОЛОДЖИ ГРУПП"</t>
  </si>
  <si>
    <t>"АС ТЕХНОЛОДЖИ ГРУПП"</t>
  </si>
  <si>
    <t>2502062389</t>
  </si>
  <si>
    <t>692770, ПРИМОРСКИЙ КРАЙ, ГОРОД АРТЕМ, УЛИЦА ГАГАРИНА, ДОМ 23, КОРПУС А, ПОМЕЩЕНИЕ 212</t>
  </si>
  <si>
    <t>Третьяков Сергей Геннадьевич</t>
  </si>
  <si>
    <t>43.351683,132.084596</t>
  </si>
  <si>
    <t>ОБЩЕСТВО С ОГРАНИЧЕННОЙ ОТВЕТСТВЕННОСТЬЮ "МОНТЕ"</t>
  </si>
  <si>
    <t>"МОНТЕ"</t>
  </si>
  <si>
    <t>2502068158</t>
  </si>
  <si>
    <t>692754, Приморский край, АРТЕМОВСКИЙ, Г АРТЕМ, УЛ СЕВСКАЯ, Д. 44</t>
  </si>
  <si>
    <t>Оганисян Карен Оганесович</t>
  </si>
  <si>
    <t>43.310311,132.084983</t>
  </si>
  <si>
    <t>ОБЩЕСТВО С ОГРАНИЧЕННОЙ ОТВЕТСТВЕННОСТЬЮ "КРИСТАЛЛСТРОЙМОНОЛИТ"</t>
  </si>
  <si>
    <t>"КРИСТАЛЛСТРОЙМОНОЛИТ"</t>
  </si>
  <si>
    <t>2543104006</t>
  </si>
  <si>
    <t>690910, ПРИМОРСКИЙ КРАЙ, Г. ВЛАДИВОСТОК, П ТРУДОВОЕ, УЛ. ПШЕНИЦЫНА, Д. 4, К. А</t>
  </si>
  <si>
    <t>Карпова Ольга Олеговна</t>
  </si>
  <si>
    <t>43.335555,132.113675</t>
  </si>
  <si>
    <t>ОБЩЕСТВО С ОГРАНИЧЕННОЙ ОТВЕТСТВЕННОСТЬЮ "Солен-М"</t>
  </si>
  <si>
    <t>"Солен-М"</t>
  </si>
  <si>
    <t>2502043900</t>
  </si>
  <si>
    <t>692771, ПРИМОРСКИЙ КРАЙ, Г. АРТЕМ, УЛ. БАУМАНА, Д.12</t>
  </si>
  <si>
    <t>Сокольский Алексей Эдуардович</t>
  </si>
  <si>
    <t>+7 (963) 836-31-56', '+7 (902) 506-98-22'</t>
  </si>
  <si>
    <t>43.346753,132.117448</t>
  </si>
  <si>
    <t>ОБЩЕСТВО С ОГРАНИЧЕННОЙ ОТВЕТСТВЕННОСТЬЮ "РОСОМАХА"</t>
  </si>
  <si>
    <t>"РОСОМАХА"</t>
  </si>
  <si>
    <t>2509011136</t>
  </si>
  <si>
    <t>692754, ПРИМОРСКИЙ КРАЙ, Г. АРТЕМ, УЛ. КУЗБАССКАЯ, Д. 2,..</t>
  </si>
  <si>
    <t>Суржанская Екатерина Геннадьевна</t>
  </si>
  <si>
    <t>+7 (914) 733-49-79'</t>
  </si>
  <si>
    <t>43.359818,132.203425</t>
  </si>
  <si>
    <t>ОБЩЕСТВО С ОГРАНИЧЕННОЙ ОТВЕТСТВЕННОСТЬЮ "КОМБИНАТ СТРОИТЕЛЬНЫХ МАТЕРИАЛОВ "АПОСТОЛ"</t>
  </si>
  <si>
    <t>"КОМБИНАТ СТРОИТЕЛЬНЫХ МАТЕРИАЛОВ "АПОСТОЛ"</t>
  </si>
  <si>
    <t>2502052430</t>
  </si>
  <si>
    <t>692760, ПРИМОРСКИЙ КРАЙ, Г. АРТЕМ, УЛ. КУЙБЫШЕВА, Д. 9А</t>
  </si>
  <si>
    <t>Безбородов Сергей Васильевич</t>
  </si>
  <si>
    <t>+7 (984) 188-55-59'</t>
  </si>
  <si>
    <t>43.349205,132.298539</t>
  </si>
  <si>
    <t>ОБЩЕСТВО С ОГРАНИЧЕННОЙ ОТВЕТСТВЕННОСТЬЮ "ФЁСТ ДВ"</t>
  </si>
  <si>
    <t>"ФЁСТ ДВ"</t>
  </si>
  <si>
    <t>2502067637</t>
  </si>
  <si>
    <t>692774, Приморский край, АРТЕМОВСКИЙ, С ОЛЕНИЙ, УЛ ТОПОЛИНАЯ, Д. 7/1</t>
  </si>
  <si>
    <t>Пак Сергей Григорьевич</t>
  </si>
  <si>
    <t>43.114911,132.349518</t>
  </si>
  <si>
    <t>ОБЩЕСТВО С ОГРАНИЧЕННОЙ ОТВЕТСТВЕННОСТЬЮ "АЛЬЯНС"</t>
  </si>
  <si>
    <t>"АЛЬЯНС"</t>
  </si>
  <si>
    <t>2503037441</t>
  </si>
  <si>
    <t>692802, ПРИМОРСКИЙ КРАЙ, ГОРОД БОЛЬШОЙ КАМЕНЬ, УЛИЦА АЛЛЕЯ ТРУДА, ДОМ 16,..</t>
  </si>
  <si>
    <t>Любушкин Алексей Викторович</t>
  </si>
  <si>
    <t>43.110843,132.354037</t>
  </si>
  <si>
    <t>ОБЩЕСТВО С ОГРАНИЧЕННОЙ ОТВЕТСТВЕННОСТЬЮ "КОМПЛЕКСНЫЙ ЗАВОД СТРОИТЕЛЬНЫХ ИЗДЕЛИЙ"</t>
  </si>
  <si>
    <t>"КОМПЛЕКСНЫЙ ЗАВОД СТРОИТЕЛЬНЫХ ИЗДЕЛИЙ"</t>
  </si>
  <si>
    <t>2503033447</t>
  </si>
  <si>
    <t>692806, ПРИМОРСКИЙ КРАЙ, ГОРОД БОЛЬШОЙ КАМЕНЬ, УЛИЦА АЛЛЕЯ ТРУДА, ДОМ 35А, ПОМЕЩЕНИЕ 6</t>
  </si>
  <si>
    <t>Саломатин Александр Александрович</t>
  </si>
  <si>
    <t>+7 (914) 791-23-99'</t>
  </si>
  <si>
    <t>43.129006,132.370404</t>
  </si>
  <si>
    <t>ОБЩЕСТВО С ОГРАНИЧЕННОЙ ОТВЕТСТВЕННОСТЬЮ "БДРМ"</t>
  </si>
  <si>
    <t>"БДРМ"</t>
  </si>
  <si>
    <t>2503024410</t>
  </si>
  <si>
    <t>ПРИМОРСКИЙ КРАЙ,Г БОЛЬШОЙ КАМЕНЬ,УЛ ВОРОШИЛОВА, 48</t>
  </si>
  <si>
    <t>Салин Анатолий Петрович</t>
  </si>
  <si>
    <t>+7 (914) 701-27-09'</t>
  </si>
  <si>
    <t>44.340838,132.588776</t>
  </si>
  <si>
    <t>ОБЩЕСТВО С ОГРАНИЧЕННОЙ ОТВЕТСТВЕННОСТЬЮ "СИБИРЦЕВСКИЙ КОМБИНАТ СТРОИТЕЛЬНОЙ ИНДУСТРИИ -1"</t>
  </si>
  <si>
    <t>"СИБИРЦЕВСКИЙ КОМБИНАТ СТРОИТЕЛЬНОЙ ИНДУСТРИИ -1"</t>
  </si>
  <si>
    <t>2533008864</t>
  </si>
  <si>
    <t>ПРИМОРСКИЙ КРАЙ,ЧЕРНИГОВСКИЙ Р-Н,С ЧЕРНИГОВКА,УЛ ШОССЕЙНАЯ, 1 А</t>
  </si>
  <si>
    <t>Галиченко Анатолий Геннадьевич</t>
  </si>
  <si>
    <t>44.579654,132.788372</t>
  </si>
  <si>
    <t>ОБЩЕСТВО С ОГРАНИЧЕННОЙ ОТВЕТСТВЕННОСТЬЮ "ТРИЛИТОН"</t>
  </si>
  <si>
    <t>"ТРИЛИТОН"</t>
  </si>
  <si>
    <t>2502064675</t>
  </si>
  <si>
    <t>692237, ПРИМОРСКИЙ КРАЙ, Г. Спасск-Дальний, УЛ. СОВЕТСКАЯ, Д. 286/2, ПОМЕЩ. 7</t>
  </si>
  <si>
    <t>Марков Константин Григорьевич</t>
  </si>
  <si>
    <t>44.594149,132.801066</t>
  </si>
  <si>
    <t>ОБЩЕСТВО С ОГРАНИЧЕННОЙ ОТВЕТСТВЕННОСТЬЮ "МОНОЛИТ ТРЕЙД"</t>
  </si>
  <si>
    <t>"МОНОЛИТ ТРЕЙД"</t>
  </si>
  <si>
    <t>2510014565</t>
  </si>
  <si>
    <t>692236, ПРИМОРСКИЙ КРАЙ, ГОРОД СПАССК-ДАЛЬНИЙ, УЛИЦА ТАРАСА ШЕВЧЕНКО, ДОМ 189</t>
  </si>
  <si>
    <t>Дроганюк Владимир Владимирович</t>
  </si>
  <si>
    <t>+7 (964) 430-38-08'</t>
  </si>
  <si>
    <t>44.598969,132.814208</t>
  </si>
  <si>
    <t>ОБЩЕСТВО С ОГРАНИЧЕННОЙ ОТВЕТСТВЕННОСТЬЮ "ЭНЕРГОПРИМСНАБ"</t>
  </si>
  <si>
    <t>"ЭНЕРГОПРИМСНАБ"</t>
  </si>
  <si>
    <t>2540197443</t>
  </si>
  <si>
    <t>692245, ПРИМОРСКИЙ КРАЙ, Г. СПАССК-ДАЛЬНИЙ, УЛ. БОРИСОВА, Д. 41, КАБИНЕТ 12</t>
  </si>
  <si>
    <t>Бекиш Василий Васильевич</t>
  </si>
  <si>
    <t>+7 (423) 202-24-07', '+7 (902) 521-85-91'</t>
  </si>
  <si>
    <t>ingener2484@yandex.ru'</t>
  </si>
  <si>
    <t>44.586825,132.818179</t>
  </si>
  <si>
    <t>ОБЩЕСТВО С ОГРАНИЧЕННОЙ ОТВЕТСТВЕННОСТЬЮ "САМИН"</t>
  </si>
  <si>
    <t>"САМИН"</t>
  </si>
  <si>
    <t>2510015738</t>
  </si>
  <si>
    <t>692243, ПРИМОРСКИЙ КРАЙ, СПАССК-ДАЛЬНИЙ Г, КРАСНОЗНАМЁННАЯ УЛ, ДОМ 50, КОРПУС 4</t>
  </si>
  <si>
    <t>Хватов Антон Михайлович</t>
  </si>
  <si>
    <t>44.586125,132.819436</t>
  </si>
  <si>
    <t>ОБЩЕСТВО С ОГРАНИЧЕННОЙ ОТВЕТСТВЕННОСТЬЮ "СТРОИТЕЛЬНАЯ ТОРГОВАЯ КОМПАНИЯ"</t>
  </si>
  <si>
    <t>"СТРОИТЕЛЬНАЯ ТОРГОВАЯ КОМПАНИЯ"</t>
  </si>
  <si>
    <t>2510009318</t>
  </si>
  <si>
    <t>692243, ПРИМОРСКИЙ КРАЙ, ГОРОД СПАССК-ДАЛЬНИЙ, УЛИЦА КРАСНОЗНАМЁННАЯ, ДОМ 50А</t>
  </si>
  <si>
    <t>Хватов Михаил Юрьевич</t>
  </si>
  <si>
    <t>ОБЩЕСТВО С ОГРАНИЧЕННОЙ ОТВЕТСТВЕННОСТЬЮ  "СПАССКИЙ ЗАВОД ЖЕЛЕЗОБЕТОННЫХ ИЗДЕЛИЙ"</t>
  </si>
  <si>
    <t xml:space="preserve"> "СПАССКИЙ ЗАВОД ЖЕЛЕЗОБЕТОННЫХ ИЗДЕЛИЙ"</t>
  </si>
  <si>
    <t>2510015230</t>
  </si>
  <si>
    <t>692243, ПРИМОРСКИЙ КРАЙ, ГОРОД СПАССК-ДАЛЬНИЙ, УЛИЦА КРАСНОЗНАМЁННАЯ, ДОМ 50А, ПОМЕЩЕНИЕ 2</t>
  </si>
  <si>
    <t>Шульгин Даниил Константинович</t>
  </si>
  <si>
    <t>+7 (922) 221-85-65', '+7 (343) 287-54-87'</t>
  </si>
  <si>
    <t>42.779194,132.878662</t>
  </si>
  <si>
    <t>ОБЩЕСТВО С ОГРАНИЧЕННОЙ ОТВЕТСТВЕННОСТЬЮ "ТБСТРОЙ"</t>
  </si>
  <si>
    <t>"ТБСТРОЙ"</t>
  </si>
  <si>
    <t>2508127145</t>
  </si>
  <si>
    <t>692929, ПРИМОРСКИЙ КРАЙ, ГОРОД НАХОДКА, УЛИЦА МУСАТОВА, ДОМ 5, ПОМЕЩЕНИЕ 2</t>
  </si>
  <si>
    <t>Горбачев Владимир Юлиевич</t>
  </si>
  <si>
    <t>+7 (914) 713-33-46'</t>
  </si>
  <si>
    <t>ОБЩЕСТВО С ОГРАНИЧЕННОЙ ОТВЕТСТВЕННОСТЬЮ "ТБСТРОЙ-НАХОДКА"</t>
  </si>
  <si>
    <t>"ТБСТРОЙ-НАХОДКА"</t>
  </si>
  <si>
    <t>2508142672</t>
  </si>
  <si>
    <t>692921, Приморский край, НАХОДКИНСКИЙ, Г НАХОДКА, УЛ МУСАТОВА, Д. 5</t>
  </si>
  <si>
    <t>Сороквашин Андрей Юрьевич</t>
  </si>
  <si>
    <t>NAKHODKA@YANDEX.RU'</t>
  </si>
  <si>
    <t>42.834953,132.89264</t>
  </si>
  <si>
    <t>Общество с ограниченной ответственностью "Эксперт"</t>
  </si>
  <si>
    <t>"Эксперт"</t>
  </si>
  <si>
    <t>2502038072</t>
  </si>
  <si>
    <t>692928, Приморский край, г Находка, б-р Озерный, д 4,..</t>
  </si>
  <si>
    <t>Бушманов Юрий Геннадьевич</t>
  </si>
  <si>
    <t>42.834821,132.893403</t>
  </si>
  <si>
    <t>ОБЩЕСТВО С ОГРАНИЧЕННОЙ ОТВЕТСТВЕННОСТЬЮ "ЭЛИТБЕТОН"</t>
  </si>
  <si>
    <t>"ЭЛИТБЕТОН"</t>
  </si>
  <si>
    <t>2508142009</t>
  </si>
  <si>
    <t>692918, Приморский край, городской округ НАХОДКИНСКИЙ, Город НАХОДКА, Б-Р ОЗЕРНЫЙ, Д. 2,..</t>
  </si>
  <si>
    <t>Дамаскин Максим Сергеевич</t>
  </si>
  <si>
    <t>BUH@MAIL.RU'</t>
  </si>
  <si>
    <t>42.841174,132.899144</t>
  </si>
  <si>
    <t>ОБЩЕСТВО С ОГРАНИЧЕННОЙ ОТВЕТСТВЕННОСТЬЮ "РУНИС-ДВ"</t>
  </si>
  <si>
    <t>"РУНИС-ДВ"</t>
  </si>
  <si>
    <t>2508114065</t>
  </si>
  <si>
    <t>692905, ПРИМОРСКИЙ КРАЙ, НАХОДКА Г, ЧЕХОВА УЛ, ДОМ 16,..</t>
  </si>
  <si>
    <t>Лавриненко Екатерина Александровна</t>
  </si>
  <si>
    <t>+7 (914) 793-89-64', '+7 (914) 708-83-40'</t>
  </si>
  <si>
    <t>59@mail.ru'</t>
  </si>
  <si>
    <t>42.840625,132.942541</t>
  </si>
  <si>
    <t>ОБЩЕСТВО С ОГРАНИЧЕННОЙ ОТВЕТСТВЕННОСТЬЮ "ДЕКОР ДВ"</t>
  </si>
  <si>
    <t>"ДЕКОР ДВ"</t>
  </si>
  <si>
    <t>2508140604</t>
  </si>
  <si>
    <t>692906, ПРИМОРСКИЙ КРАЙ, Г. Находка, УЛ. БЕРЕГОВАЯ, Д. 1, ОФИС 3</t>
  </si>
  <si>
    <t>Гросман Константин Николаевич</t>
  </si>
  <si>
    <t>DEKORDV21@MAIL.RU'</t>
  </si>
  <si>
    <t>48.770667,132.956537</t>
  </si>
  <si>
    <t>ОБЩЕСТВО С ОГРАНИЧЕННОЙ ОТВЕТСТВЕННОСТЬЮ "ЛИТОФЛЕКС"</t>
  </si>
  <si>
    <t>"ЛИТОФЛЕКС"</t>
  </si>
  <si>
    <t>7901550316</t>
  </si>
  <si>
    <t>679016, ЕВРЕЙСКАЯ АОБЛ, БИРОБИДЖАН Г, СТЯЖКИНА УЛ, ДОМ 27</t>
  </si>
  <si>
    <t>Горюн Сергей Викторович</t>
  </si>
  <si>
    <t>42.857527,132.956744</t>
  </si>
  <si>
    <t>ОБЩЕСТВО С ОГРАНИЧЕННОЙ ОТВЕТСТВЕННОСТЬЮ "КПД-80"</t>
  </si>
  <si>
    <t>"КПД-80"</t>
  </si>
  <si>
    <t>2508087608</t>
  </si>
  <si>
    <t>692906, ПРИМОРСКИЙ КРАЙ, ГОРОД НАХОДКА, ПРОСПЕКТ СЕВЕРНЫЙ, 65</t>
  </si>
  <si>
    <t>Горбунова Галина Николаевна</t>
  </si>
  <si>
    <t>42.85682,132.974261</t>
  </si>
  <si>
    <t>ОБЩЕСТВО С ОГРАНИЧЕННОЙ ОТВЕТСТВЕННОСТЬЮ "АЗУРИТ"</t>
  </si>
  <si>
    <t>"АЗУРИТ"</t>
  </si>
  <si>
    <t>2508130388</t>
  </si>
  <si>
    <t>692906, ПРИМОРСКИЙ КРАЙ, НАХОДКА Г, СЕВЕРНЫЙ ПР-КТ, ДОМ 77</t>
  </si>
  <si>
    <t>Любарь Анна Владимировна</t>
  </si>
  <si>
    <t>+7 (984) 194-81-14'</t>
  </si>
  <si>
    <t>48.68714,132.981852</t>
  </si>
  <si>
    <t>ОБЩЕСТВО С ОГРАНИЧЕННОЙ ОТВЕТСТВЕННОСТЬЮ "РЕМСПЕЦСТРОЙ"</t>
  </si>
  <si>
    <t>"РЕМСПЕЦСТРОЙ"</t>
  </si>
  <si>
    <t>7906505758</t>
  </si>
  <si>
    <t>679511, ЕВРЕЙСКАЯ АВТОНОМНАЯ ОБЛАСТЬ, РАЙОН БИРОБИДЖАНСКИЙ, СЕЛО ВАЛДГЕЙМ, УЛИЦА ЦЕНТРАЛЬНАЯ, ДОМ 84,..</t>
  </si>
  <si>
    <t>Морозов Денис Валерьевич</t>
  </si>
  <si>
    <t>42.93341,133.025977</t>
  </si>
  <si>
    <t>ОБЩЕСТВО С ОГРАНИЧЕННОЙ ОТВЕТСТВЕННОСТЬЮ "СЕЛЕНУР"</t>
  </si>
  <si>
    <t>"СЕЛЕНУР"</t>
  </si>
  <si>
    <t>2508048630</t>
  </si>
  <si>
    <t>ПРИМОРСКИЙ КРАЙ,ПАРТИЗАНСКИЙ Р-Н,С ЕКАТЕРИНОВКА,УЛ КОСМИЧЕСКАЯ, 1</t>
  </si>
  <si>
    <t>Луханин Игорь Анатольевич</t>
  </si>
  <si>
    <t>+7 (914) 670-76-10'</t>
  </si>
  <si>
    <t>44.16606,133.282006</t>
  </si>
  <si>
    <t>ОБЩЕСТВО С ОГРАНИЧЕННОЙ ОТВЕТСТВЕННОСТЬЮ "АРСЕНЬЕВСКИЙ ЗАВОД ЖЕЛЕЗОБЕТОННЫХ ИЗДЕЛИЙ"</t>
  </si>
  <si>
    <t>"АРСЕНЬЕВСКИЙ ЗАВОД ЖЕЛЕЗОБЕТОННЫХ ИЗДЕЛИЙ"</t>
  </si>
  <si>
    <t>2502067203</t>
  </si>
  <si>
    <t>692338, Приморский край, АРСЕНЬЕВСКИЙ, Г АРСЕНЬЕВ, УЛ 9 МАЯ, Д. 63</t>
  </si>
  <si>
    <t>Пустовит Сергей Владимирович</t>
  </si>
  <si>
    <t>ARSJBI@YANDEX.RU'</t>
  </si>
  <si>
    <t>62.697733,134.60959</t>
  </si>
  <si>
    <t>ОБЩЕСТВО С ОГРАНИЧЕННОЙ ОТВЕТСТВЕННОСТЬЮ "БААЙ СИР"</t>
  </si>
  <si>
    <t>"БААЙ СИР"</t>
  </si>
  <si>
    <t>1426000516</t>
  </si>
  <si>
    <t>678725, САХА /ЯКУТИЯ/ РЕСПУБЛИКА, УЛУС ТОМПОНСКИЙ, СЕЛО МЕГИНО-АЛДАН, УЛИЦА ОКТЯБРЬСКАЯ, ДОМ 47</t>
  </si>
  <si>
    <t>Хоноехов Джулустан Станиславович</t>
  </si>
  <si>
    <t>48.566832,135.025968</t>
  </si>
  <si>
    <t>ОБЩЕСТВО С ОГРАНИЧЕННОЙ ОТВЕТСТВЕННОСТЬЮ "ТАТЬЯНА"</t>
  </si>
  <si>
    <t>"ТАТЬЯНА"</t>
  </si>
  <si>
    <t>2725128570</t>
  </si>
  <si>
    <t>27-Хабаровский край</t>
  </si>
  <si>
    <t>680018, ХАБАРОВСКИЙ КРАЙ, Г. ХАБАРОВСК, УЛ. КИРОВА, Д.1, К.5</t>
  </si>
  <si>
    <t>Тун Елена Жинлыновна</t>
  </si>
  <si>
    <t>cpu@mail.ru'</t>
  </si>
  <si>
    <t>48.519536,135.030451</t>
  </si>
  <si>
    <t>ОБЩЕСТВО С ОГРАНИЧЕННОЙ ОТВЕТСТВЕННОСТЬЮ "КОМ ДВ"</t>
  </si>
  <si>
    <t>"КОМ ДВ"</t>
  </si>
  <si>
    <t>2722131246</t>
  </si>
  <si>
    <t>680026, Хабаровский край, городской округ ГОРОД ХАБАРОВСК, Город ХАБАРОВСК, УЛ НЕВЕЛЬСКОГО, Д. 53,</t>
  </si>
  <si>
    <t>Смоленцев Евгений Михайлович</t>
  </si>
  <si>
    <t>48.539858,135.033981</t>
  </si>
  <si>
    <t>ОБЩЕСТВО С ОГРАНИЧЕННОЙ ОТВЕТСТВЕННОСТЬЮ "ГЕНИКСТРОЙ ДВ"</t>
  </si>
  <si>
    <t>"ГЕНИКСТРОЙ ДВ"</t>
  </si>
  <si>
    <t>2722096785</t>
  </si>
  <si>
    <t>680054, ХАБАРОВСКИЙ КРАЙ, ГОРОД ХАБАРОВСК, УЛИЦА ТРЕХГОРНАЯ, ДОМ 60,..</t>
  </si>
  <si>
    <t>Орешкова Екатерина Александровна</t>
  </si>
  <si>
    <t>+7 (914) 547-54-36'</t>
  </si>
  <si>
    <t>48.539011,135.035454</t>
  </si>
  <si>
    <t>ОБЩЕСТВО С ОГРАНИЧЕННОЙ ОТВЕТСТВЕННОСТЬЮ "АМУР ЖБИ"</t>
  </si>
  <si>
    <t>"АМУР ЖБИ"</t>
  </si>
  <si>
    <t>2722090776</t>
  </si>
  <si>
    <t>680054, ХАБАРОВСКИЙ КРАЙ, ХАБАРОВСК Г, ТРЕХГОРНАЯ УЛ, ДОМ 50,..</t>
  </si>
  <si>
    <t>Долгополов Евгений Юрьевич</t>
  </si>
  <si>
    <t>755051@mail.ru'</t>
  </si>
  <si>
    <t>48.495761,135.048372</t>
  </si>
  <si>
    <t>ОБЩЕСТВО С ОГРАНИЧЕННОЙ ОТВЕТСТВЕННОСТЬЮ "ЭЛЕМЕНТСТРОЙ"</t>
  </si>
  <si>
    <t>"ЭЛЕМЕНТСТРОЙ"</t>
  </si>
  <si>
    <t>2722138026</t>
  </si>
  <si>
    <t>680011, Хабаровский край, ГОРОД ХАБАРОВСК, Г ХАБАРОВСК, УЛ ДЖАМБУЛА, Д. 80/1</t>
  </si>
  <si>
    <t>Попов Вадим Игоревич</t>
  </si>
  <si>
    <t>POPOV27@YANDEX.RU'</t>
  </si>
  <si>
    <t>48.550421,135.051417</t>
  </si>
  <si>
    <t>ОБЩЕСТВО С ОГРАНИЧЕННОЙ ОТВЕТСТВЕННОСТЬЮ "ГЕФЕСТ+"</t>
  </si>
  <si>
    <t>"ГЕФЕСТ+"</t>
  </si>
  <si>
    <t>2722106828</t>
  </si>
  <si>
    <t>680033, ХАБАРОВСКИЙ КРАЙ, ГОРОД ХАБАРОВСК, УЛИЦА ТИХООКЕАНСКАЯ, ДОМ 194,..</t>
  </si>
  <si>
    <t>Иваненко Павел Юрьевич</t>
  </si>
  <si>
    <t>+7 (962) 502-72-93'</t>
  </si>
  <si>
    <t>48.581973,135.053681</t>
  </si>
  <si>
    <t>ОБЩЕСТВО С ОГРАНИЧЕННОЙ ОТВЕТСТВЕННОСТЬЮ "БСТ ХАБ"</t>
  </si>
  <si>
    <t>"БСТ ХАБ"</t>
  </si>
  <si>
    <t>2722125309</t>
  </si>
  <si>
    <t>680018, ХАБАРОВСКИЙ КРАЙ, Г. ХАБАРОВСК, УЛ. БЕЛИНСКОГО, Д. 9Б</t>
  </si>
  <si>
    <t>Дементьев Владимир Александрович</t>
  </si>
  <si>
    <t>48.490572,135.056619</t>
  </si>
  <si>
    <t>ОБЩЕСТВО С ОГРАНИЧЕННОЙ ОТВЕТСТВЕННОСТЬЮ "СВЯЗЬСТРОЙКОМ-ДВ"</t>
  </si>
  <si>
    <t>"СВЯЗЬСТРОЙКОМ-ДВ"</t>
  </si>
  <si>
    <t>2722072921</t>
  </si>
  <si>
    <t>680011, ХАБАРОВСКИЙ КРАЙ, ГОРОД ХАБАРОВСК, УЛИЦА ДЖАМБУЛА, ДОМ 36,..</t>
  </si>
  <si>
    <t>Галстян Гарник Гамлетович</t>
  </si>
  <si>
    <t>ssk_dv@mail.ru'</t>
  </si>
  <si>
    <t>48.506668,135.065305</t>
  </si>
  <si>
    <t>ОБЩЕСТВО С ОГРАНИЧЕННОЙ ОТВЕТСТВЕННОСТЬЮ "ЗАВОД ТОВАРНОГО ЖЕЛЕЗОБЕТОНА"</t>
  </si>
  <si>
    <t>"ЗАВОД ТОВАРНОГО ЖЕЛЕЗОБЕТОНА"</t>
  </si>
  <si>
    <t>2724243957</t>
  </si>
  <si>
    <t>680022, ХАБАРОВСКИЙ КРАЙ, Г. Хабаровск, УЛ. БОЛЬНИЧНАЯ, Д. 2В,..</t>
  </si>
  <si>
    <t>Чепига Анатолий Анатольевич</t>
  </si>
  <si>
    <t>48.474908,135.068225</t>
  </si>
  <si>
    <t>ОБЩЕСТВО С ОГРАНИЧЕННОЙ ОТВЕТСТВЕННОСТЬЮ "СТЕЛЛАР-САХАЛИН"</t>
  </si>
  <si>
    <t>"СТЕЛЛАР-САХАЛИН"</t>
  </si>
  <si>
    <t>2721247946</t>
  </si>
  <si>
    <t>680000, ХАБАРОВСКИЙ КРАЙ, ГОРОД ХАБАРОВСК, УЛИЦА ДЗЕРЖИНСКОГО, ДОМ 39,..</t>
  </si>
  <si>
    <t>Похлебаев Михаил Геннадьевич</t>
  </si>
  <si>
    <t>48.476042,135.06871</t>
  </si>
  <si>
    <t>ОБЩЕСТВО С ОГРАНИЧЕННОЙ ОТВЕТСТВЕННОСТЬЮ "Стройград"</t>
  </si>
  <si>
    <t>"Стройград"</t>
  </si>
  <si>
    <t>2723159163</t>
  </si>
  <si>
    <t>680000, ХАБАРОВСКИЙ КРАЙ, Г. Хабаровск, УЛ. ДЗЕРЖИНСКОГО, Д. 34, ОФИС 408</t>
  </si>
  <si>
    <t>Поздяйкин Александр Владимирович</t>
  </si>
  <si>
    <t>elena270400@mail.ru'</t>
  </si>
  <si>
    <t>48.487843,135.078888</t>
  </si>
  <si>
    <t>ОБЩЕСТВО С ОГРАНИЧЕННОЙ ОТВЕТСТВЕННОСТЬЮ "Аврора"</t>
  </si>
  <si>
    <t>"Аврора"</t>
  </si>
  <si>
    <t>2721195310</t>
  </si>
  <si>
    <t>680000, ХАБАРОВСКИЙ КРАЙ, ГОРОД ХАБАРОВСК, УЛИЦА КИМ Ю ЧЕНА, 34, ОФИС 1</t>
  </si>
  <si>
    <t>Назарова Ольга Павловна</t>
  </si>
  <si>
    <t>48.486948,135.079373</t>
  </si>
  <si>
    <t>ОБЩЕСТВО С ОГРАНИЧЕННОЙ ОТВЕТСТВЕННОСТЬЮ "ИННОВАЦИОННО-ТЕХНОЛОГИЧЕСКИЙ ЦЕНТР"</t>
  </si>
  <si>
    <t>"ИННОВАЦИОННО-ТЕХНОЛОГИЧЕСКИЙ ЦЕНТР"</t>
  </si>
  <si>
    <t>2720053169</t>
  </si>
  <si>
    <t>680000, ХАБАРОВСКИЙ КРАЙ, Г. Хабаровск, УЛ. ДИКОПОЛЬЦЕВА, Д. 44,..</t>
  </si>
  <si>
    <t>Онучин Евгений Викторович</t>
  </si>
  <si>
    <t>@mail.ru'</t>
  </si>
  <si>
    <t>48.365687,135.08505</t>
  </si>
  <si>
    <t>ОБЩЕСТВО С ОГРАНИЧЕННОЙ ОТВЕТСТВЕННОСТЬЮ "ХАБАРОВСКИЙ БЛОК"</t>
  </si>
  <si>
    <t>"ХАБАРОВСКИЙ БЛОК"</t>
  </si>
  <si>
    <t>2723200460</t>
  </si>
  <si>
    <t>680040, ХАБАРОВСКИЙ КРАЙ, ГОРОД ХАБАРОВСК, УЛИЦА РАЙОННАЯ, ДОМ 50</t>
  </si>
  <si>
    <t>Назаров Валерий Алексеевич</t>
  </si>
  <si>
    <t>48.380081,135.086739</t>
  </si>
  <si>
    <t>ОБЩЕСТВО С ОГРАНИЧЕННОЙ ОТВЕТСТВЕННОСТЬЮ "БРУСЧАТКА РУ"</t>
  </si>
  <si>
    <t>"БРУСЧАТКА РУ"</t>
  </si>
  <si>
    <t>2723199014</t>
  </si>
  <si>
    <t>680001, ХАБАРОВСКИЙ КРАЙ, ГОРОД ХАБАРОВСК, УЛИЦА АРТЕМОВСКАЯ, ДОМ 124,..</t>
  </si>
  <si>
    <t>Ахмеджанова Анна Николаевна</t>
  </si>
  <si>
    <t>bukhgalter@yandex.ru'</t>
  </si>
  <si>
    <t>48.380153,135.087871</t>
  </si>
  <si>
    <t>ОБЩЕСТВО С ОГРАНИЧЕННОЙ ОТВЕТСТВЕННОСТЬЮ "ИНТЕГРАЛ СТРОЙ"</t>
  </si>
  <si>
    <t>"ИНТЕГРАЛ СТРОЙ"</t>
  </si>
  <si>
    <t>2723207120</t>
  </si>
  <si>
    <t>680001, ХАБАРОВСКИЙ КРАЙ, Г. ХАБАРОВСК, ПЕР. КРАСНОРЕЧЕНСКИЙ, Д. 16,..</t>
  </si>
  <si>
    <t>Балухто Сергей Иванович</t>
  </si>
  <si>
    <t>48.457272,135.093324</t>
  </si>
  <si>
    <t>ОБЩЕСТВО С ОГРАНИЧЕННОЙ ОТВЕТСТВЕННОСТЬЮ "МОНОЛИТ СЕРВИС"</t>
  </si>
  <si>
    <t>"МОНОЛИТ СЕРВИС"</t>
  </si>
  <si>
    <t>2723219140</t>
  </si>
  <si>
    <t>680007, Хабаровский край, ГОРОД ХАБАРОВСК, Г ХАБАРОВСК, УЛ ШЕВЧУКА, Д. 42</t>
  </si>
  <si>
    <t>Сафин Михаил Игоревич</t>
  </si>
  <si>
    <t>48.374371,135.100546</t>
  </si>
  <si>
    <t>ОБЩЕСТВО С ОГРАНИЧЕННОЙ ОТВЕТСТВЕННОСТЬЮ "ЛКД"</t>
  </si>
  <si>
    <t>"ЛКД"</t>
  </si>
  <si>
    <t>2724124413</t>
  </si>
  <si>
    <t>680001, Хабаровский край, г Хабаровск, УЛ СТРОИТЕЛЬНАЯ, д 20,..</t>
  </si>
  <si>
    <t>Лопатин Дмитрий Юрьевич</t>
  </si>
  <si>
    <t>48.36771,135.110679</t>
  </si>
  <si>
    <t>ОБЩЕСТВО С ОГРАНИЧЕННОЙ ОТВЕТСТВЕННОСТЬЮ "ИНВЕСТОР ДВ"</t>
  </si>
  <si>
    <t>"ИНВЕСТОР ДВ"</t>
  </si>
  <si>
    <t>2724188008</t>
  </si>
  <si>
    <t>680509, ХАБАРОВСКИЙ КРАЙ, Р-Н ХАБАРОВСКИЙ, С ИЛЬИНКА, Д. 2 КМ НА СЕВЕРО-ВОСТОК ОТ СЕЛА ИЛЬИНКА</t>
  </si>
  <si>
    <t>Фридман Владимир Евсеевич</t>
  </si>
  <si>
    <t>48.370535,135.121297</t>
  </si>
  <si>
    <t>ОБЩЕСТВО С ОГРАНИЧЕННОЙ ОТВЕТСТВЕННОСТЬЮ "АЗИЯ СТРОЙ БИЗНЕС"</t>
  </si>
  <si>
    <t>"АЗИЯ СТРОЙ БИЗНЕС"</t>
  </si>
  <si>
    <t>2723173016</t>
  </si>
  <si>
    <t>680509, ХАБАРОВСКИЙ КРАЙ, Р-Н Хабаровский, С. Ильинка, ТУП. ГАРАЖНЫЙ, Д. 15</t>
  </si>
  <si>
    <t>Невейкин Андрей Сергеевич</t>
  </si>
  <si>
    <t>1206@mail.ru'</t>
  </si>
  <si>
    <t>48.481645,135.123795</t>
  </si>
  <si>
    <t>ОБЩЕСТВО С ОГРАНИЧЕННОЙ ОТВЕТСТВЕННОСТЬЮ "ЖБИ-ДВ"</t>
  </si>
  <si>
    <t>"ЖБИ-ДВ"</t>
  </si>
  <si>
    <t>2724229649</t>
  </si>
  <si>
    <t>680014, ХАБАРОВСКИЙ КРАЙ, Г. ХАБАРОВСК, УЛ. ЛУГОВАЯ, Д. 10, ЛИТЕР Ж,Ж1, ОФИС 35</t>
  </si>
  <si>
    <t>Аюханов Равиль Исмагилович</t>
  </si>
  <si>
    <t>+7 (914) 547-69-95'</t>
  </si>
  <si>
    <t>akislov@bk.ru'</t>
  </si>
  <si>
    <t>ОБЩЕСТВО С ОГРАНИЧЕННОЙ ОТВЕТСТВЕННОСТЬЮ "ЖБИ-ДВ.27"</t>
  </si>
  <si>
    <t>"ЖБИ-ДВ.27"</t>
  </si>
  <si>
    <t>2724238756</t>
  </si>
  <si>
    <t>680018, ХАБАРОВСКИЙ КРАЙ, ГОРОД ХАБАРОВСК, УЛИЦА ЛУГОВАЯ, ДОМ 10, ЛИТЕР Ж, Ж1, ОФИС 16</t>
  </si>
  <si>
    <t>48.460469,135.12595</t>
  </si>
  <si>
    <t>ОБЩЕСТВО С ОГРАНИЧЕННОЙ ОТВЕТСТВЕННОСТЬЮ "ЗАВОД КПД 100"</t>
  </si>
  <si>
    <t>"ЗАВОД КПД 100"</t>
  </si>
  <si>
    <t>2721242360</t>
  </si>
  <si>
    <t>680014, ХАБАРОВСКИЙ КРАЙ, Г. ХАБАРОВСК, УЛ. ИРКУТСКАЯ, Д. 8, ЛИТ Ж,Ж1</t>
  </si>
  <si>
    <t xml:space="preserve"> Генеральный Директор Абиев Абакар Ахмедович</t>
  </si>
  <si>
    <t>48.419932,135.12648</t>
  </si>
  <si>
    <t>ОБЩЕСТВО С ОГРАНИЧЕННОЙ ОТВЕТСТВЕННОСТЬЮ "СТРОЙ-27"</t>
  </si>
  <si>
    <t>"СТРОЙ-27"</t>
  </si>
  <si>
    <t>2721151560</t>
  </si>
  <si>
    <t>http://stroy27.ru</t>
  </si>
  <si>
    <t>680023, ХАБАРОВСКИЙ КРАЙ, ГОРОД ХАБАРОВСК, УЛИЦА ПЕРЕКОПСКАЯ, ДОМ 2В, ОФИС 307</t>
  </si>
  <si>
    <t>Шустик Тимур Валерьевич</t>
  </si>
  <si>
    <t>ОБЩЕСТВО С ОГРАНИЧЕННОЙ ОТВЕТСТВЕННОСТЬЮ "ЭнергоСтрой-27"</t>
  </si>
  <si>
    <t>"ЭнергоСтрой-27"</t>
  </si>
  <si>
    <t>2723140677</t>
  </si>
  <si>
    <t>680023, ХАБАРОВСКИЙ КРАЙ, ХАБАРОВСК Г, ПЕРЕКОПСКАЯ УЛ, ДОМ 2В, ОФИС 307</t>
  </si>
  <si>
    <t>48.480809,135.128385</t>
  </si>
  <si>
    <t>ОБЩЕСТВО С ОГРАНИЧЕННОЙ ОТВЕТСТВЕННОСТЬЮ "Озарит"</t>
  </si>
  <si>
    <t>"Озарит"</t>
  </si>
  <si>
    <t>2723157286</t>
  </si>
  <si>
    <t>680014, Хабаровский край, городской округ ГОРОД ХАБАРОВСК, Город ХАБАРОВСК, УЛ ПЕРМСКАЯ, Д. 7, ОФИС 6</t>
  </si>
  <si>
    <t>+7 (421) 241-04-54'</t>
  </si>
  <si>
    <t>48.398228,135.139048</t>
  </si>
  <si>
    <t>ОБЩЕСТВО С ОГРАНИЧЕННОЙ ОТВЕТСТВЕННОСТЬЮ "ПРОМСТРОЙКОМ"</t>
  </si>
  <si>
    <t>"ПРОМСТРОЙКОМ"</t>
  </si>
  <si>
    <t>2723214495</t>
  </si>
  <si>
    <t>680015, ХАБАРОВСКИЙ КРАЙ, Г. Хабаровск, ПР-КТ 60-ЛЕТИЯ ОКТЯБРЯ, Д. 12, ПОМЕЩ. II (51)</t>
  </si>
  <si>
    <t>Бельды Александр Иванович</t>
  </si>
  <si>
    <t>2021@BK.RU'</t>
  </si>
  <si>
    <t>48.442577,135.139093</t>
  </si>
  <si>
    <t>ОБЩЕСТВО С ОГРАНИЧЕННОЙ ОТВЕТСТВЕННОСТЬЮ "МАСГРУПП-БЕТОН"</t>
  </si>
  <si>
    <t>"МАСГРУПП-БЕТОН"</t>
  </si>
  <si>
    <t>2724248183</t>
  </si>
  <si>
    <t>680032, Хабаровский край, городской округ ГОРОД ХАБАРОВСК, Город ХАБАРОВСК, УЛ МАШИНИСТОВ, Д. 38,..</t>
  </si>
  <si>
    <t>Лобанов Артем Геннадьевич</t>
  </si>
  <si>
    <t>BETON@MAIL.RU'</t>
  </si>
  <si>
    <t>48.39468,135.139874</t>
  </si>
  <si>
    <t>ОБЩЕСТВО С ОГРАНИЧЕННОЙ ОТВЕТСТВЕННОСТЬЮ "ЖБИДВ 27"</t>
  </si>
  <si>
    <t>"ЖБИДВ 27"</t>
  </si>
  <si>
    <t>2723202059</t>
  </si>
  <si>
    <t>680015, ХАБАРОВСКИЙ КРАЙ, ГОРОД ХАБАРОВСК, УЛИЦА СУВОРОВА, ДОМ 73, ЛИТЕР В</t>
  </si>
  <si>
    <t>Топчий Юрий Геннадьевич</t>
  </si>
  <si>
    <t>48.449922,135.141923</t>
  </si>
  <si>
    <t>ОБЩЕСТВО С ОГРАНИЧЕННОЙ ОТВЕТСТВЕННОСТЬЮ "КОМПАНИЯ "БЕЛЫЙ КАМЕНЬ"</t>
  </si>
  <si>
    <t>"КОМПАНИЯ "БЕЛЫЙ КАМЕНЬ"</t>
  </si>
  <si>
    <t>2724249331</t>
  </si>
  <si>
    <t>680032, Хабаровский край, ГОРОД ХАБАРОВСК, Г ХАБАРОВСК, УЛ ЗЕЛЕНАЯ, Д. 18</t>
  </si>
  <si>
    <t>Гацуцев Игорь Геннадьевич</t>
  </si>
  <si>
    <t>48.447185,135.147294</t>
  </si>
  <si>
    <t>ОБЩЕСТВО С ОГРАНИЧЕННОЙ ОТВЕТСТВЕННОСТЬЮ "ТЕХНОЛОГИИ КАПИТАЛЬНОГО СТРОИТЕЛЬСТВА"</t>
  </si>
  <si>
    <t>"ТЕХНОЛОГИИ КАПИТАЛЬНОГО СТРОИТЕЛЬСТВА"</t>
  </si>
  <si>
    <t>2724235297</t>
  </si>
  <si>
    <t>680032, Хабаровский край, городской округ ГОРОД ХАБАРОВСК, Город ХАБАРОВСК, УЛ ПРОМЫВОЧНАЯ, Д. 15Б, ОФИС 4</t>
  </si>
  <si>
    <t>Айвазян Сергей Гарушович</t>
  </si>
  <si>
    <t>48.400232,135.148831</t>
  </si>
  <si>
    <t>ОБЩЕСТВО С ОГРАНИЧЕННОЙ ОТВЕТСТВЕННОСТЬЮ "ЖБИ-ДОМОСТРОЙ"</t>
  </si>
  <si>
    <t>"ЖБИ-ДОМОСТРОЙ"</t>
  </si>
  <si>
    <t>2706032992</t>
  </si>
  <si>
    <t>680015, Хабаровский край, городской округ ГОРОД ХАБАРОВСК, Город ХАБАРОВСК, ПР-КТ 60-ЛЕТИЯ ОКТЯБРЯ, Д. 5,</t>
  </si>
  <si>
    <t>Данильченко Александр Семенович</t>
  </si>
  <si>
    <t>+7 (421) 429-98-76'</t>
  </si>
  <si>
    <t>ОБЩЕСТВО С ОГРАНИЧЕННОЙ ОТВЕТСТВЕННОСТЬЮ "ПРОМКАПИТАЛСТРОЙ"</t>
  </si>
  <si>
    <t>"ПРОМКАПИТАЛСТРОЙ"</t>
  </si>
  <si>
    <t>2723202299</t>
  </si>
  <si>
    <t>680015, ХАБАРОВСКИЙ КРАЙ, Г. Хабаровск, ПР-КТ 60-ЛЕТИЯ ОКТЯБРЯ, Д. 5, ОФИС 4</t>
  </si>
  <si>
    <t>Ларионова Валентина Михайловна</t>
  </si>
  <si>
    <t>48.520067,135.150142</t>
  </si>
  <si>
    <t>ОБЩЕСТВО С ОГРАНИЧЕННОЙ ОТВЕТСТВЕННОСТЬЮ "ГЕН-КОМПЕТЕНТ"</t>
  </si>
  <si>
    <t>"ГЕН-КОМПЕТЕНТ"</t>
  </si>
  <si>
    <t>2724228388</t>
  </si>
  <si>
    <t>680031, ХАБАРОВСКИЙ КРАЙ, ГОРОД ХАБАРОВСК, ШОССЕ МАТВЕЕВСКОЕ, ДОМ 47, ЛИТЕР 1Т, ОФИС 1</t>
  </si>
  <si>
    <t>Борцов Иван Александрович</t>
  </si>
  <si>
    <t>112@mail.ru'</t>
  </si>
  <si>
    <t>48.45199,135.15546</t>
  </si>
  <si>
    <t>ОБЩЕСТВО С ОГРАНИЧЕННОЙ ОТВЕТСТВЕННОСТЬЮ "КАРЬЕР-БЕТОН ДВ"</t>
  </si>
  <si>
    <t>"КАРЬЕР-БЕТОН ДВ"</t>
  </si>
  <si>
    <t>2724160732</t>
  </si>
  <si>
    <t>680052, ХАБАРОВСКИЙ КРАЙ, ГОРОД ХАБАРОВСК, УЛИЦА ДОНСКАЯ, ДОМ 2А, ЛИТЕР 2Б, ПОМЕЩЕНИЕ 1</t>
  </si>
  <si>
    <t>Михалевич Лидия Владимировна</t>
  </si>
  <si>
    <t>+7 (962) 584-04-01', '+7 (962) 586-81-48'</t>
  </si>
  <si>
    <t>48.433946,135.158065</t>
  </si>
  <si>
    <t>ОБЩЕСТВО С ОГРАНИЧЕННОЙ ОТВЕТСТВЕННОСТЬЮ "ВАРГА"</t>
  </si>
  <si>
    <t>"ВАРГА"</t>
  </si>
  <si>
    <t>2724249758</t>
  </si>
  <si>
    <t>680032, Хабаровский край, ГОРОД ХАБАРОВСК, Г ХАБАРОВСК, ПЕР КАМЫШОВЫЙ, Д. 14</t>
  </si>
  <si>
    <t>Минчев Евгений Владимирович</t>
  </si>
  <si>
    <t>OOOVARGA@MAIL.RU'</t>
  </si>
  <si>
    <t>48.39687,135.160122</t>
  </si>
  <si>
    <t>ОБЩЕСТВО С ОГРАНИЧЕННОЙ ОТВЕТСТВЕННОСТЬЮ "СвязьСтройКом"</t>
  </si>
  <si>
    <t>"СвязьСтройКом"</t>
  </si>
  <si>
    <t>2722097852</t>
  </si>
  <si>
    <t>680015, ХАБАРОВСКИЙ КРАЙ, ГОРОД ХАБАРОВСК, УЛИЦА СИДОРЕНКО, ДОМ 1, ЛИТЕР З</t>
  </si>
  <si>
    <t>Отморский Анатолий Иванович</t>
  </si>
  <si>
    <t>+7 (914) 546-42-94'</t>
  </si>
  <si>
    <t>48.413456,135.160455</t>
  </si>
  <si>
    <t>ОБЩЕСТВО С ОГРАНИЧЕННОЙ ОТВЕТСТВЕННОСТЬЮ "АМУРСТРОЙМЕХАНИЗАЦИЯ"</t>
  </si>
  <si>
    <t>"АМУРСТРОЙМЕХАНИЗАЦИЯ"</t>
  </si>
  <si>
    <t>2724224721</t>
  </si>
  <si>
    <t>680032, ХАБАРОВСКИЙ КРАЙ, Г. ХАБАРОВСК, УЛ. ЦЕЛИННАЯ, Д. 2, ЛИТЕРА В, ОФИС 7</t>
  </si>
  <si>
    <t>Хан Анатолий Деменович</t>
  </si>
  <si>
    <t>48.391952,135.164668</t>
  </si>
  <si>
    <t>ОБЩЕСТВО С ОГРАНИЧЕННОЙ ОТВЕТСТВЕННОСТЬЮ "СТРОЙЭЛЕМЕНТ ДВ"</t>
  </si>
  <si>
    <t>"СТРОЙЭЛЕМЕНТ ДВ"</t>
  </si>
  <si>
    <t>2723205067</t>
  </si>
  <si>
    <t>680015, ХАБАРОВСКИЙ КРАЙ, ГОРОД ХАБАРОВСК, УЛИЦА СУВОРОВА, ДОМ 84А, ЛИТЕР Н, ОФИС 405</t>
  </si>
  <si>
    <t>Левин Виталий Владимирович</t>
  </si>
  <si>
    <t>48.469478,135.167408</t>
  </si>
  <si>
    <t>ОБЩЕСТВО С ОГРАНИЧЕННОЙ ОТВЕТСТВЕННОСТЬЮ "ПРОИЗВОДСТВЕННО ТОРГОВАЯ КОМПАНИЯ "ТАНДЕМ"</t>
  </si>
  <si>
    <t>"ПРОИЗВОДСТВЕННО ТОРГОВАЯ КОМПАНИЯ "ТАНДЕМ"</t>
  </si>
  <si>
    <t>2724239083</t>
  </si>
  <si>
    <t>680052, ХАБАРОВСКИЙ КРАЙ, ГОРОД ХАБАРОВСК, УЛИЦА ГОРЬКОГО, ДОМ 61В, ЛИТЕР Д</t>
  </si>
  <si>
    <t>Грищенко Виталий Николаевич</t>
  </si>
  <si>
    <t>48.455731,135.183119</t>
  </si>
  <si>
    <t>ОБЩЕСТВО С ОГРАНИЧЕННОЙ ОТВЕТСТВЕННОСТЬЮ "БЕТИЗ"</t>
  </si>
  <si>
    <t>"БЕТИЗ"</t>
  </si>
  <si>
    <t>2724228211</t>
  </si>
  <si>
    <t>680052, ХАБАРОВСКИЙ КРАЙ, ГОРОД ХАБАРОВСК, УЛИЦА ГАГАРИНА, ДОМ 5Б,..</t>
  </si>
  <si>
    <t>Ким Ин Сон</t>
  </si>
  <si>
    <t>olganik27@mail.ru'</t>
  </si>
  <si>
    <t>48.40473,135.19433</t>
  </si>
  <si>
    <t>ОБЩЕСТВО С ОГРАНИЧЕННОЙ ОТВЕТСТВЕННОСТЬЮ "НГБ БЛОК"</t>
  </si>
  <si>
    <t>"НГБ БЛОК"</t>
  </si>
  <si>
    <t>2720063230</t>
  </si>
  <si>
    <t>680505, Хабаровский край, муниципальный район ХАБАРОВСКИЙ, Село РАКИТНОЕ, сельское поселение РАКИТНЕНСКОЕ, ТЕР. ТОСЭР ХАБАРОВСК ПЛОЩАДКА РАКИТНОЕ, ,</t>
  </si>
  <si>
    <t>Роташнюк Дмитрий Владимирович</t>
  </si>
  <si>
    <t>OFFICE@UIP-DV'</t>
  </si>
  <si>
    <t>ОБЩЕСТВО С ОГРАНИЧЕННОЙ ОТВЕТСТВЕННОСТЬЮ "СТЕЛЛАР"</t>
  </si>
  <si>
    <t>"СТЕЛЛАР"</t>
  </si>
  <si>
    <t>2721235323</t>
  </si>
  <si>
    <t>680505, ХАБАРОВСКИЙ КРАЙ, РАЙОН ХАБАРОВСКИЙ, СЕЛО РАКИТНОЕ, ТЕРРИТОРИЯ ТОСЭР ХАБАРОВСК ПЛОЩАДКА РАКИТНОЕ</t>
  </si>
  <si>
    <t>ОБЩЕСТВО С ОГРАНИЧЕННОЙ ОТВЕТСТВЕННОСТЬЮ "ДСК-ИНЖИНИРИНГ"</t>
  </si>
  <si>
    <t>"ДСК-ИНЖИНИРИНГ"</t>
  </si>
  <si>
    <t>6501297508</t>
  </si>
  <si>
    <t>65-Сахалинская область</t>
  </si>
  <si>
    <t>680505, ХАБАРОВСКИЙ КРАЙ, Р-Н Хабаровский, С. Ракитное, ТЕР. ТОСЭР ХАБАРОВСК ПЛОЩАДКА РАКИТНОЕ</t>
  </si>
  <si>
    <t>Альперович Виктор Юделевич</t>
  </si>
  <si>
    <t>+7 (962) 580-18-50'</t>
  </si>
  <si>
    <t>48.490608,135.225214</t>
  </si>
  <si>
    <t>ОБЩЕСТВО С ОГРАНИЧЕННОЙ ОТВЕТСТВЕННОСТЬЮ "СНАБСТРОЙ"</t>
  </si>
  <si>
    <t>"СНАБСТРОЙ"</t>
  </si>
  <si>
    <t>2720062621</t>
  </si>
  <si>
    <t>680539, ХАБАРОВСКИЙ КРАЙ, Р-Н Хабаровский, С. Мирное, УЛ. КЛУБНАЯ, Д. 1, ОФИС 10</t>
  </si>
  <si>
    <t>Кумановская Любовь Сергеевна</t>
  </si>
  <si>
    <t>HJSHKINA@MAIL.RU'</t>
  </si>
  <si>
    <t>62.647747,135.577489</t>
  </si>
  <si>
    <t>ОБЩЕСТВО С ОГРАНИЧЕННОЙ ОТВЕТСТВЕННОСТЬЮ "АТОМ-СТРОЙ"</t>
  </si>
  <si>
    <t>"АТОМ-СТРОЙ"</t>
  </si>
  <si>
    <t>1426002143</t>
  </si>
  <si>
    <t>678720, САХА /ЯКУТИЯ/ РЕСПУБЛИКА, УЛУС ТОМПОНСКИЙ, ПОСЕЛОК ХАНДЫГА, УЛИЦА П.АЛЕКСЕЕВА, ДОМ 11,..</t>
  </si>
  <si>
    <t>Полударов Александр Владимирович</t>
  </si>
  <si>
    <t>+7 (924) 592-59-24'</t>
  </si>
  <si>
    <t>50.548761,136.976489</t>
  </si>
  <si>
    <t>ОБЩЕСТВО С ОГРАНИЧЕННОЙ ОТВЕТСТВЕННОСТЬЮ "ТЕПЛОЭФФЕКТИВНАЯ СТРОИТЕЛЬНАЯ КОМПАНИЯ"</t>
  </si>
  <si>
    <t>"ТЕПЛОЭФФЕКТИВНАЯ СТРОИТЕЛЬНАЯ КОМПАНИЯ"</t>
  </si>
  <si>
    <t>2703089599</t>
  </si>
  <si>
    <t>681032, ХАБАРОВСКИЙ КРАЙ, Г. КОМСОМОЛЬСК-НА-АМУРЕ, УЛ. ГАМАРНИКА, Д. 21,..</t>
  </si>
  <si>
    <t>Соколов Иван Вячеславович</t>
  </si>
  <si>
    <t>+7 (929) 419-99-55'</t>
  </si>
  <si>
    <t>50.591749,136.977917</t>
  </si>
  <si>
    <t>ОБЩЕСТВО С ОГРАНИЧЕННОЙ ОТВЕТСТВЕННОСТЬЮ "ДАЛЬТОРГ-РЕГИОН"</t>
  </si>
  <si>
    <t>"ДАЛЬТОРГ-РЕГИОН"</t>
  </si>
  <si>
    <t>2703093620</t>
  </si>
  <si>
    <t>681005, ХАБАРОВСКИЙ КРАЙ, КОМСОМОЛЬСК-НА-АМУРЕ Г, СЕВЕРНОЕ Ш, ДОМ 61, ПОМЕЩЕНИЕ 1001</t>
  </si>
  <si>
    <t>Косицин Игорь Александрович</t>
  </si>
  <si>
    <t>TRADE@MAIL.ru'</t>
  </si>
  <si>
    <t>50.577782,136.986757</t>
  </si>
  <si>
    <t>ОБЩЕСТВО С ОГРАНИЧЕННОЙ ОТВЕТСТВЕННОСТЬЮ "БЕТОНСЕРВИС"</t>
  </si>
  <si>
    <t>"БЕТОНСЕРВИС"</t>
  </si>
  <si>
    <t>2703088700</t>
  </si>
  <si>
    <t>681005, ХАБАРОВСКИЙ КРАЙ, Г. КОМСОМОЛЬСК-НА-АМУРЕ, УЛ. РЫНОЧНАЯ, Д. 25</t>
  </si>
  <si>
    <t>Стрункина Светлана Владимировна</t>
  </si>
  <si>
    <t>+7 (914) 179-02-54'</t>
  </si>
  <si>
    <t>strunkinalana@mail.ru'</t>
  </si>
  <si>
    <t>50.534295,136.996126</t>
  </si>
  <si>
    <t>ОБЩЕСТВО С ОГРАНИЧЕННОЙ ОТВЕТСТВЕННОСТЬЮ "СПЦ СПЕЦБЕТОН"</t>
  </si>
  <si>
    <t>"СПЦ СПЕЦБЕТОН"</t>
  </si>
  <si>
    <t>2703095560</t>
  </si>
  <si>
    <t>681024, ХАБАРОВСКИЙ КРАЙ, ГОРОД КОМСОМОЛЬСК-НА-АМУРЕ, УЛИЦА КОМСОМОЛЬСКАЯ, ДОМ 75, КОРПУС 2,..</t>
  </si>
  <si>
    <t>Ким Наталья Игоревна</t>
  </si>
  <si>
    <t>+7 (914) 215-10-00'</t>
  </si>
  <si>
    <t>50.471211,137.006771</t>
  </si>
  <si>
    <t>ОБЩЕСТВО С ОГРАНИЧЕННОЙ ОТВЕТСТВЕННОСТЬЮ "МОСТООТРЯД-26"</t>
  </si>
  <si>
    <t>"МОСТООТРЯД-26"</t>
  </si>
  <si>
    <t>2703104871</t>
  </si>
  <si>
    <t>681000, Хабаровский край, ГОРОД КОМСОМОЛЬСК-НА-АМУРЕ, Г КОМСОМОЛЬСК-НА-АМУРЕ, Ш АМУРСКОЕ, Д. 3</t>
  </si>
  <si>
    <t>Шевчук Евгений Анатольевич</t>
  </si>
  <si>
    <t>50.581987,137.058272</t>
  </si>
  <si>
    <t>ОБЩЕСТВО С ОГРАНИЧЕННОЙ ОТВЕТСТВЕННОСТЬЮ "СОЛНЕЧНЫЙ ТЕРЕМ"</t>
  </si>
  <si>
    <t>"СОЛНЕЧНЫЙ ТЕРЕМ"</t>
  </si>
  <si>
    <t>2703098360</t>
  </si>
  <si>
    <t>681007, ХАБАРОВСКИЙ КРАЙ, ГОРОД КОМСОМОЛЬСК-НА-АМУРЕ, ПРОСПЕКТ ПОБЕДЫ, ДОМ 49,..</t>
  </si>
  <si>
    <t>Солодков Василий Владимирович</t>
  </si>
  <si>
    <t>50.49404,137.071288</t>
  </si>
  <si>
    <t>ОБЩЕСТВО С ОГРАНИЧЕННОЙ ОТВЕТСТВЕННОСТЬЮ "МАТРЁШКА"</t>
  </si>
  <si>
    <t>"МАТРЁШКА"</t>
  </si>
  <si>
    <t>2712009575</t>
  </si>
  <si>
    <t>681070, ХАБАРОВСКИЙ КРАЙ, Р-Н КОМСОМОЛЬСКИЙ, С ПИВАНЬ, УЛ. РУЧЕЙКОВАЯ, Д.1, К.А</t>
  </si>
  <si>
    <t>Тонких Дмитрий Павлович</t>
  </si>
  <si>
    <t>+7 (914) 549-72-00'</t>
  </si>
  <si>
    <t>dpkabinet@mail.ru', 'dpkabinet@mail.ru'</t>
  </si>
  <si>
    <t>49.093889,140.259984</t>
  </si>
  <si>
    <t>ОБЩЕСТВО С ОГРАНИЧЕННОЙ ОТВЕТСТВЕННОСТЬЮ "СТАНДАРТ"</t>
  </si>
  <si>
    <t>"СТАНДАРТ"</t>
  </si>
  <si>
    <t>2709014631</t>
  </si>
  <si>
    <t>682860, ХАБАРОВСКИЙ КРАЙ, РАЙОН ВАНИНСКИЙ, РАБОЧИЙ ПОСЕЛОК ВАНИНО, УЛИЦА МОЛОДЕЖНАЯ, ДОМ 14, ОФИС 10</t>
  </si>
  <si>
    <t>Драгаморецкий Александр Николаевич</t>
  </si>
  <si>
    <t>buhst27@mail.ru'</t>
  </si>
  <si>
    <t>48.954491,140.264574</t>
  </si>
  <si>
    <t>ОБЩЕСТВО С ОГРАНИЧЕННОЙ ОТВЕТСТВЕННОСТЬЮ " ПРОИЗВОДСТВЕННО-СТРОИТЕЛЬНОЕ ПРЕДПРИЯТИЕ ЗАВОД ЖЕЛЕЗОБЕТОННЫХ ИЗДЕЛИЙ"</t>
  </si>
  <si>
    <t>" ПРОИЗВОДСТВЕННО-СТРОИТЕЛЬНОЕ ПРЕДПРИЯТИЕ ЗАВОД ЖЕЛЕЗОБЕТОННЫХ ИЗДЕЛИЙ"</t>
  </si>
  <si>
    <t>2704016699</t>
  </si>
  <si>
    <t>682817, ХАБАРОВСКИЙ КРАЙ, ГОРОД СОВЕТСКАЯ ГАВАНЬ, УЛИЦА МОРСКАЯ, 7</t>
  </si>
  <si>
    <t>Бухряков Роман Юрьевич</t>
  </si>
  <si>
    <t>48.955728,140.265706</t>
  </si>
  <si>
    <t>ОБЩЕСТВО С ОГРАНИЧЕННОЙ ОТВЕТСТВЕННОСТЬЮ "ВОСХОД"</t>
  </si>
  <si>
    <t>"ВОСХОД"</t>
  </si>
  <si>
    <t>2709018435</t>
  </si>
  <si>
    <t>682817, Хабаровский край, муниципальный район СОВЕТСКО-ГАВАНСКИЙ, Город СОВЕТСКАЯ ГАВАНЬ, городское поселение ГОРОД СОВЕТСКАЯ ГАВАНЬ, УЛ МОРСКАЯ, Д. 4,</t>
  </si>
  <si>
    <t>48.970592,140.2829</t>
  </si>
  <si>
    <t>ОБЩЕСТВО С ОГРАНИЧЕННОЙ ОТВЕТСТВЕННОСТЬЮ "ЦЕНТР КОМПЛЕКСНЫХ РЕШЕНИЙ"</t>
  </si>
  <si>
    <t>"ЦЕНТР КОМПЛЕКСНЫХ РЕШЕНИЙ"</t>
  </si>
  <si>
    <t>2704025439</t>
  </si>
  <si>
    <t>682800, ХАБАРОВСКИЙ КРАЙ, Г. СОВЕТСКАЯ ГАВАНЬ, УЛ. ПИОНЕРСКАЯ, Д. 8А</t>
  </si>
  <si>
    <t>Ломакин Сергей Владимирович</t>
  </si>
  <si>
    <t>47.318428,142.626039</t>
  </si>
  <si>
    <t>ОБЩЕСТВО С ОГРАНИЧЕННОЙ ОТВЕТСТВЕННОСТЬЮ "САХАРЕНДАТЕХ"</t>
  </si>
  <si>
    <t>"САХАРЕНДАТЕХ"</t>
  </si>
  <si>
    <t>6501195633</t>
  </si>
  <si>
    <t>694061, САХАЛИНСКАЯ ОБЛАСТЬ, Р-Н ДОЛИНСКИЙ, С УГЛЕЗАВОДСК, УЛ. НАБЕРЕЖНАЯ, Д. 1</t>
  </si>
  <si>
    <t>Семиволкова Наталья Сергеевна</t>
  </si>
  <si>
    <t>47.008059,142.663786</t>
  </si>
  <si>
    <t>ОБЩЕСТВО С ОГРАНИЧЕННОЙ ОТВЕТСТВЕННОСТЬЮ "ГАЗОБЕТОННЫЙ ЗАВОД"</t>
  </si>
  <si>
    <t>"ГАЗОБЕТОННЫЙ ЗАВОД"</t>
  </si>
  <si>
    <t>6501281890</t>
  </si>
  <si>
    <t>693904, САХАЛИНСКАЯ ОБЛАСТЬ, Г. ЮЖНО-САХАЛИНСК, С ДАЛЬНЕЕ, УЛ. УДАРНАЯ, Д. 4/7</t>
  </si>
  <si>
    <t>Шушпанов Игорь Константинович</t>
  </si>
  <si>
    <t>+7 (914) 087-56-02', '+7 (914) 640-12-45'</t>
  </si>
  <si>
    <t>46.981076,142.715978</t>
  </si>
  <si>
    <t>ОБЩЕСТВО С ОГРАНИЧЕННОЙ ОТВЕТСТВЕННОСТЬЮ "СТРОЙТЕХПРОИЗВОДСТВО"</t>
  </si>
  <si>
    <t>"СТРОЙТЕХПРОИЗВОДСТВО"</t>
  </si>
  <si>
    <t>6501272849</t>
  </si>
  <si>
    <t>693003, САХАЛИНСКАЯ ОБЛАСТЬ, Г. ЮЖНО-САХАЛИНСК, ПЕР. КРАСНОСЕЛЬСКИЙ, Д. 8</t>
  </si>
  <si>
    <t>Спинул Павел Анатольевич</t>
  </si>
  <si>
    <t>+7 (914) 752-70-10'</t>
  </si>
  <si>
    <t>spinul_66@mail.ru', 'spinul_@mail.ru'</t>
  </si>
  <si>
    <t>46.930584,142.723227</t>
  </si>
  <si>
    <t>ОБЩЕСТВО С ОГРАНИЧЕННОЙ ОТВЕТСТВЕННОСТЬЮ "АМИРА"</t>
  </si>
  <si>
    <t>"АМИРА"</t>
  </si>
  <si>
    <t>6501205000</t>
  </si>
  <si>
    <t>693000, Сахалинская область, городской округ ГОРОД ЮЖНО-САХАЛИНСК, Город ЮЖНО-САХАЛИНСК, УЛ ЖЕЛЕЗНОДОРОЖНАЯ, Д. 168/3,</t>
  </si>
  <si>
    <t>Ким Бок Сун</t>
  </si>
  <si>
    <t>46.912951,142.727782</t>
  </si>
  <si>
    <t>ОБЩЕСТВО С ОГРАНИЧЕННОЙ ОТВЕТСТВЕННОСТЬЮ "СТРОИТЕЛЬНАЯ БАЗА № 1"</t>
  </si>
  <si>
    <t>"СТРОИТЕЛЬНАЯ БАЗА № 1"</t>
  </si>
  <si>
    <t>6501299142</t>
  </si>
  <si>
    <t>693004, Сахалинская область, городской округ ГОРОД ЮЖНО-САХАЛИНСК, Город ЮЖНО-САХАЛИНСК, УЛ ЖЕЛЕЗНОДОРОЖНАЯ, Д. 184, ОФИС 7</t>
  </si>
  <si>
    <t>Шлогов Максим Юрьевич</t>
  </si>
  <si>
    <t>info@sbsakh.ru'</t>
  </si>
  <si>
    <t>ОБЩЕСТВО С ОГРАНИЧЕННОЙ ОТВЕТСТВЕННОСТЬЮ "СТРОИТЕЛЬНАЯ БАЗА № 1 БЕТОН"</t>
  </si>
  <si>
    <t>"СТРОИТЕЛЬНАЯ БАЗА № 1 БЕТОН"</t>
  </si>
  <si>
    <t>6501316180</t>
  </si>
  <si>
    <t>693004, САХАЛИНСКАЯ ОБЛ., Г. Южно-Сахалинск, УЛ. ЖЕЛЕЗНОДОРОЖНАЯ, Д. 184, ОФИС 3</t>
  </si>
  <si>
    <t>Дружинина Анастасия Вячеславовна</t>
  </si>
  <si>
    <t>46.923279,142.72842</t>
  </si>
  <si>
    <t>ОБЩЕСТВО С ОГРАНИЧЕННОЙ ОТВЕТСТВЕННОСТЬЮ "ДОМОСТРОИТЕЛЬНЫЙ КОМБИНАТ № 1"</t>
  </si>
  <si>
    <t>"ДОМОСТРОИТЕЛЬНЫЙ КОМБИНАТ № 1"</t>
  </si>
  <si>
    <t>6501308742</t>
  </si>
  <si>
    <t>693004, САХАЛИНСКАЯ ОБЛАСТЬ, Г. ЮЖНО-САХАЛИНСК, УЛ. ЛЕНИНА, Д. 440А, ОФИС 7</t>
  </si>
  <si>
    <t>Ли Ван На</t>
  </si>
  <si>
    <t>47.001109,142.729183</t>
  </si>
  <si>
    <t>ОБЩЕСТВО С ОГРАНИЧЕННОЙ ОТВЕТСТВЕННОСТЬЮ "ДАЛЬСТРОЙПРОГРЕСС"</t>
  </si>
  <si>
    <t>"ДАЛЬСТРОЙПРОГРЕСС"</t>
  </si>
  <si>
    <t>6501270915</t>
  </si>
  <si>
    <t>693012, САХАЛИНСКАЯ ОБЛАСТЬ, Г. ЮЖНО-САХАЛИНСК, ПР-КТ МИРА, Д. 2 Б/9</t>
  </si>
  <si>
    <t>Ломтев Леонид Евгеньевич</t>
  </si>
  <si>
    <t>t@mail.ru', 'progress@mail.ru'</t>
  </si>
  <si>
    <t>ОБЩЕСТВО С ОГРАНИЧЕННОЙ ОТВЕТСТВЕННОСТЬЮ "САХЖБИ"</t>
  </si>
  <si>
    <t>"САХЖБИ"</t>
  </si>
  <si>
    <t>6501305847</t>
  </si>
  <si>
    <t>693000, САХАЛИНСКАЯ ОБЛАСТЬ, ГОРОД ЮЖНО-САХАЛИНСК, ПРОСПЕКТ МИРА, ДОМ 2Б/9</t>
  </si>
  <si>
    <t>Ян Вера Сенсировна</t>
  </si>
  <si>
    <t>46.957039,142.729336</t>
  </si>
  <si>
    <t>ОБЩЕСТВО С ОГРАНИЧЕННОЙ ОТВЕТСТВЕННОСТЬЮ "МЕС"</t>
  </si>
  <si>
    <t>"МЕС"</t>
  </si>
  <si>
    <t>6501290051</t>
  </si>
  <si>
    <t>693000, САХАЛИНСКАЯ ОБЛАСТЬ, Г. ЮЖНО-САХАЛИНСК, УЛ. КАРЛА МАРКСА, Д. 45, ОФИС 7</t>
  </si>
  <si>
    <t>Макеев Сергей Вячеславович</t>
  </si>
  <si>
    <t>+7 (914) 757-39-27'</t>
  </si>
  <si>
    <t>46.955483,142.7316</t>
  </si>
  <si>
    <t>ОБЩЕСТВО С ОГРАНИЧЕННОЙ ОТВЕТСТВЕННОСТЬЮ "ОСТРОВНОЙ ЖЕЛЕЗОБЕТОН"</t>
  </si>
  <si>
    <t>"ОСТРОВНОЙ ЖЕЛЕЗОБЕТОН"</t>
  </si>
  <si>
    <t>6500004318</t>
  </si>
  <si>
    <t>693020, Сахалинская область, ГОРОД ЮЖНО-САХАЛИНСК, Г ЮЖНО-САХАЛИНСК, УЛ АМУРСКАЯ, Д. 96</t>
  </si>
  <si>
    <t>Табацкий Руслан Юрьевич</t>
  </si>
  <si>
    <t>ОБЩЕСТВО С ОГРАНИЧЕННОЙ ОТВЕТСТВЕННОСТЬЮ "БЛАГОУСТРОЙСТВО ОСТРОВА"</t>
  </si>
  <si>
    <t>"БЛАГОУСТРОЙСТВО ОСТРОВА"</t>
  </si>
  <si>
    <t>6501272013</t>
  </si>
  <si>
    <t>693020, Сахалинская область, г Южно-Сахалинск, ул Амурская, 96 к 20</t>
  </si>
  <si>
    <t>Крештопа Наталья Юрьевна</t>
  </si>
  <si>
    <t>+7 (914) 757-35-81', '+7 (424) 262-45-62'</t>
  </si>
  <si>
    <t>buh1delo@mail.ru'</t>
  </si>
  <si>
    <t>47.056359,142.736001</t>
  </si>
  <si>
    <t>РЕМОНТНО-СТРОИТЕЛЬНЫЙ КООПЕРАТИВ "КАМА"</t>
  </si>
  <si>
    <t>6501014051</t>
  </si>
  <si>
    <t>Г ЮЖНО-САХАЛИНСК,УЛ 2-Я КРАСНОСЕЛЬСКАЯ, 24 К 49</t>
  </si>
  <si>
    <t>Бородина Наталья Александровна</t>
  </si>
  <si>
    <t>+7 (962) 127-20-96'</t>
  </si>
  <si>
    <t>46.965643,142.736361</t>
  </si>
  <si>
    <t>ОБЩЕСТВО С ОГРАНИЧЕННОЙ ОТВЕТСТВЕННОСТЬЮ "КРУГОЗОР"</t>
  </si>
  <si>
    <t>"КРУГОЗОР"</t>
  </si>
  <si>
    <t>6501294112</t>
  </si>
  <si>
    <t>693000, САХАЛИНСКАЯ ОБЛАСТЬ, ГОРОД ЮЖНО-САХАЛИНСК, УЛИЦА ИМЕНИ Ф.Э.ДЗЕРЖИНСКОГО, ДОМ 12, ОФИС 29</t>
  </si>
  <si>
    <t>Пак Ен Хва</t>
  </si>
  <si>
    <t>47.055764,142.738903</t>
  </si>
  <si>
    <t>ОБЩЕСТВО С ОГРАНИЧЕННОЙ ОТВЕТСТВЕННОСТЬЮ "БЛОКПРОГРЕСС"</t>
  </si>
  <si>
    <t>"БЛОКПРОГРЕСС"</t>
  </si>
  <si>
    <t>6500004519</t>
  </si>
  <si>
    <t>693022, Сахалинская область, ГОРОД ЮЖНО-САХАЛИНСК, Г ЮЖНО-САХАЛИНСК, УЛ 30 ЛЕТ ПОБЕДЫ, Д. 18</t>
  </si>
  <si>
    <t>Попов Сергей Сергеевич</t>
  </si>
  <si>
    <t>46.960299,142.73902</t>
  </si>
  <si>
    <t>ОБЩЕСТВО С ОГРАНИЧЕННОЙ ОТВЕТСТВЕННОСТЬЮ "ПРОГРЕССДАЛЬСТРОЙ"</t>
  </si>
  <si>
    <t>"ПРОГРЕССДАЛЬСТРОЙ"</t>
  </si>
  <si>
    <t>6501271429</t>
  </si>
  <si>
    <t>Г ЮЖНО-САХАЛИНСК,КОММУНИСТИЧЕСКИЙ ПРОСПЕКТ, 32 К 508</t>
  </si>
  <si>
    <t>46.999855,142.73919</t>
  </si>
  <si>
    <t>ОБЩЕСТВО С ОГРАНИЧЕННОЙ ОТВЕТСТВЕННОСТЬЮ "БЕТОН-ГРУПП"</t>
  </si>
  <si>
    <t>"БЕТОН-ГРУПП"</t>
  </si>
  <si>
    <t>6501298276</t>
  </si>
  <si>
    <t>693000, САХАЛИНСКАЯ ОБЛАСТЬ, Г. ЮЖНО-САХАЛИНСК, ПЕР. ЭНЕРГЕТИКОВ, Д. 3, ОФИС 203</t>
  </si>
  <si>
    <t>Давыдова Евгения Дмитриевна</t>
  </si>
  <si>
    <t>+7 (914) 756-30-20'</t>
  </si>
  <si>
    <t>hpsakh@gmail.com', 'mila1980@inbox.ru'</t>
  </si>
  <si>
    <t>46.936387,142.747599</t>
  </si>
  <si>
    <t>ОБЩЕСТВО С ОГРАНИЧЕННОЙ ОТВЕТСТВЕННОСТЬЮ "СУПЕР СТОУН"</t>
  </si>
  <si>
    <t>"СУПЕР СТОУН"</t>
  </si>
  <si>
    <t>6501290100</t>
  </si>
  <si>
    <t>693013, САХАЛИНСКАЯ ОБЛ, ЮЖНО-САХАЛИНСК Г, ПУРКАЕВА М.А. УЛ, ДОМ 82А, ОФИС 5</t>
  </si>
  <si>
    <t>Клюев Александр Владимирович</t>
  </si>
  <si>
    <t>46.955544,142.749934</t>
  </si>
  <si>
    <t>ОБЩЕСТВО С ОГРАНИЧЕННОЙ ОТВЕТСТВЕННОСТЬЮ "АРТ-МАСТЕР"</t>
  </si>
  <si>
    <t>"АРТ-МАСТЕР"</t>
  </si>
  <si>
    <t>6501311022</t>
  </si>
  <si>
    <t>693010, САХАЛИНСКАЯ ОБЛАСТЬ, Г. ЮЖНО-САХАЛИНСК, УЛ. КОМСОМОЛЬСКАЯ, Д. 167А,..</t>
  </si>
  <si>
    <t>Парастаев Илья Богданович</t>
  </si>
  <si>
    <t>+7 (962) 581-44-54'</t>
  </si>
  <si>
    <t>46.643252,142.773389</t>
  </si>
  <si>
    <t>ОБЩЕСТВО С ОГРАНИЧЕННОЙ ОТВЕТСТВЕННОСТЬЮ "ФАЙЗМАСТЕР"</t>
  </si>
  <si>
    <t>"ФАЙЗМАСТЕР"</t>
  </si>
  <si>
    <t>6504004943</t>
  </si>
  <si>
    <t>694020, САХАЛИНСКАЯ ОБЛАСТЬ, Р-Н КОРСАКОВСКИЙ, Г. КОРСАКОВ, УЛ. ОКРУЖНАЯ, Д.79/1</t>
  </si>
  <si>
    <t>Гафуров Дилшод Мурадилович</t>
  </si>
  <si>
    <t>46.629652,142.794428</t>
  </si>
  <si>
    <t>ОБЩЕСТВО С ОГРАНИЧЕННОЙ ОТВЕТСТВЕННОСТЬЮ "ДАЙВЕР"</t>
  </si>
  <si>
    <t>"ДАЙВЕР"</t>
  </si>
  <si>
    <t>6504002801</t>
  </si>
  <si>
    <t>САХАЛИНСКАЯ ОБЛ.,Г КОРСАКОВ,УЛ ТОЛСТОГО, 97</t>
  </si>
  <si>
    <t>Третьяков Анатолий Арнольдович</t>
  </si>
  <si>
    <t>53.145835,158.352808</t>
  </si>
  <si>
    <t>ОБЩЕСТВО С ОГРАНИЧЕННОЙ ОТВЕТСТВЕННОСТЬЮ "ОЗЕРНОВСКИЙ БЕТОННЫЙ ЗАВОД"</t>
  </si>
  <si>
    <t>"ОЗЕРНОВСКИЙ БЕТОННЫЙ ЗАВОД"</t>
  </si>
  <si>
    <t>4100037330</t>
  </si>
  <si>
    <t>41-Камчатский край</t>
  </si>
  <si>
    <t>684007, КАМЧАТСКИЙ КРАЙ, Р-Н Елизовский, Г. Елизово, УЛ. НАГОРНАЯ, Д. 25А</t>
  </si>
  <si>
    <t>Синевич Наталья Васильевна</t>
  </si>
  <si>
    <t>53.19584,158.37223</t>
  </si>
  <si>
    <t>ОБЩЕСТВО С ОГРАНИЧЕННОЙ ОТВЕТСТВЕННОСТЬЮ "КАЛЬДЕРА М"</t>
  </si>
  <si>
    <t>"КАЛЬДЕРА М"</t>
  </si>
  <si>
    <t>4105087038</t>
  </si>
  <si>
    <t>684000, КАМЧАТСКИЙ КРАЙ, Р-Н ЕЛИЗОВСКИЙ, Г. ЕЛИЗОВО, УЛ. ГРИШЕЧКО, Д. 13, ОФИС 127</t>
  </si>
  <si>
    <t>Черненко Мария Анатольевна</t>
  </si>
  <si>
    <t>+7 (415) 317-42-20'</t>
  </si>
  <si>
    <t>53.177473,158.402162</t>
  </si>
  <si>
    <t>ОБЩЕСТВО С ОГРАНИЧЕННОЙ ОТВЕТСТВЕННОСТЬЮ "СТРОЙТЕХ"</t>
  </si>
  <si>
    <t>"СТРОЙТЕХ"</t>
  </si>
  <si>
    <t>4105056907</t>
  </si>
  <si>
    <t>684000, КАМЧАТСКИЙ КРАЙ, РАЙОН ЕЛИЗОВСКИЙ, ГОРОД ЕЛИЗОВО, УЛИЦА МАГИСТРАЛЬНАЯ, ДОМ 2</t>
  </si>
  <si>
    <t>Притчин Сергей Павлович</t>
  </si>
  <si>
    <t>+7 (961) 962-14-05'</t>
  </si>
  <si>
    <t>53.123301,158.512349</t>
  </si>
  <si>
    <t>ОБЩЕСТВО С ОГРАНИЧЕННОЙ ОТВЕТСТВЕННОСТЬЮ "КАМЧАТГАЗБЛОК"</t>
  </si>
  <si>
    <t>"КАМЧАТГАЗБЛОК"</t>
  </si>
  <si>
    <t>4100041752</t>
  </si>
  <si>
    <t>684014, Камчатский край, ЕЛИЗОВСКИЙ, 2 НОВОАВАЧИНСКОЕ, П НАГОРНЫЙ, УЛ ПРОМЫШЛЕННАЯ, Д. 9</t>
  </si>
  <si>
    <t>Пархачев Игорь Игоревич</t>
  </si>
  <si>
    <t>KAMGAZBLOK@MAIL.RU'</t>
  </si>
  <si>
    <t>ОБЩЕСТВО С ОГРАНИЧЕННОЙ ОТВЕТСТВЕННОСТЬЮ "БЛОКСТРОЙ"</t>
  </si>
  <si>
    <t>"БЛОКСТРОЙ"</t>
  </si>
  <si>
    <t>4105086965</t>
  </si>
  <si>
    <t>684014, КАМЧАТСКИЙ КРАЙ, РАЙОН ЕЛИЗОВСКИЙ, ПОСЕЛОК НАГОРНЫЙ, УЛИЦА МОХОВСКАЯ, КОРПУС 2, ОФИС 3</t>
  </si>
  <si>
    <t>Савитских Артем Сергеевич</t>
  </si>
  <si>
    <t>+7 (924) 780-36-47'</t>
  </si>
  <si>
    <t>53.123118,158.519383</t>
  </si>
  <si>
    <t>ОБЩЕСТВО С ОГРАНИЧЕННОЙ ОТВЕТСТВЕННОСТЬЮ "СЕЛЬХОЗСЕРВИС"</t>
  </si>
  <si>
    <t>"СЕЛЬХОЗСЕРВИС"</t>
  </si>
  <si>
    <t>4105096699</t>
  </si>
  <si>
    <t>684014, КАМЧАТСКИЙ КРАЙ, РАЙОН ЕЛИЗОВСКИЙ, ПОСЕЛОК НАГОРНЫЙ, УЛИЦА СОВХОЗНАЯ, ДОМ 22</t>
  </si>
  <si>
    <t>Мурзенков Рашид Калюкович</t>
  </si>
  <si>
    <t>+7 (415) 313-52-45', '+7 (902) 461-15-00', '+7 (962) 282-81-57'</t>
  </si>
  <si>
    <t>53.066356,158.594886</t>
  </si>
  <si>
    <t>ОБЩЕСТВО С ОГРАНИЧЕННОЙ ОТВЕТСТВЕННОСТЬЮ "ВикМар"</t>
  </si>
  <si>
    <t>"ВикМар"</t>
  </si>
  <si>
    <t>4101152818</t>
  </si>
  <si>
    <t>683902, КАМЧАТСКИЙ КРАЙ, ГОРОД ПЕТРОПАВЛОВСК-КАМЧАТСКИЙ, УЛИЦА КАРБЫШЕВА, 12, 63</t>
  </si>
  <si>
    <t>Петрашко Татьяна Владимировна</t>
  </si>
  <si>
    <t>+7 (962) 280-33-09'</t>
  </si>
  <si>
    <t>53.065788,158.595587</t>
  </si>
  <si>
    <t>ОБЩЕСТВО С ОГРАНИЧЕННОЙ ОТВЕТСТВЕННОСТЬЮ "ЛИКВИД СТОУН"</t>
  </si>
  <si>
    <t>"ЛИКВИД СТОУН"</t>
  </si>
  <si>
    <t>4100036992</t>
  </si>
  <si>
    <t>683023, КАМЧАТСКИЙ КРАЙ, Г. Петропавловск-Камчатский, УЛ. КАРБЫШЕВА, Д. 10/1,..</t>
  </si>
  <si>
    <t>Москвитин Евгений Сергеевич</t>
  </si>
  <si>
    <t>53.018647,158.646989</t>
  </si>
  <si>
    <t>ОБЩЕСТВО С ОГРАНИЧЕННОЙ ОТВЕТСТВЕННОСТЬЮ "КАМБЛОК"</t>
  </si>
  <si>
    <t>"КАМБЛОК"</t>
  </si>
  <si>
    <t>4100041181</t>
  </si>
  <si>
    <t>683001, Камчатский край, городской округ ПЕТРОПАВЛОВСК-КАМЧАТСКИЙ, Город ПЕТРОПАВЛОВСК-КАМЧАТСКИЙ, УЛ ЛЕНИНСКАЯ, Д. 59, ПОЗИЦИЯ 13</t>
  </si>
  <si>
    <t>Савинский Артём Андреевич</t>
  </si>
  <si>
    <t>INFO@KAMBLOCK.RU'</t>
  </si>
  <si>
    <t>53.062914,158.65475</t>
  </si>
  <si>
    <t>ОБЩЕСТВО С ОГРАНИЧЕННОЙ ОТВЕТСТВЕННОСТЬЮ "СК ФРИЗ"</t>
  </si>
  <si>
    <t>"СК ФРИЗ"</t>
  </si>
  <si>
    <t>4101192641</t>
  </si>
  <si>
    <t>683009, КАМЧАТСКИЙ КРАЙ, ГОРОД ПЕТРОПАВЛОВСК-КАМЧАТСКИЙ, УЛИЦА АКАДЕМИКА КУРЧАТОВА, ДОМ 43,..</t>
  </si>
  <si>
    <t>Агапов Валерий Олегович</t>
  </si>
  <si>
    <t>+7 (924) 586-14-08'</t>
  </si>
  <si>
    <t>53.055841,158.664012</t>
  </si>
  <si>
    <t>ОБЩЕСТВО С ОГРАНИЧЕННОЙ ОТВЕТСТВЕННОСТЬЮ "ЗАВОД ЖЕЛЕЗОБЕТОННЫХ ИЗДЕЛИЙ"</t>
  </si>
  <si>
    <t>"ЗАВОД ЖЕЛЕЗОБЕТОННЫХ ИЗДЕЛИЙ"</t>
  </si>
  <si>
    <t>4101187240</t>
  </si>
  <si>
    <t>683009, КАМЧАТСКИЙ КРАЙ, ГОРОД ПЕТРОПАВЛОВСК-КАМЧАТСКИЙ, ПРОЕЗД КОСМИЧЕСКИЙ, ДОМ 3В</t>
  </si>
  <si>
    <t>Маслов Ярослав Васильевич</t>
  </si>
  <si>
    <t>+7 (962) 291-73-80', '+7 (924) 893-33-32'</t>
  </si>
  <si>
    <t>53.029832,158.679625</t>
  </si>
  <si>
    <t>ОБЩЕСТВО С ОГРАНИЧЕННОЙ ОТВЕТСТВЕННОСТЬЮ "ГРАНДСТРОЙ-КАМЧАТКА"</t>
  </si>
  <si>
    <t>"ГРАНДСТРОЙ-КАМЧАТКА"</t>
  </si>
  <si>
    <t>4101134294</t>
  </si>
  <si>
    <t>683032, Камчатский край, городской округ ПЕТРОПАВЛОВСК-КАМЧАТСКИЙ, Город ПЕТРОПАВЛОВСК-КАМЧАТСКИЙ, УЛ ВЫСОТНАЯ, Д. 2А, ОФИС 25</t>
  </si>
  <si>
    <t>Жигульский Евгений Александрович</t>
  </si>
  <si>
    <t>+7 (914) 628-95-04'</t>
  </si>
  <si>
    <t>54.654329,19.90867</t>
  </si>
  <si>
    <t>ОБЩЕСТВО С ОГРАНИЧЕННОЙ ОТВЕТСТВЕННОСТЬЮ "АРАС"</t>
  </si>
  <si>
    <t>"АРАС"</t>
  </si>
  <si>
    <t>3901004856</t>
  </si>
  <si>
    <t>39-Калининградская область</t>
  </si>
  <si>
    <t>238520, КАЛИНИНГРАДСКАЯ ОБЛ, БАЛТИЙСК Г, ул Садовая, д 4,..</t>
  </si>
  <si>
    <t>Жарновников Артем Григорьевич</t>
  </si>
  <si>
    <t>+7 (909) 787-86-14'</t>
  </si>
  <si>
    <t>aras39@mail.ru'</t>
  </si>
  <si>
    <t>54.656391,19.913144</t>
  </si>
  <si>
    <t>ОБЩЕСТВО С ОГРАНИЧЕННОЙ ОТВЕТСТВЕННОСТЬЮ "БАЛТ-ЛУТ"</t>
  </si>
  <si>
    <t>"БАЛТ-ЛУТ"</t>
  </si>
  <si>
    <t>3901009131</t>
  </si>
  <si>
    <t>238520, КАЛИНИНГРАДСКАЯ ОБЛАСТЬ, РАЙОН БАЛТИЙСКИЙ, ГОРОД БАЛТИЙСК, ПРОСПЕКТ ЛЕНИНА, 66, 39</t>
  </si>
  <si>
    <t>Черепаха Виктор Николаевич</t>
  </si>
  <si>
    <t>54.463602,19.943686</t>
  </si>
  <si>
    <t>ОБЩЕСТВО С ОГРАНИЧЕННОЙ ОТВЕТСТВЕННОСТЬЮ "Геронт"</t>
  </si>
  <si>
    <t>"Геронт"</t>
  </si>
  <si>
    <t>3917511202</t>
  </si>
  <si>
    <t>238450, КАЛИНИНГРАДСКАЯ ОБЛАСТЬ, ГОРОД МАМОНОВО, УЛИЦА ШОССЕЙНАЯ, ДОМ 6,..</t>
  </si>
  <si>
    <t>Козлюк Наталья Алексеевна</t>
  </si>
  <si>
    <t>54.939341,20.160162</t>
  </si>
  <si>
    <t>ОБЩЕСТВО С ОГРАНИЧЕННОЙ ОТВЕТСТВЕННОСТЬЮ "СТРОЙ МАРКЕТ"</t>
  </si>
  <si>
    <t>"СТРОЙ МАРКЕТ"</t>
  </si>
  <si>
    <t>3912014126</t>
  </si>
  <si>
    <t>238560, КАЛИНИНГРАДСКАЯ ОБЛАСТЬ, Р-Н СВЕТЛОГОРСКИЙ, Г. СВЕТЛОГОРСК, УЛ. БАЛТИЙСКАЯ, Д. 4,..</t>
  </si>
  <si>
    <t>Титенок Константин Сергеевич</t>
  </si>
  <si>
    <t>+7 (906) 237-33-00'</t>
  </si>
  <si>
    <t>54.931831,20.16539</t>
  </si>
  <si>
    <t>ОБЩЕСТВО С ОГРАНИЧЕННОЙ ОТВЕТСТВЕННОСТЬЮ "СПЕЦСТРОЙ"</t>
  </si>
  <si>
    <t>"СПЕЦСТРОЙ"</t>
  </si>
  <si>
    <t>3912503092</t>
  </si>
  <si>
    <t>238563, КАЛИНИНГРАДСКАЯ ОБЛАСТЬ, Р-Н СВЕТЛОГОРСКИЙ, Г. СВЕТЛОГОРСК, ПР-КТ КАЛИНИНГРАДСКИЙ, Д.3 А</t>
  </si>
  <si>
    <t>Яцкевич Ирина Николаевна</t>
  </si>
  <si>
    <t>+7 (906) 218-11-29'</t>
  </si>
  <si>
    <t>x222555@yandex.ru'</t>
  </si>
  <si>
    <t>54.600004,20.207225</t>
  </si>
  <si>
    <t>3917050632</t>
  </si>
  <si>
    <t>238460, КАЛИНИНГРАДСКАЯ ОБЛАСТЬ, РАЙОН БАГРАТИОНОВСКИЙ, ПОСЕЛОК УЛЬЯНОВКА, ЛИТЕР А</t>
  </si>
  <si>
    <t>Веселов Владимир Николаевич</t>
  </si>
  <si>
    <t>m@yandex.ru'</t>
  </si>
  <si>
    <t>54.891432,20.280626</t>
  </si>
  <si>
    <t>ОБЩЕСТВО С ОГРАНИЧЕННОЙ ОТВЕТСТВЕННОСТЬЮ "КСК ИНВЕСТ"</t>
  </si>
  <si>
    <t>"КСК ИНВЕСТ"</t>
  </si>
  <si>
    <t>3918500877</t>
  </si>
  <si>
    <t>238552, КАЛИНИНГРАДСКАЯ ОБЛАСТЬ, РАЙОН ЗЕЛЕНОГРАДСКИЙ, ПОСЕЛОК РОМАНОВО, УЛИЦА ОЗЕРНАЯ, 2А</t>
  </si>
  <si>
    <t>Евстафьев Алексей Александрович</t>
  </si>
  <si>
    <t>+7 (401) 299-14-02'</t>
  </si>
  <si>
    <t>54.724271,20.332306</t>
  </si>
  <si>
    <t>ОБЩЕСТВО С ОГРАНИЧЕННОЙ ОТВЕТСТВЕННОСТЬЮ "ПЕРСПЕКТИВА"</t>
  </si>
  <si>
    <t>"ПЕРСПЕКТИВА"</t>
  </si>
  <si>
    <t>3906311219</t>
  </si>
  <si>
    <t>236013, Калининградская область, г Калининград, ул Магнитогорская, 7</t>
  </si>
  <si>
    <t>Решетников Леонид Яковлевич</t>
  </si>
  <si>
    <t>54.648599,20.340463</t>
  </si>
  <si>
    <t>ОБЩЕСТВО С ОГРАНИЧЕННОЙ ОТВЕТСТВЕННОСТЬЮ "ЗАВОД ЖБИ-ПЕРВЫЙ"</t>
  </si>
  <si>
    <t>"ЗАВОД ЖБИ-ПЕРВЫЙ"</t>
  </si>
  <si>
    <t>3906342520</t>
  </si>
  <si>
    <t>236020, КАЛИНИНГРАДСКАЯ ОБЛАСТЬ, Г. КАЛИНИНГРАД, УЛ. ЗАВОДСКАЯ, Д. 11, ЛИТЕР А, ПОМЕЩ. XI</t>
  </si>
  <si>
    <t>Семенцов Алексей Юрьевич</t>
  </si>
  <si>
    <t>+7 (909) 797-63-94'</t>
  </si>
  <si>
    <t>zavod39@bk.ru', '730014@bk.ru'</t>
  </si>
  <si>
    <t>ОБЩЕСТВО С ОГРАНИЧЕННОЙ ОТВЕТСТВЕННОСТЬЮ  "ЖБИ-1"</t>
  </si>
  <si>
    <t xml:space="preserve"> "ЖБИ-1"</t>
  </si>
  <si>
    <t>3906407009</t>
  </si>
  <si>
    <t>236020, КАЛИНИНГРАДСКАЯ ОБЛ., Г. Калининград, УЛ. ЗАВОДСКАЯ, Д. 11, ЛИТЕР Г КОМ 6</t>
  </si>
  <si>
    <t>1@LIST.RU'</t>
  </si>
  <si>
    <t>ОБЩЕСТВО С ОГРАНИЧЕННОЙ ОТВЕТСТВЕННОСТЬЮ ПРОИЗВОДСТВЕННАЯ КОМПАНИЯ "Завод ЖБИ-1"</t>
  </si>
  <si>
    <t>ПРОИЗВОДСТВЕННАЯ КОМПАНИЯ "Завод ЖБИ-1"</t>
  </si>
  <si>
    <t>3917503770</t>
  </si>
  <si>
    <t>236020, КАЛИНИНГРАДСКАЯ ОБЛАСТЬ, Г. КАЛИНИНГРАД, УЛ. ЗАВОДСКАЯ, Д. 11</t>
  </si>
  <si>
    <t>Зотов Олег Михайлович</t>
  </si>
  <si>
    <t>+7 (909) 783-39-15'</t>
  </si>
  <si>
    <t>54.714178,20.440464</t>
  </si>
  <si>
    <t>ОБЩЕСТВО С ОГРАНИЧЕННОЙ ОТВЕТСТВЕННОСТЬЮ "СИБИРСКОЕ ТЕПЛО"</t>
  </si>
  <si>
    <t>"СИБИРСКОЕ ТЕПЛО"</t>
  </si>
  <si>
    <t>3906404939</t>
  </si>
  <si>
    <t>236010, КАЛИНИНГРАДСКАЯ ОБЛ., Г. Калининград, УЛ. МАТРОССКАЯ, Д. 2,..</t>
  </si>
  <si>
    <t>Крупенков Роман Юрьевич</t>
  </si>
  <si>
    <t>SIBTEPLO39@GMAIL.COM'</t>
  </si>
  <si>
    <t>54.770666,20.444138</t>
  </si>
  <si>
    <t>ОБЩЕСТВО С ОГРАНИЧЕННОЙ ОТВЕТСТВЕННОСТЬЮ "МОЯ СТРОЙКА"</t>
  </si>
  <si>
    <t>"МОЯ СТРОЙКА"</t>
  </si>
  <si>
    <t>3906976140</t>
  </si>
  <si>
    <t>236019, КАЛИНИНГРАДСКАЯ ОБЛАСТЬ, Г. КАЛИНИНГРАД, УЛ. ДОКУКА, Д. 15,..</t>
  </si>
  <si>
    <t>Маршалович Александр Юрьевич</t>
  </si>
  <si>
    <t>54.766874,20.44588</t>
  </si>
  <si>
    <t>3906992127</t>
  </si>
  <si>
    <t>236019, КАЛИНИНГРАДСКАЯ ОБЛАСТЬ, ГОРОД КАЛИНИНГРАД, УЛИЦА ГАБАЙДУЛИНА, ДОМ 8А, ОФИС 6</t>
  </si>
  <si>
    <t>Попов Александр Викторович</t>
  </si>
  <si>
    <t>+7 (921) 611-03-59'</t>
  </si>
  <si>
    <t>54.721468,20.452196</t>
  </si>
  <si>
    <t>ОБЩЕСТВО С ОГРАНИЧЕННОЙ ОТВЕТСТВЕННОСТЬЮ "ПИТОН"</t>
  </si>
  <si>
    <t>"ПИТОН"</t>
  </si>
  <si>
    <t>3905062915</t>
  </si>
  <si>
    <t>236010, КАЛИНИНГРАДСКАЯ ОБЛАСТЬ, ГОРОД КАЛИНИНГРАД, ПРОСПЕКТ МИРА, ДОМ 136, ЛИТЕР Г, ОФИС 328</t>
  </si>
  <si>
    <t>Дягилев Сергей Аркадьевич</t>
  </si>
  <si>
    <t>54.726985,20.457873</t>
  </si>
  <si>
    <t>ОБЩЕСТВО С ОГРАНИЧЕННОЙ ОТВЕТСТВЕННОСТЬЮ "САДКО"</t>
  </si>
  <si>
    <t>"САДКО"</t>
  </si>
  <si>
    <t>3906999500</t>
  </si>
  <si>
    <t>236022, КАЛИНИНГРАДСКАЯ ОБЛАСТЬ, ГОРОД КАЛИНИНГРАД, УЛИЦА СПОРТИВНАЯ, ДОМ 26,..</t>
  </si>
  <si>
    <t>Грибов Иван Николаевич</t>
  </si>
  <si>
    <t>+7 (906) 216-44-44'</t>
  </si>
  <si>
    <t>54.731898,20.459032</t>
  </si>
  <si>
    <t>ОБЩЕСТВО С ОГРАНИЧЕННОЙ ОТВЕТСТВЕННОСТЬЮ "ДОРСТРОЙ"</t>
  </si>
  <si>
    <t>"ДОРСТРОЙ"</t>
  </si>
  <si>
    <t>3917518737</t>
  </si>
  <si>
    <t>236022, КАЛИНИНГРАДСКАЯ ОБЛ, КАЛИНИНГРАД Г, ЧКАЛОВА УЛ, ДОМ 110</t>
  </si>
  <si>
    <t>Тапуть Денис Сергеевич</t>
  </si>
  <si>
    <t>kio39@bk.ru', 'nt21011974@mail.ru'</t>
  </si>
  <si>
    <t>54.757446,20.46179</t>
  </si>
  <si>
    <t>ОБЩЕСТВО С ОГРАНИЧЕННОЙ ОТВЕТСТВЕННОСТЬЮ "БИБРИХ И КО"</t>
  </si>
  <si>
    <t>"БИБРИХ И КО"</t>
  </si>
  <si>
    <t>3906303426</t>
  </si>
  <si>
    <t>236023, КАЛИНИНГРАДСКАЯ ОБЛАСТЬ, ГОРОД КАЛИНИНГРАД, УЛИЦА КИРОВОГРАДСКАЯ, ДОМ 44</t>
  </si>
  <si>
    <t>Бибрих Олег Владимирович</t>
  </si>
  <si>
    <t>+7 (906) 234-43-12'</t>
  </si>
  <si>
    <t>sidorenko357@gmail.com'</t>
  </si>
  <si>
    <t>54.688878,20.463514</t>
  </si>
  <si>
    <t>ОБЩЕСТВО С ОГРАНИЧЕННОЙ ОТВЕТСТВЕННОСТЬЮ "СИЛИКАТБЕТОН"</t>
  </si>
  <si>
    <t>"СИЛИКАТБЕТОН"</t>
  </si>
  <si>
    <t>3906412577</t>
  </si>
  <si>
    <t>236039, Калининградская область, ГОРОД КАЛИНИНГРАД, Г КАЛИНИНГРАД, УЛ А.СУВОРОВА, Д. 54А</t>
  </si>
  <si>
    <t>Решетников Яков Леонидович</t>
  </si>
  <si>
    <t>3908601330</t>
  </si>
  <si>
    <t>236039, КАЛИНИНГРАДСКАЯ ОБЛАСТЬ, Г. КАЛИНИНГРАД, УЛ. А.СУВОРОВА, Д.54 "А"</t>
  </si>
  <si>
    <t>+7 (906) 233-95-40'</t>
  </si>
  <si>
    <t>54.670587,20.466389</t>
  </si>
  <si>
    <t>ОБЩЕСТВО С ОГРАНИЧЕННОЙ ОТВЕТСТВЕННОСТЬЮ "АРМАБЕТОН"</t>
  </si>
  <si>
    <t>"АРМАБЕТОН"</t>
  </si>
  <si>
    <t>3906368977</t>
  </si>
  <si>
    <t>236005, КАЛИНИНГРАДСКАЯ ОБЛАСТЬ, Г. КАЛИНИНГРАД, УЛ. КАМСКАЯ, Д. 63, ЛИТЕР "Ц", ОФИС 1</t>
  </si>
  <si>
    <t>Данилов Сергей Владимирович</t>
  </si>
  <si>
    <t>54.738022,20.468716</t>
  </si>
  <si>
    <t>ОБЩЕСТВО С ОГРАНИЧЕННОЙ ОТВЕТСТВЕННОСТЬЮ "ПРОФСТРОЙ"</t>
  </si>
  <si>
    <t>"ПРОФСТРОЙ"</t>
  </si>
  <si>
    <t>3906358538</t>
  </si>
  <si>
    <t>236023, КАЛИНИНГРАДСКАЯ ОБЛАСТЬ, ГОРОД КАЛИНИНГРАД, УЛИЦА МАРШАЛА БОРЗОВА, ДОМ 58П, ПОМЕЩЕНИЕ 2</t>
  </si>
  <si>
    <t>Малиновский Андрей Александрович</t>
  </si>
  <si>
    <t>+7 (911) 851-70-77'</t>
  </si>
  <si>
    <t>54.718515,20.470261</t>
  </si>
  <si>
    <t>Общество с ограниченной ответственностью "ВЕКТОР"</t>
  </si>
  <si>
    <t>"ВЕКТОР"</t>
  </si>
  <si>
    <t>3905084394</t>
  </si>
  <si>
    <t>Г КАЛИНИНГРАД,УЛ МАРИИ РАСКОВОЙ, 17,..</t>
  </si>
  <si>
    <t>Шахбазян Манушак Ашотовна</t>
  </si>
  <si>
    <t>54.732241,20.472938</t>
  </si>
  <si>
    <t>ОБЩЕСТВО С ОГРАНИЧЕННОЙ ОТВЕТСТВЕННОСТЬЮ "КАМЕННЫЙ ВЕК"</t>
  </si>
  <si>
    <t>"КАМЕННЫЙ ВЕК"</t>
  </si>
  <si>
    <t>3906955301</t>
  </si>
  <si>
    <t>236023, Калининградская область, г Калининград, ул Чекистов, 59,..</t>
  </si>
  <si>
    <t>Мисник Дмитрий Алексеевич</t>
  </si>
  <si>
    <t>wittenberg39@mail.ru'</t>
  </si>
  <si>
    <t>54.956358,20.477456</t>
  </si>
  <si>
    <t>ОБЩЕСТВО С ОГРАНИЧЕННОЙ ОТВЕТСТВЕННОСТЬЮ "БАЛТЭНЕРГОСЕРВИС"</t>
  </si>
  <si>
    <t>"БАЛТЭНЕРГОСЕРВИС"</t>
  </si>
  <si>
    <t>3917046160</t>
  </si>
  <si>
    <t>238326, Калининградская область, муниципальный округ ЗЕЛЕНОГРАДСКИЙ, Город ЗЕЛЕНОГРАДСК, УЛ ТУРГЕНЕВА, Д. 5В,..</t>
  </si>
  <si>
    <t>Павликов Алексей Николаевич</t>
  </si>
  <si>
    <t>54.658068,20.487616</t>
  </si>
  <si>
    <t>ОБЩЕСТВО С ОГРАНИЧЕННОЙ ОТВЕТСТВЕННОСТЬЮ  "ЕВРО-СТРОЙ"</t>
  </si>
  <si>
    <t xml:space="preserve"> "ЕВРО-СТРОЙ"</t>
  </si>
  <si>
    <t>3917052767</t>
  </si>
  <si>
    <t>238522, КАЛИНИНГРАДСКАЯ ОБЛ., Р-Н Гурьевский, П. Ново-Дорожный, УЛ. ОЛИМПИЙСКАЯ, Д. 7,..</t>
  </si>
  <si>
    <t>Журавлев Александр Николаевич</t>
  </si>
  <si>
    <t>54.729595,20.49014</t>
  </si>
  <si>
    <t>ОБЩЕСТВО С ОГРАНИЧЕННОЙ ОТВЕТСТВЕННОСТЬЮ "БАЛТСТРОЙБЕТОН"</t>
  </si>
  <si>
    <t>"БАЛТСТРОЙБЕТОН"</t>
  </si>
  <si>
    <t>3906327272</t>
  </si>
  <si>
    <t>236022, Калининградская область, г Калининград, просп Советский, 43</t>
  </si>
  <si>
    <t>Акулов Алексей Викторович</t>
  </si>
  <si>
    <t>+7 (962) 266-58-20'</t>
  </si>
  <si>
    <t>bdms@gazinter.net'</t>
  </si>
  <si>
    <t>54.726309,20.490949</t>
  </si>
  <si>
    <t>ОБЩЕСТВО С ОГРАНИЧЕННОЙ ОТВЕТСТВЕННОСТЬЮ "ТЕХПРОМСЕРВИС"</t>
  </si>
  <si>
    <t>"ТЕХПРОМСЕРВИС"</t>
  </si>
  <si>
    <t>3905085817</t>
  </si>
  <si>
    <t>236022, КАЛИНИНГРАДСКАЯ ОБЛАСТЬ, ГОРОД КАЛИНИНГРАД, УЛИЦА РЕПИНА, 17</t>
  </si>
  <si>
    <t>Пироженко Александр Иванович</t>
  </si>
  <si>
    <t>54.70186,20.492341</t>
  </si>
  <si>
    <t>ОБЩЕСТВО С ОГРАНИЧЕННОЙ ОТВЕТСТВЕННОСТЬЮ "ТАКСТРОЙ"</t>
  </si>
  <si>
    <t>"ТАКСТРОЙ"</t>
  </si>
  <si>
    <t>3908022822</t>
  </si>
  <si>
    <t>236039, Калининградская область, г Калининград, ул Железнодорожная, 58</t>
  </si>
  <si>
    <t>Китченко Алексей Германович</t>
  </si>
  <si>
    <t>54.899752,20.495414</t>
  </si>
  <si>
    <t>ОБЩЕСТВО С ОГРАНИЧЕННОЙ ОТВЕТСТВЕННОСТЬЮ "БЕТОННЫЕ ИЗДЕЛИЯ МУРОМСКОЕ"</t>
  </si>
  <si>
    <t>"БЕТОННЫЕ ИЗДЕЛИЯ МУРОМСКОЕ"</t>
  </si>
  <si>
    <t>3918012566</t>
  </si>
  <si>
    <t>238326, КАЛИНИНГРАДСКАЯ ОБЛАСТЬ, Р-Н ЗЕЛЕНОГРАДСКИЙ, П МУРОМСКОЕ, УЛ. НОВАЯ, Д. 5, ОФИС 1</t>
  </si>
  <si>
    <t>Саакова Ирина Шамильевна</t>
  </si>
  <si>
    <t>+7 (981) 475-05-95'</t>
  </si>
  <si>
    <t>54.699519,20.500336</t>
  </si>
  <si>
    <t>ОБЩЕСТВО С ОГРАНИЧЕННОЙ ОТВЕТСТВЕННОСТЬЮ "ЗАВОД БЕТОННЫХ ИЗДЕЛИЙ"</t>
  </si>
  <si>
    <t>"ЗАВОД БЕТОННЫХ ИЗДЕЛИЙ"</t>
  </si>
  <si>
    <t>3906992254</t>
  </si>
  <si>
    <t>236039, КАЛИНИНГРАДСКАЯ ОБЛАСТЬ, Г. КАЛИНИНГРАД, УЛ. СЕРПУХОВСКАЯ, Д. 38,..</t>
  </si>
  <si>
    <t>Писанко Дмитрий Викторович</t>
  </si>
  <si>
    <t>54.668067,20.500714</t>
  </si>
  <si>
    <t>ОБЩЕСТВО С ОГРАНИЧЕННОЙ ОТВЕТСТВЕННОСТЬЮ "АЛАТЫРЪ"</t>
  </si>
  <si>
    <t>"АЛАТЫРЪ"</t>
  </si>
  <si>
    <t>3906955446</t>
  </si>
  <si>
    <t>236044, КАЛИНИНГРАДСКАЯ ОБЛАСТЬ, ГОРОД КАЛИНИНГРАД, УЛИЦА У.ГРОМОВОЙ, ДОМ 39,..</t>
  </si>
  <si>
    <t>Кириенко Максим Сергеевич</t>
  </si>
  <si>
    <t>+7 (963) 738-35-53', '+7 (911) 493-03-95'</t>
  </si>
  <si>
    <t>54.702323,20.502735</t>
  </si>
  <si>
    <t>ОБЩЕСТВО С ОГРАНИЧЕННОЙ ОТВЕТСТВЕННОСТЬЮ "ЛИДЕР"</t>
  </si>
  <si>
    <t>"ЛИДЕР"</t>
  </si>
  <si>
    <t>3906388081</t>
  </si>
  <si>
    <t>236039, КАЛИНИНГРАДСКАЯ ОБЛАСТЬ, ГОРОД КАЛИНИНГРАД, УЛИЦА СЕРПУХОВСКАЯ, ДОМ 13,..</t>
  </si>
  <si>
    <t>Зайцев Павел Юрьевич</t>
  </si>
  <si>
    <t>+7 (911) 499-99-09'</t>
  </si>
  <si>
    <t>54.73838,20.503561</t>
  </si>
  <si>
    <t>ОБЩЕСТВО С ОГРАНИЧЕННОЙ ОТВЕТСТВЕННОСТЬЮ " ЗАПАДНЫЙ КОНТИНЕНТ ИНВЕСТ "</t>
  </si>
  <si>
    <t>" ЗАПАДНЫЙ КОНТИНЕНТ ИНВЕСТ "</t>
  </si>
  <si>
    <t>3907027546</t>
  </si>
  <si>
    <t>236029, КАЛИНИНГРАДСКАЯ ОБЛАСТЬ, Г. КАЛИНИНГРАД, УЛ. ЗЕЛЕНАЯ, Д. 68,..</t>
  </si>
  <si>
    <t>Пастущин Владимир Михайлович</t>
  </si>
  <si>
    <t>54.7184,20.503606</t>
  </si>
  <si>
    <t>ОБЩЕСТВО С ОГРАНИЧЕННОЙ ОТВЕТСТВЕННОСТЬЮ  "СТОУНБЕРГ"</t>
  </si>
  <si>
    <t xml:space="preserve"> "СТОУНБЕРГ"</t>
  </si>
  <si>
    <t>3906409454</t>
  </si>
  <si>
    <t>236040, Калининградская область, ГОРОД КАЛИНИНГРАД, Г КАЛИНИНГРАД, УЛ ЧЕРНЯХОВСКОГО, Д. 6, ОФИС 313</t>
  </si>
  <si>
    <t>Мун Хе-Ран</t>
  </si>
  <si>
    <t>KD@YANDEX.RU'</t>
  </si>
  <si>
    <t>54.764329,20.503696</t>
  </si>
  <si>
    <t>ОБЩЕСТВО С ОГРАНИЧЕННОЙ ОТВЕТСТВЕННОСТЬЮ "ЭКО-ФАСАД39"</t>
  </si>
  <si>
    <t>"ЭКО-ФАСАД39"</t>
  </si>
  <si>
    <t>3906404791</t>
  </si>
  <si>
    <t>236001, Калининградская область, городской округ ГОРОД КАЛИНИНГРАД, Город КАЛИНИНГРАД, ТЕР. СНТ ПОБЕДА, УЛ ТАНКОВАЯ, Д. 13,</t>
  </si>
  <si>
    <t>Безбородов Владислав Николаевич</t>
  </si>
  <si>
    <t>54.678749,20.508619</t>
  </si>
  <si>
    <t>ОБЩЕСТВО С ОГРАНИЧЕННОЙ ОТВЕТСТВЕННОСТЬЮ "ДЛ-МАРКЕТ"</t>
  </si>
  <si>
    <t>"ДЛ-МАРКЕТ"</t>
  </si>
  <si>
    <t>3906341118</t>
  </si>
  <si>
    <t>236011, КАЛИНИНГРАДСКАЯ ОБЛАСТЬ, ГОРОД КАЛИНИНГРАД, УЛИЦА МАШИНОСТРОИТЕЛЬНАЯ, ДОМ 114,..</t>
  </si>
  <si>
    <t>Леонтьев Дмитрий Константинович</t>
  </si>
  <si>
    <t>+7 (905) 242-40-74'</t>
  </si>
  <si>
    <t>54.710162,20.510137</t>
  </si>
  <si>
    <t>ОБЩЕСТВО С ОГРАНИЧЕННОЙ ОТВЕТСТВЕННОСТЬЮ "КАПЛИТ"</t>
  </si>
  <si>
    <t>"КАПЛИТ"</t>
  </si>
  <si>
    <t>3906906079</t>
  </si>
  <si>
    <t>236016, КАЛИНИНГРАДСКАЯ ОБЛ, КАЛИНИНГРАД Г, МАЙСКАЯ УЛ, ДОМ 4, ПОМЕЩЕНИЕ ЛИТ. XIV ИЗ ЛИТ. А</t>
  </si>
  <si>
    <t>Щетинина Ирина Юрьевна</t>
  </si>
  <si>
    <t>ОБЩЕСТВО С ОГРАНИЧЕННОЙ ОТВЕТСТВЕННОСТЬЮ "БЕТОН"</t>
  </si>
  <si>
    <t>"БЕТОН"</t>
  </si>
  <si>
    <t>3906966310</t>
  </si>
  <si>
    <t>236039, КАЛИНИНГРАДСКАЯ ОБЛАСТЬ, Г. КАЛИНИНГРАД, УЛ. ЖЕЛЕЗНОДОРОЖНАЯ, Д. 12, ЗД. ЛИТЕРА А ЭТАЖ 1, ПОМЕЩ. 27 ОФИС 1</t>
  </si>
  <si>
    <t>Баталов Хазрат Саидбоевич</t>
  </si>
  <si>
    <t>+7 (911) 866-52-38', '+7 (963) 351-92-55'</t>
  </si>
  <si>
    <t>54.67093,20.511143</t>
  </si>
  <si>
    <t>ОБЩЕСТВО С ОГРАНИЧЕННОЙ ОТВЕТСТВЕННОСТЬЮ "ГРАНДБАУ"</t>
  </si>
  <si>
    <t>"ГРАНДБАУ"</t>
  </si>
  <si>
    <t>3906283716</t>
  </si>
  <si>
    <t>236011, КАЛИНИНГРАДСКАЯ ОБЛАСТЬ, Г. КАЛИНИНГРАД, УЛ. О.КОШЕВОГО, Д.68,..</t>
  </si>
  <si>
    <t>Еленцова Виктория Станиславовна</t>
  </si>
  <si>
    <t>+7 (911) 454-73-64'</t>
  </si>
  <si>
    <t>54.699867,20.511943</t>
  </si>
  <si>
    <t>ОБЩЕСТВО С ОГРАНИЧЕННОЙ ОТВЕТСТВЕННОСТЬЮ "ДЕКОР"</t>
  </si>
  <si>
    <t>"ДЕКОР"</t>
  </si>
  <si>
    <t>3906377139</t>
  </si>
  <si>
    <t>236039, КАЛИНИНГРАДСКАЯ ОБЛ, КАЛИНИНГРАД Г, БАГРАТИОНА УЛ, ДОМ 54,..</t>
  </si>
  <si>
    <t>Малахова Екатерина Васильевна</t>
  </si>
  <si>
    <t>54.702235,20.515715</t>
  </si>
  <si>
    <t>ОБЩЕСТВО С ОГРАНИЧЕННОЙ ОТВЕТСТВЕННОСТЬЮ "ИК-СТРОЙ"</t>
  </si>
  <si>
    <t>"ИК-СТРОЙ"</t>
  </si>
  <si>
    <t>3906956217</t>
  </si>
  <si>
    <t>236006, КАЛИНИНГРАДСКАЯ ОБЛ, КАЛИНИНГРАД Г, УЛ ОКТЯБРЬСКАЯ, 8, ПОМ. 15</t>
  </si>
  <si>
    <t>Куликов Илья Андреевич</t>
  </si>
  <si>
    <t>+7 (911) 852-80-11'</t>
  </si>
  <si>
    <t>54.68613,20.517288</t>
  </si>
  <si>
    <t>ОБЩЕСТВО С ОГРАНИЧЕННОЙ ОТВЕТСТВЕННОСТЬЮ "КПД Пром"</t>
  </si>
  <si>
    <t>"КПД Пром"</t>
  </si>
  <si>
    <t>3907211626</t>
  </si>
  <si>
    <t>236004, КАЛИНИНГРАДСКАЯ ОБЛАСТЬ, ГОРОД КАЛИНИНГРАД, УЛИЦА ДЮННАЯ, ДОМ 18, ОФИС 107</t>
  </si>
  <si>
    <t>Сенокосов Дмитрий Владимирович</t>
  </si>
  <si>
    <t>54.697604,20.519812</t>
  </si>
  <si>
    <t>ОБЩЕСТВО С ОГРАНИЧЕННОЙ ОТВЕТСТВЕННОСТЬЮ "МРТС РЕСУРС"</t>
  </si>
  <si>
    <t>"МРТС РЕСУРС"</t>
  </si>
  <si>
    <t>3907063199</t>
  </si>
  <si>
    <t>236004, КАЛИНИНГРАДСКАЯ ОБЛАСТЬ, ГОРОД КАЛИНИНГРАД, УЛИЦА ДЗЕРЖИНСКОГО, ДОМ 17А, ПОДЪЕЗД 2, ОФИС 22</t>
  </si>
  <si>
    <t>Барягина Александра Анатольевна</t>
  </si>
  <si>
    <t>+7 (495) 640-37-77', '+7 (916) 660-95-54', '+7 (985) 233-97-87', '+7 (903) 622-58-91'</t>
  </si>
  <si>
    <t>54.713397,20.521429</t>
  </si>
  <si>
    <t>ОБЩЕСТВО С ОГРАНИЧЕННОЙ ОТВЕТСТВЕННОСТЬЮ "АКМАТЕКС"</t>
  </si>
  <si>
    <t>"АКМАТЕКС"</t>
  </si>
  <si>
    <t>3906975403</t>
  </si>
  <si>
    <t>236016, Калининградская область, г Калининград, ул Фрунзе, 21,..</t>
  </si>
  <si>
    <t>Макин Игорь Александрович</t>
  </si>
  <si>
    <t>+7 (911) 470-21-50'</t>
  </si>
  <si>
    <t>54.688508,20.526028</t>
  </si>
  <si>
    <t>ОБЩЕСТВО С ОГРАНИЧЕННОЙ ОТВЕТСТВЕННОСТЬЮ "ОМЕГА"</t>
  </si>
  <si>
    <t>"ОМЕГА"</t>
  </si>
  <si>
    <t>3906997453</t>
  </si>
  <si>
    <t>236004, КАЛИНИНГРАДСКАЯ ОБЛАСТЬ, Г. КАЛИНИНГРАД, УЛ. АЛЛЕЯ СМЕЛЫХ, Д. 31, ЛИТЕР "Л", КАБИНЕТ 5 НА 3 ЭТАЖЕ</t>
  </si>
  <si>
    <t>Тишин Александр Николаевич</t>
  </si>
  <si>
    <t>+7 (911) 860-58-84'</t>
  </si>
  <si>
    <t>54.717584,20.527052</t>
  </si>
  <si>
    <t>ОБЩЕСТВО С ОГРАНИЧЕННОЙ ОТВЕТСТВЕННОСТЬЮ "СПАРТАК"</t>
  </si>
  <si>
    <t>"СПАРТАК"</t>
  </si>
  <si>
    <t>3906386817</t>
  </si>
  <si>
    <t>236016, КАЛИНИНГРАДСКАЯ ОБЛАСТЬ, ГОРОД КАЛИНИНГРАД, УЛИЦА 9 АПРЕЛЯ, ДОМ 72,..</t>
  </si>
  <si>
    <t>Затеев Иван Сергеевич</t>
  </si>
  <si>
    <t>54.729132,20.534481</t>
  </si>
  <si>
    <t>ОБЩЕСТВО С ОГРАНИЧЕННОЙ ОТВЕТСТВЕННОСТЬЮ "Ришюр"</t>
  </si>
  <si>
    <t>"Ришюр"</t>
  </si>
  <si>
    <t>3906247549</t>
  </si>
  <si>
    <t>236038, КАЛИНИНГРАДСКАЯ ОБЛАСТЬ, Г. КАЛИНИНГРАД, ПЕР. МАЙСКИЙ, Д. 1, ЛИТЕР IV</t>
  </si>
  <si>
    <t>Шарыга Вячеслав Федорович</t>
  </si>
  <si>
    <t>54.747771,20.535739</t>
  </si>
  <si>
    <t>ОБЩЕСТВО С ОГРАНИЧЕННОЙ ОТВЕТСТВЕННОСТЬЮ  "ЛИБЕРТИ СТОУН"</t>
  </si>
  <si>
    <t xml:space="preserve"> "ЛИБЕРТИ СТОУН"</t>
  </si>
  <si>
    <t>3906383870</t>
  </si>
  <si>
    <t>236029, КАЛИНИНГРАДСКАЯ ОБЛАСТЬ, ГОРОД КАЛИНИНГРАД, УЛИЦА А.НЕВСКОГО, ДОМ 189, ОФИС 5</t>
  </si>
  <si>
    <t>Нурков Дмитрий Евгеньевич</t>
  </si>
  <si>
    <t>+7 (962) 256-54-33'</t>
  </si>
  <si>
    <t>54.746249,20.537347</t>
  </si>
  <si>
    <t>ОБЩЕСТВО С ОГРАНИЧЕННОЙ ОТВЕТСТВЕННОСТЬЮ "СОЮЗ - БЕТОН"</t>
  </si>
  <si>
    <t>"СОЮЗ - БЕТОН"</t>
  </si>
  <si>
    <t>3906268450</t>
  </si>
  <si>
    <t>236029, КАЛИНИНГРАДСКАЯ ОБЛАСТЬ, Г. КАЛИНИНГРАД, ПЕР. ГАНЗЕЙСКИЙ, Д.2-4</t>
  </si>
  <si>
    <t>Богунов Константин Александрович</t>
  </si>
  <si>
    <t>+7 (401) 298-81-06', '+7 (909) 777-17-12'</t>
  </si>
  <si>
    <t>54.711177,20.537859</t>
  </si>
  <si>
    <t>ОБЩЕСТВО С ОГРАНИЧЕННОЙ ОТВЕТСТВЕННОСТЬЮ "СПК"</t>
  </si>
  <si>
    <t>"СПК"</t>
  </si>
  <si>
    <t>3906379182</t>
  </si>
  <si>
    <t>236016, КАЛИНИНГРАДСКАЯ ОБЛАСТЬ, ГОРОД КАЛИНИНГРАД, УЛИЦА ЛИТОВСКИЙ ВАЛ, ДОМ 47,..</t>
  </si>
  <si>
    <t>Черкасов Алексей Сергеевич</t>
  </si>
  <si>
    <t>+7 (931) 603-02-47'</t>
  </si>
  <si>
    <t>ОБЩЕСТВО С ОГРАНИЧЕННОЙ ОТВЕТСТВЕННОСТЬЮ "ЖБИ 39"</t>
  </si>
  <si>
    <t>"ЖБИ 39"</t>
  </si>
  <si>
    <t>3906998200</t>
  </si>
  <si>
    <t>+7 (911) 486-11-13'</t>
  </si>
  <si>
    <t>54.712196,20.546465</t>
  </si>
  <si>
    <t>ОБЩЕСТВО С ОГРАНИЧЕННОЙ ОТВЕТСТВЕННОСТЬЮ "СИЛСТОУН"</t>
  </si>
  <si>
    <t>"СИЛСТОУН"</t>
  </si>
  <si>
    <t>3906314361</t>
  </si>
  <si>
    <t>236003, КАЛИНИНГРАДСКАЯ ОБЛАСТЬ, Г. КАЛИНИНГРАД, УЛ. ДАЧНАЯ, Д. 6, ЛИТЕР IV ЛИТ.Б, ЭТАЖ 2, ПОМЕЩЕНИЕ 27</t>
  </si>
  <si>
    <t>Кондратенко Сергей Анатолиевич</t>
  </si>
  <si>
    <t>u10@danor.ru'</t>
  </si>
  <si>
    <t>54.724505,20.551612</t>
  </si>
  <si>
    <t>ОБЩЕСТВО С ОГРАНИЧЕННОЙ ОТВЕТСТВЕННОСТЬЮ "СТРОЙТОРГ"</t>
  </si>
  <si>
    <t>"СТРОЙТОРГ"</t>
  </si>
  <si>
    <t>3906403438</t>
  </si>
  <si>
    <t>236038, КАЛИНИНГРАДСКАЯ ОБЛ., Г. Калининград, УЛ. Ю.ГАГАРИНА, Д. 30, ЛИТЕР А ПОМЕЩ. 6А</t>
  </si>
  <si>
    <t>Арсеньева Юлия Викторовна</t>
  </si>
  <si>
    <t>79@MAIL.RU'</t>
  </si>
  <si>
    <t>54.70456,20.553984</t>
  </si>
  <si>
    <t>ОБЩЕСТВО С ОГРАНИЧЕННОЙ ОТВЕТСТВЕННОСТЬЮ "Калининградские строительные материалы"</t>
  </si>
  <si>
    <t>"Калининградские строительные материалы"</t>
  </si>
  <si>
    <t>3906223058</t>
  </si>
  <si>
    <t>236003, КАЛИНИНГРАДСКАЯ ОБЛ, КАЛИНИНГРАД Г, ЯЛТИНСКАЯ УЛ, ДОМ 66, ОФИС 304</t>
  </si>
  <si>
    <t>Шешеня Кирилл Вадимович</t>
  </si>
  <si>
    <t>+7 (981) 453-38-65', '+7 (911) 471-11-14'</t>
  </si>
  <si>
    <t>54.755155,20.555628</t>
  </si>
  <si>
    <t>Закрытое акционерное общество "Завод "Мелкоштучных бетонных изделий"</t>
  </si>
  <si>
    <t>Закрытое "Завод "Мелкоштучных бетонных изделий"</t>
  </si>
  <si>
    <t>3906125910</t>
  </si>
  <si>
    <t>236029, КАЛИНИНГРАДСКАЯ ОБЛАСТЬ, Г. КАЛИНИНГРАД, УЛ. ТУРУХАНСКАЯ, Д. 1, ЛИТЕР К, ОФИС 3</t>
  </si>
  <si>
    <t>Сулейманов Муса Абасович</t>
  </si>
  <si>
    <t>54.758345,20.562967</t>
  </si>
  <si>
    <t>Общество с ограниченной ответственностью "СТ-Бетон"</t>
  </si>
  <si>
    <t>"СТ-Бетон"</t>
  </si>
  <si>
    <t>3917515729</t>
  </si>
  <si>
    <t>236029, КАЛИНИНГРАДСКАЯ ОБЛАСТЬ, Р-Н ГУРЬЕВСКИЙ, П НЕВСКОЕ, УЛ. ТУРУХАНСКАЯ, Д. 3А, ЛИТЕР Г, ПОМЕЩ. 2</t>
  </si>
  <si>
    <t>Политов Александр Александрович</t>
  </si>
  <si>
    <t>54.748275,20.566587</t>
  </si>
  <si>
    <t>3907054250</t>
  </si>
  <si>
    <t>238324, КАЛИНИНГРАДСКАЯ ОБЛ, ГУРЬЕВСКИЙ Р-Н, НЕВСКОЕ П, ИНДУСТРИАЛЬНАЯ УЛ, ДОМ 1, ПОМЕЩЕНИЕ 16</t>
  </si>
  <si>
    <t>+7 (911) 458-71-80'</t>
  </si>
  <si>
    <t>54.582105,20.57177</t>
  </si>
  <si>
    <t>ОБЩЕСТВО С ОГРАНИЧЕННОЙ ОТВЕТСТВЕННОСТЬЮ "ВИТТЕНБЕРГ"</t>
  </si>
  <si>
    <t>"ВИТТЕНБЕРГ"</t>
  </si>
  <si>
    <t>3906955904</t>
  </si>
  <si>
    <t>238434, КАЛИНИНГРАДСКАЯ ОБЛ, БАГРАТИОНОВСКИЙ Р-Н, НИВЕНСКОЕ П, ул Больничная, 1г</t>
  </si>
  <si>
    <t>Мисник Юрий Алексеевич</t>
  </si>
  <si>
    <t>+7 (911) 458-83-62'</t>
  </si>
  <si>
    <t>54.708737,20.571842</t>
  </si>
  <si>
    <t>ОБЩЕСТВО С ОГРАНИЧЕННОЙ ОТВЕТСТВЕННОСТЬЮ "СОЮЗ"</t>
  </si>
  <si>
    <t>"СОЮЗ"</t>
  </si>
  <si>
    <t>3906375237</t>
  </si>
  <si>
    <t>236003, Калининградская область, городской округ ГОРОД КАЛИНИНГРАД, Город КАЛИНИНГРАД, ПР-КТ МОСКОВСКИЙ, Д. 229, ПОМЕЩ. 18</t>
  </si>
  <si>
    <t>Мешкова Оксана Евгеньевна</t>
  </si>
  <si>
    <t>54.731955,20.592818</t>
  </si>
  <si>
    <t>ОБЩЕСТВО С ОГРАНИЧЕННОЙ ОТВЕТСТВЕННОСТЬЮ  "ЭКОБЛОК 39"</t>
  </si>
  <si>
    <t xml:space="preserve"> "ЭКОБЛОК 39"</t>
  </si>
  <si>
    <t>3904600430</t>
  </si>
  <si>
    <t>238310, КАЛИНИНГРАДСКАЯ ОБЛАСТЬ, Р-Н ГУРЬЕВСКИЙ, П МАЛОЕ ИСАКОВО, УЛ. ГУРЬЕВСКАЯ, Д. 1, КАБИНЕТ 11</t>
  </si>
  <si>
    <t>Искандарян Игорь Валерьевич</t>
  </si>
  <si>
    <t>54.744445,20.594246</t>
  </si>
  <si>
    <t>ОБЩЕСТВО С ОГРАНИЧЕННОЙ ОТВЕТСТВЕННОСТЬЮ "АБ-СТРОЙ"</t>
  </si>
  <si>
    <t>"АБ-СТРОЙ"</t>
  </si>
  <si>
    <t>3917025097</t>
  </si>
  <si>
    <t>238310, КАЛИНИНГРАДСКАЯ ОБЛАСТЬ, РАЙОН ГУРЬЕВСКИЙ, ПОСЕЛОК МАЛОЕ ВАСИЛЬКОВО, УЛИЦА ЮБИЛЕЙНАЯ, ДОМ 8Б</t>
  </si>
  <si>
    <t>Оноприенко Андрей Борисович</t>
  </si>
  <si>
    <t>54.769721,20.602026</t>
  </si>
  <si>
    <t>ОБЩЕСТВО С ОГРАНИЧЕННОЙ ОТВЕТСТВЕННОСТЬЮ "ГЕОИНЖЕНЕРИНГ"</t>
  </si>
  <si>
    <t>"ГЕОИНЖЕНЕРИНГ"</t>
  </si>
  <si>
    <t>3917054316</t>
  </si>
  <si>
    <t>238300, КАЛИНИНГРАДСКАЯ ОБЛ., Р-Н Гурьевский, Г. Гурьевск, ПЕР. ПРУДОВЫЙ, Д. 4,..</t>
  </si>
  <si>
    <t>Алёшин Андрей Викторович</t>
  </si>
  <si>
    <t>54.750801,20.612958</t>
  </si>
  <si>
    <t>ОБЩЕСТВО С ОГРАНИЧЕННОЙ ОТВЕТСТВЕННОСТЬЮ "УЛЬТРАБЕТ"</t>
  </si>
  <si>
    <t>"УЛЬТРАБЕТ"</t>
  </si>
  <si>
    <t>3906329600</t>
  </si>
  <si>
    <t>238310, КАЛИНИНГРАДСКАЯ ОБЛ, ГУРЬЕВСКИЙ Р-Н, МАЛОЕ ВАСИЛЬКОВО П, БУКЕТНАЯ УЛ, ДОМ 4</t>
  </si>
  <si>
    <t>Носков Леонид Александрович</t>
  </si>
  <si>
    <t>+7 (921) 710-33-52'</t>
  </si>
  <si>
    <t>usinina@gmail.com'</t>
  </si>
  <si>
    <t>ОБЩЕСТВО С ОГРАНИЧЕННОЙ ОТВЕТСТВЕННОСТЬЮ "БАЛТПЛИТКА"</t>
  </si>
  <si>
    <t>"БАЛТПЛИТКА"</t>
  </si>
  <si>
    <t>3906354068</t>
  </si>
  <si>
    <t>54.794544,20.625049</t>
  </si>
  <si>
    <t>ОБЩЕСТВО С ОГРАНИЧЕННОЙ ОТВЕТСТВЕННОСТЬЮ "АГАТА"</t>
  </si>
  <si>
    <t>"АГАТА"</t>
  </si>
  <si>
    <t>3912502250</t>
  </si>
  <si>
    <t>238300, КАЛИНИНГРАДСКАЯ ОБЛАСТЬ, РАЙОН ГУРЬЕВСКИЙ, ГОРОД ГУРЬЕВСК, УЛИЦА ГРАНИТНАЯ, ДОМ 15 А, ОФИС 1</t>
  </si>
  <si>
    <t>Романов Вадим Вячеславович</t>
  </si>
  <si>
    <t>+7 (906) 212-25-25'</t>
  </si>
  <si>
    <t>ОБЩЕСТВО С ОГРАНИЧЕННОЙ ОТВЕТСТВЕННОСТЬЮ "ВЕСТСТРОЙ ЭКО"</t>
  </si>
  <si>
    <t>"ВЕСТСТРОЙ ЭКО"</t>
  </si>
  <si>
    <t>3912504530</t>
  </si>
  <si>
    <t>238300, КАЛИНИНГРАДСКАЯ ОБЛАСТЬ, Р-Н ГУРЬЕВСКИЙ, Г. ГУРЬЕВСК, УЛ. ГРАНИТНАЯ, Д. 15А, ОФИС 1</t>
  </si>
  <si>
    <t>Берняк Татьяна Михайловна</t>
  </si>
  <si>
    <t>vestroy39@mail.ru'</t>
  </si>
  <si>
    <t>54.807923,20.63573</t>
  </si>
  <si>
    <t>ОБЩЕСТВО С ОГРАНИЧЕННОЙ ОТВЕТСТВЕННОСТЬЮ "БЕТОННАЯ МАНУФАКТУРА КУЛАКОВЫХ"</t>
  </si>
  <si>
    <t>"БЕТОННАЯ МАНУФАКТУРА КУЛАКОВЫХ"</t>
  </si>
  <si>
    <t>3917048471</t>
  </si>
  <si>
    <t>238324, КАЛИНИНГРАДСКАЯ ОБЛАСТЬ, РАЙОН ГУРЬЕВСКИЙ, ПОСЕЛОК РАССВЕТ, УЛИЦА ЗЕЛЕНАЯ, ДОМ 8А</t>
  </si>
  <si>
    <t>Кулаков Владимир Александрович</t>
  </si>
  <si>
    <t>+7 (921) 104-23-25'</t>
  </si>
  <si>
    <t>54.658553,20.635874</t>
  </si>
  <si>
    <t>ОБЩЕСТВО С ОГРАНИЧЕННОЙ ОТВЕТСТВЕННОСТЬЮ "КАДАР"</t>
  </si>
  <si>
    <t>"КАДАР"</t>
  </si>
  <si>
    <t>3917507990</t>
  </si>
  <si>
    <t>238325, КАЛИНИНГРАДСКАЯ ОБЛАСТЬ, РАЙОН ГУРЬЕВСКИЙ, ПОСЕЛОК ЛУГОВОЕ, УЛИЦА ЦЕНТРАЛЬНАЯ, 2</t>
  </si>
  <si>
    <t>Агапов Андрей Александрович</t>
  </si>
  <si>
    <t>54.544854,20.722795</t>
  </si>
  <si>
    <t>ОБЩЕСТВО С ОГРАНИЧЕННОЙ ОТВЕТСТВЕННОСТЬЮ "НЕВАДА"</t>
  </si>
  <si>
    <t>"НЕВАДА"</t>
  </si>
  <si>
    <t>3915500195</t>
  </si>
  <si>
    <t>238423, КАЛИНИНГРАДСКАЯ ОБЛАСТЬ, Р-Н БАГРАТИОНОВСКИЙ, П ЧЕХОВО, УЛ. ЦЕНТРАЛЬНАЯ, Д.8</t>
  </si>
  <si>
    <t>Лободин Александр Валерьевич</t>
  </si>
  <si>
    <t>+7 (911) 474-18-86', '+7 (911) 474-18-86'</t>
  </si>
  <si>
    <t>54.701855,20.806464</t>
  </si>
  <si>
    <t>ОБЩЕСТВО С ОГРАНИЧЕННОЙ ОТВЕТСТВЕННОСТЬЮ "КРОНОС"</t>
  </si>
  <si>
    <t>"КРОНОС"</t>
  </si>
  <si>
    <t>3917052012</t>
  </si>
  <si>
    <t>238313, КАЛИНИНГРАДСКАЯ ОБЛ, ГУРЬЕВСКИЙ Р-Н, ВЫСОКОЕ П, ПОЛЕВАЯ УЛ, ДОМ 18, ОФИС 2</t>
  </si>
  <si>
    <t>Мгерян Роман Рафаелович</t>
  </si>
  <si>
    <t>+7 (911) 074-49-72', '+7 (909) 789-69-12'</t>
  </si>
  <si>
    <t>54.698213,20.824233</t>
  </si>
  <si>
    <t>АКЦИОНЕРНОЕ ОБЩЕСТВО "ЖБИ ВОРОБЬЕВО"</t>
  </si>
  <si>
    <t>"ЖБИ ВОРОБЬЕВО"</t>
  </si>
  <si>
    <t>3917052189</t>
  </si>
  <si>
    <t>238313, КАЛИНИНГРАДСКАЯ ОБЛАСТЬ, ГУРЬЕВСКИЙ РАЙОН, ПОСЕЛОК ВОРОБЬЕВО</t>
  </si>
  <si>
    <t>Симанович Михаил Михайлович</t>
  </si>
  <si>
    <t>54.755358,21.050887</t>
  </si>
  <si>
    <t>ОБЩЕСТВО С ОГРАНИЧЕННОЙ ОТВЕТСТВЕННОСТЬЮ "БАЛТИЙСКИЙ ЗАВОД БЕТОННЫХ ИЗДЕЛИЙ"</t>
  </si>
  <si>
    <t>"БАЛТИЙСКИЙ ЗАВОД БЕТОННЫХ ИЗДЕЛИЙ"</t>
  </si>
  <si>
    <t>3906989928</t>
  </si>
  <si>
    <t>238222, КАЛИНИНГРАДСКАЯ ОБЛАСТЬ, РАЙОН ГВАРДЕЙСКИЙ, ПОСЕЛОК СЛАВИНСК, УЛИЦА ТИХАЯ, ДОМ 5,..</t>
  </si>
  <si>
    <t>Волна Виталий Валерьевич</t>
  </si>
  <si>
    <t>+7 (999) 255-42-28', '+7 (962) 254-75-91'</t>
  </si>
  <si>
    <t>54.679129,21.093512</t>
  </si>
  <si>
    <t>ОБЩЕСТВО С ОГРАНИЧЕННОЙ ОТВЕТСТВЕННОСТЬЮ "Строй Сервис"</t>
  </si>
  <si>
    <t>"Строй Сервис"</t>
  </si>
  <si>
    <t>3916503061</t>
  </si>
  <si>
    <t>238210, КАЛИНИНГРАДСКАЯ ОБЛАСТЬ, РАЙОН ГВАРДЕЙСКИЙ, ПОСЕЛОК ЗАБАРЬЕ, УЛИЦА ЦВЕТОЧНАЯ, ДОМ 36, ЭТАЖ 2, КАБИНЕТ 4</t>
  </si>
  <si>
    <t>Королев Олег Сергеевич</t>
  </si>
  <si>
    <t>+7 (921) 104-17-52', '+7 (921) 712-50-62'</t>
  </si>
  <si>
    <t>olgavvss@bk.ru'</t>
  </si>
  <si>
    <t>54.72034,21.444825</t>
  </si>
  <si>
    <t>ОБЩЕСТВО С ОГРАНИЧЕННОЙ ОТВЕТСТВЕННОСТЬЮ  "ТАНДЕМ"</t>
  </si>
  <si>
    <t xml:space="preserve"> "ТАНДЕМ"</t>
  </si>
  <si>
    <t>3916016773</t>
  </si>
  <si>
    <t>238215, КАЛИНИНГРАДСКАЯ ОБЛАСТЬ, Р-Н ГВАРДЕЙСКИЙ, П ДАЛЬНЕЕ, УЛ. ДОРОЖНАЯ, Д. 11</t>
  </si>
  <si>
    <t>Сергеев Сергей Геннадьевич</t>
  </si>
  <si>
    <t>54.622362,21.786634</t>
  </si>
  <si>
    <t>ОБЩЕСТВО С ОГРАНИЧЕННОЙ ОТВЕТСТВЕННОСТЬЮ "ФАБРИКА ТРОТУАРНОЙ ПЛИТКИ"</t>
  </si>
  <si>
    <t>"ФАБРИКА ТРОТУАРНОЙ ПЛИТКИ"</t>
  </si>
  <si>
    <t>3914020485</t>
  </si>
  <si>
    <t>238151, КАЛИНИНГРАДСКАЯ ОБЛАСТЬ, РАЙОН ЧЕРНЯХОВСКИЙ, ГОРОД ЧЕРНЯХОВСК, УЛИЦА ЧКАЛОВА, ДОМ 11</t>
  </si>
  <si>
    <t>Костюков Дмитрий Васильевич</t>
  </si>
  <si>
    <t>+7 (952) 796-85-32'</t>
  </si>
  <si>
    <t>sborovik@mail.ru'</t>
  </si>
  <si>
    <t>54.645567,21.810862</t>
  </si>
  <si>
    <t>ОБЩЕСТВО С ОГРАНИЧЕННОЙ ОТВЕТСТВЕННОСТЬЮ " СТРОЙ СЕРВИС КОМПЛЕКТ "</t>
  </si>
  <si>
    <t>" СТРОЙ СЕРВИС КОМПЛЕКТ "</t>
  </si>
  <si>
    <t>3914120095</t>
  </si>
  <si>
    <t>238154, КАЛИНИНГРАДСКАЯ ОБЛАСТЬ, Р-Н ЧЕРНЯХОВСКИЙ, Г. ЧЕРНЯХОВСК, УЛ. ПРИГОРОДНАЯ, Д.1</t>
  </si>
  <si>
    <t>Федоренко Александр Александрович</t>
  </si>
  <si>
    <t>55.081993,21.899112</t>
  </si>
  <si>
    <t>ОБЩЕСТВО С ОГРАНИЧЕННОЙ ОТВЕТСТВЕННОСТЬЮ "БАЛАЕВ БЛОК ЕВРОПА"</t>
  </si>
  <si>
    <t>"БАЛАЕВ БЛОК ЕВРОПА"</t>
  </si>
  <si>
    <t>3911018431</t>
  </si>
  <si>
    <t>238750, Калининградская область, городской округ СОВЕТСКИЙ, Город СОВЕТСК, УЛ ДРУЖБЫ, Д. 1А,..</t>
  </si>
  <si>
    <t>Балаев Александр Александрович</t>
  </si>
  <si>
    <t>54.592185,22.264349</t>
  </si>
  <si>
    <t>ОБЩЕСТВО С ОГРАНИЧЕННОЙ ОТВЕТСТВЕННОСТЬЮ "ОНИКС"</t>
  </si>
  <si>
    <t>"ОНИКС"</t>
  </si>
  <si>
    <t>3902068524</t>
  </si>
  <si>
    <t>КАЛИНИНГРАДСКАЯ ОБЛ.,ГУСЕВСКИЙ Р-Н,П ПЕРВОМАЙСКОЕ,УЛ СТРОИТЕЛЬНАЯ, 7,..</t>
  </si>
  <si>
    <t>Лазаренко Анна Петровна</t>
  </si>
  <si>
    <t>+7 (921) 006-25-69'</t>
  </si>
  <si>
    <t>58.744654,27.819728</t>
  </si>
  <si>
    <t>ОБЩЕСТВО С ОГРАНИЧЕННОЙ ОТВЕТСТВЕННОСТЬЮ "ЛАДЬЯ"</t>
  </si>
  <si>
    <t>"ЛАДЬЯ"</t>
  </si>
  <si>
    <t>6003004389</t>
  </si>
  <si>
    <t>60-Псковская область</t>
  </si>
  <si>
    <t>ПСКОВСКАЯ ОБЛ.,Г ГДОВ,УЛ КАРЛА МАРКСА Д 27..</t>
  </si>
  <si>
    <t>Поршнёв Дмитрий Викторович</t>
  </si>
  <si>
    <t>57.805399,28.141379</t>
  </si>
  <si>
    <t>ОБЩЕСТВО С ОГРАНИЧЕННОЙ ОТВЕТСТВЕННОСТЬЮ "РЕД"</t>
  </si>
  <si>
    <t>"РЕД"</t>
  </si>
  <si>
    <t>6037005422</t>
  </si>
  <si>
    <t>180503, Псковская область, Псковский район, д Дуброво</t>
  </si>
  <si>
    <t>Ляхович Ольга Викторовна</t>
  </si>
  <si>
    <t>+7 (911) 697-75-48'</t>
  </si>
  <si>
    <t>59.377068,28.225641</t>
  </si>
  <si>
    <t>ОБЩЕСТВО С ОГРАНИЧЕННОЙ ОТВЕТСТВЕННОСТЬЮ "ЭКОДОМНИАР"</t>
  </si>
  <si>
    <t>"ЭКОДОМНИАР"</t>
  </si>
  <si>
    <t>4707044306</t>
  </si>
  <si>
    <t>47-Ленинградская область</t>
  </si>
  <si>
    <t>188490, ЛЕНИНГРАДСКАЯ ОБЛ., Р-Н Кингисеппский, Г. Ивангород, Ш. КИНГИСЕППСКОЕ, Д. 22Г, ОФИС 10</t>
  </si>
  <si>
    <t>Плюшко Вячеслав Анатольевич</t>
  </si>
  <si>
    <t>EKODOMNIAR@GMAIL.COM'</t>
  </si>
  <si>
    <t>ОБЩЕСТВО С ОГРАНИЧЕННОЙ ОТВЕТСТВЕННОСТЬЮ "СОЗДАНИЕ"</t>
  </si>
  <si>
    <t>"СОЗДАНИЕ"</t>
  </si>
  <si>
    <t>7801555871</t>
  </si>
  <si>
    <t>78-Санкт-Петербург</t>
  </si>
  <si>
    <t>188490, ЛЕНИНГРАДСКАЯ ОБЛАСТЬ, Р-Н КИНГИСЕППСКИЙ, Г. ИВАНГОРОД, Ш. КИНГИСЕППСКОЕ, Д. 22Г, ПОМЕЩ. 12</t>
  </si>
  <si>
    <t>Савченко Сергей Александрович</t>
  </si>
  <si>
    <t>+7 (911) 233-55-17'</t>
  </si>
  <si>
    <t>57.830733,28.246653</t>
  </si>
  <si>
    <t>ОБЩЕСТВО С ОГРАНИЧЕННОЙ ОТВЕТСТВЕННОСТЬЮ "Дорожник-2010"</t>
  </si>
  <si>
    <t>"Дорожник-2010"</t>
  </si>
  <si>
    <t>6013008262</t>
  </si>
  <si>
    <t>180559, ПСКОВСКАЯ ОБЛАСТЬ, РАЙОН ПСКОВСКИЙ, ДЕРЕВНЯ РОДИНА, УЛИЦА ЮБИЛЕЙНАЯ, 17</t>
  </si>
  <si>
    <t>Аветян Арамаис Гарибович</t>
  </si>
  <si>
    <t>57.830393,28.298081</t>
  </si>
  <si>
    <t>ОБЩЕСТВО С ОГРАНИЧЕННОЙ ОТВЕТСТВЕННОСТЬЮ "ИГАР"</t>
  </si>
  <si>
    <t>"ИГАР"</t>
  </si>
  <si>
    <t>6027163684</t>
  </si>
  <si>
    <t>180006, ПСКОВСКАЯ ОБЛАСТЬ, Г. ПСКОВ, УЛ. АЛМАЗНАЯ, Д. 10, К. ГЛАВНЫЙ, ПОМЕЩ. 4,ЭТАЖ 3</t>
  </si>
  <si>
    <t>Казура Сергей Владимирович</t>
  </si>
  <si>
    <t>+7 (953) 239-91-61'</t>
  </si>
  <si>
    <t>ORLOVA@GBI-1'</t>
  </si>
  <si>
    <t>ОБЩЕСТВО С ОГРАНИЧЕННОЙ ОТВЕТСТВЕННОСТЬЮ ПРОИЗВОДСТВЕННАЯ КОМПАНИЯ "ЖБИ-1"</t>
  </si>
  <si>
    <t>ПРОИЗВОДСТВЕННАЯ КОМПАНИЯ "ЖБИ-1"</t>
  </si>
  <si>
    <t>6027190568</t>
  </si>
  <si>
    <t>180006, ПСКОВСКАЯ ОБЛАСТЬ, ГОРОД ПСКОВ, УЛИЦА АЛМАЗНАЯ, ДОМ 10, КОРПУС ГЛАВНЫЙ, ПОМЕЩЕНИЕ 11, ЭТАЖ 3</t>
  </si>
  <si>
    <t>Холмов Павел Владимирович</t>
  </si>
  <si>
    <t>orlova@gbi-1'</t>
  </si>
  <si>
    <t>57.817198,28.299752</t>
  </si>
  <si>
    <t>ОБЩЕСТВО С ОГРАНИЧЕННОЙ ОТВЕТСТВЕННОСТЬЮ "КАМНО"</t>
  </si>
  <si>
    <t>"КАМНО"</t>
  </si>
  <si>
    <t>6027069177</t>
  </si>
  <si>
    <t>Г ПСКОВ,РИЖСКИЙ ПР Д 43..</t>
  </si>
  <si>
    <t>Ершов Евгений Николаевич</t>
  </si>
  <si>
    <t>+7 (911) 369-44-33'</t>
  </si>
  <si>
    <t>57.82041,28.309867</t>
  </si>
  <si>
    <t>ОБЩЕСТВО С ОГРАНИЧЕННОЙ ОТВЕТСТВЕННОСТЬЮ "РУССТРОЙ"</t>
  </si>
  <si>
    <t>"РУССТРОЙ"</t>
  </si>
  <si>
    <t>6027180633</t>
  </si>
  <si>
    <t>180016, ПСКОВСКАЯ ОБЛ, ПСКОВ Г, КОММУНАЛЬНАЯ УЛ, ДОМ 18, ОФИС 3</t>
  </si>
  <si>
    <t>Баранов Олег Викторович</t>
  </si>
  <si>
    <t>+7 (911) 385-50-40'</t>
  </si>
  <si>
    <t>57.835846,28.311682</t>
  </si>
  <si>
    <t>ОБЩЕСТВО С ОГРАНИЧЕННОЙ ОТВЕТСТВЕННОСТЬЮ "ЭКОМОНТАЖ"</t>
  </si>
  <si>
    <t>"ЭКОМОНТАЖ"</t>
  </si>
  <si>
    <t>6027196979</t>
  </si>
  <si>
    <t>180006, ПСКОВСКАЯ ОБЛ., Г. Псков, УЛ. ЛЕОНА ПОЗЕМСКОГО, Д. 111, ПОМЕЩ 1002</t>
  </si>
  <si>
    <t>Алпеев Игнат Александрович</t>
  </si>
  <si>
    <t>57.818842,28.322147</t>
  </si>
  <si>
    <t>ОБЩЕСТВО С ОГРАНИЧЕННОЙ ОТВЕТСТВЕННОСТЬЮ "АКМЕ"</t>
  </si>
  <si>
    <t>"АКМЕ"</t>
  </si>
  <si>
    <t>6027111598</t>
  </si>
  <si>
    <t>180007, ПСКОВСКАЯ ОБЛ, ПСКОВ Г, РИЖСКИЙ ПР-КТ, ДОМ 5А, ПОМЕЩЕНИЕ 1013</t>
  </si>
  <si>
    <t>Соколовский Сергей Казимирович</t>
  </si>
  <si>
    <t>+7 (911) 364-34-54'</t>
  </si>
  <si>
    <t>57.807135,28.347084</t>
  </si>
  <si>
    <t>6027206105</t>
  </si>
  <si>
    <t>180017, ПСКОВСКАЯ ОБЛ., Г. Псков, УЛ. ЯНА ФАБРИЦИУСА, Д. 10, ОФИС 31-2 ПОМЕЩ. 1036</t>
  </si>
  <si>
    <t>Аношко Владимир Михайлович</t>
  </si>
  <si>
    <t>OOOIGAR@YANDEX.RU'</t>
  </si>
  <si>
    <t>57.802948,28.348297</t>
  </si>
  <si>
    <t>ОБЩЕСТВО С ОГРАНИЧЕННОЙ ОТВЕТСТВЕННОСТЬЮ "МАСТЕРПЛИТ"</t>
  </si>
  <si>
    <t>"МАСТЕРПЛИТ"</t>
  </si>
  <si>
    <t>6027194971</t>
  </si>
  <si>
    <t>180004, ПСКОВСКАЯ ОБЛ, ПСКОВ Г, РОТНАЯ УЛ, ДОМ 34, ОФИС 3, 2 ЭТАЖ</t>
  </si>
  <si>
    <t>Матросов Алексей Николаевич</t>
  </si>
  <si>
    <t>57.802474,28.357433</t>
  </si>
  <si>
    <t>ОБЩЕСТВО С ОГРАНИЧЕННОЙ ОТВЕТСТВЕННОСТЬЮ "СТРОЙКАМЕНЬ"</t>
  </si>
  <si>
    <t>"СТРОЙКАМЕНЬ"</t>
  </si>
  <si>
    <t>6027154457</t>
  </si>
  <si>
    <t>180004, ПСКОВСКАЯ ОБЛ, ПСКОВ Г, ВОКЗАЛЬНАЯ УЛ, ДОМ 26, ОФИС 1001</t>
  </si>
  <si>
    <t>Михайлов Андрей Вадимович</t>
  </si>
  <si>
    <t>+7 (911) 371-98-48', '+7 (911) 394-11-20'</t>
  </si>
  <si>
    <t>glebkhmelov@mail.ru'</t>
  </si>
  <si>
    <t>57.827743,28.380053</t>
  </si>
  <si>
    <t>ОБЩЕСТВО С ОГРАНИЧЕННОЙ ОТВЕТСТВЕННОСТЬЮ "БАУХАУС"</t>
  </si>
  <si>
    <t>"БАУХАУС"</t>
  </si>
  <si>
    <t>6027158691</t>
  </si>
  <si>
    <t>Г ПСКОВ,УЛ ИНДУСТРИАЛЬНАЯ Д 22..</t>
  </si>
  <si>
    <t>Товстик Олег Анатольевич</t>
  </si>
  <si>
    <t>57.828524,28.409778</t>
  </si>
  <si>
    <t>ОБЩЕСТВО С ОГРАНИЧЕННОЙ ОТВЕТСТВЕННОСТЬЮ "СТРОИТЕЛЬНО-ПРОИЗВОДСТВЕННАЯ КОМПАНИЯ "ПРОФЕССИОНАЛ"</t>
  </si>
  <si>
    <t>"СТРОИТЕЛЬНО-ПРОИЗВОДСТВЕННАЯ КОМПАНИЯ "ПРОФЕССИОНАЛ"</t>
  </si>
  <si>
    <t>6027172671</t>
  </si>
  <si>
    <t>180502, ПСКОВСКАЯ ОБЛАСТЬ, Г. ПСКОВ, УЛ. НИКОЛАЯ ВАСИЛЬЕВА, Д. 110-А</t>
  </si>
  <si>
    <t>Кулакова Валентина Геннадьевна</t>
  </si>
  <si>
    <t>+7 (911) 350-62-02'</t>
  </si>
  <si>
    <t>spk_professional@mail.ru'</t>
  </si>
  <si>
    <t>57.805466,28.421195</t>
  </si>
  <si>
    <t>ОБЩЕСТВО С ОГРАНИЧЕННОЙ ОТВЕТСТВЕННОСТЬЮ "ЦЕМИНДУСТРИЯ"</t>
  </si>
  <si>
    <t>"ЦЕМИНДУСТРИЯ"</t>
  </si>
  <si>
    <t>6027181556</t>
  </si>
  <si>
    <t>180005, ПСКОВСКАЯ ОБЛ., Г. Псков, Ш. ЗОНАЛЬНОЕ, Д. 46, ПОМЕЩ. 93</t>
  </si>
  <si>
    <t>Белов Андрей Егорович</t>
  </si>
  <si>
    <t>+7 (910) 784-13-94'</t>
  </si>
  <si>
    <t>59.372905,28.629371</t>
  </si>
  <si>
    <t>ОБЩЕСТВО С ОГРАНИЧЕННОЙ ОТВЕТСТВЕННОСТЬЮ "ПРОМТЕХСЕРВИС"</t>
  </si>
  <si>
    <t>"ПРОМТЕХСЕРВИС"</t>
  </si>
  <si>
    <t>4707041231</t>
  </si>
  <si>
    <t>188480, ЛЕНИНГРАДСКАЯ ОБЛАСТЬ, РАЙОН КИНГИСЕППСКИЙ, ГОРОД КИНГИСЕПП, ПРОЕЗД 4-Й, ДОМ 8А, ПОМЕЩЕНИЕ 2-Н</t>
  </si>
  <si>
    <t>Гешеле Жанна Ивановна</t>
  </si>
  <si>
    <t>59.357558,28.633207</t>
  </si>
  <si>
    <t>ОБЩЕСТВО С ОГРАНИЧЕННОЙ ОТВЕТСТВЕННОСТЬЮ "Купава СПБ"</t>
  </si>
  <si>
    <t>"Купава СПБ"</t>
  </si>
  <si>
    <t>4707029763</t>
  </si>
  <si>
    <t>188480, ЛЕНИНГРАДСКАЯ ОБЛАСТЬ, РАЙОН КИНГИСЕППСКИЙ, ГОРОД КИНГИСЕПП, УЛИЦА ДОРОЖНИКОВ, ДОМ 40</t>
  </si>
  <si>
    <t>Таран Дмитрий Викторович</t>
  </si>
  <si>
    <t>60.730271,28.68857</t>
  </si>
  <si>
    <t>ОБЩЕСТВО С ОГРАНИЧЕННОЙ ОТВЕТСТВЕННОСТЬЮ "Альянс"</t>
  </si>
  <si>
    <t>"Альянс"</t>
  </si>
  <si>
    <t>4704086611</t>
  </si>
  <si>
    <t>188807, ЛЕНИНГРАДСКАЯ ОБЛ., Р-Н Выборгский, Г. Выборг, УЛ. КАЗАРМЕННАЯ, Д. 18, ПОМЕЩ. 8</t>
  </si>
  <si>
    <t>Истомин Кирилл Валерьевич</t>
  </si>
  <si>
    <t>+7 (921) 797-26-95'</t>
  </si>
  <si>
    <t>60.713832,28.731105</t>
  </si>
  <si>
    <t>ОБЩЕСТВО С ОГРАНИЧЕННОЙ ОТВЕТСТВЕННОСТЬЮ "САМПО"</t>
  </si>
  <si>
    <t>"САМПО"</t>
  </si>
  <si>
    <t>4704081099</t>
  </si>
  <si>
    <t>188800, ЛЕНИНГРАДСКАЯ ОБЛАСТЬ, РАЙОН ВЫБОРГСКИЙ, ГОРОД ВЫБОРГ, УЛИЦА КРЕПОСТНАЯ, ДОМ 2/4, ПОМЕЩЕНИЕ №№1-5</t>
  </si>
  <si>
    <t>Шатенева Мария Юрьевна</t>
  </si>
  <si>
    <t>60.714695,28.787915</t>
  </si>
  <si>
    <t>ОБЩЕСТВО С ОГРАНИЧЕННОЙ ОТВЕТСТВЕННОСТЬЮ "РЕМСТРОЙСНАББЛАГОУСТРОЙСТВО"</t>
  </si>
  <si>
    <t>"РЕМСТРОЙСНАББЛАГОУСТРОЙСТВО"</t>
  </si>
  <si>
    <t>4704097814</t>
  </si>
  <si>
    <t>188800, ЛЕНИНГРАДСКАЯ ОБЛАСТЬ, Р-Н ВЫБОРГСКИЙ, Г. ВЫБОРГ, УЛ. ЗАПАДНАЯ</t>
  </si>
  <si>
    <t>Кириченко Антон Вячеславович</t>
  </si>
  <si>
    <t>+7 (911) 716-36-03'</t>
  </si>
  <si>
    <t>60.673062,28.893521</t>
  </si>
  <si>
    <t>ОБЩЕСТВО С ОГРАНИЧЕННОЙ ОТВЕТСТВЕННОСТЬЮ  "ЛЕНТЕХСТРОМ-КОМПЛЕКТ"</t>
  </si>
  <si>
    <t xml:space="preserve"> "ЛЕНТЕХСТРОМ-КОМПЛЕКТ"</t>
  </si>
  <si>
    <t>4704071608</t>
  </si>
  <si>
    <t>188823, ЛЕНИНГРАДСКАЯ ОБЛАСТЬ, РАЙОН ВЫБОРГСКИЙ, ПРОЕЗД ДОЛГУНЕЦКИЙ (ПОЛЯНСКАЯ ТЕР.), ДОМ 1</t>
  </si>
  <si>
    <t>Токарев Игорь Анатольевич</t>
  </si>
  <si>
    <t>+7 (812) 271-24-18', '+7 (921) 795-06-56'</t>
  </si>
  <si>
    <t>ОБЩЕСТВО С ОГРАНИЧЕННОЙ ОТВЕТСТВЕННОСТЬЮ "СУХИЕ СМЕСИ"</t>
  </si>
  <si>
    <t>"СУХИЕ СМЕСИ"</t>
  </si>
  <si>
    <t>7811746829</t>
  </si>
  <si>
    <t>188823, ЛЕНИНГРАДСКАЯ ОБЛ., Р-Н Выборгский, ПР-Д ДОЛГУНЕЦКИЙ (ПОЛЯНСКАЯ ТЕР.), ЗД. 1, ПОМЕЩ. 6</t>
  </si>
  <si>
    <t>59.132582,29.019051</t>
  </si>
  <si>
    <t>ОБЩЕСТВО С ОГРАНИЧЕННОЙ ОТВЕТСТВЕННОСТЬЮ "СКР-ГРУПП"</t>
  </si>
  <si>
    <t>"СКР-ГРУПП"</t>
  </si>
  <si>
    <t>4717008811</t>
  </si>
  <si>
    <t>188444, ЛЕНИНГРАДСКАЯ ОБЛАСТЬ, РАЙОН ВОЛОСОВСКИЙ, ДЕРЕВНЯ БОЛЬШОЙ САБСК, 55</t>
  </si>
  <si>
    <t>Сакулин Анатолий Михайлович</t>
  </si>
  <si>
    <t>59.904225,29.09221</t>
  </si>
  <si>
    <t>ОБЩЕСТВО С ОГРАНИЧЕННОЙ ОТВЕТСТВЕННОСТЬЮ "ЗАВОД СТРОЙДЕТАЛЬ"</t>
  </si>
  <si>
    <t>"ЗАВОД СТРОЙДЕТАЛЬ"</t>
  </si>
  <si>
    <t>4716038274</t>
  </si>
  <si>
    <t>ЛЕНИНГРАДСКАЯ ОБЛ.,Г СОСНОВЫЙ БОР,В/Ч 9353</t>
  </si>
  <si>
    <t>Тимошкина Александра Романовна</t>
  </si>
  <si>
    <t>+7 (812) 938-10-46'</t>
  </si>
  <si>
    <t>59.455119,29.489355</t>
  </si>
  <si>
    <t>ОБЩЕСТВО С ОГРАНИЧЕННОЙ ОТВЕТСТВЕННОСТЬЮ "ЧЁТКАЯ ГЕОМЕТРИЯ"</t>
  </si>
  <si>
    <t>"ЧЁТКАЯ ГЕОМЕТРИЯ"</t>
  </si>
  <si>
    <t>4705087777</t>
  </si>
  <si>
    <t>188410, ЛЕНИНГРАДСКАЯ ОБЛАСТЬ, РАЙОН ВОЛОСОВСКИЙ, ГОРОД ВОЛОСОВО, УЛИЦА ХРУСТИЦКОГО, ДОМ 78, ОФИС 76</t>
  </si>
  <si>
    <t>Карманова Ольга Александровна</t>
  </si>
  <si>
    <t>59.945274,29.576806</t>
  </si>
  <si>
    <t>ОБЩЕСТВО С ОГРАНИЧЕННОЙ ОТВЕТСТВЕННОСТЬЮ "СТРОИТЕЛЬНО-ТОРГОВАЯ КОМПАНИЯ "БРОНКА"</t>
  </si>
  <si>
    <t>"СТРОИТЕЛЬНО-ТОРГОВАЯ КОМПАНИЯ "БРОНКА"</t>
  </si>
  <si>
    <t>4720017735</t>
  </si>
  <si>
    <t>ЛЕНИНГРАДСКАЯ ОБЛ.,ЛОМОНОСОВСКИЙ Р-Н,РП БОЛЬШАЯ ИЖОРА,ШОССЕ ПРИМОРСКОЕ, 110</t>
  </si>
  <si>
    <t>Науменко Геннадий Сергеевич</t>
  </si>
  <si>
    <t>+7 (812) 428-49-86'</t>
  </si>
  <si>
    <t>60.237832,29.68331</t>
  </si>
  <si>
    <t>ОБЩЕСТВО С ОГРАНИЧЕННОЙ ОТВЕТСТВЕННОСТЬЮ "ЗАВОД ЖБИ-8"</t>
  </si>
  <si>
    <t>"ЗАВОД ЖБИ-8"</t>
  </si>
  <si>
    <t>7843011400</t>
  </si>
  <si>
    <t>197720, САНКТ-ПЕТЕРБУРГ ГОРОД, Г. ЗЕЛЕНОГОРСК, ТЕР РЕШЕТНИКОВО, Д. 11, ЛИТЕР Б, ПОМЕЩ. 1</t>
  </si>
  <si>
    <t>Вышинский Андрей Петрович</t>
  </si>
  <si>
    <t>ekatkol@bk.ru'</t>
  </si>
  <si>
    <t>61.234077,29.699372</t>
  </si>
  <si>
    <t>ОБЩЕСТВО С ОГРАНИЧЕННОЙ ОТВЕТСТВЕННОСТЬЮ "ХИТБЛОК"</t>
  </si>
  <si>
    <t>"ХИТБЛОК"</t>
  </si>
  <si>
    <t>1035000490</t>
  </si>
  <si>
    <t>10-Республика Карелия</t>
  </si>
  <si>
    <t>186700, Республика Карелия, муниципальный район ЛАХДЕНПОХСКИЙ, П ХИЙТОЛА, сельское поселение ХИЙТОЛЬСКОЕ, УЛ БОЛЬШАЯ ПРИОЗЕРСКАЯ, Д. 3Б, ОФИС 1</t>
  </si>
  <si>
    <t>Ходокайнен Александр Дмитриевич</t>
  </si>
  <si>
    <t>59.899631,29.703891</t>
  </si>
  <si>
    <t>ОБЩЕСТВО С ОГРАНИЧЕННОЙ ОТВЕТСТВЕННОСТЬЮ "ИНФОРА"</t>
  </si>
  <si>
    <t>"ИНФОРА"</t>
  </si>
  <si>
    <t>7805382637</t>
  </si>
  <si>
    <t>188530, ЛЕНИНГРАДСКАЯ ОБЛАСТЬ, РАЙОН ЛОМОНОСОВСКИЙ, ДЕРЕВНЯ Сойкино, УЛИЦА ЦЕНТРАЛЬНАЯ, 60</t>
  </si>
  <si>
    <t>Черемнов Юрий Владимирович</t>
  </si>
  <si>
    <t>+7 (921) 767-37-52'</t>
  </si>
  <si>
    <t>59.997811,29.770708</t>
  </si>
  <si>
    <t>ОБЩЕСТВО С ОГРАНИЧЕННОЙ ОТВЕТСТВЕННОСТЬЮ "АКМОПРО"</t>
  </si>
  <si>
    <t>"АКМОПРО"</t>
  </si>
  <si>
    <t>7843010502</t>
  </si>
  <si>
    <t>197760, САНКТ-ПЕТЕРБУРГ ГОРОД, Г. КРОНШТАДТ, УЛ. ФЛОТСКАЯ, Д. 23,..</t>
  </si>
  <si>
    <t>Ибрагимов Дмитрий Хизвуллаевич</t>
  </si>
  <si>
    <t>+7 (911) 124-05-85'</t>
  </si>
  <si>
    <t>59.916257,29.770806</t>
  </si>
  <si>
    <t>ОБЩЕСТВО С ОГРАНИЧЕННОЙ ОТВЕТСТВЕННОСТЬЮ "ЛЮКС КАПИТАЛ СТРОЙ"</t>
  </si>
  <si>
    <t>"ЛЮКС КАПИТАЛ СТРОЙ"</t>
  </si>
  <si>
    <t>7810474040</t>
  </si>
  <si>
    <t>198412, САНКТ-ПЕТЕРБУРГ ГОРОД, Г. ЛОМОНОСОВ, УЛ. РУБАКИНА, Д. 2/5, ЛИТЕР А, ОФИС 307</t>
  </si>
  <si>
    <t>Бондарев Дмитрий Игоревич</t>
  </si>
  <si>
    <t>+7 (962) 722-03-03', '+7 (812) 939-55-60'</t>
  </si>
  <si>
    <t>9395560@mail.ru'</t>
  </si>
  <si>
    <t>59.873487,29.86071</t>
  </si>
  <si>
    <t>ОБЩЕСТВО С ОГРАНИЧЕННОЙ ОТВЕТСТВЕННОСТЬЮ "ГДОВСТРОЙСЕРВИС"</t>
  </si>
  <si>
    <t>"ГДОВСТРОЙСЕРВИС"</t>
  </si>
  <si>
    <t>7819319321</t>
  </si>
  <si>
    <t>198504, САНКТ-ПЕТЕРБУРГ ГОРОД, Г. ПЕТЕРГОФ, УЛ. ЧЕБЫШЕВСКАЯ, Д. 14, К. 1,..</t>
  </si>
  <si>
    <t>Артемова Татьяна Андреевна</t>
  </si>
  <si>
    <t>+7 (931) 235-40-45'</t>
  </si>
  <si>
    <t>nadya@ruconcom.ru'</t>
  </si>
  <si>
    <t>59.875275,29.88748</t>
  </si>
  <si>
    <t>ОБЩЕСТВО С ОГРАНИЧЕННОЙ ОТВЕТСТВЕННОСТЬЮ "ПРОИЗВОДСТВЕННОЕ ОБЪЕДИНЕНИЕ "ЭТАЛОН-СТРОЙ"</t>
  </si>
  <si>
    <t>"ПРОИЗВОДСТВЕННОЕ ОБЪЕДИНЕНИЕ "ЭТАЛОН-СТРОЙ"</t>
  </si>
  <si>
    <t>7819017899</t>
  </si>
  <si>
    <t>198516, САНКТ-ПЕТЕРБУРГ ГОРОД, район Петродворцовый, город Петергоф, УЛИЦА БЛАН-МЕНИЛЬСКАЯ, 11..</t>
  </si>
  <si>
    <t>Бураков Александр Геннадьевич</t>
  </si>
  <si>
    <t>58.859289,29.912228</t>
  </si>
  <si>
    <t>ОБЩЕСТВО С ОГРАНИЧЕННОЙ ОТВЕТСТВЕННОСТЬЮ "ТОЛМАЧЕВСКИЙ ЗАВОД ЖЕЛЕЗОБЕТОННЫХ И МЕТАЛЛИЧЕСКИХ КОНСТРУКЦИЙ"</t>
  </si>
  <si>
    <t>"ТОЛМАЧЕВСКИЙ ЗАВОД ЖЕЛЕЗОБЕТОННЫХ И МЕТАЛЛИЧЕСКИХ КОНСТРУКЦИЙ"</t>
  </si>
  <si>
    <t>4710013019</t>
  </si>
  <si>
    <t>188255, ЛЕНИНГРАДСКАЯ ОБЛАСТЬ, Р-Н ЛУЖСКИЙ, ГП ТОЛМАЧЕВО, УЛ. ТОЛМАЧЕВА, Д. 26, КАБИНЕТ 11</t>
  </si>
  <si>
    <t>Полухтин Алексей Александрович</t>
  </si>
  <si>
    <t>+7 (911) 231-34-56'</t>
  </si>
  <si>
    <t>59.783683,29.912722</t>
  </si>
  <si>
    <t>ОБЩЕСТВО С ОГРАНИЧЕННОЙ ОТВЕТСТВЕННОСТЬЮ "ЗАВОД ДЮРИСОЛ"</t>
  </si>
  <si>
    <t>"ЗАВОД ДЮРИСОЛ"</t>
  </si>
  <si>
    <t>4725008364</t>
  </si>
  <si>
    <t>188513, ЛЕНИНГРАДСКАЯ ОБЛАСТЬ, РАЙОН ЛОМОНОСОВСКИЙ, ДЕРЕВНЯ ВЕЛИГОНТЫ, ШОССЕ РОПШИНСКОЕ, ЗДАНИЕ 9, ПОМЕЩЕНИЕ 1-Н-1</t>
  </si>
  <si>
    <t>Павлов Игорь Александрович</t>
  </si>
  <si>
    <t>info@durisol.ru'</t>
  </si>
  <si>
    <t>59.7923,29.938621</t>
  </si>
  <si>
    <t>ОБЩЕСТВО С ОГРАНИЧЕННОЙ ОТВЕТСТВЕННОСТЬЮ "АБЛОКЕР"</t>
  </si>
  <si>
    <t>"АБЛОКЕР"</t>
  </si>
  <si>
    <t>4725484420</t>
  </si>
  <si>
    <t>188513, ЛЕНИНГРАДСКАЯ ОБЛАСТЬ, РАЙОН ЛОМОНОСОВСКИЙ, ДЕРЕВНЯ Разбегаево, СТРОЕНИЕ 7</t>
  </si>
  <si>
    <t>Гуляев Константин Демьянович</t>
  </si>
  <si>
    <t>+7 (812) 372-33-23', '+7 (812) 320-73-23', '+7 (120) 372-33-23'</t>
  </si>
  <si>
    <t>info@ablokspb.ru'</t>
  </si>
  <si>
    <t>59.328329,29.944523</t>
  </si>
  <si>
    <t>ОБЩЕСТВО С ОГРАНИЧЕННОЙ ОТВЕТСТВЕННОСТЬЮ "ПСУ РАДИАН-47"</t>
  </si>
  <si>
    <t>"ПСУ РАДИАН-47"</t>
  </si>
  <si>
    <t>4705069489</t>
  </si>
  <si>
    <t>188356, Ленинградская область, муниципальный район ГАТЧИНСКИЙ, Село РОЖДЕСТВЕНО, сельское поселение РОЖДЕСТВЕНСКОЕ, УЛ КОМСОМОЛЬСКАЯ, Д. 1,..</t>
  </si>
  <si>
    <t>Дмитриев Дмитрий Игоревич</t>
  </si>
  <si>
    <t>+7 (812) 912-50-90'</t>
  </si>
  <si>
    <t>burka78@mail.ru'</t>
  </si>
  <si>
    <t>59.782198,29.950433</t>
  </si>
  <si>
    <t>ОБЩЕСТВО С ОГРАНИЧЕННОЙ ОТВЕТСТВЕННОСТЬЮ "ЗЕВС"</t>
  </si>
  <si>
    <t>"ЗЕВС"</t>
  </si>
  <si>
    <t>4707047410</t>
  </si>
  <si>
    <t>188505, Ленинградская область, ЛОМОНОСОВСКИЙ, 1 АННИНСКОЕ, Д ИННОЛОВО, УЛ БОЛЬШАЯ ЛИФЛЯНДСКАЯ, Д. 25</t>
  </si>
  <si>
    <t>Возмилов Николай Сергеевич</t>
  </si>
  <si>
    <t>59.851905,29.953317</t>
  </si>
  <si>
    <t>ОБЩЕСТВО С ОГРАНИЧЕННОЙ ОТВЕТСТВЕННОСТЬЮ "ЦЕСТ ЦЕНТР СТРОИТЕЛЬНЫХ ТЕХНОЛОГИЙ"</t>
  </si>
  <si>
    <t>"ЦЕСТ ЦЕНТР СТРОИТЕЛЬНЫХ ТЕХНОЛОГИЙ"</t>
  </si>
  <si>
    <t>7819045663</t>
  </si>
  <si>
    <t>198517, Г.Санкт-Петербург, ГОРОД ПЕТЕРГОФ, Ш РОПШИНСКОЕ, Д. 8,ЛИТЕРА В</t>
  </si>
  <si>
    <t>Кузнецов Андрей Викторович</t>
  </si>
  <si>
    <t>59.850441,29.964492</t>
  </si>
  <si>
    <t>ОБЩЕСТВО С ОГРАНИЧЕННОЙ ОТВЕТСТВЕННОСТЬЮ "РЕСУРСЭНЕРГОСТРОЙ"</t>
  </si>
  <si>
    <t>"РЕСУРСЭНЕРГОСТРОЙ"</t>
  </si>
  <si>
    <t>7819045737</t>
  </si>
  <si>
    <t>198517, Г.Санкт-Петербург, ГОРОД ПЕТЕРГОФ, Ш РОПШИНСКОЕ, Д. 8,ЛИТЕРА Б</t>
  </si>
  <si>
    <t>Демидов Дмитрий Владимирович</t>
  </si>
  <si>
    <t>OFFICE@OOOMETA.RU'</t>
  </si>
  <si>
    <t>60.086883,29.972918</t>
  </si>
  <si>
    <t>ОБЩЕСТВО С ОГРАНИЧЕННОЙ ОТВЕТСТВЕННОСТЬЮ "ТО365"</t>
  </si>
  <si>
    <t>"ТО365"</t>
  </si>
  <si>
    <t>7810859308</t>
  </si>
  <si>
    <t>197706, САНКТ-ПЕТЕРБУРГ Г., Г. Сестрорецк, ТЕР. УГОЛЬНЫЙ ОСТРОВОК, Д. 49, ЛИТЕРА А</t>
  </si>
  <si>
    <t>Кравчук Артур Николаевич</t>
  </si>
  <si>
    <t>+7 (911) 817-17-14'</t>
  </si>
  <si>
    <t>59.81398,29.974149</t>
  </si>
  <si>
    <t>ОБЩЕСТВО С ОГРАНИЧЕННОЙ ОТВЕТСТВЕННОСТЬЮ "СТРОЙДИЗАЙН"</t>
  </si>
  <si>
    <t>"СТРОЙДИЗАЙН"</t>
  </si>
  <si>
    <t>4725483948</t>
  </si>
  <si>
    <t>188502, ЛЕНИНГРАДСКАЯ ОБЛАСТЬ, РАЙОН ЛОМОНОСОВСКИЙ, ДЕРЕВНЯ Горбунки, ДОМ 13..</t>
  </si>
  <si>
    <t>Александров Олег Владимирович</t>
  </si>
  <si>
    <t>+7 (906) 247-23-88'</t>
  </si>
  <si>
    <t>60.044001,29.980761</t>
  </si>
  <si>
    <t>7843001219</t>
  </si>
  <si>
    <t>197701, САНКТ-ПЕТЕРБУРГ ГОРОД, ГОРОД СЕСТРОРЕЦК, УЛИЦА СТРОИТЕЛЕЙ, 12, -, -</t>
  </si>
  <si>
    <t>Кулиш Владимир Адамович</t>
  </si>
  <si>
    <t>+7 (812) 434-90-04'</t>
  </si>
  <si>
    <t>60.061012,29.990489</t>
  </si>
  <si>
    <t>ОБЩЕСТВО С ОГРАНИЧЕННОЙ ОТВЕТСТВЕННОСТЬЮ "ЕВРОДОМ СЕРВИС"</t>
  </si>
  <si>
    <t>"ЕВРОДОМ СЕРВИС"</t>
  </si>
  <si>
    <t>7843014225</t>
  </si>
  <si>
    <t>197701, САНКТ-ПЕТЕРБУРГ ГОРОД, ГОРОД СЕСТРОРЕЦК, УЛИЦА КОРОБИЦЫНА, ДОМ 2, ЛИТЕР Л, ПОМЕЩЕНИЕ 32-Н</t>
  </si>
  <si>
    <t>Тимофеев Дмитрий Юрьевич</t>
  </si>
  <si>
    <t>59.512333,30.00161</t>
  </si>
  <si>
    <t>ОБЩЕСТВО С ОГРАНИЧЕННОЙ ОТВЕТСТВЕННОСТЬЮ "АМ47"</t>
  </si>
  <si>
    <t>"АМ47"</t>
  </si>
  <si>
    <t>4705077151</t>
  </si>
  <si>
    <t>188360, ЛЕНИНГРАДСКАЯ ОБЛАСТЬ, РАЙОН ГАТЧИНСКИЙ, ДЕРЕВНЯ ТЯГЛИНО, ДОМ 91</t>
  </si>
  <si>
    <t>Есаян Хачик Гайкович</t>
  </si>
  <si>
    <t>81@mail.ru'</t>
  </si>
  <si>
    <t>60.134759,30.016379</t>
  </si>
  <si>
    <t>ОБЩЕСТВО С ОГРАНИЧЕННОЙ ОТВЕТСТВЕННОСТЬЮ "ПРОИЗВОДСТВЕННАЯ БАЗА "БЕЛООСТРОВ"</t>
  </si>
  <si>
    <t>"ПРОИЗВОДСТВЕННАЯ БАЗА "БЕЛООСТРОВ"</t>
  </si>
  <si>
    <t>7843018942</t>
  </si>
  <si>
    <t>197730, Г.Санкт-Петербург, внутригородская территория города федерального значения ПОСЕЛОК БЕЛООСТРОВ, ПОСЕЛОК БЕЛООСТРОВ, Ш НОВОЕ, Д. 45, ЛИТЕРА З, ЧАСТЬ ПОМЕЩЕНИЯ 3</t>
  </si>
  <si>
    <t>Кривогин Павел Викторович</t>
  </si>
  <si>
    <t>PROMBAZABEL@GMAIL.COM'</t>
  </si>
  <si>
    <t>59.840731,30.025847</t>
  </si>
  <si>
    <t>ОБЩЕСТВО С ОГРАНИЧЕННОЙ ОТВЕТСТВЕННОСТЬЮ "НАУСТРОЙ"</t>
  </si>
  <si>
    <t>"НАУСТРОЙ"</t>
  </si>
  <si>
    <t>7819017063</t>
  </si>
  <si>
    <t>198515, САНКТ-ПЕТЕРБУРГ Г., П. Стрельна, Ш. СТАРО-НАРВСКОЕ, Д. 25А, ЛИТЕРА М, КОМ. 012</t>
  </si>
  <si>
    <t>Кудинова Ирина Сергеевна</t>
  </si>
  <si>
    <t>59.6836,30.064268</t>
  </si>
  <si>
    <t>ОБЩЕСТВО С ОГРАНИЧЕННОЙ ОТВЕТСТВЕННОСТЬЮ "ФОРМ-АРТБЕТОН"</t>
  </si>
  <si>
    <t>"ФОРМ-АРТБЕТОН"</t>
  </si>
  <si>
    <t>4725008396</t>
  </si>
  <si>
    <t>188508, ЛЕНИНГРАДСКАЯ ОБЛАСТЬ, Р-Н ЛОМОНОСОВСКИЙ, Д РАССКОЛОВО, КВ-Л 3, Д. 27Д</t>
  </si>
  <si>
    <t>Оромян Мкртич Ваникович</t>
  </si>
  <si>
    <t>59.733745,30.086205</t>
  </si>
  <si>
    <t>ОБЩЕСТВО С ОГРАНИЧЕННОЙ ОТВЕТСТВЕННОСТЬЮ "ПРОИЗВОДСТВЕННОЕ ОБЪЕДИНЕНИЕ "СВАЙНЫЕ ТЕХНОЛОГИИ"</t>
  </si>
  <si>
    <t>"ПРОИЗВОДСТВЕННОЕ ОБЪЕДИНЕНИЕ "СВАЙНЫЕ ТЕХНОЛОГИИ"</t>
  </si>
  <si>
    <t>7807382576</t>
  </si>
  <si>
    <t>198320, САНКТ-ПЕТЕРБУРГ ГОРОД, Г. КРАСНОЕ СЕЛО, УЛ. ПЕРВОГО МАЯ, Д. 2, К. ЛИТ.Б 20-Н, ПОМ. 4 2</t>
  </si>
  <si>
    <t>Гнатюк Павел Владимирович</t>
  </si>
  <si>
    <t>+7 (812) 130-04-89', '+7 (812) 749-40-83'</t>
  </si>
  <si>
    <t>59.736013,30.08775</t>
  </si>
  <si>
    <t>ОБЩЕСТВО С ОГРАНИЧЕННОЙ ОТВЕТСТВЕННОСТЬЮ "СТРОЙБЕТОН М"</t>
  </si>
  <si>
    <t>"СТРОЙБЕТОН М"</t>
  </si>
  <si>
    <t>7807227274</t>
  </si>
  <si>
    <t>198320, САНКТ-ПЕТЕРБУРГ ГОРОД, Г. КРАСНОЕ СЕЛО, УЛ. ГВАРДЕЙСКАЯ, Д. 5, ЛИТЕР А, ПОМЕЩ. 3Н КОМНАТА 2</t>
  </si>
  <si>
    <t>Мозолина Елена Вячеславовна</t>
  </si>
  <si>
    <t>59.556626,30.109256</t>
  </si>
  <si>
    <t>ОБЩЕСТВО С ОГРАНИЧЕННОЙ ОТВЕТСТВЕННОСТЬЮ "ГЕФЕСТ"</t>
  </si>
  <si>
    <t>"ГЕФЕСТ"</t>
  </si>
  <si>
    <t>4705069312</t>
  </si>
  <si>
    <t>188307, Ленинградская область, муниципальный район ГАТЧИНСКИЙ, Город ГАТЧИНА, городское поселение ГАТЧИНСКОЕ, УЛ КИЕВСКАЯ, Д. 8,..</t>
  </si>
  <si>
    <t>Щербаков Никита Анатольевич</t>
  </si>
  <si>
    <t>+7 (905) 275-54-49', '+7 (905) 275-54-49'</t>
  </si>
  <si>
    <t>DG111012@YANDEX.RU'</t>
  </si>
  <si>
    <t>59.85271,30.119254</t>
  </si>
  <si>
    <t>ОБЩЕСТВО С ОГРАНИЧЕННОЙ ОТВЕТСТВЕННОСТЬЮ "АЛЕВПРОМ"</t>
  </si>
  <si>
    <t>"АЛЕВПРОМ"</t>
  </si>
  <si>
    <t>7807248154</t>
  </si>
  <si>
    <t>198206, Г.Санкт-Петербург, внутригородская территория города федерального значения МУНИЦИПАЛЬНЫЙ ОКРУГ СОСНОВАЯ ПОЛЯНА, Ш ПЕТЕРГОФСКОЕ, Д. 73, ЛИТЕРА Т, ОФИС 30 РМ 1, ПОМЕЩ. 1Н</t>
  </si>
  <si>
    <t>Нефёдов Евгений Васильевич</t>
  </si>
  <si>
    <t>ALEWPROM@YANDEX.RU'</t>
  </si>
  <si>
    <t>59.563802,30.12017</t>
  </si>
  <si>
    <t>ОБЩЕСТВО С ОГРАНИЧЕННОЙ ОТВЕТСТВЕННОСТЬЮ "ПЛИТГРУПП"</t>
  </si>
  <si>
    <t>"ПЛИТГРУПП"</t>
  </si>
  <si>
    <t>4705086332</t>
  </si>
  <si>
    <t>188304, ЛЕНИНГРАДСКАЯ ОБЛАСТЬ, Р-Н ГАТЧИНСКИЙ, Г. ГАТЧИНА, УЛ. ЧКАЛОВА, Д. 77, ПОМЕЩ. 4 ОФИС 17</t>
  </si>
  <si>
    <t>Наапетян Карен</t>
  </si>
  <si>
    <t>59.840017,30.120925</t>
  </si>
  <si>
    <t>ОБЩЕСТВО С ОГРАНИЧЕННОЙ ОТВЕТСТВЕННОСТЬЮ "ЗАВОД КАЧЕСТВЕННЫХ БЕТОННЫХ ИЗДЕЛИЙ"</t>
  </si>
  <si>
    <t>"ЗАВОД КАЧЕСТВЕННЫХ БЕТОННЫХ ИЗДЕЛИЙ"</t>
  </si>
  <si>
    <t>7807256250</t>
  </si>
  <si>
    <t>198206, Г.Санкт-Петербург, внутригородская территория города федерального значения МУНИЦИПАЛЬНЫЙ ОКРУГ СОСНОВАЯ ПОЛЯНА, Ш ПЕТЕРГОФСКОЕ, Д. 74, К. 4, ЛИТЕРА Б, ПОМЕЩ. 1-Н, ОФИС № 308</t>
  </si>
  <si>
    <t>Терентьев Сергей Сергеевич</t>
  </si>
  <si>
    <t>60.006867,30.121095</t>
  </si>
  <si>
    <t>ОБЩЕСТВО С ОГРАНИЧЕННОЙ ОТВЕТСТВЕННОСТЬЮ "СБ-КОНСТРУКЦИЯ"</t>
  </si>
  <si>
    <t>"СБ-КОНСТРУКЦИЯ"</t>
  </si>
  <si>
    <t>7804638886</t>
  </si>
  <si>
    <t>197229, САНКТ-ПЕТЕРБУРГ ГОРОД, УЛИЦА 1-Я КОННАЯ ЛАХТА, ДОМ 12, ЛИТЕР А, ПОМЕЩЕНИЕ 1-Н</t>
  </si>
  <si>
    <t>Корнилов Дмитрий Сергеевич</t>
  </si>
  <si>
    <t>+7 (812) 498-98-88'</t>
  </si>
  <si>
    <t>59.83612,30.136115</t>
  </si>
  <si>
    <t>ОБЩЕСТВО С ОГРАНИЧЕННОЙ ОТВЕТСТВЕННОСТЬЮ "КОНТИНЕНТ"</t>
  </si>
  <si>
    <t>"КОНТИНЕНТ"</t>
  </si>
  <si>
    <t>7807248436</t>
  </si>
  <si>
    <t>198264, Г.Санкт-Петербург, внутригородская территория города федерального значения МУНИЦИПАЛЬНЫЙ ОКРУГ СОСНОВАЯ ПОЛЯНА, ПР-КТ ВЕТЕРАНОВ, Д. 147, ЛИТЕРА А, ПОМЕЩ. 1-Н, ОФ. 44</t>
  </si>
  <si>
    <t>Мараева Мария Александровна</t>
  </si>
  <si>
    <t>59.571049,30.139044</t>
  </si>
  <si>
    <t>ОБЩЕСТВО С ОГРАНИЧЕННОЙ ОТВЕТСТВЕННОСТЬЮ "ФИБРОН"</t>
  </si>
  <si>
    <t>"ФИБРОН"</t>
  </si>
  <si>
    <t>4705078109</t>
  </si>
  <si>
    <t>188300, ЛЕНИНГРАДСКАЯ ОБЛАСТЬ, РАЙОН ГАТЧИНСКИЙ, ГОРОД ГАТЧИНА, УЛИЦА 7 АРМИИ, ДОМ 22А, ПОМЕЩЕНИЕ 17/3</t>
  </si>
  <si>
    <t>Фролов Николай Вячеславович</t>
  </si>
  <si>
    <t>+7 (812) 607-77-71'</t>
  </si>
  <si>
    <t>fibron@mail.ru'</t>
  </si>
  <si>
    <t>59.803694,30.14482</t>
  </si>
  <si>
    <t>ОБЩЕСТВО С ОГРАНИЧЕННОЙ ОТВЕТСТВЕННОСТЬЮ "ЖБИ ВОЛХОНКА"</t>
  </si>
  <si>
    <t>"ЖБИ ВОЛХОНКА"</t>
  </si>
  <si>
    <t>7807253323</t>
  </si>
  <si>
    <t>198323, Г.Санкт-Петербург, внутригородская территория города федерального значения МУНИЦИПАЛЬНЫЙ ОКРУГ КОНСТАНТИНОВСКОЕ, Ш ВОЛХОНСКОЕ, Д. 111, ЛИТЕРА А, ОФИС 17, РАБ.МЕСТО 2</t>
  </si>
  <si>
    <t xml:space="preserve"> Генеральный Директор Степанов Андрей Владимирович</t>
  </si>
  <si>
    <t>59.851815,30.146212</t>
  </si>
  <si>
    <t>ОБЩЕСТВО С ОГРАНИЧЕННОЙ ОТВЕТСТВЕННОСТЬЮ "ПРОИЗВОДСТВЕННО-СТРОИТЕЛЬНАЯ КОМПАНИЯ"</t>
  </si>
  <si>
    <t>"ПРОИЗВОДСТВЕННО-СТРОИТЕЛЬНАЯ КОМПАНИЯ"</t>
  </si>
  <si>
    <t>7807255088</t>
  </si>
  <si>
    <t>198206, Г.Санкт-Петербург, внутригородская территория города федерального значения МУНИЦИПАЛЬНЫЙ ОКРУГ ЮЖНО-ПРИМОРСКИЙ, УЛ АДМИРАЛА ТРИБУЦА, Д. 7, ЛИТЕРА А,..</t>
  </si>
  <si>
    <t>Михалева Айгуль Рафаильевна</t>
  </si>
  <si>
    <t>61.038907,30.147012</t>
  </si>
  <si>
    <t>4712027338</t>
  </si>
  <si>
    <t>188760, ЛЕНИНГРАДСКАЯ ОБЛАСТЬ, Р-Н ПРИОЗЕРСКИЙ, Г. ПРИОЗЕРСК, УЛ. КАЛИНИНА, Д. 51</t>
  </si>
  <si>
    <t>Рыжов Вячеслав Викторович</t>
  </si>
  <si>
    <t>+7 (921) 957-24-27'</t>
  </si>
  <si>
    <t>59.812238,30.164457</t>
  </si>
  <si>
    <t>ОБЩЕСТВО С ОГРАНИЧЕННОЙ ОТВЕТСТВЕННОСТЬЮ "ПСК БАЛТИЙСКИЙ ДОМ"</t>
  </si>
  <si>
    <t>"ПСК БАЛТИЙСКИЙ ДОМ"</t>
  </si>
  <si>
    <t>7805696249</t>
  </si>
  <si>
    <t>198205, САНКТ-ПЕТЕРБУРГ ГОРОД, Ш. ТАЛЛИНСКОЕ (СТАРО-ПАНОВО ТЕР.), Д. 153, К. 2, ЛИТЕР Е ОФИС 1</t>
  </si>
  <si>
    <t>Кононов Константин Сергеевич</t>
  </si>
  <si>
    <t>+7 (965) 009-23-30', '+7 (931) 985-07-50'</t>
  </si>
  <si>
    <t>59.614118,30.168167</t>
  </si>
  <si>
    <t>Общество с ограниченной ответственностью "ЯМЕРА"</t>
  </si>
  <si>
    <t>"ЯМЕРА"</t>
  </si>
  <si>
    <t>7813210416</t>
  </si>
  <si>
    <t>http://jamera.ru</t>
  </si>
  <si>
    <t>ЛЕНИНГРАДСКАЯ ОБЛ.,ГАТЧИНСКИЙ Р-Н,Д МАЛОЕ ВЕРЕВО,УЛ КУТЫШЕВА, 4 А</t>
  </si>
  <si>
    <t>Модестов Дмитрий Владимирович</t>
  </si>
  <si>
    <t>+7 (921) 931-94-85'</t>
  </si>
  <si>
    <t>spb@yandex.ru'</t>
  </si>
  <si>
    <t>59.612447,30.176198</t>
  </si>
  <si>
    <t>ОБЩЕСТВО С ОГРАНИЧЕННОЙ ОТВЕТСТВЕННОСТЬЮ "ДОЛИНА"</t>
  </si>
  <si>
    <t>"ДОЛИНА"</t>
  </si>
  <si>
    <t>4705081310</t>
  </si>
  <si>
    <t>188354, ЛЕНИНГРАДСКАЯ ОБЛАСТЬ, РАЙОН ГАТЧИНСКИЙ, ДЕРЕВНЯ МАЛОЕ ВЕРЕВО, УЛИЦА ЗАРЕЧНАЯ, ДОМ 1</t>
  </si>
  <si>
    <t>Пилипосян Григор Владимирович</t>
  </si>
  <si>
    <t>59.852579,30.186088</t>
  </si>
  <si>
    <t>ОБЩЕСТВО С ОГРАНИЧЕННОЙ ОТВЕТСТВЕННОСТЬЮ "ГЕВ СТОУН"</t>
  </si>
  <si>
    <t>"ГЕВ СТОУН"</t>
  </si>
  <si>
    <t>7807371430</t>
  </si>
  <si>
    <t>198328, САНКТ-ПЕТЕРБУРГ ГОРОД, ПРОСПЕКТ КУЗНЕЦОВА, 26, 1, 222</t>
  </si>
  <si>
    <t>Енгибарян Геворг Вигенович</t>
  </si>
  <si>
    <t>+7 (921) 339-53-76'</t>
  </si>
  <si>
    <t>59.857653,30.199213</t>
  </si>
  <si>
    <t>ОБЩЕСТВО С ОГРАНИЧЕННОЙ ОТВЕТСТВЕННОСТЬЮ "ГАРАНТ"</t>
  </si>
  <si>
    <t>"ГАРАНТ"</t>
  </si>
  <si>
    <t>7807128080</t>
  </si>
  <si>
    <t>198332, САНКТ-ПЕТЕРБУРГ ГОРОД, ПР-КТ ЛЕНИНСКИЙ, Д. 84, К. 1,..</t>
  </si>
  <si>
    <t>Лисков Александр Сергеевич</t>
  </si>
  <si>
    <t>+7 (953) 370-60-75'</t>
  </si>
  <si>
    <t>60.118664,30.205546</t>
  </si>
  <si>
    <t>ОБЩЕСТВО С ОГРАНИЧЕННОЙ ОТВЕТСТВЕННОСТЬЮ "ИСКУССТВО ЖБИ"</t>
  </si>
  <si>
    <t>"ИСКУССТВО ЖБИ"</t>
  </si>
  <si>
    <t>4703151096</t>
  </si>
  <si>
    <t>188650, ЛЕНИНГРАДСКАЯ ОБЛАСТЬ, Р-Н ВСЕВОЛОЖСКИЙ, Г. СЕРТОЛОВО, МКР СЕРТОЛОВО-1, Д. 1, К. 1, ПОМЕЩ. 67</t>
  </si>
  <si>
    <t>Дидух Олег Васильевич</t>
  </si>
  <si>
    <t>+7 (911) 725-45-62'</t>
  </si>
  <si>
    <t>ОБЩЕСТВО С ОГРАНИЧЕННОЙ ОТВЕТСТВЕННОСТЬЮ "АРТИКО СПБ"</t>
  </si>
  <si>
    <t>"АРТИКО СПБ"</t>
  </si>
  <si>
    <t>4703159578</t>
  </si>
  <si>
    <t>188650, ЛЕНИНГРАДСКАЯ ОБЛАСТЬ, Р-Н ВСЕВОЛОЖСКИЙ, Г. СЕРТОЛОВО, МКР СЕРТОЛОВО-1, Д. 119, К. 13, ОФИС 27</t>
  </si>
  <si>
    <t>Гиносян Вахтанг Вазгенович</t>
  </si>
  <si>
    <t>60.134445,30.208825</t>
  </si>
  <si>
    <t>ОБЩЕСТВО С ОГРАНИЧЕННОЙ ОТВЕТСТВЕННОСТЬЮ "ТЕПЛОБЛОКИ СЕВЕРО -ЗАПАД"</t>
  </si>
  <si>
    <t>"ТЕПЛОБЛОКИ СЕВЕРО -ЗАПАД"</t>
  </si>
  <si>
    <t>4703163398</t>
  </si>
  <si>
    <t>188650, Ленинградская область, муниципальный район ВСЕВОЛОЖСКИЙ, Город СЕРТОЛОВО, городское поселение СЕРТОЛОВСКОЕ, МКР. СЕРТОЛОВО-1, УЛ ИНДУСТРИАЛЬНАЯ, Д. 5, К. 1, ОФИС 304</t>
  </si>
  <si>
    <t>Бухарбаева Елена Анатольевна</t>
  </si>
  <si>
    <t>60.148704,30.212777</t>
  </si>
  <si>
    <t>ОБЩЕСТВО С ОГРАНИЧЕННОЙ ОТВЕТСТВЕННОСТЬЮ "ЛИВИНГСТОУНГРУПП"</t>
  </si>
  <si>
    <t>"ЛИВИНГСТОУНГРУПП"</t>
  </si>
  <si>
    <t>4703174382</t>
  </si>
  <si>
    <t>188655, ЛЕНИНГРАДСКАЯ ОБЛАСТЬ, ВСЕВОЛОЖСКИЙ РАЙОН, ГОРОД СЕРТОЛОВО, УЛИЦА ВЕТЕРАНОВ, ДОМ 15,..</t>
  </si>
  <si>
    <t>Вардумян Саргис Ваганович</t>
  </si>
  <si>
    <t>info@bordur-spb'</t>
  </si>
  <si>
    <t>60.072808,30.22274</t>
  </si>
  <si>
    <t>ОБЩЕСТВО С ОГРАНИЧЕННОЙ ОТВЕТСТВЕННОСТЬЮ "ПРОТЕХ"</t>
  </si>
  <si>
    <t>"ПРОТЕХ"</t>
  </si>
  <si>
    <t>7802864689</t>
  </si>
  <si>
    <t>194294, САНКТ-ПЕТЕРБУРГ ГОРОД, П ПАРГОЛОВО, УЛ. ПЕРВОГО МАЯ, Д. 78, К. 1 ЛИТ Х</t>
  </si>
  <si>
    <t>Крылов Вячеслав Валентинович</t>
  </si>
  <si>
    <t>+7 (812) 407-26-87'</t>
  </si>
  <si>
    <t>59.662726,30.22539</t>
  </si>
  <si>
    <t>ОБЩЕСТВО С ОГРАНИЧЕННОЙ ОТВЕТСТВЕННОСТЬЮ "АЛЕКС СТОУН"</t>
  </si>
  <si>
    <t>"АЛЕКС СТОУН"</t>
  </si>
  <si>
    <t>4705082306</t>
  </si>
  <si>
    <t>188354, ЛЕНИНГРАДСКАЯ ОБЛАСТЬ, ГАТЧИНСКИЙ РАЙОН, ДЕРЕВНЯ ЗАЙЦЕВО (ВЕРЕВСКОЕ С/П), ШОССЕ КИЕВСКОЕ, ДОМ 43, ЛИТЕРА А</t>
  </si>
  <si>
    <t>Афанасьева Ольга Владимировна</t>
  </si>
  <si>
    <t>60.140449,30.234256</t>
  </si>
  <si>
    <t>ОБЩЕСТВО С ОГРАНИЧЕННОЙ ОТВЕТСТВЕННОСТЬЮ "ГАЗБЛОК"</t>
  </si>
  <si>
    <t>"ГАЗБЛОК"</t>
  </si>
  <si>
    <t>4706047294</t>
  </si>
  <si>
    <t>188650, Ленинградская область, ВСЕВОЛОЖСКИЙ, 1 СЕРТОЛОВСКОЕ, Г СЕРТОЛОВО, УЛ ЦЕНТРАЛЬНАЯ, Д. 14, К. 4</t>
  </si>
  <si>
    <t>Погодин Кирилл Владимирович</t>
  </si>
  <si>
    <t>59.986979,30.23608</t>
  </si>
  <si>
    <t>ОБЩЕСТВО С ОГРАНИЧЕННОЙ ОТВЕТСТВЕННОСТЬЮ «НЕВАФОРМ»</t>
  </si>
  <si>
    <t>«НЕВАФОРМ»</t>
  </si>
  <si>
    <t>7814713123</t>
  </si>
  <si>
    <t>197374, САНКТ-ПЕТЕРБУРГ ГОРОД, УЛИЦА САВУШКИНА, ДОМ 115, КОРПУС 3,..</t>
  </si>
  <si>
    <t>Конотопов Игорь Юрьевич</t>
  </si>
  <si>
    <t>+7 (911) 928-22-48'</t>
  </si>
  <si>
    <t>59.945562,30.240239</t>
  </si>
  <si>
    <t>ОБЩЕСТВО С ОГРАНИЧЕННОЙ ОТВЕТСТВЕННОСТЬЮ "СК-РЕСУРС"</t>
  </si>
  <si>
    <t>"СК-РЕСУРС"</t>
  </si>
  <si>
    <t>7801344670</t>
  </si>
  <si>
    <t>199397, САНКТ-ПЕТЕРБУРГ ГОРОД, УЛ. БЕРИНГА, Д. 23, К. 2 ЛИТЕР А, ПОМЕЩ. 13Н</t>
  </si>
  <si>
    <t>Корнилов Сергей Иванович</t>
  </si>
  <si>
    <t>ilyayyksy@mail.ru'</t>
  </si>
  <si>
    <t>ОБЩЕСТВО С ОГРАНИЧЕННОЙ ОТВЕТСТВЕННОСТЬЮ "БИЗНЕС ПОСТ"</t>
  </si>
  <si>
    <t>"БИЗНЕС ПОСТ"</t>
  </si>
  <si>
    <t>7801662577</t>
  </si>
  <si>
    <t>199397, САНКТ-ПЕТЕРБУРГ ГОРОД, УЛ. БЕРИНГА, Д. 23, К. 2 ЛИТЕР А, ПОМЕЩ. 9Н</t>
  </si>
  <si>
    <t>Андриевский Евгений Иванович</t>
  </si>
  <si>
    <t>59.86827,30.24173</t>
  </si>
  <si>
    <t>ОБЩЕСТВО С ОГРАНИЧЕННОЙ ОТВЕТСТВЕННОСТЬЮ "ВТА"</t>
  </si>
  <si>
    <t>"ВТА"</t>
  </si>
  <si>
    <t>7839471525</t>
  </si>
  <si>
    <t>198096, Г.Санкт-Петербург, внутригородская территория города федерального значения МУНИЦИПАЛЬНЫЙ ОКРУГ АВТОВО, ДОР НА ТУРУХТАННЫЕ ОСТРОВА, Д. 14, ЛИТЕРА А, ПОМЕЩ. 1Н ОФИС №19 РАБОЧЕЕ МЕСТО №2</t>
  </si>
  <si>
    <t>Бахолдин Роман Александрович</t>
  </si>
  <si>
    <t>+7 (911) 112-12-55'</t>
  </si>
  <si>
    <t>59.939528,30.24332</t>
  </si>
  <si>
    <t>ОБЩЕСТВО С ОГРАНИЧЕННОЙ ОТВЕТСТВЕННОСТЬЮ "НОЛСЕН"</t>
  </si>
  <si>
    <t>"НОЛСЕН"</t>
  </si>
  <si>
    <t>7801276638</t>
  </si>
  <si>
    <t>199406, САНКТ-ПЕТЕРБУРГ ГОРОД, УЛ. БЕРИНГА, Д. 16, ЛИТЕР А, ПОМЕЩ. 14-Н</t>
  </si>
  <si>
    <t>Демирбаш Екатерина Юрьевна</t>
  </si>
  <si>
    <t>ekaterinademirbas@gmail.com'</t>
  </si>
  <si>
    <t>59.723679,30.248701</t>
  </si>
  <si>
    <t>ОБЩЕСТВО С ОГРАНИЧЕННОЙ ОТВЕТСТВЕННОСТЬЮ "ПБЕТОН 78"</t>
  </si>
  <si>
    <t>"ПБЕТОН 78"</t>
  </si>
  <si>
    <t>4707046039</t>
  </si>
  <si>
    <t>188506, Ленинградская область, ЛОМОНОСОВСКИЙ, 1 ВИЛЛОЗСКОЕ, Д МАЛОЕ КАРЛИНО, Ш ПУШКИНСКОЕ, Д. 50</t>
  </si>
  <si>
    <t>Куликов Дмитрий Анатольевич</t>
  </si>
  <si>
    <t>59.868469,30.25004</t>
  </si>
  <si>
    <t>ОБЩЕСТВО С ОГРАНИЧЕННОЙ ОТВЕТСТВЕННОСТЬЮ "МАСШТАБ"</t>
  </si>
  <si>
    <t>"МАСШТАБ"</t>
  </si>
  <si>
    <t>7811633575</t>
  </si>
  <si>
    <t>198096, САНКТ-ПЕТЕРБУРГ Г., ДОР. НА ТУРУХТАННЫЕ ОСТРОВА, Д. 8, ЛИТЕРА А, ОФИС 317.7</t>
  </si>
  <si>
    <t>Вишев Андрей Александрович</t>
  </si>
  <si>
    <t>0948195@mail.ru'</t>
  </si>
  <si>
    <t>60.007398,30.250722</t>
  </si>
  <si>
    <t>ОБЩЕСТВО С ОГРАНИЧЕННОЙ ОТВЕТСТВЕННОСТЬЮ "БИОП"</t>
  </si>
  <si>
    <t>"БИОП"</t>
  </si>
  <si>
    <t>7814249825</t>
  </si>
  <si>
    <t>http://biopp-shop.ru</t>
  </si>
  <si>
    <t>197372, САНКТ-ПЕТЕРБУРГ ГОРОД, УЛ. СТАРОДЕРЕВЕНСКАЯ, Д. 33/10, ЛИТЕР В, ПОМЕЩ. 1-Н</t>
  </si>
  <si>
    <t>Евсеев Юрий Владимирович</t>
  </si>
  <si>
    <t>+7 (812) 254-76-88'</t>
  </si>
  <si>
    <t>59.963426,30.251944</t>
  </si>
  <si>
    <t>ОБЩЕСТВО С ОГРАНИЧЕННОЙ ОТВЕТСТВЕННОСТЬЮ "МУСКО"</t>
  </si>
  <si>
    <t>"МУСКО"</t>
  </si>
  <si>
    <t>7813650223</t>
  </si>
  <si>
    <t>197198, Г.Санкт-Петербург, внутригородская территория города федерального значения МУНИЦИПАЛЬНЫЙ ОКРУГ ОКРУГ ПЕТРОВСКИЙ, КОСА ПЕТРОВСКАЯ, Д. 3, ЛИТЕРА М, ПОМЕЩ. 2-Н</t>
  </si>
  <si>
    <t>Кудинов Роман Анатольевич</t>
  </si>
  <si>
    <t>59.865664,30.252231</t>
  </si>
  <si>
    <t>ОБЩЕСТВО С ОГРАНИЧЕННОЙ ОТВЕТСТВЕННОСТЬЮ "СТРОЙРЕСУРС"</t>
  </si>
  <si>
    <t>"СТРОЙРЕСУРС"</t>
  </si>
  <si>
    <t>7810903860</t>
  </si>
  <si>
    <t>198096, Г.Санкт-Петербург, внутригородская территория города федерального значения МУНИЦИПАЛЬНЫЙ ОКРУГ АВТОВО, УЛ КРОНШТАДТСКАЯ, Д. 17, К. 2, ЛИТЕРА А, ПОМЕЩ 1-Н, КОМ 8</t>
  </si>
  <si>
    <t>Гаманцев Роман Юрьевич</t>
  </si>
  <si>
    <t>60.078818,30.253453</t>
  </si>
  <si>
    <t>ОБЩЕСТВО С ОГРАНИЧЕННОЙ ОТВЕТСТВЕННОСТЬЮ "ТЕРМО-БЛОК ПЛЮС"</t>
  </si>
  <si>
    <t>"ТЕРМО-БЛОК ПЛЮС"</t>
  </si>
  <si>
    <t>7802921633</t>
  </si>
  <si>
    <t>194362, Г.Санкт-Петербург, ПОСЕЛОК ПАРГОЛОВО, УЛ ПЕРВОГО МАЯ, Д. 16,ЛИТЕРА А, Р.М. 6</t>
  </si>
  <si>
    <t>Рябуха Павел Алексеевич</t>
  </si>
  <si>
    <t>TERMOBLOKPLUS@MAIL.RU'</t>
  </si>
  <si>
    <t>59.947306,30.255079</t>
  </si>
  <si>
    <t>ОБЩЕСТВО С ОГРАНИЧЕННОЙ ОТВЕТСТВЕННОСТЬЮ "СТРОЙПРОЕКТ"</t>
  </si>
  <si>
    <t>"СТРОЙПРОЕКТ"</t>
  </si>
  <si>
    <t>7801639024</t>
  </si>
  <si>
    <t>https://st-proekt.net</t>
  </si>
  <si>
    <t>199178, САНКТ-ПЕТЕРБУРГ ГОРОД, НАБ. РЕКИ СМОЛЕНКИ, Д. 33, ЛИТЕР А, ПОМЕЩ. 192-Н</t>
  </si>
  <si>
    <t>Сычков Антон Юрьевич</t>
  </si>
  <si>
    <t>+7 (812) 380-44-09', '+7 (812) 448-54-44', '+7 (812) 748-24-35', '+7 (800) 550-59-28'</t>
  </si>
  <si>
    <t>info@st-proekt'</t>
  </si>
  <si>
    <t>59.933063,30.256795</t>
  </si>
  <si>
    <t>ОБЩЕСТВО С ОГРАНИЧЕННОЙ ОТВЕТСТВЕННОСТЬЮ "ИНЖПЕТРОСТРОЙ"</t>
  </si>
  <si>
    <t>"ИНЖПЕТРОСТРОЙ"</t>
  </si>
  <si>
    <t>7801299970</t>
  </si>
  <si>
    <t>199106, САНКТ-ПЕТЕРБУРГ ГОРОД, район Василеостровский, 26 ЛИНИЯ В.О., 15 КОРП 2 ЛИТЕР А ПОМ 97Н</t>
  </si>
  <si>
    <t>Бронских Сергей Антонович</t>
  </si>
  <si>
    <t>+7 (812) 301-25-35', '+7 (812) 386-75-64'</t>
  </si>
  <si>
    <t>irinashspb@mail.ru'</t>
  </si>
  <si>
    <t>ОБЩЕСТВО С ОГРАНИЧЕННОЙ ОТВЕТСТВЕННОСТЬЮ "Производственное Объединение "Железобетонные Конструкции"</t>
  </si>
  <si>
    <t>"Производственное Объединение "Железобетонные Конструкции"</t>
  </si>
  <si>
    <t>7802482104</t>
  </si>
  <si>
    <t>199106, САНКТ-ПЕТЕРБУРГ ГОРОД, ЛИНИЯ 26-Я В.О., ДОМ 15, КОРПУС 2 ЛИТЕР А, ПОМЕЩЕНИЕ 131Н ОФИС 1106</t>
  </si>
  <si>
    <t>Радионова Екатерина Сергеевна</t>
  </si>
  <si>
    <t>+7 (812) 320-86-87', '+7 (812) 301-25-35', '+7 (812) 301-25-35', '+7 (812) 320-86-87'</t>
  </si>
  <si>
    <t>ОБЩЕСТВО С ОГРАНИЧЕННОЙ ОТВЕТСТВЕННОСТЬЮ "Железобетонные Конструкции"</t>
  </si>
  <si>
    <t>"Железобетонные Конструкции"</t>
  </si>
  <si>
    <t>7804447641</t>
  </si>
  <si>
    <t>199106, САНКТ-ПЕТЕРБУРГ ГОРОД, ЛИНИЯ 26-Я В.О., ДОМ 15, КОРПУС 2 ЛИТЕР А, ПОМЕЩЕНИЕ 97Н</t>
  </si>
  <si>
    <t>+7 (904) 519-69-49', '+7 (911) 913-93-74'</t>
  </si>
  <si>
    <t>59.984467,30.257532</t>
  </si>
  <si>
    <t>ОБЩЕСТВО С ОГРАНИЧЕННОЙ ОТВЕТСТВЕННОСТЬЮ "ЭВЕРЕСТ"</t>
  </si>
  <si>
    <t>"ЭВЕРЕСТ"</t>
  </si>
  <si>
    <t>7810605818</t>
  </si>
  <si>
    <t>197183, САНКТ-ПЕТЕРБУРГ ГОРОД, ЛИПОВАЯ АЛ, ДОМ 9, ЛИТЕР А, ПОМЕЩЕНИЕ 28Н КОМ. 1206</t>
  </si>
  <si>
    <t>Кожухарь Сергей Николаевич</t>
  </si>
  <si>
    <t>ОБЩЕСТВО С ОГРАНИЧЕННОЙ ОТВЕТСТВЕННОСТЬЮ "ЭКОБЕТОН"</t>
  </si>
  <si>
    <t>"ЭКОБЕТОН"</t>
  </si>
  <si>
    <t>7814726228</t>
  </si>
  <si>
    <t>197183, САНКТ-ПЕТЕРБУРГ ГОРОД, АЛЛЕЯ ЛИПОВАЯ, ДОМ 9, ЛИТЕР А, ПОМЕЩЕНИЕ 28Н ОФИС 1206</t>
  </si>
  <si>
    <t>+7 (911) 811-11-87'</t>
  </si>
  <si>
    <t>59.878432,30.25834</t>
  </si>
  <si>
    <t>ОБЩЕСТВО С ОГРАНИЧЕННОЙ ОТВЕТСТВЕННОСТЬЮ "ПК МОНОЛИТ"</t>
  </si>
  <si>
    <t>"ПК МОНОЛИТ"</t>
  </si>
  <si>
    <t>7805715519</t>
  </si>
  <si>
    <t>198097, САНКТ-ПЕТЕРБУРГ ГОРОД, ПРОСПЕКТ СТАЧЕК, ДОМ 47, ЛИТЕР А, ПОМЕЩЕНИЕ 19Н ОФИС 354</t>
  </si>
  <si>
    <t>Недорезова Ирина Аркадьевна</t>
  </si>
  <si>
    <t>+7 (812) 642-02-35'</t>
  </si>
  <si>
    <t>60.008716,30.258385</t>
  </si>
  <si>
    <t>ОБЩЕСТВО С ОГРАНИЧЕННОЙ ОТВЕТСТВЕННОСТЬЮ "СТБ"</t>
  </si>
  <si>
    <t>"СТБ"</t>
  </si>
  <si>
    <t>5042150014</t>
  </si>
  <si>
    <t>50-Московская область</t>
  </si>
  <si>
    <t>197371, САНКТ-ПЕТЕРБУРГ ГОРОД, ПРОСПЕКТ КОМЕНДАНТСКИЙ, ДОМ 53, КОРПУС 3 ЛИТЕР А,..</t>
  </si>
  <si>
    <t>Белозёрова Инна Вячеславовна</t>
  </si>
  <si>
    <t>belozerov007@mail.ru'</t>
  </si>
  <si>
    <t>59.949925,30.259382</t>
  </si>
  <si>
    <t>ОБЩЕСТВО С ОГРАНИЧЕННОЙ ОТВЕТСТВЕННОСТЬЮ "ЛИК МАЙ БРИК"</t>
  </si>
  <si>
    <t>"ЛИК МАЙ БРИК"</t>
  </si>
  <si>
    <t>7801664334</t>
  </si>
  <si>
    <t>199178, САНКТ-ПЕТЕРБУРГ ГОРОД, НАБЕРЕЖНАЯ РЕКИ СМОЛЕНКИ, ДОМ 17, КОРПУС 2 ЛИТЕР М, ПОМЕЩЕНИЕ 1-Н КОМНАТА 62</t>
  </si>
  <si>
    <t>Фищев Алексей Владимирович</t>
  </si>
  <si>
    <t>mail@fischev.ru'</t>
  </si>
  <si>
    <t>59.928834,30.260523</t>
  </si>
  <si>
    <t>ОБЩЕСТВО С ОГРАНИЧЕННОЙ ОТВЕТСТВЕННОСТЬЮ "БЕТОНМИ"</t>
  </si>
  <si>
    <t>"БЕТОНМИ"</t>
  </si>
  <si>
    <t>7814781155</t>
  </si>
  <si>
    <t>199106, Г.Санкт-Петербург, внутригородская территория города федерального значения МУНИЦИПАЛЬНЫЙ ОКРУГ № 7, ЛИНИЯ 26-Я В.О., Д. 7, СТР. 1, ПОМЕЩ. 54-Н</t>
  </si>
  <si>
    <t>Степаненко Светлана Николаевна</t>
  </si>
  <si>
    <t>59.855778,30.26311</t>
  </si>
  <si>
    <t>ОБЩЕСТВО С ОГРАНИЧЕННОЙ ОТВЕТСТВЕННОСТЬЮ "РЕГИОНАЛЬНАЯ СТРОИТЕЛЬНАЯ КОМПАНИЯ ЖБИ"</t>
  </si>
  <si>
    <t>"РЕГИОНАЛЬНАЯ СТРОИТЕЛЬНАЯ КОМПАНИЯ ЖБИ"</t>
  </si>
  <si>
    <t>7814734300</t>
  </si>
  <si>
    <t>198207, САНКТ-ПЕТЕРБУРГ ГОРОД, ПР-КТ ТРАМВАЙНЫЙ, Д. 12, ЛИТЕР А, ПОМЕЩ. 1-Н ОФИС №309/2</t>
  </si>
  <si>
    <t>Загорский Александр Викторович</t>
  </si>
  <si>
    <t>59.666139,30.263972</t>
  </si>
  <si>
    <t>ОБЩЕСТВО С ОГРАНИЧЕННОЙ ОТВЕТСТВЕННОСТЬЮ "МЕРКУРИЙ"</t>
  </si>
  <si>
    <t>"МЕРКУРИЙ"</t>
  </si>
  <si>
    <t>7801672078</t>
  </si>
  <si>
    <t>196632, Г.Санкт-Петербург, внутригородская территория города федерального значения ГОРОД ПУШКИН, ГОРОД ПУШКИН, ТЕР ЛЕСНОЕ, Д. 10, ЛИТЕРА А, ПОМЕЩ. 24</t>
  </si>
  <si>
    <t>Борисов Александр Николаевич</t>
  </si>
  <si>
    <t>ОБЩЕСТВО С ОГРАНИЧЕННОЙ ОТВЕТСТВЕННОСТЬЮ "РЕНЕССАНС"</t>
  </si>
  <si>
    <t>"РЕНЕССАНС"</t>
  </si>
  <si>
    <t>7807218801</t>
  </si>
  <si>
    <t>196632, САНКТ-ПЕТЕРБУРГ ГОРОД, Г. ПУШКИН, ТЕР ЛЕСНОЕ, Д. 10, ЛИТЕР А, ОФИС 6</t>
  </si>
  <si>
    <t>Габриелян Артур Размикович</t>
  </si>
  <si>
    <t>ОБЩЕСТВО С ОГРАНИЧЕННОЙ ОТВЕТСТВЕННОСТЬЮ "ЭД СТРОЙМОНТАЖ"</t>
  </si>
  <si>
    <t>"ЭД СТРОЙМОНТАЖ"</t>
  </si>
  <si>
    <t>7820060514</t>
  </si>
  <si>
    <t>196632, САНКТ-ПЕТЕРБУРГ ГОРОД, Г. ПУШКИН, ТЕР ЛЕСНОЕ, Д. 10, ЛИТЕР А, ОФИС 12</t>
  </si>
  <si>
    <t>Яйлоян Арарат Акобович</t>
  </si>
  <si>
    <t>stroymontag@yandex.ru'</t>
  </si>
  <si>
    <t>ОБЩЕСТВО С ОГРАНИЧЕННОЙ ОТВЕТСТВЕННОСТЬЮ "ПРИЗМА"</t>
  </si>
  <si>
    <t>"ПРИЗМА"</t>
  </si>
  <si>
    <t>7820078529</t>
  </si>
  <si>
    <t>196632, САНКТ-ПЕТЕРБУРГ Г., Г. Пушкин, ТЕР. ЛЕСНОЕ, Д. 10, ЛИТЕРА А, ОФИС 20</t>
  </si>
  <si>
    <t>Авагян Арарат Асватурович</t>
  </si>
  <si>
    <t>PRIZMA9643604246@MAIL.RU'</t>
  </si>
  <si>
    <t>60.00832,30.264458</t>
  </si>
  <si>
    <t>ОБЩЕСТВО С ОГРАНИЧЕННОЙ ОТВЕТСТВЕННОСТЬЮ "ТОРГОВО-ПРОИЗВОДСТВЕННОЕ ОБЪЕДИНЕНИЕ "ПАРНАС"</t>
  </si>
  <si>
    <t>"ТОРГОВО-ПРОИЗВОДСТВЕННОЕ ОБЪЕДИНЕНИЕ "ПАРНАС"</t>
  </si>
  <si>
    <t>7814744964</t>
  </si>
  <si>
    <t>197349, САНКТ-ПЕТЕРБУРГ ГОРОД, ПР-КТ ИСПЫТАТЕЛЕЙ, Д. 33, ЛИТЕР А, ПОМЕЩ. 3Н ОФИС 18</t>
  </si>
  <si>
    <t>Аксенов Демьян Дмитриевич</t>
  </si>
  <si>
    <t>megaconsult@yandex.ru'</t>
  </si>
  <si>
    <t>59.8552,30.265086</t>
  </si>
  <si>
    <t>ОБЩЕСТВО С ОГРАНИЧЕННОЙ ОТВЕТСТВЕННОСТЬЮ "ЗАВОД МОСТОВЫХ КОНСТРУКЦИЙ"</t>
  </si>
  <si>
    <t>"ЗАВОД МОСТОВЫХ КОНСТРУКЦИЙ"</t>
  </si>
  <si>
    <t>7805794729</t>
  </si>
  <si>
    <t>198216, Г.Санкт-Петербург, МУНИЦИПАЛЬНЫЙ ОКРУГ КНЯЖЕВО, ПР-КТ ТРАМВАЙНЫЙ, Д. 14,ЛИТЕРА А</t>
  </si>
  <si>
    <t>Михайлов Алексей Андреевич</t>
  </si>
  <si>
    <t>60.082862,30.265239</t>
  </si>
  <si>
    <t>ОБЩЕСТВО С ОГРАНИЧЕННОЙ ОТВЕТСТВЕННОСТЬЮ "РЕГИОН-ФАСАД"</t>
  </si>
  <si>
    <t>"РЕГИОН-ФАСАД"</t>
  </si>
  <si>
    <t>7802594633</t>
  </si>
  <si>
    <t>194362, САНКТ-ПЕТЕРБУРГ ГОРОД, ПОСЕЛОК ПАРГОЛОВО, УЛИЦА ЛОМОНОСОВА, ДОМ 1, ЛИТ. Б</t>
  </si>
  <si>
    <t>Мараховский Александр Григорьевич</t>
  </si>
  <si>
    <t>+7 (962) 695-75-02'</t>
  </si>
  <si>
    <t>59.868076,30.266802</t>
  </si>
  <si>
    <t>ОБЩЕСТВО С ОГРАНИЧЕННОЙ ОТВЕТСТВЕННОСТЬЮ "ТД ЖБИ ТРЕЙД"</t>
  </si>
  <si>
    <t>"ТД ЖБИ ТРЕЙД"</t>
  </si>
  <si>
    <t>7805707606</t>
  </si>
  <si>
    <t>198096, САНКТ-ПЕТЕРБУРГ ГОРОД, УЛ. МАРИНЕСКО, Д. 9, ЛИТЕРА А ПОМЕЩЕНИЕ 26-Н, ОФИС 11</t>
  </si>
  <si>
    <t>Константинова Ольга Станиславовна</t>
  </si>
  <si>
    <t>+7 (981) 783-47-85'</t>
  </si>
  <si>
    <t>59.892739,30.266991</t>
  </si>
  <si>
    <t>ОБЩЕСТВО С ОГРАНИЧЕННОЙ ОТВЕТСТВЕННОСТЬЮ "ФЕНИКС"</t>
  </si>
  <si>
    <t>"ФЕНИКС"</t>
  </si>
  <si>
    <t>7805774151</t>
  </si>
  <si>
    <t>198095, Г.Санкт-Петербург, внутригородская территория города федерального значения МУНИЦИПАЛЬНЫЙ ОКРУГ НАРВСКИЙ ОКРУГ, УЛ ЗОИ КОСМОДЕМЬЯНСКОЙ, Д. 16/24, ЛИТЕРА А, ПОМЕЩ. 1Н, КОМ. 1 РМ 2</t>
  </si>
  <si>
    <t>Кашицына Любовь Валерьевна</t>
  </si>
  <si>
    <t>59.879818,30.267377</t>
  </si>
  <si>
    <t>ОБЩЕСТВО С ОГРАНИЧЕННОЙ ОТВЕТСТВЕННОСТЬЮ "БЕТОНКОМПЛЕКТ"</t>
  </si>
  <si>
    <t>"БЕТОНКОМПЛЕКТ"</t>
  </si>
  <si>
    <t>7805764876</t>
  </si>
  <si>
    <t>198188, САНКТ-ПЕТЕРБУРГ ГОРОД, УЛИЦА МАРШАЛА ГОВОРОВА, ДОМ 14, ЛИТЕР А, ПОМЕЩЕНИЕ 19-Н ОФИС 4</t>
  </si>
  <si>
    <t>Фатьянов Алексей Викторович</t>
  </si>
  <si>
    <t>59.947991,30.268051</t>
  </si>
  <si>
    <t>ОБЩЕСТВО С ОГРАНИЧЕННОЙ ОТВЕТСТВЕННОСТЬЮ "ПРОМЖБИ"</t>
  </si>
  <si>
    <t>"ПРОМЖБИ"</t>
  </si>
  <si>
    <t>7811648927</t>
  </si>
  <si>
    <t>199178, САНКТ-ПЕТЕРБУРГ ГОРОД, НАБЕРЕЖНАЯ РЕКИ СМОЛЕНКИ, ДОМ 14, ЛИТЕР А, ОФИС 336</t>
  </si>
  <si>
    <t>Тужиков Иван Михайлович</t>
  </si>
  <si>
    <t>info@prom-gbi'</t>
  </si>
  <si>
    <t>60.032227,30.26815</t>
  </si>
  <si>
    <t>ОБЩЕСТВО С ОГРАНИЧЕННОЙ ОТВЕТСТВЕННОСТЬЮ "ПРОИЗВОДСТВЕННОЕ ОБЪЕДИНЕНИЕ "МАТЕРИАЛЫ И КОНСТРУКЦИИ"</t>
  </si>
  <si>
    <t>"ПРОИЗВОДСТВЕННОЕ ОБЪЕДИНЕНИЕ "МАТЕРИАЛЫ И КОНСТРУКЦИИ"</t>
  </si>
  <si>
    <t>7814690444</t>
  </si>
  <si>
    <t>197375, САНКТ-ПЕТЕРБУРГ ГОРОД, МАКУЛАТУРНЫЙ ПР, ДОМ 7, ЛИТЕР А, ОФИС 1А</t>
  </si>
  <si>
    <t>Тугаринова Наталья Алексеевна</t>
  </si>
  <si>
    <t>+7 (812) 425-31-00'</t>
  </si>
  <si>
    <t>59.878793,30.268401</t>
  </si>
  <si>
    <t>ОБЩЕСТВО С ОГРАНИЧЕННОЙ ОТВЕТСТВЕННОСТЬЮ "ПРОИЗВОДСТВЕННОЕ ОБЪЕДИНЕНИЕ "БРИГАДА"</t>
  </si>
  <si>
    <t>"ПРОИЗВОДСТВЕННОЕ ОБЪЕДИНЕНИЕ "БРИГАДА"</t>
  </si>
  <si>
    <t>7805327072</t>
  </si>
  <si>
    <t>198188, САНКТ-ПЕТЕРБУРГ ГОРОД, УЛ. ВАСИ АЛЕКСЕЕВА, Д. 10, ЛИТЕР А, ПОМЕЩ. 23-Н</t>
  </si>
  <si>
    <t>Бригадов Виталий Витальевич</t>
  </si>
  <si>
    <t>+7 (812) 101-27-66', '+7 (812) 309-07-71'</t>
  </si>
  <si>
    <t>60.006003,30.26876</t>
  </si>
  <si>
    <t>ОБЩЕСТВО С ОГРАНИЧЕННОЙ ОТВЕТСТВЕННОСТЬЮ "ПЕРФОРМАНС"</t>
  </si>
  <si>
    <t>"ПЕРФОРМАНС"</t>
  </si>
  <si>
    <t>7814729677</t>
  </si>
  <si>
    <t>197227, САНКТ-ПЕТЕРБУРГ ГОРОД, ПРОСПЕКТ ИСПЫТАТЕЛЕЙ, ДОМ 26,..</t>
  </si>
  <si>
    <t>Фомина Юлия Владимировна</t>
  </si>
  <si>
    <t>diver_inna@mail.ru'</t>
  </si>
  <si>
    <t>59.905921,30.268904</t>
  </si>
  <si>
    <t>ОБЩЕСТВО С ОГРАНИЧЕННОЙ ОТВЕТСТВЕННОСТЬЮ "ПРОИЗВОДСТВЕННАЯ КОМПАНИЯ СТРОЙДЕТАЛЬ"</t>
  </si>
  <si>
    <t>"ПРОИЗВОДСТВЕННАЯ КОМПАНИЯ СТРОЙДЕТАЛЬ"</t>
  </si>
  <si>
    <t>7810769870</t>
  </si>
  <si>
    <t>190020, САНКТ-ПЕТЕРБУРГ ГОРОД, УЛИЦА БУМАЖНАЯ, ДОМ 15, ЛИТЕР А, ПОМЕЩЕНИЕ 812Б</t>
  </si>
  <si>
    <t>Михайлов Юлиан Вячеславович</t>
  </si>
  <si>
    <t>59.941876,30.26947</t>
  </si>
  <si>
    <t>ОБЩЕСТВО С ОГРАНИЧЕННОЙ ОТВЕТСТВЕННОСТЬЮ "БЛОК"</t>
  </si>
  <si>
    <t>"БЛОК"</t>
  </si>
  <si>
    <t>7727795306</t>
  </si>
  <si>
    <t>77-г. Москва</t>
  </si>
  <si>
    <t>199178, Г.Санкт-Петербург, внутригородская территория города федерального значения МУНИЦИПАЛЬНЫЙ ОКРУГ ВАСИЛЬЕВСКИЙ, ЛИНИЯ 13-Я В.О., Д. 44, ЛИТЕРА А, ПОМЕЩ. 2Н, КОМ. 1</t>
  </si>
  <si>
    <t>Ильин Денис Александрович</t>
  </si>
  <si>
    <t>+7 (492) 646-38-32'</t>
  </si>
  <si>
    <t>nataly@block-gbi'</t>
  </si>
  <si>
    <t>59.877804,30.270189</t>
  </si>
  <si>
    <t>ОБЩЕСТВО С ОГРАНИЧЕННОЙ ОТВЕТСТВЕННОСТЬЮ "НИКА"</t>
  </si>
  <si>
    <t>"НИКА"</t>
  </si>
  <si>
    <t>7805775910</t>
  </si>
  <si>
    <t>198188, Г.Санкт-Петербург, внутригородская территория города федерального значения МУНИЦИПАЛЬНЫЙ ОКРУГ АВТОВО, УЛ ВАСИ АЛЕКСЕЕВА, Д. 9, ЛИТЕРА А, ПОМЕЩ. 3Н, ОФИС 5</t>
  </si>
  <si>
    <t>Степанов Алексей Валерьевич</t>
  </si>
  <si>
    <t>59.881114,30.272596</t>
  </si>
  <si>
    <t>ОБЩЕСТВО С ОГРАНИЧЕННОЙ ОТВЕТСТВЕННОСТЬЮ "БЕТОН-СНАБЖЕНЕЦ"</t>
  </si>
  <si>
    <t>"БЕТОН-СНАБЖЕНЕЦ"</t>
  </si>
  <si>
    <t>7805672343</t>
  </si>
  <si>
    <t>198188, САНКТ-ПЕТЕРБУРГ ГОРОД, УЛ. ВОЗРОЖДЕНИЯ, Д. 15, ЛИТЕР А, ПОМЕЩ. 9-Н</t>
  </si>
  <si>
    <t>Бригадов Сергей Витальевич</t>
  </si>
  <si>
    <t>59.902668,30.274465</t>
  </si>
  <si>
    <t>ОБЩЕСТВО С ОГРАНИЧЕННОЙ ОТВЕТСТВЕННОСТЬЮ "РОСТ-МС"</t>
  </si>
  <si>
    <t>"РОСТ-МС"</t>
  </si>
  <si>
    <t>7839130130</t>
  </si>
  <si>
    <t>190020, САНКТ-ПЕТЕРБУРГ ГОРОД, ПР-КТ НАРВСКИЙ, Д. 22, ЛИТЕР А, ПОМЕЩ. 14-Н, ОФИС 28</t>
  </si>
  <si>
    <t>Шепелев Алексей Георгиевич</t>
  </si>
  <si>
    <t>60.027211,30.275776</t>
  </si>
  <si>
    <t>ОБЩЕСТВО С ОГРАНИЧЕННОЙ ОТВЕТСТВЕННОСТЬЮ "БЕТО"</t>
  </si>
  <si>
    <t>"БЕТО"</t>
  </si>
  <si>
    <t>7814640323</t>
  </si>
  <si>
    <t>197349, САНКТ-ПЕТЕРБУРГ ГОРОД, УЛ. МАРШАЛА НОВИКОВА, Д. 41, К. 1 ЛИТЕР А, ОФИС 26/О</t>
  </si>
  <si>
    <t>Коротких Евгений Владимирович</t>
  </si>
  <si>
    <t>+7 (962) 684-20-29'</t>
  </si>
  <si>
    <t>ОБЩЕСТВО С ОГРАНИЧЕННОЙ ОТВЕТСТВЕННОСТЬЮ "ПЕТРОВСКИЙ ЗЖБИ"</t>
  </si>
  <si>
    <t>"ПЕТРОВСКИЙ ЗЖБИ"</t>
  </si>
  <si>
    <t>7814804356</t>
  </si>
  <si>
    <t>197375, Г.Санкт-Петербург, внутригородская территория города федерального значения МУНИЦИПАЛЬНЫЙ ОКРУГ ЮНТОЛОВО, УЛ МАРШАЛА НОВИКОВА, Д. 41, К. 1, ЛИТЕРА А, ОФИС 52/О</t>
  </si>
  <si>
    <t>Петров Сергей Евгеньевич</t>
  </si>
  <si>
    <t>60.02508,30.27663</t>
  </si>
  <si>
    <t>ОБЩЕСТВО С ОГРАНИЧЕННОЙ ОТВЕТСТВЕННОСТЬЮ "ЖБИ-ГАРАНТ"</t>
  </si>
  <si>
    <t>"ЖБИ-ГАРАНТ"</t>
  </si>
  <si>
    <t>7802870940</t>
  </si>
  <si>
    <t>197375, САНКТ-ПЕТЕРБУРГ Г., УЛ. ВЕРБНАЯ, Д. 4, ЛИТЕРА А, ПОМЕЩ. 2-Н ОФИС 142-1</t>
  </si>
  <si>
    <t>Турапин Андрей Анатольевич</t>
  </si>
  <si>
    <t>+7 (812) 340-00-64', '+7 (812) 320-70-03', '+7 (812) 320-70-03'</t>
  </si>
  <si>
    <t>garant@mail.ru'</t>
  </si>
  <si>
    <t>ОБЩЕСТВО С ОГРАНИЧЕННОЙ ОТВЕТСТВЕННОСТЬЮ "ПРОИЗВОДСТВЕННОЕ ОБЪЕДИНЕНИЕ ЖБИ-ГАРАНТ"</t>
  </si>
  <si>
    <t>"ПРОИЗВОДСТВЕННОЕ ОБЪЕДИНЕНИЕ ЖБИ-ГАРАНТ"</t>
  </si>
  <si>
    <t>7802870957</t>
  </si>
  <si>
    <t>197375, САНКТ-ПЕТЕРБУРГ Г., УЛ. ВЕРБНАЯ, Д. 4, ЛИТЕРА А, ПОМЕЩ. 2-Н ОФИС 142-2</t>
  </si>
  <si>
    <t>Прохоренков Юрий Юрьевич</t>
  </si>
  <si>
    <t>+7 (812) 325-70-03', '+7 (812) 320-70-03', '+7 (812) 320-70-03'</t>
  </si>
  <si>
    <t>59.903241,30.276639</t>
  </si>
  <si>
    <t>ОБЩЕСТВО С ОГРАНИЧЕННОЙ ОТВЕТСТВЕННОСТЬЮ "ПЕТРОЭНЕРГОПРОМ"</t>
  </si>
  <si>
    <t>"ПЕТРОЭНЕРГОПРОМ"</t>
  </si>
  <si>
    <t>7839124458</t>
  </si>
  <si>
    <t>190020, САНКТ-ПЕТЕРБУРГ ГОРОД, ПРОСПЕКТ СТАРО-ПЕТЕРГОФСКИЙ, ДОМ 37, ЛИТЕР А, ПОМЕЩЕНИЕ 3-Н ОФИС 5</t>
  </si>
  <si>
    <t>Пилипченко Сергей Иванович</t>
  </si>
  <si>
    <t>59.910438,30.277941</t>
  </si>
  <si>
    <t>ОБЩЕСТВО С ОГРАНИЧЕННОЙ ОТВЕТСТВЕННОСТЬЮ "ЖБИ-БЛОК НЕВА"</t>
  </si>
  <si>
    <t>"ЖБИ-БЛОК НЕВА"</t>
  </si>
  <si>
    <t>7806571267</t>
  </si>
  <si>
    <t>190020, Г.Санкт-Петербург, внутригородская территория города федерального значения МУНИЦИПАЛЬНЫЙ ОКРУГ ЕКАТЕРИНГОФСКИЙ, ПР-КТ СТАРО-ПЕТЕРГОФСКИЙ, Д. 8, ЛИТЕРА В, ПОМЕЩ. 6-Н</t>
  </si>
  <si>
    <t>Божок Ирина Геннадьевна</t>
  </si>
  <si>
    <t>59.871301,30.278202</t>
  </si>
  <si>
    <t>ОБЩЕСТВО С ОГРАНИЧЕННОЙ ОТВЕТСТВЕННОСТЬЮ "ЗАВОД ЖБИ 9"</t>
  </si>
  <si>
    <t>"ЗАВОД ЖБИ 9"</t>
  </si>
  <si>
    <t>7811646398</t>
  </si>
  <si>
    <t>198152, САНКТ-ПЕТЕРБУРГ ГОРОД, УЛИЦА АВТОВСКАЯ, ДОМ 31, ЛИТЕР И, ПОМЕЩЕНИЕ 5-Н, ОФИС 4</t>
  </si>
  <si>
    <t>Черемнова Елена Викторовна</t>
  </si>
  <si>
    <t>+7 (960) 275-84-84'</t>
  </si>
  <si>
    <t>59.889038,30.278274</t>
  </si>
  <si>
    <t>ОБЩЕСТВО С ОГРАНИЧЕННОЙ ОТВЕТСТВЕННОСТЬЮ "ЗЖБК НЕВСКИЙ"</t>
  </si>
  <si>
    <t>"ЗЖБК НЕВСКИЙ"</t>
  </si>
  <si>
    <t>7817083663</t>
  </si>
  <si>
    <t>198095, Г.Санкт-Петербург, внутригородская территория города федерального значения МУНИЦИПАЛЬНЫЙ ОКРУГ НАРВСКИЙ ОКРУГ, УЛ МАРШАЛА ГОВОРОВА, Д. 35, ЛИТЕРА А, ПОМЕЩ. 16-Н, ЧАСТЬ ОФ. 203, РАБ. МЕСТО 1</t>
  </si>
  <si>
    <t>Федотов Александр Владимирович</t>
  </si>
  <si>
    <t>59.896323,30.278813</t>
  </si>
  <si>
    <t>ОБЩЕСТВО С ОГРАНИЧЕННОЙ ОТВЕТСТВЕННОСТЬЮ "ПОЛИСТИРОЛБЕТОН"</t>
  </si>
  <si>
    <t>"ПОЛИСТИРОЛБЕТОН"</t>
  </si>
  <si>
    <t>7805785227</t>
  </si>
  <si>
    <t>198095, Г.Санкт-Петербург, внутригородская территория города федерального значения МУНИЦИПАЛЬНЫЙ ОКРУГ НАРВСКИЙ ОКРУГ, ПР-КТ СТАЧЕК, Д. 16, ЛИТЕРА А, ПОМЕЩ. 127-Н, ПОМЕЩ. РАБ.МЕСТО №13</t>
  </si>
  <si>
    <t>Гуйманов Никита Сергеевич</t>
  </si>
  <si>
    <t>59.904414,30.279891</t>
  </si>
  <si>
    <t>ОБЩЕСТВО С ОГРАНИЧЕННОЙ ОТВЕТСТВЕННОСТЬЮ "ЛенСтройПлит"</t>
  </si>
  <si>
    <t>"ЛенСтройПлит"</t>
  </si>
  <si>
    <t>7839420030</t>
  </si>
  <si>
    <t>190020, САНКТ-ПЕТЕРБУРГ ГОРОД, ПРОСПЕКТ СТАРО-ПЕТЕРГОФСКИЙ, ДОМ 40, ЛИТЕРА А, ОФИС 21-Н 17</t>
  </si>
  <si>
    <t>Колосков Сергей Васильевич</t>
  </si>
  <si>
    <t>+7 (812) 956-86-48'</t>
  </si>
  <si>
    <t>2003@yandex.ru'</t>
  </si>
  <si>
    <t>59.844728,30.280079</t>
  </si>
  <si>
    <t>ОБЩЕСТВО С ОГРАНИЧЕННОЙ ОТВЕТСТВЕННОСТЬЮ "СТЕНА-МАРКЕТ"</t>
  </si>
  <si>
    <t>"СТЕНА-МАРКЕТ"</t>
  </si>
  <si>
    <t>7805701121</t>
  </si>
  <si>
    <t>198216, САНКТ-ПЕТЕРБУРГ ГОРОД, ПР-КТ НАРОДНОГО ОПОЛЧЕНИЯ, Д. 22, ЛИТЕР П, ПОМЕЩ. 31Н ОФИС Н 307Д</t>
  </si>
  <si>
    <t>Лухтан Виктор Анатольевич</t>
  </si>
  <si>
    <t>+7 (812) 703-90-51'</t>
  </si>
  <si>
    <t>59.945729,30.280106</t>
  </si>
  <si>
    <t>ОБЩЕСТВО С ОГРАНИЧЕННОЙ ОТВЕТСТВЕННОСТЬЮ "БЮРО АРХИТЕКТУРНОГО КАМНЯ"</t>
  </si>
  <si>
    <t>"БЮРО АРХИТЕКТУРНОГО КАМНЯ"</t>
  </si>
  <si>
    <t>7801648075</t>
  </si>
  <si>
    <t>199004, САНКТ-ПЕТЕРБУРГ ГОРОД, 4-Я В.О. ЛИНИЯ, ДОМ 39,..</t>
  </si>
  <si>
    <t>Гуляев Андрей Александрович</t>
  </si>
  <si>
    <t>+7 (911) 198-54-33', '+7 (911) 179-57-99'</t>
  </si>
  <si>
    <t>ОБЩЕСТВО С ОГРАНИЧЕННОЙ ОТВЕТСТВЕННОСТЬЮ "БЮРО БЕТОН"</t>
  </si>
  <si>
    <t>"БЮРО БЕТОН"</t>
  </si>
  <si>
    <t>7801712570</t>
  </si>
  <si>
    <t>199004, Г.Санкт-Петербург, МУНИЦИПАЛЬНЫЙ ОКРУГ ВАСИЛЬЕВСКИЙ, ЛИНИЯ 4-Я В.О., Д. 39,ЛИТЕРА А</t>
  </si>
  <si>
    <t>Палатина Ирина Александровна</t>
  </si>
  <si>
    <t>59.901946,30.28255</t>
  </si>
  <si>
    <t>ОБЩЕСТВО С ОГРАНИЧЕННОЙ ОТВЕТСТВЕННОСТЬЮ "ЖЕЛЕЗОБЕТОННЫЕ КОНСТРУКЦИИ И БЕТОН"</t>
  </si>
  <si>
    <t>"ЖЕЛЕЗОБЕТОННЫЕ КОНСТРУКЦИИ И БЕТОН"</t>
  </si>
  <si>
    <t>7839119017</t>
  </si>
  <si>
    <t>198095, Г.Санкт-Петербург, внутригородская территория города федерального значения МУНИЦИПАЛЬНЫЙ ОКРУГ НАРВСКИЙ ОКРУГ, УЛ ИВАНА ЧЕРНЫХ, Д. 16, ЛИТЕРА С,</t>
  </si>
  <si>
    <t>Ожегов Евгений Сергеевич</t>
  </si>
  <si>
    <t>59.861756,30.285002</t>
  </si>
  <si>
    <t>ОБЩЕСТВО С ОГРАНИЧЕННОЙ ОТВЕТСТВЕННОСТЬЮ "СИВЕР"</t>
  </si>
  <si>
    <t>"СИВЕР"</t>
  </si>
  <si>
    <t>7813610862</t>
  </si>
  <si>
    <t>198152, САНКТ-ПЕТЕРБУРГ ГОРОД, УЛ. КРАСНОПУТИЛОВСКАЯ, Д. 67, ЛИТЕР А, ПОМЕЩ. 3Н ОФИС 368</t>
  </si>
  <si>
    <t>Гнатюк Юлия Владимировна</t>
  </si>
  <si>
    <t>59.853559,30.286161</t>
  </si>
  <si>
    <t>ОБЩЕСТВО С ОГРАНИЧЕННОЙ ОТВЕТСТВЕННОСТЬЮ "ЖБИ ВОЛНА"</t>
  </si>
  <si>
    <t>"ЖБИ ВОЛНА"</t>
  </si>
  <si>
    <t>7805653894</t>
  </si>
  <si>
    <t>198216, САНКТ-ПЕТЕРБУРГ ГОРОД, ПР-КТ ЛЕНИНСКИЙ, Д. 140, ЛИТЕР И, ПОМЕЩ. 1-Н ОФИС 421А</t>
  </si>
  <si>
    <t>Лаптев Владимир Анатольевич</t>
  </si>
  <si>
    <t>+7 (812) 526-53-63', '+7 (911) 925-33-21'</t>
  </si>
  <si>
    <t>59.919703,30.286251</t>
  </si>
  <si>
    <t>ОБЩЕСТВО С ОГРАНИЧЕННОЙ ОТВЕТСТВЕННОСТЬЮ "БОРЕЙ"</t>
  </si>
  <si>
    <t>"БОРЕЙ"</t>
  </si>
  <si>
    <t>7839106160</t>
  </si>
  <si>
    <t>190121, САНКТ-ПЕТЕРБУРГ ГОРОД, НАБ. КАНАЛА ГРИБОЕДОВА, Д. 160, ЛИТЕР А,..</t>
  </si>
  <si>
    <t>Ленский Борис Сергеевич</t>
  </si>
  <si>
    <t>59.90958,30.287176</t>
  </si>
  <si>
    <t>ОБЩЕСТВО С ОГРАНИЧЕННОЙ ОТВЕТСТВЕННОСТЬЮ "ГК "СТРОЙСИСТЕМА"</t>
  </si>
  <si>
    <t>"ГК "СТРОЙСИСТЕМА"</t>
  </si>
  <si>
    <t>7839124810</t>
  </si>
  <si>
    <t>190020, САНКТ-ПЕТЕРБУРГ ГОРОД, УЛИЦА ЦИОЛКОВСКОГО, ДОМ 13-15, ЛИТЕР А, ПОМЕЩЕНИЕ 12Н ОФ. №6 КОМН. 1</t>
  </si>
  <si>
    <t>Литвинов Сергей Владимирович</t>
  </si>
  <si>
    <t>59.859876,30.28793</t>
  </si>
  <si>
    <t>ОБЩЕСТВО С ОГРАНИЧЕННОЙ ОТВЕТСТВЕННОСТЬЮ "СТРОЙРЕЗЕРВ"</t>
  </si>
  <si>
    <t>"СТРОЙРЕЗЕРВ"</t>
  </si>
  <si>
    <t>7805766496</t>
  </si>
  <si>
    <t>198152, САНКТ-ПЕТЕРБУРГ ГОРОД, УЛИЦА КРАСНОПУТИЛОВСКАЯ, ДОМ 69, ЛИТЕР А, П/ОФИС 231Н/544 В</t>
  </si>
  <si>
    <t>Кириллов Павел Витальевич</t>
  </si>
  <si>
    <t>59.905768,30.288514</t>
  </si>
  <si>
    <t>ОБЩЕСТВО С ОГРАНИЧЕННОЙ ОТВЕТСТВЕННОСТЬЮ "СТРОИТЕЛЬНЫЕ ЖЕЛЕЗОБЕТОННЫЕ ИЗДЕЛИЯ"</t>
  </si>
  <si>
    <t>"СТРОИТЕЛЬНЫЕ ЖЕЛЕЗОБЕТОННЫЕ ИЗДЕЛИЯ"</t>
  </si>
  <si>
    <t>7806551824</t>
  </si>
  <si>
    <t>198095, Г.Санкт-Петербург, внутригородская территория города федерального значения МУНИЦИПАЛЬНЫЙ ОКРУГ ЕКАТЕРИНГОФСКИЙ, УЛ РОЗЕНШТЕЙНА, Д. 21, ЛИТЕРА А, ПОМЕЩ. ЧАСТЬ 49-Н,50-Н,51-Н,52-Н,54-Н,139-Н, ОФИС 316, КОМН. №1</t>
  </si>
  <si>
    <t>Лазарев Андрей Михайлович</t>
  </si>
  <si>
    <t>+7 (960) 232-39-66'</t>
  </si>
  <si>
    <t>ОБЩЕСТВО С ОГРАНИЧЕННОЙ ОТВЕТСТВЕННОСТЬЮ "Авторитет Плюс"</t>
  </si>
  <si>
    <t>"Авторитет Плюс"</t>
  </si>
  <si>
    <t>7820319252</t>
  </si>
  <si>
    <t>198095, Г.Санкт-Петербург, внутригородская территория города федерального значения МУНИЦИПАЛЬНЫЙ ОКРУГ ЕКАТЕРИНГОФСКИЙ, УЛ РОЗЕНШТЕЙНА, Д. 21, ЛИТЕРА А, ПОМЕЩ. 51Н, ОФИС 316</t>
  </si>
  <si>
    <t>Кулешов Иван Геннадьевич</t>
  </si>
  <si>
    <t>laskus2008@yandex.ru'</t>
  </si>
  <si>
    <t>59.901549,30.289107</t>
  </si>
  <si>
    <t>ОБЩЕСТВО С ОГРАНИЧЕННОЙ ОТВЕТСТВЕННОСТЬЮ "ПК АРМАБЕТОН"</t>
  </si>
  <si>
    <t>"ПК АРМАБЕТОН"</t>
  </si>
  <si>
    <t>7805766383</t>
  </si>
  <si>
    <t>198095, Г.Санкт-Петербург, внутригородская территория города федерального значения МУНИЦИПАЛЬНЫЙ ОКРУГ НАРВСКИЙ ОКРУГ, УЛ МАРШАЛА ГОВОРОВА, Д. 52, ЛИТЕРА А, ИНВ. НОМ. 171 ЧАСТЬ ПОМЕЩЕНИЯ № 36Н</t>
  </si>
  <si>
    <t>Кольчак Максим Константинович</t>
  </si>
  <si>
    <t>59.918774,30.291766</t>
  </si>
  <si>
    <t>ОБЩЕСТВО С ОГРАНИЧЕННОЙ ОТВЕТСТВЕННОСТЬЮ "АЛЬЯНССТРОЙ"</t>
  </si>
  <si>
    <t>"АЛЬЯНССТРОЙ"</t>
  </si>
  <si>
    <t>7841046655</t>
  </si>
  <si>
    <t>190121, Г.Санкт-Петербург, внутригородская территория города федерального значения МУНИЦИПАЛЬНЫЙ ОКРУГ КОЛОМНА, УЛ САДОВАЯ, Д. 88, ЛИТЕРА А, ПОМЕЩ. 1Н, КАБ. 9</t>
  </si>
  <si>
    <t>Маслакова Ольга Сергеевна</t>
  </si>
  <si>
    <t>+7 (921) 385-38-05'</t>
  </si>
  <si>
    <t>59.898503,30.293249</t>
  </si>
  <si>
    <t>ОБЩЕСТВО С ОГРАНИЧЕННОЙ ОТВЕТСТВЕННОСТЬЮ "2А"</t>
  </si>
  <si>
    <t>"2А"</t>
  </si>
  <si>
    <t>7805755110</t>
  </si>
  <si>
    <t>198095, САНКТ-ПЕТЕРБУРГ ГОРОД, ПЕР. МИХАЙЛОВСКИЙ, Д. 7А, ЛИТЕР А, ЧАСТЬ ПОМ. 6-Н ОФИС 39А, Р.М. №1</t>
  </si>
  <si>
    <t>Гайдук Андрей Леонидович</t>
  </si>
  <si>
    <t>59.899604,30.293509</t>
  </si>
  <si>
    <t>ОБЩЕСТВО С ОГРАНИЧЕННОЙ ОТВЕТСТВЕННОСТЬЮ "КОМПЛЕКТ ПОСТАВКА"</t>
  </si>
  <si>
    <t>"КОМПЛЕКТ ПОСТАВКА"</t>
  </si>
  <si>
    <t>7805780331</t>
  </si>
  <si>
    <t>198095, Г.Санкт-Петербург, внутригородская территория города федерального значения МУНИЦИПАЛЬНЫЙ ОКРУГ НАРВСКИЙ ОКРУГ, ПЕР МИХАЙЛОВСКИЙ, Д. 7А, ЛИТЕРА В, ПОМ/ПОМ/ОФ 3-Н/38/4.1</t>
  </si>
  <si>
    <t>Петрова Ирина Игоревна</t>
  </si>
  <si>
    <t>KPSPB2020@YANDEX.RU'</t>
  </si>
  <si>
    <t>59.887959,30.298782</t>
  </si>
  <si>
    <t>7805363786</t>
  </si>
  <si>
    <t>http://ecobeton.info</t>
  </si>
  <si>
    <t>196006, САНКТ-ПЕТЕРБУРГ Г., УЛ. ТАШКЕНТСКАЯ, Д. 24, ЛИТЕРА А, ПОМЕЩ. 2-Н КАБИНЕТ 30</t>
  </si>
  <si>
    <t>Виноградов Артем Юрьевич</t>
  </si>
  <si>
    <t>+7 (812) 436-36-14', '+7 (812) 436-36-14'</t>
  </si>
  <si>
    <t>59.990732,30.300219</t>
  </si>
  <si>
    <t>ОБЩЕСТВО С ОГРАНИЧЕННОЙ ОТВЕТСТВЕННОСТЬЮ "ЛОТОС - СЕРВИС"</t>
  </si>
  <si>
    <t>"ЛОТОС - СЕРВИС"</t>
  </si>
  <si>
    <t>7814597540</t>
  </si>
  <si>
    <t>197342, САНКТ-ПЕТЕРБУРГ ГОРОД, НАБ. ЧЁРНОЙ РЕЧКИ, Д. 59, ЛИТЕР А, ПОМЕЩ. 2-Н</t>
  </si>
  <si>
    <t>Садриева Ксенья Ахметовна</t>
  </si>
  <si>
    <t>+7 (812) 310-77-97', '+7 (911) 910-43-33'</t>
  </si>
  <si>
    <t>59.903756,30.300678</t>
  </si>
  <si>
    <t>ОБЩЕСТВО С ОГРАНИЧЕННОЙ ОТВЕТСТВЕННОСТЬЮ "СТРОЙАЛЬЯНС"</t>
  </si>
  <si>
    <t>"СТРОЙАЛЬЯНС"</t>
  </si>
  <si>
    <t>7801663309</t>
  </si>
  <si>
    <t>190005, САНКТ-ПЕТЕРБУРГ ГОРОД, НАБЕРЕЖНАЯ ОБВОДНОГО КАНАЛА, ДОМ 118А, ЛИТЕР Х, ОФИС 302Б</t>
  </si>
  <si>
    <t>Кричмар Илья Маркович</t>
  </si>
  <si>
    <t>ОБЩЕСТВО С ОГРАНИЧЕННОЙ ОТВЕТСТВЕННОСТЬЮ "АСК ЛОГИСТИК"</t>
  </si>
  <si>
    <t>"АСК ЛОГИСТИК"</t>
  </si>
  <si>
    <t>7814170653</t>
  </si>
  <si>
    <t>190005, САНКТ-ПЕТЕРБУРГ Г., НАБ. ОБВОДНОГО КАНАЛА, Д. 118А, ЛИТЕРА Х, ОФИС 302</t>
  </si>
  <si>
    <t>Окунев Геннадий Геннадьевич</t>
  </si>
  <si>
    <t>+7 (812) 730-67-92', '+7 (812) 552-24-52'</t>
  </si>
  <si>
    <t>59.898945,30.301019</t>
  </si>
  <si>
    <t>ОБЩЕСТВО С ОГРАНИЧЕННОЙ ОТВЕТСТВЕННОСТЬЮ "ЭКСПЕРТ ЖБИ"</t>
  </si>
  <si>
    <t>"ЭКСПЕРТ ЖБИ"</t>
  </si>
  <si>
    <t>7839140570</t>
  </si>
  <si>
    <t>198095, САНКТ-ПЕТЕРБУРГ Г., Ш. МИТРОФАНЬЕВСКОЕ, Д. 10А, ЛИТЕР З, ОФИС 6 РАБ. МЕСТО 4</t>
  </si>
  <si>
    <t>Александров Вячеслав Иванович</t>
  </si>
  <si>
    <t>SLAVA_ALEKS@MAIL.RU'</t>
  </si>
  <si>
    <t>60.212161,30.304289</t>
  </si>
  <si>
    <t>ОБЩЕСТВО С ОГРАНИЧЕННОЙ ОТВЕТСТВЕННОСТЬЮ "СТРОИТЕЛЬНО-ТОРГОВАЯ БАЗА АГАЛАТОВО"</t>
  </si>
  <si>
    <t>"СТРОИТЕЛЬНО-ТОРГОВАЯ БАЗА АГАЛАТОВО"</t>
  </si>
  <si>
    <t>4703067951</t>
  </si>
  <si>
    <t>188653, ЛЕНИНГРАДСКАЯ ОБЛАСТЬ, Р-Н ВСЕВОЛОЖСКИЙ, Д АГАЛАТОВО, В/Ч АГАЛАТОВО ЗДАНИЕ КПП ДОМ 110, ЛИТЕР А</t>
  </si>
  <si>
    <t>Иванова Ольга Михайловна</t>
  </si>
  <si>
    <t>59.994387,30.30481</t>
  </si>
  <si>
    <t>ОБЩЕСТВО С ОГРАНИЧЕННОЙ ОТВЕТСТВЕННОСТЬЮ "АРТИКО ГРУПП"</t>
  </si>
  <si>
    <t>"АРТИКО ГРУПП"</t>
  </si>
  <si>
    <t>7814688558</t>
  </si>
  <si>
    <t>197343, САНКТ-ПЕТЕРБУРГ ГОРОД, УЛ. МАТРОСА ЖЕЛЕЗНЯКА, Д. 9, ЛИТЕР А, ПОМЕЩ. 1-Н ОФИС 103</t>
  </si>
  <si>
    <t>Шариков Павел Сергеевич</t>
  </si>
  <si>
    <t>+7 (921) 631-06-85'</t>
  </si>
  <si>
    <t>59.902912,30.30552</t>
  </si>
  <si>
    <t>ОБЩЕСТВО С ОГРАНИЧЕННОЙ ОТВЕТСТВЕННОСТЬЮ "СТРОЙ-ДОМ"</t>
  </si>
  <si>
    <t>"СТРОЙ-ДОМ"</t>
  </si>
  <si>
    <t>7806351800</t>
  </si>
  <si>
    <t>190005, САНКТ-ПЕТЕРБУРГ ГОРОД, НАБЕРЕЖНАЯ ОБВОДНОГО КАНАЛА, ДОМ 118А, ЛИТЕР Б, ПОМЕЩЕНИЕ 3Н ОФИС 232</t>
  </si>
  <si>
    <t>Айрапетян Алексан Сашаевич</t>
  </si>
  <si>
    <t>+7 (812) 362-22-63'</t>
  </si>
  <si>
    <t>59.888383,30.313775</t>
  </si>
  <si>
    <t>ОБЩЕСТВО С ОГРАНИЧЕННОЙ ОТВЕТСТВЕННОСТЬЮ "АЛЬВАЛЕКС"</t>
  </si>
  <si>
    <t>"АЛЬВАЛЕКС"</t>
  </si>
  <si>
    <t>7810946222</t>
  </si>
  <si>
    <t>196006, Г.Санкт-Петербург, внутригородская территория города федерального значения МУНИЦИПАЛЬНЫЙ ОКРУГ МОСКОВСКАЯ ЗАСТАВА, УЛ ЗАСТАВСКАЯ, Д. 46, К. 1, ЛИТЕРА А,..</t>
  </si>
  <si>
    <t>Муравейник Алексей Алексеевич</t>
  </si>
  <si>
    <t>59.935556,30.31479</t>
  </si>
  <si>
    <t>7840097840</t>
  </si>
  <si>
    <t>191186, САНКТ-ПЕТЕРБУРГ Г., УЛ. МАЛАЯ МОРСКАЯ, Д. 6, ЛИТЕРА А, ПОМЕЩ. 13-Н Ч.П. 4</t>
  </si>
  <si>
    <t>Николаев Федор Дмитриевич</t>
  </si>
  <si>
    <t>59.938793,30.314844</t>
  </si>
  <si>
    <t>ОБЩЕСТВО С ОГРАНИЧЕННОЙ ОТВЕТСТВЕННОСТЬЮ "ПК АРСЕНАЛ"</t>
  </si>
  <si>
    <t>"ПК АРСЕНАЛ"</t>
  </si>
  <si>
    <t>7806558851</t>
  </si>
  <si>
    <t>195112, САНКТ-ПЕТЕРБУРГ ГОРОД, ПРОСПЕКТ ШАУМЯНА, ДОМ 18, ЛИТЕР А, ПОМЕЩЕНИЕ №85 ВХ.6Н</t>
  </si>
  <si>
    <t>Ковалевский Андрей Дмитриевич</t>
  </si>
  <si>
    <t>+7 (812) 303-78-15'</t>
  </si>
  <si>
    <t>ОБЩЕСТВО С ОГРАНИЧЕННОЙ ОТВЕТСТВЕННОСТЬЮ "ВАН-12"</t>
  </si>
  <si>
    <t>"ВАН-12"</t>
  </si>
  <si>
    <t>7811169603</t>
  </si>
  <si>
    <t>192102, САНКТ-ПЕТЕРБУРГ Г., УЛ. БУХАРЕСТСКАЯ, Д. 24, К. 1 ЛИТЕРА А, К. 1, ВХОД 15-Н, ЭТАЖ 3 ПОМЕЩ. 76, УСЛОВНЫЙ №366</t>
  </si>
  <si>
    <t>Оганисян Юра Иликоевич</t>
  </si>
  <si>
    <t>+7 (812) 921-27-37', '+7 (812) 490-66-71'</t>
  </si>
  <si>
    <t>sk_van@mail.ru'</t>
  </si>
  <si>
    <t>ОБЩЕСТВО С ОГРАНИЧЕННОЙ ОТВЕТСТВЕННОСТЬЮ "СТК-Модуль"</t>
  </si>
  <si>
    <t>"СТК-Модуль"</t>
  </si>
  <si>
    <t>7811459609</t>
  </si>
  <si>
    <t>197110, САНКТ-ПЕТЕРБУРГ ГОРОД, ПР-КТ ЛЕВАШОВСКИЙ, Д. 12, ЛИТЕР А, ПОМЕЩ. 1Н, К.342, ОФ.501/1</t>
  </si>
  <si>
    <t>Мощонский Илья Николаевич</t>
  </si>
  <si>
    <t>+7 (812) 449-44-26'</t>
  </si>
  <si>
    <t>ОБЩЕСТВО С ОГРАНИЧЕННОЙ ОТВЕТСТВЕННОСТЬЮ "СНАБКОМПЛЕКТ"</t>
  </si>
  <si>
    <t>"СНАБКОМПЛЕКТ"</t>
  </si>
  <si>
    <t>7839141090</t>
  </si>
  <si>
    <t>198095, САНКТ-ПЕТЕРБУРГ Г., УЛ. РОЗЕНШТЕЙНА, Д. 21, ЛИТЕРА А, ЭТАЖ/ПОМЕЩ. 3/154Н ОФИС 322</t>
  </si>
  <si>
    <t>Сычевой Валентин Олегович</t>
  </si>
  <si>
    <t>ОБЩЕСТВО С ОГРАНИЧЕННОЙ ОТВЕТСТВЕННОСТЬЮ "ТОРГОВЫЙ ДОМ КИРОВСКИЙ ДОМОСТРОИТЕЛЬНЫЙ КОМБИНАТ"</t>
  </si>
  <si>
    <t>"КИРОВСКИЙ ДОМОСТРОИТЕЛЬНЫЙ КОМБИНАТ"</t>
  </si>
  <si>
    <t>7840050401</t>
  </si>
  <si>
    <t>191002, САНКТ-ПЕТЕРБУРГ ГОРОД, УЛ. МАРАТА, Д. 47_49, ЛИТЕР А, ОФИС 304</t>
  </si>
  <si>
    <t>Сафонов Константин Сергеевич</t>
  </si>
  <si>
    <t>+7 (812) 333-14-47'</t>
  </si>
  <si>
    <t>ОБЩЕСТВО С ОГРАНИЧЕННОЙ ОТВЕТСТВЕННОСТЬЮ "ФЕРРОКОН"</t>
  </si>
  <si>
    <t>"ФЕРРОКОН"</t>
  </si>
  <si>
    <t>7840505070</t>
  </si>
  <si>
    <t xml:space="preserve"> С-ПЕТЕРБУРГ, ШВЕРНИКА ПР., 17, 42</t>
  </si>
  <si>
    <t>Матвеев Андрей Андреевич</t>
  </si>
  <si>
    <t>59.984679,30.316569</t>
  </si>
  <si>
    <t>ОБЩЕСТВО С ОГРАНИЧЕННОЙ ОТВЕТСТВЕННОСТЬЮ "ДЕКОБЕТОН СЕВЕРО-ЗАПАД"</t>
  </si>
  <si>
    <t>"ДЕКОБЕТОН СЕВЕРО-ЗАПАД"</t>
  </si>
  <si>
    <t>7814808777</t>
  </si>
  <si>
    <t>197342, Г.Санкт-Петербург, внутригородская территория города федерального значения МУНИЦИПАЛЬНЫЙ ОКРУГ ЛАНСКОЕ, НАБ ЧЁРНОЙ РЕЧКИ, Д. 15, ЛИТЕРА А, ПОМЕЩ. 4-Н, ОФИС 224</t>
  </si>
  <si>
    <t>Шафран Оксана Владимировна</t>
  </si>
  <si>
    <t>60.01611,30.318743</t>
  </si>
  <si>
    <t>ОБЩЕСТВО С ОГРАНИЧЕННОЙ ОТВЕТСТВЕННОСТЬЮ "СТРОИТЕЛЬНО-ТОРГОВАЯ КОМПАНИЯ ВИС"</t>
  </si>
  <si>
    <t>"СТРОИТЕЛЬНО-ТОРГОВАЯ КОМПАНИЯ ВИС"</t>
  </si>
  <si>
    <t>7802588679</t>
  </si>
  <si>
    <t>194017, САНКТ-ПЕТЕРБУРГ ГОРОД, УЛИЦА ЕНОТАЕВСКАЯ, ДОМ 10, КОРПУС 2 ЛИТЕР А, ПОМЕЩЕНИЕ 1-Н</t>
  </si>
  <si>
    <t>Дрожжачих Сергей Владимирович</t>
  </si>
  <si>
    <t>+7 (981) 888-51-92'</t>
  </si>
  <si>
    <t>stkvis@yandex.ru'</t>
  </si>
  <si>
    <t>59.855304,30.319848</t>
  </si>
  <si>
    <t>ОБЩЕСТВО С ОГРАНИЧЕННОЙ ОТВЕТСТВЕННОСТЬЮ "ВЫБОР-СПБ"</t>
  </si>
  <si>
    <t>"ВЫБОР-СПБ"</t>
  </si>
  <si>
    <t>7814540336</t>
  </si>
  <si>
    <t>196066, САНКТ-ПЕТЕРБУРГ ГОРОД, ПРОСПЕКТ МОСКОВСКИЙ, ДОМ 183-185, ЛИТЕР А, ПОМЕЩЕНИЕ 8-Н</t>
  </si>
  <si>
    <t xml:space="preserve"> Генеральный Директор Коревский Кирилл Борисович</t>
  </si>
  <si>
    <t>+7 (812) 309-10-95'</t>
  </si>
  <si>
    <t>60.043287,30.320189</t>
  </si>
  <si>
    <t>ОБЩЕСТВО С ОГРАНИЧЕННОЙ ОТВЕТСТВЕННОСТЬЮ "ГУДМАН"</t>
  </si>
  <si>
    <t>"ГУДМАН"</t>
  </si>
  <si>
    <t>7816443497</t>
  </si>
  <si>
    <t>194356, САНКТ-ПЕТЕРБУРГ ГОРОД, ПРОСПЕКТ ЛУНАЧАРСКОГО, ДОМ 1, КОРПУС 2,..</t>
  </si>
  <si>
    <t>Орховский Игорь Юрьевич</t>
  </si>
  <si>
    <t>+7 (901) 300-47-80'</t>
  </si>
  <si>
    <t>60.181352,30.321033</t>
  </si>
  <si>
    <t>ОБЩЕСТВО С ОГРАНИЧЕННОЙ ОТВЕТСТВЕННОСТЬЮ "ВОЗРОЖДЕНИЕ"</t>
  </si>
  <si>
    <t>"ВОЗРОЖДЕНИЕ"</t>
  </si>
  <si>
    <t>4703085647</t>
  </si>
  <si>
    <t>188653, ЛЕНИНГРАДСКАЯ ОБЛ., Р-Н Всеволожский, Д. Вартемяги, Ш. ПРИОЗЕРСКОЕ, Д. 1,..</t>
  </si>
  <si>
    <t>Корнатовский Евгений Николаевич</t>
  </si>
  <si>
    <t>59.892378,30.32265</t>
  </si>
  <si>
    <t>ОБЩЕСТВО С ОГРАНИЧЕННОЙ ОТВЕТСТВЕННОСТЬЮ "ТРАНСБЕТОН"</t>
  </si>
  <si>
    <t>"ТРАНСБЕТОН"</t>
  </si>
  <si>
    <t>7810787413</t>
  </si>
  <si>
    <t>196006, САНКТ-ПЕТЕРБУРГ ГОРОД, ПР-КТ ЛИГОВСКИЙ, Д. 274, ЛИТЕР А, ПОМ. 43,44 (359В)</t>
  </si>
  <si>
    <t>Васильева Анастасия Сергеевна</t>
  </si>
  <si>
    <t>59.88893,30.322857</t>
  </si>
  <si>
    <t>ОБЩЕСТВО С ОГРАНИЧЕННОЙ ОТВЕТСТВЕННОСТЬЮ СТРОИТЕЛЬНАЯ КОМПАНИЯ "АЙРОН"</t>
  </si>
  <si>
    <t>СТРОИТЕЛЬНАЯ КОМПАНИЯ "АЙРОН"</t>
  </si>
  <si>
    <t>7810750149</t>
  </si>
  <si>
    <t>196084, САНКТ-ПЕТЕРБУРГ ГОРОД, УЛИЦА ЗАСТАВСКАЯ, ДОМ 21, КОРПУС 1 ЛИТЕР А, ОФИС 96А</t>
  </si>
  <si>
    <t>Ратнер Светлана Михайловна</t>
  </si>
  <si>
    <t>60.081628,30.323126</t>
  </si>
  <si>
    <t>ОБЩЕСТВО С ОГРАНИЧЕННОЙ ОТВЕТСТВЕННОСТЬЮ "Бетокон"</t>
  </si>
  <si>
    <t>"Бетокон"</t>
  </si>
  <si>
    <t>7802814511</t>
  </si>
  <si>
    <t>194362, САНКТ-ПЕТЕРБУРГ ГОРОД, П ПАРГОЛОВО, УЛ. ДОНЕЦКАЯ (ТОРФЯНОЕ ТЕР.), Д.2А</t>
  </si>
  <si>
    <t>Шкелев Валентин Александрович</t>
  </si>
  <si>
    <t>+7 (812) 448-29-07'</t>
  </si>
  <si>
    <t>shiktrans@mail.ru'</t>
  </si>
  <si>
    <t>59.963557,30.324097</t>
  </si>
  <si>
    <t>ОБЩЕСТВО С ОГРАНИЧЕННОЙ ОТВЕТСТВЕННОСТЬЮ "А ИНДАСТРИАЛ"</t>
  </si>
  <si>
    <t>"А ИНДАСТРИАЛ"</t>
  </si>
  <si>
    <t>7814743632</t>
  </si>
  <si>
    <t>197101, Г.Санкт-Петербург, внутригородская территория города федерального значения МУНИЦИПАЛЬНЫЙ ОКРУГ ПОСАДСКИЙ, УЛ БОЛЬШАЯ МОНЕТНАЯ, Д. 26, ЛИТЕРА А, ПОМЕЩ. 32, ЧАСТЬ ПОМЕЩ. 1</t>
  </si>
  <si>
    <t>Иванов Андрей Владимирович</t>
  </si>
  <si>
    <t>mk@aag.ag'</t>
  </si>
  <si>
    <t>60.011203,30.325022</t>
  </si>
  <si>
    <t>ОБЩЕСТВО С ОГРАНИЧЕННОЙ ОТВЕТСТВЕННОСТЬЮ "АРТАЙЛ"</t>
  </si>
  <si>
    <t>"АРТАЙЛ"</t>
  </si>
  <si>
    <t>7802926945</t>
  </si>
  <si>
    <t>194156, Г.Санкт-Петербург, внутригородская территория города федерального значения МУНИЦИПАЛЬНЫЙ ОКРУГ СВЕТЛАНОВСКОЕ, ПР-КТ ЭНГЕЛЬСА, Д. 37, ЛИТЕРА Б, ПОМЕЩ. 4-Н, РАБ. МЕСТО 3</t>
  </si>
  <si>
    <t>Савельев Андрей Владимирович</t>
  </si>
  <si>
    <t>59.959674,30.325696</t>
  </si>
  <si>
    <t>ОБЩЕСТВО С ОГРАНИЧЕННОЙ ОТВЕТСТВЕННОСТЬЮ "АСТОРИЯ ЭНЕРГО"</t>
  </si>
  <si>
    <t>"АСТОРИЯ ЭНЕРГО"</t>
  </si>
  <si>
    <t>7814647537</t>
  </si>
  <si>
    <t>197046, Г.Санкт-Петербург, внутригородская территория города федерального значения МУНИЦИПАЛЬНЫЙ ОКРУГ ПОСАДСКИЙ, УЛ БОЛЬШАЯ ПОСАДСКАЯ, Д. 16, ЛИТЕРА А, ПОМЕЩ. 5-Н № 11 (ОФИС 303/1)</t>
  </si>
  <si>
    <t>Бакаева Наталия Владимировна</t>
  </si>
  <si>
    <t>+7 (812) 309-70-84'</t>
  </si>
  <si>
    <t>59.892843,30.325803</t>
  </si>
  <si>
    <t>ОБЩЕСТВО С ОГРАНИЧЕННОЙ ОТВЕТСТВЕННОСТЬЮ "ДОРОЖНО-ПРОИЗВОДСТВЕННОЕ ОБЪЕДИНЕНИЕ"</t>
  </si>
  <si>
    <t>"ДОРОЖНО-ПРОИЗВОДСТВЕННОЕ ОБЪЕДИНЕНИЕ"</t>
  </si>
  <si>
    <t>7810724886</t>
  </si>
  <si>
    <t>196006, Г.Санкт-Петербург, внутригородская территория города федерального значения МУНИЦИПАЛЬНЫЙ ОКРУГ МОСКОВСКАЯ ЗАСТАВА, ПР-КТ ЛИГОВСКИЙ, Д. 270, ЛИТЕРА Б, ПОМЕЩ. 2303</t>
  </si>
  <si>
    <t>Яранов Андрей Николаевич</t>
  </si>
  <si>
    <t>+7 (921) 778-66-30'</t>
  </si>
  <si>
    <t>60.046836,30.32654</t>
  </si>
  <si>
    <t>ОБЩЕСТВО С ОГРАНИЧЕННОЙ ОТВЕТСТВЕННОСТЬЮ "СТРОЙПРОМНЕВА"</t>
  </si>
  <si>
    <t>"СТРОЙПРОМНЕВА"</t>
  </si>
  <si>
    <t>7802679580</t>
  </si>
  <si>
    <t>194356, САНКТ-ПЕТЕРБУРГ ГОРОД, УЛИЦА АСАФЬЕВА, ДОМ 9, КОРПУС 2 ЛИТЕР А,..</t>
  </si>
  <si>
    <t>Шпакова Софья Николаевна</t>
  </si>
  <si>
    <t>+7 (904) 551-27-70'</t>
  </si>
  <si>
    <t>p@gmail.com'</t>
  </si>
  <si>
    <t>ОБЩЕСТВО С ОГРАНИЧЕННОЙ ОТВЕТСТВЕННОСТЬЮ "ЗАВОД ЖБИ ОЛИМП"</t>
  </si>
  <si>
    <t>"ЗАВОД ЖБИ ОЛИМП"</t>
  </si>
  <si>
    <t>7802892799</t>
  </si>
  <si>
    <t>194356, САНКТ-ПЕТЕРБУРГ Г., УЛ. АСАФЬЕВА, Д. 9, К. 2 ЛИТЕРА А,..</t>
  </si>
  <si>
    <t>Шавалеев Ленар Фанилевич</t>
  </si>
  <si>
    <t>OLYMPZAVOD@GMAIL.COM'</t>
  </si>
  <si>
    <t>59.916816,30.327088</t>
  </si>
  <si>
    <t>ОБЩЕСТВО С ОГРАНИЧЕННОЙ ОТВЕТСТВЕННОСТЬЮ "НАУЧНО ПРОИЗВОДСТВЕННОЕ ОБЪЕДИНЕНИЕ СТРОИТЕЛЬНАЯ КОМПАНИЯ ИННОВАЦИОННЫХ ТЕХНОЛОГИЙ"</t>
  </si>
  <si>
    <t>"НАУЧНО ПРОИЗВОДСТВЕННОЕ ОБЪЕДИНЕНИЕ СТРОИТЕЛЬНАЯ КОМПАНИЯ ИННОВАЦИОННЫХ ТЕХНОЛОГИЙ"</t>
  </si>
  <si>
    <t>0107014165</t>
  </si>
  <si>
    <t>01-Республика Адыгея (Адыгея)</t>
  </si>
  <si>
    <t>190013, САНКТ-ПЕТЕРБУРГ ГОРОД, УЛ. МОЖАЙСКАЯ, Д.20, ЛИТЕР А, Н</t>
  </si>
  <si>
    <t>Спиридонов Вадим Валерьевич</t>
  </si>
  <si>
    <t>60.00083,30.328094</t>
  </si>
  <si>
    <t>ОБЩЕСТВО С ОГРАНИЧЕННОЙ ОТВЕТСТВЕННОСТЬЮ "НАУЧНО-ПРОИЗВОДСТВЕННАЯ КОМПАНИЯ "ДЕКОР"</t>
  </si>
  <si>
    <t>"НАУЧНО-ПРОИЗВОДСТВЕННАЯ КОМПАНИЯ "ДЕКОР"</t>
  </si>
  <si>
    <t>7802609142</t>
  </si>
  <si>
    <t>194156, САНКТ-ПЕТЕРБУРГ ГОРОД, ПРОСПЕКТ ЭНГЕЛЬСА, ДОМ 14, ЛИТЕР Б, ПОМЕЩЕНИЕ 18-Н</t>
  </si>
  <si>
    <t>Сынчиков Антон Юрьевич</t>
  </si>
  <si>
    <t>+7 (909) 556-02-90'</t>
  </si>
  <si>
    <t>60.00289,30.328831</t>
  </si>
  <si>
    <t>ОБЩЕСТВО С ОГРАНИЧЕННОЙ ОТВЕТСТВЕННОСТЬЮ "ТЕРМОЗАЩИТА"</t>
  </si>
  <si>
    <t>"ТЕРМОЗАЩИТА"</t>
  </si>
  <si>
    <t>7806153848</t>
  </si>
  <si>
    <t>194156, САНКТ-ПЕТЕРБУРГ ГОРОД, район Выборгский, ПРОСПЕКТ ЭНГЕЛЬСА, 21..</t>
  </si>
  <si>
    <t>Дружинин Андрей Владимирович</t>
  </si>
  <si>
    <t>+7 (812) 380-02-05', '+7 (812) 380-02-06', '+7 (812) 380-02-05', '+7 (812) 380-02-06'</t>
  </si>
  <si>
    <t>59.95776,30.32946</t>
  </si>
  <si>
    <t>ОБЩЕСТВО С ОГРАНИЧЕННОЙ ОТВЕТСТВЕННОСТЬЮ "ИНТЕК ЖБИ"</t>
  </si>
  <si>
    <t>"ИНТЕК ЖБИ"</t>
  </si>
  <si>
    <t>7813653792</t>
  </si>
  <si>
    <t>197046, САНКТ-ПЕТЕРБУРГ Г., УЛ. МАЛАЯ ПОСАДСКАЯ, Д. 17, ЛИТЕРА В, ПОМЕЩ. 11Н КАБИНЕТ 4</t>
  </si>
  <si>
    <t>Деревяго Александр Александрович</t>
  </si>
  <si>
    <t>59.831272,30.3299</t>
  </si>
  <si>
    <t>ОБЩЕСТВО С ОГРАНИЧЕННОЙ ОТВЕТСТВЕННОСТЬЮ "АКОРД ЖБИ"</t>
  </si>
  <si>
    <t>"АКОРД ЖБИ"</t>
  </si>
  <si>
    <t>7810938398</t>
  </si>
  <si>
    <t>196158, Г.Санкт-Петербург, внутригородская территория города федерального значения МУНИЦИПАЛЬНЫЙ ОКРУГ ЗВЕЗДНОЕ, Ш ПУЛКОВСКОЕ, Д. 14, СТР. 6, ПОМЕЩ. 691 ОФИС 3</t>
  </si>
  <si>
    <t>Загорский Александр</t>
  </si>
  <si>
    <t>60.185231,30.330304</t>
  </si>
  <si>
    <t>ОБЩЕСТВО С ОГРАНИЧЕННОЙ ОТВЕТСТВЕННОСТЬЮ "ФОРТИС-ПАЛИСАД"</t>
  </si>
  <si>
    <t>"ФОРТИС-ПАЛИСАД"</t>
  </si>
  <si>
    <t>4703180040</t>
  </si>
  <si>
    <t>188653, ЛЕНИНГРАДСКАЯ ОБЛАСТЬ, Р-Н Всеволожский, Д. Вартемяги, УЛ. СМОЛЬНИНСКАЯ, Д. 20, КАБИНЕТ 7</t>
  </si>
  <si>
    <t>Просянников Владимир Михайлович</t>
  </si>
  <si>
    <t>59.878455,30.33184</t>
  </si>
  <si>
    <t>ОБЩЕСТВО С ОГРАНИЧЕННОЙ ОТВЕТСТВЕННОСТЬЮ "ТЭК"</t>
  </si>
  <si>
    <t>"ТЭК"</t>
  </si>
  <si>
    <t>7810821801</t>
  </si>
  <si>
    <t>196105, САНКТ-ПЕТЕРБУРГ ГОРОД, УЛ. РЕШЕТНИКОВА, Д.17/1, ЛИТЕР А, ПОМЕЩЕНИЕ 8-Н</t>
  </si>
  <si>
    <t>Курносов Виктор Александрович</t>
  </si>
  <si>
    <t>+7 (812) 621-75-71'</t>
  </si>
  <si>
    <t>59.825095,30.33308</t>
  </si>
  <si>
    <t>ОБЩЕСТВО С ОГРАНИЧЕННОЙ ОТВЕТСТВЕННОСТЬЮ "СПУТНИК"</t>
  </si>
  <si>
    <t>"СПУТНИК"</t>
  </si>
  <si>
    <t>7810753703</t>
  </si>
  <si>
    <t>196158, САНКТ-ПЕТЕРБУРГ ГОРОД, УЛ. СРЕДНЕРОГАТСКАЯ, Д. 9, ЛИТЕР А,..</t>
  </si>
  <si>
    <t>Касаткин Михаил Алексеевич</t>
  </si>
  <si>
    <t>60.042114,30.333448</t>
  </si>
  <si>
    <t>ОБЩЕСТВО С ОГРАНИЧЕННОЙ ОТВЕТСТВЕННОСТЬЮ ПРОИЗВОДСТВЕННЫЙ КОНГЛОМЕРАТ "ХОРМИГОН"</t>
  </si>
  <si>
    <t>ПРОИЗВОДСТВЕННЫЙ КОНГЛОМЕРАТ "ХОРМИГОН"</t>
  </si>
  <si>
    <t>7802691524</t>
  </si>
  <si>
    <t>194354, САНКТ-ПЕТЕРБУРГ ГОРОД, ПРОСПЕКТ ЛУНАЧАРСКОГО, ДОМ 15, КОРПУС 1 ЛИТЕР А, ПОМЕЩЕНИЕ 33Н</t>
  </si>
  <si>
    <t>Лудинов Сергей Александрович</t>
  </si>
  <si>
    <t>59.836753,30.33449</t>
  </si>
  <si>
    <t>ОБЩЕСТВО С ОГРАНИЧЕННОЙ ОТВЕТСТВЕННОСТЬЮ "СМ-БЕТОН"</t>
  </si>
  <si>
    <t>"СМ-БЕТОН"</t>
  </si>
  <si>
    <t>7810788181</t>
  </si>
  <si>
    <t>196158, САНКТ-ПЕТЕРБУРГ ГОРОД, Ш. МОСКОВСКОЕ, Д. 14, К. 1 ЛИТЕР А, ПОМЕЩ. 101-Н КОМНАТА №3</t>
  </si>
  <si>
    <t>Кашицын Валерий Владимирович</t>
  </si>
  <si>
    <t>59.888383,30.338074</t>
  </si>
  <si>
    <t>ОБЩЕСТВО С ОГРАНИЧЕННОЙ ОТВЕТСТВЕННОСТЬЮ "ЗАВОД 31"</t>
  </si>
  <si>
    <t>"ЗАВОД 31"</t>
  </si>
  <si>
    <t>3123447813</t>
  </si>
  <si>
    <t>31-Белгородская область</t>
  </si>
  <si>
    <t>196006, Г.Санкт-Петербург, внутригородская территория города федерального значения МУНИЦИПАЛЬНЫЙ ОКРУГ МОСКОВСКАЯ ЗАСТАВА, УЛ ЗАСТАВСКАЯ, Д. 3, ЛИТЕРА А, ОФИС 51/1</t>
  </si>
  <si>
    <t>Матоян Георгий Гукасович</t>
  </si>
  <si>
    <t>+7 (472) 242-49-52'</t>
  </si>
  <si>
    <t>59.963886,30.338353</t>
  </si>
  <si>
    <t>ОБЩЕСТВО С ОГРАНИЧЕННОЙ ОТВЕТСТВЕННОСТЬЮ "ПО ЗАВОД ЖБИИК "ПОБЕДА"</t>
  </si>
  <si>
    <t>"ПО ЗАВОД ЖБИИК "ПОБЕДА"</t>
  </si>
  <si>
    <t>7802617168</t>
  </si>
  <si>
    <t>194044, САНКТ-ПЕТЕРБУРГ ГОРОД, НАБ. ПИРОГОВСКАЯ, Д. 17, КОРПУС 1 ЛИТЕР А, ПОМЕЩ. №7 ОФИС №201</t>
  </si>
  <si>
    <t>Зайцева Анастасия Леонидовна</t>
  </si>
  <si>
    <t>59.970605,30.339943</t>
  </si>
  <si>
    <t>7802637372</t>
  </si>
  <si>
    <t>194044, САНКТ-ПЕТЕРБУРГ ГОРОД, ПР-КТ БОЛЬШОЙ САМПСОНИЕВСКИЙ, Д. 42, ЛИТЕР Б, ОФИС 211</t>
  </si>
  <si>
    <t>Юркянец Михаил Константинович</t>
  </si>
  <si>
    <t>+7 (812) 334-93-76'</t>
  </si>
  <si>
    <t>60.079895,30.341713</t>
  </si>
  <si>
    <t>ОБЩЕСТВО С ОГРАНИЧЕННОЙ ОТВЕТСТВЕННОСТЬЮ "НЕВСКИЙ МОНОЛИТ ЖБИ"</t>
  </si>
  <si>
    <t>"НЕВСКИЙ МОНОЛИТ ЖБИ"</t>
  </si>
  <si>
    <t>7807149499</t>
  </si>
  <si>
    <t>194358, САНКТ-ПЕТЕРБУРГ ГОРОД, ПОСЕЛОК ПАРГОЛОВО, УЛИЦА ФЁДОРА АБРАМОВА, ДОМ 18, КОРПУС 1 ЛИТЕР А,..</t>
  </si>
  <si>
    <t>Григорьев Тимофей Вячеславович</t>
  </si>
  <si>
    <t>60.073292,30.341784</t>
  </si>
  <si>
    <t>ОБЩЕСТВО С ОГРАНИЧЕННОЙ ОТВЕТСТВЕННОСТЬЮ "ПРОЕКТ АРАЧИН"</t>
  </si>
  <si>
    <t>"ПРОЕКТ АРАЧИН"</t>
  </si>
  <si>
    <t>7802896183</t>
  </si>
  <si>
    <t>194358, САНКТ-ПЕТЕРБУРГ Г., П. Парголово, ПЕР. 4-Й ВЕРХНИЙ, Д. 19, ЛИТЕРА А, ПОМЕЩ. 55-Н</t>
  </si>
  <si>
    <t>Махсудян Донара Вагановна</t>
  </si>
  <si>
    <t>MGMG71@YANDEX.RU'</t>
  </si>
  <si>
    <t>59.845935,30.342557</t>
  </si>
  <si>
    <t>ОБЩЕСТВО С ОГРАНИЧЕННОЙ ОТВЕТСТВЕННОСТЬЮ "СПЕЦИАЛЬНЫЕ СИЛОВЫЕ МАШИНЫ"</t>
  </si>
  <si>
    <t>"СПЕЦИАЛЬНЫЕ СИЛОВЫЕ МАШИНЫ"</t>
  </si>
  <si>
    <t>7810600256</t>
  </si>
  <si>
    <t>196143, САНКТ-ПЕТЕРБУРГ ГОРОД, УЛИЦА ОРДЖОНИКИДЗЕ, ДОМ 42, ЛИТЕР Б, ОФИС 7</t>
  </si>
  <si>
    <t>Трофимов Денис Владимирович</t>
  </si>
  <si>
    <t>59.970763,30.343976</t>
  </si>
  <si>
    <t>ОБЩЕСТВО С ОГРАНИЧЕННОЙ ОТВЕТСТВЕННОСТЬЮ "ПРОФИТ"</t>
  </si>
  <si>
    <t>"ПРОФИТ"</t>
  </si>
  <si>
    <t>7802696755</t>
  </si>
  <si>
    <t>194044, САНКТ-ПЕТЕРБУРГ ГОРОД, УЛИЦА СМОЛЯЧКОВА, ДОМ 15, ЛИТЕР М, ОФИС К1</t>
  </si>
  <si>
    <t>Шикина Наталья Александровна</t>
  </si>
  <si>
    <t>60.050273,30.344542</t>
  </si>
  <si>
    <t>ОБЩЕСТВО С ОГРАНИЧЕННОЙ ОТВЕТСТВЕННОСТЬЮ  "ПРОИЗВОДСТВЕННОЕ  ПРЕДПРИЯТИЕ  "АЛВ"</t>
  </si>
  <si>
    <t xml:space="preserve"> "ПРОИЗВОДСТВЕННОЕ  ПРЕДПРИЯТИЕ  "АЛВ"</t>
  </si>
  <si>
    <t>7802264402</t>
  </si>
  <si>
    <t>194295, САНКТ-ПЕТЕРБУРГ ГОРОД, ПРОСПЕКТ ПРОСВЕЩЕНИЯ, ДОМ 33, КОРПУС 1 ЛИТЕР А, ПОМЕЩЕНИЕ 43Н</t>
  </si>
  <si>
    <t>Воробьев Леонид Васильевич</t>
  </si>
  <si>
    <t>+7 (911) 767-40-29'</t>
  </si>
  <si>
    <t>59.917966,30.346366</t>
  </si>
  <si>
    <t>ОБЩЕСТВО С ОГРАНИЧЕННОЙ ОТВЕТСТВЕННОСТЬЮ "БАУ БЕТОН"</t>
  </si>
  <si>
    <t>"БАУ БЕТОН"</t>
  </si>
  <si>
    <t>7842504499</t>
  </si>
  <si>
    <t>191119, САНКТ-ПЕТЕРБУРГ ГОРОД, УЛ. БОРОВАЯ, Д. 32, ЛИТЕР А, ПОМЕЩ. 25Н</t>
  </si>
  <si>
    <t>Георгиевский Сергей Олегович</t>
  </si>
  <si>
    <t>+7 (812) 263-87-54', '+7 (911) 277-16-02'</t>
  </si>
  <si>
    <t>59.970853,30.346438</t>
  </si>
  <si>
    <t>ОБЩЕСТВО С ОГРАНИЧЕННОЙ ОТВЕТСТВЕННОСТЬЮ "ЕАБ ХОЛДИНГ"</t>
  </si>
  <si>
    <t>"ЕАБ ХОЛДИНГ"</t>
  </si>
  <si>
    <t>7802893714</t>
  </si>
  <si>
    <t>194044, САНКТ-ПЕТЕРБУРГ Г., УЛ. СМОЛЯЧКОВА, Д. 19, ЛИТЕРА А, ОФИС 505</t>
  </si>
  <si>
    <t>Дибиков Сергей Леонидович</t>
  </si>
  <si>
    <t>59.912481,30.346456</t>
  </si>
  <si>
    <t>ОБЩЕСТВО С ОГРАНИЧЕННОЙ ОТВЕТСТВЕННОСТЬЮ "МИХ-СТРОЙ"</t>
  </si>
  <si>
    <t>"МИХ-СТРОЙ"</t>
  </si>
  <si>
    <t>7842164605</t>
  </si>
  <si>
    <t>192007, САНКТ-ПЕТЕРБУРГ ГОРОД, УЛ. КУРСКАЯ, Д. 14, ЛИТЕР А, ПОМЕЩ. 5-Н КАБИНЕТ №6</t>
  </si>
  <si>
    <t>Михайленко Михаил Анатольевич</t>
  </si>
  <si>
    <t>59.967106,30.347363</t>
  </si>
  <si>
    <t>ОБЩЕСТВО С ОГРАНИЧЕННОЙ ОТВЕТСТВЕННОСТЬЮ "ПРОСВЕТ"</t>
  </si>
  <si>
    <t>"ПРОСВЕТ"</t>
  </si>
  <si>
    <t>7802699178</t>
  </si>
  <si>
    <t>194044, САНКТ-ПЕТЕРБУРГ ГОРОД, ПЕР. НЕЙШЛОТСКИЙ, Д. 11, К. 1 ЛИТЕР А,..</t>
  </si>
  <si>
    <t>Котов Сергей Сергеевич</t>
  </si>
  <si>
    <t>59.837323,30.347893</t>
  </si>
  <si>
    <t>ОБЩЕСТВО С ОГРАНИЧЕННОЙ ОТВЕТСТВЕННОСТЬЮ "ПАРТНЕР"</t>
  </si>
  <si>
    <t>"ПАРТНЕР"</t>
  </si>
  <si>
    <t>7810755027</t>
  </si>
  <si>
    <t>196158, САНКТ-ПЕТЕРБУРГ ГОРОД, УЛ. ПУЛКОВСКАЯ, Д. 13, ЛИТЕР А,..</t>
  </si>
  <si>
    <t>Крылов Юрий Валентинович</t>
  </si>
  <si>
    <t>60.042815,30.348306</t>
  </si>
  <si>
    <t>ОБЩЕСТВО С ОГРАНИЧЕННОЙ ОТВЕТСТВЕННОСТЬЮ "СТРОИТЕЛЬНО-ТОРГОВАЯ КОМПАНИЯ "ПРОФИ-БЕТОН"</t>
  </si>
  <si>
    <t>"СТРОИТЕЛЬНО-ТОРГОВАЯ КОМПАНИЯ "ПРОФИ-БЕТОН"</t>
  </si>
  <si>
    <t>7802699308</t>
  </si>
  <si>
    <t>194295, САНКТ-ПЕТЕРБУРГ ГОРОД, ПР-КТ ХУДОЖНИКОВ, Д. 18, К. 1 ЛИТЕР А,..</t>
  </si>
  <si>
    <t>Шишкунова Надежда Александровна</t>
  </si>
  <si>
    <t>59.924929,30.348477</t>
  </si>
  <si>
    <t>ОБЩЕСТВО С ОГРАНИЧЕННОЙ ОТВЕТСТВЕННОСТЬЮ "БЕТОНКОИН"</t>
  </si>
  <si>
    <t>"БЕТОНКОИН"</t>
  </si>
  <si>
    <t>7840087232</t>
  </si>
  <si>
    <t>191002, САНКТ-ПЕТЕРБУРГ ГОРОД, ПЕР. СВЕЧНОЙ, Д. 7/11, ЛИТЕР А, ПОМЕЩ. 2Н</t>
  </si>
  <si>
    <t>Мелконян Артур Асатурович</t>
  </si>
  <si>
    <t>60.008234,30.34951</t>
  </si>
  <si>
    <t>ОБЩЕСТВО С ОГРАНИЧЕННОЙ ОТВЕТСТВЕННОСТЬЮ "ПРОФИЛЬ-ВИД"</t>
  </si>
  <si>
    <t>"ПРОФИЛЬ-ВИД"</t>
  </si>
  <si>
    <t>4703078512</t>
  </si>
  <si>
    <t>194223, САНКТ-ПЕТЕРБУРГ Г., ПР-КТ ТОРЕЗА, Д. 44, ЛИТЕР А, ПОМЕЩЕНИЕ 3-Н (Ч.П. 29)</t>
  </si>
  <si>
    <t>Лавцевич Станислав Константинович</t>
  </si>
  <si>
    <t>+7 (812) 577-54-24'</t>
  </si>
  <si>
    <t>60.04862,30.353148</t>
  </si>
  <si>
    <t>ОБЩЕСТВО С ОГРАНИЧЕННОЙ ОТВЕТСТВЕННОСТЬЮ "ТСК"</t>
  </si>
  <si>
    <t>"ТСК"</t>
  </si>
  <si>
    <t>7838072990</t>
  </si>
  <si>
    <t>194295, САНКТ-ПЕТЕРБУРГ ГОРОД, ПР-КТ ПРОСВЕЩЕНИЯ, Д. 35, ЛИТЕР А, ПОМЕЩ. 8-Н, ОТДЕЛ 01</t>
  </si>
  <si>
    <t>Разин Андрей Владимирович</t>
  </si>
  <si>
    <t>+7 (921) 742-08-45'</t>
  </si>
  <si>
    <t>59.962471,30.354109</t>
  </si>
  <si>
    <t>ОБЩЕСТВО С ОГРАНИЧЕННОЙ ОТВЕТСТВЕННОСТЬЮ "АБЛОК ЖБИ"</t>
  </si>
  <si>
    <t>"АБЛОК ЖБИ"</t>
  </si>
  <si>
    <t>7804372788</t>
  </si>
  <si>
    <t>195009, САНКТ-ПЕТЕРБУРГ ГОРОД, УЛ. КОМИССАРА СМИРНОВА, Д. 4, К. 2 ЛИТЕР В, 6Н ЧАСТЬ ПОМ. №2</t>
  </si>
  <si>
    <t>Чернышов Павел Геннадьевич</t>
  </si>
  <si>
    <t>+7 (812) 333-08-51', '+7 (812) 716-06-52'</t>
  </si>
  <si>
    <t>60.072062,30.356391</t>
  </si>
  <si>
    <t>ОБЩЕСТВО С ОГРАНИЧЕННОЙ ОТВЕТСТВЕННОСТЬЮ «ЛЕНСТРОЙДЕТАЛЬ»</t>
  </si>
  <si>
    <t>«ЛЕНСТРОЙДЕТАЛЬ»</t>
  </si>
  <si>
    <t>7802636932</t>
  </si>
  <si>
    <t>194292, САНКТ-ПЕТЕРБУРГ ГОРОД, ПЕРЕУЛОК 5-Й ВЕРХНИЙ, ДОМ 16, ЛИТЕР А, ПОМ 5Н КОМНАТА 3</t>
  </si>
  <si>
    <t>Николаев Михаил Викторович</t>
  </si>
  <si>
    <t>60.07371,30.357173</t>
  </si>
  <si>
    <t>ОБЩЕСТВО С ОГРАНИЧЕННОЙ ОТВЕТСТВЕННОСТЬЮ "ПРОИЗВОДСТВЕННО-КОММЕРЧЕСКАЯ ФИРМА "МАНДАРИН"</t>
  </si>
  <si>
    <t>"ПРОИЗВОДСТВЕННО-КОММЕРЧЕСКАЯ ФИРМА "МАНДАРИН"</t>
  </si>
  <si>
    <t>7841056558</t>
  </si>
  <si>
    <t>194292, Г.Санкт-Петербург, внутригородская территория города федерального значения МУНИЦИПАЛЬНЫЙ ОКРУГ СЕРГИЕВСКОЕ, ПЕР 5-Й ВЕРХНИЙ, Д. 19, ЛИТЕРА А, Ч. ПОМЕЩ. 8-Н 36</t>
  </si>
  <si>
    <t>Маркова-Морозова Наталья Васильевна</t>
  </si>
  <si>
    <t>59.821245,30.360173</t>
  </si>
  <si>
    <t>ОБЩЕСТВО С ОГРАНИЧЕННОЙ ОТВЕТСТВЕННОСТЬЮ "СНАБСЕРВИС-СЗ"</t>
  </si>
  <si>
    <t>"СНАБСЕРВИС-СЗ"</t>
  </si>
  <si>
    <t>7810459853</t>
  </si>
  <si>
    <t>196158, САНКТ-ПЕТЕРБУРГ ГОРОД, ШОССЕ МОСКОВСКОЕ, ДОМ 25, КОРПУС 1 ЛИТЕР А, ОФИС 212</t>
  </si>
  <si>
    <t>Пархоменко Наталья Васильевна</t>
  </si>
  <si>
    <t>+7 (812) 251-85-27', '+7 (963) 321-71-11'</t>
  </si>
  <si>
    <t>ОБЩЕСТВО С ОГРАНИЧЕННОЙ ОТВЕТСТВЕННОСТЬЮ "ПРОИЗВОДСТВЕННОЕ ОБЪЕДИНЕНИЕ ЖБИ"</t>
  </si>
  <si>
    <t>"ПРОИЗВОДСТВЕННОЕ ОБЪЕДИНЕНИЕ ЖБИ"</t>
  </si>
  <si>
    <t>7810676061</t>
  </si>
  <si>
    <t>196158, САНКТ-ПЕТЕРБУРГ ГОРОД, Ш. МОСКОВСКОЕ, Д. 25, КОРПУС 1 ЛИТЕР А, Ч. ЗД. 404 ОФИС 708</t>
  </si>
  <si>
    <t>Григоренко Вадим Владимирович</t>
  </si>
  <si>
    <t>+7 (963) 321-71-11'</t>
  </si>
  <si>
    <t>59.731577,30.368617</t>
  </si>
  <si>
    <t>ОБЩЕСТВО С ОГРАНИЧЕННОЙ ОТВЕТСТВЕННОСТЬЮ "ЕВРОТЕХНОЛОГИИ"</t>
  </si>
  <si>
    <t>"ЕВРОТЕХНОЛОГИИ"</t>
  </si>
  <si>
    <t>7840512896</t>
  </si>
  <si>
    <t>196631, САНКТ-ПЕТЕРБУРГ ГОРОД, ПОСЕЛОК АЛЕКСАНДРОВСКАЯ, ШОССЕ КУЗЬМИНСКОЕ, ДОМ 38, ЛИТЕР Ф</t>
  </si>
  <si>
    <t>Курносова Алена Александровна</t>
  </si>
  <si>
    <t>+7 (911) 754-57-32', '+7 (911) 840-68-48', '+7 (911) 754-57-32'</t>
  </si>
  <si>
    <t>polifors@mail.ru'</t>
  </si>
  <si>
    <t>60.0727,30.373199</t>
  </si>
  <si>
    <t>ОБЩЕСТВО С ОГРАНИЧЕННОЙ ОТВЕТСТВЕННОСТЬЮ "АЛЬФАБЛОК"</t>
  </si>
  <si>
    <t>"АЛЬФАБЛОК"</t>
  </si>
  <si>
    <t>7802681942</t>
  </si>
  <si>
    <t>194292, САНКТ-ПЕТЕРБУРГ ГОРОД, УЛИЦА ДОМОСТРОИТЕЛЬНАЯ, ДОМ 16, ЛИТЕР А, ПОМЕЩЕНИЕ 4Н, 6Н, 7Н, ОФИС 309</t>
  </si>
  <si>
    <t>Горохов Дмитрий Николаевич</t>
  </si>
  <si>
    <t>59.807138,30.374088</t>
  </si>
  <si>
    <t>ОБЩЕСТВО С ОГРАНИЧЕННОЙ ОТВЕТСТВЕННОСТЬЮ "ЦЕМГРАД"</t>
  </si>
  <si>
    <t>"ЦЕМГРАД"</t>
  </si>
  <si>
    <t>7820071185</t>
  </si>
  <si>
    <t>196626, САНКТ-ПЕТЕРБУРГ ГОРОД, П ШУШАРЫ, УЛ. ПЕРВОМАЙСКАЯ, Д. 16, ЛИТЕР А ПОМЕЩЕНИЕ 12-Н, ОФИС 1</t>
  </si>
  <si>
    <t>Гаджиев Гаджи Ахмедович</t>
  </si>
  <si>
    <t>59.935759,30.374519</t>
  </si>
  <si>
    <t>ОБЩЕСТВО С ОГРАНИЧЕННОЙ ОТВЕТСТВЕННОСТЬЮ "МОДУЛОРСИСТЕМ"</t>
  </si>
  <si>
    <t>"МОДУЛОРСИСТЕМ"</t>
  </si>
  <si>
    <t>7842201840</t>
  </si>
  <si>
    <t>191036, Г.Санкт-Петербург, внутригородская территория города федерального значения МУНИЦИПАЛЬНЫЙ ОКРУГ СМОЛЬНИНСКОЕ, УЛ 7-Я СОВЕТСКАЯ, Д. 28, ЛИТЕРА Б, ПОМЕЩ. 2Н ОФИС 1/1</t>
  </si>
  <si>
    <t>Нагорянский Алексей Леонидович</t>
  </si>
  <si>
    <t>59.917222,30.374986</t>
  </si>
  <si>
    <t>ОБЩЕСТВО С ОГРАНИЧЕННОЙ ОТВЕТСТВЕННОСТЬЮ "ПРОМЫШЛЕННО-СТРОИТЕЛЬНЫЕ КОНСТРУКЦИИ"</t>
  </si>
  <si>
    <t>"ПРОМЫШЛЕННО-СТРОИТЕЛЬНЫЕ КОНСТРУКЦИИ"</t>
  </si>
  <si>
    <t>7814192061</t>
  </si>
  <si>
    <t>191167, САНКТ-ПЕТЕРБУРГ ГОРОД, УЛ. АТАМАНСКАЯ, Д. 3/6, ЛИТЕР С, ПОМЕЩ. 1-Н, ОФИС 301</t>
  </si>
  <si>
    <t>Недотко Александр Александрович</t>
  </si>
  <si>
    <t>+7 (911) 280-59-48', '+7 (812) 459-07-81'</t>
  </si>
  <si>
    <t>59.981073,30.378813</t>
  </si>
  <si>
    <t>ОБЩЕСТВО С ОГРАНИЧЕННОЙ ОТВЕТСТВЕННОСТЬЮ "ЗАВОД СТРОИТЕЛЬНЫХ КОНСТРУКЦИЙ СОЮЗ"</t>
  </si>
  <si>
    <t>"ЗАВОД СТРОИТЕЛЬНЫХ КОНСТРУКЦИЙ СОЮЗ"</t>
  </si>
  <si>
    <t>7801321256</t>
  </si>
  <si>
    <t>195197, САНКТ-ПЕТЕРБУРГ Г., ПР-КТ МАРШАЛА БЛЮХЕРА, Д. 12, К. 7 ЛИТЕРА А, ПОМЕЩ. 403</t>
  </si>
  <si>
    <t>Писарев Вадим Вадимович</t>
  </si>
  <si>
    <t>+7 (812) 957-16-72'</t>
  </si>
  <si>
    <t>lipovskih_a@rostfund.ru'</t>
  </si>
  <si>
    <t>59.965331,30.383287</t>
  </si>
  <si>
    <t>ОБЩЕСТВО С ОГРАНИЧЕННОЙ ОТВЕТСТВЕННОСТЬЮ "ТОРГОВЫЙ ДОМ ФЕНИКС"</t>
  </si>
  <si>
    <t>7804682290</t>
  </si>
  <si>
    <t>195197, Г.Санкт-Петербург, внутригородская территория города федерального значения МУНИЦИПАЛЬНЫЙ ОКРУГ ФИНЛЯНДСКИЙ ОКРУГ, ПР-КТ КОНДРАТЬЕВСКИЙ, Д. 17, К. 2, ОФИС 5</t>
  </si>
  <si>
    <t>Деменкова Светлана Андреевна</t>
  </si>
  <si>
    <t>SVETLANADEMENKOVA@YANDEX.RU'</t>
  </si>
  <si>
    <t>59.889742,30.383924</t>
  </si>
  <si>
    <t>ОБЩЕСТВО С ОГРАНИЧЕННОЙ ОТВЕТСТВЕННОСТЬЮ "ПК ЭКСПЕРТ"</t>
  </si>
  <si>
    <t>"ПК ЭКСПЕРТ"</t>
  </si>
  <si>
    <t>7811644954</t>
  </si>
  <si>
    <t>192102, Г.Санкт-Петербург, внутригородская территория города федерального значения МУНИЦИПАЛЬНЫЙ ОКРУГ ВОЛКОВСКОЕ, УЛ САЛОВА, Д. 56, ЛИТЕРА У, ПОМЕЩ 1-Н, КОМ 2</t>
  </si>
  <si>
    <t>Попов Сергей Вадимович</t>
  </si>
  <si>
    <t>+7 (952) 221-53-61', '+7 (812) 245-66-94'</t>
  </si>
  <si>
    <t>59.873803,30.384508</t>
  </si>
  <si>
    <t>7816693105</t>
  </si>
  <si>
    <t>192238, САНКТ-ПЕТЕРБУРГ ГОРОД, УЛ. БЕЛЫ КУНА, Д. 16, К. 4 ЛИТЕР Б, ПОМ. 8-Н ОФИС 2</t>
  </si>
  <si>
    <t>Дук Юлия Павловна</t>
  </si>
  <si>
    <t>+7 (921) 369-25-04'</t>
  </si>
  <si>
    <t>59.82978,30.385604</t>
  </si>
  <si>
    <t>ОБЩЕСТВО С ОГРАНИЧЕННОЙ ОТВЕТСТВЕННОСТЬЮ "ВЕНЕРА"</t>
  </si>
  <si>
    <t>"ВЕНЕРА"</t>
  </si>
  <si>
    <t>7816341505</t>
  </si>
  <si>
    <t>192283, САНКТ-ПЕТЕРБУРГ ГОРОД, УЛ. МАЛАЯ БАЛКАНСКАЯ, Д. 26,..</t>
  </si>
  <si>
    <t>Халилов Рамазан Гамзат Оглы</t>
  </si>
  <si>
    <t>+7 (961) 807-78-78'</t>
  </si>
  <si>
    <t>venerabuh@list.ru'</t>
  </si>
  <si>
    <t>60.015035,30.386431</t>
  </si>
  <si>
    <t>ОБЩЕСТВО С ОГРАНИЧЕННОЙ ОТВЕТСТВЕННОСТЬЮ "РАДУЖНЫЙ ИЗУМРУД"</t>
  </si>
  <si>
    <t>"РАДУЖНЫЙ ИЗУМРУД"</t>
  </si>
  <si>
    <t>7804523500</t>
  </si>
  <si>
    <t>195220, САНКТ-ПЕТЕРБУРГ ГОРОД, ПР-КТ НАУКИ, Д. 17, К. 2,..</t>
  </si>
  <si>
    <t>Головков Сергей Борисович</t>
  </si>
  <si>
    <t>+7 (911) 277-71-58', '+7 (981) 975-28-87'</t>
  </si>
  <si>
    <t>59.967079,30.38812</t>
  </si>
  <si>
    <t>ОБЩЕСТВО С ОГРАНИЧЕННОЙ ОТВЕТСТВЕННОСТЬЮ "СК СПЕЦСТРОЙ"</t>
  </si>
  <si>
    <t>"СК СПЕЦСТРОЙ"</t>
  </si>
  <si>
    <t>7804633119</t>
  </si>
  <si>
    <t>195197, САНКТ-ПЕТЕРБУРГ ГОРОД, УЛИЦА ЖУКОВА, ДОМ 23, ЛИТЕР А, ПОМЕЩЕНИЕ 4-Н ОФИС 80-ЦР</t>
  </si>
  <si>
    <t>Арутюнян Вараздат Альбертович</t>
  </si>
  <si>
    <t>9312106108@mail.ru'</t>
  </si>
  <si>
    <t>59.910149,30.388623</t>
  </si>
  <si>
    <t>ОБЩЕСТВО С ОГРАНИЧЕННОЙ ОТВЕТСТВЕННОСТЬЮ "ПРОМЫШЛЕННЫЕ БЕТОННЫЕ КОНСТРУКЦИИ"</t>
  </si>
  <si>
    <t>"ПРОМЫШЛЕННЫЕ БЕТОННЫЕ КОНСТРУКЦИИ"</t>
  </si>
  <si>
    <t>7811756746</t>
  </si>
  <si>
    <t>192019, САНКТ-ПЕТЕРБУРГ Г., УЛ. ПРОФЕССОРА КАЧАЛОВА, Д. 11, ЛИТЕРА А, ПОМЕЩ. 13,14, ОФ. №806</t>
  </si>
  <si>
    <t>Шелковников Егор Дмитриевич</t>
  </si>
  <si>
    <t>59.884307,30.38935</t>
  </si>
  <si>
    <t>ОБЩЕСТВО С ОГРАНИЧЕННОЙ ОТВЕТСТВЕННОСТЬЮ "ИМПЕРИЯ"</t>
  </si>
  <si>
    <t>"ИМПЕРИЯ"</t>
  </si>
  <si>
    <t>7816641957</t>
  </si>
  <si>
    <t>192236, Г.Санкт-Петербург, внутригородская территория города федерального значения МУНИЦИПАЛЬНЫЙ ОКРУГ ВОЛКОВСКОЕ, УЛ СОФИЙСКАЯ, Д. 6, К. 8, ПОМЕЩ. 1-Н, ОФИС 192</t>
  </si>
  <si>
    <t>Кицул Сюзанна Павловна</t>
  </si>
  <si>
    <t>+7 (952) 239-85-81'</t>
  </si>
  <si>
    <t>59.91526,30.389368</t>
  </si>
  <si>
    <t>ОБЩЕСТВО С ОГРАНИЧЕННОЙ ОТВЕТСТВЕННОСТЬЮ "ЖЕЛЕЗОБЕТОННЫЕ РЕШЕНИЯ"</t>
  </si>
  <si>
    <t>"ЖЕЛЕЗОБЕТОННЫЕ РЕШЕНИЯ"</t>
  </si>
  <si>
    <t>7811757002</t>
  </si>
  <si>
    <t>192019, Г.Санкт-Петербург, внутригородская территория города федерального значения МУНИЦИПАЛЬНЫЙ ОКРУГ НЕВСКАЯ ЗАСТАВА, НАБ ОБВОДНОГО КАНАЛА, Д. 14, ЛИТЕРА Ж, ПОМЕЩ. 316</t>
  </si>
  <si>
    <t>Феклинов Сергей Юрьевич</t>
  </si>
  <si>
    <t>GBRESHSPB@MAIL.RU'</t>
  </si>
  <si>
    <t>59.97577,30.392036</t>
  </si>
  <si>
    <t>7813544955</t>
  </si>
  <si>
    <t>http://prom-gbi.ru</t>
  </si>
  <si>
    <t>195197, САНКТ-ПЕТЕРБУРГ ГОРОД, ПР-КТ КОНДРАТЬЕВСКИЙ, Д. 61, ЛИТЕР А, ПОМЕЩ. 5-Н</t>
  </si>
  <si>
    <t>+7 (812) 309-40-99'</t>
  </si>
  <si>
    <t>59.88246,30.392387</t>
  </si>
  <si>
    <t>ОБЩЕСТВО С ОГРАНИЧЕННОЙ ОТВЕТСТВЕННОСТЬЮ "ЗАВОД ДЕЛЬТА ТРЕЙД"</t>
  </si>
  <si>
    <t>"ЗАВОД ДЕЛЬТА ТРЕЙД"</t>
  </si>
  <si>
    <t>7811654550</t>
  </si>
  <si>
    <t>192236, САНКТ-ПЕТЕРБУРГ ГОРОД, УЛИЦА СОФИЙСКАЯ, ДОМ 8, КОРПУС 1 СТР1, ПОМ. 19-Н ОФИС 441</t>
  </si>
  <si>
    <t>Савичева Альвина Петровна</t>
  </si>
  <si>
    <t>+7 (812) 324-64-31', '+7 (812) 317-73-65', '+7 (812) 324-64-31', '+7 (812) 324-64-32'</t>
  </si>
  <si>
    <t>59.943895,30.39342</t>
  </si>
  <si>
    <t>ОБЩЕСТВО С ОГРАНИЧЕННОЙ ОТВЕТСТВЕННОСТЬЮ "КНАППТ"</t>
  </si>
  <si>
    <t>"КНАППТ"</t>
  </si>
  <si>
    <t>7841022887</t>
  </si>
  <si>
    <t>191124, САНКТ-ПЕТЕРБУРГ ГОРОД, ПР-КТ СМОЛЬНЫЙ, Д. 7, ЛИТЕРА Б,..</t>
  </si>
  <si>
    <t>Абрамов Максим Владимирович</t>
  </si>
  <si>
    <t>+7 (965) 086-80-68'</t>
  </si>
  <si>
    <t>59.88115,30.397579</t>
  </si>
  <si>
    <t>ОБЩЕСТВО С ОГРАНИЧЕННОЙ ОТВЕТСТВЕННОСТЬЮ "ПРОИЗВОДСТВЕННОЕ ОБЪЕДИНЕНИЕ НИКОЛЬСКОЕ"</t>
  </si>
  <si>
    <t>"ПРОИЗВОДСТВЕННОЕ ОБЪЕДИНЕНИЕ НИКОЛЬСКОЕ"</t>
  </si>
  <si>
    <t>7804542990</t>
  </si>
  <si>
    <t>192236, САНКТ-ПЕТЕРБУРГ ГОРОД, УЛИЦА СОФИЙСКАЯ, ДОМ 14, ЛИТЕР А, ОФИС 215 Ч.П. 63-Н</t>
  </si>
  <si>
    <t>Расторгуев Евгений Владимирович</t>
  </si>
  <si>
    <t>+7 (950) 016-16-19'</t>
  </si>
  <si>
    <t>spb@gmail.com'</t>
  </si>
  <si>
    <t>59.914322,30.397857</t>
  </si>
  <si>
    <t>ОБЩЕСТВО С ОГРАНИЧЕННОЙ ОТВЕТСТВЕННОСТЬЮ  "ИСКУССТВЕННЫЙ КАМЕНЬ"</t>
  </si>
  <si>
    <t xml:space="preserve"> "ИСКУССТВЕННЫЙ КАМЕНЬ"</t>
  </si>
  <si>
    <t>7811361145</t>
  </si>
  <si>
    <t>192019, САНКТ-ПЕТЕРБУРГ ГОРОД, УЛ. ПРОФЕССОРА КАЧАЛОВА, Д.8, ЛИТЕР М</t>
  </si>
  <si>
    <t>Ефимов Борис Николаевич</t>
  </si>
  <si>
    <t>+7 (812) 937-21-02', '+7 (812) 967-55-35'</t>
  </si>
  <si>
    <t>59.978692,30.398585</t>
  </si>
  <si>
    <t>ОБЩЕСТВО С ОГРАНИЧЕННОЙ ОТВЕТСТВЕННОСТЬЮ "ИНТЕКО"</t>
  </si>
  <si>
    <t>"ИНТЕКО"</t>
  </si>
  <si>
    <t>7804634426</t>
  </si>
  <si>
    <t>195271, САНКТ-ПЕТЕРБУРГ ГОРОД, ПРОСПЕКТ КОНДРАТЬЕВСКИЙ, ДОМ 75, КОРПУС 2 ЛИТЕР А,..</t>
  </si>
  <si>
    <t>Мурылев Илья Владимирович</t>
  </si>
  <si>
    <t>59.900137,30.401954</t>
  </si>
  <si>
    <t>ОБЩЕСТВО С ОГРАНИЧЕННОЙ ОТВЕТСТВЕННОСТЬЮ "ГК ЛСР"</t>
  </si>
  <si>
    <t>"ГК ЛСР"</t>
  </si>
  <si>
    <t>7811733040</t>
  </si>
  <si>
    <t>192019, САНКТ-ПЕТЕРБУРГ ГОРОД, УЛ. СЕДОВА, Д. 11, ЛИТЕР А, ПОМ. №11-Н ОФИС № 424/1</t>
  </si>
  <si>
    <t>59.719814,30.402511</t>
  </si>
  <si>
    <t>ОБЩЕСТВО С ОГРАНИЧЕННОЙ ОТВЕТСТВЕННОСТЬЮ "СТРОЙИМПЕРИЯ"</t>
  </si>
  <si>
    <t>"СТРОЙИМПЕРИЯ"</t>
  </si>
  <si>
    <t>7811567097</t>
  </si>
  <si>
    <t>Г САНКТ-ПЕТЕРБУРГ,Г ПУШКИН,УЛ ЛЕОНТЬЕВСКАЯ, 14</t>
  </si>
  <si>
    <t>Ясногородский Илья Вадимович</t>
  </si>
  <si>
    <t>59.907988,30.402511</t>
  </si>
  <si>
    <t>ОБЩЕСТВО С ОГРАНИЧЕННОЙ ОТВЕТСТВЕННОСТЬЮ "РК-АРД"</t>
  </si>
  <si>
    <t>"РК-АРД"</t>
  </si>
  <si>
    <t>7811769093</t>
  </si>
  <si>
    <t>192019, Г.Санкт-Петербург, внутригородская территория города федерального значения МУНИЦИПАЛЬНЫЙ ОКРУГ НЕВСКАЯ ЗАСТАВА, УЛ ХРУСТАЛЬНАЯ, Д. 27, ЛИТЕРА Б, ОФИС 4</t>
  </si>
  <si>
    <t xml:space="preserve"> Генеральный Директор Кардашов Руслан Александрович</t>
  </si>
  <si>
    <t>60.028775,30.403077</t>
  </si>
  <si>
    <t>ОБЩЕСТВО С ОГРАНИЧЕННОЙ ОТВЕТСТВЕННОСТЬЮ "РУБИН"</t>
  </si>
  <si>
    <t>"РУБИН"</t>
  </si>
  <si>
    <t>7806230450</t>
  </si>
  <si>
    <t>195267, САНКТ-ПЕТЕРБУРГ ГОРОД, УЛИЦА УШИНСКОГО, ДОМ 2, КОРПУС 1 ЛИТЕР А, ПОМЕЩЕНИЕ 19-Н ОФИС 1</t>
  </si>
  <si>
    <t>Кораблева Ирина Валентиновна</t>
  </si>
  <si>
    <t>59.722005,30.404738</t>
  </si>
  <si>
    <t>ОБЩЕСТВО С ОГРАНИЧЕННОЙ ОТВЕТСТВЕННОСТЬЮ "КВАРТИРУ НА ДОМ ИНВЕСТ"</t>
  </si>
  <si>
    <t>"КВАРТИРУ НА ДОМ ИНВЕСТ"</t>
  </si>
  <si>
    <t>7820068506</t>
  </si>
  <si>
    <t>196601, САНКТ-ПЕТЕРБУРГ ГОРОД, Г. ПУШКИН, УЛ. ПУШКИНСКАЯ, Д. 19, ЛИТЕР А, ПОМЕЩ. 29</t>
  </si>
  <si>
    <t>Скачков Кирилл Валентинович</t>
  </si>
  <si>
    <t>invest@yandex.ru'</t>
  </si>
  <si>
    <t>59.984908,30.407442</t>
  </si>
  <si>
    <t>ОБЩЕСТВО С ОГРАНИЧЕННОЙ ОТВЕТСТВЕННОСТЬЮ "ПЛАТФОРМА"</t>
  </si>
  <si>
    <t>"ПЛАТФОРМА"</t>
  </si>
  <si>
    <t>7804636769</t>
  </si>
  <si>
    <t>195271, САНКТ-ПЕТЕРБУРГ ГОРОД, УЛИЦА СИБИРСКАЯ, ДОМ 16, ЛИТЕР А, ПОМ/ОФИС ПОМ.19Н/ОФ.2</t>
  </si>
  <si>
    <t>Урманов Андрей Геннадиевич</t>
  </si>
  <si>
    <t>59.950217,30.408062</t>
  </si>
  <si>
    <t>ОБЩЕСТВО С ОГРАНИЧЕННОЙ ОТВЕТСТВЕННОСТЬЮ "ИНЖЕНЕРНОЕ БЮРО САЛЛАБЕРГЕР РУС"</t>
  </si>
  <si>
    <t>"ИНЖЕНЕРНОЕ БЮРО САЛЛАБЕРГЕР РУС"</t>
  </si>
  <si>
    <t>7806162377</t>
  </si>
  <si>
    <t>195027, САНКТ-ПЕТЕРБУРГ ГОРОД, НАБ. СВЕРДЛОВСКАЯ, Д. 64, ЛИТЕР А, ОФИС 229</t>
  </si>
  <si>
    <t>Корженевский Дмитрий Игоревич</t>
  </si>
  <si>
    <t>+7 (800) 700-84-13'</t>
  </si>
  <si>
    <t>info@sallaberger.ru'</t>
  </si>
  <si>
    <t>59.941601,30.409661</t>
  </si>
  <si>
    <t>ОБЩЕСТВО С ОГРАНИЧЕННОЙ ОТВЕТСТВЕННОСТЬЮ "ЗОЛОТАЯ СЕРЕДИНА"</t>
  </si>
  <si>
    <t>"ЗОЛОТАЯ СЕРЕДИНА"</t>
  </si>
  <si>
    <t>7805305632</t>
  </si>
  <si>
    <t>195112, САНКТ-ПЕТЕРБУРГ ГОРОД, ПЛ. КРАСНОГВАРДЕЙСКАЯ, Д. 3, ЛИТЕР Е, ПОМ. 1-Н КОМНАТА 141 (2029)</t>
  </si>
  <si>
    <t>Авдеев Алексей Анатольевич</t>
  </si>
  <si>
    <t>+7 (921) 426-76-06'</t>
  </si>
  <si>
    <t>59.851263,30.411646</t>
  </si>
  <si>
    <t>ОБЩЕСТВО С ОГРАНИЧЕННОЙ ОТВЕТСТВЕННОСТЬЮ "ИМПЕРИЯ ЖЕЛЕЗОБЕТОННЫХ ИЗДЕЛИЙ"</t>
  </si>
  <si>
    <t>"ИМПЕРИЯ ЖЕЛЕЗОБЕТОННЫХ ИЗДЕЛИЙ"</t>
  </si>
  <si>
    <t>7816333261</t>
  </si>
  <si>
    <t>192288, САНКТ-ПЕТЕРБУРГ ГОРОД, УЛИЦА МАЛАЯ БУХАРЕСТСКАЯ, ДОМ 2, ЛИТЕР А, ОФИС 17-Н</t>
  </si>
  <si>
    <t>Иванов Максим Алексеевич</t>
  </si>
  <si>
    <t>59.720957,30.414584</t>
  </si>
  <si>
    <t>ОБЩЕСТВО С ОГРАНИЧЕННОЙ ОТВЕТСТВЕННОСТЬЮ "АРГОПРОДУКТ"</t>
  </si>
  <si>
    <t>"АРГОПРОДУКТ"</t>
  </si>
  <si>
    <t>7820080493</t>
  </si>
  <si>
    <t>196601, Г.Санкт-Петербург, внутригородская территория города федерального значения ГОРОД ПУШКИН, Город ПУШКИН, УЛ МАГАЗЕЙНАЯ, Д. 60/34, ЛИТЕРА А,..</t>
  </si>
  <si>
    <t>Шутко Игорь</t>
  </si>
  <si>
    <t>59.926702,30.415231</t>
  </si>
  <si>
    <t>ОБЩЕСТВО С ОГРАНИЧЕННОЙ ОТВЕТСТВЕННОСТЬЮ "К-ИНВЕСТ"</t>
  </si>
  <si>
    <t>"К-ИНВЕСТ"</t>
  </si>
  <si>
    <t>7811217092</t>
  </si>
  <si>
    <t xml:space="preserve"> СПБ, ПР.НОВОЧЕРКАССКИЙ Д.36-1..</t>
  </si>
  <si>
    <t>Косенок Юлия Вячеславовна</t>
  </si>
  <si>
    <t>+7 (812) 393-88-03', '+7 (812) 932-50-56'</t>
  </si>
  <si>
    <t>59.914642,30.416408</t>
  </si>
  <si>
    <t>ОБЩЕСТВО С ОГРАНИЧЕННОЙ ОТВЕТСТВЕННОСТЬЮ "ТРИУМФ"</t>
  </si>
  <si>
    <t>"ТРИУМФ"</t>
  </si>
  <si>
    <t>7811727294</t>
  </si>
  <si>
    <t>193091, САНКТ-ПЕТЕРБУРГ ГОРОД, НАБ. ОКТЯБРЬСКАЯ, Д. 6, ЛИТЕР В, ПОМ. 9-Н 65,66,67</t>
  </si>
  <si>
    <t>Брязгин Евгений Владимирович</t>
  </si>
  <si>
    <t>ktv1063@mail.ru'</t>
  </si>
  <si>
    <t>59.896233,30.422004</t>
  </si>
  <si>
    <t>ОБЩЕСТВО С ОГРАНИЧЕННОЙ ОТВЕТСТВЕННОСТЬЮ "К-33"</t>
  </si>
  <si>
    <t>"К-33"</t>
  </si>
  <si>
    <t>7813240259</t>
  </si>
  <si>
    <t xml:space="preserve"> СПБ, ЕЛИЗАРОВА ПР. Д.15..</t>
  </si>
  <si>
    <t>Березовский Сергей Васильевич</t>
  </si>
  <si>
    <t>+7 (812) 567-94-93', '+7 (931) 006-23-66'</t>
  </si>
  <si>
    <t>58.856776,30.423702</t>
  </si>
  <si>
    <t>ОБЩЕСТВО С ОГРАНИЧЕННОЙ ОТВЕТСТВЕННОСТЬЮ "СТРОЙЭКСПЕРТГРУПП"</t>
  </si>
  <si>
    <t>"СТРОЙЭКСПЕРТГРУПП"</t>
  </si>
  <si>
    <t>4726004242</t>
  </si>
  <si>
    <t>188225, ЛЕНИНГРАДСКАЯ ОБЛАСТЬ, Р-Н ЛУЖСКИЙ, Д БУТКОВО, ТЕР. СНТ БУТКОВО, УЧАСТОК 57</t>
  </si>
  <si>
    <t>Горохов Петр Сергеевич</t>
  </si>
  <si>
    <t>59.8528,30.427232</t>
  </si>
  <si>
    <t>ОБЩЕСТВО С ОГРАНИЧЕННОЙ ОТВЕТСТВЕННОСТЬЮ "ЗАВОД ЖБИ АВРОРА"</t>
  </si>
  <si>
    <t>"ЗАВОД ЖБИ АВРОРА"</t>
  </si>
  <si>
    <t>7816710343</t>
  </si>
  <si>
    <t>192241, САНКТ-ПЕТЕРБУРГ ГОРОД, ПРОСПЕКТ АЛЕКСАНДРОВСКОЙ ФЕРМЫ, ДОМ 29, ЛИТЕР ВГ, ПОМЕЩЕНИЕ 1-Н, ОФИС №250/С</t>
  </si>
  <si>
    <t>Соловьева Юлия Юрьевна</t>
  </si>
  <si>
    <t>59.96262,30.431903</t>
  </si>
  <si>
    <t>ОБЩЕСТВО С ОГРАНИЧЕННОЙ ОТВЕТСТВЕННОСТЬЮ "БАКЛЕР"</t>
  </si>
  <si>
    <t>"БАКЛЕР"</t>
  </si>
  <si>
    <t>7806591601</t>
  </si>
  <si>
    <t>195253, Г.Санкт-Петербург, внутригородская территория города федерального значения МУНИЦИПАЛЬНЫЙ ОКРУГ ПОЛЮСТРОВО, УЛ МАРШАЛА ТУХАЧЕВСКОГО, Д. 5, К. 1, ЛИТЕРА А, ПОМЕЩ. 3-Н</t>
  </si>
  <si>
    <t>Коновалов Сергей Васильевич</t>
  </si>
  <si>
    <t>59.941844,30.434482</t>
  </si>
  <si>
    <t>ОБЩЕСТВО С ОГРАНИЧЕННОЙ ОТВЕТСТВЕННОСТЬЮ "ЖБИ-СТРОЙ"</t>
  </si>
  <si>
    <t>"ЖБИ-СТРОЙ"</t>
  </si>
  <si>
    <t>7810602567</t>
  </si>
  <si>
    <t>195027, САНКТ-ПЕТЕРБУРГ ГОРОД, УЛИЦА ЯКОРНАЯ, ДОМ 15, ЛИТЕР А, ОФИС 414, ПОМ. 21</t>
  </si>
  <si>
    <t>Быков Игорь Андреевич</t>
  </si>
  <si>
    <t>+7 (967) 967-77-99'</t>
  </si>
  <si>
    <t>buh@gbi.market'</t>
  </si>
  <si>
    <t>59.843589,30.435506</t>
  </si>
  <si>
    <t>ОБЩЕСТВО С ОГРАНИЧЕННОЙ ОТВЕТСТВЕННОСТЬЮ "ИНЖЕНЕРНО-КОНСТРУКТОРСКИЙ ПРОЕКТ"</t>
  </si>
  <si>
    <t>"ИНЖЕНЕРНО-КОНСТРУКТОРСКИЙ ПРОЕКТ"</t>
  </si>
  <si>
    <t>7816693715</t>
  </si>
  <si>
    <t>192289, САНКТ-ПЕТЕРБУРГ ГОРОД, УЛИЦА СОФИЙСКАЯ, ДОМ 72, ЛИТЕР А, ОФИС №2.59</t>
  </si>
  <si>
    <t>Кириенко Анастасия Алексеевна</t>
  </si>
  <si>
    <t>59.993473,30.436521</t>
  </si>
  <si>
    <t>ОБЩЕСТВО С ОГРАНИЧЕННОЙ ОТВЕТСТВЕННОСТЬЮ "ЖЕЛЕЗОБЕТОН СЕВЕРО-ЗАПАД"</t>
  </si>
  <si>
    <t>"ЖЕЛЕЗОБЕТОН СЕВЕРО-ЗАПАД"</t>
  </si>
  <si>
    <t>7804660835</t>
  </si>
  <si>
    <t>195273, САНКТ-ПЕТЕРБУРГ ГОРОД, ПРОСПЕКТ ПИСКАРЁВСКИЙ, ДОМ 63, ЛИТЕР Б, ПОМЕЩЕНИЕ 1-Н ОФИС 306/2</t>
  </si>
  <si>
    <t>Фещуков Сергей Павлович</t>
  </si>
  <si>
    <t>59.97798,30.436638</t>
  </si>
  <si>
    <t>ОБЩЕСТВО С ОГРАНИЧЕННОЙ ОТВЕТСТВЕННОСТЬЮ "РЕМСТРОЙГРУПП"</t>
  </si>
  <si>
    <t>"РЕМСТРОЙГРУПП"</t>
  </si>
  <si>
    <t>7806556702</t>
  </si>
  <si>
    <t>195067, САНКТ-ПЕТЕРБУРГ ГОРОД, ПРОСПЕКТ ЕКАТЕРИНИНСКИЙ, ДОМ 2, СТРОЕНИЕ 1, ПОМЕЩЕНИЕ 52-Н ОФИС 7</t>
  </si>
  <si>
    <t>Хуторянский Сергей Иванович</t>
  </si>
  <si>
    <t>59.895312,30.437698</t>
  </si>
  <si>
    <t>ОБЩЕСТВО С ОГРАНИЧЕННОЙ ОТВЕТСТВЕННОСТЬЮ "ЭНЕРГО-ЭЛЕМЕНТ"</t>
  </si>
  <si>
    <t>"ЭНЕРГО-ЭЛЕМЕНТ"</t>
  </si>
  <si>
    <t>7839092573</t>
  </si>
  <si>
    <t>192029, САНКТ-ПЕТЕРБУРГ Г., ПР-КТ ОБУХОВСКОЙ ОБОРОНЫ, Д. 86, ЛИТЕРА А, ПОМЕЩ 18-Н ОФ 419/3</t>
  </si>
  <si>
    <t>Юрпольская Татьяна Александровна</t>
  </si>
  <si>
    <t>59.977877,30.438937</t>
  </si>
  <si>
    <t>ОБЩЕСТВО С ОГРАНИЧЕННОЙ ОТВЕТСТВЕННОСТЬЮ "ООО АНКЕР"</t>
  </si>
  <si>
    <t>"ООО АНКЕР"</t>
  </si>
  <si>
    <t>7806598237</t>
  </si>
  <si>
    <t>195067, Г.Санкт-Петербург, внутригородская территория города федерального значения МУНИЦИПАЛЬНЫЙ ОКРУГ ПОЛЮСТРОВО, ПР-КТ ЕКАТЕРИНИНСКИЙ, Д. 3, К. 2, ЛИТЕРА А, ПОМЕЩ. 1Н</t>
  </si>
  <si>
    <t>Рожков Тимофей Владимирович</t>
  </si>
  <si>
    <t>59.854201,30.444561</t>
  </si>
  <si>
    <t>ОБЩЕСТВО С ОГРАНИЧЕННОЙ ОТВЕТСТВЕННОСТЬЮ "ВЕКТОР"</t>
  </si>
  <si>
    <t>7816705706</t>
  </si>
  <si>
    <t>192241, САНКТ-ПЕТЕРБУРГ ГОРОД, ПРОСПЕКТ АЛЕКСАНДРОВСКОЙ ФЕРМЫ, ДОМ 29, ЛИТЕР Е, ПОМЕЩЕНИЕ 36-Н, ОФИС 103</t>
  </si>
  <si>
    <t>Алексанян Анна Сергеевна</t>
  </si>
  <si>
    <t>59.841807,30.446223</t>
  </si>
  <si>
    <t>ОБЩЕСТВО С ОГРАНИЧЕННОЙ ОТВЕТСТВЕННОСТЬЮ  "ГАЗОБЕТОН СК"</t>
  </si>
  <si>
    <t xml:space="preserve"> "ГАЗОБЕТОН СК"</t>
  </si>
  <si>
    <t>7816316227</t>
  </si>
  <si>
    <t>192289, САНКТ-ПЕТЕРБУРГ ГОРОД, ПР-Д ГРУЗОВОЙ, Д. 13, ЛИТЕРА А, ПОМЕЩ. 43</t>
  </si>
  <si>
    <t>Губский Николай Федорович</t>
  </si>
  <si>
    <t>+7 (812) 386-10-96', '+7 (812) 273-12-49'</t>
  </si>
  <si>
    <t>venecia8@yandex.ru'</t>
  </si>
  <si>
    <t>59.961003,30.459356</t>
  </si>
  <si>
    <t>7806568384</t>
  </si>
  <si>
    <t>195279, САНКТ-ПЕТЕРБУРГ ГОРОД, ШОССЕ РЕВОЛЮЦИИ, ДОМ 65, ЛИТЕР З, ПОМЕЩЕНИЕ 1Н КОМН 7 Р.М. 3</t>
  </si>
  <si>
    <t>Защипа Александр Алексеевич</t>
  </si>
  <si>
    <t>59.824475,30.460272</t>
  </si>
  <si>
    <t>ОБЩЕСТВО С ОГРАНИЧЕННОЙ ОТВЕТСТВЕННОСТЬЮ "УЖСТРОЙ И К°"</t>
  </si>
  <si>
    <t>"УЖСТРОЙ И К°"</t>
  </si>
  <si>
    <t>7820314494</t>
  </si>
  <si>
    <t>196642, САНКТ-ПЕТЕРБУРГ ГОРОД, ПОСЕЛОК ПЕТРО-СЛАВЯНКА, УЛИЦА СОФИЙСКАЯ, ДОМ 96, ЛИТЕРА АВ</t>
  </si>
  <si>
    <t>Маргарян Геворк Усикович</t>
  </si>
  <si>
    <t>+7 (911) 142-05-55'</t>
  </si>
  <si>
    <t>59.878527,30.460694</t>
  </si>
  <si>
    <t>ОБЩЕСТВО С ОГРАНИЧЕННОЙ ОТВЕТСТВЕННОСТЬЮ "МОЩЕНЫЙ ДВОР"</t>
  </si>
  <si>
    <t>"МОЩЕНЫЙ ДВОР"</t>
  </si>
  <si>
    <t>7811759391</t>
  </si>
  <si>
    <t>193079, Г.Санкт-Петербург, внутригородская территория города федерального значения МУНИЦИПАЛЬНЫЙ ОКРУГ НАРОДНЫЙ, УЛ НАРОДНАЯ, Д. 3, К. 1, ЛИТЕРА А, ПОМЕЩ. 30-Н</t>
  </si>
  <si>
    <t>Оганесян Ашот Владимирович</t>
  </si>
  <si>
    <t>59.838575,30.466462</t>
  </si>
  <si>
    <t>ОБЩЕСТВО С ОГРАНИЧЕННОЙ ОТВЕТСТВЕННОСТЬЮ "КОНТЕК"</t>
  </si>
  <si>
    <t>"КОНТЕК"</t>
  </si>
  <si>
    <t>7804363367</t>
  </si>
  <si>
    <t>192289, Г.Санкт-Петербург, внутригородская территория города федерального значения МУНИЦИПАЛЬНЫЙ ОКРУГ АЛЕКСАНДРОВСКИЙ, ПРОЕЗД ГРУЗОВОЙ, Д. 16, ЛИТЕРА А, ПОМЕЩ. 11-Н, ОФИС 25</t>
  </si>
  <si>
    <t>Загривный Константин Эдуардович</t>
  </si>
  <si>
    <t>+7 (812) 989-03-58'</t>
  </si>
  <si>
    <t>59.959287,30.467872</t>
  </si>
  <si>
    <t>ОБЩЕСТВО С ОГРАНИЧЕННОЙ ОТВЕТСТВЕННОСТЬЮ "АРТ-АКРИЛ"</t>
  </si>
  <si>
    <t>"АРТ-АКРИЛ"</t>
  </si>
  <si>
    <t>7806584114</t>
  </si>
  <si>
    <t>195030, САНКТ-ПЕТЕРБУРГ Г., УЛ. ПОТАПОВА, Д. 2, ЛИТЕРА М, ПОМЕЩ. 1.51</t>
  </si>
  <si>
    <t>Сатвалов Дмитрий Сергеевич</t>
  </si>
  <si>
    <t>SATVALOV@MAIL.RU'</t>
  </si>
  <si>
    <t>60.070374,30.477619</t>
  </si>
  <si>
    <t>ОБЩЕСТВО С ОГРАНИЧЕННОЙ ОТВЕТСТВЕННОСТЬЮ "БЕТОГАНЗА"</t>
  </si>
  <si>
    <t>"БЕТОГАНЗА"</t>
  </si>
  <si>
    <t>7842192218</t>
  </si>
  <si>
    <t>https://betoganza.ru</t>
  </si>
  <si>
    <t>188661, Ленинградская область, Всеволожский район, пос. Новое Девяткино, территория Северной ТЭЦ, промзона</t>
  </si>
  <si>
    <t>Эль Шараби Ольга Равильевна</t>
  </si>
  <si>
    <t>INFO@BETOGANZA.RU'</t>
  </si>
  <si>
    <t>59.85125,30.479254</t>
  </si>
  <si>
    <t>ОБЩЕСТВО С ОГРАНИЧЕННОЙ ОТВЕТСТВЕННОСТЬЮ "ЮНИБЛОКСПБ"</t>
  </si>
  <si>
    <t>"ЮНИБЛОКСПБ"</t>
  </si>
  <si>
    <t>7811771046</t>
  </si>
  <si>
    <t>192012, Г.Санкт-Петербург, МУНИЦИПАЛЬНЫЙ ОКРУГ РЫБАЦКОЕ, ПР-КТ ОБУХОВСКОЙ ОБОРОНЫ, Д. 271,ЛИТЕРА А</t>
  </si>
  <si>
    <t>Халатян Арутюн Аветикович</t>
  </si>
  <si>
    <t>60.311823,30.490042</t>
  </si>
  <si>
    <t>ОБЩЕСТВО С ОГРАНИЧЕННОЙ ОТВЕТСТВЕННОСТЬЮ "Перспектива"</t>
  </si>
  <si>
    <t>"Перспектива"</t>
  </si>
  <si>
    <t>4725000453</t>
  </si>
  <si>
    <t>188658, ЛЕНИНГРАДСКАЯ ОБЛАСТЬ, Р-Н ВСЕВОЛОЖСКИЙ, П ЗАВОДСКОЙ, ЛИТЕР А</t>
  </si>
  <si>
    <t>Грудинин Александр Владимирович</t>
  </si>
  <si>
    <t>+7 (812) 309-03-33'</t>
  </si>
  <si>
    <t>59.870601,30.499223</t>
  </si>
  <si>
    <t>ОБЩЕСТВО С ОГРАНИЧЕННОЙ ОТВЕТСТВЕННОСТЬЮ "НАУЧНО ПРОИЗВОДСТВЕННОЕ ОБЪЕДИНЕНИЕ "ПИТОН"</t>
  </si>
  <si>
    <t>"НАУЧНО ПРОИЗВОДСТВЕННОЕ ОБЪЕДИНЕНИЕ "ПИТОН"</t>
  </si>
  <si>
    <t>7811746498</t>
  </si>
  <si>
    <t>193079, САНКТ-ПЕТЕРБУРГ ГОРОД, НАБЕРЕЖНАЯ ОКТЯБРЬСКАЯ, ДОМ 108, КОРПУС 3 ЛИТЕР А, ОФИС 2</t>
  </si>
  <si>
    <t>Тоболь Егор Игоревич</t>
  </si>
  <si>
    <t>56.347345,30.510326</t>
  </si>
  <si>
    <t>7816557078</t>
  </si>
  <si>
    <t>182110, Псковская область, городской округ ГОРОД ВЕЛИКИЕ ЛУКИ, Город ВЕЛИКИЕ ЛУКИ, ПР-КТ ЛЕНИНА, Д. 16, ЭТАЖ 2</t>
  </si>
  <si>
    <t>Шкенсберг Денис Геннадьевич</t>
  </si>
  <si>
    <t>+7 (921) 951-37-31', '+7 (812) 334-93-76'</t>
  </si>
  <si>
    <t>OOOBETIZ60@GMAIL.COM'</t>
  </si>
  <si>
    <t>59.759931,30.518798</t>
  </si>
  <si>
    <t>ОБЩЕСТВО С ОГРАНИЧЕННОЙ ОТВЕТСТВЕННОСТЬЮ "ГРУППА КОМПАНИЙ ВИС"</t>
  </si>
  <si>
    <t>"ГРУППА КОМПАНИЙ ВИС"</t>
  </si>
  <si>
    <t>7802652853</t>
  </si>
  <si>
    <t>196650, Г.Санкт-Петербург, внутригородская территория города федерального значения ГОРОД КОЛПИНО, ГОРОД КОЛПИНО, ТЕР. ИЖОРСКИЙ ЗАВОД, Д. 111, К. 2, ЛИТЕРА А, ПОМЕЩ. 2</t>
  </si>
  <si>
    <t>Голубев Виталий Валерьевич</t>
  </si>
  <si>
    <t>ОБЩЕСТВО С ОГРАНИЧЕННОЙ ОТВЕТСТВЕННОСТЬЮ "ГК МОДУЛЬ"</t>
  </si>
  <si>
    <t>"ГК МОДУЛЬ"</t>
  </si>
  <si>
    <t>7817090290</t>
  </si>
  <si>
    <t>196650, САНКТ-ПЕТЕРБУРГ ГОРОД, Г. КОЛПИНО, ТЕР ИЖОРСКИЙ ЗАВОД, Д. 111, К. 2 ЛИТЕР А, ПОМЕЩ. 3</t>
  </si>
  <si>
    <t>Колупаев Максим Сергеевич</t>
  </si>
  <si>
    <t>plus@bk.ru'</t>
  </si>
  <si>
    <t>59.825144,30.520298</t>
  </si>
  <si>
    <t>ОБЩЕСТВО С ОГРАНИЧЕННОЙ ОТВЕТСТВЕННОСТЬЮ "ЖБИ №1 РЫБАЦКОЕ"</t>
  </si>
  <si>
    <t>"ЖБИ №1 РЫБАЦКОЕ"</t>
  </si>
  <si>
    <t>7811631610</t>
  </si>
  <si>
    <t>192177, САНКТ-ПЕТЕРБУРГ ГОРОД, УЛИЦА ТЕПЛОВОЗНАЯ, ДОМ 32, ЛИТЕР А, КАБИНЕТ 20</t>
  </si>
  <si>
    <t>Семенов Александр Яковлевич</t>
  </si>
  <si>
    <t>+7 (813) 714-85-01', '+7 (812) 406-83-15'</t>
  </si>
  <si>
    <t>59.753627,30.537815</t>
  </si>
  <si>
    <t>ОБЩЕСТВО С ОГРАНИЧЕННОЙ ОТВЕТСТВЕННОСТЬЮ   "БЕТОНЕКС - САНКТ - ПЕТЕРБУРГ"</t>
  </si>
  <si>
    <t xml:space="preserve">  "БЕТОНЕКС - САНКТ - ПЕТЕРБУРГ"</t>
  </si>
  <si>
    <t>7817043540</t>
  </si>
  <si>
    <t>196650, САНКТ-ПЕТЕРБУРГ ГОРОД, ГОРОД КОЛПИНО, УЛИЦА ФИНЛЯНДСКАЯ, 36</t>
  </si>
  <si>
    <t>Шмаков Николай Николаевич</t>
  </si>
  <si>
    <t>59.753219,30.542648</t>
  </si>
  <si>
    <t>ОБЩЕСТВО С ОГРАНИЧЕННОЙ ОТВЕТСТВЕННОСТЬЮ "ГК "СМИК"</t>
  </si>
  <si>
    <t>"ГК "СМИК"</t>
  </si>
  <si>
    <t>7817114840</t>
  </si>
  <si>
    <t>196650, САНКТ-ПЕТЕРБУРГ Г., Г. Колпино, УЛ. ФИНЛЯНДСКАЯ, Д. 34, ЛИТЕРА А, ПОМЕЩ. 6-Н ПОМЕЩ. 16</t>
  </si>
  <si>
    <t>Глущенко Дмитрий Валерьевич</t>
  </si>
  <si>
    <t>SU326@BK.RU'</t>
  </si>
  <si>
    <t>56.365358,30.546052</t>
  </si>
  <si>
    <t>ОБЩЕСТВО С ОГРАНИЧЕННОЙ ОТВЕТСТВЕННОСТЬЮ "ПРИБОР"</t>
  </si>
  <si>
    <t>"ПРИБОР"</t>
  </si>
  <si>
    <t>6002002163</t>
  </si>
  <si>
    <t>ПСКОВСКАЯ ОБЛ.,ВЕЛИКОЛУКСКИЙ Р-Н,П/О ПЕРЕСЛЕГИНО,Д КУЛЕВО,УЛ ПРОДОЛЬНАЯ Д 73</t>
  </si>
  <si>
    <t>Филиппов Александр Вячеславович</t>
  </si>
  <si>
    <t>+7 (911) 399-91-84'</t>
  </si>
  <si>
    <t>59.808536,30.550337</t>
  </si>
  <si>
    <t>ОБЩЕСТВО С ОГРАНИЧЕННОЙ ОТВЕТСТВЕННОСТЬЮ "ЗАВОД ЖБИ МЕТАЛЛОСТРОЙ"</t>
  </si>
  <si>
    <t>"ЗАВОД ЖБИ МЕТАЛЛОСТРОЙ"</t>
  </si>
  <si>
    <t>7811642308</t>
  </si>
  <si>
    <t>196641, САНКТ-ПЕТЕРБУРГ ГОРОД, ПОСЕЛОК МЕТАЛЛОСТРОЙ, СЕВЕРНЫЙ ПР, ДОМ 8, ЛИТЕР В, ПОМЕЩЕНИЕ 207</t>
  </si>
  <si>
    <t>Климов Кирилл Александрович</t>
  </si>
  <si>
    <t>ОБЩЕСТВО С ОГРАНИЧЕННОЙ ОТВЕТСТВЕННОСТЬЮ "ЖБИ МЕТАЛЛОСТРОЙ"</t>
  </si>
  <si>
    <t>"ЖБИ МЕТАЛЛОСТРОЙ"</t>
  </si>
  <si>
    <t>7817090325</t>
  </si>
  <si>
    <t>196641, САНКТ-ПЕТЕРБУРГ ГОРОД, ПОСЕЛОК МЕТАЛЛОСТРОЙ, СЕВЕРНЫЙ ПР, ДОМ 8, ЛИТЕР В, ПОМЕЩЕНИЕ 22</t>
  </si>
  <si>
    <t>Климов Филипп Александрович</t>
  </si>
  <si>
    <t>59.754026,30.553257</t>
  </si>
  <si>
    <t>ОБЩЕСТВО С ОГРАНИЧЕННОЙ ОТВЕТСТВЕННОСТЬЮ "СМ-АЛЬЯНС"</t>
  </si>
  <si>
    <t>"СМ-АЛЬЯНС"</t>
  </si>
  <si>
    <t>7839134255</t>
  </si>
  <si>
    <t>196650, Г.Санкт-Петербург, внутригородская территория города федерального значения ГОРОД КОЛПИНО, Город КОЛПИНО, УЛ ФИНЛЯНДСКАЯ, Д. 23, ЛИТЕРА Л, ОФИС 22, ПОМЕЩ. 2-Н</t>
  </si>
  <si>
    <t>Клоков Олег Сергеевич</t>
  </si>
  <si>
    <t>59.799983,30.560794</t>
  </si>
  <si>
    <t>ОБЩЕСТВО С ОГРАНИЧЕННОЙ ОТВЕТСТВЕННОСТЬЮ "ПЛОЩАДКА"</t>
  </si>
  <si>
    <t>"ПЛОЩАДКА"</t>
  </si>
  <si>
    <t>9705086885</t>
  </si>
  <si>
    <t>89-Ямало-Ненецкий автономный округ</t>
  </si>
  <si>
    <t>196641, САНКТ-ПЕТЕРБУРГ Г., П. Металлострой, ДОР. НА МЕТАЛЛОСТРОЙ, Д. 10, ЛИТЕРА А, ЧАСТЬ ПОМЕЩ. 1-Н КОМ. 74</t>
  </si>
  <si>
    <t>60.163665,30.567774</t>
  </si>
  <si>
    <t>АКЦИОНЕРНОЕ ОБЩЕСТВО "СКВ ИНЖИНИРИНГ"</t>
  </si>
  <si>
    <t>"СКВ ИНЖИНИРИНГ"</t>
  </si>
  <si>
    <t>4703182489</t>
  </si>
  <si>
    <t>188664, Ленинградская область, муниципальный район ВСЕВОЛОЖСКИЙ, ГП ТОКСОВО, городское поселение ТОКСОВСКОЕ, ПЕР ШКОЛЬНЫЙ, Д. 10, ПОМЕЩ. 3</t>
  </si>
  <si>
    <t>Тысячный Сергей Александрович</t>
  </si>
  <si>
    <t>INFO@MAIL.RU'</t>
  </si>
  <si>
    <t>59.806658,30.572077</t>
  </si>
  <si>
    <t>ОБЩЕСТВО С ОГРАНИЧЕННОЙ ОТВЕТСТВЕННОСТЬЮ "СИБ-ЦЕНТР"</t>
  </si>
  <si>
    <t>"СИБ-ЦЕНТР"</t>
  </si>
  <si>
    <t>7804008250</t>
  </si>
  <si>
    <t>Г САНКТ-ПЕТЕРБУРГ,PП МЕТАЛЛОСТРОЙ,УЛ ЦЕНТРАЛЬНАЯ, 1</t>
  </si>
  <si>
    <t>+7 (812) 464-81-37', '+7 (812) 464-82-55'</t>
  </si>
  <si>
    <t>kozlova@sib-centr'</t>
  </si>
  <si>
    <t>59.953651,30.577907</t>
  </si>
  <si>
    <t>ОБЩЕСТВО С ОГРАНИЧЕННОЙ ОТВЕТСТВЕННОСТЬЮ "ТРОТУАР СТИЛЬ"</t>
  </si>
  <si>
    <t>"ТРОТУАР СТИЛЬ"</t>
  </si>
  <si>
    <t>4703183027</t>
  </si>
  <si>
    <t>188689, Ленинградская область, муниципальный район ВСЕВОЛОЖСКИЙ, ГП ЯНИНО-1, городское поселение ЗАНЕВСКОЕ, МКР ЯНИЛА КАНТРИ, УЛ ТЮЛЬПАНОВ, Д. 2,..</t>
  </si>
  <si>
    <t>Гиносян Тигран Мнацаканович</t>
  </si>
  <si>
    <t>59.782728,30.585929</t>
  </si>
  <si>
    <t>ОБЩЕСТВО С ОГРАНИЧЕННОЙ ОТВЕТСТВЕННОСТЬЮ "ЗЕЛЕНАЯ РОЩА"</t>
  </si>
  <si>
    <t>"ЗЕЛЕНАЯ РОЩА"</t>
  </si>
  <si>
    <t>7817112160</t>
  </si>
  <si>
    <t>196655, САНКТ-ПЕТЕРБУРГ Г., Г. Колпино, ТЕР. ЛЕВЫЙ БЕРЕГ РЕКИ ИЖОРЫ, Д. 2, ЛИТЕРА О, ПОМЕЩ. Р, П</t>
  </si>
  <si>
    <t>Сакидон Максим Александрович</t>
  </si>
  <si>
    <t>59.767399,30.604901</t>
  </si>
  <si>
    <t>ОБЩЕСТВО С ОГРАНИЧЕННОЙ ОТВЕТСТВЕННОСТЬЮ "ЗАВОД СТАНДАРТ"</t>
  </si>
  <si>
    <t>"ЗАВОД СТАНДАРТ"</t>
  </si>
  <si>
    <t>7817110370</t>
  </si>
  <si>
    <t>196655, САНКТ-ПЕТЕРБУРГ ГОРОД, Г. КОЛПИНО, УЛ. СЕВАСТЬЯНОВА, Д. 20А, ЛИТЕР И, ПОМЕЩ. 2-Н</t>
  </si>
  <si>
    <t>Резниченко Олег Владимирович</t>
  </si>
  <si>
    <t>64.597966,30.617199</t>
  </si>
  <si>
    <t>ОБЩЕСТВО С ОГРАНИЧЕННОЙ ОТВЕТСТВЕННОСТЬЮ "Монолит"</t>
  </si>
  <si>
    <t>"Монолит"</t>
  </si>
  <si>
    <t>1004014623</t>
  </si>
  <si>
    <t>186931, КАРЕЛИЯ РЕСПУБЛИКА, Г. КОСТОМУКША, ПР-КТ ГОРНЯКОВ, Д.90</t>
  </si>
  <si>
    <t>Грамович Раиса Борисовна</t>
  </si>
  <si>
    <t>59.786713,30.627781</t>
  </si>
  <si>
    <t>ОБЩЕСТВО С ОГРАНИЧЕННОЙ ОТВЕТСТВЕННОСТЬЮ "ПРОИЗВОДСТВЕННАЯ КОМПАНИЯ ОСНОВА"</t>
  </si>
  <si>
    <t>"ПРОИЗВОДСТВЕННАЯ КОМПАНИЯ ОСНОВА"</t>
  </si>
  <si>
    <t>7817119736</t>
  </si>
  <si>
    <t>196643, Г.Санкт-Петербург, внутригородская территория города федерального значения ПОСЕЛОК ПОНТОННЫЙ, ПОСЕЛОК ПОНТОННЫЙ, УЛ ЗАВОДСКАЯ, Д. 16, ЛИТЕРА А,..</t>
  </si>
  <si>
    <t>Черникова Анна Евгеньевна</t>
  </si>
  <si>
    <t>59.937134,30.637887</t>
  </si>
  <si>
    <t>ОБЩЕСТВО С ОГРАНИЧЕННОЙ ОТВЕТСТВЕННОСТЬЮ "ПЛИТКА ЛЭНД"</t>
  </si>
  <si>
    <t>"ПЛИТКА ЛЭНД"</t>
  </si>
  <si>
    <t>4703164088</t>
  </si>
  <si>
    <t>188680, ЛЕНИНГРАДСКАЯ ОБЛ., Р-Н Всеволожский, Д. Старая, УЛ. ИОАННА КРОНШТАДТСКОГО, Д. 11,..</t>
  </si>
  <si>
    <t>Папларян Артём Арсенович</t>
  </si>
  <si>
    <t>60.025201,30.640232</t>
  </si>
  <si>
    <t>ОБЩЕСТВО С ОГРАНИЧЕННОЙ ОТВЕТСТВЕННОСТЬЮ "НАУЧНО-ПРОИЗВОДСТВЕННОЕ ОБЪЕДИНЕНИЕ "ПЛАСТПОЛИМЕР"</t>
  </si>
  <si>
    <t>"НАУЧНО-ПРОИЗВОДСТВЕННОЕ ОБЪЕДИНЕНИЕ "ПЛАСТПОЛИМЕР"</t>
  </si>
  <si>
    <t>4706049870</t>
  </si>
  <si>
    <t>188640, Ленинградская область, ВСЕВОЛОЖСКИЙ, 1 ВСЕВОЛОЖСКОЕ, Г ВСЕВОЛОЖСК, УЛ МЕЖЕВАЯ, Д. 18А</t>
  </si>
  <si>
    <t>Черников Руслан Сергеевич</t>
  </si>
  <si>
    <t>60.024626,30.645873</t>
  </si>
  <si>
    <t>ОБЩЕСТВО С ОГРАНИЧЕННОЙ ОТВЕТСТВЕННОСТЬЮ "БЕТОННЫЕ КОНСТРУКЦИИ"</t>
  </si>
  <si>
    <t>"БЕТОННЫЕ КОНСТРУКЦИИ"</t>
  </si>
  <si>
    <t>4703182055</t>
  </si>
  <si>
    <t>188640, ЛЕНИНГРАДСКАЯ ОБЛ., Р-Н Всеволожский, Г. Всеволожск, УЛ. ДИЗЕЛЬНАЯ, Д. 2, ПОМЕЩ. 1Н ОФИС 36</t>
  </si>
  <si>
    <t>Шикин Роман Сергеевич</t>
  </si>
  <si>
    <t>TORGDOM@MAIL.RU'</t>
  </si>
  <si>
    <t>60.0212,30.646448</t>
  </si>
  <si>
    <t>ОБЩЕСТВО С ОГРАНИЧЕННОЙ ОТВЕТСТВЕННОСТЬЮ "КОЛТУШСКИЙ ЗАВОД ЖБИ"</t>
  </si>
  <si>
    <t>"КОЛТУШСКИЙ ЗАВОД ЖБИ"</t>
  </si>
  <si>
    <t>4703178034</t>
  </si>
  <si>
    <t>188640, ЛЕНИНГРАДСКАЯ ОБЛАСТЬ, РАЙОН ВСЕВОЛОЖСКИЙ, ГОРОД ВСЕВОЛОЖСК, ПРОСПЕКТ ВСЕВОЛОЖСКИЙ, ДОМ 17, КОМНАТА 318</t>
  </si>
  <si>
    <t>Варданян Вардан Викторович</t>
  </si>
  <si>
    <t>ОБЩЕСТВО С ОГРАНИЧЕННОЙ ОТВЕТСТВЕННОСТЬЮ "СОВРЕМЕННЫЕ КОМПОЗИТНЫЕ МАТЕРИАЛЫ"</t>
  </si>
  <si>
    <t>"СОВРЕМЕННЫЕ КОМПОЗИТНЫЕ МАТЕРИАЛЫ"</t>
  </si>
  <si>
    <t>4703181076</t>
  </si>
  <si>
    <t>188640, ЛЕНИНГРАДСКАЯ ОБЛ., Всеволожский Р-Н, Г. Всеволожск, ПР-КТ ВСЕВОЛОЖСКИЙ, Д. 17, КОМ. 217</t>
  </si>
  <si>
    <t>Асланов Марат Асланович</t>
  </si>
  <si>
    <t>60.004429,30.651551</t>
  </si>
  <si>
    <t>ОБЩЕСТВО С ОГРАНИЧЕННОЙ ОТВЕТСТВЕННОСТЬЮ "СТРОЙ-СЕРВИС"</t>
  </si>
  <si>
    <t>"СТРОЙ-СЕРВИС"</t>
  </si>
  <si>
    <t>4703181012</t>
  </si>
  <si>
    <t>188640, ЛЕНИНГРАДСКАЯ ОБЛ., Всеволожский Р-Н, Г. Всеволожск, ПР-КТ ВСЕВОЛОЖСКИЙ, Д. 107, ПОМЕЩ. 27</t>
  </si>
  <si>
    <t>Авакян Авак Григорьевич</t>
  </si>
  <si>
    <t>60.014603,30.666651</t>
  </si>
  <si>
    <t>ОБЩЕСТВО С ОГРАНИЧЕННОЙ ОТВЕТСТВЕННОСТЬЮ "ЯНИНСКИЙ БЕТОННЫЙ ЗАВОД"</t>
  </si>
  <si>
    <t>"ЯНИНСКИЙ БЕТОННЫЙ ЗАВОД"</t>
  </si>
  <si>
    <t>4703163831</t>
  </si>
  <si>
    <t>188642, Ленинградская область, муниципальный район ВСЕВОЛОЖСКИЙ, Город ВСЕВОЛОЖСК, городское поселение ВСЕВОЛОЖСКОЕ, УЛ ПУШКИНСКАЯ, Д. 1, ОФИС 8</t>
  </si>
  <si>
    <t>Рокунец Сергей Александрович</t>
  </si>
  <si>
    <t>59.788755,30.684896</t>
  </si>
  <si>
    <t>ОБЩЕСТВО С ОГРАНИЧЕННОЙ ОТВЕТСТВЕННОСТЬЮ "СТЕНАБЛОК"</t>
  </si>
  <si>
    <t>"СТЕНАБЛОК"</t>
  </si>
  <si>
    <t>7802708827</t>
  </si>
  <si>
    <t>https://stena-block.ru</t>
  </si>
  <si>
    <t>Ленинградская область, Всеволожский район, п. им. Свердлова, д. 7Б</t>
  </si>
  <si>
    <t>Тагиров Увейсал Садикович</t>
  </si>
  <si>
    <t>+7 (906) 265-08-73'</t>
  </si>
  <si>
    <t>sale@stena-block'</t>
  </si>
  <si>
    <t>60.049869,30.71552</t>
  </si>
  <si>
    <t>ОБЩЕСТВО С ОГРАНИЧЕННОЙ ОТВЕТСТВЕННОСТЬЮ "ЛЕНОБЛТРОТУАР"</t>
  </si>
  <si>
    <t>"ЛЕНОБЛТРОТУАР"</t>
  </si>
  <si>
    <t>4703165638</t>
  </si>
  <si>
    <t>188670, ЛЕНИНГРАДСКАЯ ОБЛАСТЬ, ВСЕВОЛОЖСКИЙ РАЙОН, ПОСЕЛОК РОМАНОВКА, ШОССЕ ДОРОГА ЖИЗНИ, ДОМ 67</t>
  </si>
  <si>
    <t>Петросян Мхитар Липаритович</t>
  </si>
  <si>
    <t>60.054298,30.735471</t>
  </si>
  <si>
    <t>ОБЩЕСТВО С ОГРАНИЧЕННОЙ ОТВЕТСТВЕННОСТЬЮ "Всеволожский завод железобетонных изделий"</t>
  </si>
  <si>
    <t>"Всеволожский завод железобетонных изделий"</t>
  </si>
  <si>
    <t>4703121648</t>
  </si>
  <si>
    <t>188670, ЛЕНИНГРАДСКАЯ ОБЛАСТЬ, РАЙОН ВСЕВОЛОЖСКИЙ, ПОСЕЛОК РОМАНОВКА, ШОССЕ ДОРОГА ЖИЗНИ, ДОМ 139Б</t>
  </si>
  <si>
    <t>Сизилов Александр Игоревич</t>
  </si>
  <si>
    <t>+7 (911) 925-22-42'</t>
  </si>
  <si>
    <t>60.030717,30.744751</t>
  </si>
  <si>
    <t>ОБЩЕСТВО С ОГРАНИЧЕННОЙ ОТВЕТСТВЕННОСТЬЮ "ДЕЛЬТА МАСТЕР"</t>
  </si>
  <si>
    <t>"ДЕЛЬТА МАСТЕР"</t>
  </si>
  <si>
    <t>4703103261</t>
  </si>
  <si>
    <t>188676, ЛЕНИНГРАДСКАЯ ОБЛАСТЬ, РАЙОН ВСЕВОЛОЖСКИЙ, Щеглово д Щегловская вл, УПРАВЛЕНИЕ СОВХОЗА</t>
  </si>
  <si>
    <t>Хамитов Марат Рясович</t>
  </si>
  <si>
    <t>59.694091,30.777827</t>
  </si>
  <si>
    <t>ОБЩЕСТВО С ОГРАНИЧЕННОЙ ОТВЕТСТВЕННОСТЬЮ "ЮНИТСТРОЙ"</t>
  </si>
  <si>
    <t>"ЮНИТСТРОЙ"</t>
  </si>
  <si>
    <t>4716038637</t>
  </si>
  <si>
    <t>187026, ЛЕНИНГРАДСКАЯ ОБЛАСТЬ, Р-Н ТОСНЕНСКИЙ, Г. НИКОЛЬСКОЕ, УЛ. ОКТЯБРЬСКАЯ, Д.2,..</t>
  </si>
  <si>
    <t>Ковешников Дмитрий Александрович</t>
  </si>
  <si>
    <t>elenanevast@mail.ru'</t>
  </si>
  <si>
    <t>59.770394,30.796045</t>
  </si>
  <si>
    <t>ОБЩЕСТВО С ОГРАНИЧЕННОЙ ОТВЕТСТВЕННОСТЬЮ "ЭЛПО РУДУС"</t>
  </si>
  <si>
    <t>"ЭЛПО РУДУС"</t>
  </si>
  <si>
    <t>4704096923</t>
  </si>
  <si>
    <t>ЛЕНИНГРАДСКАЯ ОБЛ.,КИРОВСКИЙ Р-Н,Г ОТРАДНОЕ,УЛ НОВАЯ, 6</t>
  </si>
  <si>
    <t>Сабаев Владислав Вагисович</t>
  </si>
  <si>
    <t>+7 (812) 325-82-94'</t>
  </si>
  <si>
    <t>59.694182,30.809645</t>
  </si>
  <si>
    <t>ОБЩЕСТВО С ОГРАНИЧЕННОЙ ОТВЕТСТВЕННОСТЬЮ "ЗАВОД "КОНКРИТ И ФЕРРУМ"</t>
  </si>
  <si>
    <t>"ЗАВОД "КОНКРИТ И ФЕРРУМ"</t>
  </si>
  <si>
    <t>4716044782</t>
  </si>
  <si>
    <t>187026, ЛЕНИНГРАДСКАЯ ОБЛАСТЬ, РАЙОН ТОСНЕНСКИЙ, ГОРОД НИКОЛЬСКОЕ, ШОССЕ УЛЬЯНОВСКОЕ, ДОМ 3, ПОМЕЩЕНИЕ 7</t>
  </si>
  <si>
    <t>Молчанов Виктор Владимирович</t>
  </si>
  <si>
    <t>+7 (905) 211-14-25'</t>
  </si>
  <si>
    <t>59.534979,30.855082</t>
  </si>
  <si>
    <t>ОБЩЕСТВО С ОГРАНИЧЕННОЙ ОТВЕТСТВЕННОСТЬЮ "Бетонор неруд"</t>
  </si>
  <si>
    <t>"Бетонор неруд"</t>
  </si>
  <si>
    <t>4716037672</t>
  </si>
  <si>
    <t>187000, ЛЕНИНГРАДСКАЯ ОБЛАСТЬ, Р-Н ТОСНЕНСКИЙ, Г. ТОСНО, УЛ. ЭНЕРГЕТИКОВ, Д. 2/3</t>
  </si>
  <si>
    <t>Петренко Олег Иванович</t>
  </si>
  <si>
    <t>+7 (911) 016-00-61', '+7 (981) 797-74-71'</t>
  </si>
  <si>
    <t>beton@bk.ru'</t>
  </si>
  <si>
    <t>59.854404,30.966473</t>
  </si>
  <si>
    <t>ОБЩЕСТВО С ОГРАНИЧЕННОЙ ОТВЕТСТВЕННОСТЬЮ "АТЛАНТИКА "</t>
  </si>
  <si>
    <t>"АТЛАНТИКА "</t>
  </si>
  <si>
    <t>4706041782</t>
  </si>
  <si>
    <t>187342, ЛЕНИНГРАДСКАЯ ОБЛАСТЬ, РАЙОН КИРОВСКИЙ, ГОРОД КИРОВСК, УЛИЦА НАБЕРЕЖНАЯ, ДОМ 1/20А, ПОМЕЩЕНИЕ  6</t>
  </si>
  <si>
    <t>Закарян Артур Гагикович</t>
  </si>
  <si>
    <t>6732123@mail.ru'</t>
  </si>
  <si>
    <t>59.889562,30.995066</t>
  </si>
  <si>
    <t>ОБЩЕСТВО С ОГРАНИЧЕННОЙ ОТВЕТСТВЕННОСТЬЮ "ЗВЕЗДА"</t>
  </si>
  <si>
    <t>"ЗВЕЗДА"</t>
  </si>
  <si>
    <t>4706026985</t>
  </si>
  <si>
    <t>187341, ЛЕНИНГРАДСКАЯ ОБЛАСТЬ, РАЙОН КИРОВСКИЙ, ГОРОД КИРОВСК, УЛИЦА СЕВЕРНАЯ, ДОМ 4, КОМНАТА 48</t>
  </si>
  <si>
    <t>Тимофеев Михаил Вячеславович</t>
  </si>
  <si>
    <t>+7 (921) 906-73-65'</t>
  </si>
  <si>
    <t>YNSERV@MAIL.RU'</t>
  </si>
  <si>
    <t>59.88906,30.999971</t>
  </si>
  <si>
    <t>ОБЩЕСТВО С ОГРАНИЧЕННОЙ ОТВЕТСТВЕННОСТЬЮ "ВЕКТОР ЖБИ"</t>
  </si>
  <si>
    <t>"ВЕКТОР ЖБИ"</t>
  </si>
  <si>
    <t>4706042480</t>
  </si>
  <si>
    <t>187342, ЛЕНИНГРАДСКАЯ ОБЛ., Кировский Р-Н, Г. Кировск, УЛ. СЕВЕРНАЯ, Д. 18, ЛИТЕРА А, ПОМЕЩ. 4/1</t>
  </si>
  <si>
    <t>Смирнова Екатерина Евгеньевна</t>
  </si>
  <si>
    <t>58.523496,31.191519</t>
  </si>
  <si>
    <t>ОБЩЕСТВО С ОГРАНИЧЕННОЙ ОТВЕТСТВЕННОСТЬЮ "ФЕЛИКС"</t>
  </si>
  <si>
    <t>"ФЕЛИКС"</t>
  </si>
  <si>
    <t>5310019353</t>
  </si>
  <si>
    <t>53-Новгородская область</t>
  </si>
  <si>
    <t>173517, НОВГОРОДСКАЯ ОБЛ., Р-Н Новгородский, ЗОНА НОВАЯ МЕЛЬНИЦА САДОВОЕ ТОВАРИЩЕСТВО ДУБРАВА, УЧАСТОК 12</t>
  </si>
  <si>
    <t>Погосян Мкртич Вачаганович</t>
  </si>
  <si>
    <t>65.196321,31.196693</t>
  </si>
  <si>
    <t>ОБЩЕСТВО С ОГРАНИЧЕННОЙ ОТВЕТСТВЕННОСТЬЮ "Авангард"</t>
  </si>
  <si>
    <t>"Авангард"</t>
  </si>
  <si>
    <t>1017002390</t>
  </si>
  <si>
    <t>186910, КАРЕЛИЯ РЕСПУБЛИКА, Р-Н КАЛЕВАЛЬСКИЙ, ПГТ КАЛЕВАЛА, УЛ. СОВЕТСКАЯ, Д.24,..</t>
  </si>
  <si>
    <t>Мизернюк Сергей Вячеславович</t>
  </si>
  <si>
    <t>58.501727,31.201346</t>
  </si>
  <si>
    <t>ОБЩЕСТВО С ОГРАНИЧЕННОЙ ОТВЕТСТВЕННОСТЬЮ "ЖБК"</t>
  </si>
  <si>
    <t>"ЖБК"</t>
  </si>
  <si>
    <t>5310023529</t>
  </si>
  <si>
    <t>173526, НОВГОРОДСКАЯ ОБЛАСТЬ, НОВГОРОДСКИЙ РАЙОН, РАБОЧИЙ ПОСЕЛОК ПАНКОВКА, УЛИЦА ИНДУСТРИАЛЬНАЯ, ДОМ 26, ПОМЕЩЕНИЕ 42</t>
  </si>
  <si>
    <t>Торгашев Антон Владимирович</t>
  </si>
  <si>
    <t>+7 (911) 630-05-92'</t>
  </si>
  <si>
    <t>59.877615,31.211381</t>
  </si>
  <si>
    <t>ОБЩЕСТВО С ОГРАНИЧЕННОЙ ОТВЕТСТВЕННОСТЬЮ "КВАНТ-СТРОЙ"</t>
  </si>
  <si>
    <t>"КВАНТ-СТРОЙ"</t>
  </si>
  <si>
    <t>4706037793</t>
  </si>
  <si>
    <t>187322, ЛЕНИНГРАДСКАЯ ОБЛАСТЬ, РАЙОН КИРОВСКИЙ, СИНЯВИНО ПГТ, УЛИЦА ВОСТОЧНАЯ, ДОМ 14А</t>
  </si>
  <si>
    <t>Николаева Юлия Ивановна</t>
  </si>
  <si>
    <t>+7 (911) 275-50-40'</t>
  </si>
  <si>
    <t>Klim17071978@mail.ru'</t>
  </si>
  <si>
    <t>58.545434,31.244753</t>
  </si>
  <si>
    <t>ОБЩЕСТВО С ОГРАНИЧЕННОЙ ОТВЕТСТВЕННОСТЬЮ "НОВТЕХНОСТРОЙ"</t>
  </si>
  <si>
    <t>"НОВТЕХНОСТРОЙ"</t>
  </si>
  <si>
    <t>5310014281</t>
  </si>
  <si>
    <t>173016, Новгородская область, городской округ ВЕЛИКИЙ НОВГОРОД, Город ВЕЛИКИЙ НОВГОРОД, ПР-КТ АЛЕКСАНДРА КОРСУНОВА, Д. 14А, ОФИС 516</t>
  </si>
  <si>
    <t>Малышев Андрей Вячеславович</t>
  </si>
  <si>
    <t>+7 (905) 291-54-66'</t>
  </si>
  <si>
    <t>58.537436,31.270678</t>
  </si>
  <si>
    <t>ОБЩЕСТВО С ОГРАНИЧЕННОЙ ОТВЕТСТВЕННОСТЬЮ "СТРОЙИНВЕСТ"</t>
  </si>
  <si>
    <t>"СТРОЙИНВЕСТ"</t>
  </si>
  <si>
    <t>5311006886</t>
  </si>
  <si>
    <t>173003, НОВГОРОДСКАЯ ОБЛАСТЬ, ГОРОД ВЕЛИКИЙ НОВГОРОД, НАБЕРЕЖНАЯ Р. ГЗЕНЬ, ДОМ 5, ОФИС 810</t>
  </si>
  <si>
    <t>Тюлюковский Виктор Викторович</t>
  </si>
  <si>
    <t>+7 (921) 705-72-10'</t>
  </si>
  <si>
    <t>58.567298,31.2772</t>
  </si>
  <si>
    <t>ОБЩЕСТВО С ОГРАНИЧЕННОЙ ОТВЕТСТВЕННОСТЬЮ "Новкадры"</t>
  </si>
  <si>
    <t>"Новкадры"</t>
  </si>
  <si>
    <t>5321154210</t>
  </si>
  <si>
    <t>173008, НОВГОРОДСКАЯ ОБЛАСТЬ, Г. ВЕЛИКИЙ НОВГОРОД, УЛ. СЕВЕРНАЯ, Д. 2, ОФИС 6</t>
  </si>
  <si>
    <t>Фокина Вероника Сергеевна</t>
  </si>
  <si>
    <t>+7 (911) 600-44-40'</t>
  </si>
  <si>
    <t>58.516503,31.29134</t>
  </si>
  <si>
    <t>ОБЩЕСТВО С ОГРАНИЧЕННОЙ ОТВЕТСТВЕННОСТЬЮ "Стройтехмонтаж"</t>
  </si>
  <si>
    <t>"Стройтехмонтаж"</t>
  </si>
  <si>
    <t>5321149019</t>
  </si>
  <si>
    <t>173000, НОВГОРОДСКАЯ ОБЛ., Г. Великий Новгород, УЛ. СЛАВНАЯ, Д. 32/23, ОФИС 7</t>
  </si>
  <si>
    <t>Копыл Евгений Витальевич</t>
  </si>
  <si>
    <t>58.538859,31.304302</t>
  </si>
  <si>
    <t>ОБЩЕСТВО С ОГРАНИЧЕННОЙ ОТВЕТСТВЕННОСТЬЮ "БРИК"</t>
  </si>
  <si>
    <t>"БРИК"</t>
  </si>
  <si>
    <t>5321174424</t>
  </si>
  <si>
    <t>173020, НОВГОРОДСКАЯ ОБЛ, ВЕЛИКИЙ НОВГОРОД Г, БОЛЬШАЯ МОСКОВСКАЯ УЛ, Д 104, КОРП 2,..</t>
  </si>
  <si>
    <t>Сывороткин Александр Борисович</t>
  </si>
  <si>
    <t>+7 (921) 197-78-91', '+7 (921) 200-55-00'</t>
  </si>
  <si>
    <t>57.975408,31.359989</t>
  </si>
  <si>
    <t>ОБЩЕСТВО С ОГРАНИЧЕННОЙ ОТВЕТСТВЕННОСТЬЮ "ЕСОАРБОЛИТ"</t>
  </si>
  <si>
    <t>"ЕСОАРБОЛИТ"</t>
  </si>
  <si>
    <t>5300002079</t>
  </si>
  <si>
    <t>175201, Новгородская область, муниципальный район СТАРОРУССКИЙ, Город СТАРАЯ РУССА, городское поселение ГОРОД СТАРАЯ РУССА, МКР ГОРОДОК, Д. 18,..</t>
  </si>
  <si>
    <t>Артемьева Ирина Михайловна</t>
  </si>
  <si>
    <t>9214454113@MAIL.RU'</t>
  </si>
  <si>
    <t>58.613496,31.399245</t>
  </si>
  <si>
    <t>ОБЩЕСТВО С ОГРАНИЧЕННОЙ ОТВЕТСТВЕННОСТЬЮ "СЕТРО.ПРО"</t>
  </si>
  <si>
    <t>"СЕТРО.ПРО"</t>
  </si>
  <si>
    <t>5300001195</t>
  </si>
  <si>
    <t>НОВГОРОДСКАЯ ОБЛ., Г. Великий Новгород, МКР. КРЕЧЕВИЦЫ, Д. 5</t>
  </si>
  <si>
    <t>Герасимов Роман Вячеславович</t>
  </si>
  <si>
    <t>INFO@SETRO.PRO'</t>
  </si>
  <si>
    <t>58.573675,31.451069</t>
  </si>
  <si>
    <t>ОБЩЕСТВО С ОГРАНИЧЕННОЙ ОТВЕТСТВЕННОСТЬЮ "СТРОЙТЕХНИКА"</t>
  </si>
  <si>
    <t>"СТРОЙТЕХНИКА"</t>
  </si>
  <si>
    <t>5321158768</t>
  </si>
  <si>
    <t>173021, НОВГОРОДСКАЯ ОБЛАСТЬ, РАЙОН НОВГОРОДСКИЙ, ДЕРЕВНЯ НОВАЯ МЕЛЬНИЦА, 102А, 1, 12</t>
  </si>
  <si>
    <t>Есин Сергей Николаевич</t>
  </si>
  <si>
    <t>esn558545@yandex.ru'</t>
  </si>
  <si>
    <t>54.783393,31.808823</t>
  </si>
  <si>
    <t>ОБЩЕСТВО С ОГРАНИЧЕННОЙ ОТВЕТСТВЕННОСТЬЮ "ДЮБЕЛЁК"</t>
  </si>
  <si>
    <t>"ДЮБЕЛЁК"</t>
  </si>
  <si>
    <t>6732229791</t>
  </si>
  <si>
    <t>67-Смоленская область</t>
  </si>
  <si>
    <t>214034, Смоленская область, ГОРОД СМОЛЕНСК, Г СМОЛЕНСК, УЛ ЩОРСА, Д. 4</t>
  </si>
  <si>
    <t>Фильченков Илья Алексеевич</t>
  </si>
  <si>
    <t>LUCHIUS2016@GMAIL.COM'</t>
  </si>
  <si>
    <t>52.532467,31.947559</t>
  </si>
  <si>
    <t>ОБЩЕСТВО С ОГРАНИЧЕННОЙ ОТВЕТСТВЕННОСТЬЮ "Пенобетон"</t>
  </si>
  <si>
    <t>"Пенобетон"</t>
  </si>
  <si>
    <t>3241011759</t>
  </si>
  <si>
    <t>32-Брянская область</t>
  </si>
  <si>
    <t>243020, Брянская область, г Новозыбков, ул Мичурина, д 12-А</t>
  </si>
  <si>
    <t>Черных Максим Николаевич</t>
  </si>
  <si>
    <t>54.782827,31.948341</t>
  </si>
  <si>
    <t>ОБЩЕСТВО С ОГРАНИЧЕННОЙ ОТВЕТСТВЕННОСТЬЮ "СМОЛСТОУНГРУПП"</t>
  </si>
  <si>
    <t>"СМОЛСТОУНГРУПП"</t>
  </si>
  <si>
    <t>6714052816</t>
  </si>
  <si>
    <t>214022, Смоленская область, муниципальный район СМОЛЕНСКИЙ, Д ДАЧНАЯ-1, сельское поселение ГНЕЗДОВСКОЕ, УЛ НОВАЯ, Д. 2,</t>
  </si>
  <si>
    <t>Ефимцов Александр Александрович</t>
  </si>
  <si>
    <t>54.755326,31.955105</t>
  </si>
  <si>
    <t>ОБЩЕСТВО С ОГРАНИЧЕННОЙ ОТВЕТСТВЕННОСТЬЮ "БСС"</t>
  </si>
  <si>
    <t>"БСС"</t>
  </si>
  <si>
    <t>6714053168</t>
  </si>
  <si>
    <t>214501, Смоленская область, муниципальный район СМОЛЕНСКИЙ, Д МИХНОВКА, сельское поселение МИХНОВСКОЕ, УЛ РОЖДЕСТВЕНСКАЯ, Д. 30/1,..</t>
  </si>
  <si>
    <t>Косарев Иван Алексеевич</t>
  </si>
  <si>
    <t>54.79158,31.971275</t>
  </si>
  <si>
    <t>ОБЩЕСТВО С ОГРАНИЧЕННОЙ ОТВЕТСТВЕННОСТЬЮ "ТРОЯ"</t>
  </si>
  <si>
    <t>"ТРОЯ"</t>
  </si>
  <si>
    <t>6726021594</t>
  </si>
  <si>
    <t>214022, СМОЛЕНСКАЯ ОБЛАСТЬ, Г. СМОЛЕНСК, П СЕРЕБРЯНКА, Д. 84, К. Б, ОФИС 22</t>
  </si>
  <si>
    <t>Лютых Андрей Владимирович</t>
  </si>
  <si>
    <t>+7 (951) 695-86-10', '+7 (900) 222-22-44'</t>
  </si>
  <si>
    <t>gbi@mail.ru'</t>
  </si>
  <si>
    <t>54.771975,31.989106</t>
  </si>
  <si>
    <t>ОБЩЕСТВО С ОГРАНИЧЕННОЙ ОТВЕТСТВЕННОСТЬЮ "ПРОФЛИДЕР67"</t>
  </si>
  <si>
    <t>"ПРОФЛИДЕР67"</t>
  </si>
  <si>
    <t>6732144523</t>
  </si>
  <si>
    <t>214030, СМОЛЕНСКАЯ ОБЛ, СМОЛЕНСК Г, КРАСНИНСКОЕ Ш, ДОМ 18, ЭТАЖ ЦОКОЛЬНЫЙ, ПОМЕЩЕНИЕ 2</t>
  </si>
  <si>
    <t>Силюк Николай Степанович</t>
  </si>
  <si>
    <t>+7 (903) 698-86-79'</t>
  </si>
  <si>
    <t>54.769503,31.989349</t>
  </si>
  <si>
    <t>ОБЩЕСТВО С ОГРАНИЧЕННОЙ ОТВЕТСТВЕННОСТЬЮ "МАМОНТОВ"</t>
  </si>
  <si>
    <t>"МАМОНТОВ"</t>
  </si>
  <si>
    <t>6732206561</t>
  </si>
  <si>
    <t>214030, СМОЛЕНСКАЯ ОБЛ., Г. Смоленск, Ш. КРАСНИНСКОЕ, Д. 29, ПОМЕЩ. 14</t>
  </si>
  <si>
    <t>Мамонтов Виктор Иванович</t>
  </si>
  <si>
    <t>54.76836,32.008707</t>
  </si>
  <si>
    <t>ОБЩЕСТВО С ОГРАНИЧЕННОЙ ОТВЕТСТВЕННОСТЬЮ "ЕВАСТРОЙ"</t>
  </si>
  <si>
    <t>"ЕВАСТРОЙ"</t>
  </si>
  <si>
    <t>6732161977</t>
  </si>
  <si>
    <t>214030, Смоленская область, городской округ ГОРОД СМОЛЕНСК, Город СМОЛЕНСК, УЛ НИКОЛАЕВА, Д. 74, ОФИС 25.1</t>
  </si>
  <si>
    <t>Щукин Евгений Константинович</t>
  </si>
  <si>
    <t>54.787754,32.013343</t>
  </si>
  <si>
    <t>ОБЩЕСТВО С ОГРАНИЧЕННОЙ ОТВЕТСТВЕННОСТЬЮ "ЖБИ КОМПЛЕКС"</t>
  </si>
  <si>
    <t>"ЖБИ КОМПЛЕКС"</t>
  </si>
  <si>
    <t>6726019725</t>
  </si>
  <si>
    <t>Г СМОЛЕНСК,УЛ НОВО-КРАСНОФЛОТСКАЯ Д 7..</t>
  </si>
  <si>
    <t>Беседин Сергей Николаевич</t>
  </si>
  <si>
    <t>+7 (905) 697-28-83'</t>
  </si>
  <si>
    <t>54.77387,32.019882</t>
  </si>
  <si>
    <t>ОБЩЕСТВО С ОГРАНИЧЕННОЙ ОТВЕТСТВЕННОСТЬЮ "СТОРМ"</t>
  </si>
  <si>
    <t>"СТОРМ"</t>
  </si>
  <si>
    <t>6732224240</t>
  </si>
  <si>
    <t>214030, Смоленская область, ГОРОД СМОЛЕНСК, Г СМОЛЕНСК, УЛ НОРМАНДИЯ-НЕМАН, Д. 16</t>
  </si>
  <si>
    <t>Прохоренков Максим Игоревич</t>
  </si>
  <si>
    <t>STORMSMOL@MAIL.RU'</t>
  </si>
  <si>
    <t>54.853713,32.036995</t>
  </si>
  <si>
    <t>ОБЩЕСТВО С ОГРАНИЧЕННОЙ ОТВЕТСТВЕННОСТЬЮ "Печерский завод ЖБИ"</t>
  </si>
  <si>
    <t>"Печерский завод ЖБИ"</t>
  </si>
  <si>
    <t>6714033620</t>
  </si>
  <si>
    <t>214530, Смоленская область, Смоленский район, с Печерск, ул Автодорожная д 1</t>
  </si>
  <si>
    <t>Ковалев Сергей Александрович</t>
  </si>
  <si>
    <t>+7 (908) 281-00-00'</t>
  </si>
  <si>
    <t>gbipechersk@mail.ru', 'gbipechersk@mail.ru'</t>
  </si>
  <si>
    <t>54.764843,32.039214</t>
  </si>
  <si>
    <t>ОБЩЕСТВО С ОГРАНИЧЕННОЙ ОТВЕТСТВЕННОСТЬЮ "ПРОМЫШЛЕННЫЕ ЖЕЛЕЗОБЕТОННЫЕ ИЗДЕЛИЯ"</t>
  </si>
  <si>
    <t>"ПРОМЫШЛЕННЫЕ ЖЕЛЕЗОБЕТОННЫЕ ИЗДЕЛИЯ"</t>
  </si>
  <si>
    <t>6732192206</t>
  </si>
  <si>
    <t>214004, СМОЛЕНСКАЯ ОБЛАСТЬ, ГОРОД СМОЛЕНСК, УЛИЦА ПРИГОРОДНАЯ, ДОМ 18, ОФИС 9А</t>
  </si>
  <si>
    <t>Русанцов Андрей Сергеевич</t>
  </si>
  <si>
    <t>54.767409,32.039214</t>
  </si>
  <si>
    <t>ОБЩЕСТВО С ОГРАНИЧЕННОЙ ОТВЕТСТВЕННОСТЬЮ "СТРОНГ"</t>
  </si>
  <si>
    <t>"СТРОНГ"</t>
  </si>
  <si>
    <t>6732164960</t>
  </si>
  <si>
    <t>214004, СМОЛЕНСКАЯ ОБЛАСТЬ, Г. СМОЛЕНСК, УЛ. ПРИГОРОДНАЯ, Д. 4, ПОМЕЩ. 3</t>
  </si>
  <si>
    <t>Чобан Сергей Фёдорович</t>
  </si>
  <si>
    <t>+7 (903) 890-08-02'</t>
  </si>
  <si>
    <t>54.793475,32.039816</t>
  </si>
  <si>
    <t>6732165442</t>
  </si>
  <si>
    <t>214012, СМОЛЕНСКАЯ ОБЛАСТЬ, ГОРОД СМОЛЕНСК, УЛИЦА САДОВАЯ 2-Я, ДОМ 25-А, ОФИС Г 8</t>
  </si>
  <si>
    <t>Емельянов Юрий Иванович</t>
  </si>
  <si>
    <t>54.77494,32.044568</t>
  </si>
  <si>
    <t>ОБЩЕСТВО С ОГРАНИЧЕННОЙ ОТВЕТСТВЕННОСТЬЮ "ТрейдПрофи"</t>
  </si>
  <si>
    <t>"ТрейдПрофи"</t>
  </si>
  <si>
    <t>6732051614</t>
  </si>
  <si>
    <t>214000, СМОЛЕНСКАЯ ОБЛ, СМОЛЕНСК Г, ОКТЯБРЬСКОЙ РЕВОЛЮЦИИ УЛ, 9, ОФИС 215</t>
  </si>
  <si>
    <t>Кузнецов Виталий Николаевич</t>
  </si>
  <si>
    <t>marfan@list.ru'</t>
  </si>
  <si>
    <t>54.782635,32.045287</t>
  </si>
  <si>
    <t>ОБЩЕСТВО С ОГРАНИЧЕННОЙ ОТВЕТСТВЕННОСТЬЮ "ТРУБНЫЙ СТРОИТЕЛЬНЫЙ КОМБИНАТ"</t>
  </si>
  <si>
    <t>"ТРУБНЫЙ СТРОИТЕЛЬНЫЙ КОМБИНАТ"</t>
  </si>
  <si>
    <t>6732220020</t>
  </si>
  <si>
    <t>214013, СМОЛЕНСКАЯ ОБЛ., Г. Смоленск, УЛ. НИКОЛАЕВА, Д. 85, ПОМЕЩ. 14 Г</t>
  </si>
  <si>
    <t>Тарасов Юрий Викторович</t>
  </si>
  <si>
    <t>PROMS@MAIL.RU'</t>
  </si>
  <si>
    <t>54.790687,32.060765</t>
  </si>
  <si>
    <t>ОБЩЕСТВО С ОГРАНИЧЕННОЙ ОТВЕТСТВЕННОСТЬЮ "БРИГ"</t>
  </si>
  <si>
    <t>"БРИГ"</t>
  </si>
  <si>
    <t>6732158283</t>
  </si>
  <si>
    <t>214000, СМОЛЕНСКАЯ ОБЛ, СМОЛЕНСК Г, ТИМИРЯЗЕВА УЛ, ДОМ 2,..</t>
  </si>
  <si>
    <t>Григорьев Сергей Анатольевич</t>
  </si>
  <si>
    <t>+7 (481) 224-00-34'</t>
  </si>
  <si>
    <t>54.779105,32.063954</t>
  </si>
  <si>
    <t>ОБЩЕСТВО С ОГРАНИЧЕННОЙ ОТВЕТСТВЕННОСТЬЮ "АКВАЛЬ"</t>
  </si>
  <si>
    <t>"АКВАЛЬ"</t>
  </si>
  <si>
    <t>6726019443</t>
  </si>
  <si>
    <t>214014, СМОЛЕНСКАЯ ОБЛАСТЬ, Г. СМОЛЕНСК, УЛ. ЧАПЛИНА, Д. 12, ПОМЕЩ. 19</t>
  </si>
  <si>
    <t>Данилова Мария Андреевна</t>
  </si>
  <si>
    <t>+7 (910) 718-87-24', '+7 (915) 655-55-79'</t>
  </si>
  <si>
    <t>54.780055,32.064232</t>
  </si>
  <si>
    <t>ОБЩЕСТВО С ОГРАНИЧЕННОЙ ОТВЕТСТВЕННОСТЬЮ Научно-производственное предприятие "БАЗИССТРОЙ"</t>
  </si>
  <si>
    <t>Научно-производственное предприятие "БАЗИССТРОЙ"</t>
  </si>
  <si>
    <t>6732040676</t>
  </si>
  <si>
    <t>214014, СМОЛЕНСКАЯ ОБЛАСТЬ, Г. СМОЛЕНСК, УЛ. ЭНГЕЛЬСА, Д. 21/5, ОФИС 4</t>
  </si>
  <si>
    <t>Володин Александр Петрович</t>
  </si>
  <si>
    <t>54.81832,32.064556</t>
  </si>
  <si>
    <t>ОБЩЕСТВО С ОГРАНИЧЕННОЙ ОТВЕТСТВЕННОСТЬЮ "СОВРЕМЕННЫЕ БЕТОННЫЕ КОНСТРУКЦИИ"</t>
  </si>
  <si>
    <t>"СОВРЕМЕННЫЕ БЕТОННЫЕ КОНСТРУКЦИИ"</t>
  </si>
  <si>
    <t>6732213576</t>
  </si>
  <si>
    <t>214011, СМОЛЕНСКАЯ ОБЛ., Г. Смоленск, УЛ. АВТОЗАВОДСКАЯ, Д. 50А, ПОМЕЩ. 3 ОФИС 10</t>
  </si>
  <si>
    <t>ДИРЕКТОР Самосейко Андрей Анатольевич</t>
  </si>
  <si>
    <t>54.768464,32.066173</t>
  </si>
  <si>
    <t>ОБЩЕСТВО С ОГРАНИЧЕННОЙ ОТВЕТСТВЕННОСТЬЮ "ГЕОДЕЗПРОФ"</t>
  </si>
  <si>
    <t>"ГЕОДЕЗПРОФ"</t>
  </si>
  <si>
    <t>6732205374</t>
  </si>
  <si>
    <t>214019, Смоленская область, городской округ ГОРОД СМОЛЕНСК, Город СМОЛЕНСК, ПРОЕЗД ТРАМВАЙНЫЙ, Д. 6В, ОФИС 12</t>
  </si>
  <si>
    <t>Гульчевская Валерия Владимировна</t>
  </si>
  <si>
    <t>+7 (930) 306-20-78'</t>
  </si>
  <si>
    <t>54.809931,32.070413</t>
  </si>
  <si>
    <t>ОБЩЕСТВО С ОГРАНИЧЕННОЙ ОТВЕТСТВЕННОСТЬЮ "АВАНТАЖ СТРОЙ"</t>
  </si>
  <si>
    <t>"АВАНТАЖ СТРОЙ"</t>
  </si>
  <si>
    <t>6732152436</t>
  </si>
  <si>
    <t>214005, СМОЛЕНСКАЯ ОБЛ, СМОЛЕНСК Г, СЕВЕРНАЯ 3-Я УЛ, ДОМ 64</t>
  </si>
  <si>
    <t>Дорышев Вячеслав Александрович</t>
  </si>
  <si>
    <t>+7 (951) 705-39-39'</t>
  </si>
  <si>
    <t>54.777235,32.07574</t>
  </si>
  <si>
    <t>ОБЩЕСТВО С ОГРАНИЧЕННОЙ ОТВЕТСТВЕННОСТЬЮ "СМОЛЕНСКАЯ ДОРОЖНАЯ СТРОИТЕЛЬНАЯ КОМПАНИЯ"</t>
  </si>
  <si>
    <t>"СМОЛЕНСКАЯ ДОРОЖНАЯ СТРОИТЕЛЬНАЯ КОМПАНИЯ"</t>
  </si>
  <si>
    <t>6732032227</t>
  </si>
  <si>
    <t>214020, СМОЛЕНСКАЯ ОБЛАСТЬ, Г. СМОЛЕНСК, УЛ. ШЕВЧЕНКО, Д.73 А,..</t>
  </si>
  <si>
    <t>Шелехова Юлия Владимировна</t>
  </si>
  <si>
    <t>54.738146,32.091568</t>
  </si>
  <si>
    <t>ОБЩЕСТВО С ОГРАНИЧЕННОЙ ОТВЕТСТВЕННОСТЬЮ  ПК "СМОЛЭЛИТБЕТОН"</t>
  </si>
  <si>
    <t xml:space="preserve"> ПК "СМОЛЭЛИТБЕТОН"</t>
  </si>
  <si>
    <t>6732070720</t>
  </si>
  <si>
    <t>http://smolelitbeton.ru</t>
  </si>
  <si>
    <t>214009, Смоленская область, г Смоленск, микрорайон Южный д 29 Б..</t>
  </si>
  <si>
    <t>Карабанова Ирина Игоревна</t>
  </si>
  <si>
    <t>+7 (951) 694-78-16'</t>
  </si>
  <si>
    <t>smolelitbeton@mail.ru'</t>
  </si>
  <si>
    <t>54.734632,32.092736</t>
  </si>
  <si>
    <t>ОБЩЕСТВО С ОГРАНИЧЕННОЙ ОТВЕТСТВЕННОСТЬЮ "ПРОИЗВОДСТВЕННОЕ ОБЪЕДИНЕНИЕ "ЭНЕРГОРЕСУРС"</t>
  </si>
  <si>
    <t>"ПРОИЗВОДСТВЕННОЕ ОБЪЕДИНЕНИЕ "ЭНЕРГОРЕСУРС"</t>
  </si>
  <si>
    <t>6732191851</t>
  </si>
  <si>
    <t>214009, СМОЛЕНСКАЯ ОБЛАСТЬ, ГОРОД СМОЛЕНСК, ШОССЕ РОСЛАВЛЬСКОЕ, ДОМ 5КМ, КОРПУС 1, ПОМЕЩЕНИЕ 23</t>
  </si>
  <si>
    <t>Лавров Андрей Николаевич</t>
  </si>
  <si>
    <t>+7 (920) 668-84-82'</t>
  </si>
  <si>
    <t>54.79036,32.097236</t>
  </si>
  <si>
    <t>ОБЩЕСТВО С ОГРАНИЧЕННОЙ ОТВЕТСТВЕННОСТЬЮ "БЕТОНПРО"</t>
  </si>
  <si>
    <t>"БЕТОНПРО"</t>
  </si>
  <si>
    <t>6732187291</t>
  </si>
  <si>
    <t>214020, СМОЛЕНСКАЯ ОБЛАСТЬ, ГОРОД СМОЛЕНСК, УЛИЦА ШЕВЧЕНКО, ДОМ 99А, ОФИС 217</t>
  </si>
  <si>
    <t>Самосудова Екатерина Владимировна</t>
  </si>
  <si>
    <t>+7 (920) 316-08-02'</t>
  </si>
  <si>
    <t>betonpro67@gmail.com'</t>
  </si>
  <si>
    <t>54.777999,32.108178</t>
  </si>
  <si>
    <t>ОБЩЕСТВО С ОГРАНИЧЕННОЙ ОТВЕТСТВЕННОСТЬЮ "КОНКРЕЙТ"</t>
  </si>
  <si>
    <t>"КОНКРЕЙТ"</t>
  </si>
  <si>
    <t>6732164030</t>
  </si>
  <si>
    <t>214031, СМОЛЕНСКАЯ ОБЛ, СМОЛЕНСК Г, ИНДУСТРИАЛЬНАЯ УЛ, ДОМ 9, ОФИС 1</t>
  </si>
  <si>
    <t>Серенков Роман Викторович</t>
  </si>
  <si>
    <t>54.776358,32.112014</t>
  </si>
  <si>
    <t>ОБЩЕСТВО С ОГРАНИЧЕННОЙ ОТВЕТСТВЕННОСТЬЮ СТРОИТЕЛЬНАЯ КОМПАНИЯ "РЕГИОНСТРОЙ"</t>
  </si>
  <si>
    <t>СТРОИТЕЛЬНАЯ КОМПАНИЯ "РЕГИОНСТРОЙ"</t>
  </si>
  <si>
    <t>6732131958</t>
  </si>
  <si>
    <t>214036, СМОЛЕНСКАЯ ОБЛ, СМОЛЕНСК Г, СМОЛЬЯНИНОВА УЛ, ДОМ 15, ОФИС 332</t>
  </si>
  <si>
    <t>Шарков Илья Викторович</t>
  </si>
  <si>
    <t>+7 (915) 658-99-58'</t>
  </si>
  <si>
    <t>54.813775,32.120763</t>
  </si>
  <si>
    <t>6732072614</t>
  </si>
  <si>
    <t>214010, СМОЛЕНСКАЯ ОБЛАСТЬ, Г. СМОЛЕНСК, УЛ. ФИЛАТОВА, Д. 3</t>
  </si>
  <si>
    <t>Подрез Владислав Юрьевич</t>
  </si>
  <si>
    <t>54.789717,32.167296</t>
  </si>
  <si>
    <t>ОБЩЕСТВО С ОГРАНИЧЕННОЙ ОТВЕТСТВЕННОСТЬЮ "АТАК"</t>
  </si>
  <si>
    <t>"АТАК"</t>
  </si>
  <si>
    <t>6732216640</t>
  </si>
  <si>
    <t>214033, СМОЛЕНСКАЯ ОБЛ., Г. Смоленск, УЛ. БОЛЬШАЯ НАГОРНАЯ, Д. 57А</t>
  </si>
  <si>
    <t>Бондаренко Егор Юрьевич</t>
  </si>
  <si>
    <t>67.380079,32.506437</t>
  </si>
  <si>
    <t>ОБЩЕСТВО С ОГРАНИЧЕННОЙ ОТВЕТСТВЕННОСТЬЮ "БЕТОННЫЙ ЗАВОД"</t>
  </si>
  <si>
    <t>"БЕТОННЫЙ ЗАВОД"</t>
  </si>
  <si>
    <t>5117000040</t>
  </si>
  <si>
    <t>51-Мурманская область</t>
  </si>
  <si>
    <t>184230, Мурманская область, г Полярные Зори, ул Промышленная, д 3</t>
  </si>
  <si>
    <t>Королев Олег Вячеславович</t>
  </si>
  <si>
    <t>eo@mail.ru'</t>
  </si>
  <si>
    <t>60.147186,32.55208</t>
  </si>
  <si>
    <t>ОБЩЕСТВО С ОГРАНИЧЕННОЙ ОТВЕТСТВЕННОСТЬЮ "К-БЛОК"</t>
  </si>
  <si>
    <t>"К-БЛОК"</t>
  </si>
  <si>
    <t>4702021369</t>
  </si>
  <si>
    <t>187420, ЛЕНИНГРАДСКАЯ ОБЛ., Р-Н Волховский, Г. Сясьстрой, УЛ. ПЕТРОЗАВОДСКАЯ, Д. 25,..</t>
  </si>
  <si>
    <t>Качурин Вячеслав Михайлович</t>
  </si>
  <si>
    <t>60.136237,32.569849</t>
  </si>
  <si>
    <t>ОБЩЕСТВО С ОГРАНИЧЕННОЙ ОТВЕТСТВЕННОСТЬЮ "Теплый дом"</t>
  </si>
  <si>
    <t>"Теплый дом"</t>
  </si>
  <si>
    <t>4702015990</t>
  </si>
  <si>
    <t>187420, ЛЕНИНГРАДСКАЯ ОБЛАСТЬ, РАЙОН ВОЛХОВСКИЙ, ГОРОД СЯСЬСТРОЙ, УЛИЦА КУЛЬТУРЫ, 21, А</t>
  </si>
  <si>
    <t>Валунас Леонид Ромуальдасович</t>
  </si>
  <si>
    <t>+7 (911) 939-96-71'</t>
  </si>
  <si>
    <t>60.002539,32.616939</t>
  </si>
  <si>
    <t>ОБЩЕСТВО С ОГРАНИЧЕННОЙ ОТВЕТСТВЕННОСТЬЮ "СЯСЬСТРОЙСКИЙ ЗАВОД БЕТОННЫХ ИЗДЕЛИЙ"</t>
  </si>
  <si>
    <t>"СЯСЬСТРОЙСКИЙ ЗАВОД БЕТОННЫХ ИЗДЕЛИЙ"</t>
  </si>
  <si>
    <t>4727006852</t>
  </si>
  <si>
    <t>Ленинградская область, ВОЛХОВСКИЙ, 1 СЯСЬСТРОЙСКОЕ, СНТ АВРОВСКАЯ КАРТОННАЯ ФАБРИКА, Д. 24</t>
  </si>
  <si>
    <t>WARMHOME12@GMAIL.COM'</t>
  </si>
  <si>
    <t>52.830934,32.688678</t>
  </si>
  <si>
    <t>ОБЩЕСТВО С ОГРАНИЧЕННОЙ ОТВЕТСТВЕННОСТЬЮ "ВЕСНА"</t>
  </si>
  <si>
    <t>"ВЕСНА"</t>
  </si>
  <si>
    <t>3245008796</t>
  </si>
  <si>
    <t>243302, БРЯНСКАЯ ОБЛАСТЬ, РАЙОН УНЕЧСКИЙ, ГОРОД УНЕЧА, УЛИЦА ЗАЛИНЕЙНАЯ, ДОМ 3</t>
  </si>
  <si>
    <t>Черепков Валерий Иванович</t>
  </si>
  <si>
    <t>+7 (930) 720-51-89'</t>
  </si>
  <si>
    <t>uneha@neftika.ru'</t>
  </si>
  <si>
    <t>45.368847,32.760831</t>
  </si>
  <si>
    <t>ОБЩЕСТВО С ОГРАНИЧЕННОЙ ОТВЕТСТВЕННОСТЬЮ "БЕТОННО-РАСТВОРНАЯ МАНУФАКТУРА "ТРОТУАРТ"</t>
  </si>
  <si>
    <t>"БЕТОННО-РАСТВОРНАЯ МАНУФАКТУРА "ТРОТУАРТ"</t>
  </si>
  <si>
    <t>9110024145</t>
  </si>
  <si>
    <t>296443, КРЫМ РЕСПУБЛИКА, Р-Н ЧЕРНОМОРСКИЙ, С ОКУНЕВКА, УЛ. КРУПСКОЙ, Д. 21</t>
  </si>
  <si>
    <t>Мингалев Станислав Николаевич</t>
  </si>
  <si>
    <t>+7 (978) 720-11-38'</t>
  </si>
  <si>
    <t>smint@inbox.ru'</t>
  </si>
  <si>
    <t>55.062787,32.77851</t>
  </si>
  <si>
    <t>ОБЩЕСТВО С ОГРАНИЧЕННОЙ ОТВЕТСТВЕННОСТЬЮ "ЯРЦЕВОСТРОЙ"</t>
  </si>
  <si>
    <t>"ЯРЦЕВОСТРОЙ"</t>
  </si>
  <si>
    <t>6727034290</t>
  </si>
  <si>
    <t>215805, СМОЛЕНСКАЯ ОБЛАСТЬ, ЯРЦЕВСКИЙ РАЙОН, ГОРОД ЯРЦЕВО, УЛИЦА 3-Я ЛИТЕЙНАЯ, СТРОЕНИЕ/КОРПУС 16/21-А</t>
  </si>
  <si>
    <t>Папцева Ольга Александровна</t>
  </si>
  <si>
    <t>+7 (950) 700-80-08'</t>
  </si>
  <si>
    <t>60.983031,32.984826</t>
  </si>
  <si>
    <t>ОБЩЕСТВО С ОГРАНИЧЕННОЙ ОТВЕТСТВЕННОСТЬЮ "КРАСНАЯ ПЛОЩАДЬ"</t>
  </si>
  <si>
    <t>"КРАСНАЯ ПЛОЩАДЬ"</t>
  </si>
  <si>
    <t>1014010586</t>
  </si>
  <si>
    <t>РЕСПУБЛИКА КАРЕЛИЯ,Г ОЛОНЕЦ,УЛ КАРЛА ЛИБКНЕХТА,44А..</t>
  </si>
  <si>
    <t>Родионов Владимир Владимирович</t>
  </si>
  <si>
    <t>60.504353,33.039192</t>
  </si>
  <si>
    <t>ОБЩЕСТВО С ОГРАНИЧЕННОЙ ОТВЕТСТВЕННОСТЬЮ "МАКССТРОЙ"</t>
  </si>
  <si>
    <t>"МАКССТРОЙ"</t>
  </si>
  <si>
    <t>4705063007</t>
  </si>
  <si>
    <t>ЛЕНИНГРАДСКАЯ ОБЛ.,ЛОДЕЙНОПОЛЬСКИЙ Р-Н,Д АЛЕКСАНДРОВЩИНА</t>
  </si>
  <si>
    <t>Горяной Андрей Иванович</t>
  </si>
  <si>
    <t>45.543774,33.067372</t>
  </si>
  <si>
    <t>ОБЩЕСТВО С ОГРАНИЧЕННОЙ ОТВЕТСТВЕННОСТЬЮ "ЯНТАРЬ А"</t>
  </si>
  <si>
    <t>"ЯНТАРЬ А"</t>
  </si>
  <si>
    <t>9110089079</t>
  </si>
  <si>
    <t>296423, КРЫМ РЕСПУБЛИКА, Р-Н ЧЕРНОМОРСКИЙ, С КИРОВСКОЕ, УЛ. ЩОРСА, Д. 27</t>
  </si>
  <si>
    <t>Варламов Валерий Федорович</t>
  </si>
  <si>
    <t>+7 (978) 870-58-43', '+7 (978) 809-96-71'</t>
  </si>
  <si>
    <t>YantarA@rambler.ru'</t>
  </si>
  <si>
    <t>55.088068,33.06889</t>
  </si>
  <si>
    <t>ОБЩЕСТВО С ОГРАНИЧЕННОЙ ОТВЕТСТВЕННОСТЬЮ "ПУШКИНСКИЙ КОМБИНАТ ЖЕЛЕЗО-БЕТОННЫХ ИЗДЕЛИЙ"</t>
  </si>
  <si>
    <t>"ПУШКИНСКИЙ КОМБИНАТ ЖЕЛЕЗО-БЕТОННЫХ ИЗДЕЛИЙ"</t>
  </si>
  <si>
    <t>6726023175</t>
  </si>
  <si>
    <t>215523, СМОЛЕНСКАЯ ОБЛ, САФОНОВСКИЙ Р-Н, ПУШКИНО Д, ПРОЛЕТАРСКАЯ УЛ, ДОМ 51, ОФИС 1</t>
  </si>
  <si>
    <t>Сычев Владимир Владимирович</t>
  </si>
  <si>
    <t>+7 (952) 530-69-87'</t>
  </si>
  <si>
    <t>55.123754,33.168971</t>
  </si>
  <si>
    <t>ОБЩЕСТВО С ОГРАНИЧЕННОЙ ОТВЕТСТВЕННОСТЬЮ "ТОРГОВЫЙ ДОМ "ГОРИЗОНТ СМ"</t>
  </si>
  <si>
    <t>""ГОРИЗОНТ СМ"</t>
  </si>
  <si>
    <t>6726023030</t>
  </si>
  <si>
    <t>215520, СМОЛЕНСКАЯ ОБЛАСТЬ, РАЙОН САФОНОВСКИЙ, ДЕРЕВНЯ ПОДСОБНОЕ ХОЗЯЙСТВО, ОФИС 1</t>
  </si>
  <si>
    <t>Дегтярев Дмитрий Александрович</t>
  </si>
  <si>
    <t>+7 (909) 915-25-33'</t>
  </si>
  <si>
    <t>55.124738,33.198382</t>
  </si>
  <si>
    <t>ОБЩЕСТВО С ОГРАНИЧЕННОЙ ОТВЕТСТВЕННОСТЬЮ "СК ЖБИ"</t>
  </si>
  <si>
    <t>"СК ЖБИ"</t>
  </si>
  <si>
    <t>6726022936</t>
  </si>
  <si>
    <t>215500, СМОЛЕНСКАЯ ОБЛАСТЬ, Р-Н САФОНОВСКИЙ, Г. САФОНОВО, УЛ. ГОРНЯЦКАЯ, Д. 58, СТР. 1</t>
  </si>
  <si>
    <t>Холоимов Михаил Васильевич</t>
  </si>
  <si>
    <t>+7 (481) 422-15-95'</t>
  </si>
  <si>
    <t>55.126236,33.199101</t>
  </si>
  <si>
    <t>ОБЩЕСТВО С ОГРАНИЧЕННОЙ ОТВЕТСТВЕННОСТЬЮ САФОНОВСКИЙ СТРОИТЕЛЬНЫЙ КОМБИНАТ "БЕТОН"</t>
  </si>
  <si>
    <t>САФОНОВСКИЙ СТРОИТЕЛЬНЫЙ КОМБИНАТ "БЕТОН"</t>
  </si>
  <si>
    <t>6726022358</t>
  </si>
  <si>
    <t>215500, СМОЛЕНСКАЯ ОБЛАСТЬ, РАЙОН САФОНОВСКИЙ, ГОРОД САФОНОВО, УЛИЦА ГОРНЯЦКАЯ, ДОМ 57, ОФИС 2</t>
  </si>
  <si>
    <t>Карташов Сергей Юрьевич</t>
  </si>
  <si>
    <t>+7 (962) 191-55-55'</t>
  </si>
  <si>
    <t>55.12707,33.202164</t>
  </si>
  <si>
    <t>ОБЩЕСТВО С ОГРАНИЧЕННОЙ ОТВЕТСТВЕННОСТЬЮ "КОМБИНАТ СТРОИТЕЛЬНЫХ КОНСТРУКЦИЙ 67"</t>
  </si>
  <si>
    <t>"КОМБИНАТ СТРОИТЕЛЬНЫХ КОНСТРУКЦИЙ 67"</t>
  </si>
  <si>
    <t>6726025662</t>
  </si>
  <si>
    <t>215500, СМОЛЕНСКАЯ ОБЛАСТЬ, РАЙОН САФОНОВСКИЙ, ГОРОД САФОНОВО, УЛИЦА ГОРНЯЦКАЯ, ДОМ 40, ОФИС 1</t>
  </si>
  <si>
    <t>Григорьев Сергей Валерьевич</t>
  </si>
  <si>
    <t>+7 (919) 043-98-04'</t>
  </si>
  <si>
    <t>55.125,33.215091</t>
  </si>
  <si>
    <t>ОБЩЕСТВО С ОГРАНИЧЕННОЙ ОТВЕТСТВЕННОСТЬЮ ПК "ФАВОРИТ"</t>
  </si>
  <si>
    <t>ПК "ФАВОРИТ"</t>
  </si>
  <si>
    <t>6726026360</t>
  </si>
  <si>
    <t>215500, СМОЛЕНСКАЯ ОБЛ., Сафоновский Р-Н, Г. Сафоново, УЛ. ГОРНЯЦКАЯ, Д. 55, ОФИС 1</t>
  </si>
  <si>
    <t>Скуматова Ирина Владимировна</t>
  </si>
  <si>
    <t>55.11685,33.216591</t>
  </si>
  <si>
    <t>ОБЩЕСТВО С ОГРАНИЧЕННОЙ ОТВЕТСТВЕННОСТЬЮ "ГАРАНТ СТРОЙ"</t>
  </si>
  <si>
    <t>"ГАРАНТ СТРОЙ"</t>
  </si>
  <si>
    <t>6726026151</t>
  </si>
  <si>
    <t>215500, СМОЛЕНСКАЯ ОБЛ., Р-Н Сафоновский, Г. Сафоново, УЛ. РАДИЩЕВА, Д. 2, СТРОЕНИЕ 9</t>
  </si>
  <si>
    <t>Семенец Максим Николаевич</t>
  </si>
  <si>
    <t>55.11596,33.216807</t>
  </si>
  <si>
    <t>ОБЩЕСТВО С ОГРАНИЧЕННОЙ ОТВЕТСТВЕННОСТЬЮ ПК "ЖБИ-САФОНОВО"</t>
  </si>
  <si>
    <t>ПК "ЖБИ-САФОНОВО"</t>
  </si>
  <si>
    <t>6726025831</t>
  </si>
  <si>
    <t>215500, СМОЛЕНСКАЯ ОБЛАСТЬ, САФОНОВСКИЙ РАЙОН, ГОРОД САФОНОВО, УЛИЦА РАДИЩЕВА, ДОМ 6, СТРОЕНИЕ 5, ОФИС 1</t>
  </si>
  <si>
    <t>Федоров Вячеслав Георгиевич</t>
  </si>
  <si>
    <t>55.126297,33.216932</t>
  </si>
  <si>
    <t>ОБЩЕСТВО С ОГРАНИЧЕННОЙ ОТВЕТСТВЕННОСТЬЮ "ПК "ТЕПЛОСТРОЙ"</t>
  </si>
  <si>
    <t>"ПК "ТЕПЛОСТРОЙ"</t>
  </si>
  <si>
    <t>6726024725</t>
  </si>
  <si>
    <t>215500, СМОЛЕНСКАЯ ОБЛ, САФОНОВСКИЙ Р-Н, САФОНОВО Г, ГОРНЯЦКАЯ УЛ, ДОМ 18, СТРОЕНИЕ 5, ОФИС 1</t>
  </si>
  <si>
    <t>Донбров Сергей Сергеевич</t>
  </si>
  <si>
    <t>+7 (499) 348-10-58'</t>
  </si>
  <si>
    <t>pkteplostroy@gmail.com'</t>
  </si>
  <si>
    <t>55.111274,33.217804</t>
  </si>
  <si>
    <t>ОБЩЕСТВО С ОГРАНИЧЕННОЙ ОТВЕТСТВЕННОСТЬЮ "ТД КОЛЬЦО"</t>
  </si>
  <si>
    <t>"ТД КОЛЬЦО"</t>
  </si>
  <si>
    <t>6726021509</t>
  </si>
  <si>
    <t>215500, СМОЛЕНСКАЯ ОБЛАСТЬ, Р-Н САФОНОВСКИЙ, Г. САФОНОВО, УЛ. СТРОИТЕЛЕЙ, Д. 27, СТР. 5</t>
  </si>
  <si>
    <t>Ильинец Михаил Владимирович</t>
  </si>
  <si>
    <t>+7 (919) 045-46-17'</t>
  </si>
  <si>
    <t>55.111238,33.218253</t>
  </si>
  <si>
    <t>ОБЩЕСТВО С ОГРАНИЧЕННОЙ ОТВЕТСТВЕННОСТЬЮ "ЖБИБЕТОНСТРОЙ"</t>
  </si>
  <si>
    <t>"ЖБИБЕТОНСТРОЙ"</t>
  </si>
  <si>
    <t>6726025920</t>
  </si>
  <si>
    <t>215500, СМОЛЕНСКАЯ ОБЛАСТЬ, РАЙОН САФОНОВСКИЙ, ГОРОД САФОНОВО, УЛИЦА СТРОИТЕЛЕЙ, ДОМ 27, СТРОЕНИЕ 2, ОФИС 1</t>
  </si>
  <si>
    <t>Возвышаева Наталья Владимировна</t>
  </si>
  <si>
    <t>55.10547,33.218837</t>
  </si>
  <si>
    <t>ОБЩЕСТВО С ОГРАНИЧЕННОЙ ОТВЕТСТВЕННОСТЬЮ "БЕТОНПАРТНЕР"</t>
  </si>
  <si>
    <t>"БЕТОНПАРТНЕР"</t>
  </si>
  <si>
    <t>6726023873</t>
  </si>
  <si>
    <t>215502, СМОЛЕНСКАЯ ОБЛ, САФОНОВСКИЙ Р-Н, САФОНОВО Г, КРАСНОАРМЕЙСКАЯ УЛ, ДОМ 13,..</t>
  </si>
  <si>
    <t>Яковлева Наталья Дмитриевна</t>
  </si>
  <si>
    <t>+7 (900) 222-79-68'</t>
  </si>
  <si>
    <t>ОБЩЕСТВО С ОГРАНИЧЕННОЙ ОТВЕТСТВЕННОСТЬЮ "БЕТОНЛОГИСТИКА"</t>
  </si>
  <si>
    <t>"БЕТОНЛОГИСТИКА"</t>
  </si>
  <si>
    <t>6726023880</t>
  </si>
  <si>
    <t>+7 (900) 222-76-98'</t>
  </si>
  <si>
    <t>ОБЩЕСТВО С ОГРАНИЧЕННОЙ ОТВЕТСТВЕННОСТЬЮ "БЕТОНОПТ"</t>
  </si>
  <si>
    <t>"БЕТОНОПТ"</t>
  </si>
  <si>
    <t>6726023898</t>
  </si>
  <si>
    <t>55.117839,33.220373</t>
  </si>
  <si>
    <t>ОБЩЕСТВО С ОГРАНИЧЕННОЙ ОТВЕТСТВЕННОСТЬЮ "БЕТОНИКА"</t>
  </si>
  <si>
    <t>"БЕТОНИКА"</t>
  </si>
  <si>
    <t>6726504249</t>
  </si>
  <si>
    <t>215500, СМОЛЕНСКАЯ ОБЛ., Р-Н Сафоновский, Г. Сафоново, УЛ. РАДИЩЕВА, Д. 2, СТР. 2</t>
  </si>
  <si>
    <t>Джикия Гоча Дундулиевич</t>
  </si>
  <si>
    <t>55.1132,33.220607</t>
  </si>
  <si>
    <t>ОБЩЕСТВО С ОГРАНИЧЕННОЙ ОТВЕТСТВЕННОСТЬЮ "ПАРИТЕТ-С"</t>
  </si>
  <si>
    <t>"ПАРИТЕТ-С"</t>
  </si>
  <si>
    <t>6726011684</t>
  </si>
  <si>
    <t>СМОЛЕНСКАЯ ОБЛ.,Г САФОНОВО,УЛ СТРОИТЕЛЕЙ Д 27 КОРПУС 6</t>
  </si>
  <si>
    <t>Моисеенков Сергей Александрович</t>
  </si>
  <si>
    <t>+7 (910) 786-80-80'</t>
  </si>
  <si>
    <t>55.118081,33.22217</t>
  </si>
  <si>
    <t>ОБЩЕСТВО С ОГРАНИЧЕННОЙ ОТВЕТСТВЕННОСТЬЮ "ЖБИ БЕТМЕТ"</t>
  </si>
  <si>
    <t>"ЖБИ БЕТМЕТ"</t>
  </si>
  <si>
    <t>6726024757</t>
  </si>
  <si>
    <t>215500, СМОЛЕНСКАЯ ОБЛ, САФОНОВСКИЙ Р-Н, САФОНОВО Г, РАДИЩЕВА УЛ, ДОМ 3, ОФИС 4</t>
  </si>
  <si>
    <t>Гогия Владимир</t>
  </si>
  <si>
    <t>ОБЩЕСТВО С ОГРАНИЧЕННОЙ ОТВЕТСТВЕННОСТЬЮ "САФОНОВСКИЙ ЗАВОД ЖБК"</t>
  </si>
  <si>
    <t>"САФОНОВСКИЙ ЗАВОД ЖБК"</t>
  </si>
  <si>
    <t>6726025574</t>
  </si>
  <si>
    <t>215500, СМОЛЕНСКАЯ ОБЛАСТЬ, РАЙОН САФОНОВСКИЙ, ГОРОД САФОНОВО, УЛИЦА РАДИЩЕВА, ДОМ 3, ОФИС 5</t>
  </si>
  <si>
    <t>Джикия Рати Гочаевич</t>
  </si>
  <si>
    <t>+7 (903) 891-44-31'</t>
  </si>
  <si>
    <t>55.114183,33.224874</t>
  </si>
  <si>
    <t>ОБЩЕСТВО С ОГРАНИЧЕННОЙ ОТВЕТСТВЕННОСТЬЮ "СТРОИТЕЛЬНЫЕ ДЕТАЛИ"</t>
  </si>
  <si>
    <t>"СТРОИТЕЛЬНЫЕ ДЕТАЛИ"</t>
  </si>
  <si>
    <t>6726022245</t>
  </si>
  <si>
    <t>215500, СМОЛЕНСКАЯ ОБЛАСТЬ, РАЙОН САФОНОВСКИЙ, ГОРОД САФОНОВО, УЛИЦА СТРОИТЕЛЕЙ, ДОМ 40, ОФИС 1</t>
  </si>
  <si>
    <t>Кузьмин Вячеслав Олегович</t>
  </si>
  <si>
    <t>+7 (903) 698-41-68'</t>
  </si>
  <si>
    <t>STROYDETALI@MAIL.RU'</t>
  </si>
  <si>
    <t>55.094081,33.225143</t>
  </si>
  <si>
    <t>6726025285</t>
  </si>
  <si>
    <t>215502, СМОЛЕНСКАЯ ОБЛАСТЬ, РАЙОН САФОНОВСКИЙ, ГОРОД САФОНОВО, МИКРОРАЙОН 5, ДОМ 1,..</t>
  </si>
  <si>
    <t>Петрова Татьяна Алексеевна</t>
  </si>
  <si>
    <t>+7 (910) 714-53-78'</t>
  </si>
  <si>
    <t>55.118529,33.226302</t>
  </si>
  <si>
    <t>ОБЩЕСТВО С ОГРАНИЧЕННОЙ ОТВЕТСТВЕННОСТЬЮ "СТАНДАРТ Н"</t>
  </si>
  <si>
    <t>"СТАНДАРТ Н"</t>
  </si>
  <si>
    <t>6726023190</t>
  </si>
  <si>
    <t>215500, СМОЛЕНСКАЯ ОБЛАСТЬ, РАЙОН САФОНОВСКИЙ, ГОРОД САФОНОВО, УЛИЦА ПРОМЫШЛЕННАЯ, ЗДАНИЕ СКЛАДА</t>
  </si>
  <si>
    <t>Новосельцев Игорь Владимирович</t>
  </si>
  <si>
    <t>+7 (903) 698-12-44'</t>
  </si>
  <si>
    <t>55.118555,33.2272</t>
  </si>
  <si>
    <t>ОБЩЕСТВО С ОГРАНИЧЕННОЙ ОТВЕТСТВЕННОСТЬЮ "СТРОЙ ТРАНС"</t>
  </si>
  <si>
    <t>"СТРОЙ ТРАНС"</t>
  </si>
  <si>
    <t>6726013018</t>
  </si>
  <si>
    <t>215500, СМОЛЕНСКАЯ ОБЛАСТЬ, Р-Н САФОНОВСКИЙ, Г. САФОНОВО, УЛ. СОВЕТСКАЯ, Д.53, -, ПОМЕЩЕНИЕ 7</t>
  </si>
  <si>
    <t>Скиба Валерий Борисович</t>
  </si>
  <si>
    <t>+7 (903) 698-19-55'</t>
  </si>
  <si>
    <t>ОБЩЕСТВО С ОГРАНИЧЕННОЙ ОТВЕТСТВЕННОСТЬЮ"ПРОИЗВОДСТВЕННО-СТРОИТЕЛЬНАЯ КОМПАНИЯ  ЖБИ КОМПЛЕКС"</t>
  </si>
  <si>
    <t>"ПРОИЗВОДСТВЕННО-СТРОИТЕЛЬНАЯ КОМПАНИЯ  ЖБИ КОМПЛЕКС"</t>
  </si>
  <si>
    <t>6726022661</t>
  </si>
  <si>
    <t>215500, СМОЛЕНСКАЯ ОБЛ, САФОНОВСКИЙ Р-Н, САФОНОВО Г, СОВЕТСКАЯ УЛ, ДОМ 53, ОФИС 13</t>
  </si>
  <si>
    <t>Елисеев Павел Викторович</t>
  </si>
  <si>
    <t>+7 (908) 287-76-80'</t>
  </si>
  <si>
    <t>55.116644,33.228485</t>
  </si>
  <si>
    <t>ОБЩЕСТВО С ОГРАНИЧЕННОЙ ОТВЕТСТВЕННОСТЬЮ "Родник"</t>
  </si>
  <si>
    <t>"Родник"</t>
  </si>
  <si>
    <t>6726018094</t>
  </si>
  <si>
    <t>215500, Смоленская область, Сафоновский район, г Сафоново, ул Шахтерская д 44 стр 5</t>
  </si>
  <si>
    <t>Досугов Сергей Александрович</t>
  </si>
  <si>
    <t>ОБЩЕСТВО С ОГРАНИЧЕННОЙ ОТВЕТСТВЕННОСТЬЮ "РОДНИК-СТРОЙ"</t>
  </si>
  <si>
    <t>"РОДНИК-СТРОЙ"</t>
  </si>
  <si>
    <t>6726021682</t>
  </si>
  <si>
    <t>https://родник-строй.рф</t>
  </si>
  <si>
    <t>215500, СМОЛЕНСКАЯ ОБЛАСТЬ, Р-Н САФОНОВСКИЙ, Г. САФОНОВО, УЛ. ШАХТЕРСКАЯ, Д. 44, СТР. 5</t>
  </si>
  <si>
    <t>Пимкова Мария Геннадьевна</t>
  </si>
  <si>
    <t>stroy@mail.ru'</t>
  </si>
  <si>
    <t>ОБЩЕСТВО С ОГРАНИЧЕННОЙ ОТВЕТСТВЕННОСТЬЮ "САФОНОВСКИЙ СТРОИТЕЛЬНЫЙ КОМБИНАТ"</t>
  </si>
  <si>
    <t>"САФОНОВСКИЙ СТРОИТЕЛЬНЫЙ КОМБИНАТ"</t>
  </si>
  <si>
    <t>6726024940</t>
  </si>
  <si>
    <t>215500, СМОЛЕНСКАЯ ОБЛАСТЬ, САФОНОВСКИЙ РАЙОН, ГОРОД САФОНОВО, УЛИЦА ШАХТЕРСКАЯ, ДОМ 44, СТРОЕНИЕ 5</t>
  </si>
  <si>
    <t>Некрестов Илья Игоревич</t>
  </si>
  <si>
    <t>55.118807,33.230129</t>
  </si>
  <si>
    <t>6726026218</t>
  </si>
  <si>
    <t>215500, СМОЛЕНСКАЯ ОБЛ., Р-Н Сафоновский, Г. Сафоново, УЛ. СОВЕТСКАЯ, Д. 51, ПОМЕЩЕНИЕ 14</t>
  </si>
  <si>
    <t>+7 (904) 363-99-71'</t>
  </si>
  <si>
    <t>ОБЩЕСТВО С ОГРАНИЧЕННОЙ ОТВЕТСТВЕННОСТЬЮ "ГЕРМЕС"</t>
  </si>
  <si>
    <t>"ГЕРМЕС"</t>
  </si>
  <si>
    <t>6726026465</t>
  </si>
  <si>
    <t>215500, СМОЛЕНСКАЯ ОБЛ., Р-Н Сафоновский, Г. Сафоново, УЛ. СОВЕТСКАЯ, Д. 51, ПОМЕЩ. 14</t>
  </si>
  <si>
    <t>Королев Виктор Сергеевич</t>
  </si>
  <si>
    <t>9633447777@MAIL.RU'</t>
  </si>
  <si>
    <t>55.112535,33.231997</t>
  </si>
  <si>
    <t>ОБЩЕСТВО С ОГРАНИЧЕННОЙ ОТВЕТСТВЕННОСТЬЮ "Д.Б.С."</t>
  </si>
  <si>
    <t>"Д.Б.С."</t>
  </si>
  <si>
    <t>6726014558</t>
  </si>
  <si>
    <t>215500, Смоленская область, Сафоновский район, г Сафоново, ул Строителей д 17 А..</t>
  </si>
  <si>
    <t>Дятлов Алексей Алексеевич</t>
  </si>
  <si>
    <t>+7 (891) 563-83-27'</t>
  </si>
  <si>
    <t>55.119631,33.232806</t>
  </si>
  <si>
    <t>ОБЩЕСТВО С ОГРАНИЧЕННОЙ ОТВЕТСТВЕННОСТЬЮ "ЖБИ СТРОЙ-М"</t>
  </si>
  <si>
    <t>"ЖБИ СТРОЙ-М"</t>
  </si>
  <si>
    <t>6726024612</t>
  </si>
  <si>
    <t>215500, СМОЛЕНСКАЯ ОБЛАСТЬ, Р-Н САФОНОВСКИЙ, Г. САФОНОВО, УЛ. СОВЕТСКАЯ, Д. 47, ОФИС 9</t>
  </si>
  <si>
    <t>ДИРЕКТОР Федуро Андрей Аркадьевич</t>
  </si>
  <si>
    <t>55.113344,33.233309</t>
  </si>
  <si>
    <t>6726021900</t>
  </si>
  <si>
    <t>215500, Смоленская область, муниципальный район САФОНОВСКИЙ, Город САФОНОВО, городское поселение САФОНОВСКОЕ, УЛ СТРОИТЕЛЕЙ, Д. 20,..</t>
  </si>
  <si>
    <t>stroyindustriya0@mail.ru'</t>
  </si>
  <si>
    <t>55.115888,33.233938</t>
  </si>
  <si>
    <t>ОБЩЕСТВО С ОГРАНИЧЕННОЙ ОТВЕТСТВЕННОСТЬЮ "СТРОЙКОМПЛЕКТ"</t>
  </si>
  <si>
    <t>"СТРОЙКОМПЛЕКТ"</t>
  </si>
  <si>
    <t>6726019154</t>
  </si>
  <si>
    <t>215500, СМОЛЕНСКАЯ ОБЛАСТЬ, Р-Н САФОНОВСКИЙ, Г. САФОНОВО, УЛ. ШАХТЕРСКАЯ, Д. 4,..</t>
  </si>
  <si>
    <t>+7 (905) 160-64-66'</t>
  </si>
  <si>
    <t>servis@mail.ru'</t>
  </si>
  <si>
    <t>55.154728,33.234602</t>
  </si>
  <si>
    <t>ОБЩЕСТВО С ОГРАНИЧЕННОЙ ОТВЕТСТВЕННОСТЬЮ "Партнёр"</t>
  </si>
  <si>
    <t>"Партнёр"</t>
  </si>
  <si>
    <t>6726017982</t>
  </si>
  <si>
    <t>215503, Смоленская область, Сафоновский район, г Сафоново, ул Московская д 1 А..</t>
  </si>
  <si>
    <t>Солдатенков Сергей Владимирович</t>
  </si>
  <si>
    <t>+7 (915) 656-44-42'</t>
  </si>
  <si>
    <t>ОБЩЕСТВО С ОГРАНИЧЕННОЙ ОТВЕТСТВЕННОСТЬЮ "ПАРТНЁР ГАРАНТ"</t>
  </si>
  <si>
    <t>"ПАРТНЁР ГАРАНТ"</t>
  </si>
  <si>
    <t>6726024193</t>
  </si>
  <si>
    <t>215503, СМОЛЕНСКАЯ ОБЛ, САФОНОВСКИЙ Р-Н, САФОНОВО Г, МОСКОВСКАЯ УЛ, ДОМ 1А,..</t>
  </si>
  <si>
    <t>Солдатенков Сергей Сергеевич</t>
  </si>
  <si>
    <t>+7 (910) 768-76-38'</t>
  </si>
  <si>
    <t>55.135052,33.237037</t>
  </si>
  <si>
    <t>ОБЩЕСТВО С ОГРАНИЧЕННОЙ ОТВЕТСТВЕННОСТЬЮ "БЕТОН ГРУПП"</t>
  </si>
  <si>
    <t>"БЕТОН ГРУПП"</t>
  </si>
  <si>
    <t>6726023231</t>
  </si>
  <si>
    <t>215500, СМОЛЕНСКАЯ ОБЛАСТЬ, РАЙОН САФОНОВСКИЙ, ГОРОД САФОНОВО, УЛИЦА БЕЛИНСКОГО, ДОМ 32</t>
  </si>
  <si>
    <t>Коженова Татьяна Анатольевна</t>
  </si>
  <si>
    <t>+7 (910) 784-45-41'</t>
  </si>
  <si>
    <t>groups107@mail.ru'</t>
  </si>
  <si>
    <t>55.089022,33.242543</t>
  </si>
  <si>
    <t>ОБЩЕСТВО С ОГРАНИЧЕННОЙ ОТВЕТСТВЕННОСТЬЮ ПРОИЗВОДСТВЕННО-ТОРГОВАЯ КОМПАНИЯ "БЕТОНАРТ"</t>
  </si>
  <si>
    <t>ПРОИЗВОДСТВЕННО-ТОРГОВАЯ КОМПАНИЯ "БЕТОНАРТ"</t>
  </si>
  <si>
    <t>6726012293</t>
  </si>
  <si>
    <t>http://betonart.ru</t>
  </si>
  <si>
    <t>СМОЛЕНСКАЯ ОБЛ.,Г САФОНОВО,УЛ ОКТЯБРЬСКАЯ Д 80 А..</t>
  </si>
  <si>
    <t>Самосудов Павел Александрович</t>
  </si>
  <si>
    <t>+7 (910) 789-52-73'</t>
  </si>
  <si>
    <t>ОБЩЕСТВО С ОГРАНИЧЕННОЙ ОТВЕТСТВЕННОСТЬЮ "СЛАВБЕТОНСТРОЙ"</t>
  </si>
  <si>
    <t>"СЛАВБЕТОНСТРОЙ"</t>
  </si>
  <si>
    <t>6726013321</t>
  </si>
  <si>
    <t>http://slav-beton.ru</t>
  </si>
  <si>
    <t>215505, СМОЛЕНСКАЯ ОБЛАСТЬ, РАЙОН САФОНОВСКИЙ, ГОРОД САФОНОВО, УЛИЦА ОКТЯБРЬСКАЯ, 80А</t>
  </si>
  <si>
    <t>Жигновский Вячеслав Алексеевич</t>
  </si>
  <si>
    <t>57.973012,33.24275</t>
  </si>
  <si>
    <t>ОБЩЕСТВО С ОГРАНИЧЕННОЙ ОТВЕТСТВЕННОСТЬЮ "КБ НОВМАШ"</t>
  </si>
  <si>
    <t>"КБ НОВМАШ"</t>
  </si>
  <si>
    <t>5302010533</t>
  </si>
  <si>
    <t>НОВГОРОДСКАЯ ОБЛ.,Г ВАЛДАЙ,УЛ ОКТЯБРЬСКАЯ Д 58</t>
  </si>
  <si>
    <t>Орищенко Владимир Иванович</t>
  </si>
  <si>
    <t>55.109003,33.242786</t>
  </si>
  <si>
    <t>ОБЩЕСТВО С ОГРАНИЧЕННОЙ ОТВЕТСТВЕННОСТЬЮ "ПК ПЛАНЕТА ЖБИ"</t>
  </si>
  <si>
    <t>"ПК ПЛАНЕТА ЖБИ"</t>
  </si>
  <si>
    <t>6726027123</t>
  </si>
  <si>
    <t>215500, Смоленская область, муниципальный район САФОНОВСКИЙ, Город САФОНОВО, городское поселение САФОНОВСКОЕ, УЛ СВОБОДЫ, Д. 7А,..</t>
  </si>
  <si>
    <t>Знайденов Сергей Витальевич</t>
  </si>
  <si>
    <t>55.086878,33.243226</t>
  </si>
  <si>
    <t>ОБЩЕСТВО С ОГРАНИЧЕННОЙ ОТВЕТСТВЕННОСТЬЮ "СТРОЙМОНТАЖ"</t>
  </si>
  <si>
    <t>"СТРОЙМОНТАЖ"</t>
  </si>
  <si>
    <t>6726013089</t>
  </si>
  <si>
    <t>215505, Смоленская область, Сафоновский район, г Сафоново, ул Октябрьская д 89</t>
  </si>
  <si>
    <t>Мирзаханян Арамаис Гаспарович</t>
  </si>
  <si>
    <t>55.109209,33.243603</t>
  </si>
  <si>
    <t>ОБЩЕСТВО С ОГРАНИЧЕННОЙ ОТВЕТСТВЕННОСТЬЮ "ЖБИ-ПЛЮС"</t>
  </si>
  <si>
    <t>"ЖБИ-ПЛЮС"</t>
  </si>
  <si>
    <t>6726024267</t>
  </si>
  <si>
    <t>215500, СМОЛЕНСКАЯ ОБЛ, САФОНОВСКИЙ Р-Н, САФОНОВО Г, СВОБОДЫ УЛ, ДОМ 7,..</t>
  </si>
  <si>
    <t>Зарецкий Валерий Николаевич</t>
  </si>
  <si>
    <t>55.111212,33.245274</t>
  </si>
  <si>
    <t>ОБЩЕСТВО С ОГРАНИЧЕННОЙ ОТВЕТСТВЕННОСТЬЮ "ОПТ ТОРГ"</t>
  </si>
  <si>
    <t>"ОПТ ТОРГ"</t>
  </si>
  <si>
    <t>6726023584</t>
  </si>
  <si>
    <t>215500, СМОЛЕНСКАЯ ОБЛ, САФОНОВСКИЙ Р-Н, САФОНОВО Г, СОВЕТСКАЯ УЛ, ДОМ 10,..</t>
  </si>
  <si>
    <t>Иванин Дмитрий Вячеславович</t>
  </si>
  <si>
    <t>+7 (960) 586-98-44'</t>
  </si>
  <si>
    <t>55.101205,33.24575</t>
  </si>
  <si>
    <t>ОБЩЕСТВО С ОГРАНИЧЕННОЙ ОТВЕТСТВЕННОСТЬЮ "СТРОЙ-ПАРТНЕР"</t>
  </si>
  <si>
    <t>"СТРОЙ-ПАРТНЕР"</t>
  </si>
  <si>
    <t>6726023295</t>
  </si>
  <si>
    <t>215505, СМОЛЕНСКАЯ ОБЛАСТЬ, РАЙОН САФОНОВСКИЙ, ГОРОД САФОНОВО, УЛИЦА ДОВАТОРА, ДОМ 12</t>
  </si>
  <si>
    <t>Сычев Евгений Владимирович</t>
  </si>
  <si>
    <t>55.099608,33.247475</t>
  </si>
  <si>
    <t>ОБЩЕСТВО С ОГРАНИЧЕННОЙ ОТВЕТСТВЕННОСТЬЮ "ЖБИ РАУХ"</t>
  </si>
  <si>
    <t>"ЖБИ РАУХ"</t>
  </si>
  <si>
    <t>6726023062</t>
  </si>
  <si>
    <t>215505, СМОЛЕНСКАЯ ОБЛ, САФОНОВСКИЙ Р-Н, САФОНОВО Г, АНДРЕЕВА УЛ, ДОМ 20</t>
  </si>
  <si>
    <t>Кузьмин Андрей Игоревич</t>
  </si>
  <si>
    <t>+7 (903) 891-95-95'</t>
  </si>
  <si>
    <t>55.117036,33.248023</t>
  </si>
  <si>
    <t>6726026810</t>
  </si>
  <si>
    <t>215500, СМОЛЕНСКАЯ ОБЛ., Сафоновский Р-Н, Г. Сафоново, УЛ. НАБЕРЕЖНАЯ, Д. 28</t>
  </si>
  <si>
    <t>SSKBETON2@GMAIL.COM'</t>
  </si>
  <si>
    <t>55.141686,33.253054</t>
  </si>
  <si>
    <t>ОБЩЕСТВО С ОГРАНИЧЕННОЙ ОТВЕТСТВЕННОСТЬЮ "НАВА-ПЛЮС"</t>
  </si>
  <si>
    <t>"НАВА-ПЛЮС"</t>
  </si>
  <si>
    <t>6726022630</t>
  </si>
  <si>
    <t>215505, СМОЛЕНСКАЯ ОБЛ, САФОНОВСКИЙ Р-Н, САФОНОВО Г, А/М МОСКВА-МИНСК 297 КМ АДМИНИСТРАТИВНОЕ ЗДАНИЕ, ПОМЕЩЕНИЕ 3</t>
  </si>
  <si>
    <t>Николаева Наталья Александровна</t>
  </si>
  <si>
    <t>+7 (919) 043-26-61'</t>
  </si>
  <si>
    <t>55.098815,33.258138</t>
  </si>
  <si>
    <t>ОБЩЕСТВО С ОГРАНИЧЕННОЙ ОТВЕТСТВЕННОСТЬЮ "БЕТОН ТРЕЙД"</t>
  </si>
  <si>
    <t>"БЕТОН ТРЕЙД"</t>
  </si>
  <si>
    <t>6726024683</t>
  </si>
  <si>
    <t>215506, СМОЛЕНСКАЯ ОБЛАСТЬ, РАЙОН САФОНОВСКИЙ, ГОРОД САФОНОВО, МИКРОРАЙОН 2, ДОМ 2,..</t>
  </si>
  <si>
    <t>Корнеев Андрей Анатольевич</t>
  </si>
  <si>
    <t>55.093313,33.258749</t>
  </si>
  <si>
    <t>ОБЩЕСТВО С ОГРАНИЧЕННОЙ ОТВЕТСТВЕННОСТЬЮ "НП-ГАРАНТ"</t>
  </si>
  <si>
    <t>"НП-ГАРАНТ"</t>
  </si>
  <si>
    <t>6726017728</t>
  </si>
  <si>
    <t>215506, СМОЛЕНСКАЯ ОБЛ., Р-Н Сафоновский, Г. Сафоново, ЗОНА МИКРОРАЙОН-2, Д. 16,..</t>
  </si>
  <si>
    <t>Магарцов Юрий Александрович</t>
  </si>
  <si>
    <t>+7 (920) 308-58-83'</t>
  </si>
  <si>
    <t>55.095946,33.260294</t>
  </si>
  <si>
    <t>ОБЩЕСТВО С ОГРАНИЧЕННОЙ ОТВЕТСТВЕННОСТЬЮ "СМОЛЕНСКИЙ ЗАВОД ЖБИ-1"</t>
  </si>
  <si>
    <t>"СМОЛЕНСКИЙ ЗАВОД ЖБИ-1"</t>
  </si>
  <si>
    <t>6714035426</t>
  </si>
  <si>
    <t>СМОЛЕНСКАЯ ОБЛ.,Г САФОНОВО,МИКРОРАЙОН 2 Д 7</t>
  </si>
  <si>
    <t>55.139489,33.261695</t>
  </si>
  <si>
    <t>ОБЩЕСТВО С ОГРАНИЧЕННОЙ ОТВЕТСТВЕННОСТЬЮ "ЖБИ МАКСИМОВО"</t>
  </si>
  <si>
    <t>"ЖБИ МАКСИМОВО"</t>
  </si>
  <si>
    <t>6726023376</t>
  </si>
  <si>
    <t>215523, СМОЛЕНСКАЯ ОБЛ, САФОНОВСКИЙ Р-Н, МАКСИМОВО Д, ПРОИЗВОДСТВЕННАЯ ЗОНА ТЕР, СТРОЕНИЕ 3, ПОМЕЩЕНИЕ 1</t>
  </si>
  <si>
    <t>Коршунов Анатолий Николаевич</t>
  </si>
  <si>
    <t>+7 (920) 300-14-96'</t>
  </si>
  <si>
    <t>52.544259,33.26236</t>
  </si>
  <si>
    <t>ОБЩЕСТВО С ОГРАНИЧЕННОЙ ОТВЕТСТВЕННОСТЬЮ "РЕТРО"</t>
  </si>
  <si>
    <t>"РЕТРО"</t>
  </si>
  <si>
    <t>3223005304</t>
  </si>
  <si>
    <t>БРЯНСКАЯ ОБЛ.,РП ПОГАР,УЛ ПОЛЕВАЯ Д 5-А</t>
  </si>
  <si>
    <t>Дупин Александр Николаевич</t>
  </si>
  <si>
    <t>55.107865,33.274173</t>
  </si>
  <si>
    <t>ОБЩЕСТВО С ОГРАНИЧЕННОЙ ОТВЕТСТВЕННОСТЬЮ "ЖБИ-СФЕРА"</t>
  </si>
  <si>
    <t>"ЖБИ-СФЕРА"</t>
  </si>
  <si>
    <t>6726027162</t>
  </si>
  <si>
    <t>215506, Смоленская область, муниципальный район САФОНОВСКИЙ, Город САФОНОВО, городское поселение САФОНОВСКОЕ, УЛ ПРИГОРОДНАЯ, Д. 15А, СТР. 5/1,</t>
  </si>
  <si>
    <t>Капланский Александр Яковлевич</t>
  </si>
  <si>
    <t>54.912677,33.297044</t>
  </si>
  <si>
    <t>ОБЩЕСТВО С ОГРАНИЧЕННОЙ ОТВЕТСТВЕННОСТЬЮ ДОМОСТРОИТЕЛЬНЫЙ КОМБИНАТ "ЭФФЕКТИВНЫХ КОНСТРУКЦИЙ И МАТЕРИАЛОВ"</t>
  </si>
  <si>
    <t>ДОМОСТРОИТЕЛЬНЫЙ КОМБИНАТ "ЭФФЕКТИВНЫХ КОНСТРУКЦИЙ И МАТЕРИАЛОВ"</t>
  </si>
  <si>
    <t>5032294610</t>
  </si>
  <si>
    <t>215710, СМОЛЕНСКАЯ ОБЛАСТЬ, РАЙОН ДОРОГОБУЖСКИЙ, ГОРОД ДОРОГОБУЖ, УЛИЦА КАРЛА МАРКСА, ДОМ 37, ОФИС 4, ЭТАЖ 1</t>
  </si>
  <si>
    <t>Баучкин Александр Юрьевич</t>
  </si>
  <si>
    <t>+7 (495) 723-59-84'</t>
  </si>
  <si>
    <t>45.215727,33.350476</t>
  </si>
  <si>
    <t>ОБЩЕСТВО С ОГРАНИЧЕННОЙ ОТВЕТСТВЕННОСТЬЮ "КРЫМСПЕЦСТРОЙ"</t>
  </si>
  <si>
    <t>"КРЫМСПЕЦСТРОЙ"</t>
  </si>
  <si>
    <t>9110012478</t>
  </si>
  <si>
    <t>297420, Республика Крым, городской округ ЕВПАТОРИЯ, Город ЕВПАТОРИЯ, УЛ СТРОИТЕЛЕЙ, Д. 14,</t>
  </si>
  <si>
    <t>Резанов Андрей Борисович</t>
  </si>
  <si>
    <t>+7 (978) 717-35-56', '+7 (978) 839-07-73'</t>
  </si>
  <si>
    <t>koronaroza@mail.ru', 'iv@mail.ru'</t>
  </si>
  <si>
    <t>45.221517,33.355381</t>
  </si>
  <si>
    <t>АКЦИОНЕРНОЕ ОБЩЕСТВО "СПМК-4"</t>
  </si>
  <si>
    <t>"СПМК-4"</t>
  </si>
  <si>
    <t>9110006450</t>
  </si>
  <si>
    <t>http://spmk4.ru</t>
  </si>
  <si>
    <t>297420, КРЫМ РЕСПУБЛИКА, Г. ЕВПАТОРИЯ, ПР-Д МЕЖКВАРТАЛЬНЫЙ, Д. 2</t>
  </si>
  <si>
    <t>Базарнова Оксана Васильевна</t>
  </si>
  <si>
    <t>+7 (365) 695-98-29', '+7 (365) 695-98-49', '+7 (365) 695-98-59', '+7 (365) 695-49-44'</t>
  </si>
  <si>
    <t>oaospmk4@gmail.com', 'drozdova@list.ru'</t>
  </si>
  <si>
    <t>45.210672,33.36131</t>
  </si>
  <si>
    <t>ОБЩЕСТВО С ОГРАНИЧЕННОЙ ОТВЕТСТВЕННОСТЬЮ "ЕВПАТОРИЙСКИЙ ЗАВОД "СТРОЙДЕТАЛЬ"</t>
  </si>
  <si>
    <t>"ЕВПАТОРИЙСКИЙ ЗАВОД "СТРОЙДЕТАЛЬ"</t>
  </si>
  <si>
    <t>9110011971</t>
  </si>
  <si>
    <t>297408, Республика Крым, г Евпатория, УЛ 2-Й ГВАРДЕЙСКОЙ АРМИИ, д 22, В,..</t>
  </si>
  <si>
    <t>Бровченко Александр Алексеевич</t>
  </si>
  <si>
    <t>+7 (978) 710-59-83', '+7 (978) 752-92-00', '+7 (365) 692-54-91'</t>
  </si>
  <si>
    <t>sdzavod@mail.ru'</t>
  </si>
  <si>
    <t>45.210825,33.362891</t>
  </si>
  <si>
    <t>ОБЩЕСТВО С ОГРАНИЧЕННОЙ ОТВЕТСТВЕННОСТЬЮ "СТРОЙДЕТАЛЬ-СЕРВИС"</t>
  </si>
  <si>
    <t>"СТРОЙДЕТАЛЬ-СЕРВИС"</t>
  </si>
  <si>
    <t>9110009299</t>
  </si>
  <si>
    <t>297408, КРЫМ РЕСПУБЛИКА, ГОРОД ЕВПАТОРИЯ, УЛИЦА ИМЕНИ 2-Й ГВАРДЕЙСКОЙ АРМИИ, ДОМ 22</t>
  </si>
  <si>
    <t>+7 (978) 752-92-00', '+7 (365) 692-54-91', '+7 (365) 693-14-75'</t>
  </si>
  <si>
    <t>45.210806,33.396874</t>
  </si>
  <si>
    <t>ОБЩЕСТВО С ОГРАНИЧЕННОЙ ОТВЕТСТВЕННОСТЬЮ «АРМ-СТРОЙ»</t>
  </si>
  <si>
    <t>«АРМ-СТРОЙ»</t>
  </si>
  <si>
    <t>9110022170</t>
  </si>
  <si>
    <t>297402, КРЫМ РЕСПУБЛИКА, ГОРОД ЕВПАТОРИЯ, КИЛОМЕТР РАЗДОЛЬНЕНСКОЕ ШОССЕ 5, ЛИТЕРА А, ПОМЕЩЕНИЕ 2</t>
  </si>
  <si>
    <t>Григорьян Арсен Григорьевич</t>
  </si>
  <si>
    <t>+7 (978) 703-52-32'</t>
  </si>
  <si>
    <t>avatarko2013@yandex.ru'</t>
  </si>
  <si>
    <t>67.588811,33.397548</t>
  </si>
  <si>
    <t>5118001833</t>
  </si>
  <si>
    <t>184209, Мурманская область, г Апатиты, ул Промышленная, д 8, офис 1</t>
  </si>
  <si>
    <t>Байрамов Улфат Гаджикерим</t>
  </si>
  <si>
    <t>strod77394@mail.ru'</t>
  </si>
  <si>
    <t>5118005644</t>
  </si>
  <si>
    <t>184209, Мурманская область, ГОРОД АПАТИТЫ, Г АПАТИТЫ, УЛ ПРОМЫШЛЕННАЯ, ВЛД. 8</t>
  </si>
  <si>
    <t>67.585362,33.41546</t>
  </si>
  <si>
    <t>ОБЩЕСТВО С ОГРАНИЧЕННОЙ ОТВЕТСТВЕННОСТЬЮ "Стройкомплект"</t>
  </si>
  <si>
    <t>"Стройкомплект"</t>
  </si>
  <si>
    <t>5103065400</t>
  </si>
  <si>
    <t>184209, Мурманская область, г Апатиты, ул Энергетическая, д 27</t>
  </si>
  <si>
    <t>Черноусов Александр Анатольевич</t>
  </si>
  <si>
    <t>56.85906,33.432016</t>
  </si>
  <si>
    <t>ОБЩЕСТВО С ОГРАНИЧЕННОЙ ОТВЕТСТВЕННОСТЬЮ ЗАВОД ЖБИ "ВОЛГА"</t>
  </si>
  <si>
    <t>ЗАВОД ЖБИ "ВОЛГА"</t>
  </si>
  <si>
    <t>6939005090</t>
  </si>
  <si>
    <t>69-Тверская область</t>
  </si>
  <si>
    <t>172200, ТВЕРСКАЯ ОБЛАСТЬ, ПГТ СЕЛИЖАРОВО, УЛ. ПУШКИНА, Д. 56</t>
  </si>
  <si>
    <t>Филимонова Марина Ивановна</t>
  </si>
  <si>
    <t>44.586658,33.454402</t>
  </si>
  <si>
    <t>ОБЩЕСТВО С ОГРАНИЧЕННОЙ ОТВЕТСТВЕННОСТЬЮ "СПЕЦСТРОЙ 17"</t>
  </si>
  <si>
    <t>"СПЕЦСТРОЙ 17"</t>
  </si>
  <si>
    <t>9200001657</t>
  </si>
  <si>
    <t>299038, Г.Севастополь, УЛ АСТАНА КЕСАЕВА, Д. 9, ОФИС 2, КАБИНЕТ 2</t>
  </si>
  <si>
    <t>Летягин Евгений Олегович</t>
  </si>
  <si>
    <t>44.596864,33.461553</t>
  </si>
  <si>
    <t>ОБЩЕСТВО С ОГРАНИЧЕННОЙ ОТВЕТСТВЕННОСТЬЮ "МИР ТРОТУАРНОЙ ПЛИТКИ"</t>
  </si>
  <si>
    <t>"МИР ТРОТУАРНОЙ ПЛИТКИ"</t>
  </si>
  <si>
    <t>9201524963</t>
  </si>
  <si>
    <t>299057, СЕВАСТОПОЛЬ Г, АДМИРАЛА ФАДЕЕВА УЛ, ДОМ 13Б,..</t>
  </si>
  <si>
    <t>Шаплыкова Юлия Сергеевна</t>
  </si>
  <si>
    <t>44.571339,33.462343</t>
  </si>
  <si>
    <t>ОБЩЕСТВО С ОГРАНИЧЕННОЙ ОТВЕТСТВЕННОСТЬЮ "ИНТЕЛЛЕКТ СЕРВИС"</t>
  </si>
  <si>
    <t>"ИНТЕЛЛЕКТ СЕРВИС"</t>
  </si>
  <si>
    <t>9201007179</t>
  </si>
  <si>
    <t>299006, СЕВАСТОПОЛЬ ГОРОД, УЛИЦА КОМБРИГА ПОТАПОВА, ДОМ 12, ПОМЕЩЕНИЕ II-1-II-2, II-25, II-26</t>
  </si>
  <si>
    <t>Смагин Владимир Александрович</t>
  </si>
  <si>
    <t>+7 (978) 082-70-85'</t>
  </si>
  <si>
    <t>stia_via@mail.ru'</t>
  </si>
  <si>
    <t>44.584879,33.466197</t>
  </si>
  <si>
    <t>ОБЩЕСТВО С ОГРАНИЧЕННОЙ ОТВЕТСТВЕННОСТЬЮ "КРИСТАЛЛ"</t>
  </si>
  <si>
    <t>"КРИСТАЛЛ"</t>
  </si>
  <si>
    <t>9201520937</t>
  </si>
  <si>
    <t>299038, СЕВАСТОПОЛЬ Г., УЛ. КОЛОБОВА, Д. 34/1, ПОМЕЩ. XV ОФИС 15</t>
  </si>
  <si>
    <t>Ольшанский Григорий Иванович</t>
  </si>
  <si>
    <t>+7 (978) 204-30-63'</t>
  </si>
  <si>
    <t>44.600882,33.479824</t>
  </si>
  <si>
    <t>ОБЩЕСТВО С ОГРАНИЧЕННОЙ ОТВЕТСТВЕННОСТЬЮ "СЕВАСТОПОЛЬСКИЙ ДОМОСТРОИТЕЛЬНЫЙ КОМБИНАТ"</t>
  </si>
  <si>
    <t>"СЕВАСТОПОЛЬСКИЙ ДОМОСТРОИТЕЛЬНЫЙ КОМБИНАТ"</t>
  </si>
  <si>
    <t>9201526671</t>
  </si>
  <si>
    <t>299028, СЕВАСТОПОЛЬ ГОРОД, УЛИЦА ШЕЛКУНОВА, ДОМ 1, ПОМЕЩЕНИЕ I-25</t>
  </si>
  <si>
    <t>Лысенко Александр Владимирович</t>
  </si>
  <si>
    <t>44.605567,33.481846</t>
  </si>
  <si>
    <t>ОБЩЕСТВО С ОГРАНИЧЕННОЙ ОТВЕТСТВЕННОСТЬЮ "АБВ СТРОЙ"</t>
  </si>
  <si>
    <t>"АБВ СТРОЙ"</t>
  </si>
  <si>
    <t>9204005229</t>
  </si>
  <si>
    <t>299028, СЕВАСТОПОЛЬ Г., УЛ. ЕФРЕМОВА, Д. 24, БЛОК Г ПОМЕЩ. 3</t>
  </si>
  <si>
    <t>Матаев Александр Исогович</t>
  </si>
  <si>
    <t>44.557904,33.491269</t>
  </si>
  <si>
    <t>ОБЩЕСТВО С ОГРАНИЧЕННОЙ ОТВЕТСТВЕННОСТЬЮ "КРЫМОПТ - СТРОЙМАТЕРИАЛЫ"</t>
  </si>
  <si>
    <t>"КРЫМОПТ - СТРОЙМАТЕРИАЛЫ"</t>
  </si>
  <si>
    <t>9201003840</t>
  </si>
  <si>
    <t>299014, СЕВАСТОПОЛЬ Г, КАМЫШОВОЕ Ш, ДОМ 23-А</t>
  </si>
  <si>
    <t>Савчук Елена Евгеньевна</t>
  </si>
  <si>
    <t>olga58@mail.ru'</t>
  </si>
  <si>
    <t>44.588128,33.492994</t>
  </si>
  <si>
    <t>ОБЩЕСТВО С ОГРАНИЧЕННОЙ ОТВЕТСТВЕННОСТЬЮ "ПАРИС"</t>
  </si>
  <si>
    <t>"ПАРИС"</t>
  </si>
  <si>
    <t>9204015259</t>
  </si>
  <si>
    <t>299003, СЕВАСТОПОЛЬ ГОРОД, УЛ. РУДНЕВА, ЗД 41А, КОРПУС А-2, ПОМЕЩЕНИЕ 1-1</t>
  </si>
  <si>
    <t>Чобану Алексей Алексеевич</t>
  </si>
  <si>
    <t>+7 (978) 767-85-52'</t>
  </si>
  <si>
    <t>88882000@bk.ru'</t>
  </si>
  <si>
    <t>44.556696,33.502112</t>
  </si>
  <si>
    <t>ОБЩЕСТВО С ОГРАНИЧЕННОЙ ОТВЕТСТВЕННОСТЬЮ "АРМАФ"</t>
  </si>
  <si>
    <t>"АРМАФ"</t>
  </si>
  <si>
    <t>9201014031</t>
  </si>
  <si>
    <t>299014, СЕВАСТОПОЛЬ Г, КАМЫШОВОЕ Ш, ДОМ 14-Б</t>
  </si>
  <si>
    <t>Мочалин Сергей Владимирович</t>
  </si>
  <si>
    <t>+7 (978) 860-90-56'</t>
  </si>
  <si>
    <t>armafru@mail.ru'</t>
  </si>
  <si>
    <t>44.55766,33.502866</t>
  </si>
  <si>
    <t>ОБЩЕСТВО С ОГРАНИЧЕННОЙ ОТВЕТСТВЕННОСТЬЮ "ЗСМ "КИФА"</t>
  </si>
  <si>
    <t>"ЗСМ "КИФА"</t>
  </si>
  <si>
    <t>9201012926</t>
  </si>
  <si>
    <t>299014, СЕВАСТОПОЛЬ ГОРОД, ШОССЕ КАМЫШОВОЕ, ДОМ 14</t>
  </si>
  <si>
    <t>Корюк Анатолий Антонович</t>
  </si>
  <si>
    <t>+7 (978) 810-93-36', '+7 (978) 918-55-88'</t>
  </si>
  <si>
    <t>zsm@yandex.ru'</t>
  </si>
  <si>
    <t>44.591023,33.503199</t>
  </si>
  <si>
    <t>ОБЩЕСТВО С ОГРАНИЧЕННОЙ ОТВЕТСТВЕННОСТЬЮ "СВАРОГБК-КРЫМ"</t>
  </si>
  <si>
    <t>"СВАРОГБК-КРЫМ"</t>
  </si>
  <si>
    <t>9200009568</t>
  </si>
  <si>
    <t>299003, Г.Севастополь, ЛЕНИНСКИЙ МУНИЦИПАЛЬНЫЙ ОКРУГ, УЛ БАЛТИЙСКАЯ, Д. 14</t>
  </si>
  <si>
    <t>Коршунов Сергей Николаевич</t>
  </si>
  <si>
    <t>44.559188,33.506666</t>
  </si>
  <si>
    <t>ОБЩЕСТВО С ОГРАНИЧЕННОЙ ОТВЕТСТВЕННОСТЬЮ "КРЫМ ИНЕРТ ТЕХНИКА"</t>
  </si>
  <si>
    <t>"КРЫМ ИНЕРТ ТЕХНИКА"</t>
  </si>
  <si>
    <t>9204559241</t>
  </si>
  <si>
    <t>299014, СЕВАСТОПОЛЬ Г., Ш. КАМЫШОВОЕ, ЗД. 14Е</t>
  </si>
  <si>
    <t>Бекиров Казим Музекерович</t>
  </si>
  <si>
    <t>+7 (978) 700-24-39', '+7 (978) 100-09-51'</t>
  </si>
  <si>
    <t>kobirina@yandex.ru', 'sevkit2018@mail.ru'</t>
  </si>
  <si>
    <t>44.574164,33.507286</t>
  </si>
  <si>
    <t>ОБЩЕСТВО С ОГРАНИЧЕННОЙ ОТВЕТСТВЕННОСТЬЮ "АРТ СТОУН"</t>
  </si>
  <si>
    <t>"АРТ СТОУН"</t>
  </si>
  <si>
    <t>9200009590</t>
  </si>
  <si>
    <t>299029, Г.Севастополь, ЛЕНИНСКИЙ МУНИЦИПАЛЬНЫЙ ОКРУГ, УЛ ШАБАЛИНА, Д. 27</t>
  </si>
  <si>
    <t>Бронников Андрей Валерьевич</t>
  </si>
  <si>
    <t>BRAN70@MAIL.RU'</t>
  </si>
  <si>
    <t>44.603783,33.50928</t>
  </si>
  <si>
    <t>ОБЩЕСТВО С ОГРАНИЧЕННОЙ ОТВЕТСТВЕННОСТЬЮ "ФЕНИКС-СТРОЙ"</t>
  </si>
  <si>
    <t>"ФЕНИКС-СТРОЙ"</t>
  </si>
  <si>
    <t>9204556762</t>
  </si>
  <si>
    <t>299008, СЕВАСТОПОЛЬ Г, УЛ ЗАГОРОДНАЯ БАЛКА, ДОМ 2А,..</t>
  </si>
  <si>
    <t>Соколов Владимир Александрович</t>
  </si>
  <si>
    <t>+7 (978) 714-99-29', '+7 (978) 749-45-37'</t>
  </si>
  <si>
    <t>stroi2015@mail.ru'</t>
  </si>
  <si>
    <t>44.565033,33.509927</t>
  </si>
  <si>
    <t>ОБЩЕСТВО С ОГРАНИЧЕННОЙ ОТВЕТСТВЕННОСТЬЮ "КАПИТЕЛЬ-ЦЕМЕНТ"</t>
  </si>
  <si>
    <t>"КАПИТЕЛЬ-ЦЕМЕНТ"</t>
  </si>
  <si>
    <t>9201503843</t>
  </si>
  <si>
    <t>299040, СЕВАСТОПОЛЬ Г, ПРОМЫШЛЕННАЯ УЛ, ДОМ 15</t>
  </si>
  <si>
    <t>Митрофанов Константин Алексеевич</t>
  </si>
  <si>
    <t>+7 (978) 749-09-72'</t>
  </si>
  <si>
    <t>bux@bk.ru'</t>
  </si>
  <si>
    <t>ОБЩЕСТВО С ОГРАНИЧЕННОЙ ОТВЕТСТВЕННОСТЬЮ "ПРОМБЕТОН КРЫМ"</t>
  </si>
  <si>
    <t>"ПРОМБЕТОН КРЫМ"</t>
  </si>
  <si>
    <t>9201518060</t>
  </si>
  <si>
    <t>299040, СЕВАСТОПОЛЬ ГОРОД, УЛИЦА ПРОМЫШЛЕННАЯ, ДОМ 15</t>
  </si>
  <si>
    <t>+7 (869) 292-00-80'</t>
  </si>
  <si>
    <t>9204006494</t>
  </si>
  <si>
    <t>299040, СЕВАСТОПОЛЬ ГОРОД, УЛИЦА ПРОМЫШЛЕННАЯ, ЗД 15, ПОМЕЩЕНИЕ 2</t>
  </si>
  <si>
    <t>Павленко Максим Леонидович</t>
  </si>
  <si>
    <t>44.57593,33.51122</t>
  </si>
  <si>
    <t>ОБЩЕСТВО С ОГРАНИЧЕННОЙ ОТВЕТСТВЕННОСТЬЮ "ПРОМАКТИВ"</t>
  </si>
  <si>
    <t>"ПРОМАКТИВ"</t>
  </si>
  <si>
    <t>9204569095</t>
  </si>
  <si>
    <t>299029, СЕВАСТОПОЛЬ ГОРОД, УЛИЦА КУРГАННАЯ, ДОМ 24, ЦОК. ЭТАЖ ПОМЕЩЕНИЕ I-2</t>
  </si>
  <si>
    <t>Федоров Александр Владимирович</t>
  </si>
  <si>
    <t>+7 (927) 712-39-55'</t>
  </si>
  <si>
    <t>rf@mail.ru'</t>
  </si>
  <si>
    <t>44.572507,33.511957</t>
  </si>
  <si>
    <t>ОБЩЕСТВО С ОГРАНИЧЕННОЙ ОТВЕТСТВЕННОСТЬЮ "ЮГ-ПОСТАВКА"</t>
  </si>
  <si>
    <t>"ЮГ-ПОСТАВКА"</t>
  </si>
  <si>
    <t>9200010041</t>
  </si>
  <si>
    <t>299040, Г.Севастополь, ГАГАРИНСКИЙ МУНИЦИПАЛЬНЫЙ ОКРУГ, УЛ ИНДУСТРИАЛЬНАЯ, Д. 25</t>
  </si>
  <si>
    <t>Волков Валерий Васильевич</t>
  </si>
  <si>
    <t>44.568963,33.513143</t>
  </si>
  <si>
    <t>ОБЩЕСТВО С ОГРАНИЧЕННОЙ ОТВЕТСТВЕННОСТЬЮ "ОРИОН БАЗА"</t>
  </si>
  <si>
    <t>"ОРИОН БАЗА"</t>
  </si>
  <si>
    <t>9201512358</t>
  </si>
  <si>
    <t>299040, СЕВАСТОПОЛЬ ГОРОД, УЛИЦА ПРОМЫШЛЕННАЯ, ДОМ 9-А</t>
  </si>
  <si>
    <t>Жигулев Александр Иванович</t>
  </si>
  <si>
    <t>+7 (978) 750-59-30'</t>
  </si>
  <si>
    <t>baza@mail.ru'</t>
  </si>
  <si>
    <t>44.563729,33.51706</t>
  </si>
  <si>
    <t>ОБЩЕСТВО С ОГРАНИЧЕННОЙ ОТВЕТСТВЕННОСТЬЮ "ЗАВОД ППСБ №1"</t>
  </si>
  <si>
    <t>"ЗАВОД ППСБ №1"</t>
  </si>
  <si>
    <t>9200006038</t>
  </si>
  <si>
    <t>299040, СЕВАСТОПОЛЬ Г., УЛ. ИНДУСТРИАЛЬНАЯ, Д. 3А, КАБИНЕТ А301</t>
  </si>
  <si>
    <t>Степанов Дмитрий Викторович</t>
  </si>
  <si>
    <t>44.573567,33.519503</t>
  </si>
  <si>
    <t>ОБЩЕСТВО С ОГРАНИЧЕННОЙ ОТВЕТСТВЕННОСТЬЮ "НОВЫЙ СВЕТ - ПОЛИСТИРОЛБЕТОН"</t>
  </si>
  <si>
    <t>"НОВЫЙ СВЕТ - ПОЛИСТИРОЛБЕТОН"</t>
  </si>
  <si>
    <t>9204561297</t>
  </si>
  <si>
    <t>299040, СЕВАСТОПОЛЬ ГОРОД, ПРОСПЕКТ ГЕНЕРАЛА ОСТРЯКОВА, ДОМ 98,..</t>
  </si>
  <si>
    <t>Оболенский Александр Александрович</t>
  </si>
  <si>
    <t>+7 (978) 888-06-07'</t>
  </si>
  <si>
    <t>44.606241,33.519907</t>
  </si>
  <si>
    <t>ОБЩЕСТВО С ОГРАНИЧЕННОЙ ОТВЕТСТВЕННОСТЬЮ "ВИКТОРИЯ"</t>
  </si>
  <si>
    <t>"ВИКТОРИЯ"</t>
  </si>
  <si>
    <t>9204567676</t>
  </si>
  <si>
    <t>299011, СЕВАСТОПОЛЬ Г., УЛ. ОЧАКОВЦЕВ, Д. 19, СЕКЦИЯ 6 ПОМЕЩЕНИЕ 13</t>
  </si>
  <si>
    <t>Геворгян Тигран Норикович</t>
  </si>
  <si>
    <t>+7 (978) 109-71-64'</t>
  </si>
  <si>
    <t>44.562515,33.521228</t>
  </si>
  <si>
    <t>ОБЩЕСТВО С ОГРАНИЧЕННОЙ ОТВЕТСТВЕННОСТЬЮ "АМА"</t>
  </si>
  <si>
    <t>"АМА"</t>
  </si>
  <si>
    <t>9204560783</t>
  </si>
  <si>
    <t>299055, СЕВАСТОПОЛЬ ГОРОД, УЛИЦА ХРУСТАЛЕВА, ДОМ 107,..</t>
  </si>
  <si>
    <t>Леонов Андрей Владимирович</t>
  </si>
  <si>
    <t>+7 (978) 781-83-24'</t>
  </si>
  <si>
    <t>45.137628,33.521632</t>
  </si>
  <si>
    <t>КОММАНДИТНОЕ ТОВАРИЩЕСТВО "КРЫМ-ИНВЕСТСТРОЙ И КОМПАНИЯ"</t>
  </si>
  <si>
    <t>9107002286</t>
  </si>
  <si>
    <t>296500, КРЫМ РЕСПУБЛИКА, Г. САКИ, УЛ. МОРСКАЯ, Д. 1</t>
  </si>
  <si>
    <t>Дрозд Юрий Григорьевич</t>
  </si>
  <si>
    <t>+7 (065) 632-71-67', '+7 (365) 632-71-67'</t>
  </si>
  <si>
    <t>kryminvest@rambler.ru'</t>
  </si>
  <si>
    <t>44.598083,33.522764</t>
  </si>
  <si>
    <t>ОБЩЕСТВО С ОГРАНИЧЕННОЙ ОТВЕТСТВЕННОСТЬЮ "НОВЫЙ ЗАВОД "ЖБИ №1"</t>
  </si>
  <si>
    <t>"НОВЫЙ ЗАВОД "ЖБИ №1"</t>
  </si>
  <si>
    <t>9200010806</t>
  </si>
  <si>
    <t>299011, Г.Севастополь, ЛЕНИНСКИЙ МУНИЦИПАЛЬНЫЙ ОКРУГ, ПЕР ЯЗОНОВСКИЙ, Д. 8, ПОМЕЩ. IV-4</t>
  </si>
  <si>
    <t>Чорнобай Иван Николаевич</t>
  </si>
  <si>
    <t>AUMEL@MAIL.RU'</t>
  </si>
  <si>
    <t>44.634887,33.531064</t>
  </si>
  <si>
    <t>ОБЩЕСТВО С ОГРАНИЧЕННОЙ ОТВЕТСТВЕННОСТЬЮ "СЕВАСТОПОЛЬСКИЙ СТРОИТЕЛЬНЫЙ БЛОКЪ"</t>
  </si>
  <si>
    <t>"СЕВАСТОПОЛЬСКИЙ СТРОИТЕЛЬНЫЙ БЛОКЪ"</t>
  </si>
  <si>
    <t>9203539228</t>
  </si>
  <si>
    <t>299002, СЕВАСТОПОЛЬ ГОРОД, УЛИЦА СИМОНОК, ДОМ 53В,..</t>
  </si>
  <si>
    <t>Евдокимов Андрей Анатольевич</t>
  </si>
  <si>
    <t>+7 (978) 720-03-35'</t>
  </si>
  <si>
    <t>sev@yandex.ru'</t>
  </si>
  <si>
    <t>44.544549,33.535673</t>
  </si>
  <si>
    <t>ОБЩЕСТВО С ОГРАНИЧЕННОЙ ОТВЕТСТВЕННОСТЬЮ "ОМЕГА-СТРОЙ"</t>
  </si>
  <si>
    <t>"ОМЕГА-СТРОЙ"</t>
  </si>
  <si>
    <t>9204014304</t>
  </si>
  <si>
    <t>299055, СЕВАСТОПОЛЬ ГОРОД, УЛИЦА ИЗУМРУДНАЯ, ДОМ 5</t>
  </si>
  <si>
    <t>Голик Александр Алексеевич</t>
  </si>
  <si>
    <t>sev@mail.ru'</t>
  </si>
  <si>
    <t>44.595092,33.550486</t>
  </si>
  <si>
    <t>ОБЩЕСТВО С ОГРАНИЧЕННОЙ ОТВЕТСТВЕННОСТЬЮ "КОНКРИТ"</t>
  </si>
  <si>
    <t>"КОНКРИТ"</t>
  </si>
  <si>
    <t>9200009504</t>
  </si>
  <si>
    <t>299023, Г.Севастополь, НАХИМОВСКИЙ МУНИЦИПАЛЬНЫЙ ОКРУГ, УЛ ИНКЕРМАНСКАЯ, Д. 11</t>
  </si>
  <si>
    <t>Яриш Андрей Вадимович</t>
  </si>
  <si>
    <t>44.528371,33.555912</t>
  </si>
  <si>
    <t>ОБЩЕСТВО С ОГРАНИЧЕННОЙ ОТВЕТСТВЕННОСТЬЮ "АРБЛОК"</t>
  </si>
  <si>
    <t>"АРБЛОК"</t>
  </si>
  <si>
    <t>9202502962</t>
  </si>
  <si>
    <t>299020, СЕВАСТОПОЛЬ Г, 3-ое отделение Золотой Балки, ТЕНДРОВСКАЯ УЛ, ДОМ 7</t>
  </si>
  <si>
    <t>Коханюк Александр Петрович</t>
  </si>
  <si>
    <t>+7 (978) 835-79-20'</t>
  </si>
  <si>
    <t>44.61192,33.564329</t>
  </si>
  <si>
    <t>ОБЩЕСТВО С ОГРАНИЧЕННОЙ ОТВЕТСТВЕННОСТЬЮ "ФИРМА "ЛАКОР"</t>
  </si>
  <si>
    <t>"ФИРМА "ЛАКОР"</t>
  </si>
  <si>
    <t>9203006043</t>
  </si>
  <si>
    <t>299041, СЕВАСТОПОЛЬ Г, ул Мореходная, д 60А</t>
  </si>
  <si>
    <t>Розумный Владимир Иванович</t>
  </si>
  <si>
    <t>+7 (978) 748-74-16'</t>
  </si>
  <si>
    <t>szvtr@yandex.ru'</t>
  </si>
  <si>
    <t>44.514418,33.58208</t>
  </si>
  <si>
    <t>ОБЩЕСТВО С ОГРАНИЧЕННОЙ ОТВЕТСТВЕННОСТЬЮ "ЭНКИ"</t>
  </si>
  <si>
    <t>"ЭНКИ"</t>
  </si>
  <si>
    <t>9203541185</t>
  </si>
  <si>
    <t>299043, СЕВАСТОПОЛЬ ГОРОД, УЛИЦА ДРАПУШКО, ДОМ 9</t>
  </si>
  <si>
    <t>Бондаренко Эдуард Анатольевич</t>
  </si>
  <si>
    <t>+7 (989) 763-58-86'</t>
  </si>
  <si>
    <t>45.240959,33.588925</t>
  </si>
  <si>
    <t>ОБЩЕСТВО С ОГРАНИЧЕННОЙ ОТВЕТСТВЕННОСТЬЮ "ВО!!!"</t>
  </si>
  <si>
    <t>"ВО!!!"</t>
  </si>
  <si>
    <t>9107001620</t>
  </si>
  <si>
    <t>http://udarnik74.ru</t>
  </si>
  <si>
    <t>296540, КРЫМ РЕСПУБЛИКА, Р-Н САКСКИЙ, С ОХОТНИКОВО, УЛ. ЗАВОДСКАЯ, Д. 1-Г</t>
  </si>
  <si>
    <t>Чернило Сергей Леонидович</t>
  </si>
  <si>
    <t>+7 (978) 732-37-23'</t>
  </si>
  <si>
    <t>fabiana7@mail.ru', 'rjgskmwjdf@mail.ru'</t>
  </si>
  <si>
    <t>44.614441,33.599094</t>
  </si>
  <si>
    <t>ОБЩЕСТВО С ОГРАНИЧЕННОЙ ОТВЕТСТВЕННОСТЬЮ "СЕВАСТОПОЛЬСКИЕ БЕТОННЫЕ ТЕХНОЛОГИИ"</t>
  </si>
  <si>
    <t>"СЕВАСТОПОЛЬСКИЕ БЕТОННЫЕ ТЕХНОЛОГИИ"</t>
  </si>
  <si>
    <t>9203544845</t>
  </si>
  <si>
    <t>299703, СЕВАСТОПОЛЬ ГОРОД, ГОРОД ИНКЕРМАН, ШОССЕ СИМФЕРОПОЛЬСКОЕ, ДОМ 20, ОФИС 1</t>
  </si>
  <si>
    <t>Рощин Павел Александрович</t>
  </si>
  <si>
    <t>44.500706,33.602606</t>
  </si>
  <si>
    <t>ОБЩЕСТВО С ОГРАНИЧЕННОЙ ОТВЕТСТВЕННОСТЬЮ "ТЕХНОБЛОК-СТРОЙ"</t>
  </si>
  <si>
    <t>"ТЕХНОБЛОК-СТРОЙ"</t>
  </si>
  <si>
    <t>9202502313</t>
  </si>
  <si>
    <t>299042, СЕВАСТОПОЛЬ ГОРОД, УЛИЦА БАШЕННАЯ, ДОМ 15,..</t>
  </si>
  <si>
    <t>Дмитриева Анастасия Анатольевна</t>
  </si>
  <si>
    <t>+7 (978) 143-09-63', '+7 (978) 842-71-22', '+7 (978) 266-45-35'</t>
  </si>
  <si>
    <t>ukr@mail.ru', 'crimea@mail.ru'</t>
  </si>
  <si>
    <t>44.604739,33.605876</t>
  </si>
  <si>
    <t>ОБЩЕСТВО С ОГРАНИЧЕННОЙ ОТВЕТСТВЕННОСТЬЮ "ЗАВОД ЖБИ № 1"</t>
  </si>
  <si>
    <t>"ЗАВОД ЖБИ № 1"</t>
  </si>
  <si>
    <t>9202000627</t>
  </si>
  <si>
    <t>299703, Севастополь Город, Г. Инкерман, Ш. Симферопольское, Д. 15</t>
  </si>
  <si>
    <t>Матцаберидзе Зураб Александрович</t>
  </si>
  <si>
    <t>+7 (978) 000-20-16'</t>
  </si>
  <si>
    <t>INFO@SEVGBI.RU'</t>
  </si>
  <si>
    <t>45.285633,33.605984</t>
  </si>
  <si>
    <t>ОБЩЕСТВО С ОГРАНИЧЕННОЙ ОТВЕТСТВЕННОСТЬЮ "СТРОЙМАТЕРИАЛСЕРВИС"</t>
  </si>
  <si>
    <t>"СТРОЙМАТЕРИАЛСЕРВИС"</t>
  </si>
  <si>
    <t>9107037627</t>
  </si>
  <si>
    <t>296548, КРЫМ РЕСПУБЛИКА, РАЙОН САКСКИЙ, СЕЛО КАРЬЕРНОЕ, УЛИЦА ЗЕЛЁНАЯ, ДОМ 16</t>
  </si>
  <si>
    <t>Рябоконь Анатолий Олегович</t>
  </si>
  <si>
    <t>+7 (978) 774-16-06', '+7 (978) 807-50-57'</t>
  </si>
  <si>
    <t>sms2015k@mail.ru', 'sbis@mail.ru'</t>
  </si>
  <si>
    <t>44.568314,33.606604</t>
  </si>
  <si>
    <t>ОБЩЕСТВО С ОГРАНИЧЕННОЙ ОТВЕТСТВЕННОСТЬЮ "ПРЕФАБ"</t>
  </si>
  <si>
    <t>"ПРЕФАБ"</t>
  </si>
  <si>
    <t>9201523303</t>
  </si>
  <si>
    <t>299703, СЕВАСТОПОЛЬ ГОРОД, ГОРОД ИНКЕРМАН, УЛИЦА ЧЕРНОРЕЧЕНСКАЯ, ЗД 129/10</t>
  </si>
  <si>
    <t>Гридчина Алла Александровна</t>
  </si>
  <si>
    <t>+7 (978) 808-36-02'</t>
  </si>
  <si>
    <t>admin@sevastopolstroy.ru'</t>
  </si>
  <si>
    <t>44.566773,33.610107</t>
  </si>
  <si>
    <t>АКЦИОНЕРНОЕ ОБЩЕСТВО "РЕМСТРОЙКОМПЛЕКТ"</t>
  </si>
  <si>
    <t>"РЕМСТРОЙКОМПЛЕКТ"</t>
  </si>
  <si>
    <t>9202002600</t>
  </si>
  <si>
    <t>299010, СЕВАСТОПОЛЬ ГОРОД, СЕЛО ШТУРМОВОЕ, УЛИЦА ГЕРОЕВ РЕВОЛЮЦИИ, ДОМ 67</t>
  </si>
  <si>
    <t>Остапчук Николай Алексеевич</t>
  </si>
  <si>
    <t>+7 (978) 700-04-21'</t>
  </si>
  <si>
    <t>remstr@bk.ru'</t>
  </si>
  <si>
    <t>44.979748,33.613018</t>
  </si>
  <si>
    <t>ОБЩЕСТВО С ОГРАНИЧЕННОЙ ОТВЕТСТВЕННОСТЬЮ "СЛК"</t>
  </si>
  <si>
    <t>"СЛК"</t>
  </si>
  <si>
    <t>9109025419</t>
  </si>
  <si>
    <t>297546, КРЫМ РЕСПУБЛИКА, РАЙОН СИМФЕРОПОЛЬСКИЙ, ПОСЕЛОК ГОРОДСКОГО ТИПА НИКОЛАЕВКА, УЛИЦА КОЛХОЗНАЯ, ДОМ 22</t>
  </si>
  <si>
    <t>Лукьяненок Артемий Александрович</t>
  </si>
  <si>
    <t>+7 (902) 814-98-07'</t>
  </si>
  <si>
    <t>45.499836,33.613107</t>
  </si>
  <si>
    <t>ОБЩЕСТВО С ОГРАНИЧЕННОЙ ОТВЕТСТВЕННОСТЬЮ "СЕРВИСКРЫМСТРОЙ"</t>
  </si>
  <si>
    <t>"СЕРВИСКРЫМСТРОЙ"</t>
  </si>
  <si>
    <t>9110018945</t>
  </si>
  <si>
    <t>296331, КРЫМ РЕСПУБЛИКА, РАЙОН ПЕРВОМАЙСКИЙ, СЕЛО КОРМОВОЕ, УЛИЦА ШКОЛЬНАЯ, ДОМ 4, ПОМЕЩЕНИЕ 49</t>
  </si>
  <si>
    <t>Володина Наталья Владимировна</t>
  </si>
  <si>
    <t>+7 (927) 273-86-22'</t>
  </si>
  <si>
    <t>buhgalter_online@bk.ru', 'avk_stroy@mail.ru'</t>
  </si>
  <si>
    <t>44.516636,33.61459</t>
  </si>
  <si>
    <t>ОБЩЕСТВО С ОГРАНИЧЕННОЙ ОТВЕТСТВЕННОСТЬЮ "ФИРМА"</t>
  </si>
  <si>
    <t>"ФИРМА"</t>
  </si>
  <si>
    <t>9203547719</t>
  </si>
  <si>
    <t>299018, СЕВАСТОПОЛЬ ГОРОД, УЛИЦА ПЕСОЧНАЯ, ДОМ 17, ЛИТЕР С, ОФИС 1</t>
  </si>
  <si>
    <t>Кузнецов Андрей Сергеевич</t>
  </si>
  <si>
    <t>+7 (978) 069-66-08'</t>
  </si>
  <si>
    <t>45.142339,33.620995</t>
  </si>
  <si>
    <t>ОБЩЕСТВО С ОГРАНИЧЕННОЙ ОТВЕТСТВЕННОСТЬЮ "КРЫМСКИЙ ЗАВОД ЯЧЕИСТОГО БЕТОНА"</t>
  </si>
  <si>
    <t>"КРЫМСКИЙ ЗАВОД ЯЧЕИСТОГО БЕТОНА"</t>
  </si>
  <si>
    <t>9102212473</t>
  </si>
  <si>
    <t>296505, КРЫМ РЕСП, САКИ Г, ИНДУСТРИАЛЬНАЯ УЛ, ДОМ 8, ОФИС 215</t>
  </si>
  <si>
    <t>Сираев Раил Фаимович</t>
  </si>
  <si>
    <t>+7 (964) 522-11-55'</t>
  </si>
  <si>
    <t>55.1406,33.632547</t>
  </si>
  <si>
    <t>ОБЩЕСТВО С ОГРАНИЧЕННОЙ ОТВЕТСТВЕННОСТЬЮ «ЖБИ-ВВР»</t>
  </si>
  <si>
    <t>«ЖБИ-ВВР»</t>
  </si>
  <si>
    <t>6726026497</t>
  </si>
  <si>
    <t>215540, СМОЛЕНСКАЯ ОБЛ., Р-Н Сафоновский, С. Издешково, УЛ. МЕХАНИЗАТОРОВ, Д. 10,..</t>
  </si>
  <si>
    <t>Романенков Виктор Владимирович</t>
  </si>
  <si>
    <t>53.519969,33.717483</t>
  </si>
  <si>
    <t>ОБЩЕСТВО С ОГРАНИЧЕННОЙ ОТВЕТСТВЕННОСТЬЮ "БАЗИС"</t>
  </si>
  <si>
    <t>"БАЗИС"</t>
  </si>
  <si>
    <t>3212004806</t>
  </si>
  <si>
    <t>БРЯНСКАЯ ОБЛ.,Г ЖУКОВКА,УЛ ДЕГТЯРЕВА, Д 11</t>
  </si>
  <si>
    <t>Клячев Алексей Алексеевич</t>
  </si>
  <si>
    <t>+7 (920) 857-74-44'</t>
  </si>
  <si>
    <t>44.65176,33.758356</t>
  </si>
  <si>
    <t>ОБЩЕСТВО С ОГРАНИЧЕННОЙ ОТВЕТСТВЕННОСТЬЮ "ПРОЭКОЛАЙН"</t>
  </si>
  <si>
    <t>"ПРОЭКОЛАЙН"</t>
  </si>
  <si>
    <t>9104008917</t>
  </si>
  <si>
    <t>298465, КРЫМ РЕСП, БАХЧИСАРАЙСКИЙ Р-Н, ХОЛМОВКА С, ТЕПЛИЧНАЯ УЛ, ДОМ 2, ПОМЕЩЕНИЕ 2</t>
  </si>
  <si>
    <t>Овчаров Сергей Николаевич</t>
  </si>
  <si>
    <t>+7 (978) 106-54-23', '+7 (978) 148-91-64'</t>
  </si>
  <si>
    <t>ОБЩЕСТВО С ОГРАНИЧЕННОЙ ОТВЕТСТВЕННОСТЬЮ "ПРОЕКОЛАЙН"</t>
  </si>
  <si>
    <t>"ПРОЕКОЛАЙН"</t>
  </si>
  <si>
    <t>9104031000</t>
  </si>
  <si>
    <t>298465, КРЫМ РЕСП., Бахчисарайский Р-Н, С. Холмовка, УЛ. ТЕПЛИЧНАЯ, Д. 2, ПОМЕЩ. 2</t>
  </si>
  <si>
    <t>+7 (978) 829-44-08'</t>
  </si>
  <si>
    <t>44.635189,33.774589</t>
  </si>
  <si>
    <t>ОБЩЕСТВО С ОГРАНИЧЕННОЙ ОТВЕТСТВЕННОСТЬЮ НАУЧНО-ПРОИЗВОДСТВЕННОЕ ПРЕДПРИЯТИЕ СТРОИТЕЛЬНЫХ МАТЕРИАЛОВ "ГРИМАКС"</t>
  </si>
  <si>
    <t>НАУЧНО-ПРОИЗВОДСТВЕННОЕ ПРЕДПРИЯТИЕ СТРОИТЕЛЬНЫХ МАТЕРИАЛОВ "ГРИМАКС"</t>
  </si>
  <si>
    <t>9104009741</t>
  </si>
  <si>
    <t>298464, КРЫМ РЕСП, БАХЧИСАРАЙСКИЙ Р-Н, КРАСНЫЙ МАК С, ЛЕНИНА УЛ, ДОМ 117</t>
  </si>
  <si>
    <t>Грищенко Александр Анатольевич</t>
  </si>
  <si>
    <t>+7 (989) 232-05-12'</t>
  </si>
  <si>
    <t>45.963962,33.77864</t>
  </si>
  <si>
    <t>ОБЩЕСТВО С ОГРАНИЧЕННОЙ ОТВЕТСТВЕННОСТЬЮ "БЕТОНИНВЕСТ"</t>
  </si>
  <si>
    <t>"БЕТОНИНВЕСТ"</t>
  </si>
  <si>
    <t>9106015980</t>
  </si>
  <si>
    <t>296000, Республика Крым, городской округ КРАСНОПЕРЕКОПСК, Город КРАСНОПЕРЕКОПСК, УЛ ТАВРИЧЕСКАЯ, ЗД. 2А, ЭТАЖ 2, ПОМЕЩ. 5</t>
  </si>
  <si>
    <t>Мухтаров Нариман Нариманович</t>
  </si>
  <si>
    <t>59.470656,33.836797</t>
  </si>
  <si>
    <t>ОБЩЕСТВО С ОГРАНИЧЕННОЙ ОТВЕТСТВЕННОСТЬЮ "БОГЕМА ДЕКОР"</t>
  </si>
  <si>
    <t>"БОГЕМА ДЕКОР"</t>
  </si>
  <si>
    <t>4715033410</t>
  </si>
  <si>
    <t>187650, ЛЕНИНГРАДСКАЯ ОБЛАСТЬ, БОКСИТОГОРСКИЙ РАЙОН, ГОРОД БОКСИТОГОРСК, УЛИЦА ЗАВОДСКАЯ, ДОМ 8, ОФИС 8</t>
  </si>
  <si>
    <t>Каргина Екатерина Сергеевна</t>
  </si>
  <si>
    <t>44.747961,33.839168</t>
  </si>
  <si>
    <t>ОБЩЕСТВО С ОГРАНИЧЕННОЙ ОТВЕТСТВЕННОСТЬЮ "КРЫМКАМЕНЬ"</t>
  </si>
  <si>
    <t>"КРЫМКАМЕНЬ"</t>
  </si>
  <si>
    <t>9104030711</t>
  </si>
  <si>
    <t>298404, КРЫМ РЕСП., Бахчисарайский Р-Н, Г. Бахчисарай, УЛ. КРЫМСКАЯ, Д. 2В, ЛИТЕРА 3 ПОМЕЩ. 1,2,3</t>
  </si>
  <si>
    <t>Сытник Юрий Владимирович</t>
  </si>
  <si>
    <t>MASTOR76@YANDEX.RU'</t>
  </si>
  <si>
    <t>58.388346,33.84825</t>
  </si>
  <si>
    <t>ОБЩЕСТВО С ОГРАНИЧЕННОЙ ОТВЕТСТВЕННОСТЬЮ "ГАЗОБЕТОН"</t>
  </si>
  <si>
    <t>"ГАЗОБЕТОН"</t>
  </si>
  <si>
    <t>5320022210</t>
  </si>
  <si>
    <t>174411, НОВГОРОДСКАЯ ОБЛАСТЬ, РАЙОН БОРОВИЧСКИЙ, ГОРОД БОРОВИЧИ, УЛИЦА ОКУЛОВСКАЯ, 10</t>
  </si>
  <si>
    <t>Зыков Михаил Витальевич</t>
  </si>
  <si>
    <t>+7 (968) 180-89-79'</t>
  </si>
  <si>
    <t>58.390705,33.854664</t>
  </si>
  <si>
    <t>ОБЩЕСТВО С ОГРАНИЧЕННОЙ ОТВЕТСТВЕННОСТЬЮ "РЕСУРС"</t>
  </si>
  <si>
    <t>"РЕСУРС"</t>
  </si>
  <si>
    <t>5320028660</t>
  </si>
  <si>
    <t>174411, НОВГОРОДСКАЯ ОБЛАСТЬ, БОРОВИЧСКИЙ РАЙОН, ГОРОД БОРОВИЧИ, УЛИЦА ОКУЛОВСКАЯ, ДОМ 4В, ОФИС 11</t>
  </si>
  <si>
    <t>Тепляков Павел Анатольевич</t>
  </si>
  <si>
    <t>+7 (921) 024-42-24'</t>
  </si>
  <si>
    <t>44.769876,33.863908</t>
  </si>
  <si>
    <t>ОБЩЕСТВО С ОГРАНИЧЕННОЙ ОТВЕТСТВЕННОСТЬЮ ПРОИЗВОДСТВЕННО-КОММЕРЧЕСКАЯ ФИРМА «АВАНГАРД»</t>
  </si>
  <si>
    <t>ПРОИЗВОДСТВЕННО-КОММЕРЧЕСКАЯ ФИРМА «АВАНГАРД»</t>
  </si>
  <si>
    <t>9104008480</t>
  </si>
  <si>
    <t>298400, КРЫМ РЕСП, БАХЧИСАРАЙСКИЙ Р-Н, БАХЧИСАРАЙ Г, ПРОМЫШЛЕННАЯ УЛ, ДОМ 8, ЛИТЕРА Б</t>
  </si>
  <si>
    <t>Панасюк Сергей Юрьевич</t>
  </si>
  <si>
    <t>+7 (913) 917-48-36'</t>
  </si>
  <si>
    <t>44.7701,33.864609</t>
  </si>
  <si>
    <t>ОБЩЕСТВО С ОГРАНИЧЕННОЙ ОТВЕТСТВЕННОСТЬЮ «КРЫММОСТКОНСТРУКЦИЯ»</t>
  </si>
  <si>
    <t>«КРЫММОСТКОНСТРУКЦИЯ»</t>
  </si>
  <si>
    <t>9104009685</t>
  </si>
  <si>
    <t>298400, КРЫМ РЕСПУБЛИКА, РАЙОН БАХЧИСАРАЙСКИЙ, ГОРОД БАХЧИСАРАЙ, УЛИЦА ПРОМЫШЛЕННАЯ, ДОМ 6-А, ЛИТЕРА А</t>
  </si>
  <si>
    <t>Кудряшов Дмитрий Леонидович</t>
  </si>
  <si>
    <t>+7 (978) 861-01-93'</t>
  </si>
  <si>
    <t>mordvinova@gmail.com'</t>
  </si>
  <si>
    <t>44.774867,33.865624</t>
  </si>
  <si>
    <t>ОБЩЕСТВО С ОГРАНИЧЕННОЙ ОТВЕТСТВЕННОСТЬЮ «КРАСОТА ПОД НОГАМИ»</t>
  </si>
  <si>
    <t>«КРАСОТА ПОД НОГАМИ»</t>
  </si>
  <si>
    <t>9104030574</t>
  </si>
  <si>
    <t>298400, КРЫМ РЕСП., Р-Н Бахчисарайский, Г. Бахчисарай, УЛ. ПРОМЫШЛЕННАЯ, Д. 18, ОФИС 2</t>
  </si>
  <si>
    <t>Григорян Давид Владимирович</t>
  </si>
  <si>
    <t>GDV091186@GMAIL.COM'</t>
  </si>
  <si>
    <t>44.780952,33.875838</t>
  </si>
  <si>
    <t>ОБЩЕСТВО С ОГРАНИЧЕННОЙ ОТВЕТСТВЕННОСТЬЮ "АФИНА"</t>
  </si>
  <si>
    <t>"АФИНА"</t>
  </si>
  <si>
    <t>9104028952</t>
  </si>
  <si>
    <t>298400, КРЫМ РЕСПУБЛИКА, БАХЧИСАРАЙСКИЙ РАЙОН, ГОРОД БАХЧИСАРАЙ, УЛИЦА ПРОМЫШЛЕННАЯ, ДОМ 24, ОФИС 21</t>
  </si>
  <si>
    <t>Герасим Роман Николаевич</t>
  </si>
  <si>
    <t>+7 (978) 709-06-82'</t>
  </si>
  <si>
    <t>ОБЩЕСТВО С ОГРАНИЧЕННОЙ ОТВЕТСТВЕННОСТЬЮ "АКЦЕНТ ПЛЮС"</t>
  </si>
  <si>
    <t>"АКЦЕНТ ПЛЮС"</t>
  </si>
  <si>
    <t>9104028984</t>
  </si>
  <si>
    <t>298400, КРЫМ РЕСП, БАХЧИСАРАЙСКИЙ Р-Н, БАХЧИСАРАЙ Г, ПРОМЫШЛЕННАЯ УЛ, ДОМ 24, ОФИС 22</t>
  </si>
  <si>
    <t>Розгонюк Олег Владимирович</t>
  </si>
  <si>
    <t>58.375909,33.882494</t>
  </si>
  <si>
    <t>ОБЩЕСТВО С ОГРАНИЧЕННОЙ ОТВЕТСТВЕННОСТЬЮ "БОРОВИЧСКИЙ ЗАВОД ЖБИ"</t>
  </si>
  <si>
    <t>"БОРОВИЧСКИЙ ЗАВОД ЖБИ"</t>
  </si>
  <si>
    <t>5320028163</t>
  </si>
  <si>
    <t>174411, НОВГОРОДСКАЯ ОБЛАСТЬ, Р-Н БОРОВИЧСКИЙ, Г. БОРОВИЧИ, УЛ. ЮГО-ЗАПАДНАЯ, Д. 3</t>
  </si>
  <si>
    <t>Волков Артур Александрович</t>
  </si>
  <si>
    <t>vim1961@yandex.ru'</t>
  </si>
  <si>
    <t>45.045896,33.951045</t>
  </si>
  <si>
    <t>ОБЩЕСТВО С ОГРАНИЧЕННОЙ ОТВЕТСТВЕННОСТЬЮ "АКТИВ ГРУПП"</t>
  </si>
  <si>
    <t>"АКТИВ ГРУПП"</t>
  </si>
  <si>
    <t>9102206127</t>
  </si>
  <si>
    <t>297540, КРЫМ РЕСПУБЛИКА, Р-Н СИМФЕРОПОЛЬСКИЙ, С РОДНИКОВО, ТЕР КОМПЛЕКС ЗДАНИЙ И СООРУЖЕНИЙ 1</t>
  </si>
  <si>
    <t xml:space="preserve"> Генеральный Директор Неволин Георгий Анатольевич</t>
  </si>
  <si>
    <t>+7 (911) 179-34-56'</t>
  </si>
  <si>
    <t>44.825573,33.955815</t>
  </si>
  <si>
    <t>ОБЩЕСТВО С ОГРАНИЧЕННОЙ ОТВЕТСТВЕННОСТЬЮ "ПРОММЕХАНИЗАЦИЯ"</t>
  </si>
  <si>
    <t>"ПРОММЕХАНИЗАЦИЯ"</t>
  </si>
  <si>
    <t>9104005465</t>
  </si>
  <si>
    <t>298420, КРЫМ РЕСПУБЛИКА, Р-Н БАХЧИСАРАЙСКИЙ, С НОВОПАВЛОВКА, УЛ. СЕВАСТОПОЛЬСКАЯ, Д. 36</t>
  </si>
  <si>
    <t>Тукин Михаил Егорович</t>
  </si>
  <si>
    <t>+7 (978) 837-77-55', '+7 (655) 457-40-00', '+7 (978) 770-60-96'</t>
  </si>
  <si>
    <t>businesskrym@yandex.ru'</t>
  </si>
  <si>
    <t>44.837194,33.961456</t>
  </si>
  <si>
    <t>ОБЩЕСТВО С ОГРАНИЧЕННОЙ ОТВЕТСТВЕННОСТЬЮ "ДОМОСТРОИТЕЛЬНЫЙ КОМБИНАТ "ЦК КПСС"</t>
  </si>
  <si>
    <t>"ДОМОСТРОИТЕЛЬНЫЙ КОМБИНАТ "ЦК КПСС"</t>
  </si>
  <si>
    <t>9104029473</t>
  </si>
  <si>
    <t>298420, КРЫМ РЕСПУБЛИКА, РАЙОН БАХЧИСАРАЙСКИЙ, ПОСЕЛОК ГОРОДСКОГО ТИПА ПОЧТОВОЕ, УЛИЦА ПРИВОКЗАЛЬНАЯ, ДОМ 2-В, ЛИТЕРА А, ПОМЕЩЕНИЕ 2</t>
  </si>
  <si>
    <t>Асмаловская Ольга Евгеньевна</t>
  </si>
  <si>
    <t>+7 (985) 106-50-05'</t>
  </si>
  <si>
    <t>kpss_buh@mail.ru'</t>
  </si>
  <si>
    <t>45.052704,33.987211</t>
  </si>
  <si>
    <t>ОБЩЕСТВО С ОГРАНИЧЕННОЙ ОТВЕТСТВЕННОСТЬЮ ЗАВОД "РОСБЕТОН"</t>
  </si>
  <si>
    <t>ЗАВОД "РОСБЕТОН"</t>
  </si>
  <si>
    <t>9109027254</t>
  </si>
  <si>
    <t>297536, Республика Крым, муниципальный район СИМФЕРОПОЛЬСКИЙ, Село УКРОМНОЕ, сельское поселение УКРОМНОВСКОЕ, УЛ МОЛОДЕЖНАЯ, ЗД. 66В, ОФИС 1</t>
  </si>
  <si>
    <t>Сухенко Александр Александрович</t>
  </si>
  <si>
    <t>45.051952,33.987489</t>
  </si>
  <si>
    <t>ОБЩЕСТВО С ОГРАНИЧЕННОЙ ОТВЕТСТВЕННОСТЬЮ "ЦЕХ"</t>
  </si>
  <si>
    <t>"ЦЕХ"</t>
  </si>
  <si>
    <t>9109027279</t>
  </si>
  <si>
    <t>Республика Крым, СИМФЕРОПОЛЬСКИЙ, 2 УКРОМНОВСКОЕ, С УКРОМНОЕ, УЛ МОЛОДЕЖНАЯ, ЗД. 64Б</t>
  </si>
  <si>
    <t>Геворкян Александра Николаевна</t>
  </si>
  <si>
    <t>45.047259,33.995044</t>
  </si>
  <si>
    <t>ОБЩЕСТВО С ОГРАНИЧЕННОЙ ОТВЕТСТВЕННОСТЬЮ «ТЕПЛОГРАД»</t>
  </si>
  <si>
    <t>«ТЕПЛОГРАД»</t>
  </si>
  <si>
    <t>9109017030</t>
  </si>
  <si>
    <t>297536, КРЫМ РЕСПУБЛИКА, Р-Н СИМФЕРОПОЛЬСКИЙ, С УКРОМНОЕ, УЛ. ЗАВОДСКАЯ, Д. 2</t>
  </si>
  <si>
    <t>Хайтас Марлен Алиевич</t>
  </si>
  <si>
    <t>+7 (978) 726-76-82'</t>
  </si>
  <si>
    <t>memetova@gmail.com'</t>
  </si>
  <si>
    <t>45.057963,33.996526</t>
  </si>
  <si>
    <t>ОБЩЕСТВО С ОГРАНИЧЕННОЙ ОТВЕТСТВЕННОСТЬЮ "НПО СПЕЦМАШ"</t>
  </si>
  <si>
    <t>"НПО СПЕЦМАШ"</t>
  </si>
  <si>
    <t>9109026620</t>
  </si>
  <si>
    <t>297536, Республика Крым, муниципальный район СИМФЕРОПОЛЬСКИЙ, Село УКРОМНОЕ, сельское поселение УКРОМНОВСКОЕ, УЛ ВИШНЕВАЯ, Д. 30, ЛИТ. А</t>
  </si>
  <si>
    <t>Филоненко Дмитрий Александрович</t>
  </si>
  <si>
    <t>SPETSMASH@YANDEX.RU'</t>
  </si>
  <si>
    <t>44.406675,34.00542</t>
  </si>
  <si>
    <t>ОБЩЕСТВО С ОГРАНИЧЕННОЙ ОТВЕТСТВЕННОСТЬЮ "МОСКРЫМПРОЕКТ"</t>
  </si>
  <si>
    <t>"МОСКРЫМПРОЕКТ"</t>
  </si>
  <si>
    <t>9103077361</t>
  </si>
  <si>
    <t>298680, Республика Крым, Ялта г, Симеиз пгт, Ш СЕВАСТОПОЛЬСКОЕ, ДОМ 16</t>
  </si>
  <si>
    <t>Константинов Игорь Николаевич</t>
  </si>
  <si>
    <t>+7 (978) 072-83-29'</t>
  </si>
  <si>
    <t>limonka@mail.ru'</t>
  </si>
  <si>
    <t>45.0344,34.007567</t>
  </si>
  <si>
    <t>ОБЩЕСТВО С ОГРАНИЧЕННОЙ ОТВЕТСТВЕННОСТЬЮ "ЛИДО"</t>
  </si>
  <si>
    <t>"ЛИДО"</t>
  </si>
  <si>
    <t>9109002274</t>
  </si>
  <si>
    <t>297536, Республика Крым, Симферопольский р-н, с Совхозное, пер Кадровый, д 1А</t>
  </si>
  <si>
    <t>Михин Андрей Вячеславович</t>
  </si>
  <si>
    <t>+7 (978) 848-37-20', '+7 (978) 715-08-00'</t>
  </si>
  <si>
    <t>lidobeton@bk.ru', 'lidobeton@mail.ru'</t>
  </si>
  <si>
    <t>45.007508,34.027581</t>
  </si>
  <si>
    <t>ОБЩЕСТВО С ОГРАНИЧЕННОЙ ОТВЕТСТВЕННОСТЬЮ "САЛХАТ"</t>
  </si>
  <si>
    <t>"САЛХАТ"</t>
  </si>
  <si>
    <t>9102162310</t>
  </si>
  <si>
    <t>295493, КРЫМ РЕСПУБЛИКА, ГОРОД СИМФЕРОПОЛЬ, ПОСЕЛОК ГОРОДСКОГО ТИПА ГРЭСОВСКИЙ, УЛИЦА МОНТАЖНАЯ, ДОМ 17-А</t>
  </si>
  <si>
    <t>Абдулаев Руслан Мэльсович</t>
  </si>
  <si>
    <t>taka1510@yandex.ru'</t>
  </si>
  <si>
    <t>9102173016</t>
  </si>
  <si>
    <t>295493, КРЫМ РЕСПУБЛИКА, ГОРОД СИМФЕРОПОЛЬ, ПОСЕЛОК ГОРОДСКОГО ТИПА ГРЭСОВСКИЙ, УЛИЦА МОНТАЖНАЯ, ДОМ 23, ЛИТЕРА Е, ПОМЕЩЕНИЕ 1-2</t>
  </si>
  <si>
    <t>Черняк Дмитрий Александрович</t>
  </si>
  <si>
    <t>+7 (978) 837-77-55'</t>
  </si>
  <si>
    <t>garantstroy00@mail.ru'</t>
  </si>
  <si>
    <t>ГОСУДАРСТВЕННОЕ УНИТАРНОЕ ПРЕДПРИЯТИЕ РЕСПУБЛИКИ КРЫМ "КРЫМЖЕЛЕЗОБЕТОН"</t>
  </si>
  <si>
    <t>9102181306</t>
  </si>
  <si>
    <t>295493, КРЫМ РЕСПУБЛИКА, ГОРОД СИМФЕРОПОЛЬ, ПОСЕЛОК ГОРОДСКОГО ТИПА ГРЭСОВСКИЙ, УЛИЦА МОНТАЖНАЯ, ДОМ 3</t>
  </si>
  <si>
    <t>Шатохин Виктор Александрович</t>
  </si>
  <si>
    <t>+7 (978) 864-10-08', '+7 (978) 768-46-26'</t>
  </si>
  <si>
    <t>kgbeton@bk.ru', 'kgbeton@inbox.ru', 'tregubov_iv@mail.ru', '8377979@mail.ru'</t>
  </si>
  <si>
    <t>44.931343,34.04093</t>
  </si>
  <si>
    <t>ОБЩЕСТВО С ОГРАНИЧЕННОЙ ОТВЕТСТВЕННОСТЬЮ "ДОМОСТРОИТЕЛЬНЫЙ КОМБИНАТ "МОНОЛИТ"</t>
  </si>
  <si>
    <t>"ДОМОСТРОИТЕЛЬНЫЙ КОМБИНАТ "МОНОЛИТ"</t>
  </si>
  <si>
    <t>9102201880</t>
  </si>
  <si>
    <t>295000, КРЫМ РЕСПУБЛИКА, Г. СИМФЕРОПОЛЬ, УЛ. БАЗОВАЯ, Д. 3</t>
  </si>
  <si>
    <t>Суриков Артем Александрович</t>
  </si>
  <si>
    <t>+7 (365) 250-02-00'</t>
  </si>
  <si>
    <t>MONOLIT@MSIMF.RU'</t>
  </si>
  <si>
    <t>44.933493,34.045979</t>
  </si>
  <si>
    <t>ОБЩЕСТВО С ОГРАНИЧЕННОЙ ОТВЕТСТВЕННОСТЬЮ "МАГИСТРАЛЬ ПЛЮС"</t>
  </si>
  <si>
    <t>"МАГИСТРАЛЬ ПЛЮС"</t>
  </si>
  <si>
    <t>9102178455</t>
  </si>
  <si>
    <t>295047, КРЫМ РЕСП., Г. Симферополь, УЛ. УЗЛОВАЯ, Д. 20, ЛИТЕРА И</t>
  </si>
  <si>
    <t>Гребенников Анатолий Александрович</t>
  </si>
  <si>
    <t>+7 (978) 771-29-66', '+7 (978) 870-31-11'</t>
  </si>
  <si>
    <t>yzel78@ukr.net'</t>
  </si>
  <si>
    <t>44.933582,34.048368</t>
  </si>
  <si>
    <t>ОБЩЕСТВО С ОГРАНИЧЕННОЙ ОТВЕТСТВЕННОСТЬЮ "ПРОФСТРОЙРЕСУРС"</t>
  </si>
  <si>
    <t>"ПРОФСТРОЙРЕСУРС"</t>
  </si>
  <si>
    <t>9102182123</t>
  </si>
  <si>
    <t>295047, Республика Крым, городской округ СИМФЕРОПОЛЬ, Город СИМФЕРОПОЛЬ, УЛ УЗЛОВАЯ, Д. 18, ОФИС 50/1</t>
  </si>
  <si>
    <t>Илюшин Арсений Константинович</t>
  </si>
  <si>
    <t>+7 (812) 320-11-74'</t>
  </si>
  <si>
    <t>andreeva@step-group'</t>
  </si>
  <si>
    <t>44.933557,34.063819</t>
  </si>
  <si>
    <t>ОБЩЕСТВО С ОГРАНИЧЕННОЙ ОТВЕТСТВЕННОСТЬЮ "ЦИТАДЕЛЬ."</t>
  </si>
  <si>
    <t>"ЦИТАДЕЛЬ."</t>
  </si>
  <si>
    <t>9102021119</t>
  </si>
  <si>
    <t>295047, КРЫМ РЕСПУБЛИКА, ГОРОД СИМФЕРОПОЛЬ, УЛИЦА УЗЛОВАЯ, ДОМ 2/7</t>
  </si>
  <si>
    <t>Морар Александр Андреевич</t>
  </si>
  <si>
    <t>+7 (978) 771-29-66', '+7 (978) 768-08-19'</t>
  </si>
  <si>
    <t>domik1305@yandex.ru', 'yzel78@ukr.net'</t>
  </si>
  <si>
    <t>44.934814,34.064223</t>
  </si>
  <si>
    <t>ОБЩЕСТВО С ОГРАНИЧЕННОЙ ОТВЕТСТВЕННОСТЬЮ РАМЕШКОВСКИЙ ЗАВОД КОМПОЗИТНЫХ МАТЕРИАЛОВ «РОДЕН»</t>
  </si>
  <si>
    <t>РАМЕШКОВСКИЙ ЗАВОД КОМПОЗИТНЫХ МАТЕРИАЛОВ «РОДЕН»</t>
  </si>
  <si>
    <t>9102220322</t>
  </si>
  <si>
    <t>295047, КРЫМ РЕСПУБЛИКА, ГОРОД СИМФЕРОПОЛЬ, УЛИЦА УЗЛОВАЯ, ДОМ 3/4, ЗДАНИЕ В, ОФИС 5</t>
  </si>
  <si>
    <t>Христенко Александр Александрович</t>
  </si>
  <si>
    <t>+7 (903) 795-79-79'</t>
  </si>
  <si>
    <t>44.933582,34.068176</t>
  </si>
  <si>
    <t>ОБЩЕСТВО С ОГРАНИЧЕННОЙ ОТВЕТСТВЕННОСТЬЮ "ПРОИЗВОДСТВЕННОЕ ПРЕДПРИЯТИЕ "МАГНАТ"</t>
  </si>
  <si>
    <t>"ПРОИЗВОДСТВЕННОЕ ПРЕДПРИЯТИЕ "МАГНАТ"</t>
  </si>
  <si>
    <t>9102034767</t>
  </si>
  <si>
    <t>295000, Республика Крым, городской округ СИМФЕРОПОЛЬ, Город СИМФЕРОПОЛЬ, УЛ ГЕНЕРАЛА ВАСИЛЬЕВА, Д. 34, ОФИС 1</t>
  </si>
  <si>
    <t>Голева Наталья Валерьевна</t>
  </si>
  <si>
    <t>+7 (365) 248-07-86'</t>
  </si>
  <si>
    <t>magnatgb@mail.ru'</t>
  </si>
  <si>
    <t>44.939261,34.071185</t>
  </si>
  <si>
    <t>ОБЩЕСТВО С ОГРАНИЧЕННОЙ ОТВЕТСТВЕННОСТЬЮ "ПЛАСТИНДУСТРИЯ"</t>
  </si>
  <si>
    <t>"ПЛАСТИНДУСТРИЯ"</t>
  </si>
  <si>
    <t>9102063253</t>
  </si>
  <si>
    <t>295051, КРЫМ РЕСПУБЛИКА, Г. СИМФЕРОПОЛЬ, УЛ. ГЕНЕРАЛА ВАСИЛЬЕВА, Д. 27, ЛИТЕРА А, ПОМЕЩ. 11</t>
  </si>
  <si>
    <t>Скрынников Игорь Анатольевич</t>
  </si>
  <si>
    <t>+7 (978) 719-81-16'</t>
  </si>
  <si>
    <t>elena2614@mail.ru', 'dvirnaya77@yandex.ua'</t>
  </si>
  <si>
    <t>44.935177,34.071778</t>
  </si>
  <si>
    <t>ОБЩЕСТВО С ОГРАНИЧЕННОЙ ОТВЕТСТВЕННОСТЬЮ "АТ-80"</t>
  </si>
  <si>
    <t>"АТ-80"</t>
  </si>
  <si>
    <t>9102158427</t>
  </si>
  <si>
    <t>295000, Республика Крым, городской округ СИМФЕРОПОЛЬ, Город СИМФЕРОПОЛЬ, УЛ ГЕНЕРАЛА ВАСИЛЬЕВА, Д. 29, ЛИТЕРА С, ПОМЕЩ. 204</t>
  </si>
  <si>
    <t>Пушкарь Владислав Леонидович</t>
  </si>
  <si>
    <t>+7 (978) 878-40-77', '+7 (978) 831-58-53'</t>
  </si>
  <si>
    <t>rapan1999@mail.ru'</t>
  </si>
  <si>
    <t>44.937806,34.075138</t>
  </si>
  <si>
    <t>ОБЩЕСТВО С ОГРАНИЧЕННОЙ ОТВЕТСТВЕННОСТЬЮ "ДЕКОР-БЕТОН"</t>
  </si>
  <si>
    <t>"ДЕКОР-БЕТОН"</t>
  </si>
  <si>
    <t>9102045960</t>
  </si>
  <si>
    <t>http://beton-crimea.com</t>
  </si>
  <si>
    <t>295000, КРЫМ РЕСПУБЛИКА, Г. СИМФЕРОПОЛЬ, УЛ. ГЕНЕРАЛА ВАСИЛЬЕВА, Д. 30, ЛИТЕРА М, КАБИНЕТ 1</t>
  </si>
  <si>
    <t>Шабуров Виктор Викторович</t>
  </si>
  <si>
    <t>79787827212@mail.ru'</t>
  </si>
  <si>
    <t>ОБЩЕСТВО С ОГРАНИЧЕННОЙ ОТВЕТСТВЕННОСТЬЮ "ПРОМЫШЛЕННО-СТРОИТЕЛЬНАЯ БАЗА ОШАКАН-КРЫМ"</t>
  </si>
  <si>
    <t>"ПРОМЫШЛЕННО-СТРОИТЕЛЬНАЯ БАЗА ОШАКАН-КРЫМ"</t>
  </si>
  <si>
    <t>9102048664</t>
  </si>
  <si>
    <t>295000, КРЫМ РЕСПУБЛИКА, Г. СИМФЕРОПОЛЬ, УЛ. ГЕНЕРАЛА ВАСИЛЬЕВА, Д. 30, ПОМЕЩ. 1</t>
  </si>
  <si>
    <t>Карапетян Гагик</t>
  </si>
  <si>
    <t>+7 (978) 776-10-86', '+7 (749) 340-80-21'</t>
  </si>
  <si>
    <t>44.929096,34.083052</t>
  </si>
  <si>
    <t>ОБЩЕСТВО С ОГРАНИЧЕННОЙ ОТВЕТСТВЕННОСТЬЮ "ЗАРОВСКИЙ"</t>
  </si>
  <si>
    <t>"ЗАРОВСКИЙ"</t>
  </si>
  <si>
    <t>9102043553</t>
  </si>
  <si>
    <t>295024, КРЫМ РЕСПУБЛИКА, Г. СИМФЕРОПОЛЬ, УЛ. СЕВАСТОПОЛЬСКАЯ, Д. 43 Б, ПОМЕЩ. 3</t>
  </si>
  <si>
    <t>Михайлов Владимир Петрович</t>
  </si>
  <si>
    <t>irinaklim2009@mail.ru'</t>
  </si>
  <si>
    <t>44.9566,34.08342</t>
  </si>
  <si>
    <t>ОБЩЕСТВО С ОГРАНИЧЕННОЙ ОТВЕТСТВЕННОСТЬЮ "ЭТАЛОНСТРОЙ"</t>
  </si>
  <si>
    <t>"ЭТАЛОНСТРОЙ"</t>
  </si>
  <si>
    <t>9102223154</t>
  </si>
  <si>
    <t>295011, КРЫМ РЕСПУБЛИКА, Г. СИМФЕРОПОЛЬ, УЛ. ГОГОЛЯ, Д. 77/25, ЭТАЖ ЦОКОЛЬНЫЙ, ОФИС 1</t>
  </si>
  <si>
    <t>Фахрадов Афиг Рафиг Оглы</t>
  </si>
  <si>
    <t>+7 (978) 058-03-38'</t>
  </si>
  <si>
    <t>44.984683,34.083744</t>
  </si>
  <si>
    <t>ОБЩЕСТВО С ОГРАНИЧЕННОЙ ОТВЕТСТВЕННОСТЬЮ "ЕВРОБЛОК"</t>
  </si>
  <si>
    <t>"ЕВРОБЛОК"</t>
  </si>
  <si>
    <t>9102228314</t>
  </si>
  <si>
    <t>295043, Республика Крым, городской округ СИМФЕРОПОЛЬ, Город СИМФЕРОПОЛЬ, УЛ КИЕВСКАЯ, Д. 160, ОФИС 305</t>
  </si>
  <si>
    <t>Петросян Севак Ладикович</t>
  </si>
  <si>
    <t>+7 (978) 220-50-04'</t>
  </si>
  <si>
    <t>44.990701,34.087876</t>
  </si>
  <si>
    <t>ОБЩЕСТВО С ОГРАНИЧЕННОЙ ОТВЕТСТВЕННОСТЬЮ "ГАЗОБЕТОН КРЫМ"</t>
  </si>
  <si>
    <t>"ГАЗОБЕТОН КРЫМ"</t>
  </si>
  <si>
    <t>9102280554</t>
  </si>
  <si>
    <t>295043, Республика Крым, городской округ СИМФЕРОПОЛЬ, Город СИМФЕРОПОЛЬ, ПЕР ЛАВАНДОВЫЙ, Д. 2/6, ОФИС 4</t>
  </si>
  <si>
    <t>Грабовец Артем Владимирович</t>
  </si>
  <si>
    <t>44.966058,34.08837</t>
  </si>
  <si>
    <t>ОБЩЕСТВО С ОГРАНИЧЕННОЙ ОТВЕТСТВЕННОСТЬЮ "БЛЕСК"</t>
  </si>
  <si>
    <t>"БЛЕСК"</t>
  </si>
  <si>
    <t>9102198677</t>
  </si>
  <si>
    <t>295026, КРЫМ РЕСПУБЛИКА, Г. СИМФЕРОПОЛЬ, УЛ. ГАГАРИНА, Д. 14А, ОФИС 117</t>
  </si>
  <si>
    <t>Погибельный Владислав Владимирович</t>
  </si>
  <si>
    <t>+7 (978) 756-04-20', '+7 (918) 553-68-81', '+7 (978) 779-44-34'</t>
  </si>
  <si>
    <t>simf@mail.ru'</t>
  </si>
  <si>
    <t>44.989821,34.090598</t>
  </si>
  <si>
    <t>ОБЩЕСТВО С ОГРАНИЧЕННОЙ ОТВЕТСТВЕННОСТЬЮ "СЕНАТАР"</t>
  </si>
  <si>
    <t>"СЕНАТАР"</t>
  </si>
  <si>
    <t>9102198405</t>
  </si>
  <si>
    <t>295493, КРЫМ РЕСПУБЛИКА, ГОРОД СИМФЕРОПОЛЬ, ПЕРЕУЛОК ЛАВАНДОВЫЙ, ДОМ 2, ОФИС 218</t>
  </si>
  <si>
    <t>Цуканов Михаил Владимирович</t>
  </si>
  <si>
    <t>+7 (978) 802-56-23', '+7 (918) 308-33-08', '+7 (978) 701-33-44'</t>
  </si>
  <si>
    <t>atico@list.ru', 'sevaudit@mail.ru'</t>
  </si>
  <si>
    <t>ОБЩЕСТВО С ОГРАНИЧЕННОЙ ОТВЕТСТВЕННОСТЬЮ "ЖЕЛЕЗОБЕТОН-82"</t>
  </si>
  <si>
    <t>"ЖЕЛЕЗОБЕТОН-82"</t>
  </si>
  <si>
    <t>9102260075</t>
  </si>
  <si>
    <t>295493, КРЫМ РЕСПУБЛИКА, ГОРОД СИМФЕРОПОЛЬ, ПЕРЕУЛОК ЛАВАНДОВЫЙ, ДОМ 2, ЛИТЕРА III, ОФИС 128</t>
  </si>
  <si>
    <t>Берсов Сергей Владимирович</t>
  </si>
  <si>
    <t>44.936811,34.090607</t>
  </si>
  <si>
    <t>ОБЩЕСТВО С ОГРАНИЧЕННОЙ ОТВЕТСТВЕННОСТЬЮ "ТОРГОВО-ПРОИЗВОДСТВЕННАЯ КОМПАНИЯ ЖЕЛЕЗОБЕТОННЫХ ИЗДЕЛИЙ №1"</t>
  </si>
  <si>
    <t>"ТОРГОВО-ПРОИЗВОДСТВЕННАЯ КОМПАНИЯ ЖЕЛЕЗОБЕТОННЫХ ИЗДЕЛИЙ №1"</t>
  </si>
  <si>
    <t>9102253310</t>
  </si>
  <si>
    <t>295024, КРЫМ РЕСПУБЛИКА, Г. СИМФЕРОПОЛЬ, УЛ. СЕВАСТОПОЛЬСКАЯ, Д. 31А, ОФИС 5</t>
  </si>
  <si>
    <t>Арутюнян Петик Паргевович</t>
  </si>
  <si>
    <t>+7 (913) 544-05-05'</t>
  </si>
  <si>
    <t>44.921827,34.090858</t>
  </si>
  <si>
    <t>ОБЩЕСТВО С ОГРАНИЧЕННОЙ ОТВЕТСТВЕННОСТЬЮ "ЛАЙТДОМ"</t>
  </si>
  <si>
    <t>"ЛАЙТДОМ"</t>
  </si>
  <si>
    <t>9102232871</t>
  </si>
  <si>
    <t>295021, КРЫМ РЕСПУБЛИКА, Г. СИМФЕРОПОЛЬ, УЛ. КАЧИНСКАЯ, Д. 49</t>
  </si>
  <si>
    <t>Костылев Олег Игоревич</t>
  </si>
  <si>
    <t>+7 (978) 070-81-60'</t>
  </si>
  <si>
    <t>44.954693,34.09243</t>
  </si>
  <si>
    <t>ОБЩЕСТВО С ОГРАНИЧЕННОЙ ОТВЕТСТВЕННОСТЬЮ "СТРОИТЕЛЬНО-ИНВЕСТИЦИОННАЯ КОМПАНИЯ ЮГО-ЗАПАДНЫЙ РЕГИОН"</t>
  </si>
  <si>
    <t>"СТРОИТЕЛЬНО-ИНВЕСТИЦИОННАЯ КОМПАНИЯ ЮГО-ЗАПАДНЫЙ РЕГИОН"</t>
  </si>
  <si>
    <t>9107003875</t>
  </si>
  <si>
    <t>295000, КРЫМ РЕСПУБЛИКА, ГОРОД СИМФЕРОПОЛЬ, УЛИЦА ТОЛСТОГО, ДОМ 7, ОФИС 4</t>
  </si>
  <si>
    <t>Друц Игорь Николаевич</t>
  </si>
  <si>
    <t>galiaharlamowa@yandex.ru'</t>
  </si>
  <si>
    <t>44.970439,34.092951</t>
  </si>
  <si>
    <t>ОБЩЕСТВО С ОГРАНИЧЕННОЙ ОТВЕТСТВЕННОСТЬЮ "КРЫМ БЕТОН КОМФОРТ ПЛЮС"</t>
  </si>
  <si>
    <t>"КРЫМ БЕТОН КОМФОРТ ПЛЮС"</t>
  </si>
  <si>
    <t>9102271327</t>
  </si>
  <si>
    <t>295026, КРЫМ РЕСП., Г. Симферополь, УЛ. ГАГАРИНА, ЗД. 20А, ОФИС 313</t>
  </si>
  <si>
    <t>Хапренко Сергей Викторович</t>
  </si>
  <si>
    <t>MISHERYAKOV@YANDEX.RU'</t>
  </si>
  <si>
    <t>44.951344,34.099851</t>
  </si>
  <si>
    <t>ОБЩЕСТВО С ОГРАНИЧЕННОЙ ОТВЕТСТВЕННОСТЬЮ "ПАРК"</t>
  </si>
  <si>
    <t>"ПАРК"</t>
  </si>
  <si>
    <t>9102252236</t>
  </si>
  <si>
    <t>295011, КРЫМ РЕСПУБЛИКА, ГОРОД СИМФЕРОПОЛЬ, УЛИЦА ПУШКИНА, ДОМ 4/7, ЛИТЕРА В, ОФИС 17-В</t>
  </si>
  <si>
    <t>Махова Юлия Васильевна</t>
  </si>
  <si>
    <t>44.948237,34.100327</t>
  </si>
  <si>
    <t>ОБЩЕСТВО С ОГРАНИЧЕННОЙ ОТВЕТСТВЕННОСТЬЮ "РУСКРЫМТРЕСТ"</t>
  </si>
  <si>
    <t>"РУСКРЫМТРЕСТ"</t>
  </si>
  <si>
    <t>9109000485</t>
  </si>
  <si>
    <t>http://led-hit.ru</t>
  </si>
  <si>
    <t>295050, КРЫМ РЕСПУБЛИКА, Г. СИМФЕРОПОЛЬ, УЛ. РАДИО, Д. 4, ПОМЕЩЕНИЯ 4,5,6,7</t>
  </si>
  <si>
    <t>Рябец Сергей Николаевич</t>
  </si>
  <si>
    <t>+7 (978) 755-36-00', '+7 (978) 278-52-20', '+7 (978) 758-17-80'</t>
  </si>
  <si>
    <t>natali_smf@bk.ru', 'oooruskrymtrest@mail.ru'</t>
  </si>
  <si>
    <t>ОБЩЕСТВО С ОГРАНИЧЕННОЙ ОТВЕТСТВЕННОСТЬЮ «АИСТ РЕГИОН»</t>
  </si>
  <si>
    <t>«АИСТ РЕГИОН»</t>
  </si>
  <si>
    <t>9109023436</t>
  </si>
  <si>
    <t>295003, КРЫМ РЕСП., Г. Симферополь, УЛ. БАЛАКЛАВСКАЯ, Д. 41А, ПОМЕЩ. 2-12</t>
  </si>
  <si>
    <t>Качмазов Мурат Сергеевич</t>
  </si>
  <si>
    <t>aconsalt@bk.ru'</t>
  </si>
  <si>
    <t>44.949564,34.103534</t>
  </si>
  <si>
    <t>ОБЩЕСТВО С ОГРАНИЧЕННОЙ ОТВЕТСТВЕННОСТЬЮ "ГОРНЫЙ"</t>
  </si>
  <si>
    <t>"ГОРНЫЙ"</t>
  </si>
  <si>
    <t>9102216260</t>
  </si>
  <si>
    <t>295000, КРЫМ РЕСПУБЛИКА, ГОРОД СИМФЕРОПОЛЬ, УЛИЦА БОЛЬШЕВИСТСКАЯ, ДОМ 7/10</t>
  </si>
  <si>
    <t>Костелов Юрий Владимирович</t>
  </si>
  <si>
    <t>+7 (978) 741-74-35'</t>
  </si>
  <si>
    <t>rezenko69@mail.ru'</t>
  </si>
  <si>
    <t>53.368174,34.104207</t>
  </si>
  <si>
    <t>ОБЩЕСТВО С ОГРАНИЧЕННОЙ ОТВЕТСТВЕННОСТЬЮ "ПРЕСС БЕТОН"</t>
  </si>
  <si>
    <t>"ПРЕСС БЕТОН"</t>
  </si>
  <si>
    <t>3245019269</t>
  </si>
  <si>
    <t>241550, Брянская область, городской округ ГОРОД СЕЛЬЦО, Город СЕЛЬЦО, УЛ ЧКАЛОВА, Д. 6, К. А,</t>
  </si>
  <si>
    <t>Филимошин Данила Михайлович</t>
  </si>
  <si>
    <t>FILIMOSHIN13@GMAIL.COM'</t>
  </si>
  <si>
    <t>44.945284,34.105115</t>
  </si>
  <si>
    <t>ОБЩЕСТВО С ОГРАНИЧЕННОЙ ОТВЕТСТВЕННОСТЬЮ "ТРИУМФ ИНВЕСТ ГРУПП"</t>
  </si>
  <si>
    <t>"ТРИУМФ ИНВЕСТ ГРУПП"</t>
  </si>
  <si>
    <t>9102055326</t>
  </si>
  <si>
    <t>295001, КРЫМ РЕСП, СИМФЕРОПОЛЬ Г, ТАВРИЧЕСКАЯ УЛ, ДОМ 40,..</t>
  </si>
  <si>
    <t>Бирюков Юрий Юрьевич</t>
  </si>
  <si>
    <t>+7 (978) 792-82-32', '+7 (978) 792-82-32'</t>
  </si>
  <si>
    <t>irinabazi@gmail.com'</t>
  </si>
  <si>
    <t>44.942221,34.106363</t>
  </si>
  <si>
    <t>ОБЩЕСТВО С ОГРАНИЧЕННОЙ ОТВЕТСТВЕННОСТЬЮ "СПТС"</t>
  </si>
  <si>
    <t>"СПТС"</t>
  </si>
  <si>
    <t>9102248945</t>
  </si>
  <si>
    <t>295001, КРЫМ РЕСПУБЛИКА, Г. СИМФЕРОПОЛЬ, УЛ. ЧЕХОВА, Д. 51, ЛИТ А, КАБИНЕТ 14</t>
  </si>
  <si>
    <t>Матрос Елена Олеговна</t>
  </si>
  <si>
    <t>44.92251,34.10807</t>
  </si>
  <si>
    <t>ОБЩЕСТВО С ОГРАНИЧЕННОЙ ОТВЕТСТВЕННОСТЬЮ "БАХЧИСАРАЙСКОЕ КАРЬЕРОУПРАВЛЕНИЕ"</t>
  </si>
  <si>
    <t>"БАХЧИСАРАЙСКОЕ КАРЬЕРОУПРАВЛЕНИЕ"</t>
  </si>
  <si>
    <t>9104000410</t>
  </si>
  <si>
    <t>295003, КРЫМ РЕСП., Г. Симферополь, УЛ. БАЛАКЛАВСКАЯ, Д. 68, ОФИС 410</t>
  </si>
  <si>
    <t>Гапизов Заур Расулович</t>
  </si>
  <si>
    <t>+7 (978) 752-80-94'</t>
  </si>
  <si>
    <t>7773830@GMAIL.COM'</t>
  </si>
  <si>
    <t>44.928133,34.111663</t>
  </si>
  <si>
    <t>ОБЩЕСТВО С ОГРАНИЧЕННОЙ ОТВЕТСТВЕННОСТЬЮ "СТРОЙ-ТЭКС"</t>
  </si>
  <si>
    <t>"СТРОЙ-ТЭКС"</t>
  </si>
  <si>
    <t>9102156589</t>
  </si>
  <si>
    <t>295001, КРЫМ РЕСПУБЛИКА, Г. СИМФЕРОПОЛЬ, УЛ. КОММУНАЛЬНАЯ, Д. 29А, ОФИС 1</t>
  </si>
  <si>
    <t>Ревина Элеонора Ростиславовна</t>
  </si>
  <si>
    <t>+7 (978) 713-97-00', '+7 (978) 713-97-00'</t>
  </si>
  <si>
    <t>plus@mail.ru'</t>
  </si>
  <si>
    <t>44.925363,34.114242</t>
  </si>
  <si>
    <t>ОБЩЕСТВО С ОГРАНИЧЕННОЙ ОТВЕТСТВЕННОСТЬЮ "АЛВИТИС"</t>
  </si>
  <si>
    <t>"АЛВИТИС"</t>
  </si>
  <si>
    <t>9102060615</t>
  </si>
  <si>
    <t>http://alvitis.com</t>
  </si>
  <si>
    <t>295001, КРЫМ РЕСП, СИМФЕРОПОЛЬ Г, КОММУНАЛЬНАЯ УЛ, ДОМ 32</t>
  </si>
  <si>
    <t>Розенберг Александр Михайлович</t>
  </si>
  <si>
    <t>+7 (978) 839-99-10'</t>
  </si>
  <si>
    <t>alvitis@mail.ru'</t>
  </si>
  <si>
    <t>44.950183,34.115697</t>
  </si>
  <si>
    <t>ОБЩЕСТВО С ОГРАНИЧЕННОЙ ОТВЕТСТВЕННОСТЬЮ "КРЫМБЕТОН"</t>
  </si>
  <si>
    <t>"КРЫМБЕТОН"</t>
  </si>
  <si>
    <t>9102031484</t>
  </si>
  <si>
    <t>295017, КРЫМ РЕСПУБЛИКА, Г. СИМФЕРОПОЛЬ, УЛ. И.ГАСПРИНСКОГО, Д. 5, ОФИС 3</t>
  </si>
  <si>
    <t>Мацкивский Олег Владимирович</t>
  </si>
  <si>
    <t>+7 (978) 903-19-91', '+7 (978) 902-83-83'</t>
  </si>
  <si>
    <t>crimbeton2015@yandex.ru', 'crimbeton@mail.ru', 'plus@yandex.ru'</t>
  </si>
  <si>
    <t>44.929122,34.11576</t>
  </si>
  <si>
    <t>ОБЩЕСТВО С ОГРАНИЧЕННОЙ ОТВЕТСТВЕННОСТЬЮ "ЛБК"</t>
  </si>
  <si>
    <t>"ЛБК"</t>
  </si>
  <si>
    <t>9102261632</t>
  </si>
  <si>
    <t>295001, КРЫМ РЕСПУБЛИКА, Г. СИМФЕРОПОЛЬ, УЛ. КРЫЛОВА, Д. 135, ЛИТЕРА Ш, ОФИС 16</t>
  </si>
  <si>
    <t>Алиев Исмаил Исаевич</t>
  </si>
  <si>
    <t>44.961626,34.117467</t>
  </si>
  <si>
    <t>ОБЩЕСТВО С ОГРАНИЧЕННОЙ ОТВЕТСТВЕННОСТЬЮ "КРЫМНАНОЦЕМЕНТ"</t>
  </si>
  <si>
    <t>"КРЫМНАНОЦЕМЕНТ"</t>
  </si>
  <si>
    <t>9102210123</t>
  </si>
  <si>
    <t>295034, КРЫМ РЕСП, СИМФЕРОПОЛЬ Г, ПОБЕДЫ ПР-КТ, ДОМ 46, ЛИТЕРА А, ПОМЕЩЕНИЕ 1</t>
  </si>
  <si>
    <t>Савин Василий Вячеславович</t>
  </si>
  <si>
    <t>+7 (978) 756-04-20'</t>
  </si>
  <si>
    <t>ОБЩЕСТВО С ОГРАНИЧЕННОЙ ОТВЕТСТВЕННОСТЬЮ "КИТ"</t>
  </si>
  <si>
    <t>"КИТ"</t>
  </si>
  <si>
    <t>9102237118</t>
  </si>
  <si>
    <t>295034, КРЫМ РЕСПУБЛИКА, Г. СИМФЕРОПОЛЬ, ПР-КТ ПОБЕДЫ, Д. 46, ЛИТЕРА А, ПОМЕЩ. 1</t>
  </si>
  <si>
    <t>Безъязычный Олег Андреевич</t>
  </si>
  <si>
    <t>+7 (989) 822-98-88'</t>
  </si>
  <si>
    <t>44.934444,34.117628</t>
  </si>
  <si>
    <t>ОБЩЕСТВО С ОГРАНИЧЕННОЙ ОТВЕТСТВЕННОСТЬЮ "ЖАС-КРЫМ"</t>
  </si>
  <si>
    <t>"ЖАС-КРЫМ"</t>
  </si>
  <si>
    <t>9102229371</t>
  </si>
  <si>
    <t>295029, КРЫМ РЕСПУБЛИКА, Г. СИМФЕРОПОЛЬ, УЛ. ПЕТРОВСКАЯ БАЛКА, Д. 188</t>
  </si>
  <si>
    <t>Тулешов Жаксылык Дауылбекович</t>
  </si>
  <si>
    <t>+7 (978) 019-19-48'</t>
  </si>
  <si>
    <t>44.937034,34.119326</t>
  </si>
  <si>
    <t>ОБЩЕСТВО С ОГРАНИЧЕННОЙ ОТВЕТСТВЕННОСТЬЮ «СТРОИТЕЛЬНАЯ КОМПАНИЯ «КРЫМПРОЕКТСТРОЙСЕРВИС»»</t>
  </si>
  <si>
    <t>«СТРОИТЕЛЬНАЯ КОМПАНИЯ «КРЫМПРОЕКТСТРОЙСЕРВИС»»</t>
  </si>
  <si>
    <t>9102239556</t>
  </si>
  <si>
    <t>295029, КРЫМ РЕСПУБЛИКА, ГОРОД СИМФЕРОПОЛЬ, УЛИЦА ПЕТРОВСКОГО, ДОМ 33А</t>
  </si>
  <si>
    <t>Заугаров Роман Валерьевич</t>
  </si>
  <si>
    <t>44.976573,34.123925</t>
  </si>
  <si>
    <t>ОБЩЕСТВО С ОГРАНИЧЕННОЙ ОТВЕТСТВЕННОСТЬЮ "МОСТОВЫЕ ЖЕЛЕЗОБЕТОННЫЕ ИЗДЕЛИЯ"</t>
  </si>
  <si>
    <t>"МОСТОВЫЕ ЖЕЛЕЗОБЕТОННЫЕ ИЗДЕЛИЯ"</t>
  </si>
  <si>
    <t>9102247035</t>
  </si>
  <si>
    <t>295010, КРЫМ РЕСПУБЛИКА, ГОРОД СИМФЕРОПОЛЬ, УЛИЦА СЕВЕРНАЯ, ДОМ 2, ЛИТЕРА А, ОФИС 2</t>
  </si>
  <si>
    <t>Макагонов Александр Николаевич</t>
  </si>
  <si>
    <t>+7 (978) 221-64-71'</t>
  </si>
  <si>
    <t>44.943293,34.125327</t>
  </si>
  <si>
    <t>ОБЩЕСТВО С ОГРАНИЧЕННОЙ ОТВЕТСТВЕННОСТЬЮ "ЗАВОД ТРОТУАРНОЙ ПЛИТКИ"</t>
  </si>
  <si>
    <t>"ЗАВОД ТРОТУАРНОЙ ПЛИТКИ"</t>
  </si>
  <si>
    <t>9102242358</t>
  </si>
  <si>
    <t>295053, КРЫМ РЕСП., Г. Симферополь, УЛ. БЕСПАЛОВА, Д. 3/1, ОФИС 18</t>
  </si>
  <si>
    <t>Гажеман Юрий Сергеевич</t>
  </si>
  <si>
    <t>+7 (978) 722-69-19'</t>
  </si>
  <si>
    <t>ОБЩЕСТВО С ОГРАНИЧЕННОЙ ОТВЕТСТВЕННОСТЬЮ "МАТЕРИАЛЫ"</t>
  </si>
  <si>
    <t>"МАТЕРИАЛЫ"</t>
  </si>
  <si>
    <t>9102281526</t>
  </si>
  <si>
    <t>295053, Республика Крым, городской округ СИМФЕРОПОЛЬ, Город СИМФЕРОПОЛЬ, УЛ БЕСПАЛОВА, Д. 3/1, ОФИС 15А</t>
  </si>
  <si>
    <t>Юданов Игорь Борисович</t>
  </si>
  <si>
    <t>44.984938,34.127752</t>
  </si>
  <si>
    <t>ОБЩЕСТВО С ОГРАНИЧЕННОЙ ОТВЕТСТВЕННОСТЬЮ "ПСК АТЛАНТ"</t>
  </si>
  <si>
    <t>"ПСК АТЛАНТ"</t>
  </si>
  <si>
    <t>9102267553</t>
  </si>
  <si>
    <t>295010, КРЫМ РЕСПУБЛИКА, Г. СИМФЕРОПОЛЬ, УЛ. КОВЫЛЬНАЯ, Д. 94,..</t>
  </si>
  <si>
    <t>Абраамян Артур Арменович</t>
  </si>
  <si>
    <t>44.977434,34.133762</t>
  </si>
  <si>
    <t>ОБЩЕСТВО С ОГРАНИЧЕННОЙ ОТВЕТСТВЕННОСТЬЮ "ЮГБЕТОН-СТРОЙ"</t>
  </si>
  <si>
    <t>"ЮГБЕТОН-СТРОЙ"</t>
  </si>
  <si>
    <t>9102155000</t>
  </si>
  <si>
    <t>295022, Республика Крым, г Симферополь, ул Бела Куна, д 19,..</t>
  </si>
  <si>
    <t>Гринченко Юрий Леонидович</t>
  </si>
  <si>
    <t>+7 (978) 830-51-93', '+7 (978) 830-51-92'</t>
  </si>
  <si>
    <t>jugbeton@meta.ua'</t>
  </si>
  <si>
    <t>44.92565,34.134714</t>
  </si>
  <si>
    <t>ОБЩЕСТВО С ОГРАНИЧЕННОЙ ОТВЕТСТВЕННОСТЬЮ "СТРОИТЕЛЬНАЯ КОМПАНИЯ "ВОСХОД"</t>
  </si>
  <si>
    <t>"СТРОИТЕЛЬНАЯ КОМПАНИЯ "ВОСХОД"</t>
  </si>
  <si>
    <t>9102196542</t>
  </si>
  <si>
    <t>295023, КРЫМ РЕСПУБЛИКА, ГОРОД СИМФЕРОПОЛЬ, УЛИЦА ГЕНЕРАЛА РОДИОНОВА, ДОМ 7, ЛИТЕР А, ПОМЕЩЕНИЕ 6</t>
  </si>
  <si>
    <t>Ружанский Андрей Федорович</t>
  </si>
  <si>
    <t>+7 (989) 283-38-38'</t>
  </si>
  <si>
    <t>tina_36@inbox.ru'</t>
  </si>
  <si>
    <t>44.930755,34.136277</t>
  </si>
  <si>
    <t>ОБЩЕСТВО С ОГРАНИЧЕННОЙ ОТВЕТСТВЕННОСТЬЮ ЖБИ "СТРОЙ ИНВЕСТ"</t>
  </si>
  <si>
    <t>ЖБИ "СТРОЙ ИНВЕСТ"</t>
  </si>
  <si>
    <t>9102280378</t>
  </si>
  <si>
    <t>295007, Республика Крым, СИМФЕРОПОЛЬ, Г СИМФЕРОПОЛЬ, УЛ БЕСПАЛОВА, ЗД. 110К</t>
  </si>
  <si>
    <t>Аджиумеров Энвер Эрмесович</t>
  </si>
  <si>
    <t>NAVIGATOR@GMAIL.COM'</t>
  </si>
  <si>
    <t>44.967467,34.140436</t>
  </si>
  <si>
    <t>ОБЩЕСТВО С ОГРАНИЧЕННОЙ ОТВЕТСТВЕННОСТЬЮ "КРЫМ БЕТОН КОМФОРТ"</t>
  </si>
  <si>
    <t>"КРЫМ БЕТОН КОМФОРТ"</t>
  </si>
  <si>
    <t>9102239845</t>
  </si>
  <si>
    <t>295022, КРЫМ РЕСПУБЛИКА, ГОРОД СИМФЕРОПОЛЬ, УЛИЦА БОРОДИНА, ДОМ 14Е, ЛИТЕРА Б, ОФИС 4</t>
  </si>
  <si>
    <t>+7 (987) 233-40-43'</t>
  </si>
  <si>
    <t>44.916447,34.141541</t>
  </si>
  <si>
    <t>ОБЩЕСТВО С ОГРАНИЧЕННОЙ ОТВЕТСТВЕННОСТЬЮ "ПРИОРИТЕТ СТРОЙ"</t>
  </si>
  <si>
    <t>"ПРИОРИТЕТ СТРОЙ"</t>
  </si>
  <si>
    <t>9102182980</t>
  </si>
  <si>
    <t>295023, КРЫМ РЕСПУБЛИКА, ГОРОД СИМФЕРОПОЛЬ, ПЕРЕУЛОК МОРСКОЙ, ДОМ 6</t>
  </si>
  <si>
    <t>Семенченко Александр Сергеевич</t>
  </si>
  <si>
    <t>+7 (978) 773-25-39', '+7 (978) 831-12-02'</t>
  </si>
  <si>
    <t>Marina_buh2010@mail.ru'</t>
  </si>
  <si>
    <t>44.965012,34.142718</t>
  </si>
  <si>
    <t>ОБЩЕСТВО С ОГРАНИЧЕННОЙ ОТВЕТСТВЕННОСТЬЮ "ДОМОСТРОИТЕЛЬНЫЙ КОМБИНАТ - КОНСОЛЬ"</t>
  </si>
  <si>
    <t>"ДОМОСТРОИТЕЛЬНЫЙ КОМБИНАТ - КОНСОЛЬ"</t>
  </si>
  <si>
    <t>9102070420</t>
  </si>
  <si>
    <t>295022, КРЫМ РЕСПУБЛИКА, ГОРОД СИМФЕРОПОЛЬ, УЛИЦА БОРОДИНА, ДОМ 16, КАБИНЕТ 84</t>
  </si>
  <si>
    <t>Каменев Алексей Александрович</t>
  </si>
  <si>
    <t>+7 (978) 033-48-60', '+7 (978) 816-94-81', '+7 (978) 847-66-98', '+7 (978) 816-80-81'</t>
  </si>
  <si>
    <t>stv@consol.crimea'</t>
  </si>
  <si>
    <t>44.966766,34.145988</t>
  </si>
  <si>
    <t>ОБЩЕСТВО С ОГРАНИЧЕННОЙ ОТВЕТСТВЕННОСТЬЮ "КРЫМСКИЙ ГАЗОБЕТОННЫЙ ЗАВОД"</t>
  </si>
  <si>
    <t>"КРЫМСКИЙ ГАЗОБЕТОННЫЙ ЗАВОД"</t>
  </si>
  <si>
    <t>9102182532</t>
  </si>
  <si>
    <t>295022, КРЫМ РЕСП, СИМФЕРОПОЛЬ Г, ЖЕНИ ДЕРЮГИНОЙ УЛ, ЗДАНИЕ 13В</t>
  </si>
  <si>
    <t>+7 (978) 777-33-77'</t>
  </si>
  <si>
    <t>kydrea@list.ru'</t>
  </si>
  <si>
    <t>44.976949,34.146132</t>
  </si>
  <si>
    <t>ОБЩЕСТВО С ОГРАНИЧЕННОЙ ОТВЕТСТВЕННОСТЬЮ «АВТОСПЕЦРЕСУРС»</t>
  </si>
  <si>
    <t>«АВТОСПЕЦРЕСУРС»</t>
  </si>
  <si>
    <t>9102266912</t>
  </si>
  <si>
    <t>295022, КРЫМ РЕСП., Г. Симферополь, УЛ. КУБАНСКАЯ, Д. 12, ЛИТЕР А ОФИС 13</t>
  </si>
  <si>
    <t>Никулин Сергей Александрович</t>
  </si>
  <si>
    <t>+7 (978) 019-98-51'</t>
  </si>
  <si>
    <t>avtospetsresurs@mail.ru'</t>
  </si>
  <si>
    <t>44.507829,34.150084</t>
  </si>
  <si>
    <t>9103010712</t>
  </si>
  <si>
    <t>298612, Республика Крым, г Ялта, пер Дарсановский, д 21</t>
  </si>
  <si>
    <t>Енин Алексей Михайлович</t>
  </si>
  <si>
    <t>+7 (978) 018-61-94', '+7 (978) 018-61-90'</t>
  </si>
  <si>
    <t>sdsyalta@gmail.com'</t>
  </si>
  <si>
    <t>44.510902,34.155142</t>
  </si>
  <si>
    <t>ОБЩЕСТВО С ОГРАНИЧЕННОЙ ОТВЕТСТВЕННОСТЬЮ "ГИДРА"</t>
  </si>
  <si>
    <t>"ГИДРА"</t>
  </si>
  <si>
    <t>9103093356</t>
  </si>
  <si>
    <t>298600, КРЫМ РЕСПУБЛИКА, ГОРОД ЯЛТА, ШОССЕ ЮЖНОБЕРЕЖНОЕ, ДОМ 37, ЛИТЕРА А, ОФИС 4</t>
  </si>
  <si>
    <t>Явтушенко Роман Васильевич</t>
  </si>
  <si>
    <t>+7 (978) 721-89-49'</t>
  </si>
  <si>
    <t>gidra_ooo@mail.ru'</t>
  </si>
  <si>
    <t>44.48757,34.155798</t>
  </si>
  <si>
    <t>ОБЩЕСТВО С ОГРАНИЧЕННОЙ ОТВЕТСТВЕННОСТЬЮ "ОЛА"</t>
  </si>
  <si>
    <t>"ОЛА"</t>
  </si>
  <si>
    <t>9103092962</t>
  </si>
  <si>
    <t>298635, КРЫМ РЕСПУБЛИКА, Г. ЯЛТА, УЛ. ВОЛОДАРСКОГО, Д. 7/3,..</t>
  </si>
  <si>
    <t>Осовская Лолита Александровна</t>
  </si>
  <si>
    <t>+7 (978) 106-79-17'</t>
  </si>
  <si>
    <t>44.989598,34.161277</t>
  </si>
  <si>
    <t>ОБЩЕСТВО С ОГРАНИЧЕННОЙ ОТВЕТСТВЕННОСТЬЮ "СЕИТ-АРИФ"</t>
  </si>
  <si>
    <t>"СЕИТ-АРИФ"</t>
  </si>
  <si>
    <t>9102052974</t>
  </si>
  <si>
    <t>295049, Республика Крым, г Симферополь, ул Мемета Аппазова, д 52</t>
  </si>
  <si>
    <t>Сейт-Ариф Рефат Рустемович</t>
  </si>
  <si>
    <t>+7 (978) 803-79-77'</t>
  </si>
  <si>
    <t>oao@mail.ru'</t>
  </si>
  <si>
    <t>59.520559,34.167071</t>
  </si>
  <si>
    <t>ОБЩЕСТВО С ОГРАНИЧЕННОЙ ОТВЕТСТВЕННОСТЬЮ "СтройТрест"</t>
  </si>
  <si>
    <t>"СтройТрест"</t>
  </si>
  <si>
    <t>4715027819</t>
  </si>
  <si>
    <t>187600, ЛЕНИНГРАДСКАЯ ОБЛАСТЬ, РАЙОН БОКСИТОГОРСКИЙ, ГОРОД ПИКАЛЕВО, ШОССЕ СПРЯМЛЕННОЕ, ДОМ 3, СТРОЕНИЕ 1</t>
  </si>
  <si>
    <t>Садов Аркадий Анатольевич</t>
  </si>
  <si>
    <t>+7 (812) 406-73-61', '+7 (911) 915-56-81'</t>
  </si>
  <si>
    <t>57.028937,34.16726</t>
  </si>
  <si>
    <t>ОБЩЕСТВО С ОГРАНИЧЕННОЙ ОТВЕТСТВЕННОСТЬЮ "УДАЧА СТРОИТЕЛЬНОЕ ПРОИЗВОДСТВО"</t>
  </si>
  <si>
    <t>"УДАЧА СТРОИТЕЛЬНОЕ ПРОИЗВОДСТВО"</t>
  </si>
  <si>
    <t>6929006143</t>
  </si>
  <si>
    <t>172110, ТВЕРСКАЯ ОБЛ., Кувшиновский Р-Н, Г. Кувшиново, УЛ. СОВЕТСКАЯ, Д. 7, ЭТАЖ 2 КАБИНЕТ 10</t>
  </si>
  <si>
    <t>Прохоров Владимир Сергеевич</t>
  </si>
  <si>
    <t>MVB@YDACHA.ORG'</t>
  </si>
  <si>
    <t>44.497415,34.169506</t>
  </si>
  <si>
    <t>ОБЩЕСТВО С ОГРАНИЧЕННОЙ ОТВЕТСТВЕННОСТЬЮ "КОНСТРУКЦИЯ"</t>
  </si>
  <si>
    <t>"КОНСТРУКЦИЯ"</t>
  </si>
  <si>
    <t>9103096974</t>
  </si>
  <si>
    <t>298600, КРЫМ РЕСП., Г. Ялта, УЛ. САДОВАЯ, Д. 31, ПОМЕЩ. 47-1-47-5</t>
  </si>
  <si>
    <t>Зданюк Татьяна Сергеевна</t>
  </si>
  <si>
    <t>CONSTRUKT92@YANDEX.RU'</t>
  </si>
  <si>
    <t>59.515684,34.176243</t>
  </si>
  <si>
    <t>ОБЩЕСТВО С ОГРАНИЧЕННОЙ ОТВЕТСТВЕННОСТЬЮ "ДОМОСТРОИТЕЛЬНЫЙ КОМБИНАТ 47"</t>
  </si>
  <si>
    <t>"ДОМОСТРОИТЕЛЬНЫЙ КОМБИНАТ 47"</t>
  </si>
  <si>
    <t>4715033611</t>
  </si>
  <si>
    <t>187600, ЛЕНИНГРАДСКАЯ ОБЛАСТЬ, Р-Н БОКСИТОГОРСКИЙ, Г. ПИКАЛЕВО, УЛ. ЗАВОДСКАЯ, Д. 10, ОФИС 3.8/3</t>
  </si>
  <si>
    <t>Нестеров Алексей Анатольевич</t>
  </si>
  <si>
    <t>+7 (965) 024-71-36'</t>
  </si>
  <si>
    <t>varvarabez@rambler.ru'</t>
  </si>
  <si>
    <t>45.048705,34.212239</t>
  </si>
  <si>
    <t>ОБЩЕСТВО С ОГРАНИЧЕННОЙ ОТВЕТСТВЕННОСТЬЮ "СТОУН ТЭК"</t>
  </si>
  <si>
    <t>"СТОУН ТЭК"</t>
  </si>
  <si>
    <t>9109003817</t>
  </si>
  <si>
    <t>297523, КРЫМ РЕСПУБЛИКА, Р-Н СИМФЕРОПОЛЬСКИЙ, С ДОНСКОЕ, УЛ. ФОНТАННАЯ, Д. 19Г</t>
  </si>
  <si>
    <t>Берновский Дмитрий Александрович</t>
  </si>
  <si>
    <t>+7 (978) 839-71-39', '+7 (978) 736-30-94'</t>
  </si>
  <si>
    <t>gomenyuk@mail.ru', 'gomenyuk@gmail.com', 'starharova@gmail.com'</t>
  </si>
  <si>
    <t>45.029018,34.23431</t>
  </si>
  <si>
    <t>ОБЩЕСТВО С ОГРАНИЧЕННОЙ ОТВЕТСТВЕННОСТЬЮ "ЗАВОД ЖБИ №2"</t>
  </si>
  <si>
    <t>"ЗАВОД ЖБИ №2"</t>
  </si>
  <si>
    <t>9109017930</t>
  </si>
  <si>
    <t>297523, Республика Крым, муниципальный район СИМФЕРОПОЛЬСКИЙ, Село ДОНСКОЕ, сельское поселение ДОНСКОЕ, УЛ ВИНОГРАДНАЯ, Д. 63, ЭТ. 2 ЛИТЕРА А№3, ОФИС 23</t>
  </si>
  <si>
    <t>Жарков Руслан Иванович</t>
  </si>
  <si>
    <t>+7 (978) 985-92-22'</t>
  </si>
  <si>
    <t>44.846033,34.259104</t>
  </si>
  <si>
    <t>ОБЩЕСТВО С ОГРАНИЧЕННОЙ ОТВЕТСТВЕННОСТЬЮ "ВОСТОКСТРОЙ-ЗСМ"</t>
  </si>
  <si>
    <t>"ВОСТОКСТРОЙ-ЗСМ"</t>
  </si>
  <si>
    <t>9109003824</t>
  </si>
  <si>
    <t>297571, Республика Крым, муниципальный район СИМФЕРОПОЛЬСКИЙ, Село ЗАРЕЧНОЕ, сельское поселение ДОБРОВСКОЕ, УЛ МРАМОРНАЯ, Д. 46, ПОМЕЩ. 1</t>
  </si>
  <si>
    <t>Нерсесян Геннадий Мнацаканович</t>
  </si>
  <si>
    <t>+7 (879) 723-97-20', '+7 (978) 723-96-71', '+7 (978) 723-96-71'</t>
  </si>
  <si>
    <t>vita_skvortsova@rambler.ru'</t>
  </si>
  <si>
    <t>54.079968,34.260757</t>
  </si>
  <si>
    <t>ОБЩЕСТВО С ОГРАНИЧЕННОЙ ОТВЕТСТВЕННОСТЬЮ "КИРОВСКИЕ ЖЕЛЕЗОБЕТОННЫЕ ИЗДЕЛИЯ"</t>
  </si>
  <si>
    <t>"КИРОВСКИЕ ЖЕЛЕЗОБЕТОННЫЕ ИЗДЕЛИЯ"</t>
  </si>
  <si>
    <t>4023011327</t>
  </si>
  <si>
    <t>40-Калужская область</t>
  </si>
  <si>
    <t>249444, КАЛУЖСКАЯ ОБЛАСТЬ, РАЙОН КИРОВСКИЙ, ГОРОД КИРОВ, СТАНЦИЯ ПОДПИСНАЯ</t>
  </si>
  <si>
    <t>Кириленко Николай Алексеевич</t>
  </si>
  <si>
    <t>+7 (910) 706-19-41'</t>
  </si>
  <si>
    <t>55.188298,34.262482</t>
  </si>
  <si>
    <t>ОБЩЕСТВО С ОГРАНИЧЕННОЙ ОТВЕТСТВЕННОСТЬЮ "ДОМОСТРОИТЕЛЬНЫЙ КОМБИНАТ ИННОВАЦИОННЫХ МАТЕРИАЛОВ И ЭФФЕКТИВНЫХ КОНСТРУКЦИЙ"</t>
  </si>
  <si>
    <t>"ДОМОСТРОИТЕЛЬНЫЙ КОМБИНАТ ИННОВАЦИОННЫХ МАТЕРИАЛОВ И ЭФФЕКТИВНЫХ КОНСТРУКЦИЙ"</t>
  </si>
  <si>
    <t>7133028287</t>
  </si>
  <si>
    <t>71-Тульская область</t>
  </si>
  <si>
    <t>215116, Смоленская область, муниципальный район ВЯЗЕМСКИЙ, Д ЧЕРЕМУШКИ, сельское поселение СЕМЛЕВСКОЕ, УЛ РУСЯТКА, Д. 24, ПОМЕЩ. 1</t>
  </si>
  <si>
    <t>Ямолтдинов Марат Фаритович</t>
  </si>
  <si>
    <t>53.325659,34.268545</t>
  </si>
  <si>
    <t>ОБЩЕСТВО С ОГРАНИЧЕННОЙ ОТВЕТСТВЕННОСТЬЮ "Бетон-Комплект"</t>
  </si>
  <si>
    <t>"Бетон-Комплект"</t>
  </si>
  <si>
    <t>3257005341</t>
  </si>
  <si>
    <t>241035, БРЯНСКАЯ ОБЛАСТЬ, Г. БРЯНСК, УЛ. ВОКЗАЛЬНАЯ, Д.128</t>
  </si>
  <si>
    <t>Петрин Сергей Викторович</t>
  </si>
  <si>
    <t>+7 (930) 820-17-60'</t>
  </si>
  <si>
    <t>komplect@yandex.ru'</t>
  </si>
  <si>
    <t>ОБЩЕСТВО С ОГРАНИЧЕННОЙ ОТВЕТСТВЕННОСТЬЮ "ЭЛИТ БЕТОН"</t>
  </si>
  <si>
    <t>"ЭЛИТ БЕТОН"</t>
  </si>
  <si>
    <t>3257065654</t>
  </si>
  <si>
    <t>241017, БРЯНСКАЯ ОБЛАСТЬ, ГОРОД БРЯНСК, УЛИЦА ВОКЗАЛЬНАЯ, ДОМ 128, КАБИНЕТ 3</t>
  </si>
  <si>
    <t>+7 (980) 302-92-72'</t>
  </si>
  <si>
    <t>61.826002,34.270881</t>
  </si>
  <si>
    <t>ОБЩЕСТВО С ОГРАНИЧЕННОЙ ОТВЕТСТВЕННОСТЬЮ "ДэКам"</t>
  </si>
  <si>
    <t>"ДэКам"</t>
  </si>
  <si>
    <t>1001100659</t>
  </si>
  <si>
    <t>185013, КАРЕЛИЯ РЕСПУБЛИКА, Г. ПЕТРОЗАВОДСК, Ш. ШУЙСКОЕ (СЕВЕРНАЯ ПРОМЗОНА Р-Н), Д. 20, К. 12, ПОМЕЩ. 4, 5, 11</t>
  </si>
  <si>
    <t>Горячий Артемий Васильевич</t>
  </si>
  <si>
    <t>+7 (906) 209-20-29'</t>
  </si>
  <si>
    <t>44.539191,34.27106</t>
  </si>
  <si>
    <t>ОБЩЕСТВО С ОГРАНИЧЕННОЙ ОТВЕТСТВЕННОСТЬЮ "ИНТРЕЙДСЕРВИС"</t>
  </si>
  <si>
    <t>"ИНТРЕЙДСЕРВИС"</t>
  </si>
  <si>
    <t>9103011152</t>
  </si>
  <si>
    <t>298640, КРЫМ РЕСПУБЛИКА, Г. ЯЛТА, ПГТ ГУРЗУФ, Ш. ГУРЗУФСКОЕ, Д. 3 Б</t>
  </si>
  <si>
    <t>Волошина Татьяна Сергеевна</t>
  </si>
  <si>
    <t>+7 (978) 826-59-06', '+7 (982) 550-62-63'</t>
  </si>
  <si>
    <t>intreidserwis@yandex.ru', 'KRISTALL86@yandex.ru'</t>
  </si>
  <si>
    <t>63.747847,34.291282</t>
  </si>
  <si>
    <t>ОБЩЕСТВО С ОГРАНИЧЕННОЙ ОТВЕТСТВЕННОСТЬЮ "КОЛВИТ"</t>
  </si>
  <si>
    <t>"КОЛВИТ"</t>
  </si>
  <si>
    <t>1006027770</t>
  </si>
  <si>
    <t>186422, КАРЕЛИЯ РЕСПУБЛИКА, РАЙОН СЕГЕЖСКИЙ, ГОРОД СЕГЕЖА, УЛИЦА АНТИКАЙНЕНА, ДОМ 19,..</t>
  </si>
  <si>
    <t>Макаров Николай Викторович</t>
  </si>
  <si>
    <t>+7 (911) 427-12-15'</t>
  </si>
  <si>
    <t>56.270706,34.296339</t>
  </si>
  <si>
    <t>АКЦИОНЕРНОЕ ОБЩЕСТВО "КОМБИНАТ СТРОИТЕЛЬНЫХ КОНСТРУКЦИЙ "РЖЕВСКИЙ"</t>
  </si>
  <si>
    <t>"КОМБИНАТ СТРОИТЕЛЬНЫХ КОНСТРУКЦИЙ "РЖЕВСКИЙ"</t>
  </si>
  <si>
    <t>6914001512</t>
  </si>
  <si>
    <t>ТВЕРСКАЯ ОБЛ.,Г РЖЕВ,УЛ ЦЕНТРАЛЬНАЯ Д 25</t>
  </si>
  <si>
    <t>Фаер Андрей Витальевич</t>
  </si>
  <si>
    <t>55.20675,34.297139</t>
  </si>
  <si>
    <t>ОБЩЕСТВО С ОГРАНИЧЕННОЙ ОТВЕТСТВЕННОСТЬЮ "ДАРСТРОЙ"</t>
  </si>
  <si>
    <t>"ДАРСТРОЙ"</t>
  </si>
  <si>
    <t>6722042025</t>
  </si>
  <si>
    <t>215110, СМОЛЕНСКАЯ ОБЛАСТЬ, Р-Н ВЯЗЕМСКИЙ, Г. ВЯЗЬМА, УЛ. 25 ОКТЯБРЯ, Д. 2А, ОФИС 223</t>
  </si>
  <si>
    <t>Усанова Светлана Викторовна</t>
  </si>
  <si>
    <t>+7 (910) 786-45-72'</t>
  </si>
  <si>
    <t>ooo@yandex.ru'</t>
  </si>
  <si>
    <t>55.212318,34.298899</t>
  </si>
  <si>
    <t>ОБЩЕСТВО С ОГРАНИЧЕННОЙ ОТВЕТСТВЕННОСТЬЮ "ВЯЗЬМАТЕХСТРОЙМОНТАЖ"</t>
  </si>
  <si>
    <t>"ВЯЗЬМАТЕХСТРОЙМОНТАЖ"</t>
  </si>
  <si>
    <t>6722043244</t>
  </si>
  <si>
    <t>215110, СМОЛЕНСКАЯ ОБЛАСТЬ, РАЙОН ВЯЗЕМСКИЙ, ГОРОД ВЯЗЬМА, УЛИЦА ЛЕНИНА, ДОМ 37</t>
  </si>
  <si>
    <t>Чантурия Леван Гивиевич</t>
  </si>
  <si>
    <t>+7 (962) 195-07-37'</t>
  </si>
  <si>
    <t>55.214399,34.301397</t>
  </si>
  <si>
    <t>ОБЩЕСТВО С ОГРАНИЧЕННОЙ ОТВЕТСТВЕННОСТЬЮ "БОНУС"</t>
  </si>
  <si>
    <t>"БОНУС"</t>
  </si>
  <si>
    <t>6722031249</t>
  </si>
  <si>
    <t>215110, СМОЛЕНСКАЯ ОБЛ., Р-Н Вяземский, Г. Вязьма, УЛ. ЛЕНИНА, Д. 49, ОФИС 21</t>
  </si>
  <si>
    <t>Бабушкин Сергей Анатольевич</t>
  </si>
  <si>
    <t>6722034708</t>
  </si>
  <si>
    <t>215110, СМОЛЕНСКАЯ ОБЛ, ВЯЗЕМСКИЙ Р-Н, ВЯЗЬМА Г, ЛЕНИНА УЛ, ДОМ 49, ОФИС 36/1</t>
  </si>
  <si>
    <t>Ильин Владимир Владимирович</t>
  </si>
  <si>
    <t>+7 (966) 020-67-67'</t>
  </si>
  <si>
    <t>55.135922,34.301954</t>
  </si>
  <si>
    <t>ОБЩЕСТВО С ОГРАНИЧЕННОЙ ОТВЕТСТВЕННОСТЬЮ "АРХИТЕКТУРА БЕТОНА"</t>
  </si>
  <si>
    <t>"АРХИТЕКТУРА БЕТОНА"</t>
  </si>
  <si>
    <t>6722036550</t>
  </si>
  <si>
    <t>215118, СМОЛЕНСКАЯ ОБЛ., Р-Н Вяземский, Г. Вязьма, УЛ. ЮБИЛЕЙНАЯ, Д. 2А,..</t>
  </si>
  <si>
    <t>Филиппов Сергей Михайлович</t>
  </si>
  <si>
    <t>OFFICE@BETFIL.RU'</t>
  </si>
  <si>
    <t>53.263145,34.303121</t>
  </si>
  <si>
    <t>ОБЩЕСТВО С ОГРАНИЧЕННОЙ ОТВЕТСТВЕННОСТЬЮ "МАСТЕР-ПАРК СЕРВИС"</t>
  </si>
  <si>
    <t>"МАСТЕР-ПАРК СЕРВИС"</t>
  </si>
  <si>
    <t>3245016204</t>
  </si>
  <si>
    <t>241519, БРЯНСКАЯ ОБЛАСТЬ, РАЙОН БРЯНСКИЙ, ПОСЕЛОК ПУТЕВКА, УЛИЦА АНДРЕЯ ГАЛИЦИНА, ДОМ 8</t>
  </si>
  <si>
    <t>Носов Алексей Егорович</t>
  </si>
  <si>
    <t>53.210382,34.31365</t>
  </si>
  <si>
    <t>ОБЩЕСТВО С ОГРАНИЧЕННОЙ ОТВЕТСТВЕННОСТЬЮ "КОМПАНИЯ "СТРОЙПЛИТКА"</t>
  </si>
  <si>
    <t>"КОМПАНИЯ "СТРОЙПЛИТКА"</t>
  </si>
  <si>
    <t>3245012979</t>
  </si>
  <si>
    <t>241520, БРЯНСКАЯ ОБЛ, БРЯНСКИЙ Р-Н, СУПОНЕВО С, ЕСЕНИНА УЛ, ДОМ 10,..</t>
  </si>
  <si>
    <t>Купреев Александр Александрович</t>
  </si>
  <si>
    <t>+7 (930) 820-26-20'</t>
  </si>
  <si>
    <t>61.816375,34.314476</t>
  </si>
  <si>
    <t>ОБЩЕСТВО С ОГРАНИЧЕННОЙ ОТВЕТСТВЕННОСТЬЮ "ЖБИ КАРЕЛИЯ"</t>
  </si>
  <si>
    <t>"ЖБИ КАРЕЛИЯ"</t>
  </si>
  <si>
    <t>1001342143</t>
  </si>
  <si>
    <t>185031, КАРЕЛИЯ РЕСПУБЛИКА, Г. ПЕТРОЗАВОДСК, УЛ. ЗАЙЦЕВА (ОКТЯБРЬСКИЙ Р-Н), Д. 72, ОФИС 5</t>
  </si>
  <si>
    <t>Безлапенко Сергей Сергеевич</t>
  </si>
  <si>
    <t>ОБЩЕСТВО С ОГРАНИЧЕННОЙ ОТВЕТСТВЕННОСТЬЮ "ЖБИ ТОРГ 10"</t>
  </si>
  <si>
    <t>"ЖБИ ТОРГ 10"</t>
  </si>
  <si>
    <t>1001350352</t>
  </si>
  <si>
    <t>185031, КАРЕЛИЯ РЕСПУБЛИКА, ГОРОД ПЕТРОЗАВОДСК, УЛИЦА ЗАЙЦЕВА (СЕВЕРНАЯ ПРОМЗОНА Р-Н), ДОМ 72, ОФИС 6</t>
  </si>
  <si>
    <t>Гусаров Павел Александрович</t>
  </si>
  <si>
    <t>45.047355,34.314853</t>
  </si>
  <si>
    <t>ОБЩЕСТВО С ОГРАНИЧЕННОЙ ОТВЕТСТВЕННОСТЬЮ "АЛЬФАПРЕСС"</t>
  </si>
  <si>
    <t>"АЛЬФАПРЕСС"</t>
  </si>
  <si>
    <t>9103009280</t>
  </si>
  <si>
    <t>297630, КРЫМ РЕСПУБЛИКА, Р-Н БЕЛОГОРСКИЙ, ПГТ ЗУЯ, УЛ. ЛЕНИНА, Д. 26, СТР. 1</t>
  </si>
  <si>
    <t>Кныш София Вадимовна</t>
  </si>
  <si>
    <t>+7 (978) 719-69-60', '+7 (978) 719-69-59', '+7 (978) 035-12-05'</t>
  </si>
  <si>
    <t>stasyataran@gmail.com'</t>
  </si>
  <si>
    <t>61.759899,34.315635</t>
  </si>
  <si>
    <t>ОБЩЕСТВО С ОГРАНИЧЕННОЙ ОТВЕТСТВЕННОСТЬЮ "БЕТОННЫЙ ДВОРЪ"</t>
  </si>
  <si>
    <t>"БЕТОННЫЙ ДВОРЪ"</t>
  </si>
  <si>
    <t>1001357693</t>
  </si>
  <si>
    <t>185016, Республика Карелия, городской округ ПЕТРОЗАВОДСКИЙ, Город ПЕТРОЗАВОДСК, Р-Н ДРЕВЛЯНКА, Б-Р ИНТЕРНАЦИОНАЛИСТОВ, Д. 8,..</t>
  </si>
  <si>
    <t>Судина Анна Михайловна</t>
  </si>
  <si>
    <t>61.762955,34.316407</t>
  </si>
  <si>
    <t>ОБЩЕСТВО С ОГРАНИЧЕННОЙ ОТВЕТСТВЕННОСТЬЮ "НТ БЕТОЛАЙН"</t>
  </si>
  <si>
    <t>"НТ БЕТОЛАЙН"</t>
  </si>
  <si>
    <t>1001339969</t>
  </si>
  <si>
    <t>185016, КАРЕЛИЯ РЕСПУБЛИКА, Г. ПЕТРОЗАВОДСК, Б-Р ИНТЕРНАЦИОНАЛИСТОВ (ДРЕВЛЯНКА Р-Н), Д. 18,..</t>
  </si>
  <si>
    <t>Боровков Владислав Юрьевич</t>
  </si>
  <si>
    <t>53.265563,34.321249</t>
  </si>
  <si>
    <t>ОБЩЕСТВО С ОГРАНИЧЕННОЙ ОТВЕТСТВЕННОСТЬЮ "ПЛИТ-ЦЕХ"</t>
  </si>
  <si>
    <t>"ПЛИТ-ЦЕХ"</t>
  </si>
  <si>
    <t>3257070870</t>
  </si>
  <si>
    <t>241037, БРЯНСКАЯ ОБЛАСТЬ, ГОРОД БРЯНСК, УЛИЦА АВИАЦИОННАЯ, ДОМ 19,..</t>
  </si>
  <si>
    <t>Алексеев Максим Васильевич</t>
  </si>
  <si>
    <t>+7 (962) 141-59-36'</t>
  </si>
  <si>
    <t>53.214356,34.322615</t>
  </si>
  <si>
    <t>ОБЩЕСТВО С ОГРАНИЧЕННОЙ ОТВЕТСТВЕННОСТЬЮ "СтройГрад"</t>
  </si>
  <si>
    <t>"СтройГрад"</t>
  </si>
  <si>
    <t>3255512868</t>
  </si>
  <si>
    <t>241520, БРЯНСКАЯ ОБЛАСТЬ, Р-Н БРЯНСКИЙ, С СУПОНЕВО, УЛ. ФРУНЗЕ, УЧАСТОК 55, К. 4, КОМ. 5</t>
  </si>
  <si>
    <t>Морозов Сергей Иванович</t>
  </si>
  <si>
    <t>61.785375,34.325965</t>
  </si>
  <si>
    <t>ОБЩЕСТВО С ОГРАНИЧЕННОЙ ОТВЕТСТВЕННОСТЬЮ "ПРЕСС-БЕТОН"</t>
  </si>
  <si>
    <t>"ПРЕСС-БЕТОН"</t>
  </si>
  <si>
    <t>1001354389</t>
  </si>
  <si>
    <t>185002, КАРЕЛИЯ РЕСП., Г. Петрозаводск, УЛ. ПЕРЕВАЛОЧНАЯ (ПЕРЕВАЛКА Р-Н), Д. 30</t>
  </si>
  <si>
    <t>Арутюнян Сипан Азатович</t>
  </si>
  <si>
    <t>VARVARANESTEROVA88@GMAIL.COM'</t>
  </si>
  <si>
    <t>45.059447,34.33017</t>
  </si>
  <si>
    <t>ОБЩЕСТВО С ОГРАНИЧЕННОЙ ОТВЕТСТВЕННОСТЬЮ "РЕШЕНИЕ"</t>
  </si>
  <si>
    <t>"РЕШЕНИЕ"</t>
  </si>
  <si>
    <t>9109027021</t>
  </si>
  <si>
    <t>297630, Республика Крым, БЕЛОГОРСКИЙ, 2 ЗУЙСКОЕ, ПГТ ЗУЯ, УЛ ШОССЕЙНАЯ, Д. 115</t>
  </si>
  <si>
    <t>Стеценко Михаил Борисович</t>
  </si>
  <si>
    <t>53.223231,34.344561</t>
  </si>
  <si>
    <t>ОБЩЕСТВО С ОГРАНИЧЕННОЙ ОТВЕТСТВЕННОСТЬЮ "БРЯНСКИЙ ДОМОСТРОИТЕЛЬНЫЙ КОМБИНАТ №1"</t>
  </si>
  <si>
    <t>"БРЯНСКИЙ ДОМОСТРОИТЕЛЬНЫЙ КОМБИНАТ №1"</t>
  </si>
  <si>
    <t>3245005900</t>
  </si>
  <si>
    <t>241028, БРЯНСКАЯ ОБЛ, БРЯНСК Г, КАРАЧИЖСКАЯ УЛ, ДОМ 63, ОФИС 4</t>
  </si>
  <si>
    <t>Гордеев Сергей Владимирович</t>
  </si>
  <si>
    <t>+7 (980) 331-02-02', '+7 (962) 144-91-19'</t>
  </si>
  <si>
    <t>54.129649,34.348019</t>
  </si>
  <si>
    <t>ОБЩЕСТВО С ОГРАНИЧЕННОЙ ОТВЕТСТВЕННОСТЬЮ "ЗАВОД ЖБИ "КИРОВСКИЙ"</t>
  </si>
  <si>
    <t>"ЗАВОД ЖБИ "КИРОВСКИЙ"</t>
  </si>
  <si>
    <t>4023011694</t>
  </si>
  <si>
    <t>249453, КАЛУЖСКАЯ ОБЛАСТЬ, РАЙОН КИРОВСКИЙ, ДЕРЕВНЯ САНАТОРИЯ НАГОРНОЕ, СТРОЕНИЕ 2</t>
  </si>
  <si>
    <t>Сенин Павел Иванович</t>
  </si>
  <si>
    <t>53.223048,34.357092</t>
  </si>
  <si>
    <t>ОБЩЕСТВО С ОГРАНИЧЕННОЙ ОТВЕТСТВЕННОСТЬЮ "МОНОСТРОЙ"</t>
  </si>
  <si>
    <t>"МОНОСТРОЙ"</t>
  </si>
  <si>
    <t>3257083195</t>
  </si>
  <si>
    <t>241028, Брянская область, ГОРОД БРЯНСК, Г БРЯНСК, УЛ САККО И ВАНЦЕТТИ, Д. 63</t>
  </si>
  <si>
    <t>Чвиров Игорь Владимирович</t>
  </si>
  <si>
    <t>55.191248,34.357137</t>
  </si>
  <si>
    <t>ОБЩЕСТВО С ОГРАНИЧЕННОЙ ОТВЕТСТВЕННОСТЬЮ "ГРАФИТ-А"</t>
  </si>
  <si>
    <t>"ГРАФИТ-А"</t>
  </si>
  <si>
    <t>6722038043</t>
  </si>
  <si>
    <t>215113, Смоленская область, ВЯЗЕМСКИЙ, 1 ВЯЗЕМСКОЕ, Г ВЯЗЬМА, УЛ 2-Я БОЗНЯ, СТР. 61</t>
  </si>
  <si>
    <t>Мурадян Арен Смбатович</t>
  </si>
  <si>
    <t>53.13702,34.364072</t>
  </si>
  <si>
    <t>ОБЩЕСТВО С ОГРАНИЧЕННОЙ ОТВЕТСТВЕННОСТЬЮ "РУССКОЕ ПОДВОРЬЕ ПЛЮС"</t>
  </si>
  <si>
    <t>"РУССКОЕ ПОДВОРЬЕ ПЛЮС"</t>
  </si>
  <si>
    <t>3245501627</t>
  </si>
  <si>
    <t>241518, БРЯНСКАЯ ОБЛАСТЬ, Р-Н БРЯНСКИЙ, П СВЕНЬ, УЛ. МОЛОДЕЖНАЯ, Д.5</t>
  </si>
  <si>
    <t>Калашян Грачья Неонович</t>
  </si>
  <si>
    <t>+7 (919) 290-19-55'</t>
  </si>
  <si>
    <t>53.289125,34.366947</t>
  </si>
  <si>
    <t>ОБЩЕСТВО С ОГРАНИЧЕННОЙ ОТВЕТСТВЕННОСТЬЮ "УРБАН ЦЕНТР"</t>
  </si>
  <si>
    <t>"УРБАН ЦЕНТР"</t>
  </si>
  <si>
    <t>3233013110</t>
  </si>
  <si>
    <t>Г БРЯНСК,УЛ РЕЧНАЯ,Д 99-А</t>
  </si>
  <si>
    <t>Сычев Дмитрий Викторович</t>
  </si>
  <si>
    <t>ОБЩЕСТВО С ОГРАНИЧЕННОЙ ОТВЕТСТВЕННОСТЬЮ "Строй-Калорит"</t>
  </si>
  <si>
    <t>"Строй-Калорит"</t>
  </si>
  <si>
    <t>3250534949</t>
  </si>
  <si>
    <t>241031, БРЯНСКАЯ ОБЛАСТЬ, Г. БРЯНСК, УЛ. РЕЧНАЯ, Д.99-А</t>
  </si>
  <si>
    <t>Костин Игорь Анатольевич</t>
  </si>
  <si>
    <t>+7 (910) 330-44-76', '+7 (910) 330-44-75', '+7 (920) 863-90-10'</t>
  </si>
  <si>
    <t>mlv_32@mail.ru'</t>
  </si>
  <si>
    <t>61.778317,34.393968</t>
  </si>
  <si>
    <t>ОБЩЕСТВО С ОГРАНИЧЕННОЙ ОТВЕТСТВЕННОСТЬЮ ПРОИЗВОДСТВЕННАЯ КОМПАНИЯ "Кремнегранит Карелия"</t>
  </si>
  <si>
    <t>ПРОИЗВОДСТВЕННАЯ КОМПАНИЯ "Кремнегранит Карелия"</t>
  </si>
  <si>
    <t>1001260959</t>
  </si>
  <si>
    <t>http://kgkarelia.ru</t>
  </si>
  <si>
    <t>185005, КАРЕЛИЯ РЕСПУБЛИКА, Г. ПЕТРОЗАВОДСК, УЛ. ПРОМЫШЛЕННАЯ (ЗАРЕКА Р-Н), Д.10А,..</t>
  </si>
  <si>
    <t>Петрук Дмитрий Петрович</t>
  </si>
  <si>
    <t>44.673738,34.404532</t>
  </si>
  <si>
    <t>ОБЩЕСТВО С ОГРАНИЧЕННОЙ ОТВЕТСТВЕННОСТЬЮ "АГРОПРОМСПЕЦСТРОЙ"</t>
  </si>
  <si>
    <t>"АГРОПРОМСПЕЦСТРОЙ"</t>
  </si>
  <si>
    <t>9101004449</t>
  </si>
  <si>
    <t>298500, Республика Крым, г Алушта, ул Горького, д 56</t>
  </si>
  <si>
    <t>Геворкян Валентина Сергеевна</t>
  </si>
  <si>
    <t>+7 (978) 740-70-99'</t>
  </si>
  <si>
    <t>roalan75@mail.ru', 'vpoezdkuinfocrimea@gmail.com'</t>
  </si>
  <si>
    <t>ОБЩЕСТВО С ОГРАНИЧЕННОЙ ОТВЕТСТВЕННОСТЬЮ "У МОРЯ"</t>
  </si>
  <si>
    <t>"У МОРЯ"</t>
  </si>
  <si>
    <t>9101004520</t>
  </si>
  <si>
    <t>298500, КРЫМ РЕСП, АЛУШТА Г, ГОРЬКОГО УЛ, ДОМ 56</t>
  </si>
  <si>
    <t>roalan75@mail.ru', 'sezon@mail.ru'</t>
  </si>
  <si>
    <t>44.678372,34.408143</t>
  </si>
  <si>
    <t>ОБЩЕСТВО С ОГРАНИЧЕННОЙ ОТВЕТСТВЕННОСТЬЮ "СУ-37"</t>
  </si>
  <si>
    <t>"СУ-37"</t>
  </si>
  <si>
    <t>9101007376</t>
  </si>
  <si>
    <t>298510, РЕСПУБЛИКА КРЫМ, Г АЛУШТА, УЛ ПИОНЕРСКАЯ, ДОМ 17, ОФИС 29</t>
  </si>
  <si>
    <t>Белов Сергей Андреевич</t>
  </si>
  <si>
    <t>+7 (978) 705-32-66'</t>
  </si>
  <si>
    <t>i53919@yandex.ua'</t>
  </si>
  <si>
    <t>45.722522,34.418977</t>
  </si>
  <si>
    <t>ОБЩЕСТВО С ОГРАНИЧЕННОЙ ОТВЕТСТВЕННОСТЬЮ "ДЖАНКОЙ СТРОЙ"</t>
  </si>
  <si>
    <t>"ДЖАНКОЙ СТРОЙ"</t>
  </si>
  <si>
    <t>9105013910</t>
  </si>
  <si>
    <t>296102, КРЫМ РЕСПУБЛИКА, ГОРОД ДЖАНКОЙ, УЛИЦА КРУПСКОЙ, ДОМ 145,..</t>
  </si>
  <si>
    <t>Маламин Владимир Владимирович</t>
  </si>
  <si>
    <t>+7 (978) 867-13-33', '+7 (978) 047-89-41'</t>
  </si>
  <si>
    <t>mvvdc@yandex.ru', 'malamin@list.ru'</t>
  </si>
  <si>
    <t>53.2598,34.429299</t>
  </si>
  <si>
    <t>ОБЩЕСТВО С ОГРАНИЧЕННОЙ ОТВЕТСТВЕННОСТЬЮ "БРЯНСКЦЕМРЕГИОН"</t>
  </si>
  <si>
    <t>"БРЯНСКЦЕМРЕГИОН"</t>
  </si>
  <si>
    <t>3257073341</t>
  </si>
  <si>
    <t>241047, БРЯНСКАЯ ОБЛАСТЬ, ГОРОД БРЯНСК, УЛИЦА СУВОРОВА, ДОМ 18</t>
  </si>
  <si>
    <t>Пицуренко Сергей Вениаминович</t>
  </si>
  <si>
    <t>53.221991,34.431374</t>
  </si>
  <si>
    <t>ОБЩЕСТВО С ОГРАНИЧЕННОЙ ОТВЕТСТВЕННОСТЬЮ "БЕТОН 745"</t>
  </si>
  <si>
    <t>"БЕТОН 745"</t>
  </si>
  <si>
    <t>3257033042</t>
  </si>
  <si>
    <t>241020, БРЯНСКАЯ ОБЛАСТЬ, ГОРОД БРЯНСК, ПРОЕЗД МОСКОВСКИЙ, ДОМ 10 А</t>
  </si>
  <si>
    <t>Карпенко Юрий Николаевич</t>
  </si>
  <si>
    <t>+7 (930) 820-06-02'</t>
  </si>
  <si>
    <t>beton745@mail.ru'</t>
  </si>
  <si>
    <t>61.734726,34.443106</t>
  </si>
  <si>
    <t>ОБЩЕСТВО С ОГРАНИЧЕННОЙ ОТВЕТСТВЕННОСТЬЮ "СК"</t>
  </si>
  <si>
    <t>"СК"</t>
  </si>
  <si>
    <t>1001343588</t>
  </si>
  <si>
    <t>185012, КАРЕЛИЯ РЕСПУБЛИКА, ГОРОД ПЕТРОЗАВОДСК, ПРОЕЗД ЮЖНЫЙ (ЮЖНАЯ ПРОМЗОНА Р-Н), ДОМ 5А, ПОМЕЩЕНИЕ 1</t>
  </si>
  <si>
    <t>Задков Илья Геннадьевич</t>
  </si>
  <si>
    <t>+7 (921) 463-85-82'</t>
  </si>
  <si>
    <t>53.210533,34.470666</t>
  </si>
  <si>
    <t>ОБЩЕСТВО С ОГРАНИЧЕННОЙ ОТВЕТСТВЕННОСТЬЮ "МБК"</t>
  </si>
  <si>
    <t>"МБК"</t>
  </si>
  <si>
    <t>3245012560</t>
  </si>
  <si>
    <t>241518, БРЯНСКАЯ ОБЛАСТЬ, РАЙОН БРЯНСКИЙ, ПОСЕЛОК СВЕНЬ, УЛИЦА СНЕЖЕТЬСКИЙ ВАЛ, ДОМ 4А, ОФИС 22</t>
  </si>
  <si>
    <t>Артамонов Сергей Васильевич</t>
  </si>
  <si>
    <t>+7 (960) 551-09-93'</t>
  </si>
  <si>
    <t>45.052385,34.617729</t>
  </si>
  <si>
    <t>ОБЩЕСТВО С ОГРАНИЧЕННОЙ ОТВЕТСТВЕННОСТЬЮ "БЕЛОГОРСКИЙ РАЙОННЫЙ КОМБИНАТ ПО ОКАЗАНИЮ УСЛУГ СЕЛЬСКОМУ НАСЕЛЕНИЮ"</t>
  </si>
  <si>
    <t>"БЕЛОГОРСКИЙ РАЙОННЫЙ КОМБИНАТ ПО ОКАЗАНИЮ УСЛУГ СЕЛЬСКОМУ НАСЕЛЕНИЮ"</t>
  </si>
  <si>
    <t>9109019831</t>
  </si>
  <si>
    <t>297600, КРЫМ РЕСПУБЛИКА, Р-Н БЕЛОГОРСКИЙ, Г. БЕЛОГОРСК, УЛ. ИНДУСТРИАЛЬНАЯ, Д. 16Б, ЛИТЕРА А</t>
  </si>
  <si>
    <t>Аккерт Наталья Ивановна</t>
  </si>
  <si>
    <t>+7 (978) 831-62-81'</t>
  </si>
  <si>
    <t>45.053958,34.618412</t>
  </si>
  <si>
    <t>ОБЩЕСТВО С ОГРАНИЧЕННОЙ ОТВЕТСТВЕННОСТЬЮ "КРЫМ СТРОЙ БЕРКАТ"</t>
  </si>
  <si>
    <t>"КРЫМ СТРОЙ БЕРКАТ"</t>
  </si>
  <si>
    <t>9109020731</t>
  </si>
  <si>
    <t>297600, КРЫМ РЕСПУБЛИКА, РАЙОН БЕЛОГОРСКИЙ, ГОРОД БЕЛОГОРСК, УЛИЦА ИНДУСТРИАЛЬНАЯ, ДОМ 17, ЛИТЕР Б, ПОМЕЩЕНИЕ 9</t>
  </si>
  <si>
    <t>Муртазаев Саламбек Ахмадович</t>
  </si>
  <si>
    <t>+7 (978) 011-23-62'</t>
  </si>
  <si>
    <t>ksberkat@yandex.ru'</t>
  </si>
  <si>
    <t>53.209265,34.646934</t>
  </si>
  <si>
    <t>ОБЩЕСТВО С ОГРАНИЧЕННОЙ ОТВЕТСТВЕННОСТЬЮ "СК БЕЛЫЙ БЕРЕГ"</t>
  </si>
  <si>
    <t>"СК БЕЛЫЙ БЕРЕГ"</t>
  </si>
  <si>
    <t>3235015307</t>
  </si>
  <si>
    <t>Г БРЯНСК,РП БЕЛЫЕ БЕРЕГА,УЛ БЕЛОБЕРЕЖСКАЯ Д 1 А</t>
  </si>
  <si>
    <t>Сикерин Александр Константинович</t>
  </si>
  <si>
    <t>57.027957,34.982338</t>
  </si>
  <si>
    <t>ОБЩЕСТВО С ОГРАНИЧЕННОЙ ОТВЕТСТВЕННОСТЬЮ "КОМПАНИЯ КРИСТАЛЛ"</t>
  </si>
  <si>
    <t>"КОМПАНИЯ КРИСТАЛЛ"</t>
  </si>
  <si>
    <t>6915015927</t>
  </si>
  <si>
    <t>172008, ТВЕРСКАЯ ОБЛАСТЬ, ГОРОД ТОРЖОК, УЛИЦА МИРА, ДОМ 52, ЭТАЖ 1, ПОМЕЩЕНИЕ 1</t>
  </si>
  <si>
    <t>Александров Михаил Александрович</t>
  </si>
  <si>
    <t>+7 (903) 802-13-28'</t>
  </si>
  <si>
    <t>55.551925,34.983703</t>
  </si>
  <si>
    <t>ОБЩЕСТВО С ОГРАНИЧЕННОЙ ОТВЕТСТВЕННОСТЬЮ "ГАГАРИН ПРОМ СТРОЙ"</t>
  </si>
  <si>
    <t>"ГАГАРИН ПРОМ СТРОЙ"</t>
  </si>
  <si>
    <t>6722037427</t>
  </si>
  <si>
    <t>215010, Смоленская область, ГАГАРИНСКИЙ, 1 ГАГАРИНСКОЕ, Г ГАГАРИН, УЛ ПЕРВОМАЙСКАЯ, Д. 12</t>
  </si>
  <si>
    <t>Кузнецов Геннадий Анатольевич</t>
  </si>
  <si>
    <t>GAGARINPROMSTROY@GMAIL.COM'</t>
  </si>
  <si>
    <t>55.532711,34.986191</t>
  </si>
  <si>
    <t>6723011693</t>
  </si>
  <si>
    <t>СМОЛЕНСКАЯ ОБЛ.,Г ГАГАРИН,УЛ СМОЛЕНСКАЯ Д 54</t>
  </si>
  <si>
    <t>Романенков Никита Александрович</t>
  </si>
  <si>
    <t>+7 (910) 782-64-82'</t>
  </si>
  <si>
    <t>55.577342,35.011793</t>
  </si>
  <si>
    <t>ОБЩЕСТВО С ОГРАНИЧЕННОЙ ОТВЕТСТВЕННОСТЬЮ "КРАВ И КО"</t>
  </si>
  <si>
    <t>"КРАВ И КО"</t>
  </si>
  <si>
    <t>7713563721</t>
  </si>
  <si>
    <t>215030, СМОЛЕНСКАЯ ОБЛАСТЬ, Р-Н ГАГАРИНСКИЙ, Д ПОДСЕЛЬЕВО, УЛ. ДОРОЖНАЯ, Д. 5, ОФИС 1</t>
  </si>
  <si>
    <t>Кравчин Григорий Алексеевич</t>
  </si>
  <si>
    <t>+7 (495) 979-36-09'</t>
  </si>
  <si>
    <t>57.876582,35.026337</t>
  </si>
  <si>
    <t>ОБЩЕСТВО С ОГРАНИЧЕННОЙ ОТВЕТСТВЕННОСТЬЮ "КОМПАНИЯ АЛЬФА"</t>
  </si>
  <si>
    <t>"КОМПАНИЯ АЛЬФА"</t>
  </si>
  <si>
    <t>6916012742</t>
  </si>
  <si>
    <t>171843, ТВЕРСКАЯ ОБЛАСТЬ, Г. УДОМЛЯ, УЛ. САДОВАЯ, Д. 33, ОФИС 18</t>
  </si>
  <si>
    <t>Юренева Ольга Анатольевна</t>
  </si>
  <si>
    <t>+7 (910) 830-31-45'</t>
  </si>
  <si>
    <t>45.216222,35.184503</t>
  </si>
  <si>
    <t>ОБЩЕСТВО С ОГРАНИЧЕННОЙ ОТВЕТСТВЕННОСТЬЮ «ДОРОЖНАЯ ИНЖИНИРИЯ КРЫМА»</t>
  </si>
  <si>
    <t>«ДОРОЖНАЯ ИНЖИНИРИЯ КРЫМА»</t>
  </si>
  <si>
    <t>9108121776</t>
  </si>
  <si>
    <t>297313, КРЫМ РЕСПУБЛИКА, Р-Н КИРОВСКИЙ, С ЯРКОЕ ПОЛЕ, ПР-КТ КРАСНОСЕЛЬСКОГО, Д. 35</t>
  </si>
  <si>
    <t>Акатов Михаил Анатольевич</t>
  </si>
  <si>
    <t>+7 (967) 445-66-77'</t>
  </si>
  <si>
    <t>52.357159,35.23471</t>
  </si>
  <si>
    <t>ОБЩЕСТВО С ОГРАНИЧЕННОЙ ОТВЕТСТВЕННОСТЬЮ  "ФЕНИКС"</t>
  </si>
  <si>
    <t xml:space="preserve"> "ФЕНИКС"</t>
  </si>
  <si>
    <t>4633039228</t>
  </si>
  <si>
    <t>46-Курская область</t>
  </si>
  <si>
    <t>307170, КУРСКАЯ ОБЛАСТЬ, Р-Н ЖЕЛЕЗНОГОРСКИЙ, С ТРОЯНОВО, УЛ. СОВЕТСКАЯ, Д. 16</t>
  </si>
  <si>
    <t>Сафарян Армен Самвелович</t>
  </si>
  <si>
    <t>+7 (919) 271-34-23'</t>
  </si>
  <si>
    <t>54.116531,35.324641</t>
  </si>
  <si>
    <t>ОБЩЕСТВО С ОГРАНИЧЕННОЙ ОТВЕТСТВЕННОСТЬЮ "БЛАГОСТРОЙ"</t>
  </si>
  <si>
    <t>"БЛАГОСТРОЙ"</t>
  </si>
  <si>
    <t>4017008573</t>
  </si>
  <si>
    <t>249271, КАЛУЖСКАЯ ОБЛ., Р-Н Сухиничский, Г. Сухиничи, УЛ. ТЯВКИНА, Д. 1, СКЛ. 9</t>
  </si>
  <si>
    <t>Арутюнян Геворик Гагикович</t>
  </si>
  <si>
    <t>+7 (953) 185-19-06'</t>
  </si>
  <si>
    <t>45.051265,35.356468</t>
  </si>
  <si>
    <t>9108010466</t>
  </si>
  <si>
    <t>298112, КРЫМ РЕСП, ФЕОДОСИЯ Г, КЕРЧЕНСКОЕ Ш, ДОМ 4А, ОФИС 1</t>
  </si>
  <si>
    <t>Лазарев Максим Викторович</t>
  </si>
  <si>
    <t>+7 (978) 848-59-57'</t>
  </si>
  <si>
    <t>natalicheb777@gmail.com', 'jelezobeton@hotmail.com', 'korvalol777@rambler.ru'</t>
  </si>
  <si>
    <t>45.051755,35.357824</t>
  </si>
  <si>
    <t>ОБЩЕСТВО С ОГРАНИЧЕННОЙ ОТВЕТСТВЕННОСТЬЮ "ЖБИ-КРЫМ"</t>
  </si>
  <si>
    <t>"ЖБИ-КРЫМ"</t>
  </si>
  <si>
    <t>9108009125</t>
  </si>
  <si>
    <t>298112, Республика Крым, г Феодосия, шоссе Керченское, д 4Ж</t>
  </si>
  <si>
    <t>Запривода Виктор Анатольевич</t>
  </si>
  <si>
    <t>+7 (978) 700-51-85', '+7 (978) 763-51-14'</t>
  </si>
  <si>
    <t>Natalicheb777@gmail.com'</t>
  </si>
  <si>
    <t>52.328571,35.364023</t>
  </si>
  <si>
    <t>4633015636</t>
  </si>
  <si>
    <t>307173, КУРСКАЯ ОБЛАСТЬ, Г. ЖЕЛЕЗНОГОРСК, УЛ. 21 ПАРТСЪЕЗДА, Д.22, ОФИС 1</t>
  </si>
  <si>
    <t>Марахин Михаил Васильевич</t>
  </si>
  <si>
    <t>+7 (920) 722-07-70'</t>
  </si>
  <si>
    <t>45.035209,35.365056</t>
  </si>
  <si>
    <t>ОБЩЕСТВО С ОГРАНИЧЕННОЙ ОТВЕТСТВЕННОСТЬЮ "МАРКИТАНТ"</t>
  </si>
  <si>
    <t>"МАРКИТАНТ"</t>
  </si>
  <si>
    <t>9108010667</t>
  </si>
  <si>
    <t>298109, КРЫМ РЕСПУБЛИКА, Г. ФЕОДОСИЯ, УЛ. ХАРЬКОВСКАЯ, Д. 17</t>
  </si>
  <si>
    <t>Афанасьев Василий Иванович</t>
  </si>
  <si>
    <t>+7 (978) 011-40-51'</t>
  </si>
  <si>
    <t>podporma@mail.ru'</t>
  </si>
  <si>
    <t>45.030801,35.375171</t>
  </si>
  <si>
    <t>ОБЩЕСТВО С ОГРАНИЧЕННОЙ ОТВЕТСТВЕННОСТЬЮ "СТРОИТЕЛЬ-II"</t>
  </si>
  <si>
    <t>"СТРОИТЕЛЬ-II"</t>
  </si>
  <si>
    <t>9108011244</t>
  </si>
  <si>
    <t>298100, КРЫМ РЕСПУБЛИКА, ГОРОД ФЕОДОСИЯ, УЛИЦА ГАЛЕРЕЙНАЯ, ДОМ 19,..</t>
  </si>
  <si>
    <t>Ткаченко Дмитрий Вадимович</t>
  </si>
  <si>
    <t>+7 (978) 825-35-06'</t>
  </si>
  <si>
    <t>tkdiana1@mail.ru'</t>
  </si>
  <si>
    <t>45.061057,35.385969</t>
  </si>
  <si>
    <t>ОБЩЕСТВО С ОГРАНИЧЕННОЙ ОТВЕТСТВЕННОСТЬЮ "ОРБИТАЛЬ"</t>
  </si>
  <si>
    <t>"ОРБИТАЛЬ"</t>
  </si>
  <si>
    <t>9108104160</t>
  </si>
  <si>
    <t>298107, КРЫМ РЕСПУБЛИКА, Г. ФЕОДОСИЯ, УЛ. 3-ГО ИНТЕРНАЦИОНАЛА, Д. 29А, ПОМЕЩ. А</t>
  </si>
  <si>
    <t>Туз Виталий Владимирович</t>
  </si>
  <si>
    <t>+7 (978) 818-21-95', '+7 (978) 837-24-64'</t>
  </si>
  <si>
    <t>allaprimaesv@gmail.com', 'oksanagr1975@mail.ru'</t>
  </si>
  <si>
    <t>45.086722,35.394323</t>
  </si>
  <si>
    <t>ОБЩЕСТВО С ОГРАНИЧЕННОЙ ОТВЕТСТВЕННОСТЬЮ "ТЕХНОПЛАСТ ПЛЮС"</t>
  </si>
  <si>
    <t>"ТЕХНОПЛАСТ ПЛЮС"</t>
  </si>
  <si>
    <t>9108107450</t>
  </si>
  <si>
    <t>298111, КРЫМ РЕСПУБЛИКА, Г. ФЕОДОСИЯ, УЛ. ДРУЖБЫ, Д. 109-А</t>
  </si>
  <si>
    <t>Моисейченко Сергей Николаевич</t>
  </si>
  <si>
    <t>+7 (978) 852-03-50', '+7 (978) 752-59-90', '+7 (978) 752-59-90'</t>
  </si>
  <si>
    <t>zhilbud@inbox.ru'</t>
  </si>
  <si>
    <t>ОБЩЕСТВО С ОГРАНИЧЕННОЙ ОТВЕТСТВЕННОСТЬЮ "СВАРОГ"</t>
  </si>
  <si>
    <t>"СВАРОГ"</t>
  </si>
  <si>
    <t>9108110809</t>
  </si>
  <si>
    <t>298111, КРЫМ РЕСПУБЛИКА, Г. ФЕОДОСИЯ, УЛ. ДРУЖБЫ, Д. 109А</t>
  </si>
  <si>
    <t>45.06545,35.394592</t>
  </si>
  <si>
    <t>ОБЩЕСТВО С ОГРАНИЧЕННОЙ ОТВЕТСТВЕННОСТЬЮ "ФЕОДОСИЙСКИЙ ЗАВОД СТРОИТЕЛЬНЫХ КОНСТРУКЦИЙ"</t>
  </si>
  <si>
    <t>"ФЕОДОСИЙСКИЙ ЗАВОД СТРОИТЕЛЬНЫХ КОНСТРУКЦИЙ"</t>
  </si>
  <si>
    <t>9108127263</t>
  </si>
  <si>
    <t>298107, Республика Крым, ФЕОДОСИЯ, Г ФЕОДОСИЯ, УЛ ГЕОЛОГИЧЕСКАЯ, Д. 2</t>
  </si>
  <si>
    <t>45.091106,35.397314</t>
  </si>
  <si>
    <t>ОБЩЕСТВО С ОГРАНИЧЕННОЙ ОТВЕТСТВЕННОСТЬЮ "ЗАВОД ЖЕЛЕЗОБЕТОННЫХ ИЗДЕЛИЙ №5"</t>
  </si>
  <si>
    <t>"ЗАВОД ЖЕЛЕЗОБЕТОННЫХ ИЗДЕЛИЙ №5"</t>
  </si>
  <si>
    <t>9108121208</t>
  </si>
  <si>
    <t>298111, КРЫМ РЕСПУБЛИКА, Г. ФЕОДОСИЯ, УЛ. ДРУЖБЫ, Д. 121-Г</t>
  </si>
  <si>
    <t>Егорова Мария Михайловна</t>
  </si>
  <si>
    <t>+7 (931) 541-85-03'</t>
  </si>
  <si>
    <t>45.06708,35.399506</t>
  </si>
  <si>
    <t>АКЦИОНЕРНОЕ ОБЩЕСТВО "СТРОЙДЕТАЛЬ"</t>
  </si>
  <si>
    <t>9108118614</t>
  </si>
  <si>
    <t>298107, КРЫМ РЕСПУБЛИКА, ГОРОД ФЕОДОСИЯ, ТУПИК ЧЕРНОМОРСКИЙ, ДОМ 3</t>
  </si>
  <si>
    <t>Романов Евгений Артемович</t>
  </si>
  <si>
    <t>+7 (978) 025-37-29'</t>
  </si>
  <si>
    <t>feostroydetal@mail.ru'</t>
  </si>
  <si>
    <t>56.024305,35.48101</t>
  </si>
  <si>
    <t>5079015170</t>
  </si>
  <si>
    <t>143700, Московская область, городской округ ШАХОВСКАЯ, РП ШАХОВСКАЯ, Ш ВОЛОЧАНОВСКОЕ, Д. 18, ПОМЕЩ. 1</t>
  </si>
  <si>
    <t>Бондюгов Егор Игоревич</t>
  </si>
  <si>
    <t>56.024939,35.482663</t>
  </si>
  <si>
    <t>ОБЩЕСТВО С ОГРАНИЧЕННОЙ ОТВЕТСТВЕННОСТЬЮ "ПРОФ-ДЕКОР"</t>
  </si>
  <si>
    <t>"ПРОФ-ДЕКОР"</t>
  </si>
  <si>
    <t>5004030005</t>
  </si>
  <si>
    <t>143700, МОСКОВСКАЯ ОБЛАСТЬ, РАБОЧИЙ ПОСЕЛОК ШАХОВСКАЯ, ШОССЕ ВОЛОЧАНОВСКОЕ, ДОМ 18, СТРОЕНИЕ 2, ОФИС 1</t>
  </si>
  <si>
    <t>Аверкин Андрей Николаевич</t>
  </si>
  <si>
    <t>45.116954,35.48375</t>
  </si>
  <si>
    <t>ОБЩЕСТВО С ОГРАНИЧЕННОЙ ОТВЕТСТВЕННОСТЬЮ "ТЕХВИЛЛЬ"</t>
  </si>
  <si>
    <t>"ТЕХВИЛЛЬ"</t>
  </si>
  <si>
    <t>9108111739</t>
  </si>
  <si>
    <t>298176, Республика Крым, Феодосия г Приморский пгт, УЛ ЮЖНАЯ, ДОМ 11,..</t>
  </si>
  <si>
    <t>Щербина Владимир Петрович</t>
  </si>
  <si>
    <t>+7 (978) 752-60-49', '+7 (978) 712-87-61', '+7 (978) 849-88-43'</t>
  </si>
  <si>
    <t>buh@yandex.ru', '86@mail.ru'</t>
  </si>
  <si>
    <t>52.961888,35.74825</t>
  </si>
  <si>
    <t>5725005090</t>
  </si>
  <si>
    <t>57-Орловская область</t>
  </si>
  <si>
    <t>303900, ОРЛОВСКАЯ ОБЛАСТЬ, Р-Н УРИЦКИЙ, ПГТ НАРЫШКИНО, УЛ. НЕМКОВА, Д. 101, КАБИНЕТ 1</t>
  </si>
  <si>
    <t>Матюшин Артем Николаевич</t>
  </si>
  <si>
    <t>+7 (913) 595-88-80'</t>
  </si>
  <si>
    <t>56.896204,35.76133</t>
  </si>
  <si>
    <t>ОБЩЕСТВО С ОГРАНИЧЕННОЙ ОТВЕТСТВЕННОСТЬЮ ПРОИЗВОДСТВЕННАЯ КОМПАНИЯ "ТЕРМОДОМ"</t>
  </si>
  <si>
    <t>ПРОИЗВОДСТВЕННАЯ КОМПАНИЯ "ТЕРМОДОМ"</t>
  </si>
  <si>
    <t>6949110784</t>
  </si>
  <si>
    <t>170508, Тверская область, муниципальный район КАЛИНИНСКИЙ, П ЗАВОЛЖСКИЙ, сельское поселение ЗАВОЛЖСКОЕ, СТР. 14В, ПОМЕЩ. 1</t>
  </si>
  <si>
    <t>Труш Екатерина Николаевна</t>
  </si>
  <si>
    <t>+7 (980) 632-96-56'</t>
  </si>
  <si>
    <t>ОБЩЕСТВО С ОГРАНИЧЕННОЙ ОТВЕТСТВЕННОСТЬЮ "ТЕРМОДОМ"</t>
  </si>
  <si>
    <t>"ТЕРМОДОМ"</t>
  </si>
  <si>
    <t>6949115292</t>
  </si>
  <si>
    <t>45.294136,35.786563</t>
  </si>
  <si>
    <t>ОБЩЕСТВО С ОГРАНИЧЕННОЙ ОТВЕТСТВЕННОСТЬЮ "БЛОКИ ГАЗОБЕТОНА"</t>
  </si>
  <si>
    <t>"БЛОКИ ГАЗОБЕТОНА"</t>
  </si>
  <si>
    <t>9111000838</t>
  </si>
  <si>
    <t>298200, КРЫМ РЕСП, ЛЕНИНСКИЙ Р-Н, ЛЕНИНО ПГТ, ШОССЕЙНАЯ УЛ, ДОМ 43,..</t>
  </si>
  <si>
    <t>Дробалов Виктор Александрович</t>
  </si>
  <si>
    <t>+7 (978) 826-54-61'</t>
  </si>
  <si>
    <t>viktor@yandex.ru', 'viktor@yandex.ru'</t>
  </si>
  <si>
    <t>56.837726,35.800218</t>
  </si>
  <si>
    <t>ОБЩЕСТВО С ОГРАНИЧЕННОЙ ОТВЕТСТВЕННОСТЬЮ "КОЛОРИТ"</t>
  </si>
  <si>
    <t>"КОЛОРИТ"</t>
  </si>
  <si>
    <t>6950206138</t>
  </si>
  <si>
    <t>170040, ТВЕРСКАЯ ОБЛ, ТВЕРЬ Г, СТАРИЦКОЕ Ш, ДОМ 28А</t>
  </si>
  <si>
    <t>Савельев Алексей Валерьевич</t>
  </si>
  <si>
    <t>+7 (920) 170-13-35'</t>
  </si>
  <si>
    <t>56.844569,35.801592</t>
  </si>
  <si>
    <t>ОБЩЕСТВО С ОГРАНИЧЕННОЙ ОТВЕТСТВЕННОСТЬЮ "РАЗВИТИЕ"</t>
  </si>
  <si>
    <t>"РАЗВИТИЕ"</t>
  </si>
  <si>
    <t>6901052510</t>
  </si>
  <si>
    <t>170040, ТВЕРСКАЯ ОБЛАСТЬ, ГОРОД ТВЕРЬ, ПРОСПЕКТ НИКОЛАЯ КОРЫТКОВА, 17</t>
  </si>
  <si>
    <t>Смирнов Сергей Иванович</t>
  </si>
  <si>
    <t>ОБЩЕСТВО С ОГРАНИЧЕННОЙ ОТВЕТСТВЕННОСТЬЮ "ЖБИ АКЦЕНТ"</t>
  </si>
  <si>
    <t>"ЖБИ АКЦЕНТ"</t>
  </si>
  <si>
    <t>6950219659</t>
  </si>
  <si>
    <t>170040, ТВЕРСКАЯ ОБЛАСТЬ, Г. ТВЕРЬ, ПР-КТ НИКОЛАЯ КОРЫТКОВА, Д. 17, ОФИС 124</t>
  </si>
  <si>
    <t>Зайцев Даниил Юрьевич</t>
  </si>
  <si>
    <t>56.838568,35.806021</t>
  </si>
  <si>
    <t>ОБЩЕСТВО С ОГРАНИЧЕННОЙ ОТВЕТСТВЕННОСТЬЮ ПРОИЗВОДСТВЕННО-КОММЕРЧЕСКАЯ ФИРМА "ПРОГРЕСС-БЕТОН"</t>
  </si>
  <si>
    <t>ПРОИЗВОДСТВЕННО-КОММЕРЧЕСКАЯ ФИРМА "ПРОГРЕСС-БЕТОН"</t>
  </si>
  <si>
    <t>6904023877</t>
  </si>
  <si>
    <t>170040, ТВЕРСКАЯ ОБЛАСТЬ, ГОРОД ТВЕРЬ, ШОССЕ СТАРИЦКОЕ, 18</t>
  </si>
  <si>
    <t>Блиновский Евгений Владимирович</t>
  </si>
  <si>
    <t>ОБЩЕСТВО С ОГРАНИЧЕННОЙ ОТВЕТСТВЕННОСТЬЮ "ЖБИ-ПРОГРЕСС"</t>
  </si>
  <si>
    <t>"ЖБИ-ПРОГРЕСС"</t>
  </si>
  <si>
    <t>6950084803</t>
  </si>
  <si>
    <t>170040, Тверская область, г Тверь, Пролетарский район, шоссе Старицкое, д 18</t>
  </si>
  <si>
    <t>56.898185,35.814267</t>
  </si>
  <si>
    <t>ОБЩЕСТВО С ОГРАНИЧЕННОЙ ОТВЕТСТВЕННОСТЬЮ "ТВЕРЬСТРОЙ"</t>
  </si>
  <si>
    <t>"ТВЕРЬСТРОЙ"</t>
  </si>
  <si>
    <t>6952017471</t>
  </si>
  <si>
    <t>170039, ТВЕРСКАЯ ОБЛАСТЬ, ГОРОД ТВЕРЬ, УЛИЦА ПАШИ САВЕЛЬЕВОЙ, ДОМ 47</t>
  </si>
  <si>
    <t>Нацваладзе Александр Гизоевич</t>
  </si>
  <si>
    <t>56.899773,35.824167</t>
  </si>
  <si>
    <t>ОБЩЕСТВО С ОГРАНИЧЕННОЙ ОТВЕТСТВЕННОСТЬЮ «ИННОФОРМА»</t>
  </si>
  <si>
    <t>«ИННОФОРМА»</t>
  </si>
  <si>
    <t>6952002838</t>
  </si>
  <si>
    <t>170039, ТВЕРСКАЯ ОБЛАСТЬ, ГОРОД ТВЕРЬ, УЛИЦА ПАШИ САВЕЛЬЕВОЙ, ДОМ 78, КАБИНЕТ 15 АДМИНИСТРАТИВНО-БЫТОВОЙ КОРПУС</t>
  </si>
  <si>
    <t>Лучников Валерий Иванович</t>
  </si>
  <si>
    <t>+7 (919) 059-78-11'</t>
  </si>
  <si>
    <t>56.883956,35.828012</t>
  </si>
  <si>
    <t>ОБЩЕСТВО С ОГРАНИЧЕННОЙ ОТВЕТСТВЕННОСТЬЮ "ТЕХНОМИКС"</t>
  </si>
  <si>
    <t>"ТЕХНОМИКС"</t>
  </si>
  <si>
    <t>6952321778</t>
  </si>
  <si>
    <t>170039, ТВЕРСКАЯ ОБЛ., Г. Тверь, УЛ. ФРУНЗЕ, Д. 2, К. 2, ПОМЕЩ. 3</t>
  </si>
  <si>
    <t>Вагина Марина Викторовна</t>
  </si>
  <si>
    <t>1571010@MAIL.RU'</t>
  </si>
  <si>
    <t>56.874415,35.83668</t>
  </si>
  <si>
    <t>ОБЩЕСТВО С ОГРАНИЧЕННОЙ ОТВЕТСТВЕННОСТЬЮ "Тверской домостроительный комбинат"</t>
  </si>
  <si>
    <t>"Тверской домостроительный комбинат"</t>
  </si>
  <si>
    <t>6952033811</t>
  </si>
  <si>
    <t>170036, ТВЕРСКАЯ ОБЛАСТЬ, Г. ТВЕРЬ, Ш. ПЕТЕРБУРГСКОЕ, Д. 95, ОФИС 201</t>
  </si>
  <si>
    <t>Сальникова Ольга Владимировна</t>
  </si>
  <si>
    <t>+7 (903) 798-92-69'</t>
  </si>
  <si>
    <t>ОБЩЕСТВО С ОГРАНИЧЕННОЙ ОТВЕТСТВЕННОСТЬЮ "ТВЕРЬДОМ"</t>
  </si>
  <si>
    <t>"ТВЕРЬДОМ"</t>
  </si>
  <si>
    <t>6952318983</t>
  </si>
  <si>
    <t>170036, ТВЕРСКАЯ ОБЛАСТЬ, ГОРОД ТВЕРЬ, ШОССЕ ПЕТЕРБУРГСКОЕ, ДОМ 95, ОФИС 312</t>
  </si>
  <si>
    <t>Никитина Ольга Владимировна</t>
  </si>
  <si>
    <t>54.962587,35.843759</t>
  </si>
  <si>
    <t>ОБЩЕСТВО С ОГРАНИЧЕННОЙ ОТВЕТСТВЕННОСТЬЮ "МЕДЫНСКИЙ ЗАВОД СТРОИТЕЛЬНЫХ МАТЕРИАЛОВ"</t>
  </si>
  <si>
    <t>"МЕДЫНСКИЙ ЗАВОД СТРОИТЕЛЬНЫХ МАТЕРИАЛОВ"</t>
  </si>
  <si>
    <t>4012003684</t>
  </si>
  <si>
    <t>КАЛУЖСКАЯ ОБЛ.,Г МЕДЫНЬ,ВАРШАВСКОЕ ШОССЕ, Д 15</t>
  </si>
  <si>
    <t>Кузнецов Александр Евгеньевич</t>
  </si>
  <si>
    <t>+7 (926) 960-24-72'</t>
  </si>
  <si>
    <t>56.811,35.849679</t>
  </si>
  <si>
    <t>ОБЩЕСТВО С ОГРАНИЧЕННОЙ ОТВЕТСТВЕННОСТЬЮ "ИДЕАЛЬНЫЙ ДОМ"</t>
  </si>
  <si>
    <t>"ИДЕАЛЬНЫЙ ДОМ"</t>
  </si>
  <si>
    <t>6949115616</t>
  </si>
  <si>
    <t>170518, Тверская область, КАЛИНИНСКИЙ, 2 НИКУЛИНСКОЕ, Д КРИВЦОВО, Д. 34/1</t>
  </si>
  <si>
    <t>Тищенко Сергей Николаевич</t>
  </si>
  <si>
    <t>56.861564,35.879808</t>
  </si>
  <si>
    <t>ОБЩЕСТВО С ОГРАНИЧЕННОЙ ОТВЕТСТВЕННОСТЬЮ "БЕТОНЛАЙН"</t>
  </si>
  <si>
    <t>"БЕТОНЛАЙН"</t>
  </si>
  <si>
    <t>6950193129</t>
  </si>
  <si>
    <t>170006, ТВЕРСКАЯ ОБЛАСТЬ, ГОРОД ТВЕРЬ, ПЕРЕУЛОК ТРУДОЛЮБИЯ, ДОМ 36, ПОМЕЩЕНИЕ XXXIX</t>
  </si>
  <si>
    <t>Соколов Константин Иванович</t>
  </si>
  <si>
    <t>+7 (915) 743-03-21', '+7 (909) 265-15-29'</t>
  </si>
  <si>
    <t>56.823493,35.880168</t>
  </si>
  <si>
    <t>ОБЩЕСТВО С ОГРАНИЧЕННОЙ ОТВЕТСТВЕННОСТЬЮ КОМПАНИЯ "КУБ"</t>
  </si>
  <si>
    <t>КОМПАНИЯ "КУБ"</t>
  </si>
  <si>
    <t>6950046847</t>
  </si>
  <si>
    <t>170043, ТВЕРСКАЯ ОБЛ, ТВЕРЬ Г, ВОЛОКОЛАМСКОЕ Ш, ДОМ 80</t>
  </si>
  <si>
    <t>Кошелев Сергей Викторович</t>
  </si>
  <si>
    <t>+7 (903) 802-64-11'</t>
  </si>
  <si>
    <t>ОБЩЕСТВО С ОГРАНИЧЕННОЙ ОТВЕТСТВЕННОСТЬЮ "СТАН-ТВЕРЬ"</t>
  </si>
  <si>
    <t>"СТАН-ТВЕРЬ"</t>
  </si>
  <si>
    <t>6950156529</t>
  </si>
  <si>
    <t>170043, ТВЕРСКАЯ ОБЛАСТЬ, Г. ТВЕРЬ, Ш. ВОЛОКОЛАМСКОЕ, Д. 80, ПОМЕЩ. 6</t>
  </si>
  <si>
    <t xml:space="preserve"> Директор Яковлева Наталья Борисовна</t>
  </si>
  <si>
    <t>56.835259,35.904243</t>
  </si>
  <si>
    <t>ОБЩЕСТВО С ОГРАНИЧЕННОЙ ОТВЕТСТВЕННОСТЬЮ "АЛПАН-СТРОЙ"</t>
  </si>
  <si>
    <t>"АЛПАН-СТРОЙ"</t>
  </si>
  <si>
    <t>6950220252</t>
  </si>
  <si>
    <t>170033, ТВЕРСКАЯ ОБЛАСТЬ, ГОРОД ТВЕРЬ, ПЕРЕУЛОК УНИВЕРСИТЕТСКИЙ, ДОМ 2А, ОФИС 5</t>
  </si>
  <si>
    <t>Джумалиева Наталья Ивановна</t>
  </si>
  <si>
    <t>56.878089,35.90815</t>
  </si>
  <si>
    <t>ОБЩЕСТВО С ОГРАНИЧЕННОЙ ОТВЕТСТВЕННОСТЬЮ "БЕСТ"</t>
  </si>
  <si>
    <t>"БЕСТ"</t>
  </si>
  <si>
    <t>6952323101</t>
  </si>
  <si>
    <t>170041, Тверская область, ГОРОД ТВЕРЬ, Г ТВЕРЬ, УЛ КРАСИНА, Д. 46, К. 2</t>
  </si>
  <si>
    <t>Ходорченко Семен Александрович</t>
  </si>
  <si>
    <t>MONOLIT@YANDEX.RU'</t>
  </si>
  <si>
    <t>56.823213,35.908662</t>
  </si>
  <si>
    <t>ОБЩЕСТВО С ОГРАНИЧЕННОЙ ОТВЕТСТВЕННОСТЬЮ "ДОГМА"</t>
  </si>
  <si>
    <t>"ДОГМА"</t>
  </si>
  <si>
    <t>6950248233</t>
  </si>
  <si>
    <t>170030, ТВЕРСКАЯ ОБЛ., Г. Тверь, Б-Р ГУСЕВА, Д. 7,..</t>
  </si>
  <si>
    <t>Галаев Максим Валентинович</t>
  </si>
  <si>
    <t>56.859625,35.91186</t>
  </si>
  <si>
    <t>ОБЩЕСТВО С ОГРАНИЧЕННОЙ ОТВЕТСТВЕННОСТЬЮ "СТРОИТЕЛЬНО-ПРОИЗВОДСТВЕННАЯ КОРПОРАЦИЯ "СВС"</t>
  </si>
  <si>
    <t>"СТРОИТЕЛЬНО-ПРОИЗВОДСТВЕННАЯ КОРПОРАЦИЯ "СВС"</t>
  </si>
  <si>
    <t>6950248762</t>
  </si>
  <si>
    <t>170100, Тверская область, городской округ ГОРОД ТВЕРЬ, Город ТВЕРЬ, УЛ СИМЕОНОВСКАЯ, Д. 1, ПОМЕЩ. VII, ОФИС 5Б</t>
  </si>
  <si>
    <t>Габриелян Рузанна Степановна</t>
  </si>
  <si>
    <t>SPK_SVS@MAIL.RU'</t>
  </si>
  <si>
    <t>ОБЩЕСТВО С ОГРАНИЧЕННОЙ ОТВЕТСТВЕННОСТЬЮ "ЖБИ-АКЦЕНТ"</t>
  </si>
  <si>
    <t>"ЖБИ-АКЦЕНТ"</t>
  </si>
  <si>
    <t>6950257453</t>
  </si>
  <si>
    <t>170040, Тверская область, ГОРОД ТВЕРЬ, Г ТВЕРЬ, ПР-КТ НИКОЛАЯ КОРЫТКОВА, Д. 17, ОФИС/ПОМ 4/1/II</t>
  </si>
  <si>
    <t>Гевель Тарас Сергеевич</t>
  </si>
  <si>
    <t>56.852494,35.919765</t>
  </si>
  <si>
    <t>ОБЩЕСТВО С ОГРАНИЧЕННОЙ ОТВЕТСТВЕННОСТЬЮ "ОЛДИ"</t>
  </si>
  <si>
    <t>"ОЛДИ"</t>
  </si>
  <si>
    <t>6950234953</t>
  </si>
  <si>
    <t>170100, ТВЕРСКАЯ ОБЛАСТЬ, ГОРОД ТВЕРЬ, ПЛОЩАДЬ СЛАВЫ, ДОМ 2,..</t>
  </si>
  <si>
    <t>Зеленов Дмитрий Васильевич</t>
  </si>
  <si>
    <t>55.991435,35.924437</t>
  </si>
  <si>
    <t>ОБЩЕСТВО С ОГРАНИЧЕННОЙ ОТВЕТСТВЕННОСТЬЮ "Волоколамский пенобетонный завод"</t>
  </si>
  <si>
    <t>"Волоколамский пенобетонный завод"</t>
  </si>
  <si>
    <t>5004024467</t>
  </si>
  <si>
    <t>http://penoblok-volokolamsk.ru</t>
  </si>
  <si>
    <t>143604, МОСКОВСКАЯ ОБЛАСТЬ, Г. ВОЛОКОЛАМСК, УЛ. ТЕРЕШКОВОЙ, Д.16</t>
  </si>
  <si>
    <t>Горбунов Сергей Владимирович</t>
  </si>
  <si>
    <t>+7 (985) 132-91-77'</t>
  </si>
  <si>
    <t>56.851776,35.926126</t>
  </si>
  <si>
    <t>ОБЩЕСТВО С ОГРАНИЧЕННОЙ ОТВЕТСТВЕННОСТЬЮ "АСК ПРОЕКТ"</t>
  </si>
  <si>
    <t>"АСК ПРОЕКТ"</t>
  </si>
  <si>
    <t>6950181444</t>
  </si>
  <si>
    <t>170100, ТВЕРСКАЯ ОБЛАСТЬ, Г. ТВЕРЬ, УЛ. МАЛАЯ САМАРА, Д. 2</t>
  </si>
  <si>
    <t>Атаева Ирина Владимировна</t>
  </si>
  <si>
    <t>+7 (910) 837-74-57'</t>
  </si>
  <si>
    <t>56.888972,35.927769</t>
  </si>
  <si>
    <t>ОБЩЕСТВО С ОГРАНИЧЕННОЙ ОТВЕТСТВЕННОСТЬЮ "АРГО"</t>
  </si>
  <si>
    <t>"АРГО"</t>
  </si>
  <si>
    <t>6952002193</t>
  </si>
  <si>
    <t>170007, ТВЕРСКАЯ ОБЛАСТЬ, Г. ТВЕРЬ, УЛ. ШИШКОВА, Д. 93А</t>
  </si>
  <si>
    <t>Махарадзе Бесик Автандилович</t>
  </si>
  <si>
    <t>ОБЩЕСТВО С ОГРАНИЧЕННОЙ ОТВЕТСТВЕННОСТЬЮ "СФБ-ТВЕРЬ"</t>
  </si>
  <si>
    <t>"СФБ-ТВЕРЬ"</t>
  </si>
  <si>
    <t>6952041234</t>
  </si>
  <si>
    <t>170007, ТВЕРСКАЯ ОБЛАСТЬ, ГОРОД ТВЕРЬ, УЛИЦА ШИШКОВА, ДОМ 93А, ПОМЕЩЕНИЕ ВЕСОВАЯ</t>
  </si>
  <si>
    <t>Триумфовский Константин Михайлович</t>
  </si>
  <si>
    <t>56.792528,35.929054</t>
  </si>
  <si>
    <t>ОБЩЕСТВО С ОГРАНИЧЕННОЙ ОТВЕТСТВЕННОСТЬЮ СТРОИТЕЛЬНЫЙ КОМБИНАТ "БЕТОГОР"</t>
  </si>
  <si>
    <t>СТРОИТЕЛЬНЫЙ КОМБИНАТ "БЕТОГОР"</t>
  </si>
  <si>
    <t>6949114210</t>
  </si>
  <si>
    <t>170540, ТВЕРСКАЯ ОБЛАСТЬ, РАЙОН КАЛИНИНСКИЙ, ДЕРЕВНЯ БОРОВЛЕВО, ЗДАНИЕ 16, ОФИС 6</t>
  </si>
  <si>
    <t>Терентьев Алексей Валерьевич</t>
  </si>
  <si>
    <t>56.890462,35.931138</t>
  </si>
  <si>
    <t>ОБЩЕСТВО С ОГРАНИЧЕННОЙ ОТВЕТСТВЕННОСТЬЮ "БЕТИЗ 69"</t>
  </si>
  <si>
    <t>"БЕТИЗ 69"</t>
  </si>
  <si>
    <t>6952315943</t>
  </si>
  <si>
    <t>170007, ТВЕРСКАЯ ОБЛАСТЬ, ГОРОД ТВЕРЬ, УЛИЦА ШИШКОВА, ДОМ 94, ПОМЕЩЕНИЕ 4</t>
  </si>
  <si>
    <t>Элизбарян Степан Мкртичевич</t>
  </si>
  <si>
    <t>56.827823,35.931758</t>
  </si>
  <si>
    <t>ОБЩЕСТВО С ОГРАНИЧЕННОЙ ОТВЕТСТВЕННОСТЬЮ " КОНЕКС "</t>
  </si>
  <si>
    <t>" КОНЕКС "</t>
  </si>
  <si>
    <t>6905054677</t>
  </si>
  <si>
    <t>Г ТВЕРЬ,ПРОМЫШЛЕННЫЙ ПРОЕЗД Д 1 СТ "МОСКВИЧ"</t>
  </si>
  <si>
    <t>Фурсова Юлия Юрьевна</t>
  </si>
  <si>
    <t>+7 (915) 730-15-80'</t>
  </si>
  <si>
    <t>54.784868,35.948431</t>
  </si>
  <si>
    <t>ОБЩЕСТВО С ОГРАНИЧЕННОЙ ОТВЕТСТВЕННОСТЬЮ "КОНДРОВСКИЙ ЗАВОД ГАЗОБЕТОННЫХ БЛОКОВ"</t>
  </si>
  <si>
    <t>"КОНДРОВСКИЙ ЗАВОД ГАЗОБЕТОННЫХ БЛОКОВ"</t>
  </si>
  <si>
    <t>4004022041</t>
  </si>
  <si>
    <t>249831, КАЛУЖСКАЯ ОБЛ., Р-Н Дзержинский, Г. Кондрово, УЛ. САДОВАЯ, Д. 47</t>
  </si>
  <si>
    <t>Скорюкина Ольга Сергеевна</t>
  </si>
  <si>
    <t>56.852539,35.952841</t>
  </si>
  <si>
    <t>ОБЩЕСТВО С ОГРАНИЧЕННОЙ ОТВЕТСТВЕННОСТЬЮ "СТРОЙ-БЕССЕР"</t>
  </si>
  <si>
    <t>"СТРОЙ-БЕССЕР"</t>
  </si>
  <si>
    <t>6901076302</t>
  </si>
  <si>
    <t>170100, ТВЕРСКАЯ ОБЛАСТЬ, ГОРОД ТВЕРЬ, УЛИЦА КРАСНЫЕ ГОРКИ, 1</t>
  </si>
  <si>
    <t>Митрофаненко Николай Николаевич</t>
  </si>
  <si>
    <t>ОБЩЕСТВО С ОГРАНИЧЕННОЙ ОТВЕТСТВЕННОСТЬЮ "КОМБИНАТ СТРОИТЕЛЬНЫХ МАТЕРИАЛОВ"</t>
  </si>
  <si>
    <t>"КОМБИНАТ СТРОИТЕЛЬНЫХ МАТЕРИАЛОВ"</t>
  </si>
  <si>
    <t>6950036574</t>
  </si>
  <si>
    <t>170100, Тверская область, г Тверь, Московский район, УЛ КРАСНЫЕ ГОРКИ, Д 1</t>
  </si>
  <si>
    <t>56.832216,35.955788</t>
  </si>
  <si>
    <t>ОБЩЕСТВО С ОГРАНИЧЕННОЙ ОТВЕТСТВЕННОСТЬЮ "БЕТОНЦЕНТР 2000"</t>
  </si>
  <si>
    <t>"БЕТОНЦЕНТР 2000"</t>
  </si>
  <si>
    <t>6950220284</t>
  </si>
  <si>
    <t>170017, ТВЕРСКАЯ ОБЛАСТЬ, Г. ТВЕРЬ, Д БОЛЬШИЕ ПЕРЕМЕРКИ, Д. 4- А, К. ЗДАНИЕ ГАРАЖА, ОФИС 21</t>
  </si>
  <si>
    <t>Соловьев Алексей Алексеевич</t>
  </si>
  <si>
    <t>ОБЩЕСТВО С ОГРАНИЧЕННОЙ ОТВЕТСТВЕННОСТЬЮ "ЖБИ-СК"</t>
  </si>
  <si>
    <t>"ЖБИ-СК"</t>
  </si>
  <si>
    <t>6950245786</t>
  </si>
  <si>
    <t>170017, ТВЕРСКАЯ ОБЛАСТЬ, Г. ТВЕРЬ, Д БОЛЬШИЕ ПЕРЕМЕРКИ, Д. 4А, ОФИС 23</t>
  </si>
  <si>
    <t>Грихутик Юлий Алексеевич</t>
  </si>
  <si>
    <t>ОБЩЕСТВО С ОГРАНИЧЕННОЙ ОТВЕТСТВЕННОСТЬЮ "Бетонцентр"</t>
  </si>
  <si>
    <t>"Бетонцентр"</t>
  </si>
  <si>
    <t>6952034854</t>
  </si>
  <si>
    <t>170017, ТВЕРСКАЯ ОБЛАСТЬ, Г. ТВЕРЬ, Д БОЛЬШИЕ ПЕРЕМЕРКИ, Д. 4-А, ЗД. ГАРАЖА, ОФИС 1</t>
  </si>
  <si>
    <t>+7 (920) 689-28-03'</t>
  </si>
  <si>
    <t>56.744367,35.957414</t>
  </si>
  <si>
    <t>ОБЩЕСТВО С ОГРАНИЧЕННОЙ ОТВЕТСТВЕННОСТЬЮ "АРЕАЛ"</t>
  </si>
  <si>
    <t>"АРЕАЛ"</t>
  </si>
  <si>
    <t>6949106548</t>
  </si>
  <si>
    <t>170540, ТВЕРСКАЯ ОБЛАСТЬ, РАЙОН КАЛИНИНСКИЙ, ДЕРЕВНЯ ИГНАТОВО, УЛИЦА 2-Я ЛЕСНАЯ, ДОМ 1А</t>
  </si>
  <si>
    <t>Стрельников Сергей Игоревич</t>
  </si>
  <si>
    <t>56.030633,35.959327</t>
  </si>
  <si>
    <t>ОБЩЕСТВО С ОГРАНИЧЕННОЙ ОТВЕТСТВЕННОСТЬЮ "ПРОМСТРОЙМАТЕРИАЛ"</t>
  </si>
  <si>
    <t>"ПРОМСТРОЙМАТЕРИАЛ"</t>
  </si>
  <si>
    <t>5004030936</t>
  </si>
  <si>
    <t>143600, Московская область, ВОЛОКОЛАМСКИЙ, Г ВОЛОКОЛАМСК, УЛ ПАНФИЛОВА, СТР. 26</t>
  </si>
  <si>
    <t>Герасимчук Анастасия Сергеевна</t>
  </si>
  <si>
    <t>P@YANDEX.RU'</t>
  </si>
  <si>
    <t>56.846573,35.961402</t>
  </si>
  <si>
    <t>ОБЩЕСТВО С ОГРАНИЧЕННОЙ ОТВЕТСТВЕННОСТЬЮ "СФБ"</t>
  </si>
  <si>
    <t>"СФБ"</t>
  </si>
  <si>
    <t>6950229880</t>
  </si>
  <si>
    <t>170100, ТВЕРСКАЯ ОБЛАСТЬ, ГОРОД ТВЕРЬ, УЛИЦА ИНДУСТРИАЛЬНАЯ, ДОМ 13,..</t>
  </si>
  <si>
    <t>Форсов Роман Васильевич</t>
  </si>
  <si>
    <t>56.820681,35.972038</t>
  </si>
  <si>
    <t>ОБЩЕСТВО С ОГРАНИЧЕННОЙ ОТВЕТСТВЕННОСТЬЮ "ТВЕРЬСПЕЦСТРОЙ - ЖБИ"</t>
  </si>
  <si>
    <t>"ТВЕРЬСПЕЦСТРОЙ - ЖБИ"</t>
  </si>
  <si>
    <t>6901035338</t>
  </si>
  <si>
    <t>http://tccgbi.ru</t>
  </si>
  <si>
    <t>Г ТВЕРЬ,П ПЕРЕМЕРКИ БОЛЬШИЕ Д 42 СТР 2</t>
  </si>
  <si>
    <t>Ильин Сергей Васильевич</t>
  </si>
  <si>
    <t>ОБЩЕСТВО С ОГРАНИЧЕННОЙ ОТВЕТСТВЕННОСТЬЮ "ТСС-ЖБИ"</t>
  </si>
  <si>
    <t>"ТСС-ЖБИ"</t>
  </si>
  <si>
    <t>6950236904</t>
  </si>
  <si>
    <t>170017, ТВЕРСКАЯ ОБЛАСТЬ, Г. ТВЕРЬ, П БОЛЬШИЕ ПЕРЕМЕРКИ, Д. 42, СТР. 2, КОМ. 6</t>
  </si>
  <si>
    <t>Ильин Дмитрий Сергеевич</t>
  </si>
  <si>
    <t>54.723996,35.976979</t>
  </si>
  <si>
    <t>ОБЩЕСТВО С ОГРАНИЧЕННОЙ ОТВЕТСТВЕННОСТЬЮ "ПЗКМ"</t>
  </si>
  <si>
    <t>"ПЗКМ"</t>
  </si>
  <si>
    <t>4004021376</t>
  </si>
  <si>
    <t>249844, КАЛУЖСКАЯ ОБЛАСТЬ, РАЙОН ДЗЕРЖИНСКИЙ, ПОСЕЛОК ПОЛОТНЯНЫЙ ЗАВОД, УЛИЦА СЛОБОДКА, ДОМ 125</t>
  </si>
  <si>
    <t>Рафаев Сергей Саматович</t>
  </si>
  <si>
    <t>52.919249,35.99517</t>
  </si>
  <si>
    <t>ОБЩЕСТВО С ОГРАНИЧЕННОЙ ОТВЕТСТВЕННОСТЬЮ "СТРОЙПОСТАВКА-ПЛЮС"</t>
  </si>
  <si>
    <t>"СТРОЙПОСТАВКА-ПЛЮС"</t>
  </si>
  <si>
    <t>5752047364</t>
  </si>
  <si>
    <t>302008, ОРЛОВСКАЯ ОБЛАСТЬ, ГОРОД ОРЁЛ, УЛИЦА МАШИНОСТРОИТЕЛЬНАЯ, 6, ЛИТ. Ж, 5</t>
  </si>
  <si>
    <t>Авдеев Сергей Владимирович</t>
  </si>
  <si>
    <t>5752079912</t>
  </si>
  <si>
    <t>302008, ОРЛОВСКАЯ ОБЛАСТЬ, ГОРОД ОРЁЛ, УЛИЦА МАШИНОСТРОИТЕЛЬНАЯ, ДОМ 6, ЛИТЕР М1, ПОМЕЩЕНИЕ 12</t>
  </si>
  <si>
    <t>orelstroika@mail.ru'</t>
  </si>
  <si>
    <t>52.919347,36.011735</t>
  </si>
  <si>
    <t>ОБЩЕСТВО С ОГРАНИЧЕННОЙ ОТВЕТСТВЕННОСТЬЮ "ОРЕЛСТРОЙИНДУСТРИЯ ПАО "ОРЕЛСТРОЙ"</t>
  </si>
  <si>
    <t>"ОРЕЛСТРОЙИНДУСТРИЯ ПАО "ОРЕЛСТРОЙ"</t>
  </si>
  <si>
    <t>5752080347</t>
  </si>
  <si>
    <t>302042, ОРЛОВСКАЯ ОБЛАСТЬ, Г. ОРЁЛ, Ш. КРОМСКОЕ, Д. 21</t>
  </si>
  <si>
    <t>Никулин Юрий Иванович</t>
  </si>
  <si>
    <t>osi@orelstroy.ru', 'info@osi-orel'</t>
  </si>
  <si>
    <t>52.929808,36.014178</t>
  </si>
  <si>
    <t>ОБЩЕСТВО С ОГРАНИЧЕННОЙ ОТВЕТСТВЕННОСТЬЮ "СТАРТ"</t>
  </si>
  <si>
    <t>"СТАРТ"</t>
  </si>
  <si>
    <t>5752085169</t>
  </si>
  <si>
    <t>302042, Орловская область, городской округ ГОРОД ОРЁЛ, Город ОРЁЛ, УЛ КРОМСКАЯ, ВЛД. 25, ПОМЕЩ. 139Е</t>
  </si>
  <si>
    <t>ORELSTROIKA@MAIL.RU'</t>
  </si>
  <si>
    <t>55.507948,36.016792</t>
  </si>
  <si>
    <t>ОБЩЕСТВО С ОГРАНИЧЕННОЙ ОТВЕТСТВЕННОСТЬЮ "АЭРОЛИТ"</t>
  </si>
  <si>
    <t>"АЭРОЛИТ"</t>
  </si>
  <si>
    <t>5007090860</t>
  </si>
  <si>
    <t>МОСКОВСКАЯ ОБЛ.,Г МОЖАЙСК,П/О МОЖАЙСК,ПЛ КОМСОМОЛЬСКАЯ, Д 9</t>
  </si>
  <si>
    <t>Таждынов Саид Залимханович</t>
  </si>
  <si>
    <t>+7 (925) 009-64-00'</t>
  </si>
  <si>
    <t>55.504221,36.031696</t>
  </si>
  <si>
    <t>ОБЩЕСТВО С ОГРАНИЧЕННОЙ ОТВЕТСТВЕННОСТЬЮ "СПЕЦСТРОЙМАТЕРИАЛЫ"</t>
  </si>
  <si>
    <t>"СПЕЦСТРОЙМАТЕРИАЛЫ"</t>
  </si>
  <si>
    <t>5028025580</t>
  </si>
  <si>
    <t>МОСКОВСКАЯ ОБЛ.,Г МОЖАЙСК,П/О МОЖАЙСК,УЛ МИРА, Д 4,..</t>
  </si>
  <si>
    <t>Пономарёв Игорь Николаевич</t>
  </si>
  <si>
    <t>57.348602,36.052132</t>
  </si>
  <si>
    <t>ОБЩЕСТВО С ОГРАНИЧЕННОЙ ОТВЕТСТВЕННОСТЬЮ РАМЕШКОВСКИЙ ЗАВОД КОМПОЗИТНЫХ МАТЕРИАЛОВ "РОДЕН"</t>
  </si>
  <si>
    <t>РАМЕШКОВСКИЙ ЗАВОД КОМПОЗИТНЫХ МАТЕРИАЛОВ "РОДЕН"</t>
  </si>
  <si>
    <t>6949106298</t>
  </si>
  <si>
    <t>171400, ТВЕРСКАЯ ОБЛАСТЬ, ПГТ РАМЕШКИ, УЛ. БЕЖЕЦКАЯ, Д. 35</t>
  </si>
  <si>
    <t>52.95572,36.068266</t>
  </si>
  <si>
    <t>ОБЩЕСТВО С ОГРАНИЧЕННОЙ ОТВЕТСТВЕННОСТЬЮ "Гранит"</t>
  </si>
  <si>
    <t>"Гранит"</t>
  </si>
  <si>
    <t>5751039339</t>
  </si>
  <si>
    <t>302001, ОРЛОВСКАЯ ОБЛАСТЬ, Г. ОРЁЛ, УЛ. КРАСИНА, Д. 7, КАБИНЕТ 6</t>
  </si>
  <si>
    <t>Ахмедова Наталья Борисовна</t>
  </si>
  <si>
    <t>+7 (910) 200-95-08', '+7 (910) 302-05-35'</t>
  </si>
  <si>
    <t>52.96876,36.07751</t>
  </si>
  <si>
    <t>ОБЩЕСТВО С ОГРАНИЧЕННОЙ ОТВЕТСТВЕННОСТЬЮ "ОДСК-ИНДУСТРИЯ"</t>
  </si>
  <si>
    <t>"ОДСК-ИНДУСТРИЯ"</t>
  </si>
  <si>
    <t>5751063444</t>
  </si>
  <si>
    <t>302002, ОРЛОВСКАЯ ОБЛАСТЬ, ГОРОД ОРЁЛ, ПЛОЩАДЬ МИРА, ДОМ 7Г, КАБИНЕТ 49</t>
  </si>
  <si>
    <t>Никитин Олег Анатольевич</t>
  </si>
  <si>
    <t>52.967155,36.082244</t>
  </si>
  <si>
    <t>ОБЩЕСТВО С ОГРАНИЧЕННОЙ ОТВЕТСТВЕННОСТЬЮ "СКЦ"</t>
  </si>
  <si>
    <t>"СКЦ"</t>
  </si>
  <si>
    <t>5752202764</t>
  </si>
  <si>
    <t>302030, ОРЛОВСКАЯ ОБЛАСТЬ, ГОРОД ОРЁЛ, УЛИЦА НОВОСИЛЬСКАЯ, ДОМ 11, ПОМЕЩЕНИЕ 51, ОФИС 1</t>
  </si>
  <si>
    <t>Иванова Татьяна Викторовна</t>
  </si>
  <si>
    <t>+7 (910) 748-69-79', '+7 (593) 616-87-59', '+7 (906) 570-32-87'</t>
  </si>
  <si>
    <t>skz18@list.ru'</t>
  </si>
  <si>
    <t>51.652841,36.100453</t>
  </si>
  <si>
    <t>ОБЩЕСТВО С ОГРАНИЧЕННОЙ ОТВЕТСТВЕННОСТЬЮ "МЕЧТА ФВЛ"</t>
  </si>
  <si>
    <t>"МЕЧТА ФВЛ"</t>
  </si>
  <si>
    <t>4630022339</t>
  </si>
  <si>
    <t>305026, КУРСКАЯ ОБЛ, КУРСК Г, РАЗДОЛЬНАЯ УЛ, 5</t>
  </si>
  <si>
    <t>Васильева Римма Викторовна</t>
  </si>
  <si>
    <t>52.985623,36.101513</t>
  </si>
  <si>
    <t>ОБЩЕСТВО С ОГРАНИЧЕННОЙ ОТВЕТСТВЕННОСТЬЮ "БУАЛАТГРУПП"</t>
  </si>
  <si>
    <t>"БУАЛАТГРУПП"</t>
  </si>
  <si>
    <t>5751065032</t>
  </si>
  <si>
    <t>302006, ОРЛОВСКАЯ ОБЛАСТЬ, ГОРОД ОРЁЛ, УЛИЦА ЭНЕРГЕТИКОВ, ДОМ 4А, ПОМЕЩЕНИЕ 15</t>
  </si>
  <si>
    <t>Авдеев Евгений Анатольевич</t>
  </si>
  <si>
    <t>+7 (910) 306-09-69'</t>
  </si>
  <si>
    <t>52.983704,36.103992</t>
  </si>
  <si>
    <t>ОБЩЕСТВО С ОГРАНИЧЕННОЙ ОТВЕТСТВЕННОСТЬЮ "Промтяжбетон"</t>
  </si>
  <si>
    <t>"Промтяжбетон"</t>
  </si>
  <si>
    <t>5751052474</t>
  </si>
  <si>
    <t>302006, ОРЛОВСКАЯ ОБЛАСТЬ, ГОРОД ОРЁЛ, УЛИЦА МОСКОВСКАЯ, 179</t>
  </si>
  <si>
    <t>Ляпченков Игорь Валерьевич</t>
  </si>
  <si>
    <t>+7 (920) 808-90-72', '+7 (922) 101-57-17'</t>
  </si>
  <si>
    <t>54.533132,36.110244</t>
  </si>
  <si>
    <t>ОБЩЕСТВО С ОГРАНИЧЕННОЙ ОТВЕТСТВЕННОСТЬЮ "ТЕМП"</t>
  </si>
  <si>
    <t>"ТЕМП"</t>
  </si>
  <si>
    <t>4020000408</t>
  </si>
  <si>
    <t>248901, КАЛУЖСКАЯ ОБЛ, КАЛУГА Г, РЕЗВАНЬ П БУРОВАЯ УЛ, ДОМ 2, КОРПУС 2</t>
  </si>
  <si>
    <t>Рябов Александр Сергеевич</t>
  </si>
  <si>
    <t>ОБЩЕСТВО С ОГРАНИЧЕННОЙ ОТВЕТСТВЕННОСТЬЮ ''ТЕМП-Р''</t>
  </si>
  <si>
    <t>'ТЕМП-Р''</t>
  </si>
  <si>
    <t>4026008900</t>
  </si>
  <si>
    <t>248901, КАЛУЖСКАЯ ОБЛАСТЬ, ГОРОД КАЛУГА, ПОСЕЛОК РЕЗВАНЬ, УЛИЦА БУРОВАЯ, 2, 2</t>
  </si>
  <si>
    <t>51.6554,36.124222</t>
  </si>
  <si>
    <t>ОБЩЕСТВО С ОГРАНИЧЕННОЙ ОТВЕТСТВЕННОСТЬЮ "СПЕЦБЕТОН"</t>
  </si>
  <si>
    <t>"СПЕЦБЕТОН"</t>
  </si>
  <si>
    <t>4632215826</t>
  </si>
  <si>
    <t>305018, КУРСКАЯ ОБЛ, Г КУРСК, ПР КУЛАКОВА, 109 А, ЛИТЕР Б</t>
  </si>
  <si>
    <t>Романов Дмитрий Николаевич</t>
  </si>
  <si>
    <t>+7 (910) 311-35-24'</t>
  </si>
  <si>
    <t>51.733373,36.125282</t>
  </si>
  <si>
    <t>4632284594</t>
  </si>
  <si>
    <t>305038, КУРСКАЯ ОБЛ., Г. Курск, УЛ. К.ВОРОБЬЕВА, Д. 21,..</t>
  </si>
  <si>
    <t>Беседин Даниил Евгеньевич</t>
  </si>
  <si>
    <t>IMPERIJ@INTERNET.RU'</t>
  </si>
  <si>
    <t>53.809445,36.128929</t>
  </si>
  <si>
    <t>ОБЩЕСТВО С ОГРАНИЧЕННОЙ ОТВЕТСТВЕННОСТЬЮ "БЕЛЁВСКИЙ БЛОК"</t>
  </si>
  <si>
    <t>"БЕЛЁВСКИЙ БЛОК"</t>
  </si>
  <si>
    <t>7100011143</t>
  </si>
  <si>
    <t>301530, ТУЛЬСКАЯ ОБЛ., Р-Н Белевский, Г. Белев, УЛ. СОВЕТСКАЯ, Д. 21, ПОМЕЩ. 6</t>
  </si>
  <si>
    <t>Шепелёв Дмитрий Николаевич</t>
  </si>
  <si>
    <t>BELEVBLOCK@MAIL.RU'</t>
  </si>
  <si>
    <t>51.655417,36.130591</t>
  </si>
  <si>
    <t>ОБЩЕСТВО С ОГРАНИЧЕННОЙ ОТВЕТСТВЕННОСТЬЮ "Базовый Проект"</t>
  </si>
  <si>
    <t>"Базовый Проект"</t>
  </si>
  <si>
    <t>4632161779</t>
  </si>
  <si>
    <t>305018, Курская область, г Курск, Сеймский округ, пр Кулакова, 107 а, офис 7</t>
  </si>
  <si>
    <t>Орлов Александр Николаевич</t>
  </si>
  <si>
    <t>+7 (910) 740-08-09'</t>
  </si>
  <si>
    <t>53.022743,36.13281</t>
  </si>
  <si>
    <t>5720025022</t>
  </si>
  <si>
    <t>302507, ОРЛОВСКАЯ ОБЛ., Орловский Р-Н, Д. Конёвка, УЛ. ЧЕШСКАЯ, ЗД. 9А</t>
  </si>
  <si>
    <t>Арутюнян Армен Вачаганович</t>
  </si>
  <si>
    <t>52.958107,36.13979</t>
  </si>
  <si>
    <t>ОБЩЕСТВО С ОГРАНИЧЕННОЙ ОТВЕТСТВЕННОСТЬЮ "ОРЛОВСКИЙ ЗАВОД ЖЕЛЕЗОБЕТОННЫХ ИЗДЕЛИЙ"</t>
  </si>
  <si>
    <t>"ОРЛОВСКИЙ ЗАВОД ЖЕЛЕЗОБЕТОННЫХ ИЗДЕЛИЙ"</t>
  </si>
  <si>
    <t>5751060316</t>
  </si>
  <si>
    <t>302031, ОРЛОВСКАЯ ОБЛАСТЬ, Г. ОРЁЛ, Ш. НОВОСИЛЬСКОЕ, Д. 20</t>
  </si>
  <si>
    <t>Андреев Алексей Николаевич</t>
  </si>
  <si>
    <t>+7 (903) 637-00-26'</t>
  </si>
  <si>
    <t>51.712463,36.140023</t>
  </si>
  <si>
    <t>ОБЩЕСТВО С ОГРАНИЧЕННОЙ ОТВЕТСТВЕННОСТЬЮ "АЛЬФА"</t>
  </si>
  <si>
    <t>"АЛЬФА"</t>
  </si>
  <si>
    <t>4632101441</t>
  </si>
  <si>
    <t>305007, КУРСКАЯ ОБЛАСТЬ, ГОРОД КУРСК, УЛИЦА СУМСКАЯ, ДОМ 43, ОФИС 1</t>
  </si>
  <si>
    <t>Яхнев Олег Анатольевич</t>
  </si>
  <si>
    <t>+7 (910) 210-02-20', '+7 (910) 315-69-08'</t>
  </si>
  <si>
    <t>51.734031,36.141802</t>
  </si>
  <si>
    <t>4632198017</t>
  </si>
  <si>
    <t>305048, КУРСКАЯ ОБЛАСТЬ, ГОРОД КУРСК, ПРОСПЕКТ ХРУЩЕВА, ДОМ 22, ПОМЕЩЕНИЕ 4</t>
  </si>
  <si>
    <t>Полищук Татьяна Анатольевна</t>
  </si>
  <si>
    <t>+7 (920) 213-76-97'</t>
  </si>
  <si>
    <t>orelbeton@yandex.ru'</t>
  </si>
  <si>
    <t>53.040478,36.144623</t>
  </si>
  <si>
    <t>5720022208</t>
  </si>
  <si>
    <t>302507, ОРЛОВСКАЯ ОБЛАСТЬ, Р-Н ОРЛОВСКИЙ, УЛ. ЧЕШСКАЯ, Д. 9</t>
  </si>
  <si>
    <t>Хохлов Михаил Романович</t>
  </si>
  <si>
    <t>+7 (960) 645-28-66'</t>
  </si>
  <si>
    <t>51.730311,36.147524</t>
  </si>
  <si>
    <t>4632267983</t>
  </si>
  <si>
    <t>305003, КУРСКАЯ ОБЛАСТЬ, ГОРОД КУРСК, УЛИЦА БОЙЦОВ 9-Й ДИВИЗИИ, ДОМ 179А, ПОМЕЩЕНИЕ 7</t>
  </si>
  <si>
    <t>Бохонов Андрей Михайлович</t>
  </si>
  <si>
    <t>+7 (910) 278-45-74'</t>
  </si>
  <si>
    <t>51.658132,36.14871</t>
  </si>
  <si>
    <t>ОБЩЕСТВО С ОГРАНИЧЕННОЙ ОТВЕТСТВЕННОСТЬЮ "БЕТОННЫЕ СТРОИТЕЛЬНЫЕ КОНСТРУКЦИИ"</t>
  </si>
  <si>
    <t>"БЕТОННЫЕ СТРОИТЕЛЬНЫЕ КОНСТРУКЦИИ"</t>
  </si>
  <si>
    <t>4632243598</t>
  </si>
  <si>
    <t>305018, КУРСКАЯ ОБЛАСТЬ, ГОРОД КУРСК, УЛИЦА ПРИВОКЗАЛЬНАЯ, ДОМ 8, ПОМЕЩЕНИЕ IV</t>
  </si>
  <si>
    <t>Шуляк Сергей Матвеевич</t>
  </si>
  <si>
    <t>elit46@bk.ru'</t>
  </si>
  <si>
    <t>51.658417,36.150237</t>
  </si>
  <si>
    <t>ОБЩЕСТВО С ОГРАНИЧЕННОЙ ОТВЕТСТВЕННОСТЬЮ "ЖБК46"</t>
  </si>
  <si>
    <t>"ЖБК46"</t>
  </si>
  <si>
    <t>4632276466</t>
  </si>
  <si>
    <t>305018, КУРСКАЯ ОБЛ., Г. Курск, УЛ. ПРИВОКЗАЛЬНАЯ, Д. 12</t>
  </si>
  <si>
    <t>Юзов Александр Александрович</t>
  </si>
  <si>
    <t>51.676728,36.150749</t>
  </si>
  <si>
    <t>ОБЩЕСТВО С ОГРАНИЧЕННОЙ ОТВЕТСТВЕННОСТЬЮ "СТ- БЕТОН"</t>
  </si>
  <si>
    <t>"СТ- БЕТОН"</t>
  </si>
  <si>
    <t>4632188308</t>
  </si>
  <si>
    <t>305018, КУРСКАЯ ОБЛАСТЬ, ГОРОД КУРСК, ПЕРЕУЛОК ЭЛЕВАТОРНЫЙ, 4, ОФИС 24</t>
  </si>
  <si>
    <t>Семисоха Татьяна Михайловна</t>
  </si>
  <si>
    <t>51.649237,36.151324</t>
  </si>
  <si>
    <t>ОБЩЕСТВО С ОГРАНИЧЕННОЙ ОТВЕТСТВЕННОСТЬЮ "СП СТАРТ"</t>
  </si>
  <si>
    <t>"СП СТАРТ"</t>
  </si>
  <si>
    <t>4630026559</t>
  </si>
  <si>
    <t>305025, КУРСКАЯ ОБЛАСТЬ, Г. КУРСК, ПР-Д МАГИСТРАЛЬНЫЙ, Д.24А</t>
  </si>
  <si>
    <t>Аветян Артавазд Сергеевич</t>
  </si>
  <si>
    <t>51.67336,36.163398</t>
  </si>
  <si>
    <t>ОБЩЕСТВО С ОГРАНИЧЕННОЙ ОТВЕТСТВЕННОСТЬЮ "АЛВИДА-СТРОЙ"</t>
  </si>
  <si>
    <t>"АЛВИДА-СТРОЙ"</t>
  </si>
  <si>
    <t>4632291922</t>
  </si>
  <si>
    <t>305018, Курская область, ГОРОД КУРСК, Г КУРСК, УЛ ЧЕРНЯХОВСКОГО, Д. 56</t>
  </si>
  <si>
    <t>Переверзев Даниил Александрович</t>
  </si>
  <si>
    <t>53.052393,36.167988</t>
  </si>
  <si>
    <t>5720022409</t>
  </si>
  <si>
    <t>302525, ОРЛОВСКАЯ ОБЛАСТЬ, РАЙОН ОРЛОВСКИЙ, СЕЛЬСКОЕ ПОСЕЛЕНИЕ ПЛАТОНОВСКОЕ, УЛИЦА РАЗДОЛЬНАЯ, ДОМ 111</t>
  </si>
  <si>
    <t>Морозова Юлия Васильевна</t>
  </si>
  <si>
    <t>+7 (920) 282-43-07', '+7 (486) 278-17-82'</t>
  </si>
  <si>
    <t>51.705548,36.171509</t>
  </si>
  <si>
    <t>ОБЩЕСТВО С ОГРАНИЧЕННОЙ ОТВЕТСТВЕННОСТЬЮ "ИНТЕРБЕТОН"</t>
  </si>
  <si>
    <t>"ИНТЕРБЕТОН"</t>
  </si>
  <si>
    <t>4632190498</t>
  </si>
  <si>
    <t>305023, КУРСКАЯ ОБЛАСТЬ, ГОРОД КУРСК, УЛИЦА ЛИТОВСКАЯ, 95 А/3, ОФИС 304</t>
  </si>
  <si>
    <t>Викулов Николай Александрович</t>
  </si>
  <si>
    <t>+7 (471) 239-34-35'</t>
  </si>
  <si>
    <t>1@yandex.ru', '1@yandex.ru'</t>
  </si>
  <si>
    <t>ОБЩЕСТВО С ОГРАНИЧЕННОЙ ОТВЕТСТВЕННОСТЬЮ "ИНТЕРБЕТОН 46"</t>
  </si>
  <si>
    <t>"ИНТЕРБЕТОН 46"</t>
  </si>
  <si>
    <t>4632290397</t>
  </si>
  <si>
    <t>305023, Курская область, ГОРОД КУРСК, Г КУРСК, УЛ ЛИТОВСКАЯ, Д. 95А/3</t>
  </si>
  <si>
    <t>Сальников Вячеслав Владимирович</t>
  </si>
  <si>
    <t>1@YANDEX.RU'</t>
  </si>
  <si>
    <t>53.044728,36.177501</t>
  </si>
  <si>
    <t>ОБЩЕСТВО С ОГРАНИЧЕННОЙ ОТВЕТСТВЕННОСТЬЮ "КВАДРА"</t>
  </si>
  <si>
    <t>"КВАДРА"</t>
  </si>
  <si>
    <t>5720024318</t>
  </si>
  <si>
    <t>302209, ОРЛОВСКАЯ ОБЛАСТЬ, РАЙОН ОРЛОВСКИЙ, СЕЛЬСКОЕ ПОСЕЛЕНИЕ ПЛАТОНОВСКОЕ, УЛИЦА РАЗДОЛЬНАЯ, ДОМ 105, ПОМЕЩЕНИЕ 17, КАБИНЕТ 30</t>
  </si>
  <si>
    <t>Шалыгин Алексей Алексеевич</t>
  </si>
  <si>
    <t>55.962876,36.201774</t>
  </si>
  <si>
    <t>ОБЩЕСТВО С ОГРАНИЧЕННОЙ ОТВЕТСТВЕННОСТЬЮ "ВЫБОР-В"</t>
  </si>
  <si>
    <t>"ВЫБОР-В"</t>
  </si>
  <si>
    <t>5004029480</t>
  </si>
  <si>
    <t>143611, МОСКОВСКАЯ ОБЛАСТЬ, Г. ВОЛОКОЛАМСК, РП СЫЧЁВО, УЛ. ПЕСОЧНАЯ, Д. 2, ЭТАЖ 2 КОМНАТА 40</t>
  </si>
  <si>
    <t>Беззаботнов Анатолий Иванович</t>
  </si>
  <si>
    <t>kuznetsova@nnk.ru'</t>
  </si>
  <si>
    <t>55.709637,36.215293</t>
  </si>
  <si>
    <t>ОБЩЕСТВО С ОГРАНИЧЕННОЙ ОТВЕТСТВЕННОСТЬЮ "БАУ-БЕТОН"</t>
  </si>
  <si>
    <t>"БАУ-БЕТОН"</t>
  </si>
  <si>
    <t>5075036606</t>
  </si>
  <si>
    <t>143103, МОСКОВСКАЯ ОБЛ, РУЗСКИЙ ГО, РУЗА Г, СОЦИАЛИСТИЧЕСКАЯ УЛ, ДОМ 76, ПОМЕЩЕНИЕ 11</t>
  </si>
  <si>
    <t>Павлов Александр Михайлович</t>
  </si>
  <si>
    <t>+7 (968) 472-45-49'</t>
  </si>
  <si>
    <t>ОБЩЕСТВО С ОГРАНИЧЕННОЙ ОТВЕТСТВЕННОСТЬЮ "ЦЕНТР-СВАЙ"</t>
  </si>
  <si>
    <t>"ЦЕНТР-СВАЙ"</t>
  </si>
  <si>
    <t>5075041123</t>
  </si>
  <si>
    <t>143103, Московская область, РУЗСКИЙ, Г. РУЗА, УЛ СОЦИАЛИСТИЧЕСКАЯ, Д. 76</t>
  </si>
  <si>
    <t>Павлов Александр Николаевич</t>
  </si>
  <si>
    <t>51.722713,36.220405</t>
  </si>
  <si>
    <t>ОБЩЕСТВО С ОГРАНИЧЕННОЙ ОТВЕТСТВЕННОСТЬЮ "КАПСТРОЙКУРСК"</t>
  </si>
  <si>
    <t>"КАПСТРОЙКУРСК"</t>
  </si>
  <si>
    <t>4632276755</t>
  </si>
  <si>
    <t>305031, Курская область, Город КУРСК, УЛ ПОСТ КРИВЕЦ, Д. 15А, ОФИС 1</t>
  </si>
  <si>
    <t>Пузанова Наталья Александровна</t>
  </si>
  <si>
    <t>55.705128,36.223854</t>
  </si>
  <si>
    <t>ОБЩЕСТВО С ОГРАНИЧЕННОЙ ОТВЕТСТВЕННОСТЬЮ "РОДИМИР"</t>
  </si>
  <si>
    <t>"РОДИМИР"</t>
  </si>
  <si>
    <t>5024090524</t>
  </si>
  <si>
    <t>143103, МОСКОВСКАЯ ОБЛ, РУЗА Г, СОЦИАЛИСТИЧЕСКАЯ УЛ, ДОМ 85А, ПОМЕЩЕНИЕ 1</t>
  </si>
  <si>
    <t>Романичев Дмитрий Михайлович</t>
  </si>
  <si>
    <t>51.749541,36.24023</t>
  </si>
  <si>
    <t>ОБЩЕСТВО С ОГРАНИЧЕННОЙ ОТВЕТСТВЕННОСТЬЮ СПК "КАЙРОС"</t>
  </si>
  <si>
    <t>СПК "КАЙРОС"</t>
  </si>
  <si>
    <t>4632196355</t>
  </si>
  <si>
    <t>305044, КУРСКАЯ ОБЛАСТЬ, ГОРОД КУРСК, УЛИЦА КАШИРЦЕВА, ДОМ 4, ОФИС 4</t>
  </si>
  <si>
    <t>Касьянова Валентина Васильевна</t>
  </si>
  <si>
    <t>+7 (471) 277-01-76'</t>
  </si>
  <si>
    <t>54.515732,36.242368</t>
  </si>
  <si>
    <t>ОБЩЕСТВО С ОГРАНИЧЕННОЙ ОТВЕТСТВЕННОСТЬЮ "ПРОЕКТ М"</t>
  </si>
  <si>
    <t>"ПРОЕКТ М"</t>
  </si>
  <si>
    <t>4027055773</t>
  </si>
  <si>
    <t>248600, КАЛУЖСКАЯ ОБЛАСТЬ, ГОРОД КАЛУГА, УЛИЦА ГАГАРИНА, ДОМ 1, ОФИС 403</t>
  </si>
  <si>
    <t>Свотин Александр Анатольевич</t>
  </si>
  <si>
    <t>+7 (084) 251-54-61'</t>
  </si>
  <si>
    <t>54.509565,36.252034</t>
  </si>
  <si>
    <t>ОБЩЕСТВО С ОГРАНИЧЕННОЙ ОТВЕТСТВЕННОСТЬЮ "СУПЕРБЕТОН"</t>
  </si>
  <si>
    <t>"СУПЕРБЕТОН"</t>
  </si>
  <si>
    <t>4027143571</t>
  </si>
  <si>
    <t>248000, КАЛУЖСКАЯ ОБЛАСТЬ, ГОРОД КАЛУГА, УЛИЦА КАРПОВА, ДОМ 3А, ОФИС 1 ПОМЕЩЕНИЕ 3</t>
  </si>
  <si>
    <t>Халиуллин Алексей Александрович</t>
  </si>
  <si>
    <t>54.529925,36.25508</t>
  </si>
  <si>
    <t>ОБЩЕСТВО С ОГРАНИЧЕННОЙ ОТВЕТСТВЕННОСТЬЮ "ПРОМРЕГИОН"</t>
  </si>
  <si>
    <t>"ПРОМРЕГИОН"</t>
  </si>
  <si>
    <t>4027135669</t>
  </si>
  <si>
    <t>248010, КАЛУЖСКАЯ ОБЛАСТЬ, ГОРОД КАЛУГА, УЛИЦА КООПЕРАТИВНАЯ, ДОМ 4,..</t>
  </si>
  <si>
    <t>Матюшин Александр Викторович</t>
  </si>
  <si>
    <t>+7 (910) 545-35-25'</t>
  </si>
  <si>
    <t>54.516521,36.259823</t>
  </si>
  <si>
    <t>ОБЩЕСТВО С ОГРАНИЧЕННОЙ ОТВЕТСТВЕННОСТЬЮ "КОНКРИТ ХАУС РУС"</t>
  </si>
  <si>
    <t>"КОНКРИТ ХАУС РУС"</t>
  </si>
  <si>
    <t>4028072644</t>
  </si>
  <si>
    <t>248001, КАЛУЖСКАЯ ОБЛ., Г. Калуга, УЛ. СУВОРОВА, Д. 121, ОФИС 327</t>
  </si>
  <si>
    <t>Киселёв Антон Дмитриевич</t>
  </si>
  <si>
    <t>54.500264,36.260631</t>
  </si>
  <si>
    <t>ОБЩЕСТВО С ОГРАНИЧЕННОЙ ОТВЕТСТВЕННОСТЬЮ "ПРОЕКТ С"</t>
  </si>
  <si>
    <t>"ПРОЕКТ С"</t>
  </si>
  <si>
    <t>4027058654</t>
  </si>
  <si>
    <t>248000, КАЛУЖСКАЯ ОБЛАСТЬ, ГОРОД КАЛУГА, УЛИЦА ЛУНАЧАРСКОГО, 64, ----, -------</t>
  </si>
  <si>
    <t>Мартынов Максим Геннадиевич</t>
  </si>
  <si>
    <t>+7 (910) 910-53-79'</t>
  </si>
  <si>
    <t>54.513678,36.261341</t>
  </si>
  <si>
    <t>ОБЩЕСТВО С ОГРАНИЧЕННОЙ ОТВЕТСТВЕННОСТЬЮ "СТРОИТЕЛЬНЫЙ КОМБИНАТ"</t>
  </si>
  <si>
    <t>"СТРОИТЕЛЬНЫЙ КОМБИНАТ"</t>
  </si>
  <si>
    <t>4027139159</t>
  </si>
  <si>
    <t>248033, КАЛУЖСКАЯ ОБЛАСТЬ, Г. КАЛУГА, УЛ. ПОЛЕССКАЯ, Д. 67, ПОМЕЩ. 61 ОФИС 2/1</t>
  </si>
  <si>
    <t>Киреева Екатерина Владимировна</t>
  </si>
  <si>
    <t>ОБЩЕСТВО С ОГРАНИЧЕННОЙ ОТВЕТСТВЕННОСТЬЮ "ВИБРОПРЕССОВАННЫЕ ТЕХНОЛОГИИ"</t>
  </si>
  <si>
    <t>"ВИБРОПРЕССОВАННЫЕ ТЕХНОЛОГИИ"</t>
  </si>
  <si>
    <t>4029063804</t>
  </si>
  <si>
    <t>248031, КАЛУЖСКАЯ ОБЛ., Г. Калуга, УЛ. ДАЛЬНЯЯ, Д. 13, ПОМЕЩ. 1 СТРОЕНИЕ 1</t>
  </si>
  <si>
    <t>Заболотский Павел Петрович</t>
  </si>
  <si>
    <t>54.560628,36.261565</t>
  </si>
  <si>
    <t>ОБЩЕСТВО С ОГРАНИЧЕННОЙ ОТВЕТСТВЕННОСТЬЮ "ЖБИ ГРАД"</t>
  </si>
  <si>
    <t>"ЖБИ ГРАД"</t>
  </si>
  <si>
    <t>4028063671</t>
  </si>
  <si>
    <t>248017, КАЛУЖСКАЯ ОБЛАСТЬ, ГОРОД КАЛУГА, УЛИЦА МОСКОВСКАЯ, ДОМ 302, ОФИС 17</t>
  </si>
  <si>
    <t xml:space="preserve"> Конкурсный Управляющий Жукова Светлана Анатольевна</t>
  </si>
  <si>
    <t>+7 (903) 635-06-66'</t>
  </si>
  <si>
    <t>54.543929,36.264278</t>
  </si>
  <si>
    <t>4028072563</t>
  </si>
  <si>
    <t>248010, КАЛУЖСКАЯ ОБЛ., Г. Калуга, УЛ. КОМСОМОЛЬСКАЯ РОЩА, Д. 39,..</t>
  </si>
  <si>
    <t>Виноградов Константин Олегович</t>
  </si>
  <si>
    <t>54.551434,36.267054</t>
  </si>
  <si>
    <t>ОБЩЕСТВО С ОГРАНИЧЕННОЙ ОТВЕТСТВЕННОСТЬЮ "СБ Минерал"</t>
  </si>
  <si>
    <t>"СБ Минерал"</t>
  </si>
  <si>
    <t>4028044260</t>
  </si>
  <si>
    <t>http://sbmineral.ru</t>
  </si>
  <si>
    <t>248017, КАЛУЖСКАЯ ОБЛАСТЬ, ГОРОД КАЛУГА, УЛИЦА МОСКОВСКАЯ, ДОМ 288А, ОФИС 15</t>
  </si>
  <si>
    <t>Соловьев Александр Евгеньевич</t>
  </si>
  <si>
    <t>54.551951,36.26921</t>
  </si>
  <si>
    <t>ОБЩЕСТВО С ОГРАНИЧЕННОЙ ОТВЕТСТВЕННОСТЬЮ "МЕРИДИАН"</t>
  </si>
  <si>
    <t>"МЕРИДИАН"</t>
  </si>
  <si>
    <t>4028068020</t>
  </si>
  <si>
    <t>248017, КАЛУЖСКАЯ ОБЛАСТЬ, ГОРОД КАЛУГА, УЛИЦА ПОСЕЛКОВАЯ, ДОМ 3, ПОМЕЩЕНИЕ 7</t>
  </si>
  <si>
    <t>Соловьёв Андрей Александрович</t>
  </si>
  <si>
    <t>54.548321,36.269542</t>
  </si>
  <si>
    <t>ОБЩЕСТВО С ОГРАНИЧЕННОЙ ОТВЕТСТВЕННОСТЬЮ ПРОИЗВОДСТВЕННАЯ КОМПАНИЯ "ЖБИ-СТРОЙ"</t>
  </si>
  <si>
    <t>ПРОИЗВОДСТВЕННАЯ КОМПАНИЯ "ЖБИ-СТРОЙ"</t>
  </si>
  <si>
    <t>4028070541</t>
  </si>
  <si>
    <t>248021, КАЛУЖСКАЯ ОБЛАСТЬ, ГОРОД КАЛУГА, УЛИЦА МОСКОВСКАЯ, ДОМ 247, СТРОЕНИЕ 138 ОФИС 9</t>
  </si>
  <si>
    <t>Бархатов Сергей Владимирович</t>
  </si>
  <si>
    <t>54.546702,36.275193</t>
  </si>
  <si>
    <t>ОБЩЕСТВО С ОГРАНИЧЕННОЙ ОТВЕТСТВЕННОСТЬЮ ГРУППА КОМПАНИЙ "ЖБИ-СТРОЙ"</t>
  </si>
  <si>
    <t>ГРУППА КОМПАНИЙ "ЖБИ-СТРОЙ"</t>
  </si>
  <si>
    <t>4027130420</t>
  </si>
  <si>
    <t>248021, КАЛУЖСКАЯ ОБЛ., Г. Калуга, УЛ. МОСКОВСКАЯ, Д. 247, ОФИС 3 СТРОЕНИЕ 90</t>
  </si>
  <si>
    <t>Радугин Алексей Анатольевич</t>
  </si>
  <si>
    <t>54.505916,36.276298</t>
  </si>
  <si>
    <t>4027143081</t>
  </si>
  <si>
    <t>248002, КАЛУЖСКАЯ ОБЛАСТЬ, ГОРОД КАЛУГА, УЛИЦА СТЕПАНА РАЗИНА, ДОМ 42/38,..</t>
  </si>
  <si>
    <t>Степанов Никита Игоревич</t>
  </si>
  <si>
    <t>54.546739,36.286637</t>
  </si>
  <si>
    <t>ОБЩЕСТВО С ОГРАНИЧЕННОЙ ОТВЕТСТВЕННОСТЬЮ "ПЛИТСТРОЙКОМПЛЕКТ"</t>
  </si>
  <si>
    <t>"ПЛИТСТРОЙКОМПЛЕКТ"</t>
  </si>
  <si>
    <t>4029063522</t>
  </si>
  <si>
    <t>248025, КАЛУЖСКАЯ ОБЛ., Г. Калуга, УЛ. ТАРУТИНСКАЯ, Д. 2А, ПОМЕЩ. 5</t>
  </si>
  <si>
    <t>Усеев Максим Вадимович</t>
  </si>
  <si>
    <t>STROJ@INBOX.RU'</t>
  </si>
  <si>
    <t>54.512105,36.287248</t>
  </si>
  <si>
    <t>ОБЩЕСТВО С ОГРАНИЧЕННОЙ ОТВЕТСТВЕННОСТЬЮ "СВАРОПТТОРГ"</t>
  </si>
  <si>
    <t>"СВАРОПТТОРГ"</t>
  </si>
  <si>
    <t>4027139208</t>
  </si>
  <si>
    <t>248003, КАЛУЖСКАЯ ОБЛАСТЬ, ГОРОД КАЛУГА, УЛИЦА ТУЛЬСКАЯ, ДОМ 102, ОФИС 12</t>
  </si>
  <si>
    <t>Заркуа Давид Александрович</t>
  </si>
  <si>
    <t>54.461488,36.299034</t>
  </si>
  <si>
    <t>ОБЩЕСТВО С ОГРАНИЧЕННОЙ ОТВЕТСТВЕННОСТЬЮ "ДОМОСТРОИТЕЛЬНАЯ КОМПАНИЯ"</t>
  </si>
  <si>
    <t>"ДОМОСТРОИТЕЛЬНАЯ КОМПАНИЯ"</t>
  </si>
  <si>
    <t>4027125283</t>
  </si>
  <si>
    <t>248025, КАЛУЖСКАЯ ОБЛАСТЬ, ГОРОД КАЛУГА, УЛИЦА БЕРЕЗОВАЯ, ДОМ 42/14, СЕКЦИЯ В</t>
  </si>
  <si>
    <t>Богачев Александр Валентинович</t>
  </si>
  <si>
    <t>+7 (910) 604-04-04'</t>
  </si>
  <si>
    <t>54.505576,36.30154</t>
  </si>
  <si>
    <t>ОБЩЕСТВО С ОГРАНИЧЕННОЙ ОТВЕТСТВЕННОСТЬЮ "КОМПАНИЯ ФАВОРИТ"</t>
  </si>
  <si>
    <t>"КОМПАНИЯ ФАВОРИТ"</t>
  </si>
  <si>
    <t>4027148058</t>
  </si>
  <si>
    <t>248003, КАЛУЖСКАЯ ОБЛ., Г. Калуга, УЛ. БОЛДИНА, Д. 47, СТР. 1, ОФИС 30</t>
  </si>
  <si>
    <t>Вытовтов Борис Борисович</t>
  </si>
  <si>
    <t>54.503396,36.303041</t>
  </si>
  <si>
    <t>ОБЩЕСТВО С ОГРАНИЧЕННОЙ ОТВЕТСТВЕННОСТЬЮ "ФИРМА "НЕРА К"</t>
  </si>
  <si>
    <t>"ФИРМА "НЕРА К"</t>
  </si>
  <si>
    <t>4009000669</t>
  </si>
  <si>
    <t>Г КАЛУГА,УЛ БОЛДИНА, Д 57</t>
  </si>
  <si>
    <t>Глушков Денис Валерьевич</t>
  </si>
  <si>
    <t>54.516443,36.335739</t>
  </si>
  <si>
    <t>ОБЩЕСТВО С ОГРАНИЧЕННОЙ ОТВЕТСТВЕННОСТЬЮ "АРХИТЕКТУРНЫЕ ИЗДЕЛИЯ"</t>
  </si>
  <si>
    <t>"АРХИТЕКТУРНЫЕ ИЗДЕЛИЯ"</t>
  </si>
  <si>
    <t>4029029377</t>
  </si>
  <si>
    <t>248032, Калужская область, г Калуга, УЛ СОВЕТСКАЯ, д 20</t>
  </si>
  <si>
    <t>Иванушкин Сергей Борисович</t>
  </si>
  <si>
    <t>45.273894,36.405224</t>
  </si>
  <si>
    <t>ОБЩЕСТВО С ОГРАНИЧЕННОЙ ОТВЕТСТВЕННОСТЬЮ ПРОИЗВОДСТВЕННО-СТРОИТЕЛЬНАЯ КОМПАНИЯ «ГАРАНТ»</t>
  </si>
  <si>
    <t>ПРОИЗВОДСТВЕННО-СТРОИТЕЛЬНАЯ КОМПАНИЯ «ГАРАНТ»</t>
  </si>
  <si>
    <t>9111025543</t>
  </si>
  <si>
    <t>298313, КРЫМ РЕСПУБЛИКА, ГОРОД КЕРЧЬ, УЛИЦА ОРДЖОНИКИДЗЕ, ДОМ 1-В, ЛИТЕР Б, ОФИС 1</t>
  </si>
  <si>
    <t>Жаров Сергей Петрович</t>
  </si>
  <si>
    <t>+7 (985) 559-61-46'</t>
  </si>
  <si>
    <t>pskgarantkerch@yandex.ru'</t>
  </si>
  <si>
    <t>55.944314,36.407084</t>
  </si>
  <si>
    <t>ОБЩЕСТВО С ОГРАНИЧЕННОЙ ОТВЕТСТВЕННОСТЬЮ "АЛЕКСАНДРОВСКАЯ КИРПИЧНАЯ КОМПАНИЯ"</t>
  </si>
  <si>
    <t>"АЛЕКСАНДРОВСКАЯ КИРПИЧНАЯ КОМПАНИЯ"</t>
  </si>
  <si>
    <t>7713476412</t>
  </si>
  <si>
    <t>127238, МОСКВА ГОРОД, ПРОЕЗД 3-Й НИЖНЕЛИХОБОРСКИЙ, ДОМ 1А, ЭТ/ПОМ/КОМ 3/IX/13</t>
  </si>
  <si>
    <t>Шмелев Михаил Борисович</t>
  </si>
  <si>
    <t>ОБЩЕСТВО С ОГРАНИЧЕННОЙ ОТВЕТСТВЕННОСТЬЮ "КИРОВСКИЙ ЗАВОД ТРОТУАРНОЙ ПЛИТКИ"</t>
  </si>
  <si>
    <t>"КИРОВСКИЙ ЗАВОД ТРОТУАРНОЙ ПЛИТКИ"</t>
  </si>
  <si>
    <t>7714479198</t>
  </si>
  <si>
    <t>125319, МОСКВА Г., УЛ. АКАДЕМИКА ИЛЬЮШИНА, Д. 12, ЭТАЖ/ПОМ. 1/VII КОМ./ОФИС 1/А4Ж</t>
  </si>
  <si>
    <t>Криницына Екатерина Александровна</t>
  </si>
  <si>
    <t>KIROV@MAIL.RU'</t>
  </si>
  <si>
    <t>55.643658,36.426676</t>
  </si>
  <si>
    <t>ОБЩЕСТВО С ОГРАНИЧЕННОЙ ОТВЕТСТВЕННОСТЬЮ "МОРЕВСКИЙ ЗАВОД ЖЕЛЕЗОБЕТОННЫХ ИЗДЕЛИЙ"</t>
  </si>
  <si>
    <t>"МОРЕВСКИЙ ЗАВОД ЖЕЛЕЗОБЕТОННЫХ ИЗДЕЛИЙ"</t>
  </si>
  <si>
    <t>5075029687</t>
  </si>
  <si>
    <t>143130, МОСКОВСКАЯ ОБЛ, РУЗСКИЙ ГО, ТУЧКОВО РП, ПРОМЫШЛЕННЫЙ КВАРТАЛ МЕТАЛЕР УЛ, СТРОЕНИЕ 4</t>
  </si>
  <si>
    <t>Киося Александр Петрович</t>
  </si>
  <si>
    <t>+7 (916) 101-72-83'</t>
  </si>
  <si>
    <t>55.580141,36.44042</t>
  </si>
  <si>
    <t>ОБЩЕСТВО С ОГРАНИЧЕННОЙ ОТВЕТСТВЕННОСТЬЮ "ПРОИЗВОДСТВЕННОЕ ОБЪЕДИНЕНИЕ "ШТАРКОМ"</t>
  </si>
  <si>
    <t>"ПРОИЗВОДСТВЕННОЕ ОБЪЕДИНЕНИЕ "ШТАРКОМ"</t>
  </si>
  <si>
    <t>5075028651</t>
  </si>
  <si>
    <t>143132, МОСКОВСКАЯ ОБЛАСТЬ, ГОРОД РУЗА, РАБОЧИЙ ПОСЕЛОК ТУЧКОВО, УЛИЦА ТЕХНОЛОГИЧЕСКОЕ ШОССЕ, ДОМ 3, СТР. 7</t>
  </si>
  <si>
    <t>Платонов Роман Владимирович</t>
  </si>
  <si>
    <t>+7 (925) 010-85-06'</t>
  </si>
  <si>
    <t>50.677223,36.450742</t>
  </si>
  <si>
    <t>3102039348</t>
  </si>
  <si>
    <t>308511, БЕЛГОРОДСКАЯ ОБЛАСТЬ, Р-Н БЕЛГОРОДСКИЙ, С СТРЕЛЕЦКОЕ, УЛ. БОЯРСКАЯ, Д. 12</t>
  </si>
  <si>
    <t>Мальцев Сергей Викторович</t>
  </si>
  <si>
    <t>+7 (980) 379-42-99'</t>
  </si>
  <si>
    <t>55.597378,36.467046</t>
  </si>
  <si>
    <t>ОБЩЕСТВО С ОГРАНИЧЕННОЙ ОТВЕТСТВЕННОСТЬЮ "СФЕРА"</t>
  </si>
  <si>
    <t>"СФЕРА"</t>
  </si>
  <si>
    <t>5075027908</t>
  </si>
  <si>
    <t>143132, Московская область, РУЗСКИЙ ГО, рп Тучково, ул Партизан, д 21 А, стр 1, офис 26 В</t>
  </si>
  <si>
    <t>Тоисов Алексей Викторович</t>
  </si>
  <si>
    <t>+7 (905) 779-35-97'</t>
  </si>
  <si>
    <t>55.602978,36.4686</t>
  </si>
  <si>
    <t>ОБЩЕСТВО С ОГРАНИЧЕННОЙ ОТВЕТСТВЕННОСТЬЮ "РК МЕТРОСТРОЙ СИСТЕМЫ"</t>
  </si>
  <si>
    <t>"РК МЕТРОСТРОЙ СИСТЕМЫ"</t>
  </si>
  <si>
    <t>5075038321</t>
  </si>
  <si>
    <t>143032, МОСКОВСКАЯ ОБЛ, РУЗА Г, ТУЧКОВО РП, СОВЕТСКАЯ УЛ, ДОМ 22, СТРОЕНИЕ 1, ПОМЕЩЕНИЕ 2,ЭТАЖ 2</t>
  </si>
  <si>
    <t>Воронцов Александр Иванович</t>
  </si>
  <si>
    <t>45.3548,36.469238</t>
  </si>
  <si>
    <t>ОБЩЕСТВО С ОГРАНИЧЕННОЙ ОТВЕТСТВЕННОСТЬЮ "АБСОЛЮТСТРОЙСЕРВИС"</t>
  </si>
  <si>
    <t>"АБСОЛЮТСТРОЙСЕРВИС"</t>
  </si>
  <si>
    <t>9111020922</t>
  </si>
  <si>
    <t>298300, КРЫМ РЕСП, КЕРЧЬ Г, ЛЕНИНА УЛ, ДОМ 16,..</t>
  </si>
  <si>
    <t>Давыдова Ксения Сергеевна</t>
  </si>
  <si>
    <t>+7 (918) 266-02-20'</t>
  </si>
  <si>
    <t>45.355789,36.470325</t>
  </si>
  <si>
    <t>ОБЩЕСТВО С ОГРАНИЧЕННОЙ ОТВЕТСТВЕННОСТЬЮ "БОСПОР"</t>
  </si>
  <si>
    <t>"БОСПОР"</t>
  </si>
  <si>
    <t>9111026850</t>
  </si>
  <si>
    <t>298300, КРЫМ РЕСПУБЛИКА, ГОРОД КЕРЧЬ, УЛИЦА СОВЕТСКАЯ, ДОМ 15, ОФИС 38</t>
  </si>
  <si>
    <t>Ященко Светлана Ивановна</t>
  </si>
  <si>
    <t>+7 (918) 471-75-33'</t>
  </si>
  <si>
    <t>55.996591,36.475364</t>
  </si>
  <si>
    <t>ОБЩЕСТВО С ОГРАНИЧЕННОЙ ОТВЕТСТВЕННОСТЬЮ "СОЮЗ-СТРОЙ"</t>
  </si>
  <si>
    <t>"СОЮЗ-СТРОЙ"</t>
  </si>
  <si>
    <t>5017125416</t>
  </si>
  <si>
    <t>143570, МОСКОВСКАЯ ОБЛ., Г. Истра, С. Новопетровское, УЛ. ПОЛЕВАЯ, ЗД. 60, ПОМЕЩ. 4</t>
  </si>
  <si>
    <t>Пуцунтика Валерий Николаевич</t>
  </si>
  <si>
    <t>55.599448,36.476389</t>
  </si>
  <si>
    <t>ОБЩЕСТВО С ОГРАНИЧЕННОЙ ОТВЕТСТВЕННОСТЬЮ "ЖЕЛЕЗО-БЕТОН"</t>
  </si>
  <si>
    <t>"ЖЕЛЕЗО-БЕТОН"</t>
  </si>
  <si>
    <t>5075039710</t>
  </si>
  <si>
    <t>143130, МОСКОВСКАЯ ОБЛАСТЬ, ГОРОД РУЗА, РАБОЧИЙ ПОСЕЛОК ТУЧКОВО, УЛИЦА КИРОВА, ДОМ 2, ПОМЕЩЕНИЕ 14 ЭТАЖ 2</t>
  </si>
  <si>
    <t>Рыженков Даниил Анатольевич</t>
  </si>
  <si>
    <t>55.142648,36.479685</t>
  </si>
  <si>
    <t>ОБЩЕСТВО С ОГРАНИЧЕННОЙ ОТВЕТСТВЕННОСТЬЮ "АРМАЛИ+"</t>
  </si>
  <si>
    <t>"АРМАЛИ+"</t>
  </si>
  <si>
    <t>4003037310</t>
  </si>
  <si>
    <t>249010, КАЛУЖСКАЯ ОБЛ, БОРОВСКИЙ Р-Н, ТИМАШОВО Д</t>
  </si>
  <si>
    <t>Геворгян Армен Оганесович</t>
  </si>
  <si>
    <t>+7 (915) 895-51-57', '+7 (910) 914-78-46'</t>
  </si>
  <si>
    <t>50.784597,36.480018</t>
  </si>
  <si>
    <t>ОБЩЕСТВО С ОГРАНИЧЕННОЙ ОТВЕТСТВЕННОСТЬЮ "ЭВЕРЕСТ СТРОЙ"</t>
  </si>
  <si>
    <t>"ЭВЕРЕСТ СТРОЙ"</t>
  </si>
  <si>
    <t>3121009821</t>
  </si>
  <si>
    <t>309070, БЕЛГОРОДСКАЯ ОБЛАСТЬ, Р-Н ЯКОВЛЕВСКИЙ, Г. СТРОИТЕЛЬ, УЛ. ОКТЯБРЬСКАЯ, Д. 12, ПОМЕЩ. 10</t>
  </si>
  <si>
    <t>Семыкин Сергей Михайлович</t>
  </si>
  <si>
    <t>+7 (980) 323-64-43'</t>
  </si>
  <si>
    <t>ОБЩЕСТВО С ОГРАНИЧЕННОЙ ОТВЕТСТВЕННОСТЬЮ "ЖИЛСТРОЙ"</t>
  </si>
  <si>
    <t>"ЖИЛСТРОЙ"</t>
  </si>
  <si>
    <t>3121010658</t>
  </si>
  <si>
    <t>309070, Белгородская область, городской округ ЯКОВЛЕВСКИЙ, Город СТРОИТЕЛЬ, УЛ ОКТЯБРЬСКАЯ, ЗД. 12, ОФИС 5</t>
  </si>
  <si>
    <t>Чернова Ирина Владимировна</t>
  </si>
  <si>
    <t>55.601223,36.484213</t>
  </si>
  <si>
    <t>ОБЩЕСТВО С ОГРАНИЧЕННОЙ ОТВЕТСТВЕННОСТЬЮ "ДорСнаб"</t>
  </si>
  <si>
    <t>"ДорСнаб"</t>
  </si>
  <si>
    <t>5075023741</t>
  </si>
  <si>
    <t>143130, МОСКОВСКАЯ ОБЛ., Г. Руза, РП. Тучково, МКР. ВОСТОЧНЫЙ, Д. 12,..</t>
  </si>
  <si>
    <t>Галакина Анастасия Сергеевна</t>
  </si>
  <si>
    <t>55.592596,36.486351</t>
  </si>
  <si>
    <t>ОБЩЕСТВО С ОГРАНИЧЕННОЙ ОТВЕТСТВЕННОСТЬЮ "АГСБТ"</t>
  </si>
  <si>
    <t>"АГСБТ"</t>
  </si>
  <si>
    <t>5075038297</t>
  </si>
  <si>
    <t>143131, МОСКОВСКАЯ ОБЛ, РУЗА Г, ТУЧКОВО РП, ВОСТОЧНАЯ УЛ, ДОМ 5/5, СТРОЕНИЕ 2, КАБИНЕТ 2</t>
  </si>
  <si>
    <t>Тропихин Олег Игорьевич</t>
  </si>
  <si>
    <t>terebilnicova@mail.ru'</t>
  </si>
  <si>
    <t>55.988182,36.486459</t>
  </si>
  <si>
    <t>5017115792</t>
  </si>
  <si>
    <t>143570, МОСКОВСКАЯ ОБЛАСТЬ, ГОРОДСКОЙ ОКРУГ ИСТРА, СЕЛО НОВОПЕТРОВСКОЕ, УЛИЦА СОВЕТСКАЯ, ДОМ 58Б, ПОМЕЩЕНИЕ 2</t>
  </si>
  <si>
    <t>Сукиасян Эдуард Михайлович</t>
  </si>
  <si>
    <t>+7 (916) 017-17-71'</t>
  </si>
  <si>
    <t>ОБЩЕСТВО С ОГРАНИЧЕННОЙ ОТВЕТСТВЕННОСТЬЮ "КОНКРИТ ПРОДАКТ"</t>
  </si>
  <si>
    <t>"КОНКРИТ ПРОДАКТ"</t>
  </si>
  <si>
    <t>5017118930</t>
  </si>
  <si>
    <t>143570, МОСКОВСКАЯ ОБЛАСТЬ, ГОРОДСКОЙ ОКРУГ ИСТРА, СЕЛО НОВОПЕТРОВСКОЕ, УЛИЦА СОВЕТСКАЯ, ДОМ 58Б, ПОМЕЩЕНИЕ 3</t>
  </si>
  <si>
    <t>Мурадян Ваграм Артаваздович</t>
  </si>
  <si>
    <t>ОБЩЕСТВО С ОГРАНИЧЕННОЙ ОТВЕТСТВЕННОСТЬЮ "ПромСтрой"</t>
  </si>
  <si>
    <t>"ПромСтрой"</t>
  </si>
  <si>
    <t>7705964800</t>
  </si>
  <si>
    <t>143570, Московская область, городской округ ИСТРА, Село НОВОПЕТРОВСКОЕ, УЛ СОВЕТСКАЯ, Д. 58Б, , ПОМЕЩ. 1</t>
  </si>
  <si>
    <t>Сукиасян Самвел Михайлович</t>
  </si>
  <si>
    <t>svetik84a@yandex.ru'</t>
  </si>
  <si>
    <t>50.59076,36.489926</t>
  </si>
  <si>
    <t>ОБЩЕСТВО С ОГРАНИЧЕННОЙ ОТВЕТСТВЕННОСТЬЮ "31БЕТОН"</t>
  </si>
  <si>
    <t>"31БЕТОН"</t>
  </si>
  <si>
    <t>3123460758</t>
  </si>
  <si>
    <t>308014, Белгородская область, городской округ ГОРОД БЕЛГОРОД, Город БЕЛГОРОД, УЛ САДОВАЯ, Д. 2А, ОФИС 325/2</t>
  </si>
  <si>
    <t>55.582324,36.491166</t>
  </si>
  <si>
    <t>ОБЩЕСТВО С ОГРАНИЧЕННОЙ ОТВЕТСТВЕННОСТЬЮ "БЕТКАМ+"</t>
  </si>
  <si>
    <t>"БЕТКАМ+"</t>
  </si>
  <si>
    <t>5075026527</t>
  </si>
  <si>
    <t>143131, Московская область, РУЗСКИЙ ГО, рп Тучково, ул Заводская, д 6</t>
  </si>
  <si>
    <t>Кузнецова Элла Александровна</t>
  </si>
  <si>
    <t>+7 (905) 703-41-71'</t>
  </si>
  <si>
    <t>55.584823,36.492172</t>
  </si>
  <si>
    <t>ОБЩЕСТВО С ОГРАНИЧЕННОЙ ОТВЕТСТВЕННОСТЬЮ "ДБЛОК"</t>
  </si>
  <si>
    <t>"ДБЛОК"</t>
  </si>
  <si>
    <t>5075038233</t>
  </si>
  <si>
    <t>143131, МОСКОВСКАЯ ОБЛ, РУЗА Г, ТУЧКОВО РП, ВОСТОЧНАЯ УЛ, ДОМ 5/3, СТРОЕНИЕ 1, ОФИС 3/4</t>
  </si>
  <si>
    <t>Свистунов Никита Владимирович</t>
  </si>
  <si>
    <t>ОБЩЕСТВО С ОГРАНИЧЕННОЙ ОТВЕТСТВЕННОСТЬЮ "АГСБЕТОН"</t>
  </si>
  <si>
    <t>"АГСБЕТОН"</t>
  </si>
  <si>
    <t>7736124093</t>
  </si>
  <si>
    <t>143131, МОСКОВСКАЯ ОБЛАСТЬ, Г. РУЗА, РП ТУЧКОВО, УЛ. ВОСТОЧНАЯ, Д. 5/3, СТР. 1, ОФИС 2/1</t>
  </si>
  <si>
    <t>Федоренко Вячеслав Николаевич</t>
  </si>
  <si>
    <t>55.577505,36.498658</t>
  </si>
  <si>
    <t>ОБЩЕСТВО С ОГРАНИЧЕННОЙ ОТВЕТСТВЕННОСТЬЮ "ОДИН-ТЕХ"</t>
  </si>
  <si>
    <t>"ОДИН-ТЕХ"</t>
  </si>
  <si>
    <t>5075037494</t>
  </si>
  <si>
    <t>143131, Московская область, городской округ РУЗСКИЙ, РП ТУЧКОВО, УЛ ВОСТОЧНАЯ, Д. 25, ЗДАНИЕ БСЦ ЭТАЖ 1 КОМНАТА 2</t>
  </si>
  <si>
    <t>Ткаченко Александр Александрович</t>
  </si>
  <si>
    <t>45.366212,36.533234</t>
  </si>
  <si>
    <t>АКЦИОНЕРНОЕ ОБЩЕСТВО "КЕРЧЕНСКИЙ ЗАВОД ЖЕЛЕЗОБЕТОННЫХ ИЗДЕЛИЙ"</t>
  </si>
  <si>
    <t>"КЕРЧЕНСКИЙ ЗАВОД ЖЕЛЕЗОБЕТОННЫХ ИЗДЕЛИЙ"</t>
  </si>
  <si>
    <t>9111013058</t>
  </si>
  <si>
    <t>298306, КРЫМ РЕСПУБЛИКА, ГОРОД КЕРЧЬ, УЛИЦА РОЗЫ ЛЮКСЕМБУРГ, ДОМ 23</t>
  </si>
  <si>
    <t>Файзуллин Тагир Мирсаевич</t>
  </si>
  <si>
    <t>zhilbud@inbox.ru', 'nen@mail.ru'</t>
  </si>
  <si>
    <t>50.546895,36.541193</t>
  </si>
  <si>
    <t>ОБЩЕСТВО С ОГРАНИЧЕННОЙ ОТВЕТСТВЕННОСТЬЮ «ПАРМ»</t>
  </si>
  <si>
    <t>«ПАРМ»</t>
  </si>
  <si>
    <t>3102049804</t>
  </si>
  <si>
    <t>308501, Белгородская область, муниципальный район БЕЛГОРОДСКИЙ, П ДУБОВОЕ, сельское поселение ДУБОВСКОЕ, МКР. СЕВЕРНЫЙ-3, УЛ БЕЛОГОРСКАЯ, Д. 3,..</t>
  </si>
  <si>
    <t>Кислинский Богдан Александрович</t>
  </si>
  <si>
    <t>55.670229,36.542936</t>
  </si>
  <si>
    <t>ОБЩЕСТВО С ОГРАНИЧЕННОЙ ОТВЕТСТВЕННОСТЬЮ "ЭТАЛОН-МБК"</t>
  </si>
  <si>
    <t>"ЭТАЛОН-МБК"</t>
  </si>
  <si>
    <t>5075040786</t>
  </si>
  <si>
    <t>143144, Московская область, РУЗСКИЙ, П КОЛЮБАКИНО, УЛ МАЙОРА АЛЕКСЕЕВА, Д. 29, ЭТАЖ 1, ПОМЕЩЕНИЕ 7</t>
  </si>
  <si>
    <t>Рыбьякова Изабелла Эдуардовна</t>
  </si>
  <si>
    <t>RYBIZABELLA@MAIL.RU'</t>
  </si>
  <si>
    <t>50.624881,36.549808</t>
  </si>
  <si>
    <t>ОБЩЕСТВО С ОГРАНИЧЕННОЙ ОТВЕТСТВЕННОСТЬЮ "Доминанта"</t>
  </si>
  <si>
    <t>"Доминанта"</t>
  </si>
  <si>
    <t>3123347897</t>
  </si>
  <si>
    <t>308015, БЕЛГОРОДСКАЯ ОБЛ, БЕЛГОРОД Г, ЧИЧЕРИНА УЛ, Д 50-В</t>
  </si>
  <si>
    <t>Кулабухова Нина Сергеевна</t>
  </si>
  <si>
    <t>nemceve_kapral@mail.ru'</t>
  </si>
  <si>
    <t>50.607472,36.550553</t>
  </si>
  <si>
    <t>ОБЩЕСТВО С ОГРАНИЧЕННОЙ ОТВЕТСТВЕННОСТЬЮ "ЗАВОД ЖЕЛЕЗОБЕТОННЫХ ИЗДЕЛИЙ - 4"</t>
  </si>
  <si>
    <t>"ЗАВОД ЖЕЛЕЗОБЕТОННЫХ ИЗДЕЛИЙ - 4"</t>
  </si>
  <si>
    <t>3123358923</t>
  </si>
  <si>
    <t>308015, Белгородская область, городской округ ГОРОД БЕЛГОРОД, Город БЕЛГОРОД, УЛ СУМСКАЯ, Д. 64, ОФИС 3</t>
  </si>
  <si>
    <t>Сергиенко Иван Алексеевич</t>
  </si>
  <si>
    <t>+7 (904) 534-72-40'</t>
  </si>
  <si>
    <t>larisa@yndex.ru'</t>
  </si>
  <si>
    <t>ОБЩЕСТВО С ОГРАНИЧЕННОЙ ОТВЕТСТВЕННОСТЬЮ "ЖБИК-4"</t>
  </si>
  <si>
    <t>"ЖБИК-4"</t>
  </si>
  <si>
    <t>3123400484</t>
  </si>
  <si>
    <t>308015, БЕЛГОРОДСКАЯ ОБЛАСТЬ, Г. БЕЛГОРОД, УЛ. СУМСКАЯ, Д. 64, ОФИС 2</t>
  </si>
  <si>
    <t>50.604408,36.554883</t>
  </si>
  <si>
    <t>ОБЩЕСТВО С ОГРАНИЧЕННОЙ ОТВЕТСТВЕННОСТЬЮ "Проектно-строительная компания "Стройтехнология"</t>
  </si>
  <si>
    <t>"Проектно-строительная компания "Стройтехнология"</t>
  </si>
  <si>
    <t>3123310777</t>
  </si>
  <si>
    <t>308015, БЕЛГОРОДСКАЯ ОБЛАСТЬ, Г. БЕЛГОРОД, УЛ. ЧАПАЕВА, Д. 14А, ПОМЕЩ. 5</t>
  </si>
  <si>
    <t>Елдынова Елена Николаевна</t>
  </si>
  <si>
    <t>+7 (910) 229-09-22'</t>
  </si>
  <si>
    <t>50.636068,36.555126</t>
  </si>
  <si>
    <t>ОБЩЕСТВО С ОГРАНИЧЕННОЙ ОТВЕТСТВЕННОСТЬЮ "ДОМ БЕТОНА"</t>
  </si>
  <si>
    <t>"ДОМ БЕТОНА"</t>
  </si>
  <si>
    <t>3123418900</t>
  </si>
  <si>
    <t>308010, БЕЛГОРОДСКАЯ ОБЛАСТЬ, Г. БЕЛГОРОД, УЛ. АРТЕМА, Д. 14</t>
  </si>
  <si>
    <t>Байкенич Дмитрий Михайлович</t>
  </si>
  <si>
    <t>+7 (910) 030-32-60'</t>
  </si>
  <si>
    <t>50.618629,36.561154</t>
  </si>
  <si>
    <t>Общество с ограниченной ответственностью "БЛОКМАСТЕР"</t>
  </si>
  <si>
    <t>"БЛОКМАСТЕР"</t>
  </si>
  <si>
    <t>3123378800</t>
  </si>
  <si>
    <t>308000, БЕЛГОРОДСКАЯ ОБЛАСТЬ, Г. БЕЛГОРОД, УЛ. СТУДЕНЧЕСКАЯ, Д. 21В</t>
  </si>
  <si>
    <t>Авилов Владимир Николаевич</t>
  </si>
  <si>
    <t>+7 (910) 325-03-25'</t>
  </si>
  <si>
    <t>50.576741,36.562178</t>
  </si>
  <si>
    <t>ОБЩЕСТВО С ОГРАНИЧЕННОЙ ОТВЕТСТВЕННОСТЬЮ "МОНОЛИТМЕТСТРОЙ31"</t>
  </si>
  <si>
    <t>"МОНОЛИТМЕТСТРОЙ31"</t>
  </si>
  <si>
    <t>3123438600</t>
  </si>
  <si>
    <t>308019, БЕЛГОРОДСКАЯ ОБЛАСТЬ, Г. БЕЛГОРОД, УЛ. ТОЛСТОГО, Д. 37, ПОМЕЩ. 2</t>
  </si>
  <si>
    <t>Рудниченко Анатолий Николаевич</t>
  </si>
  <si>
    <t>50.612416,36.56242</t>
  </si>
  <si>
    <t>ОБЩЕСТВО С ОГРАНИЧЕННОЙ ОТВЕТСТВЕННОСТЬЮ "Бетон Плюс"</t>
  </si>
  <si>
    <t>"Бетон Плюс"</t>
  </si>
  <si>
    <t>3123309757</t>
  </si>
  <si>
    <t>308002, БЕЛГОРОДСКАЯ ОБЛАСТЬ, Г. БЕЛГОРОД, УЛ. МИЧУРИНА, Д. 79-Д, ОФИС 215</t>
  </si>
  <si>
    <t>Мигаль Юрий Геннадьевич</t>
  </si>
  <si>
    <t>50.541618,36.568708</t>
  </si>
  <si>
    <t>ОБЩЕСТВО С ОГРАНИЧЕННОЙ ОТВЕТСТВЕННОСТЬЮ "КОНКРИТФЛОУ"</t>
  </si>
  <si>
    <t>"КОНКРИТФЛОУ"</t>
  </si>
  <si>
    <t>3102050599</t>
  </si>
  <si>
    <t>308501, БЕЛГОРОДСКАЯ ОБЛ., Белгородский Р-Н, П. Дубовое, УЛ. ЗАВОДСКАЯ, Д. 4Д, ОФИС 3</t>
  </si>
  <si>
    <t>Беданов Андрей Адольфович</t>
  </si>
  <si>
    <t>50.63268,36.568924</t>
  </si>
  <si>
    <t>ОБЩЕСТВО С ОГРАНИЧЕННОЙ ОТВЕТСТВЕННОСТЬЮ "ПСФБ ТЕХНОЛОГИЯ"</t>
  </si>
  <si>
    <t>"ПСФБ ТЕХНОЛОГИЯ"</t>
  </si>
  <si>
    <t>3123448461</t>
  </si>
  <si>
    <t>308032, БЕЛГОРОДСКАЯ ОБЛАСТЬ, Г. БЕЛГОРОД, УЛ. ПРИВОЛЬНАЯ, Д. 1Г, ПОМЕЩ. 30</t>
  </si>
  <si>
    <t>Ким Евгений Михайлович</t>
  </si>
  <si>
    <t>50.481415,36.574808</t>
  </si>
  <si>
    <t>ОБЩЕСТВО С ОГРАНИЧЕННОЙ ОТВЕТСТВЕННОСТЬЮ "МАКС-СТРОЙ ГРУПП"</t>
  </si>
  <si>
    <t>"МАКС-СТРОЙ ГРУПП"</t>
  </si>
  <si>
    <t>3102042319</t>
  </si>
  <si>
    <t>308505, БЕЛГОРОДСКАЯ ОБЛАСТЬ, Р-Н БЕЛГОРОДСКИЙ, С НИКОЛЬСКОЕ, УЛ. ОВРАЖНАЯ (ЗВЕЗДНЫЙ МКР.), Д. 7</t>
  </si>
  <si>
    <t>Цыбулько Юрий Олегович</t>
  </si>
  <si>
    <t>+7 (915) 579-20-85'</t>
  </si>
  <si>
    <t>50.615457,36.576874</t>
  </si>
  <si>
    <t>ОБЩЕСТВО С ОГРАНИЧЕННОЙ ОТВЕТСТВЕННОСТЬЮ "ЭНЕРГО ЖБИ"</t>
  </si>
  <si>
    <t>"ЭНЕРГО ЖБИ"</t>
  </si>
  <si>
    <t>3123362550</t>
  </si>
  <si>
    <t>308002, БЕЛГОРОДСКАЯ ОБЛАСТЬ, Г. БЕЛГОРОД, ПР-КТ Б.ХМЕЛЬНИЦКОГО, Д. 133М, ОФИС 802</t>
  </si>
  <si>
    <t>Черных Андрей Иванович</t>
  </si>
  <si>
    <t>+7 (910) 360-41-97'</t>
  </si>
  <si>
    <t>energojbi31@yandex.ru'</t>
  </si>
  <si>
    <t>55.11202,36.586459</t>
  </si>
  <si>
    <t>ОБЩЕСТВО С ОГРАНИЧЕННОЙ ОТВЕТСТВЕННОСТЬЮ "КР-ТЕХНОЛОДЖИ"</t>
  </si>
  <si>
    <t>"КР-ТЕХНОЛОДЖИ"</t>
  </si>
  <si>
    <t>4003037687</t>
  </si>
  <si>
    <t>249031, КАЛУЖСКАЯ ОБЛ., Г. Обнинск, УЛ. КУРЧАТОВА, Д. 19А, ОФИС 405/66</t>
  </si>
  <si>
    <t>Капустина Наталья Сергеевна</t>
  </si>
  <si>
    <t>+7 (915) 195-49-60'</t>
  </si>
  <si>
    <t>55.117479,36.591454</t>
  </si>
  <si>
    <t>ОБЩЕСТВО С ОГРАНИЧЕННОЙ ОТВЕТСТВЕННОСТЬЮ "ДСК300"</t>
  </si>
  <si>
    <t>"ДСК300"</t>
  </si>
  <si>
    <t>4025458664</t>
  </si>
  <si>
    <t>249034, КАЛУЖСКАЯ ОБЛ., Г. Обнинск, УЛ. ГАГАРИНА, Д. 13, ОФИС 9</t>
  </si>
  <si>
    <t>Кирюшин Владимир Александрович</t>
  </si>
  <si>
    <t>55.12988,36.597437</t>
  </si>
  <si>
    <t>ОБЩЕСТВО С ОГРАНИЧЕННОЙ ОТВЕТСТВЕННОСТЬЮ "ГРАД40"</t>
  </si>
  <si>
    <t>"ГРАД40"</t>
  </si>
  <si>
    <t>4025446524</t>
  </si>
  <si>
    <t>249030, КАЛУЖСКАЯ ОБЛ, ОБНИНСК Г, ВАСИЛЬКОВЫЙ ПЕР, ДОМ 3</t>
  </si>
  <si>
    <t>Зайцева Ольга Владимировна</t>
  </si>
  <si>
    <t>+7 (910) 514-06-25'</t>
  </si>
  <si>
    <t>50.5914,36.598029</t>
  </si>
  <si>
    <t>ОБЩЕСТВО С ОГРАНИЧЕННОЙ ОТВЕТСТВЕННОСТЬЮ "ИКОНА СТИЛЯ"</t>
  </si>
  <si>
    <t>"ИКОНА СТИЛЯ"</t>
  </si>
  <si>
    <t>3123453119</t>
  </si>
  <si>
    <t>308009, БЕЛГОРОДСКАЯ ОБЛ, БЕЛГОРОД Г, ПОБЕДЫ УЛ, ДОМ 69, ПОМЕЩЕНИЕ 6/П2</t>
  </si>
  <si>
    <t>Анохина Виктория Викторовна</t>
  </si>
  <si>
    <t>50.583211,36.620335</t>
  </si>
  <si>
    <t>ОБЩЕСТВО С ОГРАНИЧЕННОЙ ОТВЕТСТВЕННОСТЬЮ "МЕГАСТРОЙ"</t>
  </si>
  <si>
    <t>"МЕГАСТРОЙ"</t>
  </si>
  <si>
    <t>3123335637</t>
  </si>
  <si>
    <t>308006, БЕЛГОРОДСКАЯ ОБЛАСТЬ, Г. БЕЛГОРОД, ПЕР. ВОЛЧАНСКИЙ 4-Й, Д. 19, ОФИС 4</t>
  </si>
  <si>
    <t>Ковалева Юлия Александровна</t>
  </si>
  <si>
    <t>+7 (915) 576-05-50'</t>
  </si>
  <si>
    <t>remstroiservis31@yandex.ru'</t>
  </si>
  <si>
    <t>53.246655,36.623973</t>
  </si>
  <si>
    <t>ОБЩЕСТВО С ОГРАНИЧЕННОЙ ОТВЕТСТВЕННОСТЬЮ "СТРОЙБЛОКМОНТАЖ"</t>
  </si>
  <si>
    <t>"СТРОЙБЛОКМОНТАЖ"</t>
  </si>
  <si>
    <t>5717002956</t>
  </si>
  <si>
    <t>303036, ОРЛОВСКАЯ ОБЛАСТЬ, РАЙОН МЦЕНСКИЙ, ДЕРЕВНЯ ЯДРИНО, ДОМ 53,..</t>
  </si>
  <si>
    <t>Федосова Юлия Владимировна</t>
  </si>
  <si>
    <t>+7 (915) 366-55-91', '+7 (910) 303-87-41', '+7 (961) 627-24-10'</t>
  </si>
  <si>
    <t>50.581741,36.642882</t>
  </si>
  <si>
    <t>Общество с ограниченной ответственностью "БЕЛСТРОЙБЛОК"</t>
  </si>
  <si>
    <t>"БЕЛСТРОЙБЛОК"</t>
  </si>
  <si>
    <t>3123380206</t>
  </si>
  <si>
    <t>308009, БЕЛГОРОДСКАЯ ОБЛАСТЬ, Г. БЕЛГОРОД, УЛ. МИХАЙЛОВСКОЕ ШОССЕ, Д. 14</t>
  </si>
  <si>
    <t>Емец Виталий Олегович</t>
  </si>
  <si>
    <t>+7 (910) 227-12-22'</t>
  </si>
  <si>
    <t>50.552928,36.649</t>
  </si>
  <si>
    <t>ОБЩЕСТВО С ОГРАНИЧЕННОЙ ОТВЕТСТВЕННОСТЬЮ "ПРОМЕТЕЙ"</t>
  </si>
  <si>
    <t>"ПРОМЕТЕЙ"</t>
  </si>
  <si>
    <t>3123341038</t>
  </si>
  <si>
    <t>308017, БЕЛГОРОДСКАЯ ОБЛАСТЬ, Г. БЕЛГОРОД, УЛ. ВОЛЧАНСКАЯ, Д. 159, ОФИС 60</t>
  </si>
  <si>
    <t>Чубук Павел Николаевич</t>
  </si>
  <si>
    <t>90@yandex.ru'</t>
  </si>
  <si>
    <t>50.589667,36.659025</t>
  </si>
  <si>
    <t>ОБЩЕСТВО С ОГРАНИЧЕННОЙ ОТВЕТСТВЕННОСТЬЮ "ЖБИ "АрБет"</t>
  </si>
  <si>
    <t>"ЖБИ "АрБет"</t>
  </si>
  <si>
    <t>3123319770</t>
  </si>
  <si>
    <t>308009, БЕЛГОРОДСКАЯ ОБЛАСТЬ, Г. БЕЛГОРОД, УЛ. ЭНЕРГЕТИКОВ, ДОМ 2</t>
  </si>
  <si>
    <t>Богомаз Андрей Федорович</t>
  </si>
  <si>
    <t>belarbet@mail.ru'</t>
  </si>
  <si>
    <t>53.736158,36.661846</t>
  </si>
  <si>
    <t>АКЦИОНЕРНОЕ ОБЩЕСТВО "ЗОЛОТАЯ НИВА"</t>
  </si>
  <si>
    <t>"ЗОЛОТАЯ НИВА"</t>
  </si>
  <si>
    <t>7121500233</t>
  </si>
  <si>
    <t>301510, ТУЛЬСКАЯ ОБЛАСТЬ, РАЙОН АРСЕНЬЕВСКИЙ, РАБОЧИЙ ПОСЕЛОК АРСЕНЬЕВО, УЛИЦА ПАПАНИНА, ДОМ 4, ПОМЕЩЕНИЕ 13</t>
  </si>
  <si>
    <t>Пшеничный Михаил Витальевич</t>
  </si>
  <si>
    <t>+7 (910) 421-21-63', '+7 (906) 622-35-68'</t>
  </si>
  <si>
    <t>50.581094,36.664469</t>
  </si>
  <si>
    <t>Общество с ограниченной ответственностью "БелАвтоСтрой"</t>
  </si>
  <si>
    <t>"БелАвтоСтрой"</t>
  </si>
  <si>
    <t>3123379722</t>
  </si>
  <si>
    <t>308013, БЕЛГОРОДСКАЯ ОБЛАСТЬ, Г. БЕЛГОРОД, УЛ. МАКАРЕНКО, Д. 12, ПОМЕЩЕНИЕ 1, ОФИС 1</t>
  </si>
  <si>
    <t>Бондаренко Дмитрий Геннадьевич</t>
  </si>
  <si>
    <t>ОБЩЕСТВО С ОГРАНИЧЕННОЙ ОТВЕТСТВЕННОСТЬЮ "АВТОСТРОЙ"</t>
  </si>
  <si>
    <t>"АВТОСТРОЙ"</t>
  </si>
  <si>
    <t>3123448687</t>
  </si>
  <si>
    <t>308013, БЕЛГОРОДСКАЯ ОБЛ, БЕЛГОРОД Г, МАКАРЕНКО УЛ, ДОМ 12, ПОМЕЩЕНИЕ 1, ОФИС 1</t>
  </si>
  <si>
    <t>Опритов Владимир Дмитриевич</t>
  </si>
  <si>
    <t>50.57514,36.668898</t>
  </si>
  <si>
    <t>ОБЩЕСТВО С ОГРАНИЧЕННОЙ ОТВЕТСТВЕННОСТЬЮ "БЕЛОПТБЛОК"</t>
  </si>
  <si>
    <t>"БЕЛОПТБЛОК"</t>
  </si>
  <si>
    <t>3123484484</t>
  </si>
  <si>
    <t>308029, Белгородская область, ГОРОД БЕЛГОРОД, Г БЕЛГОРОД, УЛ МАКАРЕНКО, Д. 14Б</t>
  </si>
  <si>
    <t>Афанасьев Юрий Валерьевич</t>
  </si>
  <si>
    <t>BELOPTBLOK@MAIL.RU'</t>
  </si>
  <si>
    <t>50.654809,36.669931</t>
  </si>
  <si>
    <t>ОБЩЕСТВО С ОГРАНИЧЕННОЙ ОТВЕТСТВЕННОСТЬЮ "МОНТАЖПРОФСТРОЙ"</t>
  </si>
  <si>
    <t>"МОНТАЖПРОФСТРОЙ"</t>
  </si>
  <si>
    <t>3102050334</t>
  </si>
  <si>
    <t>308518, БЕЛГОРОДСКАЯ ОБЛ., Белгородский Р-Н, П. Новосадовый, УЛ. ЛЕЙТЕНАНТА ПАВЛОВА, Д. 1, ОФИС 2</t>
  </si>
  <si>
    <t>55.249017,36.678285</t>
  </si>
  <si>
    <t>ОБЩЕСТВО С ОГРАНИЧЕННОЙ ОТВЕТСТВЕННОСТЬЮ "ФЕНИКС МАНУФАКТУРЫ"</t>
  </si>
  <si>
    <t>"ФЕНИКС МАНУФАКТУРЫ"</t>
  </si>
  <si>
    <t>4003037091</t>
  </si>
  <si>
    <t>249002, КАЛУЖСКАЯ ОБЛАСТЬ, РАЙОН БОРОВСКИЙ, ДЕРЕВНЯ КОРЯКОВО, ВЛАДЕНИЕ 40, СТРОЕНИЕ 11</t>
  </si>
  <si>
    <t>Грабыльников Дмитрий Анатольевич</t>
  </si>
  <si>
    <t>+7 (499) 133-92-06'</t>
  </si>
  <si>
    <t>buh@kamrock.com', 'buh@kamrock.com'</t>
  </si>
  <si>
    <t>50.601229,36.679318</t>
  </si>
  <si>
    <t>ОБЩЕСТВО С ОГРАНИЧЕННОЙ ОТВЕТСТВЕННОСТЬЮ "ПСК ПОЛИБЕТ"</t>
  </si>
  <si>
    <t>"ПСК ПОЛИБЕТ"</t>
  </si>
  <si>
    <t>3123351580</t>
  </si>
  <si>
    <t>http://polibet.ru</t>
  </si>
  <si>
    <t>308009, БЕЛГОРОДСКАЯ ОБЛАСТЬ, Г. БЕЛГОРОД, УЛ. КОНСТАНТИНА ЗАСЛОНОВА, Д. 195, ПОМЕЩ. 17</t>
  </si>
  <si>
    <t>Халин Максим Борисович</t>
  </si>
  <si>
    <t>+7 (950) 713-35-04'</t>
  </si>
  <si>
    <t>56.28328,36.679327</t>
  </si>
  <si>
    <t>ОБЩЕСТВО С ОГРАНИЧЕННОЙ ОТВЕТСТВЕННОСТЬЮ "Бетонинвест"</t>
  </si>
  <si>
    <t>"Бетонинвест"</t>
  </si>
  <si>
    <t>5020073278</t>
  </si>
  <si>
    <t>141625, МОСКОВСКАЯ ОБЛАСТЬ, ГОРОД КЛИН, ДЕРЕВНЯ РЕШОТКИНО, ДОМ 61</t>
  </si>
  <si>
    <t>Шилова Надежда Ивановна</t>
  </si>
  <si>
    <t>+7 (495) 773-66-88', '+7 (495) 773-66-80', '+7 (903) 562-05-58'</t>
  </si>
  <si>
    <t>betoninvestklin@mail.ru'</t>
  </si>
  <si>
    <t>56.280551,36.684358</t>
  </si>
  <si>
    <t>ОБЩЕСТВО С ОГРАНИЧЕННОЙ ОТВЕТСТВЕННОСТЬЮ "ЭЛСТРОЙ"</t>
  </si>
  <si>
    <t>"ЭЛСТРОЙ"</t>
  </si>
  <si>
    <t>5020069779</t>
  </si>
  <si>
    <t>141625, МОСКОВСКАЯ ОБЛАСТЬ, ГОРОД КЛИН, ДЕРЕВНЯ КОНОПЛИНО, 48</t>
  </si>
  <si>
    <t>Абушев Аскер Мукаилович</t>
  </si>
  <si>
    <t>gofrokorobka@yandex.ru'</t>
  </si>
  <si>
    <t>50.553225,36.68946</t>
  </si>
  <si>
    <t>ОБЩЕСТВО С ОГРАНИЧЕННОЙ ОТВЕТСТВЕННОСТЬЮ "ГиперБел"</t>
  </si>
  <si>
    <t>"ГиперБел"</t>
  </si>
  <si>
    <t>3123322839</t>
  </si>
  <si>
    <t>308510, БЕЛГОРОДСКАЯ ОБЛ, БЕЛГОРОДСКИЙ Р-Н, РАЗУМНОЕ П, ПЕРВОМАЙСКАЯ УЛ, Д 17-А</t>
  </si>
  <si>
    <t>Бабурин Юрий Михайлович</t>
  </si>
  <si>
    <t>56.3534,36.698281</t>
  </si>
  <si>
    <t>ОБЩЕСТВО С ОГРАНИЧЕННОЙ ОТВЕТСТВЕННОСТЬЮ "КЛИНСКИЙ СТРОИТЕЛЬНЫЙ КОМБИНАТ"</t>
  </si>
  <si>
    <t>"КЛИНСКИЙ СТРОИТЕЛЬНЫЙ КОМБИНАТ"</t>
  </si>
  <si>
    <t>5020079128</t>
  </si>
  <si>
    <t>141603, МОСКОВСКАЯ ОБЛАСТЬ, Г КЛИН, УЛ. ТЕРЕШКОВОЙ, Д. 36, СТР. 6</t>
  </si>
  <si>
    <t>Карташов Евгений Михайлович</t>
  </si>
  <si>
    <t>+7 (985) 410-28-39'</t>
  </si>
  <si>
    <t>devid89@list.ru', 'knb50@mail.ru'</t>
  </si>
  <si>
    <t>50.532933,36.701911</t>
  </si>
  <si>
    <t>3102209857</t>
  </si>
  <si>
    <t>308510, БЕЛГОРОДСКАЯ ОБЛАСТЬ, Р-Н БЕЛГОРОДСКИЙ, ПГТ РАЗУМНОЕ, УЛ. ЖЕМЧУЖНАЯ, Д. 28</t>
  </si>
  <si>
    <t>Коновалов Сергей Сергеевич</t>
  </si>
  <si>
    <t>+7 (919) 283-01-10'</t>
  </si>
  <si>
    <t>55.561996,36.701982</t>
  </si>
  <si>
    <t>ОБЩЕСТВО С ОГРАНИЧЕННОЙ ОТВЕТСТВЕННОСТЬЮ "ВОБЛОК"</t>
  </si>
  <si>
    <t>"ВОБЛОК"</t>
  </si>
  <si>
    <t>5032202175</t>
  </si>
  <si>
    <t>143071, МОСКОВСКАЯ ОБЛАСТЬ, Р-Н ОДИНЦОВСКИЙ, Г. КУБИНКА, ГОРОДОК КУБИНКА-1, СТР. 29, ПОМЕЩ. 1</t>
  </si>
  <si>
    <t>Трофимова Елена Алексеевна</t>
  </si>
  <si>
    <t>info@voblok.ru'</t>
  </si>
  <si>
    <t>57.81099,36.704695</t>
  </si>
  <si>
    <t>ОБЩЕСТВО С ОГРАНИЧЕННОЙ ОТВЕТСТВЕННОСТЬЮ "ЖЕЛЕЗОБЕТОННЫЕ ИЗДЕЛИЯ"</t>
  </si>
  <si>
    <t>"ЖЕЛЕЗОБЕТОННЫЕ ИЗДЕЛИЯ"</t>
  </si>
  <si>
    <t>6906012831</t>
  </si>
  <si>
    <t>171983, ТВЕРСКАЯ ОБЛАСТЬ, Р-Н БЕЖЕЦКИЙ, Г. БЕЖЕЦК, П СЕВЕРНЫЙ, Д. 3, КАБИНЕТ 4</t>
  </si>
  <si>
    <t>Суслов Вячеслав Валентинович</t>
  </si>
  <si>
    <t>+7 (910) 932-68-12', '+7 (915) 704-87-97'</t>
  </si>
  <si>
    <t>55.235138,36.706187</t>
  </si>
  <si>
    <t>ОБЩЕСТВО С ОГРАНИЧЕННОЙ ОТВЕТСТВЕННОСТЬЮ "ВОРСИНСКИЙ ЗАВОД СТРОИТЕЛЬНЫХ МАТЕРИАЛОВ"</t>
  </si>
  <si>
    <t>"ВОРСИНСКИЙ ЗАВОД СТРОИТЕЛЬНЫХ МАТЕРИАЛОВ"</t>
  </si>
  <si>
    <t>4003036267</t>
  </si>
  <si>
    <t>249006, КАЛУЖСКАЯ ОБЛАСТЬ, РАЙОН БОРОВСКИЙ, ДЕРЕВНЯ ДОБРИНО, ПРОЕЗД 2-Й ВОСТОЧНЫЙ, ВЛАДЕНИЕ 8</t>
  </si>
  <si>
    <t>Гапонов Виталий Владимирович</t>
  </si>
  <si>
    <t>55.938007,36.707049</t>
  </si>
  <si>
    <t>ОБЩЕСТВО С ОГРАНИЧЕННОЙ ОТВЕТСТВЕННОСТЬЮ "ПРОИЗВОДСТВЕННО-ТЕХНОЛОГИЧЕСКИЙ КОМПЛЕКС ИСТРА"</t>
  </si>
  <si>
    <t>"ПРОИЗВОДСТВЕННО-ТЕХНОЛОГИЧЕСКИЙ КОМПЛЕКС ИСТРА"</t>
  </si>
  <si>
    <t>5017115930</t>
  </si>
  <si>
    <t>143517, МОСКОВСКАЯ ОБЛАСТЬ, ГОРОДСКОЙ ОКРУГ ИСТРА, ПОСЕЛОК ГЛЕБОВСКИЙ, УЛИЦА МИКРОРАЙОН, ДОМ 3,..</t>
  </si>
  <si>
    <t>Невоструев Алексей Владимирович</t>
  </si>
  <si>
    <t>+7 (925) 865-18-19'</t>
  </si>
  <si>
    <t>57.811388,36.720191</t>
  </si>
  <si>
    <t>ОБЩЕСТВО С ОГРАНИЧЕННОЙ ОТВЕТСТВЕННОСТЬЮ "ЖЕЛЕЗОБЕТОННЫЕ ИЗДЕЛИЯ-2"</t>
  </si>
  <si>
    <t>"ЖЕЛЕЗОБЕТОННЫЕ ИЗДЕЛИЯ-2"</t>
  </si>
  <si>
    <t>6906012849</t>
  </si>
  <si>
    <t>171983, ТВЕРСКАЯ ОБЛАСТЬ, РАЙОН БЕЖЕЦКИЙ, ГОРОД БЕЖЕЦК, ПОСЕЛОК СЕВЕРНЫЙ, ДОМ 3, КАБИНЕТ 13</t>
  </si>
  <si>
    <t>Ежов Игорь Валерьевич</t>
  </si>
  <si>
    <t>+7 (905) 164-82-66'</t>
  </si>
  <si>
    <t>50.582141,36.723731</t>
  </si>
  <si>
    <t>ОБЩЕСТВО С ОГРАНИЧЕННОЙ ОТВЕТСТВЕННОСТЬЮ "ЕВРОСТРОЙ ПРОИЗВОДСТВО"</t>
  </si>
  <si>
    <t>"ЕВРОСТРОЙ ПРОИЗВОДСТВО"</t>
  </si>
  <si>
    <t>3102049554</t>
  </si>
  <si>
    <t>308517, Белгородская область, муниципальный район БЕЛГОРОДСКИЙ, Село БЕЛОВСКОЕ, сельское поселение БЕЛОВСКОЕ, УЛ МАРИИ УШАКОВОЙ, Д. 2Б, ПОМЕЩ 4</t>
  </si>
  <si>
    <t>Арчая Торнике</t>
  </si>
  <si>
    <t>56.336049,36.734717</t>
  </si>
  <si>
    <t>ОБЩЕСТВО С ОГРАНИЧЕННОЙ ОТВЕТСТВЕННОСТЬЮ "КЛИНСКАЯ ТРОТУАРНАЯ ПЛИТКА"</t>
  </si>
  <si>
    <t>"КЛИНСКАЯ ТРОТУАРНАЯ ПЛИТКА"</t>
  </si>
  <si>
    <t>5020075797</t>
  </si>
  <si>
    <t>141601, МОСКОВСКАЯ ОБЛАСТЬ, Г КЛИН, ПЛ. СОВЕТСКАЯ, Д.18А</t>
  </si>
  <si>
    <t>Михайловский Дмитрий Тимофеевич</t>
  </si>
  <si>
    <t>+7 (495) 960-35-64'</t>
  </si>
  <si>
    <t>mail@infin.com'</t>
  </si>
  <si>
    <t>51.050888,36.741131</t>
  </si>
  <si>
    <t>ОБЩЕСТВО С ОГРАНИЧЕННОЙ ОТВЕТСТВЕННОСТЬЮ "БЕЛЖБИТРАНС"</t>
  </si>
  <si>
    <t>"БЕЛЖБИТРАНС"</t>
  </si>
  <si>
    <t>3115007022</t>
  </si>
  <si>
    <t>309000, БЕЛГОРОДСКАЯ ОБЛАСТЬ, Р-Н ПРОХОРОВСКИЙ, ПГТ ПРОХОРОВКА, УЛ. ОКТЯБРЬСКАЯ, Д. 185А</t>
  </si>
  <si>
    <t>Алтунин Олег Викторович</t>
  </si>
  <si>
    <t>+7 (960) 635-55-95'</t>
  </si>
  <si>
    <t>50.468453,36.742056</t>
  </si>
  <si>
    <t>ОБЩЕСТВО С ОГРАНИЧЕННОЙ ОТВЕТСТВЕННОСТЬЮ "Белгородский завод ЖБИ и труб"</t>
  </si>
  <si>
    <t>"Белгородский завод ЖБИ и труб"</t>
  </si>
  <si>
    <t>3120098219</t>
  </si>
  <si>
    <t>309276, БЕЛГОРОДСКАЯ ОБЛАСТЬ, Р-Н ШЕБЕКИНСКИЙ, П МАСЛОВА ПРИСТАНЬ, УЛ. ЗЕЛЕНАЯ, К.25</t>
  </si>
  <si>
    <t>Шишкина Ольга Сергеевна</t>
  </si>
  <si>
    <t>+7 (919) 282-24-13'</t>
  </si>
  <si>
    <t>55.32602,36.746503</t>
  </si>
  <si>
    <t>ОБЩЕСТВО С ОГРАНИЧЕННОЙ ОТВЕТСТВЕННОСТЬЮ «МОСБЛОК»</t>
  </si>
  <si>
    <t>«МОСБЛОК»</t>
  </si>
  <si>
    <t>5030101661</t>
  </si>
  <si>
    <t>143322, МОСКОВСКАЯ ОБЛ., Г. Наро-Фоминск, С. Атепцево, ПЛ. КУПЦА АЛЕШИНА, СТР. 1, ПОМЕЩ. 8</t>
  </si>
  <si>
    <t>Кожевников Дмитрий Сергеевич</t>
  </si>
  <si>
    <t>55.019274,36.751111</t>
  </si>
  <si>
    <t>ОБЩЕСТВО С ОГРАНИЧЕННОЙ ОТВЕТСТВЕННОСТЬЮ "ЗИС ГРУПП"</t>
  </si>
  <si>
    <t>"ЗИС ГРУПП"</t>
  </si>
  <si>
    <t>4007018413</t>
  </si>
  <si>
    <t>http://bloki-obninsk.ru</t>
  </si>
  <si>
    <t>249191, КАЛУЖСКАЯ ОБЛАСТЬ, РАЙОН ЖУКОВСКИЙ, ГОРОД ЖУКОВ, УЛИЦА СОВЕТСКАЯ, ДОМ 84А</t>
  </si>
  <si>
    <t>Зуев Дмитрий Юрьевич</t>
  </si>
  <si>
    <t>55.039512,36.752297</t>
  </si>
  <si>
    <t>Общество с ограниченной ответственностью "Завод Металлоизделий Таврос"</t>
  </si>
  <si>
    <t>"Завод Металлоизделий Таврос"</t>
  </si>
  <si>
    <t>4007013969</t>
  </si>
  <si>
    <t>249191, КАЛУЖСКАЯ ОБЛ, ЖУКОВСКИЙ Р-Н, ЖУКОВ Г, ЛЕСНАЯ УЛ, Д 2 А</t>
  </si>
  <si>
    <t>Васильев Олег Анатольевич</t>
  </si>
  <si>
    <t>+7 (495) 720-49-69', '+7 (965) 704-50-37'</t>
  </si>
  <si>
    <t>56.338833,36.762215</t>
  </si>
  <si>
    <t>ОБЩЕСТВО С ОГРАНИЧЕННОЙ ОТВЕТСТВЕННОСТЬЮ "КЛИНСТРОЙДЕТАЛЬ"</t>
  </si>
  <si>
    <t>"КЛИНСТРОЙДЕТАЛЬ"</t>
  </si>
  <si>
    <t>5020080116</t>
  </si>
  <si>
    <t>141604, МОСКОВСКАЯ ОБЛАСТЬ, ГОРОД КЛИН, ПРОЕЗД КЕРАМИЧЕСКИЙ, ПОМЕЩЕНИЕ 2, ОФИС 6</t>
  </si>
  <si>
    <t>Никифорова Наталья Валерьевна</t>
  </si>
  <si>
    <t>+7 (985) 004-47-44'</t>
  </si>
  <si>
    <t>56.319225,36.766508</t>
  </si>
  <si>
    <t>5020087619</t>
  </si>
  <si>
    <t>141613, МОСКОВСКАЯ ОБЛАСТЬ, ГОРОД КЛИН, УЛИЦА ЧАЙКОВСКОГО, ДОМ 105, КОРПУС 1,..</t>
  </si>
  <si>
    <t>Джабраилов Рустам Агарзаевич</t>
  </si>
  <si>
    <t>56.709764,36.793674</t>
  </si>
  <si>
    <t>ОБЩЕСТВО С ОГРАНИЧЕННОЙ ОТВЕТСТВЕННОСТЬЮ "КАНЬОН"</t>
  </si>
  <si>
    <t>"КАНЬОН"</t>
  </si>
  <si>
    <t>7722326300</t>
  </si>
  <si>
    <t>171256, ТВЕРСКАЯ ОБЛАСТЬ, Р-Н КОНАКОВСКИЙ, Г. КОНАКОВО, УЛ. ВОСТОЧНО-ПРОМЫШЛЕННЫЙ РАЙОН, Д. 5А</t>
  </si>
  <si>
    <t>Кириллова Елена Алексеевна</t>
  </si>
  <si>
    <t>+7 (495) 737-44-10', '+7 (495) 737-44-10'</t>
  </si>
  <si>
    <t>55.739934,36.856035</t>
  </si>
  <si>
    <t>ОБЩЕСТВО С ОГРАНИЧЕННОЙ ОТВЕТСТВЕННОСТЬЮ КАНДОР ВЬЮ</t>
  </si>
  <si>
    <t>КАНДОР ВЬЮ</t>
  </si>
  <si>
    <t>5032299368</t>
  </si>
  <si>
    <t>143185, МОСКОВСКАЯ ОБЛАСТЬ, Г ОДИНЦОВО, Г. ЗВЕНИГОРОД, УЛ. СПОРТИВНАЯ, Д. 16, ПОМЕЩ. VIII</t>
  </si>
  <si>
    <t>Богатиков Владимир Владимирович</t>
  </si>
  <si>
    <t>55.701268,36.877477</t>
  </si>
  <si>
    <t>ОБЩЕСТВО С ОГРАНИЧЕННОЙ ОТВЕТСТВЕННОСТЬЮ "МОСБЛОКСТРОЙ"</t>
  </si>
  <si>
    <t>"МОСБЛОКСТРОЙ"</t>
  </si>
  <si>
    <t>5015015672</t>
  </si>
  <si>
    <t>143035, МОСКОВСКАЯ ОБЛАСТЬ, Г. ЗВЕНИГОРОД, П Д/О ПОРЕЧЬЕ, Д. 7,..</t>
  </si>
  <si>
    <t>Хлебников Александр Сергеевич</t>
  </si>
  <si>
    <t>info@mosblok.ru'</t>
  </si>
  <si>
    <t>55.924013,36.881151</t>
  </si>
  <si>
    <t>ОБЩЕСТВО С ОГРАНИЧЕННОЙ ОТВЕТСТВЕННОСТЬЮ "ПСО-СТРОИТЕЛЬНЫЕ МАТЕРИАЛЫ"</t>
  </si>
  <si>
    <t>"ПСО-СТРОИТЕЛЬНЫЕ МАТЕРИАЛЫ"</t>
  </si>
  <si>
    <t>5017106340</t>
  </si>
  <si>
    <t>http://psosm.ru</t>
  </si>
  <si>
    <t>143500, МОСКОВСКАЯ ОБЛАСТЬ, Г ИСТРА, УЛ. СОВЕТСКАЯ, Д. 47</t>
  </si>
  <si>
    <t>Белогуров Дмитрий Александрович</t>
  </si>
  <si>
    <t>+7 (915) 488-38-67'</t>
  </si>
  <si>
    <t>89265287676@mail.ru', '9945202@mail.ru', 'bychkova@pso13.ru'</t>
  </si>
  <si>
    <t>55.210361,36.882391</t>
  </si>
  <si>
    <t>ОБЩЕСТВО С ОГРАНИЧЕННОЙ ОТВЕТСТВЕННОСТЬЮ "ПОДСОБНОЕ ХОЗЯЙСТВО ДЕТСКОГО ПРИЮТА""ПОКРОВ"</t>
  </si>
  <si>
    <t>"ПОДСОБНОЕ ХОЗЯЙСТВО ДЕТСКОГО ПРИЮТА""ПОКРОВ"</t>
  </si>
  <si>
    <t>4007018357</t>
  </si>
  <si>
    <t>249100, КАЛУЖСКАЯ ОБЛАСТЬ, РАЙОН ЖУКОВСКИЙ, ДЕРЕВНЯ НАРА, ДОМ 23/10</t>
  </si>
  <si>
    <t>Максимова Юлия Владимировна</t>
  </si>
  <si>
    <t>+7 (926) 080-21-70'</t>
  </si>
  <si>
    <t>51.880877,36.891105</t>
  </si>
  <si>
    <t>Общество с ограниченной ответственностью "Нисаба"</t>
  </si>
  <si>
    <t>"Нисаба"</t>
  </si>
  <si>
    <t>4628005625</t>
  </si>
  <si>
    <t>306530, Курская область, городской округ ГОРОД ЩИГРЫ, Город ЩИГРЫ, УЛ МАКАРОВА, Д. 10, ОФИС 1</t>
  </si>
  <si>
    <t>Свищенко Игорь Николаевич</t>
  </si>
  <si>
    <t>+7 (905) 159-20-35'</t>
  </si>
  <si>
    <t>56.038474,36.913473</t>
  </si>
  <si>
    <t>ОБЩЕСТВО С ОГРАНИЧЕННОЙ ОТВЕТСТВЕННОСТЬЮ "ФИТОН"</t>
  </si>
  <si>
    <t>"ФИТОН"</t>
  </si>
  <si>
    <t>7743176166</t>
  </si>
  <si>
    <t>141534, МОСКОВСКАЯ ОБЛАСТЬ, ГОРОД СОЛНЕЧНОГОРСК, ДЕРЕВНЯ СОКОЛОВО, УЛИЦА ИНДУСТРИАЛЬНАЯ, СТРОЕНИЕ 3, ЭТ/ПОМ/КОМ 1/2/21</t>
  </si>
  <si>
    <t>Шапоров Михаил Юрьевич</t>
  </si>
  <si>
    <t>+7 (916) 718-63-35'</t>
  </si>
  <si>
    <t>55.455688,36.938051</t>
  </si>
  <si>
    <t>ОБЩЕСТВО С ОГРАНИЧЕННОЙ ОТВЕТСТВЕННОСТЬЮ "МИКРОЦЕМЕНТГРУПП"</t>
  </si>
  <si>
    <t>"МИКРОЦЕМЕНТГРУПП"</t>
  </si>
  <si>
    <t>7731273060</t>
  </si>
  <si>
    <t>108805, МОСКВА ГОРОД, ПОС. НОВОФЕДОРОВСКОЕ, Д КУЗНЕЦОВО, ДОМОВЛАД 54А, СТР. 3, ЭТАЖ 1 ОФИС 1</t>
  </si>
  <si>
    <t>Борисов Юрий Николаевич</t>
  </si>
  <si>
    <t>+7 (495) 440-63-80', '+7 (495) 775-42-18'</t>
  </si>
  <si>
    <t>ОБЩЕСТВО С ОГРАНИЧЕННОЙ ОТВЕТСТВЕННОСТЬЮ ДОМОСТРОИТЕЛЬНЫЙ КОМБИНАТ "ИННОБЛОК"</t>
  </si>
  <si>
    <t>ДОМОСТРОИТЕЛЬНЫЙ КОМБИНАТ "ИННОБЛОК"</t>
  </si>
  <si>
    <t>7751526103</t>
  </si>
  <si>
    <t>108805, МОСКВА ГОРОД, ПОСЕЛЕНИЕ НОВОФЕДОРОВСКОЕ, ДЕРЕВНЯ КУЗНЕЦОВО, ДОМОВЛАД. 54А, СТРОЕНИЕ 3, ЭТАЖ 2 ОФИС 3</t>
  </si>
  <si>
    <t>Лелюх Роман Леонидович</t>
  </si>
  <si>
    <t>+7 (495) 775-42-18'</t>
  </si>
  <si>
    <t>lelyukh@eurokam.ru', 'smm@eurokam.ru'</t>
  </si>
  <si>
    <t>55.927044,36.95767</t>
  </si>
  <si>
    <t>ОБЩЕСТВО С ОГРАНИЧЕННОЙ ОТВЕТСТВЕННОСТЬЮ "ИНРОСТ"</t>
  </si>
  <si>
    <t>"ИНРОСТ"</t>
  </si>
  <si>
    <t>5017103684</t>
  </si>
  <si>
    <t>143541, МОСКОВСКАЯ ОБЛАСТЬ, ГОРОД ИСТРА, ДЕРЕВНЯ ИВАНОВСКОЕ, ДОМ 14</t>
  </si>
  <si>
    <t>Мхитарян Варужан Сасуникович</t>
  </si>
  <si>
    <t>+7 (903) 196-86-97', '+7 (963) 677-75-57'</t>
  </si>
  <si>
    <t>kazakova@mail.ru'</t>
  </si>
  <si>
    <t>55.629694,36.965072</t>
  </si>
  <si>
    <t>ОБЩЕСТВО С ОГРАНИЧЕННОЙ ОТВЕТСТВЕННОСТЬЮ "ТАТ-СТРОЙ"</t>
  </si>
  <si>
    <t>"ТАТ-СТРОЙ"</t>
  </si>
  <si>
    <t>5032312548</t>
  </si>
  <si>
    <t>143041, МОСКОВСКАЯ ОБЛАСТЬ, Р-Н ОДИНЦОВСКИЙ, Г. ГОЛИЦЫНО, Ш. МОЖАЙСКОЕ, Д. 83, ПОМЕЩ. 3, ЭТАЖ 1</t>
  </si>
  <si>
    <t>Барбакадзе Муради Сахрабович</t>
  </si>
  <si>
    <t>55.639893,36.96783</t>
  </si>
  <si>
    <t>ОБЩЕСТВО С ОГРАНИЧЕННОЙ ОТВЕТСТВЕННОСТЬЮ "ЗАВОД "СТРОЙБЕТОН"</t>
  </si>
  <si>
    <t>"ЗАВОД "СТРОЙБЕТОН"</t>
  </si>
  <si>
    <t>5032315997</t>
  </si>
  <si>
    <t>143022, МОСКОВСКАЯ ОБЛАСТЬ, ГОРОД ОДИНЦОВО, ПОСЕЛОК ЛЕТНИЙ ОТДЫХ, УЛИЦА КООПЕРАТИВНАЯ, ДОМ 16, КОМНАТА 1 ЭТАЖ 1</t>
  </si>
  <si>
    <t>Ирзаев Нияз Алмазович</t>
  </si>
  <si>
    <t>55.516196,36.969986</t>
  </si>
  <si>
    <t>5030085843</t>
  </si>
  <si>
    <t>143345, МОСКОВСКАЯ ОБЛАСТЬ, ГОРОД НАРО-ФОМИНСК, РАБОЧИЙ ПОСЕЛОК СЕЛЯТИНО, УЛИЦА ВОКЗАЛЬНАЯ, ДОМ 18А</t>
  </si>
  <si>
    <t>Орлянский Максим Владимирович</t>
  </si>
  <si>
    <t>55.640304,36.972277</t>
  </si>
  <si>
    <t>ОБЩЕСТВО С ОГРАНИЧЕННОЙ ОТВЕТСТВЕННОСТЬЮ "СТРОЙБЕТОН"</t>
  </si>
  <si>
    <t>"СТРОЙБЕТОН"</t>
  </si>
  <si>
    <t>5032335707</t>
  </si>
  <si>
    <t>143022, Московская область, ОДИНЦОВСКИЙ, П ЛЕТНИЙ ОТДЫХ, УЛ ЗЕЛЕНАЯ, Д. 4</t>
  </si>
  <si>
    <t>Ирзаева Милвари Амирхановна</t>
  </si>
  <si>
    <t>56.185107,36.977631</t>
  </si>
  <si>
    <t>ОБЩЕСТВО С ОГРАНИЧЕННОЙ ОТВЕТСТВЕННОСТЬЮ " АГРОСТРОЙБЕТОН"</t>
  </si>
  <si>
    <t>" АГРОСТРОЙБЕТОН"</t>
  </si>
  <si>
    <t>5044077715</t>
  </si>
  <si>
    <t>http://agrostroy-rbu.ru</t>
  </si>
  <si>
    <t>141508, МОСКОВСКАЯ ОБЛАСТЬ, Г. СОЛНЕЧНОГОРСК, ТЕР ПРОМЗОНА РЕКИНЦО, Д. 9, ПОМЕЩ. 7</t>
  </si>
  <si>
    <t>Султанов Ильдар Радикович</t>
  </si>
  <si>
    <t>+7 (905) 588-68-30'</t>
  </si>
  <si>
    <t>55.644389,36.977666</t>
  </si>
  <si>
    <t>ОБЩЕСТВО С ОГРАНИЧЕННОЙ ОТВЕТСТВЕННОСТЬЮ "ДИАМАНТ ПЛЮС"</t>
  </si>
  <si>
    <t>"ДИАМАНТ ПЛЮС"</t>
  </si>
  <si>
    <t>5032324705</t>
  </si>
  <si>
    <t>143022, Московская ОБЛАСТЬ, Г. Одинцово, П. Летний Отдых, Ш. ЗВЕНИГОРОДСКОЕ, Д. 2, ОФИС 5</t>
  </si>
  <si>
    <t>Сидорук Алина Сергеевна</t>
  </si>
  <si>
    <t>56.186664,36.984341</t>
  </si>
  <si>
    <t>АКЦИОНЕРНОЕ ОБЩЕСТВО "МОНОЛИТСТРОЙ"</t>
  </si>
  <si>
    <t>5044046682</t>
  </si>
  <si>
    <t>МОСКОВСКАЯ ОБЛ.,Г СОЛНЕЧНОГОРСК,УЛ ДЗЕРЖИНСКОГО, КУЛЬТУРНО-ТОРГОВЫЙ ЦЕНТР "ЗВЕЗДНЫЙ"</t>
  </si>
  <si>
    <t>Костенко Максим Иванович</t>
  </si>
  <si>
    <t>+7 (495) 788-83-06'</t>
  </si>
  <si>
    <t>56.178493,36.985266</t>
  </si>
  <si>
    <t>ОБЩЕСТВО С ОГРАНИЧЕННОЙ ОТВЕТСТВЕННОСТЬЮ "СТРОЙПРОЕКТ ТСМ"</t>
  </si>
  <si>
    <t>"СТРОЙПРОЕКТ ТСМ"</t>
  </si>
  <si>
    <t>5044065597</t>
  </si>
  <si>
    <t>141503, МОСКОВСКАЯ ОБЛАСТЬ, Г. СОЛНЕЧНОГОРСК, УЛ. ИМ ТЕЛЬНОВА, Д. 5, ЭТАЖ 1, КОМ. 1,2</t>
  </si>
  <si>
    <t>Вардазарян Товмас Жирайрович</t>
  </si>
  <si>
    <t>+7 (901) 532-74-99'</t>
  </si>
  <si>
    <t>56.184365,36.98559</t>
  </si>
  <si>
    <t>ОБЩЕСТВО С ОГРАНИЧЕННОЙ ОТВЕТСТВЕННОСТЬЮ "ВИЛФУЛ"</t>
  </si>
  <si>
    <t>"ВИЛФУЛ"</t>
  </si>
  <si>
    <t>5044111853</t>
  </si>
  <si>
    <t>141506, МОСКОВСКАЯ ОБЛАСТЬ, Г. СОЛНЕЧНОГОРСК, УЛ. ИМЕНИ БАРАНОВА, Д. 12, ПОМЕЩЕНИЕ 2</t>
  </si>
  <si>
    <t>Балашов Сергей Вадимович</t>
  </si>
  <si>
    <t>+7 (903) 151-33-44'</t>
  </si>
  <si>
    <t>55.641895,36.986712</t>
  </si>
  <si>
    <t>ОБЩЕСТВО С ОГРАНИЧЕННОЙ ОТВЕТСТВЕННОСТЬЮ "ВИНТ МОНОЛИТ"</t>
  </si>
  <si>
    <t>"ВИНТ МОНОЛИТ"</t>
  </si>
  <si>
    <t>5032307153</t>
  </si>
  <si>
    <t>143022, МОСКОВСКАЯ ОБЛАСТЬ, ГОРОД ОДИНЦОВО, ДЕРЕВНЯ ШАРАПОВКА, ВЛАДЕНИЕ 1, СТРОЕНИЕ 1</t>
  </si>
  <si>
    <t>Мамурин Александр Викторович</t>
  </si>
  <si>
    <t>55.5254,37.000852</t>
  </si>
  <si>
    <t>5030044195</t>
  </si>
  <si>
    <t>МОСКОВСКАЯ ОБЛ.,НАРО-ФОМИНСКИЙ Р-Н,Д АЛАБИНО,ЗАВОД ЖБИ, АДМИНИСТРАТИВНЫЙ КОРПУС</t>
  </si>
  <si>
    <t>Ершов Алексей Николаевич</t>
  </si>
  <si>
    <t>+7 (495) 720-49-54'</t>
  </si>
  <si>
    <t>56.177757,37.000888</t>
  </si>
  <si>
    <t>ОБЩЕСТВО С ОГРАНИЧЕННОЙ ОТВЕТСТВЕННОСТЬЮ "ФИБРОФОРМА"</t>
  </si>
  <si>
    <t>"ФИБРОФОРМА"</t>
  </si>
  <si>
    <t>5044117527</t>
  </si>
  <si>
    <t>141508, МОСКОВСКАЯ ОБЛ., Г. Солнечногорск, УЛ. МОЛОДЕЖНАЯ, Д. 1, ПОМЕЩ. XII</t>
  </si>
  <si>
    <t>Иванов Андрей Николаевич</t>
  </si>
  <si>
    <t>55.621948,37.004041</t>
  </si>
  <si>
    <t>ОБЩЕСТВО С ОГРАНИЧЕННОЙ ОТВЕТСТВЕННОСТЬЮ "ТОРГОВО СТРОИТЕЛЬНАЯ КОМПАНИЯ БЕТОН СТРОЙ КОНСТРУКЦИЯ"</t>
  </si>
  <si>
    <t>"ТОРГОВО СТРОИТЕЛЬНАЯ КОМПАНИЯ БЕТОН СТРОЙ КОНСТРУКЦИЯ"</t>
  </si>
  <si>
    <t>5032303906</t>
  </si>
  <si>
    <t>143050, МОСКОВСКАЯ ОБЛАСТЬ, ОДИНЦОВСКИЙ РАЙОН, РАБОЧИЙ ПОСЕЛОК БОЛЬШИЕ ВЯЗЕМЫ, ПРОЕЗД ПРОИЗВОДСТВЕННЫЙ, ВЛАДЕНИЕ 3, СТРОЕНИЕ 2</t>
  </si>
  <si>
    <t>Зеленский Андрей Васильевич</t>
  </si>
  <si>
    <t>55.637804,37.017606</t>
  </si>
  <si>
    <t>ОБЩЕСТВО С ОГРАНИЧЕННОЙ ОТВЕТСТВЕННОСТЬЮ "ТРАНССТРОЙИНВЕСТ"</t>
  </si>
  <si>
    <t>"ТРАНССТРОЙИНВЕСТ"</t>
  </si>
  <si>
    <t>5032325018</t>
  </si>
  <si>
    <t>143050, Московская область, городской округ ОДИНЦОВСКИЙ, РП БОЛЬШИЕ ВЯЗЁМЫ, УЛ ГОРОДОК-17, Д. 15А, ПОМЕЩ. 1</t>
  </si>
  <si>
    <t>Храменков Дмитрий Федорович</t>
  </si>
  <si>
    <t>KULAEV_I@MAIL.RU'</t>
  </si>
  <si>
    <t>55.639695,37.028134</t>
  </si>
  <si>
    <t>5032310773</t>
  </si>
  <si>
    <t>143050, МОСКОВСКАЯ ОБЛАСТЬ, Г ОДИНЦОВО, Д МАЛЫЕ ВЯЗЁМЫ, Ш. МОЖАЙСКОЕ, Д. 1, ПОМЕЩ. 2</t>
  </si>
  <si>
    <t>Ризаев Махар Ибрагимович</t>
  </si>
  <si>
    <t>55.863414,37.043037</t>
  </si>
  <si>
    <t>ОБЩЕСТВО С ОГРАНИЧЕННОЙ ОТВЕТСТВЕННОСТЬЮ "АРБОЛИТ "ПЕТРОВИЧ""</t>
  </si>
  <si>
    <t>"АРБОЛИТ "ПЕТРОВИЧ""</t>
  </si>
  <si>
    <t>5017125261</t>
  </si>
  <si>
    <t>143591, МОСКОВСКАЯ ОБЛ., Г. Истра, С. Рождествено, Б-Р СИРЕНЕВЫЙ, Д. 2, ПОМ 133 КОМН 2</t>
  </si>
  <si>
    <t>Шлык Анатолий Викторович</t>
  </si>
  <si>
    <t>DUKER2005@YANDEX.RU'</t>
  </si>
  <si>
    <t>55.831635,37.048615</t>
  </si>
  <si>
    <t>АКЦИОНЕРНОЕ ОБЩЕСТВО "САПСАН-ТЕХНОЛОГИИ"</t>
  </si>
  <si>
    <t>"САПСАН-ТЕХНОЛОГИИ"</t>
  </si>
  <si>
    <t>5017113467</t>
  </si>
  <si>
    <t>143581, МОСКОВСКАЯ ОБЛАСТЬ, Г ИСТРА, Д БОРЗЫЕ, ТЕР КП КНЯЖЬЕ ОЗЕРО, Д. 713/3, ПОМЕЩ. 21</t>
  </si>
  <si>
    <t>Шмаков Сергей Александрович</t>
  </si>
  <si>
    <t>+7 (498) 319-79-10'</t>
  </si>
  <si>
    <t>54.504933,37.051409</t>
  </si>
  <si>
    <t>ОБЩЕСТВО С ОГРАНИЧЕННОЙ ОТВЕТСТВЕННОСТЬЮ "ДИОНИС"</t>
  </si>
  <si>
    <t>"ДИОНИС"</t>
  </si>
  <si>
    <t>7111020950</t>
  </si>
  <si>
    <t>301361, ТУЛЬСКАЯ ОБЛАСТЬ, Р-Н АЛЕКСИНСКИЙ, Г. АЛЕКСИН, УЛ. ТУРГЕНЕВА, Д. 40</t>
  </si>
  <si>
    <t>Федоров Сергей Алексеевич</t>
  </si>
  <si>
    <t>+7 (487) 536-00-94'</t>
  </si>
  <si>
    <t>54.491501,37.055326</t>
  </si>
  <si>
    <t>ОБЩЕСТВО С ОГРАНИЧЕННОЙ ОТВЕТСТВЕННОСТЬЮ "АЛЕКСИНСКИЙ ЗАВОД КЕРАМЗИТОБЕТОННЫХ МАТЕРИАЛОВ"</t>
  </si>
  <si>
    <t>"АЛЕКСИНСКИЙ ЗАВОД КЕРАМЗИТОБЕТОННЫХ МАТЕРИАЛОВ"</t>
  </si>
  <si>
    <t>7111023398</t>
  </si>
  <si>
    <t>301371, ТУЛЬСКАЯ ОБЛАСТЬ, РАЙОН АЛЕКСИНСКИЙ, ГОРОД АЛЕКСИН, УЛИЦА ПИОНЕРСКАЯ, ЗДАНИЕ 39Д, ОФИС 2 ЭТАЖ 1</t>
  </si>
  <si>
    <t>Ганин Дмитрий Александрович</t>
  </si>
  <si>
    <t>azkm71@yandex.ru'</t>
  </si>
  <si>
    <t>54.490073,37.059395</t>
  </si>
  <si>
    <t>ОБЩЕСТВО С ОГРАНИЧЕННОЙ ОТВЕТСТВЕННОСТЬЮ ПРОИЗВОДСТВЕННО-КОММЕРЧЕСКАЯ ФИРМА "КЕРАМЗИТОБЕТОННЫЕ БЛОКИ"</t>
  </si>
  <si>
    <t>ПРОИЗВОДСТВЕННО-КОММЕРЧЕСКАЯ ФИРМА "КЕРАМЗИТОБЕТОННЫЕ БЛОКИ"</t>
  </si>
  <si>
    <t>7111023454</t>
  </si>
  <si>
    <t>301371, ТУЛЬСКАЯ ОБЛАСТЬ, РАЙОН АЛЕКСИНСКИЙ, ГОРОД АЛЕКСИН, УЛИЦА СЛОБОДКА, ДОМ 1Б, ОФИС 1</t>
  </si>
  <si>
    <t>Семенов Сергей Васильевич</t>
  </si>
  <si>
    <t>kblok2020@mail.ru'</t>
  </si>
  <si>
    <t>55.547616,37.063177</t>
  </si>
  <si>
    <t>ОБЩЕСТВО С ОГРАНИЧЕННОЙ ОТВЕТСТВЕННОСТЬЮ "ОБЛСТРОЙСИТИ"</t>
  </si>
  <si>
    <t>"ОБЛСТРОЙСИТИ"</t>
  </si>
  <si>
    <t>5030090875</t>
  </si>
  <si>
    <t>143362, МОСКОВСКАЯ ОБЛ, Наро-Фоминский го, АПРЕЛЕВКА Г, МАРТОВСКАЯ УЛ, ДОМ 3А</t>
  </si>
  <si>
    <t>Садовская Надежда Геннадьевна</t>
  </si>
  <si>
    <t>+7 (925) 234-05-25'</t>
  </si>
  <si>
    <t>54.502429,37.066034</t>
  </si>
  <si>
    <t>ОБЩЕСТВО С ОГРАНИЧЕННОЙ ОТВЕТСТВЕННОСТЬЮ "РУССКАЯ КИРПИЧНАЯ КОМПАНИЯ"</t>
  </si>
  <si>
    <t>"РУССКАЯ КИРПИЧНАЯ КОМПАНИЯ"</t>
  </si>
  <si>
    <t>7111025099</t>
  </si>
  <si>
    <t>ТУЛЬСКАЯ ОБЛ.,Г АЛЕКСИН,УЛ БОЛОТОВА НА ТЕРРИТОРИИ АВТОКОЛОННЫ N 1661</t>
  </si>
  <si>
    <t>Ковкова Ираида Евгеньевна</t>
  </si>
  <si>
    <t>+7 (905) 511-94-20', '+7 (960) 603-48-43'</t>
  </si>
  <si>
    <t>55.555026,37.067291</t>
  </si>
  <si>
    <t>ОБЩЕСТВО С ОГРАНИЧЕННОЙ ОТВЕТСТВЕННОСТЬЮ "ПРАКТИКА"</t>
  </si>
  <si>
    <t>"ПРАКТИКА"</t>
  </si>
  <si>
    <t>5030020331</t>
  </si>
  <si>
    <t>МОСКОВСКАЯ ОБЛ.,НАРО-ФОМИНСКИЙ Р-Н,Г АПРЕЛЕВКА,УЛ ПАРКОВАЯ, Д 1</t>
  </si>
  <si>
    <t>Ракитин Евгений Алексеевич</t>
  </si>
  <si>
    <t>55.551084,37.071495</t>
  </si>
  <si>
    <t>5030095305</t>
  </si>
  <si>
    <t>143360, Московская область, городской округ НАРО-ФОМИНСКИЙ, Город АПРЕЛЕВКА, УЛ АВГУСТОВСКАЯ, Д. 1, К.ЭТАЖ 1, ПОМЕЩ. 1</t>
  </si>
  <si>
    <t>Пряднев Игорь Александрович</t>
  </si>
  <si>
    <t>55.710803,37.08276</t>
  </si>
  <si>
    <t>ОБЩЕСТВО С ОГРАНИЧЕННОЙ ОТВЕТСТВЕННОСТЬЮ "АЙКРАФТ"</t>
  </si>
  <si>
    <t>"АЙКРАФТ"</t>
  </si>
  <si>
    <t>5032340577</t>
  </si>
  <si>
    <t>143030, Московская область, городской округ ОДИНЦОВСКИЙ, Село УСПЕНСКОЕ, Ш 1-Е УСПЕНСКОЕ, ВЛД. 2, СТР. 9, КАБ. 16</t>
  </si>
  <si>
    <t>Богданов Сергей Игоревич</t>
  </si>
  <si>
    <t>55.980059,37.082994</t>
  </si>
  <si>
    <t>ОБЩЕСТВО С ОГРАНИЧЕННОЙ ОТВЕТСТВЕННОСТЬЮ "ЕВРОТОРГ"</t>
  </si>
  <si>
    <t>"ЕВРОТОРГ"</t>
  </si>
  <si>
    <t>5044090459</t>
  </si>
  <si>
    <t>141551, МОСКОВСКАЯ ОБЛАСТЬ, ДЕРЕВНЯ ЖИЛИНО, ДОМ 91</t>
  </si>
  <si>
    <t>Арутюнян Артак Гамлетович</t>
  </si>
  <si>
    <t>+7 (905) 599-91-97'</t>
  </si>
  <si>
    <t>evratorg@mail.ru'</t>
  </si>
  <si>
    <t>55.818255,37.087234</t>
  </si>
  <si>
    <t>ОБЩЕСТВО С ОГРАНИЧЕННОЙ ОТВЕТСТВЕННОСТЬЮ "ПРОФДЕКОР"</t>
  </si>
  <si>
    <t>"ПРОФДЕКОР"</t>
  </si>
  <si>
    <t>5017126811</t>
  </si>
  <si>
    <t>143581, МОСКОВСКАЯ ОБЛ., Г. Истра, С. Павловская Слобода, УЛ. СОВЕТСКАЯ, Д. 2,..</t>
  </si>
  <si>
    <t>INFO@PROF-DEKOR'</t>
  </si>
  <si>
    <t>54.514509,37.091312</t>
  </si>
  <si>
    <t>ОБЩЕСТВО С ОГРАНИЧЕННОЙ ОТВЕТСТВЕННОСТЬЮ "САМО"</t>
  </si>
  <si>
    <t>"САМО"</t>
  </si>
  <si>
    <t>7111027963</t>
  </si>
  <si>
    <t>http://aleksin-mag.ru</t>
  </si>
  <si>
    <t>ТУЛЬСКАЯ ОБЛ.,Г АЛЕКСИН,УЛ СОВЕТСКАЯ Д 25</t>
  </si>
  <si>
    <t>Якимова Людмила Константиновна</t>
  </si>
  <si>
    <t>+7 (903) 039-52-28'</t>
  </si>
  <si>
    <t>56.061384,37.095804</t>
  </si>
  <si>
    <t>ОБЩЕСТВО С ОГРАНИЧЕННОЙ ОТВЕТСТВЕННОСТЬЮ "МУ-КПЛстрой"</t>
  </si>
  <si>
    <t>"МУ-КПЛстрой"</t>
  </si>
  <si>
    <t>5044083010</t>
  </si>
  <si>
    <t>141532, МОСКОВСКАЯ ОБЛАСТЬ, ГОРОД СОЛНЕЧНОГОРСК, ПОСЕЛОК ШИШОВКА, УЛИЦА ТУПИКОВАЯ, 8А</t>
  </si>
  <si>
    <t>Парамонов Андрей Викторович</t>
  </si>
  <si>
    <t>+7 (495) 542-64-18'</t>
  </si>
  <si>
    <t>56.08991,37.100412</t>
  </si>
  <si>
    <t>ОБЩЕСТВО С ОГРАНИЧЕННОЙ ОТВЕТСТВЕННОСТЬЮ "ДОРПЛИТСТРОЙ"</t>
  </si>
  <si>
    <t>"ДОРПЛИТСТРОЙ"</t>
  </si>
  <si>
    <t>5044093940</t>
  </si>
  <si>
    <t>141595, МОСКОВСКАЯ ОБЛАСТЬ, ГОРОД СОЛНЕЧНОГОРСК, ДЕРЕВНЯ ЛОЖКИ, УЛИЦА ЦЕНТРАЛЬНАЯ, СТРОЕНИЕ 05-М, ЛИТЕР А, КАБИНЕТ 9 ПОМЕЩЕНИЕ I</t>
  </si>
  <si>
    <t>Балян Аветис Паркевович</t>
  </si>
  <si>
    <t>+7 (915) 044-69-00'</t>
  </si>
  <si>
    <t>9645842909@mail.ru'</t>
  </si>
  <si>
    <t>56.099315,37.106943</t>
  </si>
  <si>
    <t>ОБЩЕСТВО С ОГРАНИЧЕННОЙ ОТВЕТСТВЕННОСТЬЮ "ЛОРЫ"</t>
  </si>
  <si>
    <t>"ЛОРЫ"</t>
  </si>
  <si>
    <t>5044119411</t>
  </si>
  <si>
    <t>141595, МОСКОВСКАЯ ОБЛАСТЬ, ГОРОД СОЛНЕЧНОГОРСК, ДЕРЕВНЯ ЕСИПОВО, СТРОЕНИЕ 07-О</t>
  </si>
  <si>
    <t>Григорян Ара Жоржикович</t>
  </si>
  <si>
    <t>54.509711,37.118109</t>
  </si>
  <si>
    <t>ОБЩЕСТВО С ОГРАНИЧЕННОЙ ОТВЕТСТВЕННОСТЬЮ "МИР"</t>
  </si>
  <si>
    <t>"МИР"</t>
  </si>
  <si>
    <t>7111015118</t>
  </si>
  <si>
    <t>ТУЛЬСКАЯ ОБЛ.,Г АЛЕКСИН,УЛ ТУЛЬСКАЯ Д 135 КОРП 1 КОМН 78</t>
  </si>
  <si>
    <t>Корниленкова Любовь Михайловна</t>
  </si>
  <si>
    <t>+7 (910) 159-92-39', '+7 (905) 110-80-77'</t>
  </si>
  <si>
    <t>55.860337,37.121388</t>
  </si>
  <si>
    <t>ОБЩЕСТВО С ОГРАНИЧЕННОЙ ОТВЕТСТВЕННОСТЬЮ "АРТФАСАДПРИМ"</t>
  </si>
  <si>
    <t>"АРТФАСАДПРИМ"</t>
  </si>
  <si>
    <t>5017111413</t>
  </si>
  <si>
    <t>143530, МОСКОВСКАЯ ОБЛАСТЬ, Р-Н ИСТРИНСКИЙ, Г. ДЕДОВСК, УЛ. ГАГАРИНА, Д. 10, ПОМЕЩ. IV, КОМНАТА 2</t>
  </si>
  <si>
    <t>Маковка Игорь Валерьевич</t>
  </si>
  <si>
    <t>+7 (909) 912-74-77'</t>
  </si>
  <si>
    <t>45.345705,37.12605</t>
  </si>
  <si>
    <t>ОБЩЕСТВО С ОГРАНИЧЕННОЙ ОТВЕТСТВЕННОСТЬЮ "ВУСЛАТ"</t>
  </si>
  <si>
    <t>"ВУСЛАТ"</t>
  </si>
  <si>
    <t>2320232854</t>
  </si>
  <si>
    <t>23-Краснодарский край</t>
  </si>
  <si>
    <t>КРАСНОДАРСКИЙ КРАЙ,ТЕМРЮКСКИЙ Р-Н,П ПЕРЕСЫПЬ,УЛ ВОЛОДИНОЙ 12</t>
  </si>
  <si>
    <t>Ахмедов Равшан Анварович</t>
  </si>
  <si>
    <t>+7 (918) 404-93-12'</t>
  </si>
  <si>
    <t>55.620164,37.135195</t>
  </si>
  <si>
    <t>ОБЩЕСТВО С ОГРАНИЧЕННОЙ ОТВЕТСТВЕННОСТЬЮ "БКТП ИНЖИНИРИНГ"</t>
  </si>
  <si>
    <t>"БКТП ИНЖИНИРИНГ"</t>
  </si>
  <si>
    <t>5032242989</t>
  </si>
  <si>
    <t>143020, МОСКОВСКАЯ ОБЛАСТЬ, ГОРОД ОДИНЦОВО, ДЕРЕВНЯ ЛИКИНО, УЛИЦА ПРОМЫШЛЕННАЯ, ДОМ 1</t>
  </si>
  <si>
    <t>Карунский Денис Николаевич</t>
  </si>
  <si>
    <t>kvv@zavodkristall.ru'</t>
  </si>
  <si>
    <t>56.725057,37.141079</t>
  </si>
  <si>
    <t>5010029657</t>
  </si>
  <si>
    <t>МОСКОВСКАЯ ОБЛ.,Г ДУБНА,УЛ ЛУГОВАЯ, Д 26 А</t>
  </si>
  <si>
    <t>Турищев Александр Владимирович</t>
  </si>
  <si>
    <t>55.536451,37.154877</t>
  </si>
  <si>
    <t>ОБЩЕСТВО С ОГРАНИЧЕННОЙ ОТВЕТСТВЕННОСТЬЮ "МЭРИ-ГРАНД"</t>
  </si>
  <si>
    <t>"МЭРИ-ГРАНД"</t>
  </si>
  <si>
    <t>7707791021</t>
  </si>
  <si>
    <t>108808, МОСКВА Г., П. Первомайское, П. Первомайское, УЛ. ЦЕНТРАЛЬНАЯ, Д. 27,..</t>
  </si>
  <si>
    <t>Григорян Араик Фрунзикович</t>
  </si>
  <si>
    <t>merygrand@mail.ru'</t>
  </si>
  <si>
    <t>55.833304,37.156476</t>
  </si>
  <si>
    <t>ОБЩЕСТВО С ОГРАНИЧЕННОЙ ОТВЕТСТВЕННОСТЬЮ "ГригВан"</t>
  </si>
  <si>
    <t>"ГригВан"</t>
  </si>
  <si>
    <t>7743839568</t>
  </si>
  <si>
    <t>143432, МОСКОВСКАЯ ОБЛАСТЬ, ГОРОД КРАСНОГОРСК, РАБОЧИЙ ПОСЕЛОК НАХАБИНО, УЛИЦА ПАРКОВАЯ, ДОМ 23А, ЭТАЖ 1, ПОМЕЩЕНИЕ 1</t>
  </si>
  <si>
    <t>Бахтиозина Татьяна Ильдаровна</t>
  </si>
  <si>
    <t>55.535926,37.158425</t>
  </si>
  <si>
    <t>ОБЩЕСТВО С ОГРАНИЧЕННОЙ ОТВЕТСТВЕННОСТЬЮ "ЭРКЕР"</t>
  </si>
  <si>
    <t>"ЭРКЕР"</t>
  </si>
  <si>
    <t>7751185206</t>
  </si>
  <si>
    <t>108808, Г.Москва, внутригородская территория города федерального значения ПОСЕЛЕНИЕ ПЕРВОМАЙСКОЕ, П ПЕРВОМАЙСКОЕ, УЛ ЦЕНТРАЛЬНАЯ, Д. 33, ЭТАЖ 0, ПОМЕЩ. 3</t>
  </si>
  <si>
    <t>Захаров Дмитрий Захарьевич</t>
  </si>
  <si>
    <t>55.861974,37.175098</t>
  </si>
  <si>
    <t>ОБЩЕСТВО С ОГРАНИЧЕННОЙ ОТВЕТСТВЕННОСТЬЮ "НОВА-СТ"</t>
  </si>
  <si>
    <t>"НОВА-СТ"</t>
  </si>
  <si>
    <t>5024163589</t>
  </si>
  <si>
    <t>143430, МОСКОВСКАЯ ОБЛ, Красногорск ГО, НАХАБИНО РП, ПОБЕДЫ УЛ, ДОМ 3</t>
  </si>
  <si>
    <t>Петросян Норайр Вачикович</t>
  </si>
  <si>
    <t>2255227@2255227.ru'</t>
  </si>
  <si>
    <t>55.862055,37.176356</t>
  </si>
  <si>
    <t>ОБЩЕСТВО С ОГРАНИЧЕННОЙ ОТВЕТСТВЕННОСТЬЮ "АС - ЖБИ"</t>
  </si>
  <si>
    <t>"АС - ЖБИ"</t>
  </si>
  <si>
    <t>5024145004</t>
  </si>
  <si>
    <t>143430, МОСКОВСКАЯ ОБЛАСТЬ, Г. КРАСНОГОРСК, РП НАХАБИНО, УЛ. ПОБЕДЫ, Д.3, ЛИТЕРА 1Б</t>
  </si>
  <si>
    <t>Петросян Анаит Вачиковна</t>
  </si>
  <si>
    <t>+7 (910) 019-00-55', '+7 (916) 397-45-33'</t>
  </si>
  <si>
    <t>55.846876,37.176742</t>
  </si>
  <si>
    <t>ОБЩЕСТВО С ОГРАНИЧЕННОЙ ОТВЕТСТВЕННОСТЬЮ "НОВА-СТРОЙ"</t>
  </si>
  <si>
    <t>"НОВА-СТРОЙ"</t>
  </si>
  <si>
    <t>5024104689</t>
  </si>
  <si>
    <t>143430, Московская область, городской округ КРАСНОГОРСК, РП НАХАБИНО, УЛ ВОКЗАЛЬНАЯ, Д. 40, ПОМЕЩ. 23, РАБ.МЕСТО 1</t>
  </si>
  <si>
    <t>Голдин Роман Александрович</t>
  </si>
  <si>
    <t>55.850555,37.176904</t>
  </si>
  <si>
    <t>ОБЩЕСТВО С ОГРАНИЧЕННОЙ ОТВЕТСТВЕННОСТЬЮ "ДИНО"</t>
  </si>
  <si>
    <t>"ДИНО"</t>
  </si>
  <si>
    <t>5024223069</t>
  </si>
  <si>
    <t>143430, Московская область, КРАСНОГОРСК, РП НАХАБИНО, УЛ КРАСНОАРМЕЙСКАЯ, Д. 70</t>
  </si>
  <si>
    <t>Харин Юрий Евгеньевич</t>
  </si>
  <si>
    <t>55.751371,37.178691</t>
  </si>
  <si>
    <t>ОБЩЕСТВО С ОГРАНИЧЕННОЙ ОТВЕТСТВЕННОСТЬЮ "ПСК ЭЛИТФАСАД"</t>
  </si>
  <si>
    <t>"ПСК ЭЛИТФАСАД"</t>
  </si>
  <si>
    <t>5024185310</t>
  </si>
  <si>
    <t>143422, МОСКОВСКАЯ ОБЛАСТЬ, Г. КРАСНОГОРСК, С ПЕТРОВО-ДАЛЬНЕЕ, Д. ИММУНОКЛИНИКА №3, ПОМЕЩ. I</t>
  </si>
  <si>
    <t>Пестряков Олег Вячеславович</t>
  </si>
  <si>
    <t>pobeda258@mail.ru'</t>
  </si>
  <si>
    <t>55.577169,37.179832</t>
  </si>
  <si>
    <t>ОБЩЕСТВО С ОГРАНИЧЕННОЙ ОТВЕТСТВЕННОСТЬЮ "ПД ИНДУСТРИЯ"</t>
  </si>
  <si>
    <t>"ПД ИНДУСТРИЯ"</t>
  </si>
  <si>
    <t>7751211939</t>
  </si>
  <si>
    <t>108809, Г.Москва, внутригородская территория города федерального значения ПОСЕЛЕНИЕ МАРУШКИНСКОЕ, Д ШАРАПОВО, УЛ ПРИДОРОЖНАЯ, Д. 7, СТР. 1, ПОМЕЩ. 303</t>
  </si>
  <si>
    <t xml:space="preserve"> Директор Прокопьев Данила Владимирович</t>
  </si>
  <si>
    <t>56.01087,37.184638</t>
  </si>
  <si>
    <t>ОБЩЕСТВО С ОГРАНИЧЕННОЙ ОТВЕТСТВЕННОСТЬЮ "СТРОЙКОМПЛЕКТСЕРВИС"</t>
  </si>
  <si>
    <t>"СТРОЙКОМПЛЕКТСЕРВИС"</t>
  </si>
  <si>
    <t>7735150189</t>
  </si>
  <si>
    <t>124460, Г.Москва, внутригородская территория города федерального значения МУНИЦИПАЛЬНЫЙ ОКРУГ МАТУШКИНО, Город ЗЕЛЕНОГРАД, УЛ КОНСТРУКТОРА ГУСЬКОВА, Д. 8, СТР. 11, ЭТАЖ 1, ПОМЕЩ. I, КОМ. 6</t>
  </si>
  <si>
    <t>Овчинникова Анастасия Константиновна</t>
  </si>
  <si>
    <t>nvb@irelcom.ru'</t>
  </si>
  <si>
    <t>55.320729,37.187809</t>
  </si>
  <si>
    <t>ОБЩЕСТВО С ОГРАНИЧЕННОЙ ОТВЕТСТВЕННОСТЬЮ ПРОИЗВОДСТВЕННАЯ КОМПАНИЯ "БЕТОНТЕХСТРОЙ"</t>
  </si>
  <si>
    <t>ПРОИЗВОДСТВЕННАЯ КОМПАНИЯ "БЕТОНТЕХСТРОЙ"</t>
  </si>
  <si>
    <t>7751146101</t>
  </si>
  <si>
    <t>108830, МОСКВА ГОРОД, ПОСЕЛЕНИЕ ВОРОНОВСКОЕ, КВАРТАЛ 830, ВЛАДЕНИЕ 3, СТРОЕНИЕ 1, ЭТАЖ 2 ОФИС 1</t>
  </si>
  <si>
    <t>Абуталипова Найля Рифатовна</t>
  </si>
  <si>
    <t>55.656768,37.194942</t>
  </si>
  <si>
    <t>ОБЩЕСТВО С ОГРАНИЧЕННОЙ ОТВЕТСТВЕННОСТЬЮ "ЗАВОД ЗВЕЗДНЫЙ"</t>
  </si>
  <si>
    <t>"ЗАВОД ЗВЕЗДНЫЙ"</t>
  </si>
  <si>
    <t>5032313830</t>
  </si>
  <si>
    <t>143072, МОСКОВСКАЯ ОБЛ., Г. Одинцово, П. ВНИИССОК, УЛ. РЯБИНОВАЯ, Д. 9, ПОМЕЩ. V</t>
  </si>
  <si>
    <t>Клоков Александр Васильевич</t>
  </si>
  <si>
    <t>55.658032,37.195948</t>
  </si>
  <si>
    <t>ОБЩЕСТВО С ОГРАНИЧЕННОЙ ОТВЕТСТВЕННОСТЬЮ  "ВЕСТАПЛЮС"</t>
  </si>
  <si>
    <t xml:space="preserve"> "ВЕСТАПЛЮС"</t>
  </si>
  <si>
    <t>5032339885</t>
  </si>
  <si>
    <t>143072, Московская область, городской округ ОДИНЦОВСКИЙ, П ВНИИССОК, УЛ ДРУЖБЫ, Д. 23, ПОМЕЩ. 14, КОМ. 1</t>
  </si>
  <si>
    <t>Кондратьев Антон Сергеевич</t>
  </si>
  <si>
    <t>54.884866,37.200215</t>
  </si>
  <si>
    <t>ОБЩЕСТВО С ОГРАНИЧЕННОЙ ОТВЕТСТВЕННОСТЬЮ "ЗАВОД ПО ПРОИЗВОДСТВУ ЖЕЛЕЗОБЕТОННЫХ И МЕТАЛЛИЧЕСКИХ КОНСТРУКЦИЙ"</t>
  </si>
  <si>
    <t>"ЗАВОД ПО ПРОИЗВОДСТВУ ЖЕЛЕЗОБЕТОННЫХ И МЕТАЛЛИЧЕСКИХ КОНСТРУКЦИЙ"</t>
  </si>
  <si>
    <t>5043070072</t>
  </si>
  <si>
    <t>142281, МОСКОВСКАЯ ОБЛАСТЬ, ГОРОД ПРОТВИНО, ШОССЕ КРЕМЕНКОВСКОЕ, ДОМ 2, КОРПУС 4, КОМНАТА 115</t>
  </si>
  <si>
    <t>Старовойтов Петр Александрович</t>
  </si>
  <si>
    <t>55.656864,37.200503</t>
  </si>
  <si>
    <t>ОБЩЕСТВО С ОГРАНИЧЕННОЙ ОТВЕТСТВЕННОСТЬЮ "ТОРГОВЫЙ ДОМ "ЗВЕЗДНЫЙ"</t>
  </si>
  <si>
    <t>""ЗВЕЗДНЫЙ"</t>
  </si>
  <si>
    <t>5032291601</t>
  </si>
  <si>
    <t>143072, МОСКОВСКАЯ ОБЛАСТЬ, ГОРОД ОДИНЦОВО, ПОСЕЛОК ВНИИССОК, УЛИЦА РЯБИНОВАЯ, ДОМ 2, КОРПУС 2-10, ЭТАЖ 1, ПОМ.12</t>
  </si>
  <si>
    <t>Шарифов Махмуд Абдурахимович</t>
  </si>
  <si>
    <t>+7 (909) 926-26-26'</t>
  </si>
  <si>
    <t>55.574747,37.206378</t>
  </si>
  <si>
    <t>ОБЩЕСТВО С ОГРАНИЧЕННОЙ ОТВЕТСТВЕННОСТЬЮ "САМСТРОЙ"</t>
  </si>
  <si>
    <t>7751049926</t>
  </si>
  <si>
    <t>108809, МОСКВА ГОРОД, КМ КИЕВСКОЕ ШОССЕ 36-Й (П МАРУШКИНСКОЕ), ВЛД. 4, СТР. 1, ПОМЕЩ. 1 ЭТАЖ 1</t>
  </si>
  <si>
    <t>Алеев Раиф Рахимович</t>
  </si>
  <si>
    <t>+7 (964) 644-44-47'</t>
  </si>
  <si>
    <t>54.976261,37.215945</t>
  </si>
  <si>
    <t>ОБЩЕСТВО С ОГРАНИЧЕННОЙ ОТВЕТСТВЕННОСТЬЮ "ОБОЛЕНСКИЙ ЗАВОД СТРОИТЕЛЬНЫХ МАТЕРИАЛОВ"</t>
  </si>
  <si>
    <t>"ОБОЛЕНСКИЙ ЗАВОД СТРОИТЕЛЬНЫХ МАТЕРИАЛОВ"</t>
  </si>
  <si>
    <t>5043062385</t>
  </si>
  <si>
    <t>142279, МОСКОВСКАЯ ОБЛАСТЬ, ГОРОД СЕРПУХОВ, РАБОЧИЙ ПОСЕЛОК ОБОЛЕНСК, УЛИЦА СТРОИТЕЛЕЙ, ДОМ 1, ПОМЕЩЕНИЕ 2</t>
  </si>
  <si>
    <t>Токарев Максим Владимирович</t>
  </si>
  <si>
    <t>+7 (906) 061-64-08'</t>
  </si>
  <si>
    <t>55.634979,37.216016</t>
  </si>
  <si>
    <t>ОБЩЕСТВО С ОГРАНИЧЕННОЙ ОТВЕТСТВЕННОСТЬЮ "АТК-ЖБИ"</t>
  </si>
  <si>
    <t>"АТК-ЖБИ"</t>
  </si>
  <si>
    <t>5032324938</t>
  </si>
  <si>
    <t>143080, Московская область, городской округ ОДИНЦОВСКИЙ, ДП ЛЕСНОЙ ГОРОДОК, УЛ ФАСАДНАЯ, Д. 2, К. 1, ЭТАЖ 1, ПОМ. НП-2/3</t>
  </si>
  <si>
    <t>Беккер Андрей Адольфович</t>
  </si>
  <si>
    <t>VASHBUHURIST3@MAIL.RU'</t>
  </si>
  <si>
    <t>54.862254,37.216286</t>
  </si>
  <si>
    <t>ОБЩЕСТВО С ОГРАНИЧЕННОЙ ОТВЕТСТВЕННОСТЬЮ "ЭКОМЕГАБЛОК"</t>
  </si>
  <si>
    <t>"ЭКОМЕГАБЛОК"</t>
  </si>
  <si>
    <t>5043073644</t>
  </si>
  <si>
    <t>142280, МОСКОВСКАЯ ОБЛ., Г. Протвино, УЛ. МИРА, Д. 8,..</t>
  </si>
  <si>
    <t>Ивченко Андрей Николаевич</t>
  </si>
  <si>
    <t>TURISHEV09@ICLOUD.COM'</t>
  </si>
  <si>
    <t>55.636986,37.222179</t>
  </si>
  <si>
    <t>ОБЩЕСТВО С ОГРАНИЧЕННОЙ ОТВЕТСТВЕННОСТЬЮ "СМАРТ БЕТОН"</t>
  </si>
  <si>
    <t>"СМАРТ БЕТОН"</t>
  </si>
  <si>
    <t>5032295500</t>
  </si>
  <si>
    <t>143080, МОСКОВСКАЯ ОБЛАСТЬ, Г ОДИНЦОВО, ДП. ЛЕСНОЙ ГОРОДОК, УЛ. ЭНЕРГЕТИКОВ, Д. 3Б, ПОМЕЩ. 25/ЭТАЖ 2</t>
  </si>
  <si>
    <t>Николаев Вячеслав Владимирович</t>
  </si>
  <si>
    <t>+7 (985) 173-25-40'</t>
  </si>
  <si>
    <t>55.756817,37.236866</t>
  </si>
  <si>
    <t>ОБЩЕСТВО С ОГРАНИЧЕННОЙ ОТВЕТСТВЕННОСТЬЮ "УНИВЕРСАЛЬНЫЕ БЕТОННЫЕ ТЕХНОЛОГИИ"</t>
  </si>
  <si>
    <t>"УНИВЕРСАЛЬНЫЕ БЕТОННЫЕ ТЕХНОЛОГИИ"</t>
  </si>
  <si>
    <t>5024205479</t>
  </si>
  <si>
    <t>143421, МОСКОВСКАЯ ОБЛАСТЬ, ГОРОДСКОЙ ОКРУГ КРАСНОГОРСК, СЕЛО ИЛЬИНСКОЕ, УЛИЦА ЛЕНИНА, ДВЛД. 4, ПОМЕЩЕНИЕ 2</t>
  </si>
  <si>
    <t>Хоботнев Дмитрий Николаевич</t>
  </si>
  <si>
    <t>55.662517,37.244592</t>
  </si>
  <si>
    <t>ОБЩЕСТВО С ОГРАНИЧЕННОЙ ОТВЕТСТВЕННОСТЬЮ МАСТЕРСКАЯ "РОКОКО"</t>
  </si>
  <si>
    <t>МАСТЕРСКАЯ "РОКОКО"</t>
  </si>
  <si>
    <t>5032286009</t>
  </si>
  <si>
    <t>143002, МОСКОВСКАЯ ОБЛАСТЬ, Г ОДИНЦОВО, УЛ. АКУЛОВСКАЯ, Д. 2, СТР. 2, КОМ. 18</t>
  </si>
  <si>
    <t>Сухов Олег Викторович</t>
  </si>
  <si>
    <t>+7 (495) 926-53-45'</t>
  </si>
  <si>
    <t>ОБЩЕСТВО С ОГРАНИЧЕННОЙ ОТВЕТСТВЕННОСТЬЮ СКУЛЬПТУРНАЯ МАСТЕРСКАЯ "РОКОКО"</t>
  </si>
  <si>
    <t>СКУЛЬПТУРНАЯ МАСТЕРСКАЯ "РОКОКО"</t>
  </si>
  <si>
    <t>5032320860</t>
  </si>
  <si>
    <t>143002, МОСКОВСКАЯ ОБЛАСТЬ, ГОРОД ОДИНЦОВО, УЛИЦА АКУЛОВСКАЯ, ДОМ 2, СТРОЕНИЕ 2, КОМНАТА 16 ЭТАЖ 1</t>
  </si>
  <si>
    <t>55.668442,37.254572</t>
  </si>
  <si>
    <t>ОБЩЕСТВО С ОГРАНИЧЕННОЙ ОТВЕТСТВЕННОСТЬЮ "ДОМОСТРОИТЕЛЬНЫЙ КОМБИНАТ "СИБПРОМСТРОЙ МОСКОВИЯ"</t>
  </si>
  <si>
    <t>"ДОМОСТРОИТЕЛЬНЫЙ КОМБИНАТ "СИБПРОМСТРОЙ МОСКОВИЯ"</t>
  </si>
  <si>
    <t>7702635396</t>
  </si>
  <si>
    <t>143002, МОСКОВСКАЯ ОБЛАСТЬ, ГОРОД ОДИНЦОВО, УЛИЦА САДОВАЯ, ДОМ 9, ОФИС 1</t>
  </si>
  <si>
    <t>Кожаев Максим Владимирович</t>
  </si>
  <si>
    <t>+7 (904) 472-93-72'</t>
  </si>
  <si>
    <t>55.677022,37.25874</t>
  </si>
  <si>
    <t>ОБЩЕСТВО С ОГРАНИЧЕННОЙ ОТВЕТСТВЕННОСТЬЮ "ЖБИ-77"</t>
  </si>
  <si>
    <t>"ЖБИ-77"</t>
  </si>
  <si>
    <t>5032288479</t>
  </si>
  <si>
    <t>143003, МОСКОВСКАЯ ОБЛАСТЬ, ГОРОД ОДИНЦОВО, БУЛЬВАР ЛЮБЫ НОВОСЕЛОВОЙ, ДОМ 18, ПОМЕЩЕНИЕ 1</t>
  </si>
  <si>
    <t>Саликов Денис Александрович</t>
  </si>
  <si>
    <t>+7 (985) 120-25-25'</t>
  </si>
  <si>
    <t>55.66926,37.262055</t>
  </si>
  <si>
    <t>ОБЩЕСТВО С ОГРАНИЧЕННОЙ ОТВЕТСТВЕННОСТЬЮ "ИНДИГО ТЕХНОЛОДЖИ"</t>
  </si>
  <si>
    <t>"ИНДИГО ТЕХНОЛОДЖИ"</t>
  </si>
  <si>
    <t>5032300380</t>
  </si>
  <si>
    <t>143002, МОСКОВСКАЯ ОБЛАСТЬ, ГОРОД ОДИНЦОВО, ШОССЕ МОЖАЙСКОЕ, ДОМ 2А, ОФИС 3</t>
  </si>
  <si>
    <t>Немченко Константин Владимирович</t>
  </si>
  <si>
    <t>55.679138,37.263663</t>
  </si>
  <si>
    <t>ОБЩЕСТВО С ОГРАНИЧЕННОЙ ОТВЕТСТВЕННОСТЬЮ "РСМ МОНОЛИТ"</t>
  </si>
  <si>
    <t>"РСМ МОНОЛИТ"</t>
  </si>
  <si>
    <t>5032335231</t>
  </si>
  <si>
    <t>143180, МОСКОВСКАЯ ОБЛ., Г. Одинцово, УЛ. ПОЧТОВАЯ, Д. 41, К. 2, ПОМЕЩ. 2 ОФИС 11</t>
  </si>
  <si>
    <t>Смирнов Андрей Александрович</t>
  </si>
  <si>
    <t>5032335680</t>
  </si>
  <si>
    <t>143001, МОСКОВСКАЯ ОБЛ., Г. Одинцово, УЛ. КУТУЗОВСКАЯ, Д. 4А, ЭТАЖ/ПОМЕЩ. 1/I КОМ./ОФИС 25/12</t>
  </si>
  <si>
    <t>89251291111@MAIL.RU'</t>
  </si>
  <si>
    <t>ОБЩЕСТВО С ОГРАНИЧЕННОЙ ОТВЕТСТВЕННОСТЬЮ СТРОИТЕЛЬНАЯ ФИРМА "СМУ-152 ТРАНСИНЖСТРОЯ"</t>
  </si>
  <si>
    <t>СТРОИТЕЛЬНАЯ ФИРМА "СМУ-152 ТРАНСИНЖСТРОЯ"</t>
  </si>
  <si>
    <t>7701070954</t>
  </si>
  <si>
    <t>143002, МОСКОВСКАЯ ОБЛАСТЬ, ГОРОД ОДИНЦОВО, УЛИЦА ЗАПАДНАЯ, ДОМ 21, КАБИНЕТ №401, №407</t>
  </si>
  <si>
    <t>Гладких Владимир Геннадьевич</t>
  </si>
  <si>
    <t>+7 (495) 544-37-51'</t>
  </si>
  <si>
    <t>55.658566,37.269412</t>
  </si>
  <si>
    <t>ОБЩЕСТВО С ОГРАНИЧЕННОЙ ОТВЕТСТВЕННОСТЬЮ "ИС ГРУПП"</t>
  </si>
  <si>
    <t>"ИС ГРУПП"</t>
  </si>
  <si>
    <t>5032288768</t>
  </si>
  <si>
    <t>143002, Московская область, городской округ ОДИНЦОВСКИЙ, Город ОДИНЦОВО, УЛ ЮЖНАЯ, Д. 20, К. Б, ОФИС 8</t>
  </si>
  <si>
    <t>Петрушевский Игорь Сергеевич</t>
  </si>
  <si>
    <t>+7 (977) 700-73-74'</t>
  </si>
  <si>
    <t>55.429185,37.269547</t>
  </si>
  <si>
    <t>ОБЩЕСТВО С ОГРАНИЧЕННОЙ ОТВЕТСТВЕННОСТЬЮ "ПАХРА МОНОЛИТ"</t>
  </si>
  <si>
    <t>"ПАХРА МОНОЛИТ"</t>
  </si>
  <si>
    <t>7751515214</t>
  </si>
  <si>
    <t>108828, Г.Москва, внутригородская территория города федерального значения ПОСЕЛЕНИЕ КРАСНОПАХОРСКОЕ, Село КРАСНАЯ ПАХРА, УЛ ЛЕНИНА, Д. 2А, ЭТАЖ/ПАВ. 1/ЛИТ. А1</t>
  </si>
  <si>
    <t>Самсонов Сергей Николаевич</t>
  </si>
  <si>
    <t>+7 (495) 223-38-63'</t>
  </si>
  <si>
    <t>info@99beton.ru'</t>
  </si>
  <si>
    <t>55.948357,37.269987</t>
  </si>
  <si>
    <t>ОБЩЕСТВО С ОГРАНИЧЕННОЙ ОТВЕТСТВЕННОСТЬЮ "АРХБЕТОН"</t>
  </si>
  <si>
    <t>"АРХБЕТОН"</t>
  </si>
  <si>
    <t>5044117615</t>
  </si>
  <si>
    <t>141420, МОСКОВСКАЯ ОБЛАСТЬ, ГОРОД СОЛНЕЧНОГОРСК, ДЕРЕВНЯ ПОДОЛИНО, ТЕРРИТОРИЯ ПРОМЫШЛЕННАЯ ЗОНА, СТРОЕНИЕ 1, ЧАСТЬ ПОМ 8</t>
  </si>
  <si>
    <t>Любельский Борис Семенович</t>
  </si>
  <si>
    <t>ОБЩЕСТВО С ОГРАНИЧЕННОЙ ОТВЕТСТВЕННОСТЬЮ "ВЕРТИКАЛЬНОЕ МОЩЕНИЕ"</t>
  </si>
  <si>
    <t>"ВЕРТИКАЛЬНОЕ МОЩЕНИЕ"</t>
  </si>
  <si>
    <t>7733882074</t>
  </si>
  <si>
    <t>141420, МОСКОВСКАЯ ОБЛАСТЬ, Г. СОЛНЕЧНОГОРСК, Д ПОДОЛИНО, ТЕР ПРОМЫШЛЕННАЯ ЗОНА, ВЛД. 1, СТР. 1, ПОМЕЩ. 111</t>
  </si>
  <si>
    <t>Бужинский Антон Леонидович</t>
  </si>
  <si>
    <t>+7 (495) 725-80-70'</t>
  </si>
  <si>
    <t>55.669808,37.274407</t>
  </si>
  <si>
    <t>ОБЩЕСТВО С ОГРАНИЧЕННОЙ ОТВЕТСТВЕННОСТЬЮ "ОДИНЦОВСКОЕ ДОРОЖНОЕ РЕМОНТНО-СТРОИТЕЛЬНОЕ УПРАВЛЕНИЕ"</t>
  </si>
  <si>
    <t>"ОДИНЦОВСКОЕ ДОРОЖНОЕ РЕМОНТНО-СТРОИТЕЛЬНОЕ УПРАВЛЕНИЕ"</t>
  </si>
  <si>
    <t>5032188139</t>
  </si>
  <si>
    <t>143007, МОСКОВСКАЯ ОБЛАСТЬ, ГОРОД ОДИНЦОВО, ПРОЕЗД КОММУНАЛЬНЫЙ, ДОМ 6, КОМНАТА 1, ЭТАЖ 1</t>
  </si>
  <si>
    <t>Алтухов Дмитрий Владимирович</t>
  </si>
  <si>
    <t>+7 (917) 579-00-19'</t>
  </si>
  <si>
    <t>55.666015,37.279932</t>
  </si>
  <si>
    <t>ОБЩЕСТВО С ОГРАНИЧЕННОЙ ОТВЕТСТВЕННОСТЬЮ "КАСКАД"</t>
  </si>
  <si>
    <t>"КАСКАД"</t>
  </si>
  <si>
    <t>5032188530</t>
  </si>
  <si>
    <t>143006, МОСКОВСКАЯ ОБЛАСТЬ, ГОРОД ОДИНЦОВО, УЛИЦА МАКОВСКОГО, ДОМ 3, ПОМЕЩЕНИЕ 276</t>
  </si>
  <si>
    <t>Саенко Олег Викторович</t>
  </si>
  <si>
    <t>+7 (495) 969-44-91'</t>
  </si>
  <si>
    <t>55.67191,37.284693</t>
  </si>
  <si>
    <t>5032330346</t>
  </si>
  <si>
    <t>143006, МОСКОВСКАЯ ОБЛ., Г. Одинцово, УЛ. СОЮЗНАЯ, Д. 1В, ОФИС 2</t>
  </si>
  <si>
    <t>Прудникова Наталья Викторовна</t>
  </si>
  <si>
    <t>RUBIN181207@YANDEX.RU'</t>
  </si>
  <si>
    <t>55.455504,37.2894</t>
  </si>
  <si>
    <t>ОБЩЕСТВО С ОГРАНИЧЕННОЙ ОТВЕТСТВЕННОСТЬЮ "ФАБРИКА ПЛИТКИ"</t>
  </si>
  <si>
    <t>"ФАБРИКА ПЛИТКИ"</t>
  </si>
  <si>
    <t>5036148560</t>
  </si>
  <si>
    <t>108828, Г.Москва, внутригородская территория города федерального значения ПОСЕЛЕНИЕ КРАСНОПАХОРСКОЕ, КМ КАЛУЖСКОЕ ШОССЕ 47-Й (П КРАСНОПАХОРСКОЕ), Д. 6, СТР. 6,</t>
  </si>
  <si>
    <t>Дроздова Марина Алексеевна</t>
  </si>
  <si>
    <t>+7 (926) 341-37-57'</t>
  </si>
  <si>
    <t>2266263@mail.ru'</t>
  </si>
  <si>
    <t>54.791601,37.29152</t>
  </si>
  <si>
    <t>ОБЩЕСТВО С ОГРАНИЧЕННОЙ ОТВЕТСТВЕННОСТЬЮ "МИР-КАМНЯ"</t>
  </si>
  <si>
    <t>"МИР-КАМНЯ"</t>
  </si>
  <si>
    <t>4703154026</t>
  </si>
  <si>
    <t>ТУЛЬСКАЯ ОБЛ.,ЗАОКСКИЙ Р-Н,Д ИСКАНЬ</t>
  </si>
  <si>
    <t>Гиносян Арман Мнацаканович</t>
  </si>
  <si>
    <t>+7 (921) 300-81-41'</t>
  </si>
  <si>
    <t>55.681803,37.295652</t>
  </si>
  <si>
    <t>ОБЩЕСТВО С ОГРАНИЧЕННОЙ ОТВЕТСТВЕННОСТЬЮ "ЗАВОД ЖЕЛЕЗОБЕТОННЫХ ТРУБ ОДИНЕЦ"</t>
  </si>
  <si>
    <t>"ЗАВОД ЖЕЛЕЗОБЕТОННЫХ ТРУБ ОДИНЕЦ"</t>
  </si>
  <si>
    <t>5032289680</t>
  </si>
  <si>
    <t>143005, МОСКОВСКАЯ ОБЛАСТЬ, ГОРОД ОДИНЦОВО, УЛИЦА МАРШАЛА ТОЛУБКО, ДОМ 3, КОРПУС 3, ЭТАЖ/ПОМ 1/IV</t>
  </si>
  <si>
    <t>Чеботарев Алексей Николаевич</t>
  </si>
  <si>
    <t>+7 (903) 960-14-40'</t>
  </si>
  <si>
    <t>55.675539,37.298284</t>
  </si>
  <si>
    <t>Общество с ограниченной ответственностью "Деформационные швы и опорные части"</t>
  </si>
  <si>
    <t>"Деформационные швы и опорные части"</t>
  </si>
  <si>
    <t>5032121102</t>
  </si>
  <si>
    <t>http://defshovroch.ru</t>
  </si>
  <si>
    <t>МОСКОВСКАЯ ОБЛ.,Г ОДИНЦОВО,УЛ ТРАНСПОРТНАЯ, Д 10,..</t>
  </si>
  <si>
    <t>Старченко Виктор Сергеевич</t>
  </si>
  <si>
    <t>+7 (495) 599-74-57'</t>
  </si>
  <si>
    <t>55.488295,37.298302</t>
  </si>
  <si>
    <t>ОБЩЕСТВО С ОГРАНИЧЕННОЙ ОТВЕТСТВЕННОСТЬЮ "АВАСТРОЙГАРАНТ"</t>
  </si>
  <si>
    <t>"АВАСТРОЙГАРАНТ"</t>
  </si>
  <si>
    <t>7751175350</t>
  </si>
  <si>
    <t>108841, МОСКВА ГОРОД, ГОРОД ТРОИЦК, МИКРОРАЙОН В, ДОМ 1, ОФИС 328</t>
  </si>
  <si>
    <t>Караханян Васпурак Андраникович</t>
  </si>
  <si>
    <t>55.670991,37.304258</t>
  </si>
  <si>
    <t>ОБЩЕСТВО С ОГРАНИЧЕННОЙ ОТВЕТСТВЕННОСТЬЮ "Союз"</t>
  </si>
  <si>
    <t>"Союз"</t>
  </si>
  <si>
    <t>5032044810</t>
  </si>
  <si>
    <t>МОСКОВСКАЯ ОБЛ.,Г ОДИНЦОВО,ВОСТОЧНАЯ УЛ, Д 10</t>
  </si>
  <si>
    <t>+7 (495) 969-44-91', '+7 (495) 590-75-40', '+7 (495) 590-75-40'</t>
  </si>
  <si>
    <t>55.48452,37.304923</t>
  </si>
  <si>
    <t>ОБЩЕСТВО С ОГРАНИЧЕННОЙ ОТВЕТСТВЕННОСТЬЮ "УПРАВЛЯЮЩАЯ КОМПАНИЯ "ИМПЕРИАЛ ГРУПП"</t>
  </si>
  <si>
    <t>"УПРАВЛЯЮЩАЯ КОМПАНИЯ "ИМПЕРИАЛ ГРУПП"</t>
  </si>
  <si>
    <t>5074043382</t>
  </si>
  <si>
    <t>http://imperial-corp.ru</t>
  </si>
  <si>
    <t>108841, МОСКВА ГОРОД, ГОРОД ТРОИЦК, ПЛОЩАДЬ АКАДЕМИЧЕСКАЯ, ДОМ 3</t>
  </si>
  <si>
    <t>Айрапетян Арам Геворгович</t>
  </si>
  <si>
    <t>55.485724,37.308175</t>
  </si>
  <si>
    <t>ОБЩЕСТВО С ОГРАНИЧЕННОЙ ОТВЕТСТВЕННОСТЬЮ "БЕТОНСПЕЦТОРГ"</t>
  </si>
  <si>
    <t>"БЕТОНСПЕЦТОРГ"</t>
  </si>
  <si>
    <t>7751213929</t>
  </si>
  <si>
    <t>108841, Г.Москва, ГОРОДСКОЙ ОКРУГ ТРОИЦК, Г ТРОИЦК, ПЛ АКАДЕМИЧЕСКАЯ, Д. 4</t>
  </si>
  <si>
    <t>Тихонов Алексей Дмитриевич</t>
  </si>
  <si>
    <t>BETONSPETSTORG@GMAIL.COM'</t>
  </si>
  <si>
    <t>56.00546,37.314732</t>
  </si>
  <si>
    <t>ОБЩЕСТВО С ОГРАНИЧЕННОЙ ОТВЕТСТВЕННОСТЬЮ "РУСБЕТОН-А"</t>
  </si>
  <si>
    <t>"РУСБЕТОН-А"</t>
  </si>
  <si>
    <t>5044095464</t>
  </si>
  <si>
    <t>141580, МОСКОВСКАЯ ОБЛАСТЬ, ГОРОД СОЛНЕЧНОГОРСК, ДЕРЕВНЯ ПОЯРКОВО, УЛИЦА КЛУШИНСКАЯ, УЧАСТОК 3</t>
  </si>
  <si>
    <t>Асланян Гарегин Гагикович</t>
  </si>
  <si>
    <t>+7 (495) 979-16-58', '+7 (916) 676-46-91'</t>
  </si>
  <si>
    <t>madinavv@mail.ru', 'madinavv@mail.ru'</t>
  </si>
  <si>
    <t>55.492217,37.314822</t>
  </si>
  <si>
    <t>ОБЩЕСТВО С ОГРАНИЧЕННОЙ ОТВЕТСТВЕННОСТЬЮ "АБСОЛЮТ"</t>
  </si>
  <si>
    <t>"АБСОЛЮТ"</t>
  </si>
  <si>
    <t>7751221782</t>
  </si>
  <si>
    <t>108842, Г.Москва, внутригородская территория города федерального значения ГОРОДСКОЙ ОКРУГ ТРОИЦК, Город ТРОИЦК, УЛ ГОРОДСКАЯ, Д. 20, ОФИС 69</t>
  </si>
  <si>
    <t>Савинкова Анастасия Сергеевна</t>
  </si>
  <si>
    <t>ABSOLUT2277@YANDEX.RU'</t>
  </si>
  <si>
    <t>54.295868,37.320167</t>
  </si>
  <si>
    <t>ОБЩЕСТВО С ОГРАНИЧЕННОЙ ОТВЕТСТВЕННОСТЬЮ "МАЛИНОВСКИЙ КОМБИНАТ ЖЕЛЕЗОБЕТОННЫХ ИЗДЕЛИЙ"</t>
  </si>
  <si>
    <t>"МАЛИНОВСКИЙ КОМБИНАТ ЖЕЛЕЗОБЕТОННЫХ ИЗДЕЛИЙ"</t>
  </si>
  <si>
    <t>7103026211</t>
  </si>
  <si>
    <t>301132, ТУЛЬСКАЯ ОБЛАСТЬ, Р-Н ЛЕНИНСКИЙ, Д МАЛИНОВКА, Д. 23, ОФИС 23</t>
  </si>
  <si>
    <t>Портнов Максим Александрович</t>
  </si>
  <si>
    <t>mkgbi@komenstroy.ru'</t>
  </si>
  <si>
    <t>56.889439,37.330327</t>
  </si>
  <si>
    <t>ОБЩЕСТВО С ОГРАНИЧЕННОЙ ОТВЕТСТВЕННОСТЬЮ "СТЕЙНХАУС"</t>
  </si>
  <si>
    <t>"СТЕЙНХАУС"</t>
  </si>
  <si>
    <t>5010055093</t>
  </si>
  <si>
    <t>171507, ТВЕРСКАЯ ОБЛАСТЬ, ГОРОД КИМРЫ, УЛИЦА ДМИТРИЯ БАСЛЫКА, ДОМ 7, ЛИТЕР Л</t>
  </si>
  <si>
    <t>Осипова Стелла Юрьевна</t>
  </si>
  <si>
    <t>55.695768,37.330956</t>
  </si>
  <si>
    <t>ОБЩЕСТВО С ОГРАНИЧЕННОЙ ОТВЕТСТВЕННОСТЬЮ "КУБ ГРУПП"</t>
  </si>
  <si>
    <t>"КУБ ГРУПП"</t>
  </si>
  <si>
    <t>5032342408</t>
  </si>
  <si>
    <t>143001, Московская область, городской округ ОДИНЦОВСКИЙ, Город ОДИНЦОВО, УЛ ЧИСТЯКОВОЙ, Д. 2, ЭТАЖ/ПОМЕЩ. 1/XXXIII, КОМ. 1</t>
  </si>
  <si>
    <t>Пашаев Паша Бангиз Оглы</t>
  </si>
  <si>
    <t>44.900264,37.334325</t>
  </si>
  <si>
    <t>ОБЩЕСТВО С ОГРАНИЧЕННОЙ ОТВЕТСТВЕННОСТЬЮ "РАВНОВЕСИЕ"</t>
  </si>
  <si>
    <t>"РАВНОВЕСИЕ"</t>
  </si>
  <si>
    <t>2301098466</t>
  </si>
  <si>
    <t>353440, КРАСНОДАРСКИЙ КРАЙ, АНАПСКИЙ РАЙОН, ГОРОД АНАПА, УЛИЦА НОВОРОССИЙСКАЯ, ДОМ 300А</t>
  </si>
  <si>
    <t>Мусольян Ирина Ваграмовна</t>
  </si>
  <si>
    <t>54.472995,37.340101</t>
  </si>
  <si>
    <t>ОБЩЕСТВО С ОГРАНИЧЕННОЙ ОТВЕТСТВЕННОСТЬЮ "ЖБИСтройКомплектация"</t>
  </si>
  <si>
    <t>"ЖБИСтройКомплектация"</t>
  </si>
  <si>
    <t>7715957136</t>
  </si>
  <si>
    <t>301382, ТУЛЬСКАЯ ОБЛАСТЬ, РАЙОН АЛЕКСИНСКИЙ, РАБОЧИЙ ПОСЕЛОК НОВОГУРОВСКИЙ, УЛИЦА ЖЕЛЕЗНОДОРОЖНАЯ, ДОМ 3, ЗДАНИЕ БЫТКОМБИНАТА, ЭТАЖ/ПОМ 2/39</t>
  </si>
  <si>
    <t>Усманова Рано Гильмановна</t>
  </si>
  <si>
    <t>+7 (495) 991-08-73'</t>
  </si>
  <si>
    <t>mushka160165@mail.ru'</t>
  </si>
  <si>
    <t>45.127346,37.344529</t>
  </si>
  <si>
    <t>ОБЩЕСТВО С ОГРАНИЧЕННОЙ ОТВЕТСТВЕННОСТЬЮ " ТЕХНОЛОГИЯ - 2 "</t>
  </si>
  <si>
    <t>" ТЕХНОЛОГИЯ - 2 "</t>
  </si>
  <si>
    <t>2324000251</t>
  </si>
  <si>
    <t>КРАСНОДАРСКИЙ КРАЙ,АНАПСКИЙ Р-Н,С ДЖИГИНКА,УЛ ОКТЯБРЬСКАЯ, Д 33, К 4</t>
  </si>
  <si>
    <t>Стрельцов Дмитрий Николаевич</t>
  </si>
  <si>
    <t>+7 (918) 399-89-21'</t>
  </si>
  <si>
    <t>55.8468,37.350494</t>
  </si>
  <si>
    <t>ОБЩЕСТВО С ОГРАНИЧЕННОЙ ОТВЕТСТВЕННОСТЬЮ "ФАСАДПРОЕКТ"</t>
  </si>
  <si>
    <t>"ФАСАДПРОЕКТ"</t>
  </si>
  <si>
    <t>7733363618</t>
  </si>
  <si>
    <t>125368, МОСКВА Г., ПЕР. 3-Й МИТИНСКИЙ, Д. 10,..</t>
  </si>
  <si>
    <t>Сальников Дмитрий Алексеевич</t>
  </si>
  <si>
    <t>55.593873,37.351905</t>
  </si>
  <si>
    <t>ОБЩЕСТВО С ОГРАНИЧЕННОЙ ОТВЕТСТВЕННОСТЬЮ "ВЛМ-ГРУПП"</t>
  </si>
  <si>
    <t>"ВЛМ-ГРУПП"</t>
  </si>
  <si>
    <t>7751195003</t>
  </si>
  <si>
    <t>108813, МОСКВА Г., П. Московский, Г. Московский, УЛ. ХАБАРОВА, Д. 2, ОФИС 24</t>
  </si>
  <si>
    <t>Лепешкина Анна Александровна</t>
  </si>
  <si>
    <t>55.637703,37.355651</t>
  </si>
  <si>
    <t>ОБЩЕСТВО С ОГРАНИЧЕННОЙ ОТВЕТСТВЕННОСТЬЮ "БизнесГарант"</t>
  </si>
  <si>
    <t>"БизнесГарант"</t>
  </si>
  <si>
    <t>7729679560</t>
  </si>
  <si>
    <t>119634, МОСКВА ГОРОД, УЛ. ШОЛОХОВА, Д.10</t>
  </si>
  <si>
    <t>Вдовин Сергей Александрович</t>
  </si>
  <si>
    <t>54.735781,37.356738</t>
  </si>
  <si>
    <t>ОБЩЕСТВО С ОГРАНИЧЕННОЙ ОТВЕТСТВЕННОСТЬЮ "КОМБИНАТ КЕРАМЗИТОБЕТОННЫХ БЛОКОВ"</t>
  </si>
  <si>
    <t>"КОМБИНАТ КЕРАМЗИТОБЕТОННЫХ БЛОКОВ"</t>
  </si>
  <si>
    <t>7126020142</t>
  </si>
  <si>
    <t>301000, Тульская область, муниципальный район ЗАОКСКИЙ, Д ТЕМЬЯНЬ, сельское поселение СТРАХОВСКОЕ, УЛ ЦЕНТРАЛЬНАЯ, Д. 1, КАБИНЕТ 2</t>
  </si>
  <si>
    <t>Мадан Анастасия Евгеньевна</t>
  </si>
  <si>
    <t>55.560138,37.357708</t>
  </si>
  <si>
    <t>ОБЩЕСТВО С ОГРАНИЧЕННОЙ ОТВЕТСТВЕННОСТЬЮ "АРТ-КАМЕНЬ"</t>
  </si>
  <si>
    <t>"АРТ-КАМЕНЬ"</t>
  </si>
  <si>
    <t>7751140163</t>
  </si>
  <si>
    <t>108821, МОСКВА ГОРОД, ПОС. ФИЛИМОНКОВСКОЕ, Д ПУШКИНО, УЛ. ВЕСЕННЯЯ, Д. 50, СТР. 1, ЭТАЖ 3, КОМ 1</t>
  </si>
  <si>
    <t>Лиляков Иван Александрович</t>
  </si>
  <si>
    <t>79035372395@yandex.ru'</t>
  </si>
  <si>
    <t>55.944339,37.359522</t>
  </si>
  <si>
    <t>ОБЩЕСТВО С ОГРАНИЧЕННОЙ ОТВЕТСТВЕННОСТЬЮ "ЭКОПЛАН-СТРОЙ"</t>
  </si>
  <si>
    <t>"ЭКОПЛАН-СТРОЙ"</t>
  </si>
  <si>
    <t>7743137953</t>
  </si>
  <si>
    <t>141431, МОСКВА ГОРОД, ШОССЕ ЛЕНИНГРАДСКОЕ, ДОМ 300АСТР17, ПОМЕЩЕНИЕ II</t>
  </si>
  <si>
    <t>Хайкин Александр Эдуардович</t>
  </si>
  <si>
    <t>+7 (985) 258-02-74'</t>
  </si>
  <si>
    <t>info@ekoplan.ru'</t>
  </si>
  <si>
    <t>ОБЩЕСТВО С ОГРАНИЧЕННОЙ ОТВЕТСТВЕННОСТЬЮ "ПК ФОРМА"</t>
  </si>
  <si>
    <t>"ПК ФОРМА"</t>
  </si>
  <si>
    <t>7743380186</t>
  </si>
  <si>
    <t>141431, Г.Москва, МУНИЦИПАЛЬНЫЙ ОКРУГ МОЛЖАНИНОВСКИЙ, Ш ЛЕНИНГРАДСКОЕ, Д. 300А,СТР. 17</t>
  </si>
  <si>
    <t>Абдулханова Елена Владимировна</t>
  </si>
  <si>
    <t>55.85296,37.360016</t>
  </si>
  <si>
    <t>ОБЩЕСТВО С ОГРАНИЧЕННОЙ ОТВЕТСТВЕННОСТЬЮ "ЭКСКЛЮЗИВНАЯ АРХИТЕКТУРА"</t>
  </si>
  <si>
    <t>"ЭКСКЛЮЗИВНАЯ АРХИТЕКТУРА"</t>
  </si>
  <si>
    <t>7733369360</t>
  </si>
  <si>
    <t>125430, МОСКВА Г., Ш. ПЯТНИЦКОЕ, Д. 35,..</t>
  </si>
  <si>
    <t>Биганова Елена Николаевна</t>
  </si>
  <si>
    <t>56.088077,37.362011</t>
  </si>
  <si>
    <t>ОБЩЕСТВО С ОГРАНИЧЕННОЙ ОТВЕТСТВЕННОСТЬЮ "АЗГ БЕТОН"</t>
  </si>
  <si>
    <t>"АЗГ БЕТОН"</t>
  </si>
  <si>
    <t>5007096526</t>
  </si>
  <si>
    <t>141895, МОСКОВСКАЯ ОБЛАСТЬ, ГОРОД ДМИТРОВ, ДЕРЕВНЯ ГЛАЗОВО, ТЕРРИТОРИЯ ОБЪЕДИНЕНИЯ ЗЕМЛЯ, ДОМ 5</t>
  </si>
  <si>
    <t>Берикян Арутюн Варужанович</t>
  </si>
  <si>
    <t>+7 (963) 921-21-31'</t>
  </si>
  <si>
    <t>55.704392,37.367032</t>
  </si>
  <si>
    <t>ОБЩЕСТВО С ОГРАНИЧЕННОЙ ОТВЕТСТВЕННОСТЬЮ "ПОЛИТЕП"</t>
  </si>
  <si>
    <t>"ПОЛИТЕП"</t>
  </si>
  <si>
    <t>5032323677</t>
  </si>
  <si>
    <t>143026, МОСКОВСКАЯ ОБЛАСТЬ, ГОРОД ОДИНЦОВО, РАБОЧИЙ ПОСЕЛОК НОВОИВАНОВСКОЕ, УЛИЦА КАЛИНИНА, ДОМ 14,..</t>
  </si>
  <si>
    <t>Баскакова Людмила Сергеевна</t>
  </si>
  <si>
    <t>45.280002,37.367122</t>
  </si>
  <si>
    <t>2352054019</t>
  </si>
  <si>
    <t>353500, КРАСНОДАРСКИЙ КРАЙ, РАЙОН ТЕМРЮКСКИЙ, ГОРОД ТЕМРЮК, УЛИЦА ЛЕНИНА, ДОМ 46, КОРПУС 2, ПОМЕЩЕНИЕ 3 ОФИС 6</t>
  </si>
  <si>
    <t>Горбунов Игорь Викторович</t>
  </si>
  <si>
    <t>+7 (918) 467-94-79'</t>
  </si>
  <si>
    <t>55.861595,37.367266</t>
  </si>
  <si>
    <t>7733381670</t>
  </si>
  <si>
    <t>125310, Г.Москва, внутригородская территория города федерального значения МУНИЦИПАЛЬНЫЙ ОКРУГ МИТИНО, УЛ МУРАВСКАЯ, Д. 42, К. 1,..</t>
  </si>
  <si>
    <t>Ершова Ирина Вячеславовна</t>
  </si>
  <si>
    <t>54.9029,37.370257</t>
  </si>
  <si>
    <t>Общество с ограниченной ответственностью "КИМБЕРЛИТ"</t>
  </si>
  <si>
    <t>"КИМБЕРЛИТ"</t>
  </si>
  <si>
    <t>5043057106</t>
  </si>
  <si>
    <t>142253, МОСКОВСКАЯ ОБЛАСТЬ, ГОРОД СЕРПУХОВ, ПОСЕЛОК БОЛЬШЕВИК, УЛИЦА ЛЕНИНА, ДОМ 110</t>
  </si>
  <si>
    <t>Пронина Наталья Викторовна</t>
  </si>
  <si>
    <t>+7 (495) 518-94-70'</t>
  </si>
  <si>
    <t>buhgalter@kmb5.ru'</t>
  </si>
  <si>
    <t>56.866691,37.372629</t>
  </si>
  <si>
    <t>ОБЩЕСТВО С ОГРАНИЧЕННОЙ ОТВЕТСТВЕННОСТЬЮ "ДИЗАЙН ГРУПП"</t>
  </si>
  <si>
    <t>"ДИЗАЙН ГРУПП"</t>
  </si>
  <si>
    <t>6910024117</t>
  </si>
  <si>
    <t>171505, ТВЕРСКАЯ ОБЛАСТЬ, ГОРОД КИМРЫ, УЛИЦА ПЕСОЧНАЯ, ДОМ 2,..</t>
  </si>
  <si>
    <t>Сахарова Любовь Викторовна</t>
  </si>
  <si>
    <t>55.590317,37.373087</t>
  </si>
  <si>
    <t>ОБЩЕСТВО С ОГРАНИЧЕННОЙ ОТВЕТСТВЕННОСТЬЮ "АЛЬФА-5"</t>
  </si>
  <si>
    <t>"АЛЬФА-5"</t>
  </si>
  <si>
    <t>7743118742</t>
  </si>
  <si>
    <t>108811, МОСКВА ГОРОД, ПОСЕЛЕНИЕ МОСКОВСКИЙ, ГОРОД МОСКОВСКИЙ, УЛИЦА РАДУЖНАЯ, ДОМ 14, КОРПУС 1,..</t>
  </si>
  <si>
    <t>Мхитарян Аршак Вардгесович</t>
  </si>
  <si>
    <t>54.93992,37.378432</t>
  </si>
  <si>
    <t>ОБЩЕСТВО С ОГРАНИЧЕННОЙ ОТВЕТСТВЕННОСТЬЮ "ПРОИЗВОДСТВЕННАЯ КОМПАНИЯ МОНОЛИТ"</t>
  </si>
  <si>
    <t>"ПРОИЗВОДСТВЕННАЯ КОМПАНИЯ МОНОЛИТ"</t>
  </si>
  <si>
    <t>5043075786</t>
  </si>
  <si>
    <t>142204, Московская область, городской округ СЕРПУХОВ, Д СКРЫЛЬЯ, ТЕР. ТОВАРИЩЕСТВО СОБСТВЕННИКОВ НЕДВИЖИМОСТИ СКРЫЛЬЯ-2, Д. 27/1,</t>
  </si>
  <si>
    <t>Мишура Александр Петрович</t>
  </si>
  <si>
    <t>54.73864,37.390272</t>
  </si>
  <si>
    <t>ОБЩЕСТВО С ОГРАНИЧЕННОЙ ОТВЕТСТВЕННОСТЬЮ "УНИВЕРСАЛ ЮГ"</t>
  </si>
  <si>
    <t>"УНИВЕРСАЛ ЮГ"</t>
  </si>
  <si>
    <t>5043041530</t>
  </si>
  <si>
    <t>301000, ТУЛЬСКАЯ ОБЛ., Р-Н Заокский, РП. Заокский, УЛ. ЛЕНИНА, Д. 81</t>
  </si>
  <si>
    <t>Григорян Норайр Альбертович</t>
  </si>
  <si>
    <t>+7 (926) 415-31-05'</t>
  </si>
  <si>
    <t>54.932876,37.391934</t>
  </si>
  <si>
    <t>ОБЩЕСТВО С ОГРАНИЧЕННОЙ ОТВЕТСТВЕННОСТЬЮ "ЗАВОД "СПЕЦЖЕЛЕЗОБЕТОН"</t>
  </si>
  <si>
    <t>"ЗАВОД "СПЕЦЖЕЛЕЗОБЕТОН"</t>
  </si>
  <si>
    <t>5043051778</t>
  </si>
  <si>
    <t>142204, МОСКОВСКАЯ ОБЛАСТЬ, ГОРОД СЕРПУХОВ, УЛИЦА ПУШКИНА, 45</t>
  </si>
  <si>
    <t>Орлова Наталья Викторовна</t>
  </si>
  <si>
    <t>+7 (926) 961-17-27'</t>
  </si>
  <si>
    <t>55.796476,37.392149</t>
  </si>
  <si>
    <t>7734449057</t>
  </si>
  <si>
    <t>123458, Г.Москва, МУНИЦИПАЛЬНЫЙ ОКРУГ СТРОГИНО, УЛ ТВАРДОВСКОГО, Д. 4, К. 4, КОМ. 2/ОФИС 1</t>
  </si>
  <si>
    <t xml:space="preserve"> Генеральный Директор Арутюнян Мартин Артурович</t>
  </si>
  <si>
    <t>55.646833,37.392562</t>
  </si>
  <si>
    <t>ОБЩЕСТВО С ОГРАНИЧЕННОЙ ОТВЕТСТВЕННОСТЬЮ "ЖБИ ТУЧКОВО"</t>
  </si>
  <si>
    <t>"ЖБИ ТУЧКОВО"</t>
  </si>
  <si>
    <t>9729272947</t>
  </si>
  <si>
    <t>119618, МОСКВА Г, АВИАТОРОВ УЛ, ДОМ 2,..</t>
  </si>
  <si>
    <t>Ионова Оксана Владимировна</t>
  </si>
  <si>
    <t>svetochka_morozova@rambler.ru'</t>
  </si>
  <si>
    <t>54.729527,37.393012</t>
  </si>
  <si>
    <t>ОБЩЕСТВО С ОГРАНИЧЕННОЙ ОТВЕТСТВЕННОСТЬЮ "АРМОСТРОЙ71"</t>
  </si>
  <si>
    <t>"АРМОСТРОЙ71"</t>
  </si>
  <si>
    <t>7126020400</t>
  </si>
  <si>
    <t>301000, ТУЛЬСКАЯ ОБЛАСТЬ, РАЙОН ЗАОКСКИЙ, РАБОЧИЙ ПОСЕЛОК ЗАОКСКИЙ, ПРОЕЗД С.ЧЕКАЛИНА, ДОМ 21,..</t>
  </si>
  <si>
    <t>Марукян Арен Каренович</t>
  </si>
  <si>
    <t>fk@gmail.com'</t>
  </si>
  <si>
    <t>55.711189,37.394611</t>
  </si>
  <si>
    <t>ОБЩЕСТВО С ОГРАНИЧЕННОЙ ОТВЕТСТВЕННОСТЬЮ "ТМ ТЕХНОЛОГИИ"</t>
  </si>
  <si>
    <t>"ТМ ТЕХНОЛОГИИ"</t>
  </si>
  <si>
    <t>7723372613</t>
  </si>
  <si>
    <t>121353, МОСКВА ГОРОД, УЛИЦА БЕЛОВЕЖСКАЯ, ДОМ 39, КОРПУС 3,..</t>
  </si>
  <si>
    <t>Янина Оксана Викторовна</t>
  </si>
  <si>
    <t>54.916444,37.394637</t>
  </si>
  <si>
    <t>ОБЩЕСТВО С ОГРАНИЧЕННОЙ ОТВЕТСТВЕННОСТЬЮ "ОПОРСНАБ"</t>
  </si>
  <si>
    <t>"ОПОРСНАБ"</t>
  </si>
  <si>
    <t>5043073725</t>
  </si>
  <si>
    <t>142209, МОСКОВСКАЯ ОБЛ., Г. Серпухов, УЛ. ПРОЛЕТАРСКАЯ, Д. 76, ОФИС 11</t>
  </si>
  <si>
    <t>Анпилогов Артём Викторович</t>
  </si>
  <si>
    <t>55.874026,37.396847</t>
  </si>
  <si>
    <t>ОБЩЕСТВО С ОГРАНИЧЕННОЙ ОТВЕТСТВЕННОСТЬЮ "СТРОЙ ГРУПП"</t>
  </si>
  <si>
    <t>"СТРОЙ ГРУПП"</t>
  </si>
  <si>
    <t>5024215942</t>
  </si>
  <si>
    <t>143441, МОСКОВСКАЯ ОБЛ., Г. Красногорск, Д. Путилково, Б-Р СПАСО-ТУШИНСКИЙ, Д. 5,..</t>
  </si>
  <si>
    <t>Байбекова Диларам Камиловна</t>
  </si>
  <si>
    <t>55.736022,37.397054</t>
  </si>
  <si>
    <t>ОБЩЕСТВО С ОГРАНИЧЕННОЙ ОТВЕТСТВЕННОСТЬЮ "ЖБИ №9"</t>
  </si>
  <si>
    <t>"ЖБИ №9"</t>
  </si>
  <si>
    <t>7731453030</t>
  </si>
  <si>
    <t>121351, МОСКВА ГОРОД, УЛИЦА МОЛОДОГВАРДЕЙСКАЯ, ДОМ 54, СТР. 23</t>
  </si>
  <si>
    <t>Бируль Сергей Юрьевич</t>
  </si>
  <si>
    <t>55.72632,37.399399</t>
  </si>
  <si>
    <t>Общество с ограниченной ответственностью "Стройблок"</t>
  </si>
  <si>
    <t>"Стройблок"</t>
  </si>
  <si>
    <t>7708792162</t>
  </si>
  <si>
    <t>121596, МОСКВА ГОРОД, УЛ. ГОРБУНОВА, Д. 2, СТР. 3, ЭТ 4 ПОМ II КОМ 31Ж</t>
  </si>
  <si>
    <t>Манукян Карен Фурманович</t>
  </si>
  <si>
    <t>ОБЩЕСТВО С ОГРАНИЧЕННОЙ ОТВЕТСТВЕННОСТЬЮ "СТРОЙ.ТЕХ.ПАРК"</t>
  </si>
  <si>
    <t>"СТРОЙ.ТЕХ.ПАРК"</t>
  </si>
  <si>
    <t>9731052201</t>
  </si>
  <si>
    <t>121596, МОСКВА ГОРОД, УЛИЦА ГОРБУНОВА, ДОМ 2, СТРОЕНИЕ 3, ЭТ 8 П II К 12 ОФ 31Б</t>
  </si>
  <si>
    <t>Галстян Грайр Жирайрович</t>
  </si>
  <si>
    <t>ОБЩЕСТВО С ОГРАНИЧЕННОЙ ОТВЕТСТВЕННОСТЬЮ "САФОНОВСКИЙ СТРОИТЕЛЬНО-ПРОИЗВОДСТВЕННЫЙ КОМБИНАТ"</t>
  </si>
  <si>
    <t>"САФОНОВСКИЙ СТРОИТЕЛЬНО-ПРОИЗВОДСТВЕННЫЙ КОМБИНАТ"</t>
  </si>
  <si>
    <t>9731080216</t>
  </si>
  <si>
    <t>121596, МОСКВА Г., УЛ. ГОРБУНОВА, Д. 2, СТР. 3, ЭТАЖ 6 ПОМЕЩ./КОМ. II/17, 17А</t>
  </si>
  <si>
    <t>Овчинников Руслан Геннадьевич</t>
  </si>
  <si>
    <t>ОБЩЕСТВО С ОГРАНИЧЕННОЙ ОТВЕТСТВЕННОСТЬЮ "КОМСТРОЙ"</t>
  </si>
  <si>
    <t>"КОМСТРОЙ"</t>
  </si>
  <si>
    <t>9731083746</t>
  </si>
  <si>
    <t>121596, Г.Москва, внутригородская территория города федерального значения МУНИЦИПАЛЬНЫЙ ОКРУГ МОЖАЙСКИЙ, УЛ ГОРБУНОВА, Д. 2, СТР. 3, ЭТАЖ/ПОМЕЩ. 9/II, КОМ./ОФИС 52/224</t>
  </si>
  <si>
    <t>Алексеев Андрей Алексеевич</t>
  </si>
  <si>
    <t>55.72595,37.399884</t>
  </si>
  <si>
    <t>ОБЩЕСТВО С ОГРАНИЧЕННОЙ ОТВЕТСТВЕННОСТЬЮ "Железобетонные системы"</t>
  </si>
  <si>
    <t>"Железобетонные системы"</t>
  </si>
  <si>
    <t>7727762212</t>
  </si>
  <si>
    <t>121596, Г.Москва, внутригородская территория города федерального значения МУНИЦИПАЛЬНЫЙ ОКРУГ МОЖАЙСКИЙ, УЛ ГОРБУНОВА, Д. 2, СТР. 3, ЭТАЖ/ПОМЕЩЕНИЕ 8/II, КОМ./ОФИС 38Д/100</t>
  </si>
  <si>
    <t>Миронычева Наталья Николаевна</t>
  </si>
  <si>
    <t>55.837924,37.403001</t>
  </si>
  <si>
    <t>ОБЩЕСТВО С ОГРАНИЧЕННОЙ ОТВЕТСТВЕННОСТЬЮ "БЛОКМАСТЕР"</t>
  </si>
  <si>
    <t>7733380395</t>
  </si>
  <si>
    <t>125476, Г.Москва, внутригородская территория города федерального значения МУНИЦИПАЛЬНЫЙ ОКРУГ ЮЖНОЕ ТУШИНО, УЛ ВАСИЛИЯ ПЕТУШКОВА, Д. 11,..</t>
  </si>
  <si>
    <t>Кузнецов Андрей Владимирович</t>
  </si>
  <si>
    <t>SMITT@MAIL.RU'</t>
  </si>
  <si>
    <t>55.7668,37.40424</t>
  </si>
  <si>
    <t>ОБЩЕСТВО С ОГРАНИЧЕННОЙ ОТВЕТСТВЕННОСТЬЮ "АГЛОСТРОЙТЕХ"</t>
  </si>
  <si>
    <t>"АГЛОСТРОЙТЕХ"</t>
  </si>
  <si>
    <t>7718299541</t>
  </si>
  <si>
    <t>121609, МОСКВА ГОРОД, УЛ. ОСЕННЯЯ, Д. 23, ПОМ I КОМ 44</t>
  </si>
  <si>
    <t>Павлов Олег Владимирович</t>
  </si>
  <si>
    <t>aglomerats@mail.ru'</t>
  </si>
  <si>
    <t>55.894702,37.404465</t>
  </si>
  <si>
    <t>ОБЩЕСТВО С ОГРАНИЧЕННОЙ ОТВЕТСТВЕННОСТЬЮ "НТС"</t>
  </si>
  <si>
    <t>"НТС"</t>
  </si>
  <si>
    <t>5047264953</t>
  </si>
  <si>
    <t>141407, Московская область, городской округ ХИМКИ, Город ХИМКИ, Ш НАГОРНОЕ, Д. 4, ПОМЕЩ. 11</t>
  </si>
  <si>
    <t>Калинин Евгений Олегович</t>
  </si>
  <si>
    <t>56.365543,37.405956</t>
  </si>
  <si>
    <t>5007097329</t>
  </si>
  <si>
    <t>141832, МОСКОВСКАЯ ОБЛАСТЬ, ГОРОД ДМИТРОВ, ДЕРЕВНЯ ЗВЕРКОВО, ТЕРРИТОРИЯ ОБЪЕДИНЕНИЯ ДМИТРОГРАД, ДОМ 22</t>
  </si>
  <si>
    <t>Заматаев Роман Сергеевич</t>
  </si>
  <si>
    <t>zamataevroman@mail.ru'</t>
  </si>
  <si>
    <t>55.733087,37.408723</t>
  </si>
  <si>
    <t>ОБЩЕСТВО С ОГРАНИЧЕННОЙ ОТВЕТСТВЕННОСТЬЮ Завод "АРБОЛИТ-ЭКО"</t>
  </si>
  <si>
    <t>Завод "АРБОЛИТ-ЭКО"</t>
  </si>
  <si>
    <t>7731409673</t>
  </si>
  <si>
    <t>121351, МОСКВА ГОРОД, УЛИЦА МОЛОДОГВАРДЕЙСКАЯ, 47, 3, 16</t>
  </si>
  <si>
    <t>Шведов Дмитрий Владимирович</t>
  </si>
  <si>
    <t>55.767499,37.408948</t>
  </si>
  <si>
    <t>ОБЩЕСТВО С ОГРАНИЧЕННОЙ ОТВЕТСТВЕННОСТЬЮ "ЖБИ-СЕВЕР"</t>
  </si>
  <si>
    <t>"ЖБИ-СЕВЕР"</t>
  </si>
  <si>
    <t>7743091473</t>
  </si>
  <si>
    <t>121614, МОСКВА ГОРОД, УЛИЦА ОСЕННЯЯ, ДОМ 26,..</t>
  </si>
  <si>
    <t>Ким Максим Герасимович</t>
  </si>
  <si>
    <t>maxussuri@yandex.ru', 'service@gmail.com'</t>
  </si>
  <si>
    <t>45.254184,37.411113</t>
  </si>
  <si>
    <t>2352054026</t>
  </si>
  <si>
    <t>353505, КРАСНОДАРСКИЙ КРАЙ, Р-Н ТЕМРЮКСКИЙ, Г. ТЕМРЮК, УЛ. АНДЖИЕВСКОГО, Д. 40, К. А</t>
  </si>
  <si>
    <t>Кривонос Александр Александрович</t>
  </si>
  <si>
    <t>+7 (918) 269-55-79'</t>
  </si>
  <si>
    <t>55.922389,37.411966</t>
  </si>
  <si>
    <t>ОБЩЕСТВО С ОГРАНИЧЕННОЙ ОТВЕТСТВЕННОСТЬЮ "ХИМ-СТРОЙЛЮКС"</t>
  </si>
  <si>
    <t>"ХИМ-СТРОЙЛЮКС"</t>
  </si>
  <si>
    <t>5047207137</t>
  </si>
  <si>
    <t>141402, МОСКОВСКАЯ ОБЛАСТЬ, Г. ХИМКИ, Ш. ВАШУТИНСКОЕ, Д. 19А, ПОМЕЩ. 20</t>
  </si>
  <si>
    <t>Сафарян Арам Фрунзеевич</t>
  </si>
  <si>
    <t>+7 (985) 998-54-94'</t>
  </si>
  <si>
    <t>54.837706,37.417311</t>
  </si>
  <si>
    <t>ОБЩЕСТВО С ОГРАНИЧЕННОЙ ОТВЕТСТВЕННОСТЬЮ "Вариотех"</t>
  </si>
  <si>
    <t>"Вариотех"</t>
  </si>
  <si>
    <t>7723791131</t>
  </si>
  <si>
    <t>301002, ТУЛЬСКАЯ ОБЛАСТЬ, РАЙОН ЗАОКСКИЙ, ПОСЕЛОК МАЯК, УЛИЦА САДОВАЯ, ДОМ 5</t>
  </si>
  <si>
    <t>Марупов Николай Николаевич</t>
  </si>
  <si>
    <t>+7 (905) 553-32-22'</t>
  </si>
  <si>
    <t>55.903302,37.420365</t>
  </si>
  <si>
    <t>ОБЩЕСТВО С ОГРАНИЧЕННОЙ ОТВЕТСТВЕННОСТЬЮ "БРИК ВОЛЛ"</t>
  </si>
  <si>
    <t>"БРИК ВОЛЛ"</t>
  </si>
  <si>
    <t>5047243248</t>
  </si>
  <si>
    <t>141402, МОСКОВСКАЯ ОБЛАСТЬ, ГОРОД ХИМКИ, УЛИЦА ЛЕНИНГРАДСКАЯ, ДОМ 29, ОФИС 828/3</t>
  </si>
  <si>
    <t>Колесников Сергей Николаевич</t>
  </si>
  <si>
    <t>55.691668,37.42068</t>
  </si>
  <si>
    <t>ОБЩЕСТВО С ОГРАНИЧЕННОЙ ОТВЕТСТВЕННОСТЬЮ "СПЕЦТЕХСТРОЙ"</t>
  </si>
  <si>
    <t>"СПЕЦТЕХСТРОЙ"</t>
  </si>
  <si>
    <t>7724452928</t>
  </si>
  <si>
    <t>121471, Г.Москва, внутригородская территория города федерального значения МУНИЦИПАЛЬНЫЙ ОКРУГ ОЧАКОВО-МАТВЕЕВСКОЕ, УЛ РЯБИНОВАЯ, Д. 32, ЭТАЖ 1, ПОМЕЩ. 4,5</t>
  </si>
  <si>
    <t>Аветисян Наира Гургени</t>
  </si>
  <si>
    <t>55.6928,37.42156</t>
  </si>
  <si>
    <t>ОБЩЕСТВО С ОГРАНИЧЕННОЙ ОТВЕТСТВЕННОСТЬЮ "СТУДИЯ СЕМЬ ЧУДЕС СВЕТА"</t>
  </si>
  <si>
    <t>"СТУДИЯ СЕМЬ ЧУДЕС СВЕТА"</t>
  </si>
  <si>
    <t>9729260324</t>
  </si>
  <si>
    <t>121471, МОСКВА Г., УЛ. РЯБИНОВАЯ, Д. 28, СТР. 1, ЭТАЖ 1 ПОМЕЩ. 1,2</t>
  </si>
  <si>
    <t>Барабанов Владислав Михайлович</t>
  </si>
  <si>
    <t>+7 (925) 510-71-80'</t>
  </si>
  <si>
    <t>55.69558,37.421847</t>
  </si>
  <si>
    <t>ОБЩЕСТВО С ОГРАНИЧЕННОЙ ОТВЕТСТВЕННОСТЬЮ "ОБРЭЙ И ПАРТНЕРЫ"</t>
  </si>
  <si>
    <t>"ОБРЭЙ И ПАРТНЕРЫ"</t>
  </si>
  <si>
    <t>7729757761</t>
  </si>
  <si>
    <t>121471, МОСКВА ГОРОД, УЛ. РЯБИНОВАЯ, Д. 26, К. 2, ОФИС 401</t>
  </si>
  <si>
    <t>Василян Тереза Завеновна</t>
  </si>
  <si>
    <t>+7 (495) 992-65-95'</t>
  </si>
  <si>
    <t>56.027434,37.422027</t>
  </si>
  <si>
    <t>ОБЩЕСТВО С ОГРАНИЧЕННОЙ ОТВЕТСТВЕННОСТЬЮ "ПК ЖБИ"</t>
  </si>
  <si>
    <t>"ПК ЖБИ"</t>
  </si>
  <si>
    <t>5047257586</t>
  </si>
  <si>
    <t>141734, МОСКОВСКАЯ ОБЛ., Г. Лобня, УЛ. СПОРТИВНАЯ, Д. 4А, ЛИТЕР Б, ЭТАЖ 1 КОМ. 16</t>
  </si>
  <si>
    <t>Пупков Дмитрий Николаевич</t>
  </si>
  <si>
    <t>391763@MAIL.RU'</t>
  </si>
  <si>
    <t>55.847942,37.42297</t>
  </si>
  <si>
    <t>ОБЩЕСТВО С ОГРАНИЧЕННОЙ ОТВЕТСТВЕННОСТЬЮ "АГРОСТРОЙ"</t>
  </si>
  <si>
    <t>"АГРОСТРОЙ"</t>
  </si>
  <si>
    <t>7733329367</t>
  </si>
  <si>
    <t>125459, МОСКВА Г, ТУРИСТСКАЯ УЛ, ДОМ 11,..</t>
  </si>
  <si>
    <t>Рябченков Андрей Евгеньевич</t>
  </si>
  <si>
    <t>stroygbi1@yandex.ru'</t>
  </si>
  <si>
    <t>44.800437,37.423851</t>
  </si>
  <si>
    <t>ОБЩЕСТВО С ОГРАНИЧЕННОЙ ОТВЕТСТВЕННОСТЬЮ "СТРОЙ-КАСКАД"</t>
  </si>
  <si>
    <t>"СТРОЙ-КАСКАД"</t>
  </si>
  <si>
    <t>2301103557</t>
  </si>
  <si>
    <t>353407, КРАСНОДАРСКИЙ КРАЙ, Р-Н Анапский, С. Сукко, УЛ. СОВЕТСКАЯ, Д. 110</t>
  </si>
  <si>
    <t>Кузмиди Семен Генадьевич</t>
  </si>
  <si>
    <t>55.833819,37.426168</t>
  </si>
  <si>
    <t>ОБЩЕСТВО С ОГРАНИЧЕННОЙ ОТВЕТСТВЕННОСТЬЮ "ДЕКОПЛАТ"</t>
  </si>
  <si>
    <t>"ДЕКОПЛАТ"</t>
  </si>
  <si>
    <t>7733339206</t>
  </si>
  <si>
    <t>125362, МОСКВА Г., ПР-Д СТРОИТЕЛЬНЫЙ, Д. 7А, К. 2, ОФИС 7 ПОМЕЩ. 5</t>
  </si>
  <si>
    <t>Кудрявцев Геннадий Владимирович</t>
  </si>
  <si>
    <t>55.830715,37.430947</t>
  </si>
  <si>
    <t>ОБЩЕСТВО С ОГРАНИЧЕННОЙ ОТВЕТСТВЕННОСТЬЮ "НОВЫЕ СТРОИТЕЛЬНЫЕ СИСТЕМЫ"</t>
  </si>
  <si>
    <t>"НОВЫЕ СТРОИТЕЛЬНЫЕ СИСТЕМЫ"</t>
  </si>
  <si>
    <t>7733376590</t>
  </si>
  <si>
    <t>125424, Г.Москва, внутригородская территория города федерального значения МУНИЦИПАЛЬНЫЙ ОКРУГ ПОКРОВСКОЕ-СТРЕШНЕВО, ТУП СХОДНЕНСКИЙ, Д. 4, ЭТАЖ 4, ОФИС 430</t>
  </si>
  <si>
    <t>Солуянов Иван Юрьевич</t>
  </si>
  <si>
    <t>54.920299,37.431891</t>
  </si>
  <si>
    <t>ОБЩЕСТВО С ОГРАНИЧЕННОЙ ОТВЕТСТВЕННОСТЬЮ "САТУРН"</t>
  </si>
  <si>
    <t>"САТУРН"</t>
  </si>
  <si>
    <t>5043067707</t>
  </si>
  <si>
    <t>142203, МОСКОВСКАЯ ОБЛАСТЬ, ГОРОД СЕРПУХОВ, УЛИЦА ВОРОШИЛОВА, ДОМ 123, ПОМ. 54 ОФИС 2</t>
  </si>
  <si>
    <t>Крашников Алексей Александрович</t>
  </si>
  <si>
    <t>55.90913,37.432115</t>
  </si>
  <si>
    <t>ОБЩЕСТВО С ОГРАНИЧЕННОЙ ОТВЕТСТВЕННОСТЬЮ "АРТ-ТЕРРАЦЦО"</t>
  </si>
  <si>
    <t>"АРТ-ТЕРРАЦЦО"</t>
  </si>
  <si>
    <t>5047255878</t>
  </si>
  <si>
    <t>141401, МОСКОВСКАЯ ОБЛ., Г. Химки, УЛ. РАБОЧАЯ, Д. 2А, К. 18, ПОМЕЩ. 20 ОФИС 22</t>
  </si>
  <si>
    <t>Даманский Евгений Владимирович</t>
  </si>
  <si>
    <t>ОБЩЕСТВО С ОГРАНИЧЕННОЙ ОТВЕТСТВЕННОСТЬЮ "СТОУН-ТЕРРАЦЦО"</t>
  </si>
  <si>
    <t>"СТОУН-ТЕРРАЦЦО"</t>
  </si>
  <si>
    <t>5047257441</t>
  </si>
  <si>
    <t>МОСКОВСКАЯ ОБЛ., Г. Химки, УЛ. РАБОЧАЯ, Д. 2А, К. 18, ПОМЕЩ. 5</t>
  </si>
  <si>
    <t>STOUNTERRACCO@YANDEX.RU'</t>
  </si>
  <si>
    <t>55.740193,37.43437</t>
  </si>
  <si>
    <t>ОБЩЕСТВО С ОГРАНИЧЕННОЙ ОТВЕТСТВЕННОСТЬЮ "КНАК"</t>
  </si>
  <si>
    <t>"КНАК"</t>
  </si>
  <si>
    <t>7731240850</t>
  </si>
  <si>
    <t>121615, МОСКВА Г, РУБЛЁВСКОЕ Ш, ДОМ 16, КОРПУС 1,..</t>
  </si>
  <si>
    <t>Фетищев Андрей Владимирович</t>
  </si>
  <si>
    <t>+7 (495) 554-01-17', '+7 (968) 898-79-70', '+7 (916) 692-56-00'</t>
  </si>
  <si>
    <t>55.678453,37.436858</t>
  </si>
  <si>
    <t>9729305293</t>
  </si>
  <si>
    <t>121471, МОСКВА Г., УЛ. РЯБИНОВАЯ, Д. 69, СТР. 5, ЭТАЖ/ПОМЕЩ. 1/VIII КОМ. 13</t>
  </si>
  <si>
    <t>Джамалов Сухроб Музафарович</t>
  </si>
  <si>
    <t>56.020708,37.438906</t>
  </si>
  <si>
    <t>ЗАКРЫТОЕ АКЦИОНЕРНОЕ ОБЩЕСТВО "КРАСНОПОЛЯНСКИЙ КЕРАМИЧЕСКИЙ ЗАВОД"</t>
  </si>
  <si>
    <t>ЗАКРЫТОЕ "КРАСНОПОЛЯНСКИЙ КЕРАМИЧЕСКИЙ ЗАВОД"</t>
  </si>
  <si>
    <t>5025009967</t>
  </si>
  <si>
    <t>http://1kkz.ru</t>
  </si>
  <si>
    <t>МОСКОВСКАЯ ОБЛ.,Г ЛОБНЯ,УЛ ЛЕЙТЕНАНТА БОЙКО, Д 91</t>
  </si>
  <si>
    <t>Алексеев Александр Викторович</t>
  </si>
  <si>
    <t>+7 (495) 577-53-31', '+7 (495) 579-40-16', '+7 (495) 577-53-31'</t>
  </si>
  <si>
    <t>rodionova@kka1.ru', 'rodionova@kkz1.ru', 'erodionova@kkz1.ru', 'sorokina@kkz1.ru'</t>
  </si>
  <si>
    <t>55.896196,37.441</t>
  </si>
  <si>
    <t>ОБЩЕСТВО С ОГРАНИЧЕННОЙ ОТВЕТСТВЕННОСТЬЮ ГК "БЕТОН ГАРАНТ"</t>
  </si>
  <si>
    <t>ГК "БЕТОН ГАРАНТ"</t>
  </si>
  <si>
    <t>5047212472</t>
  </si>
  <si>
    <t>141402, МОСКОВСКАЯ ОБЛ, ХИМКИ Г, СОЮЗНАЯ УЛ, ДОМ 7, ПОМ 7,53</t>
  </si>
  <si>
    <t>Мелькунов Максим Александрович</t>
  </si>
  <si>
    <t>55.685802,37.441817</t>
  </si>
  <si>
    <t>7729772463</t>
  </si>
  <si>
    <t>http://viimiracula.ru</t>
  </si>
  <si>
    <t>119530, МОСКВА ГОРОД, Ш. ОЧАКОВСКОЕ, Д. 28, СТР. 2, КОМ. 8</t>
  </si>
  <si>
    <t>Кириллов Дмитрий Валерьевич</t>
  </si>
  <si>
    <t>55.723146,37.44373</t>
  </si>
  <si>
    <t>ОБЩЕСТВО С ОГРАНИЧЕННОЙ ОТВЕТСТВЕННОСТЬЮ "ИНЕРТ-НЕРУД"</t>
  </si>
  <si>
    <t>"ИНЕРТ-НЕРУД"</t>
  </si>
  <si>
    <t>9731070708</t>
  </si>
  <si>
    <t>121374, МОСКВА ГОРОД, Ш. МОЖАЙСКОЕ, Д. 4, К. 1, ЭТАЖ 1 ПОМ. VI КОМ. 23</t>
  </si>
  <si>
    <t>Рияко Елизавета Игоревна</t>
  </si>
  <si>
    <t>55.716737,37.44488</t>
  </si>
  <si>
    <t>ОБЩЕСТВО С ОГРАНИЧЕННОЙ ОТВЕТСТВЕННОСТЬЮ "ПРОИЗВОДСТВЕННО-СТРОИТЕЛЬНАЯ КОМПАНИЯ "ПАРТНЕР"</t>
  </si>
  <si>
    <t>"ПРОИЗВОДСТВЕННО-СТРОИТЕЛЬНАЯ КОМПАНИЯ "ПАРТНЕР"</t>
  </si>
  <si>
    <t>7723645910</t>
  </si>
  <si>
    <t>121357, МОСКВА ГОРОД, УЛ. ВЕРЕСАЕВА, Д. 18, ЗАЩ. СООРУЖ ПОМ 1 КОМ 35</t>
  </si>
  <si>
    <t>Колотухин Алексей Владимирович</t>
  </si>
  <si>
    <t>55.571805,37.445168</t>
  </si>
  <si>
    <t>ОБЩЕСТВО С ОГРАНИЧЕННОЙ ОТВЕТСТВЕННОСТЬЮ "СТРОИТЕЛЬНЫЕ СИСТЕМЫ"</t>
  </si>
  <si>
    <t>"СТРОИТЕЛЬНЫЕ СИСТЕМЫ"</t>
  </si>
  <si>
    <t>7751004072</t>
  </si>
  <si>
    <t>142770, МОСКВА ГОРОД, ПОС. СОСЕНСКОЕ, НП. Ж/К ДУБРОВКА, УЛ. СОСНОВАЯ, СТР 4, КОМ. 233</t>
  </si>
  <si>
    <t>Калганов Дмитрий Валерьевич</t>
  </si>
  <si>
    <t>+7 (495) 927-51-09', '+7 (903) 568-69-29'</t>
  </si>
  <si>
    <t>55.671331,37.445814</t>
  </si>
  <si>
    <t>ОБЩЕСТВО С ОГРАНИЧЕННОЙ ОТВЕТСТВЕННОСТЬЮ "НОБЕТЕК"</t>
  </si>
  <si>
    <t>"НОБЕТЕК"</t>
  </si>
  <si>
    <t>7704446884</t>
  </si>
  <si>
    <t>119361, МОСКВА ГОРОД, УЛ. ОЗЁРНАЯ, Д. 42, ЭТ 7 ПОМ II КОМ 1</t>
  </si>
  <si>
    <t>Левтонов Михаил Игоревич</t>
  </si>
  <si>
    <t>55.678697,37.453217</t>
  </si>
  <si>
    <t>ОБЩЕСТВО С ОГРАНИЧЕННОЙ ОТВЕТСТВЕННОСТЬЮ "ПАРИТЕТ-СТРОЙ"</t>
  </si>
  <si>
    <t>"ПАРИТЕТ-СТРОЙ"</t>
  </si>
  <si>
    <t>9729280183</t>
  </si>
  <si>
    <t>119361, МОСКВА Г, МАРИИ ПОЛИВАНОВОЙ УЛ, ДОМ 9, ПОМЕЩЕНИЕ 24А, ЭТАЖ 2</t>
  </si>
  <si>
    <t>Токарчук Сергей Леонтьевич</t>
  </si>
  <si>
    <t>ОБЩЕСТВО С ОГРАНИЧЕННОЙ ОТВЕТСТВЕННОСТЬЮ "ПАРИТЕТ-М"</t>
  </si>
  <si>
    <t>"ПАРИТЕТ-М"</t>
  </si>
  <si>
    <t>9729280384</t>
  </si>
  <si>
    <t>119361, МОСКВА ГОРОД, УЛИЦА МАРИИ ПОЛИВАНОВОЙ, ДОМ 9, ПОМЕЩЕНИЕ 23, ЭТАЖ 2</t>
  </si>
  <si>
    <t>Александров Виктор Анатольевич</t>
  </si>
  <si>
    <t>55.832369,37.454438</t>
  </si>
  <si>
    <t>ОБЩЕСТВО С ОГРАНИЧЕННОЙ ОТВЕТСТВЕННОСТЬЮ "ЖЕЛЕЗОБЕТОННЫЙ КОМБИНАТ "МОСБЕТОН"</t>
  </si>
  <si>
    <t>"ЖЕЛЕЗОБЕТОННЫЙ КОМБИНАТ "МОСБЕТОН"</t>
  </si>
  <si>
    <t>7733342760</t>
  </si>
  <si>
    <t>125362, МОСКВА ГОРОД, УЛ. СВОБОДЫ, Д. 18, ЭТ ЦОК ПОМ III КОМ 2</t>
  </si>
  <si>
    <t>Кетов Андрей Александрович</t>
  </si>
  <si>
    <t>54.922979,37.454968</t>
  </si>
  <si>
    <t>АКЦИОНЕРНОЕ ОБЩЕСТВО "250 ЗАВОД ЖЕЛЕЗОБЕТОННЫХ ИЗДЕЛИЙ"</t>
  </si>
  <si>
    <t>"250 ЗАВОД ЖЕЛЕЗОБЕТОННЫХ ИЗДЕЛИЙ"</t>
  </si>
  <si>
    <t>5043017390</t>
  </si>
  <si>
    <t>http://250jbi.ru</t>
  </si>
  <si>
    <t>МОСКОВСКАЯ ОБЛ.,Г СЕРПУХОВ,УЛ ДЗЕРЖИНСКОГО, Д 1</t>
  </si>
  <si>
    <t>Прасолов Эдуард Викторович</t>
  </si>
  <si>
    <t>Korgoja@jbi250.gvsu', 'otiz@250gvsu.ru', 'otiz3@250.gvsu', 'otiz3@250.ru', 'otiz3@250gvsu.ru', 'otiz3@2'</t>
  </si>
  <si>
    <t>55.591538,37.455714</t>
  </si>
  <si>
    <t>ОБЩЕСТВО С ОГРАНИЧЕННОЙ ОТВЕТСТВЕННОСТЬЮ "КАМЕЛОТ"</t>
  </si>
  <si>
    <t>"КАМЕЛОТ"</t>
  </si>
  <si>
    <t>7751226886</t>
  </si>
  <si>
    <t>108802, Г.Москва, ПОСЕЛЕНИЕ СОСЕНСКОЕ, Б-Р ВЕЛАСКЕСА, Д. 2, ОФИС 112</t>
  </si>
  <si>
    <t>Субботин Георгий Александрович</t>
  </si>
  <si>
    <t>55.812039,37.456549</t>
  </si>
  <si>
    <t>ОБЩЕСТВО С ОГРАНИЧЕННОЙ ОТВЕТСТВЕННОСТЬЮ "ФОРВАРД"</t>
  </si>
  <si>
    <t>"ФОРВАРД"</t>
  </si>
  <si>
    <t>7733383854</t>
  </si>
  <si>
    <t>125367, Г.Москва, МУНИЦИПАЛЬНЫЙ ОКРУГ ПОКРОВСКОЕ-СТРЕШНЕВО, ПР-Д ПОЛЕССКИЙ, Д. 16,СТР. 1, КОМ./ОФИС 9/24</t>
  </si>
  <si>
    <t>Александров Андрей Константинович</t>
  </si>
  <si>
    <t>55.117808,37.460475</t>
  </si>
  <si>
    <t>ОБЩЕСТВО С ОГРАНИЧЕННОЙ ОТВЕТСТВЕННОСТЬЮ "СТРОЙБИЗНЕС-78"</t>
  </si>
  <si>
    <t>"СТРОЙБИЗНЕС-78"</t>
  </si>
  <si>
    <t>5048048401</t>
  </si>
  <si>
    <t>142321, МОСКОВСКАЯ ОБЛАСТЬ, Г. ЧЕХОВ, Д МАНУШКИНО, УЛ. СОВХОЗНАЯ, ВЛД. 17, СТР. 1, КАБИНЕТ 20</t>
  </si>
  <si>
    <t>Алимов Камолиддин Абдусаломович</t>
  </si>
  <si>
    <t>+7 (915) 214-33-78'</t>
  </si>
  <si>
    <t>56.023917,37.461616</t>
  </si>
  <si>
    <t>ОБЩЕСТВО С ОГРАНИЧЕННОЙ ОТВЕТСТВЕННОСТЬЮ "ЗАВОД ВИБРОПРЕССОВАННЫХ ИЗДЕЛИЙ"</t>
  </si>
  <si>
    <t>"ЗАВОД ВИБРОПРЕССОВАННЫХ ИЗДЕЛИЙ"</t>
  </si>
  <si>
    <t>5047166748</t>
  </si>
  <si>
    <t>141730, МОСКОВСКАЯ ОБЛ, ЛОБНЯ Г, ГАГАРИНА УЛ, ДОМ 10А, ПОМЕЩЕНИЕ 7</t>
  </si>
  <si>
    <t>Шумилин Сергей Викторович</t>
  </si>
  <si>
    <t>+7 (905) 710-48-58'</t>
  </si>
  <si>
    <t>zakirova@1zvi.ru'</t>
  </si>
  <si>
    <t>55.682508,37.461742</t>
  </si>
  <si>
    <t>ОБЩЕСТВО С ОГРАНИЧЕННОЙ ОТВЕТСТВЕННОСТЬЮ "ТМ ТЕХНОЛОГИЯ"</t>
  </si>
  <si>
    <t>"ТМ ТЕХНОЛОГИЯ"</t>
  </si>
  <si>
    <t>7727410965</t>
  </si>
  <si>
    <t>117449, МОСКВА ГОРОД, УЛИЦА ЧЕРЁМУШКИНСКАЯ Б., ДОМ 2, КОРПУС 4, П 8 КОМ 1 О 1 РМ 1/9</t>
  </si>
  <si>
    <t>Шипова Ирина Геннадьевна</t>
  </si>
  <si>
    <t>44.891478,37.462227</t>
  </si>
  <si>
    <t>ОБЩЕСТВО С ОГРАНИЧЕННОЙ ОТВЕТСТВЕННОСТЬЮ "АРТСТРОЙ"</t>
  </si>
  <si>
    <t>"АРТСТРОЙ"</t>
  </si>
  <si>
    <t>2301102095</t>
  </si>
  <si>
    <t>353437, КРАСНОДАРСКИЙ КРАЙ, РАЙОН АНАПСКИЙ, ХУТОР РАССВЕТ, УЛИЦА НАБЕРЕЖНАЯ, ДОМ 6</t>
  </si>
  <si>
    <t>Чатачян Артём Андреевич</t>
  </si>
  <si>
    <t>55.167493,37.463377</t>
  </si>
  <si>
    <t>ОБЩЕСТВО С ОГРАНИЧЕННОЙ ОТВЕТСТВЕННОСТЬЮ "СТРОЙ ИНДУСТРИЯ"</t>
  </si>
  <si>
    <t>"СТРОЙ ИНДУСТРИЯ"</t>
  </si>
  <si>
    <t>5043074831</t>
  </si>
  <si>
    <t>142300, Московская область, городской округ ЧЕХОВ, Город ЧЕХОВ, УЛ ЗЕМСКАЯ, Д. 3,..</t>
  </si>
  <si>
    <t>Савинова Дарья Михайловна</t>
  </si>
  <si>
    <t>85@YANDEX.RU'</t>
  </si>
  <si>
    <t>55.731404,37.46432</t>
  </si>
  <si>
    <t>ОБЩЕСТВО С ОГРАНИЧЕННОЙ ОТВЕТСТВЕННОСТЬЮ "СТРОЙ-ИНВЕСТ"</t>
  </si>
  <si>
    <t>"СТРОЙ-ИНВЕСТ"</t>
  </si>
  <si>
    <t>9731069477</t>
  </si>
  <si>
    <t>121108, МОСКВА ГОРОД, УЛ. КАСТАНАЕВСКАЯ, Д. 45, К. 2,..</t>
  </si>
  <si>
    <t>Зуев Александр Александрович</t>
  </si>
  <si>
    <t>55.854891,37.465524</t>
  </si>
  <si>
    <t>ОБЩЕСТВО С ОГРАНИЧЕННОЙ ОТВЕТСТВЕННОСТЬЮ "ФАБРИКА БЕТОНА"</t>
  </si>
  <si>
    <t>"ФАБРИКА БЕТОНА"</t>
  </si>
  <si>
    <t>7743264119</t>
  </si>
  <si>
    <t>125195, МОСКВА Г., Ш. ЛЕНИНГРАДСКОЕ, Д. 57, К. 2, ПОДВ. №0 ПОМЕЩ. I</t>
  </si>
  <si>
    <t>Хубеев Игорь Александрович</t>
  </si>
  <si>
    <t>betona@ya.ru', 'betona@ya.ru'</t>
  </si>
  <si>
    <t>52.369621,37.465748</t>
  </si>
  <si>
    <t>ОБЩЕСТВО С ОГРАНИЧЕННОЙ ОТВЕТСТВЕННОСТЬЮ "ЛИВЕНСКИЙ ЗАВОД СИЛИКАТНОГО КИРПИЧА"</t>
  </si>
  <si>
    <t>"ЛИВЕНСКИЙ ЗАВОД СИЛИКАТНОГО КИРПИЧА"</t>
  </si>
  <si>
    <t>5715016978</t>
  </si>
  <si>
    <t>303844, ОРЛОВСКАЯ ОБЛАСТЬ, ЛИВЕНСКИЙ РАЙОН, СЕЛО КОРОТЫШ, УЛИЦА ЗАВОДСКАЯ, ДОМ 18, КАБИНЕТ 7</t>
  </si>
  <si>
    <t>Кузьмин Владислав Владимирович</t>
  </si>
  <si>
    <t>+7 (486) 777-96-07'</t>
  </si>
  <si>
    <t>55.57833,37.465892</t>
  </si>
  <si>
    <t>ОБЩЕСТВО С ОГРАНИЧЕННОЙ ОТВЕТСТВЕННОСТЬЮ "ПРОМ ТЕХ"</t>
  </si>
  <si>
    <t>"ПРОМ ТЕХ"</t>
  </si>
  <si>
    <t>7751225730</t>
  </si>
  <si>
    <t>108814, Г.Москва, внутригородская территория города федерального значения ПОСЕЛЕНИЕ СОСЕНСКОЕ, УЛ ВАСИЛИЯ ОЩЕПКОВА, Д. 1, ПОМЕЩ. 15Н</t>
  </si>
  <si>
    <t>Адушев Дмитрий Михайлович</t>
  </si>
  <si>
    <t>ОБЩЕСТВО С ОГРАНИЧЕННОЙ ОТВЕТСТВЕННОСТЬЮ "ПРОМ БЕТОН"</t>
  </si>
  <si>
    <t>"ПРОМ БЕТОН"</t>
  </si>
  <si>
    <t>7751225762</t>
  </si>
  <si>
    <t>54.165773,37.468775</t>
  </si>
  <si>
    <t>ОБЩЕСТВО С ОГРАНИЧЕННОЙ ОТВЕТСТВЕННОСТЬЮ "НОР-АРМСТРОЙ"</t>
  </si>
  <si>
    <t>"НОР-АРМСТРОЙ"</t>
  </si>
  <si>
    <t>7100022480</t>
  </si>
  <si>
    <t>301138, Тульская область, ГОРОД ТУЛА, П ИНШИНСКИЙ, Д. 21</t>
  </si>
  <si>
    <t>Оганнисян Нуне Завеновна</t>
  </si>
  <si>
    <t>FK0171@MAIL.RU'</t>
  </si>
  <si>
    <t>55.789725,37.471039</t>
  </si>
  <si>
    <t>ОБЩЕСТВО С ОГРАНИЧЕННОЙ ОТВЕТСТВЕННОСТЬЮ "ЖБИ №16"</t>
  </si>
  <si>
    <t>"ЖБИ №16"</t>
  </si>
  <si>
    <t>7734400862</t>
  </si>
  <si>
    <t>123060, МОСКВА ГОРОД, УЛИЦА БЕРЗАРИНА, ДОМ 32, ПОМЕЩЕНИЕ 1</t>
  </si>
  <si>
    <t>Телешинин Андрей Игоревич</t>
  </si>
  <si>
    <t>56.017966,37.471084</t>
  </si>
  <si>
    <t>ОБЩЕСТВО С ОГРАНИЧЕННОЙ ОТВЕТСТВЕННОСТЬЮ "ЛАНДШАФТ КАМЕНЬ"</t>
  </si>
  <si>
    <t>"ЛАНДШАФТ КАМЕНЬ"</t>
  </si>
  <si>
    <t>5047263540</t>
  </si>
  <si>
    <t>141732, Московская область, городской округ ЛОБНЯ, Город ЛОБНЯ, Ш БУКИНСКОЕ, Д. 31,..</t>
  </si>
  <si>
    <t>Кабанов Сергей Борисович</t>
  </si>
  <si>
    <t>55.861615,37.471192</t>
  </si>
  <si>
    <t>ОБЩЕСТВО С ОГРАНИЧЕННОЙ ОТВЕТСТВЕННОСТЬЮ "ЭКОДОК"</t>
  </si>
  <si>
    <t>"ЭКОДОК"</t>
  </si>
  <si>
    <t>7731196979</t>
  </si>
  <si>
    <t>Г МОСКВА,УЛ БЕЛОМОРСКАЯ, Д 14, КОРП 2</t>
  </si>
  <si>
    <t>Громоздин Сергей Валерьевич</t>
  </si>
  <si>
    <t>+7 (495) 607-60-09'</t>
  </si>
  <si>
    <t>evgmos77@mail.ru', 'gaidysheva@krost.net', 'krasilnikova@kraost.net', 'krasilnikova@krost.net', 'Lysikova@k'</t>
  </si>
  <si>
    <t>55.575485,37.471605</t>
  </si>
  <si>
    <t>ОБЩЕСТВО С ОГРАНИЧЕННОЙ ОТВЕТСТВЕННОСТЬЮ "АСС"</t>
  </si>
  <si>
    <t>"АСС"</t>
  </si>
  <si>
    <t>5046074269</t>
  </si>
  <si>
    <t>108814, МОСКВА Г, СОСЕНСКОЕ П, КОММУНАРКА П, АЛЕКСАНДРЫ МОНАХОВОЙ УЛ, ДОМ 6,..</t>
  </si>
  <si>
    <t>Арутюнян Рудик Аршакович</t>
  </si>
  <si>
    <t>+7 (903) 589-77-05'</t>
  </si>
  <si>
    <t>55.704382,37.471776</t>
  </si>
  <si>
    <t>ОБЩЕСТВО С ОГРАНИЧЕННОЙ ОТВЕТСТВЕННОСТЬЮ "ЗАВОД ЖБИ НАРА"</t>
  </si>
  <si>
    <t>"ЗАВОД ЖБИ НАРА"</t>
  </si>
  <si>
    <t>7726375605</t>
  </si>
  <si>
    <t>119517, МОСКВА Г., УЛ. МАТВЕЕВСКАЯ, Д. 10, К. 3,..</t>
  </si>
  <si>
    <t>Пухов Евгений Михайлович</t>
  </si>
  <si>
    <t>+7 (985) 364-02-78'</t>
  </si>
  <si>
    <t>55.656285,37.472584</t>
  </si>
  <si>
    <t>ОБЩЕСТВО С ОГРАНИЧЕННОЙ ОТВЕТСТВЕННОСТЬЮ "АРТ-СОЮЗ"</t>
  </si>
  <si>
    <t>"АРТ-СОЮЗ"</t>
  </si>
  <si>
    <t>9729285047</t>
  </si>
  <si>
    <t>119571, МОСКВА ГОРОД, УЛ. АКАДЕМИКА АНОХИНА, Д. 13, ЭТАЖ 1 ПОМ. XII КОМН. 13</t>
  </si>
  <si>
    <t>ГЕНЕРАЛЬНЫЙ ДИРЕКТОР Вернер Антон</t>
  </si>
  <si>
    <t>zapad4@gmail.com'</t>
  </si>
  <si>
    <t>55.630141,37.474453</t>
  </si>
  <si>
    <t>ОБЩЕСТВО С ОГРАНИЧЕННОЙ ОТВЕТСТВЕННОСТЬЮ СТРОИТЕЛЬНАЯ "КОМПАНИЯ "ЧЖУНТЯНЬ ЦЗЯЕ"</t>
  </si>
  <si>
    <t>СТРОИТЕЛЬНАЯ "КОМПАНИЯ "ЧЖУНТЯНЬ ЦЗЯЕ"</t>
  </si>
  <si>
    <t>7727423330</t>
  </si>
  <si>
    <t>117133, МОСКВА ГОРОД, УЛ. АКАДЕМИКА ВАРГИ, Д. 8, К. 1, ЭТАЖ 3 ПОМ 310 ОФИС 321</t>
  </si>
  <si>
    <t>Тарвердян Константин Сурикович</t>
  </si>
  <si>
    <t>55.645893,37.477031</t>
  </si>
  <si>
    <t>ОБЩЕСТВО С ОГРАНИЧЕННОЙ ОТВЕТСТВЕННОСТЬЮ "БЕТОН ХАУЗ"</t>
  </si>
  <si>
    <t>"БЕТОН ХАУЗ"</t>
  </si>
  <si>
    <t>7728248264</t>
  </si>
  <si>
    <t>117513, г Москва, просп Ленинский, д 127,..</t>
  </si>
  <si>
    <t>Матевосян Артур Гегами</t>
  </si>
  <si>
    <t>+7 (495) 281-42-00'</t>
  </si>
  <si>
    <t>54.223706,37.478504</t>
  </si>
  <si>
    <t>ОБЩЕСТВО С ОГРАНИЧЕННОЙ ОТВЕТСТВЕННОСТЬЮ "ПОСТУПЕНЬКАМ"</t>
  </si>
  <si>
    <t>"ПОСТУПЕНЬКАМ"</t>
  </si>
  <si>
    <t>7100009095</t>
  </si>
  <si>
    <t>301116, ТУЛЬСКАЯ ОБЛ., Ленинский Р-Н, Д. Ямны, УЛ. ПОЛЕВАЯ, Д. 19</t>
  </si>
  <si>
    <t>Шабанов Павел Геннадиевич</t>
  </si>
  <si>
    <t>54.274749,37.479402</t>
  </si>
  <si>
    <t>ОБЩЕСТВО С ОГРАНИЧЕННОЙ ОТВЕТСТВЕННОСТЬЮ "ЭЛЛЕР"</t>
  </si>
  <si>
    <t>"ЭЛЛЕР"</t>
  </si>
  <si>
    <t>7100008408</t>
  </si>
  <si>
    <t>301130, ТУЛЬСКАЯ ОБЛ., Р-Н Ленинский, СП. Ленинский, УЛ. ЦИОЛКОВСКОГО, Д. 90, СТР. 3, ПОМЕЩ. 1, ЭТАЖ 2</t>
  </si>
  <si>
    <t>Пейль Александр Альбертович</t>
  </si>
  <si>
    <t>56.008012,37.481451</t>
  </si>
  <si>
    <t>ОБЩЕСТВО С ОГРАНИЧЕННОЙ ОТВЕТСТВЕННОСТЬЮ "ЮНИСТОУН"</t>
  </si>
  <si>
    <t>"ЮНИСТОУН"</t>
  </si>
  <si>
    <t>7714449309</t>
  </si>
  <si>
    <t>141730, МОСКОВСКАЯ ОБЛАСТЬ, Г. ЛОБНЯ, УЛ. СИЛИКАТНАЯ, Д. 2, К. 25, ПОМЕЩ. 9, 10</t>
  </si>
  <si>
    <t>Наумов Алексей Александрович</t>
  </si>
  <si>
    <t>55.791071,37.481505</t>
  </si>
  <si>
    <t>7704883210</t>
  </si>
  <si>
    <t>Г МОСКВА,УЛ РАСПЛЕТИНА, Д 5, СТР 1</t>
  </si>
  <si>
    <t>Пахомов Александр Александрович</t>
  </si>
  <si>
    <t>+7 (495) 461-07-43', '+7 (495) 221-27-35'</t>
  </si>
  <si>
    <t>53.99843,37.482088</t>
  </si>
  <si>
    <t>ОБЩЕСТВО С ОГРАНИЧЕННОЙ ОТВЕТСТВЕННОСТЬЮ "ЩЕКИНСКИЙ ЗАВОД ЖБИ"</t>
  </si>
  <si>
    <t>"ЩЕКИНСКИЙ ЗАВОД ЖБИ"</t>
  </si>
  <si>
    <t>7118021463</t>
  </si>
  <si>
    <t>301247, ТУЛЬСКАЯ ОБЛАСТЬ, РАЙОН ЩЕКИНСКИЙ, ГОРОД ЩЕКИНО, УЛИЦА БОЛДИНА, ДОМ 121</t>
  </si>
  <si>
    <t>Ткаченко Владимир Владимирович</t>
  </si>
  <si>
    <t>+7 (910) 555-51-66'</t>
  </si>
  <si>
    <t>55.742955,37.483175</t>
  </si>
  <si>
    <t>ОБЩЕСТВО С ОГРАНИЧЕННОЙ ОТВЕТСТВЕННОСТЬЮ "БЕТОННАЯ МАНУФАКТУРА"</t>
  </si>
  <si>
    <t>"БЕТОННАЯ МАНУФАКТУРА"</t>
  </si>
  <si>
    <t>7730279809</t>
  </si>
  <si>
    <t>121309, Г.Москва, внутригородская территория города федерального значения МУНИЦИПАЛЬНЫЙ ОКРУГ ФИЛЕВСКИЙ ПАРК, УЛ БОЛЬШАЯ ФИЛЁВСКАЯ, Д. 33,  , ПОМЕЩ./КОМ. I/7А</t>
  </si>
  <si>
    <t>Ковтун Сергей Александрович</t>
  </si>
  <si>
    <t>55.860565,37.483265</t>
  </si>
  <si>
    <t>ОБЩЕСТВО С ОГРАНИЧЕННОЙ ОТВЕТСТВЕННОСТЬЮ "ЗАВОД ЖБИ ИМЕНИ ФРУНЗЕ"</t>
  </si>
  <si>
    <t>"ЗАВОД ЖБИ ИМЕНИ ФРУНЗЕ"</t>
  </si>
  <si>
    <t>7743386491</t>
  </si>
  <si>
    <t>125445, Г.Москва, МУНИЦИПАЛЬНЫЙ ОКРУГ ХОВРИНО, УЛ СМОЛЬНАЯ, Д. 24А, ОФИС 1217</t>
  </si>
  <si>
    <t>Никифоров Алексей Вячеславович</t>
  </si>
  <si>
    <t>55.785539,37.484891</t>
  </si>
  <si>
    <t>ОБЩЕСТВО С ОГРАНИЧЕННОЙ ОТВЕТСТВЕННОСТЬЮ "ДЕКОНС И К"</t>
  </si>
  <si>
    <t>"ДЕКОНС И К"</t>
  </si>
  <si>
    <t>7728282522</t>
  </si>
  <si>
    <t>123423, МОСКВА ГОРОД, УЛИЦА НАРОДНОГО ОПОЛЧЕНИЯ, ДОМ 34, СТРОЕНИЕ 1, ЭТ 3 ПОМ VI КОМ 106</t>
  </si>
  <si>
    <t>Кучеров Иван Сергеевич</t>
  </si>
  <si>
    <t>ОБЩЕСТВО С ОГРАНИЧЕННОЙ ОТВЕТСТВЕННОСТЬЮ "ПРОМИНОВАЦИЯ"</t>
  </si>
  <si>
    <t>"ПРОМИНОВАЦИЯ"</t>
  </si>
  <si>
    <t>7734387869</t>
  </si>
  <si>
    <t>123423, МОСКВА ГОРОД, УЛИЦА НАРОДНОГО ОПОЛЧЕНИЯ, ДОМ 34СТР1, КОМНАТА 84</t>
  </si>
  <si>
    <t>Биляев Максим Вячеславович</t>
  </si>
  <si>
    <t>+7 (999) 820-68-93'</t>
  </si>
  <si>
    <t>55.773034,37.485035</t>
  </si>
  <si>
    <t>7734446049</t>
  </si>
  <si>
    <t>123423, МОСКВА Г., УЛ. МНЁВНИКИ, Д. 13, К. 1, ЭТАЖ 1 ПОМЕЩЕНИЕ/ОФИС III/2</t>
  </si>
  <si>
    <t>Меркулов Игорь Алексеевич</t>
  </si>
  <si>
    <t>REGISTRATOR1980@BK.RU'</t>
  </si>
  <si>
    <t>55.842393,37.486266</t>
  </si>
  <si>
    <t>ОБЩЕСТВО С ОГРАНИЧЕННОЙ ОТВЕТСТВЕННОСТЬЮ "КОМИНВЕСТГРУПП"</t>
  </si>
  <si>
    <t>"КОМИНВЕСТГРУПП"</t>
  </si>
  <si>
    <t>7743351964</t>
  </si>
  <si>
    <t>125212, МОСКВА Г., Б-Р КРОНШТАДТСКИЙ, Д. 7А, СТР. 2, ПОМЕЩ. II, ЭТАЖ 4</t>
  </si>
  <si>
    <t>Сиотанова Ксения Андреевна</t>
  </si>
  <si>
    <t>55.712249,37.488341</t>
  </si>
  <si>
    <t>ОБЩЕСТВО С ОГРАНИЧЕННОЙ ОТВЕТСТВЕННОСТЬЮ ПК "КУБИ БЛОК ЕГОРЬЕВСКИЙ"</t>
  </si>
  <si>
    <t>ПК "КУБИ БЛОК ЕГОРЬЕВСКИЙ"</t>
  </si>
  <si>
    <t>7722472936</t>
  </si>
  <si>
    <t>119501, МОСКВА ГОРОД, УЛИЦА ВЕЕРНАЯ, ДОМ 4, КОРПУС 2, ЭТАЖ П/ПОМ №I/ КОМ 3</t>
  </si>
  <si>
    <t>Новиков Сергей Васильевич</t>
  </si>
  <si>
    <t>pkkbe@mail.ru'</t>
  </si>
  <si>
    <t>55.83566,37.490497</t>
  </si>
  <si>
    <t>ОБЩЕСТВО С ОГРАНИЧЕННОЙ ОТВЕТСТВЕННОСТЬЮ "БЕКАМ"</t>
  </si>
  <si>
    <t>"БЕКАМ"</t>
  </si>
  <si>
    <t>7743553262</t>
  </si>
  <si>
    <t>125212, МОСКВА ГОРОД, УЛ. АДМИРАЛА МАКАРОВА, Д. 6, СТР. 13, ЭТАЖ 1 ЧАСТЬ ПОМЕЩЕНИЯ 6</t>
  </si>
  <si>
    <t>Геллер Александр</t>
  </si>
  <si>
    <t>55.736954,37.494207</t>
  </si>
  <si>
    <t>ОБЩЕСТВО С ОГРАНИЧЕННОЙ ОТВЕТСТВЕННОСТЬЮ "МОСКОВСКИЙ КОМБИНАТ ПРОМЫШЛЕННОГО ДОМОСТРОЕНИЯ ИМ. А.В. СВИРИДОВА"</t>
  </si>
  <si>
    <t>"МОСКОВСКИЙ КОМБИНАТ ПРОМЫШЛЕННОГО ДОМОСТРОЕНИЯ ИМ. А.В. СВИРИДОВА"</t>
  </si>
  <si>
    <t>7730282110</t>
  </si>
  <si>
    <t>121096, Г.Москва, МУНИЦИПАЛЬНЫЙ ОКРУГ ФИЛЕВСКИЙ ПАРК, УЛ 2-Я ФИЛЕВСКАЯ, Д. 8, К. 1</t>
  </si>
  <si>
    <t>Бердников Сергей Владимирович</t>
  </si>
  <si>
    <t>55.859211,37.494602</t>
  </si>
  <si>
    <t>ОБЩЕСТВО С ОГРАНИЧЕННОЙ ОТВЕТСТВЕННОСТЬЮ "СОКОЛ"</t>
  </si>
  <si>
    <t>"СОКОЛ"</t>
  </si>
  <si>
    <t>7743345150</t>
  </si>
  <si>
    <t>125581, МОСКВА ГОРОД, УЛИЦА ФЕСТИВАЛЬНАЯ, ДОМ 12, ПОМЕЩЕНИЕ 1 ЭТ. 1</t>
  </si>
  <si>
    <t>ГЕНЕРАЛЬНЫЙ ДИРЕКТОР Гуленко Александр Геннадьевич</t>
  </si>
  <si>
    <t>55.699309,37.496444</t>
  </si>
  <si>
    <t>ОБЩЕСТВО С ОГРАНИЧЕННОЙ ОТВЕТСТВЕННОСТЬЮ "ПРОИЗВОДСТВЕННОЕ ПРЕДПРИЯТИЕ НАРА"</t>
  </si>
  <si>
    <t>"ПРОИЗВОДСТВЕННОЕ ПРЕДПРИЯТИЕ НАРА"</t>
  </si>
  <si>
    <t>7728392405</t>
  </si>
  <si>
    <t>119192, МОСКВА Г., ПР-КТ МИЧУРИНСКИЙ, Д. 34, КВАРИТРА 647</t>
  </si>
  <si>
    <t>Лобова Юлия Валерьевна</t>
  </si>
  <si>
    <t>+7 (495) 233-62-51'</t>
  </si>
  <si>
    <t>55.833637,37.497351</t>
  </si>
  <si>
    <t>ОБЩЕСТВО С ОГРАНИЧЕННОЙ ОТВЕТСТВЕННОСТЬЮ "СИБИРСКИЙ ЗАВОД ЖЕЛЕЗОБЕТОННЫХ ИЗДЕЛИЙ"</t>
  </si>
  <si>
    <t>"СИБИРСКИЙ ЗАВОД ЖЕЛЕЗОБЕТОННЫХ ИЗДЕЛИЙ"</t>
  </si>
  <si>
    <t>3801141619</t>
  </si>
  <si>
    <t>125130, Г.Москва, внутригородская территория города федерального значения МУНИЦИПАЛЬНЫЙ ОКРУГ ВОЙКОВСКИЙ, УЛ ВЫБОРГСКАЯ, Д. 20, К. 2, ЭТ./ПОМЕЩ. 4/I, КОМ. 11</t>
  </si>
  <si>
    <t>Костенко Алексей Михайлович</t>
  </si>
  <si>
    <t>+7 (902) 568-22-33'</t>
  </si>
  <si>
    <t>55.549684,37.497926</t>
  </si>
  <si>
    <t>ОБЩЕСТВО С ОГРАНИЧЕННОЙ ОТВЕТСТВЕННОСТЬЮ "МОК ГРУПП"</t>
  </si>
  <si>
    <t>"МОК ГРУПП"</t>
  </si>
  <si>
    <t>7751223540</t>
  </si>
  <si>
    <t>108801, Г.Москва, внутригородская территория города федерального значения ПОСЕЛЕНИЕ СОСЕНСКОЕ, П КОММУНАРКА, УЛ ПОТАПОВСКАЯ РОЩА, Д. 10, К. 2, ПОМЕЩ. 2, ОФИС 38</t>
  </si>
  <si>
    <t>Слабкова Эльмира Федоровна</t>
  </si>
  <si>
    <t>55.736184,37.499875</t>
  </si>
  <si>
    <t>ОБЩЕСТВО С ОГРАНИЧЕННОЙ ОТВЕТСТВЕННОСТЬЮ "ДОМИОН"</t>
  </si>
  <si>
    <t>"ДОМИОН"</t>
  </si>
  <si>
    <t>3628020580</t>
  </si>
  <si>
    <t>36-Воронежская область</t>
  </si>
  <si>
    <t>121096, МОСКВА Г., УЛ. ВАСИЛИСЫ КОЖИНОЙ, Д. 13, АПАРТ. 2472 ПОМЕЩ. 3</t>
  </si>
  <si>
    <t>Родионова Юлия Викторовна</t>
  </si>
  <si>
    <t>56.12836,37.50072</t>
  </si>
  <si>
    <t>ОБЩЕСТВО С ОГРАНИЧЕННОЙ ОТВЕТСТВЕННОСТЬЮ "54 ПРОМЫШЛЕННЫЙ КОМБИНАТ"</t>
  </si>
  <si>
    <t>"54 ПРОМЫШЛЕННЫЙ КОМБИНАТ"</t>
  </si>
  <si>
    <t>5007094720</t>
  </si>
  <si>
    <t>141865, МОСКОВСКАЯ ОБЛАСТЬ, ГОРОД ДМИТРОВ, РАБОЧИЙ ПОСЕЛОК НЕКРАСОВСКИЙ, МИКРОРАЙОН СТРОИТЕЛЕЙ, ДОМ 20, КОРПУС 1,..</t>
  </si>
  <si>
    <t xml:space="preserve"> Конкурсный Управляющий Чепарев Дмитрий Николаевич</t>
  </si>
  <si>
    <t>+7 (906) 090-37-20'</t>
  </si>
  <si>
    <t>ОБЩЕСТВО С ОГРАНИЧЕННОЙ ОТВЕТСТВЕННОСТЬЮ "55 ПРОМЫШЛЕННЫЙ КОМБИНАТ"</t>
  </si>
  <si>
    <t>"55 ПРОМЫШЛЕННЫЙ КОМБИНАТ"</t>
  </si>
  <si>
    <t>5007096942</t>
  </si>
  <si>
    <t>141875, МОСКОВСКАЯ ОБЛАСТЬ, Г ДМИТРОВ, РП НЕКРАСОВСКИЙ, МКР СТРОИТЕЛЕЙ, Д. 20</t>
  </si>
  <si>
    <t>Сытухин Дмитрий Михайлович</t>
  </si>
  <si>
    <t>+7 (915) 300-75-05', '+7 (999) 983-70-12'</t>
  </si>
  <si>
    <t>fev@x8e.ru'</t>
  </si>
  <si>
    <t>55.551257,37.500728</t>
  </si>
  <si>
    <t>ОБЩЕСТВО С ОГРАНИЧЕННОЙ ОТВЕТСТВЕННОСТЬЮ "ГИДРОЭНЕРГЕТИЧЕСКИЕ РЕШЕНИЯ"</t>
  </si>
  <si>
    <t>"ГИДРОЭНЕРГЕТИЧЕСКИЕ РЕШЕНИЯ"</t>
  </si>
  <si>
    <t>7751208661</t>
  </si>
  <si>
    <t>108801, МОСКВА Г., П. Сосенское, П. Коммунарка, УЛ. ПОТАПОВСКАЯ РОЩА, Д. 18, К. 2, ПОДВ. ПОДВАЛ ОФИС 25</t>
  </si>
  <si>
    <t>Тер-Григорян Элиза Арменовна</t>
  </si>
  <si>
    <t>45.025151,37.503477</t>
  </si>
  <si>
    <t>ОБЩЕСТВО С ОГРАНИЧЕННОЙ ОТВЕТСТВЕННОСТЬЮ "АТЛАНТ"</t>
  </si>
  <si>
    <t>"АТЛАНТ"</t>
  </si>
  <si>
    <t>2301097007</t>
  </si>
  <si>
    <t>353400, КРАСНОДАРСКИЙ КРАЙ, Р-Н АНАПСКИЙ, СТ-ЦА ГОСТАГАЕВСКАЯ, УЛ. НОВОРОССИЙСКАЯ, Д. 100, КАБИНЕТ 12</t>
  </si>
  <si>
    <t>Турков Станислав Александрович</t>
  </si>
  <si>
    <t>55.80653,37.504681</t>
  </si>
  <si>
    <t>ОБЩЕСТВО С ОГРАНИЧЕННОЙ ОТВЕТСТВЕННОСТЬЮ "ДЕКОР ПРО"</t>
  </si>
  <si>
    <t>"ДЕКОР ПРО"</t>
  </si>
  <si>
    <t>7734409801</t>
  </si>
  <si>
    <t>125080, МОСКВА Г., Ш. ВОЛОКОЛАМСКОЕ, Д. 1, СТР. 1, ЭТАЖ 8 ПОМЕЩ. IX,КОМНАТА 54,ОФИС 49</t>
  </si>
  <si>
    <t>Первушин Игорь Юрьевич</t>
  </si>
  <si>
    <t>+7 (495) 532-70-00'</t>
  </si>
  <si>
    <t>55.777864,37.50496</t>
  </si>
  <si>
    <t>ОБЩЕСТВО С ОГРАНИЧЕННОЙ ОТВЕТСТВЕННОСТЬЮ "МАТРИЦА"</t>
  </si>
  <si>
    <t>"МАТРИЦА"</t>
  </si>
  <si>
    <t>7734441354</t>
  </si>
  <si>
    <t>123308, Г.Москва, внутригородская территория города федерального значения МУНИЦИПАЛЬНЫЙ ОКРУГ ХОРОШЕВО-МНЕВНИКИ, ПР-КТ МАРШАЛА ЖУКОВА, Д. 2, К. 2, СТР. 1, ЭТАЖ 5, ПОМЕЩ. 501</t>
  </si>
  <si>
    <t>Морозов Виктор Васильевич</t>
  </si>
  <si>
    <t>ANUTA_82@MAIL.RU'</t>
  </si>
  <si>
    <t>55.739255,37.508229</t>
  </si>
  <si>
    <t>7730268532</t>
  </si>
  <si>
    <t>121087, Г.Москва, внутригородская территория города федерального значения МУНИЦИПАЛЬНЫЙ ОКРУГ ФИЛЕВСКИЙ ПАРК, УЛ БАРКЛАЯ, Д. 6, СТР. 5, ЭТАЖ/КОМ. 4/23К1, ОФИС 21</t>
  </si>
  <si>
    <t>Мирзоев Миран Черкезович</t>
  </si>
  <si>
    <t>55.756381,37.508975</t>
  </si>
  <si>
    <t>7730283227</t>
  </si>
  <si>
    <t>121087, Г.Москва, МУНИЦИПАЛЬНЫЙ ОКРУГ ФИЛЕВСКИЙ ПАРК, ПР-Д БЕРЕГОВОЙ, Д. 5, К. 2, ОФИС 4</t>
  </si>
  <si>
    <t>Капарулин Максим Леонидович</t>
  </si>
  <si>
    <t>55.661333,37.509352</t>
  </si>
  <si>
    <t>ОБЩЕСТВО С ОГРАНИЧЕННОЙ ОТВЕТСТВЕННОСТЬЮ "ЕРМОЛЛ"</t>
  </si>
  <si>
    <t>"ЕРМОЛЛ"</t>
  </si>
  <si>
    <t>9728062094</t>
  </si>
  <si>
    <t>119421, Г.Москва, внутригородская территория города федерального значения МУНИЦИПАЛЬНЫЙ ОКРУГ ОБРУЧЕВСКИЙ, ПР-КТ ЛЕНИНСКИЙ, Д. 111, К. 1, КОМ. 73, ОФИС 511А</t>
  </si>
  <si>
    <t>Платонов Александр Сергеевич</t>
  </si>
  <si>
    <t>55.660912,37.509595</t>
  </si>
  <si>
    <t>ОБЩЕСТВО С ОГРАНИЧЕННОЙ ОТВЕТСТВЕННОСТЬЮ "НАШ БЛОК"</t>
  </si>
  <si>
    <t>"НАШ БЛОК"</t>
  </si>
  <si>
    <t>9728068890</t>
  </si>
  <si>
    <t>119421, Г.Москва, МУНИЦИПАЛЬНЫЙ ОКРУГ ОБРУЧЕВСКИЙ, ПР-КТ ЛЕНИНСКИЙ, Д. 111,К. 1,СТР. 1</t>
  </si>
  <si>
    <t>Пасынков Лев Дмитриевич</t>
  </si>
  <si>
    <t>51.276016,37.509864</t>
  </si>
  <si>
    <t>ОБЩЕСТВО С ОГРАНИЧЕННОЙ ОТВЕТСТВЕННОСТЬЮ "ЦЕНТР ИННОВАЦИОННЫХ ТЕХНОЛОГИЙ"</t>
  </si>
  <si>
    <t>"ЦЕНТР ИННОВАЦИОННЫХ ТЕХНОЛОГИЙ"</t>
  </si>
  <si>
    <t>3127017258</t>
  </si>
  <si>
    <t>309183, БЕЛГОРОДСКАЯ ОБЛАСТЬ, ГОРОД ГУБКИН, УЛИЦА КОРОЛЕВА, ДОМ 12,..</t>
  </si>
  <si>
    <t>Апатенко Елена Анатольевна</t>
  </si>
  <si>
    <t>56.335765,37.511904</t>
  </si>
  <si>
    <t>ОБЩЕСТВО С ОГРАНИЧЕННОЙ ОТВЕТСТВЕННОСТЬЮ "АРТ-СТРОЙ"</t>
  </si>
  <si>
    <t>"АРТ-СТРОЙ"</t>
  </si>
  <si>
    <t>5007041774</t>
  </si>
  <si>
    <t>МОСКОВСКАЯ ОБЛ.,Г ДМИТРОВ,УЛ МОСКОВСКАЯ, Д 121</t>
  </si>
  <si>
    <t>Аветисян Вагинак Грачикович</t>
  </si>
  <si>
    <t>55.778385,37.516449</t>
  </si>
  <si>
    <t>ОБЩЕСТВО С ОГРАНИЧЕННОЙ ОТВЕТСТВЕННОСТЬЮ "ИНТЕК"</t>
  </si>
  <si>
    <t>"ИНТЕК"</t>
  </si>
  <si>
    <t>7714488812</t>
  </si>
  <si>
    <t>123308, Г.Москва, МУНИЦИПАЛЬНЫЙ ОКРУГ ХОРОШЕВСКИЙ, УЛ КУУСИНЕНА, Д. 1, КОМ./ОФИС 2/3</t>
  </si>
  <si>
    <t>Рожков Арсений Вячеславович</t>
  </si>
  <si>
    <t>55.889215,37.51741</t>
  </si>
  <si>
    <t>ОБЩЕСТВО С ОГРАНИЧЕННОЙ ОТВЕТСТВЕННОСТЬЮ "ОСНОВА"</t>
  </si>
  <si>
    <t>"ОСНОВА"</t>
  </si>
  <si>
    <t>5401330510</t>
  </si>
  <si>
    <t>54-Новосибирская область</t>
  </si>
  <si>
    <t>125412, МОСКВА Г, ИЖОРСКИЙ ПР, ДОМ 11, СТРОЕНИЕ 1, КАБИНЕТ 1</t>
  </si>
  <si>
    <t>Писич Геннадий Кириллович</t>
  </si>
  <si>
    <t>+7 (383) 288-15-16', '+7 (383) 279-44-49', '+7 (913) 916-29-05'</t>
  </si>
  <si>
    <t>55.848544,37.517832</t>
  </si>
  <si>
    <t>ОБЩЕСТВО С ОГРАНИЧЕННОЙ ОТВЕТСТВЕННОСТЬЮ "ЗОЛОТЫЕ ПРОФЕССИОНАЛЫ"</t>
  </si>
  <si>
    <t>"ЗОЛОТЫЕ ПРОФЕССИОНАЛЫ"</t>
  </si>
  <si>
    <t>7743746585</t>
  </si>
  <si>
    <t>125438, МОСКВА ГОРОД, ПЕР. 3-Й ЛИХАЧЁВСКИЙ, Д. 7, К. 1,..</t>
  </si>
  <si>
    <t>Овчинникова Зоя Павловна</t>
  </si>
  <si>
    <t>55.815539,37.518309</t>
  </si>
  <si>
    <t>ОБЩЕСТВО С ОГРАНИЧЕННОЙ ОТВЕТСТВЕННОСТЬЮ "КОРБЕТ"</t>
  </si>
  <si>
    <t>"КОРБЕТ"</t>
  </si>
  <si>
    <t>7743383652</t>
  </si>
  <si>
    <t>127299, Г.Москва, внутригородская территория города федерального значения МУНИЦИПАЛЬНЫЙ ОКРУГ ВОЙКОВСКИЙ, УЛ КОСМОНАВТА ВОЛКОВА, Д. 12, ПОМЕЩ. XIX, КОМ. 12</t>
  </si>
  <si>
    <t>Бабкин Валентин Николаевич</t>
  </si>
  <si>
    <t>55.866627,37.519126</t>
  </si>
  <si>
    <t>ОБЩЕСТВО С ОГРАНИЧЕННОЙ ОТВЕТСТВЕННОСТЬЮ "ЦЕНТР СТРОИТЕЛЬНЫХ МАТЕРИАЛОВ"</t>
  </si>
  <si>
    <t>"ЦЕНТР СТРОИТЕЛЬНЫХ МАТЕРИАЛОВ"</t>
  </si>
  <si>
    <t>7743224839</t>
  </si>
  <si>
    <t>125635, Г.Москва, внутригородская территория города федерального значения МУНИЦИПАЛЬНЫЙ ОКРУГ ЗАПАДНОЕ ДЕГУНИНО, УЛ АНГАРСКАЯ, Д. 6, ЭТ/ПОМ/КОМ/ОФИС 1/IV/4/365</t>
  </si>
  <si>
    <t>Васильева Оксана Николаевна</t>
  </si>
  <si>
    <t>+7 (915) 414-48-47'</t>
  </si>
  <si>
    <t>ОБЩЕСТВО С ОГРАНИЧЕННОЙ ОТВЕТСТВЕННОСТЬЮ "АРХИТЕКТУРНОЕ БЮРО"</t>
  </si>
  <si>
    <t>"АРХИТЕКТУРНОЕ БЮРО"</t>
  </si>
  <si>
    <t>7743373446</t>
  </si>
  <si>
    <t>125599, Г.Москва, внутригородская территория города федерального значения МУНИЦИПАЛЬНЫЙ ОКРУГ ЗАПАДНОЕ ДЕГУНИНО, УЛ ИЖОРСКАЯ, Д. 5, ЭТ/ПОМЕЩ. 3/1, КОМ. 80Г</t>
  </si>
  <si>
    <t>Азаров Павел Юрьевич</t>
  </si>
  <si>
    <t>55.64289,37.521758</t>
  </si>
  <si>
    <t>ОБЩЕСТВО С ОГРАНИЧЕННОЙ ОТВЕТСТВЕННОСТЬЮ "СТРОЙГАЗЭНЕРГОИНВЕСТ"</t>
  </si>
  <si>
    <t>"СТРОЙГАЗЭНЕРГОИНВЕСТ"</t>
  </si>
  <si>
    <t>7705347283</t>
  </si>
  <si>
    <t>Г МОСКВА,УЛ МИКЛУХО-МАКЛАЯ, Д 22,..</t>
  </si>
  <si>
    <t>Горбань Иван Михайлович</t>
  </si>
  <si>
    <t>+7 (495) 917-82-71'</t>
  </si>
  <si>
    <t>55.80187,37.524085</t>
  </si>
  <si>
    <t>ОБЩЕСТВО С ОГРАНИЧЕННОЙ ОТВЕТСТВЕННОСТЬЮ "ЕВРОТОННЕЛЬ"</t>
  </si>
  <si>
    <t>"ЕВРОТОННЕЛЬ"</t>
  </si>
  <si>
    <t>7714394917</t>
  </si>
  <si>
    <t>125057, МОСКВА ГОРОД, ПР-КТ ЛЕНИНГРАДСКИЙ, Д. 59, ОФИС ЭТАЖ 1 ПОМ.2 КОМ.1-3</t>
  </si>
  <si>
    <t>Евсеев Денис Николаевич</t>
  </si>
  <si>
    <t>ОБЩЕСТВО С ОГРАНИЧЕННОЙ ОТВЕТСТВЕННОСТЬЮ "МТ-ТОННЕЛЬ"</t>
  </si>
  <si>
    <t>"МТ-ТОННЕЛЬ"</t>
  </si>
  <si>
    <t>7714451435</t>
  </si>
  <si>
    <t>125057, МОСКВА ГОРОД, ПРОСПЕКТ ЛЕНИНГРАДСКИЙ, ДОМ 59, ОФИС ЭТ 1 ПОМ 2 КОМ 1</t>
  </si>
  <si>
    <t>Никитушкин Андрей Августович</t>
  </si>
  <si>
    <t>ОБЩЕСТВО С ОГРАНИЧЕННОЙ ОТВЕТСТВЕННОСТЬЮ "М-ТОННЕЛЬ"</t>
  </si>
  <si>
    <t>"М-ТОННЕЛЬ"</t>
  </si>
  <si>
    <t>7714479575</t>
  </si>
  <si>
    <t>125057, Г.Москва, внутригородская территория города федерального значения МУНИЦИПАЛЬНЫЙ ОКРУГ ХОРОШЕВСКИЙ, ПР-КТ ЛЕНИНГРАДСКИЙ, Д. 59, ЭТАЖ/ПОМ 1/2, КОМ 1</t>
  </si>
  <si>
    <t xml:space="preserve"> Генеральный Директор Никитушкин Андрей Августович</t>
  </si>
  <si>
    <t>54.212908,37.52439</t>
  </si>
  <si>
    <t>ОБЩЕСТВО С ОГРАНИЧЕННОЙ ОТВЕТСТВЕННОСТЬЮ "НКС СТРОЙПЛИТ"</t>
  </si>
  <si>
    <t>"НКС СТРОЙПЛИТ"</t>
  </si>
  <si>
    <t>7100000751</t>
  </si>
  <si>
    <t>300911, Тульская область, городской округ ГОРОД ТУЛА, П НОВО-СКУРАТОВО, Д. 101А, ПОМЕЩ. 3 ЭТАЖ 1</t>
  </si>
  <si>
    <t>Маркосян Сасун Агасиевич</t>
  </si>
  <si>
    <t>56.354407,37.525738</t>
  </si>
  <si>
    <t>ОБЩЕСТВО С ОГРАНИЧЕННОЙ ОТВЕТСТВЕННОСТЬЮ "ЕВРОБЕТОН"</t>
  </si>
  <si>
    <t>"ЕВРОБЕТОН"</t>
  </si>
  <si>
    <t>5007097248</t>
  </si>
  <si>
    <t>141800, МОСКОВСКАЯ ОБЛАСТЬ, Г ДМИТРОВ, УЛ. ПРОФЕССИОНАЛЬНАЯ, Д. 20, К. 1, ОФИС 304</t>
  </si>
  <si>
    <t>Титусь Алексей Алексеевич</t>
  </si>
  <si>
    <t>d@mail.ru'</t>
  </si>
  <si>
    <t>56.352213,37.526357</t>
  </si>
  <si>
    <t>ОБЩЕСТВО С ОГРАНИЧЕННОЙ ОТВЕТСТВЕННОСТЬЮ "СПЕКТР Н"</t>
  </si>
  <si>
    <t>"СПЕКТР Н"</t>
  </si>
  <si>
    <t>5007027603</t>
  </si>
  <si>
    <t>http://spectrn.ru</t>
  </si>
  <si>
    <t>МОСКОВСКАЯ ОБЛ.,Г ДМИТРОВ,МИКРОРАЙОН АВЕРЬЯНОВА, Д 9,..</t>
  </si>
  <si>
    <t>Нижегородов Станислав Юрьевич</t>
  </si>
  <si>
    <t>+7 (496) 227-38-38', '+7 (496) 223-38-38'</t>
  </si>
  <si>
    <t>55.780633,37.527265</t>
  </si>
  <si>
    <t>ОБЩЕСТВО С ОГРАНИЧЕННОЙ ОТВЕТСТВЕННОСТЬЮ "ТОРГБЕТОН"</t>
  </si>
  <si>
    <t>"ТОРГБЕТОН"</t>
  </si>
  <si>
    <t>7714482169</t>
  </si>
  <si>
    <t>123007, Г.Москва, МУНИЦИПАЛЬНЫЙ ОКРУГ ХОРОШЕВСКИЙ, УЛ ПОЛИНЫ ОСИПЕНКО, Д. 22, К. 1</t>
  </si>
  <si>
    <t>Бабаханян Вардан Зорикович</t>
  </si>
  <si>
    <t>VARTANBA@INBOX.RU'</t>
  </si>
  <si>
    <t>55.815858,37.527552</t>
  </si>
  <si>
    <t>ОБЩЕСТВО С ОГРАНИЧЕННОЙ ОТВЕТСТВЕННОСТЬЮ "ЯКУТБЕТОН"</t>
  </si>
  <si>
    <t>"ЯКУТБЕТОН"</t>
  </si>
  <si>
    <t>1431012845</t>
  </si>
  <si>
    <t>127299, МОСКВА Г., УЛ. КОСМОНАВТА ВОЛКОВА, Д. 20, КОМ. 223</t>
  </si>
  <si>
    <t xml:space="preserve"> Генеральный Директор Стрельченко Антон Игоревич</t>
  </si>
  <si>
    <t>+7 (910) 420-00-50'</t>
  </si>
  <si>
    <t>buh@yakutbeton.ru'</t>
  </si>
  <si>
    <t>55.900678,37.528109</t>
  </si>
  <si>
    <t>ОБЩЕСТВО С ОГРАНИЧЕННОЙ ОТВЕТСТВЕННОСТЬЮ "АРТБЕТОНИКА"</t>
  </si>
  <si>
    <t>"АРТБЕТОНИКА"</t>
  </si>
  <si>
    <t>7713479389</t>
  </si>
  <si>
    <t>127644, МОСКВА Г., УЛ. ВАГОНОРЕМОНТНАЯ, Д. 10, СТР. 1</t>
  </si>
  <si>
    <t>Харитонов Кирилл Викторович</t>
  </si>
  <si>
    <t>55.762586,37.531092</t>
  </si>
  <si>
    <t>ЗАКРЫТОЕ АКЦИОНЕРНОЕ ОБЩЕСТВО "ПРОИЗВОДСТВЕННАЯ КОМПАНИЯ ТЕРМОБЕТОН"</t>
  </si>
  <si>
    <t>ЗАКРЫТОЕ "ПРОИЗВОДСТВЕННАЯ КОМПАНИЯ ТЕРМОБЕТОН"</t>
  </si>
  <si>
    <t>7703808531</t>
  </si>
  <si>
    <t>123290, МОСКВА ГОРОД, УЛ. 2-Я МАГИСТРАЛЬНАЯ, Д. 3, СТР. 1</t>
  </si>
  <si>
    <t>Грибач Александр Станиславович</t>
  </si>
  <si>
    <t>+7 (909) 955-26-52'</t>
  </si>
  <si>
    <t>termobeton@gmail.com', 'beton@mail.ru'</t>
  </si>
  <si>
    <t>56.354602,37.531954</t>
  </si>
  <si>
    <t>ОБЩЕСТВО С ОГРАНИЧЕННОЙ ОТВЕТСТВЕННОСТЬЮ "АРХИБЛОК"</t>
  </si>
  <si>
    <t>"АРХИБЛОК"</t>
  </si>
  <si>
    <t>5007115659</t>
  </si>
  <si>
    <t>141800, Московская область, городской округ ДМИТРОВСКИЙ, Город ДМИТРОВ, УЛ ОБОРОННАЯ, Д. 32, ПОМЕЩ. 274</t>
  </si>
  <si>
    <t>Мехтиев Эмир Ашурбегович</t>
  </si>
  <si>
    <t>54.04406,37.534119</t>
  </si>
  <si>
    <t>Общество с ограниченной ответственностью "Техносырье-Т"</t>
  </si>
  <si>
    <t>"Техносырье-Т"</t>
  </si>
  <si>
    <t>7118018598</t>
  </si>
  <si>
    <t>ТУЛЬСКАЯ ОБЛ.,Г ЩЕКИНО,РП ПЕРВОМАЙСКИЙ,УЛ АДМИНИСТРАТИВНАЯ Д 16</t>
  </si>
  <si>
    <t>Матвеев Дмитрий Валериевич</t>
  </si>
  <si>
    <t>+7 (920) 276-07-06'</t>
  </si>
  <si>
    <t>55.747622,37.535071</t>
  </si>
  <si>
    <t>ОБЩЕСТВО С ОГРАНИЧЕННОЙ ОТВЕТСТВЕННОСТЬЮ "КОМБИНАТ ЖБИ"</t>
  </si>
  <si>
    <t>"КОМБИНАТ ЖБИ"</t>
  </si>
  <si>
    <t>7703472271</t>
  </si>
  <si>
    <t>125039, МОСКВА Г., НАБ. ПРЕСНЕНСКАЯ, Д. 10, СТР. 2, ЭТАЖ/ПОМЕЩ. 11/97 КОМ./ОФИС 2/28</t>
  </si>
  <si>
    <t>Борисова Эльвира Сергеевна</t>
  </si>
  <si>
    <t>panel@mail.ru'</t>
  </si>
  <si>
    <t>7703473571</t>
  </si>
  <si>
    <t>125039, МОСКВА ГОРОД, НАБЕРЕЖНАЯ ПРЕСНЕНСКАЯ, ДОМ 10, СТРОЕНИЕ 2, Э 11 ПОМ 97 К 2 ОФ 16</t>
  </si>
  <si>
    <t>Папакой Константин Владимирович</t>
  </si>
  <si>
    <t>ОБЩЕСТВО С ОГРАНИЧЕННОЙ ОТВЕТСТВЕННОСТЬЮ "СМАРТ-ПРОЕКТ"</t>
  </si>
  <si>
    <t>"СМАРТ-ПРОЕКТ"</t>
  </si>
  <si>
    <t>9703005513</t>
  </si>
  <si>
    <t>123100, МОСКВА ГОРОД, НАБЕРЕЖНАЯ ПРЕСНЕНСКАЯ, ДОМ 10, СТРОЕНИЕ 2, Э 11 ПОМ 97 К 2 ОФ 76</t>
  </si>
  <si>
    <t>Сухов Павел Алексеевич</t>
  </si>
  <si>
    <t>55.431586,37.53579</t>
  </si>
  <si>
    <t>ОБЩЕСТВО С ОГРАНИЧЕННОЙ ОТВЕТСТВЕННОСТЬЮ "СВАРОЧНО - МОНТАЖНАЯ КОМПАНИЯ"</t>
  </si>
  <si>
    <t>"СВАРОЧНО - МОНТАЖНАЯ КОМПАНИЯ"</t>
  </si>
  <si>
    <t>5074074486</t>
  </si>
  <si>
    <t>142100, Московская область, ПОДОЛЬСК, Г ПОДОЛЬСК, УЛ ВЕЛЛИНГА, Д. 11</t>
  </si>
  <si>
    <t>Ткачук Игорь Васильевич</t>
  </si>
  <si>
    <t>TRACHUK_IGOR_17@MAIL.RU'</t>
  </si>
  <si>
    <t>55.99073,37.536275</t>
  </si>
  <si>
    <t>ОБЩЕСТВО С ОГРАНИЧЕННОЙ ОТВЕТСТВЕННОСТЬЮ "БЕТОН КРАСНАЯ ГОРКА"</t>
  </si>
  <si>
    <t>"БЕТОН КРАСНАЯ ГОРКА"</t>
  </si>
  <si>
    <t>5029214050</t>
  </si>
  <si>
    <t>141051, МОСКОВСКАЯ ОБЛАСТЬ, Г. МЫТИЩИ, Д КРАСНАЯ ГОРКА, УЛ. ПРОМЫШЛЕННАЯ, ВЛД. 4</t>
  </si>
  <si>
    <t>Бучухишвили Гиорги</t>
  </si>
  <si>
    <t>+7 (915) 401-00-08'</t>
  </si>
  <si>
    <t>56.723768,37.537002</t>
  </si>
  <si>
    <t>ОБЩЕСТВО С ОГРАНИЧЕННОЙ ОТВЕТСТВЕННОСТЬЮ "ЛАЙТУОЛЛИНЖИНИРИНГ"</t>
  </si>
  <si>
    <t>"ЛАЙТУОЛЛИНЖИНИРИНГ"</t>
  </si>
  <si>
    <t>5078024006</t>
  </si>
  <si>
    <t>141900, МОСКОВСКАЯ ОБЛАСТЬ, Г. ТАЛДОМ, УЛ. СОВЕТСКАЯ, Д. 21, К. Г, ОФИС 1</t>
  </si>
  <si>
    <t>Егорова Ольга Юрьевна</t>
  </si>
  <si>
    <t>EGORZOL@MAIL.RU'</t>
  </si>
  <si>
    <t>55.593731,37.538269</t>
  </si>
  <si>
    <t>ОБЩЕСТВО С ОГРАНИЧЕННОЙ ОТВЕТСТВЕННОСТЬЮ "ПРОИЗВОДСТВЕННАЯ КОМПАНИЯ ИНЖБЕТОН"</t>
  </si>
  <si>
    <t>"ПРОИЗВОДСТВЕННАЯ КОМПАНИЯ ИНЖБЕТОН"</t>
  </si>
  <si>
    <t>9728038849</t>
  </si>
  <si>
    <t>117463, МОСКВА Г., ПР-Д КАРАМЗИНА, Д. 1, К. 3,..</t>
  </si>
  <si>
    <t>Расулов Джанбулат Арсланович</t>
  </si>
  <si>
    <t>56.721279,37.539024</t>
  </si>
  <si>
    <t>ОБЩЕСТВО С ОГРАНИЧЕННОЙ ОТВЕТСТВЕННОСТЬЮ "РОКОТ"</t>
  </si>
  <si>
    <t>"РОКОТ"</t>
  </si>
  <si>
    <t>5078013244</t>
  </si>
  <si>
    <t>http://rokot-taldom.ru</t>
  </si>
  <si>
    <t>МОСКОВСКАЯ ОБЛ.,Г ТАЛДОМ,УЛ СОВЕТСКАЯ, Д 22</t>
  </si>
  <si>
    <t>Голубев Александр Юрьевич</t>
  </si>
  <si>
    <t>+7 (915) 037-46-37'</t>
  </si>
  <si>
    <t>55.546017,37.53932</t>
  </si>
  <si>
    <t>ОБЩЕСТВО С ОГРАНИЧЕННОЙ ОТВЕТСТВЕННОСТЬЮ "ФАСАДНЫЙ ДЕКОР"</t>
  </si>
  <si>
    <t>"ФАСАДНЫЙ ДЕКОР"</t>
  </si>
  <si>
    <t>7727340838</t>
  </si>
  <si>
    <t>117042, МОСКВА Г, АДМИРАЛА ЛАЗАРЕВА УЛ, ДОМ 8,..</t>
  </si>
  <si>
    <t>Ромашева Светлана Алексеевна</t>
  </si>
  <si>
    <t>52.409577,37.539572</t>
  </si>
  <si>
    <t>ОБЩЕСТВО С ОГРАНИЧЕННОЙ ОТВЕТСТВЕННОСТЬЮ "ГОСТБЕТОН"</t>
  </si>
  <si>
    <t>"ГОСТБЕТОН"</t>
  </si>
  <si>
    <t>5715016671</t>
  </si>
  <si>
    <t>303851, ОРЛОВСКАЯ ОБЛ, ЛИВЕНСКИЙ Р-Н, НАБЕРЕЖНЫЙ П, БЕРЕГОВАЯ УЛ, ДОМ 3</t>
  </si>
  <si>
    <t>Мартюхина Оксана Анатольевна</t>
  </si>
  <si>
    <t>+7 (910) 204-19-10'</t>
  </si>
  <si>
    <t>ivdavydova@inbox.ru'</t>
  </si>
  <si>
    <t>55.65015,37.539626</t>
  </si>
  <si>
    <t>ОБЩЕСТВО С ОГРАНИЧЕННОЙ ОТВЕТСТВЕННОСТЬЮ ПО "ЖБИ-ТОРГ"</t>
  </si>
  <si>
    <t>ПО "ЖБИ-ТОРГ"</t>
  </si>
  <si>
    <t>7728440641</t>
  </si>
  <si>
    <t>117342, МОСКВА Г, БУТЛЕРОВА УЛ, ДОМ 17, ЭТ 3 КОМ 95 ОФ 7</t>
  </si>
  <si>
    <t>Кожемякин Дмитрий Евгеньевич</t>
  </si>
  <si>
    <t>pogbitorg@mail.ru'</t>
  </si>
  <si>
    <t>56.335091,37.540272</t>
  </si>
  <si>
    <t>ОБЩЕСТВО С ОГРАНИЧЕННОЙ ОТВЕТСТВЕННОСТЬЮ "ДМИТРОВПЛИТКА"</t>
  </si>
  <si>
    <t>"ДМИТРОВПЛИТКА"</t>
  </si>
  <si>
    <t>5007107520</t>
  </si>
  <si>
    <t>141804, МОСКОВСКАЯ ОБЛАСТЬ, ГОРОД ДМИТРОВ, УЛИЦА 2-Я КОМСОМОЛЬСКАЯ, ДОМ 16, КОРПУС 1,..</t>
  </si>
  <si>
    <t>Талоян Вардан Саргисович</t>
  </si>
  <si>
    <t>dmitrovplitka@bk.ru'</t>
  </si>
  <si>
    <t>55.637815,37.541494</t>
  </si>
  <si>
    <t>АКЦИОНЕРНОЕ ОБЩЕСТВО "ПРОИЗВОДСТВЕННОЕ ОБЪЕДИНЕНИЕ "СТРОЙБЕТОН"</t>
  </si>
  <si>
    <t>"ПРОИЗВОДСТВЕННОЕ ОБЪЕДИНЕНИЕ "СТРОЙБЕТОН"</t>
  </si>
  <si>
    <t>7728368603</t>
  </si>
  <si>
    <t>117342, МОСКВА ГОРОД, УЛИЦА МИКЛУХО-МАКЛАЯ, ДОМ 42Б, ЭТ 2 ПОМ I КОМ 2</t>
  </si>
  <si>
    <t>Гаман Аркадий Леонидович</t>
  </si>
  <si>
    <t>+7 (926) 138-55-67'</t>
  </si>
  <si>
    <t>55.772932,37.542545</t>
  </si>
  <si>
    <t>ОБЩЕСТВО С ОГРАНИЧЕННОЙ ОТВЕТСТВЕННОСТЬЮ "ТехЕвроСтрой"</t>
  </si>
  <si>
    <t>"ТехЕвроСтрой"</t>
  </si>
  <si>
    <t>7714220484</t>
  </si>
  <si>
    <t>123007, МОСКВА ГОРОД, УЛ. РОЗАНОВА, Д.4</t>
  </si>
  <si>
    <t>+7 (495) 925-71-96', '+7 (926) 295-60-60'</t>
  </si>
  <si>
    <t>55.927538,37.543416</t>
  </si>
  <si>
    <t>ОБЩЕСТВО С ОГРАНИЧЕННОЙ ОТВЕТСТВЕННОСТЬЮ "ТРИТОН"</t>
  </si>
  <si>
    <t>"ТРИТОН"</t>
  </si>
  <si>
    <t>9715399164</t>
  </si>
  <si>
    <t>127495, МОСКВА Г., Ш. ДМИТРОВСКОЕ, Д. 165Е, К. 11,..</t>
  </si>
  <si>
    <t>Михеева Ольга Алексеевна</t>
  </si>
  <si>
    <t>55.874764,37.544818</t>
  </si>
  <si>
    <t>ОБЩЕСТВО С ОГРАНИЧЕННОЙ ОТВЕТСТВЕННОСТЬЮ "АС-1"</t>
  </si>
  <si>
    <t>"АС-1"</t>
  </si>
  <si>
    <t>7734654112</t>
  </si>
  <si>
    <t>127247, Г.Москва, внутригородская территория города федерального значения МУНИЦИПАЛЬНЫЙ ОКРУГ БЕСКУДНИКОВСКИЙ, Б-Р БЕСКУДНИКОВСКИЙ, Д. 46, К. 3, ОФИС 6.1</t>
  </si>
  <si>
    <t>Овсоян Вагинак Оганесович</t>
  </si>
  <si>
    <t>55.431136,37.544997</t>
  </si>
  <si>
    <t>ОБЩЕСТВО С ОГРАНИЧЕННОЙ ОТВЕТСТВЕННОСТЬЮ "ЭКОБЛОК"</t>
  </si>
  <si>
    <t>"ЭКОБЛОК"</t>
  </si>
  <si>
    <t>5036162100</t>
  </si>
  <si>
    <t>142100, МОСКОВСКАЯ ОБЛАСТЬ, Г. ПОДОЛЬСК, ПР-КТ ЛЕНИНА, Д. 107/49, КОМ. 401В ЭТАЖ 4</t>
  </si>
  <si>
    <t>Зуев Сергей Валентинович</t>
  </si>
  <si>
    <t>+7 (916) 070-09-45'</t>
  </si>
  <si>
    <t>55.464442,37.547441</t>
  </si>
  <si>
    <t>ОБЩЕСТВО С ОГРАНИЧЕННОЙ ОТВЕТСТВЕННОСТЬЮ "БЛОКСТРОЙ 1"</t>
  </si>
  <si>
    <t>"БЛОКСТРОЙ 1"</t>
  </si>
  <si>
    <t>5074074260</t>
  </si>
  <si>
    <t>108823, Московская область, городской округ ПОДОЛЬСК, Город ПОДОЛЬСК, УЛ ПРОФСОЮЗНАЯ, Д. 13, ОФИС 11</t>
  </si>
  <si>
    <t>Сербин Сергей Игоревич</t>
  </si>
  <si>
    <t>55.881985,37.547665</t>
  </si>
  <si>
    <t>ОБЩЕСТВО С ОГРАНИЧЕННОЙ ОТВЕТСТВЕННОСТЬЮ "ЗОЛОТОЙ КАРАНДАШ"</t>
  </si>
  <si>
    <t>"ЗОЛОТОЙ КАРАНДАШ"</t>
  </si>
  <si>
    <t>7703659583</t>
  </si>
  <si>
    <t>127247, МОСКВА ГОРОД, ШОССЕ ДМИТРОВСКОЕ, ДОМ 100, СТРОЕНИЕ 2, ПОМЕЩЕНИЕ 4541Б1</t>
  </si>
  <si>
    <t>Полетаев Андрей Аркадьевич</t>
  </si>
  <si>
    <t>+7 (495) 482-77-39'</t>
  </si>
  <si>
    <t>ОБЩЕСТВО С ОГРАНИЧЕННОЙ ОТВЕТСТВЕННОСТЬЮ "КОМПАНИЯ ФАСАД ЛАЙТ"</t>
  </si>
  <si>
    <t>"КОМПАНИЯ ФАСАД ЛАЙТ"</t>
  </si>
  <si>
    <t>7713395227</t>
  </si>
  <si>
    <t>127247, МОСКВА ГОРОД, Ш. ДМИТРОВСКОЕ, Д. 100, СТР. 2, ПОМЕЩ. 4711А</t>
  </si>
  <si>
    <t>+7 (926) 207-52-68'</t>
  </si>
  <si>
    <t>55.9063,37.54816</t>
  </si>
  <si>
    <t>ОБЩЕСТВО С ОГРАНИЧЕННОЙ ОТВЕТСТВЕННОСТЬЮ "ЕВРОЛЕВЕЛ"</t>
  </si>
  <si>
    <t>"ЕВРОЛЕВЕЛ"</t>
  </si>
  <si>
    <t>7715993423</t>
  </si>
  <si>
    <t>127253, Г.Москва, внутригородская территория города федерального значения МУНИЦИПАЛЬНЫЙ ОКРУГ ЛИАНОЗОВО, УЛ ПСКОВСКАЯ, Д. 5, К. 4,..</t>
  </si>
  <si>
    <t>Петухова Надежда Николаевна</t>
  </si>
  <si>
    <t>55.425548,37.549076</t>
  </si>
  <si>
    <t>ОБЩЕСТВО С ОГРАНИЧЕННОЙ ОТВЕТСТВЕННОСТЬЮ "АРБОЛИТ ЭКОСТРОЙДОМ"</t>
  </si>
  <si>
    <t>"АРБОЛИТ ЭКОСТРОЙДОМ"</t>
  </si>
  <si>
    <t>5036165982</t>
  </si>
  <si>
    <t>142100, МОСКОВСКАЯ ОБЛ, ПОДОЛЬСК Г, КОМСОМОЛЬСКАЯ УЛ, ДОМ 1, СТРОЕНИЕ 63В, КОМНАТА 28</t>
  </si>
  <si>
    <t>Фролов Дмитрий Павлович</t>
  </si>
  <si>
    <t>+7 (985) 282-88-63'</t>
  </si>
  <si>
    <t>55.742524,37.549588</t>
  </si>
  <si>
    <t>ОБЩЕСТВО С ОГРАНИЧЕННОЙ ОТВЕТСТВЕННОСТЬЮ "СТРОЙПАНЕЛЬ"</t>
  </si>
  <si>
    <t>"СТРОЙПАНЕЛЬ"</t>
  </si>
  <si>
    <t>7730282576</t>
  </si>
  <si>
    <t>121151, Г.Москва, МУНИЦИПАЛЬНЫЙ ОКРУГ ДОРОГОМИЛОВО, УЛ СТУДЕНЧЕСКАЯ, Д. 19, К. 1, КОМ. VIII</t>
  </si>
  <si>
    <t>Веретенников Тимофей Васильевич</t>
  </si>
  <si>
    <t>44.83777,37.549687</t>
  </si>
  <si>
    <t>ОБЩЕСТВО С ОГРАНИЧЕННОЙ ОТВЕТСТВЕННОСТЬЮ "СУККО БЕТОН"</t>
  </si>
  <si>
    <t>"СУККО БЕТОН"</t>
  </si>
  <si>
    <t>2315999460</t>
  </si>
  <si>
    <t>353983, КРАСНОДАРСКИЙ КРАЙ, Г. НОВОРОССИЙСК, СТ-ЦА РАЕВСКАЯ, УЛ. НАТУХАЕВСКАЯ, Д. 44</t>
  </si>
  <si>
    <t>Жучков Олег Владиславович</t>
  </si>
  <si>
    <t>+7 (918) 483-24-37'</t>
  </si>
  <si>
    <t>55.245106,37.549723</t>
  </si>
  <si>
    <t>ОБЩЕСТВО С ОГРАНИЧЕННОЙ ОТВЕТСТВЕННОСТЬЮ "ЭКСТРУЗИОННЫЕ ЛИНИИ"</t>
  </si>
  <si>
    <t>"ЭКСТРУЗИОННЫЕ ЛИНИИ"</t>
  </si>
  <si>
    <t>7720274390</t>
  </si>
  <si>
    <t>142380, МОСКОВСКАЯ ОБЛАСТЬ, ГОРОД ЧЕХОВ, ПОСЕЛОК ЛЮБУЧАНЫ, УЛИЦА ЗАВОДСКАЯ, ДОМ 16, ЛИТЕРА Г2</t>
  </si>
  <si>
    <t>Егоров Владимир Евгеньевич</t>
  </si>
  <si>
    <t>+7 (496) 961-00-30', '+7 (496) 961-00-30'</t>
  </si>
  <si>
    <t>alyans@mail.ru'</t>
  </si>
  <si>
    <t>55.427882,37.550109</t>
  </si>
  <si>
    <t>ОБЩЕСТВО С ОГРАНИЧЕННОЙ ОТВЕТСТВЕННОСТЬЮ "ВАЛЬДШТЕЙН"</t>
  </si>
  <si>
    <t>"ВАЛЬДШТЕЙН"</t>
  </si>
  <si>
    <t>5074067400</t>
  </si>
  <si>
    <t>142100, МОСКОВСКАЯ ОБЛ., Г. Подольск, УЛ. КОМСОМОЛЬСКАЯ, Д. 1, ЭТАЖ 1 ПОМЕЩ. 3</t>
  </si>
  <si>
    <t>Кезин Андрей Васильевич</t>
  </si>
  <si>
    <t>RF@YANDEX.RU'</t>
  </si>
  <si>
    <t>55.868576,37.550199</t>
  </si>
  <si>
    <t>ОБЩЕСТВО С ОГРАНИЧЕННОЙ ОТВЕТСТВЕННОСТЬЮ "ПК ЖБИ-МАРК"</t>
  </si>
  <si>
    <t>"ПК ЖБИ-МАРК"</t>
  </si>
  <si>
    <t>7713416519</t>
  </si>
  <si>
    <t>127247, Г.Москва, внутригородская территория города федерального значения МУНИЦИПАЛЬНЫЙ ОКРУГ БЕСКУДНИКОВСКИЙ, УЛ СЕЛИГЕРСКАЯ, Д. 26, К. 1, ЭТАЖ/ПОМЕЩ 1/XI, ОФИС 2А</t>
  </si>
  <si>
    <t>Хожоярова Гулбарчын</t>
  </si>
  <si>
    <t>4952084758@mail.ru'</t>
  </si>
  <si>
    <t>55.463896,37.551789</t>
  </si>
  <si>
    <t>ОБЩЕСТВО С ОГРАНИЧЕННОЙ ОТВЕТСТВЕННОСТЬЮ БЕТОН "КРЕМЕНЬ"</t>
  </si>
  <si>
    <t>БЕТОН "КРЕМЕНЬ"</t>
  </si>
  <si>
    <t>5036162879</t>
  </si>
  <si>
    <t>108823, МОСКОВСКАЯ ОБЛ, ПОДОЛЬСК Г, ПРОФСОЮЗНАЯ УЛ, ДОМ 5,..</t>
  </si>
  <si>
    <t>Гвоздев Анатолий Александрович</t>
  </si>
  <si>
    <t>55.760125,37.551879</t>
  </si>
  <si>
    <t>9703096334</t>
  </si>
  <si>
    <t>123100, Г.Москва, МУНИЦИПАЛЬНЫЙ ОКРУГ ПРЕСНЕНСКИЙ, УЛ АНАТОЛИЯ ЖИВОВА, Д. 10, КОМ./ОФИС 2/9</t>
  </si>
  <si>
    <t>Сайкин Егор Русланович</t>
  </si>
  <si>
    <t>55.415753,37.552462</t>
  </si>
  <si>
    <t>ОБЩЕСТВО С ОГРАНИЧЕННОЙ ОТВЕТСТВЕННОСТЬЮ "АРХИСТИЛЬ М"</t>
  </si>
  <si>
    <t>"АРХИСТИЛЬ М"</t>
  </si>
  <si>
    <t>5036175839</t>
  </si>
  <si>
    <t>142105, МОСКОВСКАЯ ОБЛ, ПОДОЛЬСК Г, ДЕЛОВОЙ 1-Й ПР, ДОМ 13, КОМНАТА 5</t>
  </si>
  <si>
    <t>Чечерин Федор Иванович</t>
  </si>
  <si>
    <t>55.670021,37.55248</t>
  </si>
  <si>
    <t>9728009904</t>
  </si>
  <si>
    <t>117393, МОСКВА Г., УЛ. ПРОФСОЮЗНАЯ, Д. 56, ЭТАЖ 3 ПОМЕЩ. XIX, КОМ. 180</t>
  </si>
  <si>
    <t>Романик Елена Юрьевна</t>
  </si>
  <si>
    <t>55.656453,37.553379</t>
  </si>
  <si>
    <t>ОБЩЕСТВО С ОГРАНИЧЕННОЙ ОТВЕТСТВЕННОСТЬЮ "СМАРТ СТОУН"</t>
  </si>
  <si>
    <t>"СМАРТ СТОУН"</t>
  </si>
  <si>
    <t>7729603592</t>
  </si>
  <si>
    <t>http://smartstone.ru</t>
  </si>
  <si>
    <t>117246, МОСКВА Г, НАУЧНЫЙ ПР, ДОМ 10, ОФИС 404</t>
  </si>
  <si>
    <t>Белов Павел Павлович</t>
  </si>
  <si>
    <t>+7 (985) 174-34-72'</t>
  </si>
  <si>
    <t>BUH@SMARTSTONE.RU', 'morozova@petarda.ru'</t>
  </si>
  <si>
    <t>55.43774,37.554277</t>
  </si>
  <si>
    <t>Общество с ограниченной ответственностью "Магистраль Трейд"</t>
  </si>
  <si>
    <t>"Магистраль Трейд"</t>
  </si>
  <si>
    <t>5036131609</t>
  </si>
  <si>
    <t>http://zhbi247.ru</t>
  </si>
  <si>
    <t>142106, Московская область, городской округ ПОДОЛЬСК, Город ПОДОЛЬСК, ПР-КТ ЛЕНИНА, Д. 98/9, ПОМЕЩ. 37</t>
  </si>
  <si>
    <t>Косарев Андрей Владимирович</t>
  </si>
  <si>
    <t>+7 (495) 989-22-95'</t>
  </si>
  <si>
    <t>order@zhbi247.ru'</t>
  </si>
  <si>
    <t>ОБЩЕСТВО С ОГРАНИЧЕННОЙ ОТВЕТСТВЕННОСТЬЮ "ПРОИЗВОДСТВЕННЫЙ КОМБИНАТ ЖБИ 24/7"</t>
  </si>
  <si>
    <t>"ПРОИЗВОДСТВЕННЫЙ КОМБИНАТ ЖБИ 24/7"</t>
  </si>
  <si>
    <t>5036178526</t>
  </si>
  <si>
    <t>https://zhbi247.ru</t>
  </si>
  <si>
    <t>142100, МОСКОВСКАЯ ОБЛАСТЬ, Г. ПОДОЛЬСК, ПР-КТ ЛЕНИНА, Д. 98/9, ПОМЕЩ. 44</t>
  </si>
  <si>
    <t>Манин Виктор Александрович</t>
  </si>
  <si>
    <t>55.863581,37.554825</t>
  </si>
  <si>
    <t>ОБЩЕСТВО С ОГРАНИЧЕННОЙ ОТВЕТСТВЕННОСТЬЮ "ПАНЕЛЬ"</t>
  </si>
  <si>
    <t>"ПАНЕЛЬ"</t>
  </si>
  <si>
    <t>7713489556</t>
  </si>
  <si>
    <t>127474, Г.Москва, внутригородская территория города федерального значения МУНИЦИПАЛЬНЫЙ ОКРУГ БЕСКУДНИКОВСКИЙ, ПЕР БЕСКУДНИКОВСКИЙ, Д. 1, СТР. 1, ЭТАЖ/ПОМ./КОМ./ОФИС 1/V/4/4Т</t>
  </si>
  <si>
    <t>Лучникова Анастасия Игоревна</t>
  </si>
  <si>
    <t>55.661399,37.555436</t>
  </si>
  <si>
    <t>ОБЩЕСТВО С ОГРАНИЧЕННОЙ ОТВЕТСТВЕННОСТЬЮ "КОМПАНИЯ ПАНЭПС"</t>
  </si>
  <si>
    <t>"КОМПАНИЯ ПАНЭПС"</t>
  </si>
  <si>
    <t>9728054150</t>
  </si>
  <si>
    <t>117420, Г.Москва, внутригородская территория города федерального значения МУНИЦИПАЛЬНЫЙ ОКРУГ ЧЕРЕМУШКИ, УЛ НАМЁТКИНА, Д. 14, К. 1, ЭТАЖ 3, ПОМЕЩ. I КАБ. №304</t>
  </si>
  <si>
    <t>Булыгин Андрей Иванович</t>
  </si>
  <si>
    <t>PANEPS@MAIL.RU'</t>
  </si>
  <si>
    <t>55.767798,37.556532</t>
  </si>
  <si>
    <t>ОБЩЕСТВО С ОГРАНИЧЕННОЙ ОТВЕТСТВЕННОСТЬЮ ТОРГОВЫЙ ДОМ "ЗАВОД СТРОИТЕЛЬНЫХ КОНСТРУКЦИЙ И ДЕТАЛЕЙ"</t>
  </si>
  <si>
    <t>"ЗАВОД СТРОИТЕЛЬНЫХ КОНСТРУКЦИЙ И ДЕТАЛЕЙ"</t>
  </si>
  <si>
    <t>7707568425</t>
  </si>
  <si>
    <t>123022, МОСКВА ГОРОД, УЛИЦА БОЛЬШАЯ ДЕКАБРЬСКАЯ, 10, СТР. 2</t>
  </si>
  <si>
    <t>Гаран Валентин Михайлович</t>
  </si>
  <si>
    <t>+7 (495) 253-32-02'</t>
  </si>
  <si>
    <t>55.547973,37.556972</t>
  </si>
  <si>
    <t>ОБЩЕСТВО С ОГРАНИЧЕННОЙ ОТВЕТСТВЕННОСТЬЮ "МОСАРТСТРОЙ"</t>
  </si>
  <si>
    <t>"МОСАРТСТРОЙ"</t>
  </si>
  <si>
    <t>7727335901</t>
  </si>
  <si>
    <t>117624, МОСКВА ГОРОД, УЛИЦА СКОБЕЛЕВСКАЯ, ДОМ 19, КОРПУС 1,..</t>
  </si>
  <si>
    <t>Агамалян Араксиа Мишаевна</t>
  </si>
  <si>
    <t>+7 (903) 768-13-62'</t>
  </si>
  <si>
    <t>55.359927,37.557637</t>
  </si>
  <si>
    <t>ОБЩЕСТВО С ОГРАНИЧЕННОЙ ОТВЕТСТВЕННОСТЬЮ "АРХИКАМЕНЬ - ЮГ"</t>
  </si>
  <si>
    <t>"АРХИКАМЕНЬ - ЮГ"</t>
  </si>
  <si>
    <t>5021016032</t>
  </si>
  <si>
    <t>http://archistone.ru</t>
  </si>
  <si>
    <t>142180, МОСКОВСКАЯ ОБЛАСТЬ, ГОРОДСКОЙ ОКРУГ ПОДОЛЬСК, ГОРОД ПОДОЛЬСК, УЛИЦА КОММУНАЛЬНАЯ, ДОМ 20, ПОМЕЩЕНИЕ 1 ЭТАЖ 1</t>
  </si>
  <si>
    <t>Марусов Алексей Евгеньевич</t>
  </si>
  <si>
    <t>44.83396,37.558185</t>
  </si>
  <si>
    <t>ОБЩЕСТВО С ОГРАНИЧЕННОЙ ОТВЕТСТВЕННОСТЬЮ "РОСТБЛОК"</t>
  </si>
  <si>
    <t>"РОСТБЛОК"</t>
  </si>
  <si>
    <t>2315990098</t>
  </si>
  <si>
    <t>353983, КРАСНОДАРСКИЙ КРАЙ, ГОРОД НОВОРОССИЙСК, СТАНИЦА РАЕВСКАЯ, УЛИЦА ГОЛОВАНЬ, ДОМ 32</t>
  </si>
  <si>
    <t>Галотина Ольга Кондратьевна</t>
  </si>
  <si>
    <t>+7 (918) 441-69-04'</t>
  </si>
  <si>
    <t>55.664649,37.561347</t>
  </si>
  <si>
    <t>ОБЩЕСТВО С ОГРАНИЧЕННОЙ ОТВЕТСТВЕННОСТЬЮ "ТОРГОВЫЙ ДОМ АСФАЛЬТБЕТОНСЕРВИС"</t>
  </si>
  <si>
    <t>"АСФАЛЬТБЕТОНСЕРВИС"</t>
  </si>
  <si>
    <t>9728062312</t>
  </si>
  <si>
    <t>117246, Г.Москва, МУНИЦИПАЛЬНЫЙ ОКРУГ ЧЕРЕМУШКИ, ПРОЕЗД НАУЧНЫЙ, Д. 19, КОМ. 6Д ОФИС 466</t>
  </si>
  <si>
    <t>Мурадян Наира Фердинатовна</t>
  </si>
  <si>
    <t>51.285419,37.561679</t>
  </si>
  <si>
    <t>3100001444</t>
  </si>
  <si>
    <t>309182, Белгородская область, ГУБКИНСКИЙ, Г ГУБКИН, УЛ ТРАНСПОРТНАЯ, ЗД. 26</t>
  </si>
  <si>
    <t>Шилова Наталья Владимировна</t>
  </si>
  <si>
    <t>SHILOVANT@YANDEX.RU'</t>
  </si>
  <si>
    <t>55.798389,37.56238</t>
  </si>
  <si>
    <t>ОБЩЕСТВО С ОГРАНИЧЕННОЙ ОТВЕТСТВЕННОСТЬЮ "ЗАБОР ВЕКА"</t>
  </si>
  <si>
    <t>"ЗАБОР ВЕКА"</t>
  </si>
  <si>
    <t>7714921345</t>
  </si>
  <si>
    <t>127083, г Москва, ул Юннатов, д 7,..</t>
  </si>
  <si>
    <t>Кубатин Николай Геннадьевич</t>
  </si>
  <si>
    <t>+7 (495) 388-13-48'</t>
  </si>
  <si>
    <t>55.6789,37.563152</t>
  </si>
  <si>
    <t>ОБЩЕСТВО С ОГРАНИЧЕННОЙ ОТВЕТСТВЕННОСТЬЮ "Завод ЖелезоБетонСтрой"</t>
  </si>
  <si>
    <t>"Завод ЖелезоБетонСтрой"</t>
  </si>
  <si>
    <t>8617031282</t>
  </si>
  <si>
    <t>86-Ханты-Мансийский автономный округ - Югра</t>
  </si>
  <si>
    <t>117292, МОСКВА ГОРОД, УЛИЦА ПРОФСОЮЗНАЯ, ДОМ 26/44, П ПОМ II К 1Б</t>
  </si>
  <si>
    <t>Борисов Владимир Юрьевич</t>
  </si>
  <si>
    <t>+7 (909) 048-29-29'</t>
  </si>
  <si>
    <t>368800@mail.ru'</t>
  </si>
  <si>
    <t>51.28752,37.56362</t>
  </si>
  <si>
    <t>ОБЩЕСТВО С ОГРАНИЧЕННОЙ ОТВЕТСТВЕННОСТЬЮ "ГУБКИНСКИЙ ЗАВОД ЖЕЛЕЗОБЕТОННЫХ ИЗДЕЛИЙ"</t>
  </si>
  <si>
    <t>"ГУБКИНСКИЙ ЗАВОД ЖЕЛЕЗОБЕТОННЫХ ИЗДЕЛИЙ"</t>
  </si>
  <si>
    <t>3127506869</t>
  </si>
  <si>
    <t>БЕЛГОРОДСКАЯ ОБЛ.,Г ГУБКИН,ЮЖНЫЕ КОРОБКИ</t>
  </si>
  <si>
    <t>Шестаков Владимир Егорович</t>
  </si>
  <si>
    <t>+7 (472) 415-12-87'</t>
  </si>
  <si>
    <t>ОБЩЕСТВО С ОГРАНИЧЕННОЙ ОТВЕТСТВЕННОСТЬЮ "ФИБРОПЛАСТ"</t>
  </si>
  <si>
    <t>"ФИБРОПЛАСТ"</t>
  </si>
  <si>
    <t>3127511788</t>
  </si>
  <si>
    <t>БЕЛГОРОДСКАЯ ОБЛ.,Г ГУБКИН,МКР ЮЖНЫЕ КОРОБКИ, ПРОМЗОНА</t>
  </si>
  <si>
    <t>44.905863,37.567015</t>
  </si>
  <si>
    <t>ОБЩЕСТВО С ОГРАНИЧЕННОЙ ОТВЕТСТВЕННОСТЬЮ "АРСЕНАЛ"</t>
  </si>
  <si>
    <t>"АРСЕНАЛ"</t>
  </si>
  <si>
    <t>2315017153</t>
  </si>
  <si>
    <t>КРАСНОДАРСКИЙ КРАЙ,Г НОВОРОССИЙСК,СТ-ЦА НАТУХАЕВСКАЯ,УЛ ГОРБАТОГО, Д 54 А</t>
  </si>
  <si>
    <t>Васянин Виктор Григорьевич</t>
  </si>
  <si>
    <t>55.905154,37.568336</t>
  </si>
  <si>
    <t>ОБЩЕСТВО С ОГРАНИЧЕННОЙ ОТВЕТСТВЕННОСТЬЮ "ГРУППА КОМПАНИЙ "СТРОИТЕЛЬСТВО И МАТЕРИАЛЫ"</t>
  </si>
  <si>
    <t>"ГРУППА КОМПАНИЙ "СТРОИТЕЛЬСТВО И МАТЕРИАЛЫ"</t>
  </si>
  <si>
    <t>7715677682</t>
  </si>
  <si>
    <t>127572, Г.Москва, внутригородская территория города федерального значения МУНИЦИПАЛЬНЫЙ ОКРУГ ЛИАНОЗОВО, УЛ УГЛИЧСКАЯ, Д. 16, ЭТАЖ 2, ПОМЕЩ. 93</t>
  </si>
  <si>
    <t>Перемыслов Аркадий Борисович</t>
  </si>
  <si>
    <t>55.735581,37.570105</t>
  </si>
  <si>
    <t>ОБЩЕСТВО С ОГРАНИЧЕННОЙ ОТВЕТСТВЕННОСТЬЮ "БЕТОННО СМЕСИТЕЛЬНЫЙ УЗЕЛ-37"</t>
  </si>
  <si>
    <t>"БЕТОННО СМЕСИТЕЛЬНЫЙ УЗЕЛ-37"</t>
  </si>
  <si>
    <t>9704042363</t>
  </si>
  <si>
    <t>119435, МОСКВА Г., ПЕР. БОЛЬШОЙ САВВИНСКИЙ, Д. 3, ЭТАЖ 1 ПОМЕЩ. VII КОМ. 2 ОФИС 2Б</t>
  </si>
  <si>
    <t>Петров Артем Сергеевич</t>
  </si>
  <si>
    <t>55.42919,37.571336</t>
  </si>
  <si>
    <t>ОБЩЕСТВО С ОГРАНИЧЕННОЙ ОТВЕТСТВЕННОСТЬЮ "ЗАЩИТНЫЕ ПОКРЫТИЯ И ТЕХНОЛОГИИ"</t>
  </si>
  <si>
    <t>"ЗАЩИТНЫЕ ПОКРЫТИЯ И ТЕХНОЛОГИИ"</t>
  </si>
  <si>
    <t>5036144196</t>
  </si>
  <si>
    <t>142103, МОСКОВСКАЯ ОБЛАСТЬ, ГОРОДСКОЙ ОКРУГ ПОДОЛЬСК, Г ПОДОЛЬСК, УЛ. РОЩИНСКАЯ, Д. 5, К. 101 И 102, КАБИНЕТ 202/3</t>
  </si>
  <si>
    <t>Семенец Владимир Андреевич</t>
  </si>
  <si>
    <t>+7 (925) 025-75-42', '+7 (915) 418-44-94'</t>
  </si>
  <si>
    <t>55.72489,37.571534</t>
  </si>
  <si>
    <t>ОБЩЕСТВО С ОГРАНИЧЕННОЙ ОТВЕТСТВЕННОСТЬЮ "СТРОЙСЕРВИС-СТМ"</t>
  </si>
  <si>
    <t>"СТРОЙСЕРВИС-СТМ"</t>
  </si>
  <si>
    <t>7729482860</t>
  </si>
  <si>
    <t>Г МОСКВА,УЛ ДОВАТОВА, Д 1/28, КОМН ПРАВЛЕНИЯ</t>
  </si>
  <si>
    <t>Паничкин Алексей Алексеевич</t>
  </si>
  <si>
    <t>55.727399,37.571767</t>
  </si>
  <si>
    <t>ОБЩЕСТВО С ОГРАНИЧЕННОЙ ОТВЕТСТВЕННОСТЬЮ "БЕТОН-РОБОТ"</t>
  </si>
  <si>
    <t>"БЕТОН-РОБОТ"</t>
  </si>
  <si>
    <t>9704123728</t>
  </si>
  <si>
    <t>119048, Г.Москва, внутригородская территория города федерального значения МУНИЦИПАЛЬНЫЙ ОКРУГ ХАМОВНИКИ, УЛ УСАЧЁВА, Д. 11, ОФИС 2.4.2. (ЭТАЖ 2), ПОМЕЩ. 13/1</t>
  </si>
  <si>
    <t>Тюменева Елена Александровна</t>
  </si>
  <si>
    <t>55.467764,37.571839</t>
  </si>
  <si>
    <t>5036068548</t>
  </si>
  <si>
    <t>МОСКОВСКАЯ ОБЛ.,Г ПОДОЛЬСК,УЛ ОКРУЖНАЯ, Д 2 А</t>
  </si>
  <si>
    <t>Киселев Александр Николаевич</t>
  </si>
  <si>
    <t>55.649413,37.573142</t>
  </si>
  <si>
    <t>ОБЩЕСТВО С ОГРАНИЧЕННОЙ ОТВЕТСТВЕННОСТЬЮ "СОТОВЫЙ КАМЕНЬ"</t>
  </si>
  <si>
    <t>"СОТОВЫЙ КАМЕНЬ"</t>
  </si>
  <si>
    <t>7727484188</t>
  </si>
  <si>
    <t>117461, Г.Москва, МУНИЦИПАЛЬНЫЙ ОКРУГ ЗЮЗИНО, УЛ ХЕРСОНСКАЯ, Д. 5, К. 2, КОМ. 4 ОФИС 504</t>
  </si>
  <si>
    <t>Оганисян Давид Камоевич</t>
  </si>
  <si>
    <t>55.729199,37.574534</t>
  </si>
  <si>
    <t>ОБЩЕСТВО С ОГРАНИЧЕННОЙ ОТВЕТСТВЕННОСТЬЮ ТД "УЮТ"</t>
  </si>
  <si>
    <t>ТД "УЮТ"</t>
  </si>
  <si>
    <t>9704145746</t>
  </si>
  <si>
    <t>119048, Г.Москва, МУНИЦИПАЛЬНЫЙ ОКРУГ ХАМОВНИКИ, УЛ ЕФРЕМОВА, Д. 20, КОМ. 2, ОФИС 25К</t>
  </si>
  <si>
    <t>Ахмедов Вагиф Ахмед Оглы</t>
  </si>
  <si>
    <t>55.726568,37.575378</t>
  </si>
  <si>
    <t>ОБЩЕСТВО С ОГРАНИЧЕННОЙ ОТВЕТСТВЕННОСТЬЮ "ТЕХОСНОВА"</t>
  </si>
  <si>
    <t>"ТЕХОСНОВА"</t>
  </si>
  <si>
    <t>9704031570</t>
  </si>
  <si>
    <t>119048, МОСКВА ГОРОД, УЛИЦА ТРУБЕЦКАЯ, ДОМ 12, ЭТ 2/ПОМ III/ОФ 10</t>
  </si>
  <si>
    <t>Косов Антон Александрович</t>
  </si>
  <si>
    <t>55.512633,37.575459</t>
  </si>
  <si>
    <t>ОБЩЕСТВО С ОГРАНИЧЕННОЙ ОТВЕТСТВЕННОСТЬЮ "СТРОИТЕЛЬНЫЕ ТЕХНОЛОГИИ"</t>
  </si>
  <si>
    <t>"СТРОИТЕЛЬНЫЕ ТЕХНОЛОГИИ"</t>
  </si>
  <si>
    <t>7751213894</t>
  </si>
  <si>
    <t>108851, Г.Москва, внутригородская территория города федерального значения ГОРОДСКОЙ ОКРУГ ЩЕРБИНКА, Город ЩЕРБИНКА, Ш СИМФЕРОПОЛЬСКОЕ, Д. 3, СТР. 1, ЭТАЖ 1, ОФИС 96</t>
  </si>
  <si>
    <t>Зырянов Илья Юрьевич</t>
  </si>
  <si>
    <t>CTMSK@GMAIL.COM'</t>
  </si>
  <si>
    <t>55.767139,37.576016</t>
  </si>
  <si>
    <t>ОБЩЕСТВО С ОГРАНИЧЕННОЙ ОТВЕТСТВЕННОСТЬЮ "РИВЕРСТОУН"</t>
  </si>
  <si>
    <t>"РИВЕРСТОУН"</t>
  </si>
  <si>
    <t>9703029899</t>
  </si>
  <si>
    <t>123557, МОСКВА Г., УЛ. КЛИМАШКИНА, Д. 1, СТР. 1,..</t>
  </si>
  <si>
    <t>Двуреченский Денис Александрович</t>
  </si>
  <si>
    <t>52.418108,37.57837</t>
  </si>
  <si>
    <t>5702007126</t>
  </si>
  <si>
    <t>ОРЛОВСКАЯ ОБЛ.,Г ЛИВНЫ,УЛ ЖЕЛЕЗНОДОРОЖНАЯ, Д 10А</t>
  </si>
  <si>
    <t>Гвоздёва Марина Владимировна</t>
  </si>
  <si>
    <t>55.870804,37.578397</t>
  </si>
  <si>
    <t>ОБЩЕСТВО С ОГРАНИЧЕННОЙ ОТВЕТСТВЕННОСТЬЮ НПО "СПЕЦКОМПОЗИТ"</t>
  </si>
  <si>
    <t>НПО "СПЕЦКОМПОЗИТ"</t>
  </si>
  <si>
    <t>9715374240</t>
  </si>
  <si>
    <t>127410, МОСКВА ГОРОД, ШОССЕ АЛТУФЬЕВСКОЕ, ДОМ 43, СТРОЕНИЕ 20, ЭТ/ПОМ/КОМ 1/I/9</t>
  </si>
  <si>
    <t xml:space="preserve"> Директор Чарухин Роман Васильевич</t>
  </si>
  <si>
    <t>55.538295,37.581083</t>
  </si>
  <si>
    <t>7727299026</t>
  </si>
  <si>
    <t>117623, МОСКВА ГОРОД, УЛИЦА 2-Я МЕЛИТОПОЛЬСКАЯ, ДОМ 21, КОРПУС 2, Э 1 ПОМ X К 1 ОФ 26</t>
  </si>
  <si>
    <t>Амирсултанов Нафель Аминович</t>
  </si>
  <si>
    <t>arsstroy71@mail.ru'</t>
  </si>
  <si>
    <t>55.749663,37.581451</t>
  </si>
  <si>
    <t>ОБЩЕСТВО С ОГРАНИЧЕННОЙ ОТВЕТСТВЕННОСТЬЮ "ЭКОЛИТБЕТОН"</t>
  </si>
  <si>
    <t>"ЭКОЛИТБЕТОН"</t>
  </si>
  <si>
    <t>9704110655</t>
  </si>
  <si>
    <t>121099, Г.Москва, МУНИЦИПАЛЬНЫЙ ОКРУГ АРБАТ, ПРОЕЗД ШЛОМИНА, Д. 6</t>
  </si>
  <si>
    <t>Коннова Тереза Станиславовна</t>
  </si>
  <si>
    <t>55.744262,37.581523</t>
  </si>
  <si>
    <t>ОБЩЕСТВО С ОГРАНИЧЕННОЙ ОТВЕТСТВЕННОСТЬЮ "СИГМА КОНСТРАКШЕН"</t>
  </si>
  <si>
    <t>"СИГМА КОНСТРАКШЕН"</t>
  </si>
  <si>
    <t>9704106828</t>
  </si>
  <si>
    <t>119121, Г.Москва, МУНИЦИПАЛЬНЫЙ ОКРУГ ХАМОВНИКИ, УЛ ПЛЮЩИХА, Д. 9,СТР. 2, ПОМЕЩ./КОМ. 9/1</t>
  </si>
  <si>
    <t>Поленов Александр Юрьевич</t>
  </si>
  <si>
    <t>55.790185,37.5819</t>
  </si>
  <si>
    <t>ОБЩЕСТВО С ОГРАНИЧЕННОЙ ОТВЕТСТВЕННОСТЬЮ "ИДЕАЛСТРОЙ"</t>
  </si>
  <si>
    <t>"ИДЕАЛСТРОЙ"</t>
  </si>
  <si>
    <t>7714409546</t>
  </si>
  <si>
    <t>127015, МОСКВА ГОРОД, УЛИЦА РАСКОВОЙ, ДОМ 34, КОРПУС 13Б</t>
  </si>
  <si>
    <t>Мисаров Сергей Владимирович</t>
  </si>
  <si>
    <t>+7 (499) 381-51-54'</t>
  </si>
  <si>
    <t>55.569067,37.581963</t>
  </si>
  <si>
    <t>ОБЩЕСТВО С ОГРАНИЧЕННОЙ ОТВЕТСТВЕННОСТЬЮ "БЕТОН-ХАУС"</t>
  </si>
  <si>
    <t>"БЕТОН-ХАУС"</t>
  </si>
  <si>
    <t>7727435060</t>
  </si>
  <si>
    <t>117216, МОСКВА ГОРОД, УЛИЦА СТАРОКАЧАЛОВСКАЯ, ДОМ 3, КОРПУС 3,..</t>
  </si>
  <si>
    <t>Оганисян Сергей Гагикович</t>
  </si>
  <si>
    <t>55.752886,37.582089</t>
  </si>
  <si>
    <t>ОБЩЕСТВО С ОГРАНИЧЕННОЙ ОТВЕТСТВЕННОСТЬЮ "ФАВОРИТ ПЛЮС"</t>
  </si>
  <si>
    <t>"ФАВОРИТ ПЛЮС"</t>
  </si>
  <si>
    <t>9704141981</t>
  </si>
  <si>
    <t>121099, Г.Москва, МУНИЦИПАЛЬНЫЙ ОКРУГ АРБАТ, УЛ НОВЫЙ АРБАТ, Д. 30/9, КОМ./ОФИС 1/54</t>
  </si>
  <si>
    <t>Захарцева Наталья Александровна</t>
  </si>
  <si>
    <t>55.678555,37.583032</t>
  </si>
  <si>
    <t>ОБЩЕСТВО С ОГРАНИЧЕННОЙ ОТВЕТСТВЕННОСТЬЮ "ГОРОДСТРОЙ"</t>
  </si>
  <si>
    <t>"ГОРОДСТРОЙ"</t>
  </si>
  <si>
    <t>1650354136</t>
  </si>
  <si>
    <t>16-Республика Татарстан (Татарстан)</t>
  </si>
  <si>
    <t>117218, Г.Москва, внутригородская территория города федерального значения МУНИЦИПАЛЬНЫЙ ОКРУГ АКАДЕМИЧЕСКИЙ, УЛ БОЛЬШАЯ ЧЕРЁМУШКИНСКАЯ, Д. 34, ЭТАЖ/КОМНАТА 3/306.1</t>
  </si>
  <si>
    <t>Кожуховская Маргарита Александровна</t>
  </si>
  <si>
    <t>55.734917,37.58482</t>
  </si>
  <si>
    <t>ОБЩЕСТВО С ОГРАНИЧЕННОЙ ОТВЕТСТВЕННОСТЬЮ «ФАКТОР»</t>
  </si>
  <si>
    <t>«ФАКТОР»</t>
  </si>
  <si>
    <t>9704121576</t>
  </si>
  <si>
    <t>119021, Г.Москва, МУНИЦИПАЛЬНЫЙ ОКРУГ ХАМОВНИКИ, УЛ ЛЬВА ТОЛСТОГО, Д. 23, К. 1, КОМ./ОФИС 1/101</t>
  </si>
  <si>
    <t>Ежов Василий Андреевич</t>
  </si>
  <si>
    <t>55.689187,37.58526</t>
  </si>
  <si>
    <t>ОБЩЕСТВО С ОГРАНИЧЕННОЙ ОТВЕТСТВЕННОСТЬЮ "СЕМЬ КРАСОК"</t>
  </si>
  <si>
    <t>"СЕМЬ КРАСОК"</t>
  </si>
  <si>
    <t>7727276491</t>
  </si>
  <si>
    <t>117449, МОСКВА ГОРОД, УЛ. ВИНОКУРОВА, Д. 5/6, К. 1,..</t>
  </si>
  <si>
    <t>Гусев Александр Валентинович</t>
  </si>
  <si>
    <t>54.199559,37.586239</t>
  </si>
  <si>
    <t>ОБЩЕСТВО С ОГРАНИЧЕННОЙ ОТВЕТСТВЕННОСТЬЮ "БЕКАР"</t>
  </si>
  <si>
    <t>"БЕКАР"</t>
  </si>
  <si>
    <t>7105513066</t>
  </si>
  <si>
    <t>300041, ТУЛЬСКАЯ ОБЛАСТЬ, ГОРОД ТУЛА, УЛИЦА СОЙФЕРА, ДОМ 37А,..</t>
  </si>
  <si>
    <t>Бегджанян Карен Самвелович</t>
  </si>
  <si>
    <t>+7 (910) 166-03-45'</t>
  </si>
  <si>
    <t>55.613544,37.586598</t>
  </si>
  <si>
    <t>7726438534</t>
  </si>
  <si>
    <t>117570, Г.Москва, внутригородская территория города федерального значения МУНИЦИПАЛЬНЫЙ ОКРУГ ЧЕРТАНОВО ЦЕНТРАЛЬНОЕ, УЛ КРАСНОГО МАЯКА, Д. 16, ЭТАЖ 3, ПОМЕЩ. I/КОМ. 8</t>
  </si>
  <si>
    <t>Белобородов Денис Владимирович</t>
  </si>
  <si>
    <t>55.739387,37.587623</t>
  </si>
  <si>
    <t>ОБЩЕСТВО С ОГРАНИЧЕННОЙ ОТВЕТСТВЕННОСТЬЮ "ВЫСОТА"</t>
  </si>
  <si>
    <t>"ВЫСОТА"</t>
  </si>
  <si>
    <t>9704148521</t>
  </si>
  <si>
    <t>119034, Г.Москва, МУНИЦИПАЛЬНЫЙ ОКРУГ ХАМОВНИКИ, УЛ ПРЕЧИСТЕНКА, Д. 40/2,СТР. 2, КОМ./ОФИС 3/4</t>
  </si>
  <si>
    <t>55.765433,37.58932</t>
  </si>
  <si>
    <t>ОБЩЕСТВО С ОГРАНИЧЕННОЙ ОТВЕТСТВЕННОСТЬЮ " Новые инвестиции"</t>
  </si>
  <si>
    <t>" Новые инвестиции"</t>
  </si>
  <si>
    <t>7703291606</t>
  </si>
  <si>
    <t>Г МОСКВА,УЛ САДОВАЯ-КУДРИНСКАЯ, Д 21, СТР 5</t>
  </si>
  <si>
    <t>Соболев Александр Геннадьевич</t>
  </si>
  <si>
    <t>55.778644,37.58941</t>
  </si>
  <si>
    <t>ОБЩЕСТВО С ОГРАНИЧЕННОЙ ОТВЕТСТВЕННОСТЬЮ "ГК СТРОЙГАРАНТ"</t>
  </si>
  <si>
    <t>"ГК СТРОЙГАРАНТ"</t>
  </si>
  <si>
    <t>9710081836</t>
  </si>
  <si>
    <t>125047, МОСКВА ГОРОД, УЛ. ЛЕСНАЯ, Д. 10-16, ЭТ ПОДВАЛ ПОМ IV КОМ 2 ОФИС 1</t>
  </si>
  <si>
    <t>Мкртчян Вазген Арсенович</t>
  </si>
  <si>
    <t>55.765802,37.589859</t>
  </si>
  <si>
    <t>ОБЩЕСТВО С ОГРАНИЧЕННОЙ ОТВЕТСТВЕННОСТЬЮ "ЕВРО-СИБ"</t>
  </si>
  <si>
    <t>"ЕВРО-СИБ"</t>
  </si>
  <si>
    <t>7704882111</t>
  </si>
  <si>
    <t>123001, МОСКВА Г., УЛ. САДОВАЯ-КУДРИНСКАЯ, Д. 25, ЭТАЖ 8 КОМ. 27</t>
  </si>
  <si>
    <t>Тищенко Виктор Альбертович</t>
  </si>
  <si>
    <t>+7 (495) 254-15-84'</t>
  </si>
  <si>
    <t>55.874067,37.591683</t>
  </si>
  <si>
    <t>ОБЩЕСТВО С ОГРАНИЧЕННОЙ ОТВЕТСТВЕННОСТЬЮ "ПРОМСИСТЕМА ЛТД"</t>
  </si>
  <si>
    <t>"ПРОМСИСТЕМА ЛТД"</t>
  </si>
  <si>
    <t>7715397710</t>
  </si>
  <si>
    <t>Г МОСКВА,ПР ВЫСОКОВОЛЬТНЫЙ, Д 1, СТР 4</t>
  </si>
  <si>
    <t>Кныриков Александр Сергеевич</t>
  </si>
  <si>
    <t>+7 (495) 507-93-27', '+7 (495) 901-90-80'</t>
  </si>
  <si>
    <t>55.526638,37.5925</t>
  </si>
  <si>
    <t>ОБЩЕСТВО С ОГРАНИЧЕННОЙ ОТВЕТСТВЕННОСТЬЮ "СУ-19"</t>
  </si>
  <si>
    <t>"СУ-19"</t>
  </si>
  <si>
    <t>5003126970</t>
  </si>
  <si>
    <t>142720, МОСКОВСКАЯ ОБЛАСТЬ, Г. ВИДНОЕ, РП ДРОЖЖИНО, Ш. НОВОЕ, Д. 15,..</t>
  </si>
  <si>
    <t>Антонович Юлия Олеговна</t>
  </si>
  <si>
    <t>+7 (916) 010-20-41'</t>
  </si>
  <si>
    <t>55.762216,37.592932</t>
  </si>
  <si>
    <t>ОБЩЕСТВО С ОГРАНИЧЕННОЙ ОТВЕТСТВЕННОСТЬЮ "АВАЛОН"</t>
  </si>
  <si>
    <t>"АВАЛОН"</t>
  </si>
  <si>
    <t>9703001685</t>
  </si>
  <si>
    <t>123104, МОСКВА ГОРОД, ПЕРЕУЛОК СПИРИДОНЬЕВСКИЙ, ДОМ 5, СТРОЕНИЕ 2, ЭТАЖ 1 ПОМ. 2 КОМ. 1</t>
  </si>
  <si>
    <t>Шмелев Виталий Павлович</t>
  </si>
  <si>
    <t>55.747059,37.593021</t>
  </si>
  <si>
    <t>ОБЩЕСТВО С ОГРАНИЧЕННОЙ ОТВЕТСТВЕННОСТЬЮ "Лидеры XXI века"</t>
  </si>
  <si>
    <t>"Лидеры XXI века"</t>
  </si>
  <si>
    <t>7704730782</t>
  </si>
  <si>
    <t>119002, Г.Москва, внутригородская территория города федерального значения МУНИЦИПАЛЬНЫЙ ОКРУГ ХАМОВНИКИ, ПЕР МАЛЫЙ ВЛАСЬЕВСКИЙ, Д. 14/23, ЭТАЖ ПОДВАЛ, КОМ. 4</t>
  </si>
  <si>
    <t>ИСПОЛНИТЕЛЬНЫЙ ДИРЕКТОР Никитина Алина Альфредовна</t>
  </si>
  <si>
    <t>55.804668,37.594019</t>
  </si>
  <si>
    <t>ОБЩЕСТВО С ОГРАНИЧЕННОЙ ОТВЕТСТВЕННОСТЬЮ "ПОЛИМЕР"</t>
  </si>
  <si>
    <t>"ПОЛИМЕР"</t>
  </si>
  <si>
    <t>9715379834</t>
  </si>
  <si>
    <t>127018, МОСКВА ГОРОД, УЛИЦА СКЛАДОЧНАЯ, ДОМ 1, СТРОЕНИЕ 5, ЭТ/ПОМ/КОМ 1/V/7</t>
  </si>
  <si>
    <t>Воевода Александр Сергеевич</t>
  </si>
  <si>
    <t>55.897619,37.59613</t>
  </si>
  <si>
    <t>ОБЩЕСТВО С ОГРАНИЧЕННОЙ ОТВЕТСТВЕННОСТЬЮ "СТ-ГРУПП"</t>
  </si>
  <si>
    <t>"СТ-ГРУПП"</t>
  </si>
  <si>
    <t>9715295542</t>
  </si>
  <si>
    <t>127349, МОСКВА Г, ЛЕСКОВА УЛ, ДОМ 8,..</t>
  </si>
  <si>
    <t>Копейкин Александр Сергеевич</t>
  </si>
  <si>
    <t>+7 (926) 278-41-45'</t>
  </si>
  <si>
    <t>55.775262,37.597118</t>
  </si>
  <si>
    <t>ОБЩЕСТВО С ОГРАНИЧЕННОЙ ОТВЕТСТВЕННОСТЬЮ "НЭКСТ"</t>
  </si>
  <si>
    <t>"НЭКСТ"</t>
  </si>
  <si>
    <t>7710902302</t>
  </si>
  <si>
    <t>125047, МОСКВА ГОРОД, УЛ. ФАДЕЕВА, Д.7, СТР.1, ОФ.2</t>
  </si>
  <si>
    <t>Сандалов Алексей Вячеславович</t>
  </si>
  <si>
    <t>+7 (495) 739-99-64'</t>
  </si>
  <si>
    <t>55.84869,37.597711</t>
  </si>
  <si>
    <t>ОБЩЕСТВО С ОГРАНИЧЕННОЙ ОТВЕТСТВЕННОСТЬЮ "ТЕРРАЦЦО ГРУПП"</t>
  </si>
  <si>
    <t>"ТЕРРАЦЦО ГРУПП"</t>
  </si>
  <si>
    <t>9715402530</t>
  </si>
  <si>
    <t>127273, МОСКВА Г., ПР-Д СИГНАЛЬНЫЙ, Д. 16, СТР. 19, ОФИС 16</t>
  </si>
  <si>
    <t>Попков Игорь Сергеевич</t>
  </si>
  <si>
    <t>I@MAIL.RU'</t>
  </si>
  <si>
    <t>55.7141,37.59807</t>
  </si>
  <si>
    <t>ОБЩЕСТВО С ОГРАНИЧЕННОЙ ОТВЕТСТВЕННОСТЬЮ "АТЛАС"</t>
  </si>
  <si>
    <t>"АТЛАС"</t>
  </si>
  <si>
    <t>9726011665</t>
  </si>
  <si>
    <t>117105, Г.Москва, внутригородская территория города федерального значения МУНИЦИПАЛЬНЫЙ ОКРУГ ДОНСКОЙ, Ш ВАРШАВСКОЕ, Д. 1А, ЭТАЖ/ПОМЕЩ ПОДВАЛ/3К/1П, ОФИС 58</t>
  </si>
  <si>
    <t>Ерманов Сергей Витальевич</t>
  </si>
  <si>
    <t>55.759127,37.598303</t>
  </si>
  <si>
    <t>ОБЩЕСТВО С ОГРАНИЧЕННОЙ ОТВЕТСТВЕННОСТЬЮ "АРХИДЕКОР"</t>
  </si>
  <si>
    <t>"АРХИДЕКОР"</t>
  </si>
  <si>
    <t>7728891186</t>
  </si>
  <si>
    <t>Г МОСКВА,УЛ БРОННАЯ М  Д 2, СТР 1</t>
  </si>
  <si>
    <t>55.785134,37.59904</t>
  </si>
  <si>
    <t>ОБЩЕСТВО С ОГРАНИЧЕННОЙ ОТВЕТСТВЕННОСТЬЮ ТД "ЖБК-1"</t>
  </si>
  <si>
    <t>ТД "ЖБК-1"</t>
  </si>
  <si>
    <t>7707460301</t>
  </si>
  <si>
    <t>127055, Г.Москва, МУНИЦИПАЛЬНЫЙ ОКРУГ ТВЕРСКОЙ, УЛ ПАЛИХА, Д. 7-9, К. 4</t>
  </si>
  <si>
    <t>Лысов Сергей Викторович</t>
  </si>
  <si>
    <t>55.770431,37.599193</t>
  </si>
  <si>
    <t>ОБЩЕСТВО С ОГРАНИЧЕННОЙ ОТВЕТСТВЕННОСТЬЮ "ЭЛИТСТРОЙ"</t>
  </si>
  <si>
    <t>"ЭЛИТСТРОЙ"</t>
  </si>
  <si>
    <t>7710752128</t>
  </si>
  <si>
    <t>127006, МОСКВА Г, САДОВАЯ-ТРИУМФАЛЬНАЯ УЛ, ДОМ 4-10, ПОМ II КОМ 15 ОФ 17</t>
  </si>
  <si>
    <t>Хачатрян Ваагн Ервандович</t>
  </si>
  <si>
    <t>+7 (495) 941-44-45'</t>
  </si>
  <si>
    <t>ОБЩЕСТВО С ОГРАНИЧЕННОЙ ОТВЕТСТВЕННОСТЬЮ "ДОМОСТРОИТЕЛЬНЫЙ КОМБИНАТ-7"</t>
  </si>
  <si>
    <t>"ДОМОСТРОИТЕЛЬНЫЙ КОМБИНАТ-7"</t>
  </si>
  <si>
    <t>7710953441</t>
  </si>
  <si>
    <t>127006, МОСКВА Г, САДОВАЯ-ТРИУМФАЛЬНАЯ УЛ, ДОМ 4-10, ПОМ II КОМ 14 ОФ 109</t>
  </si>
  <si>
    <t>Белкин Андрей Вячеславович</t>
  </si>
  <si>
    <t>+7 (495) 121-91-24', '+7 (495) 648-40-04'</t>
  </si>
  <si>
    <t>ОБЩЕСТВО С ОГРАНИЧЕННОЙ ОТВЕТСТВЕННОСТЬЮ ПРОИЗВОДСТВЕННОЕ ОБЪЕДИНЕНИЕ "ДОМОСТРОИТЕЛЬНЫЙ КОМБИНАТ-7"</t>
  </si>
  <si>
    <t>ПРОИЗВОДСТВЕННОЕ ОБЪЕДИНЕНИЕ "ДОМОСТРОИТЕЛЬНЫЙ КОМБИНАТ-7"</t>
  </si>
  <si>
    <t>9710034240</t>
  </si>
  <si>
    <t>127006, МОСКВА Г, САДОВАЯ-ТРИУМФАЛЬНАЯ УЛ, ДОМ 4-10, ПОМ II КОМ 14 ОФИС1</t>
  </si>
  <si>
    <t>Давыдов Павел Алексеевич</t>
  </si>
  <si>
    <t>+7 (495) 648-40-04'</t>
  </si>
  <si>
    <t>55.604615,37.599301</t>
  </si>
  <si>
    <t>ОБЩЕСТВО С ОГРАНИЧЕННОЙ ОТВЕТСТВЕННОСТЬЮ "ЗАВОД СТРОИТЕЛЬНЫХ ИЗДЕЛИЙ "АЛМАЗ"</t>
  </si>
  <si>
    <t>"ЗАВОД СТРОИТЕЛЬНЫХ ИЗДЕЛИЙ "АЛМАЗ"</t>
  </si>
  <si>
    <t>7726445154</t>
  </si>
  <si>
    <t>117519, Г.Москва, внутригородская территория города федерального значения МУНИЦИПАЛЬНЫЙ ОКРУГ ЧЕРТАНОВО ЦЕНТРАЛЬНОЕ, УЛ КИРОВОГРАДСКАЯ, Д. 36,..</t>
  </si>
  <si>
    <t>Зайцев Сергей Петрович</t>
  </si>
  <si>
    <t>55.644892,37.599768</t>
  </si>
  <si>
    <t>ОБЩЕСТВО С ОГРАНИЧЕННОЙ ОТВЕТСТВЕННОСТЬЮ "КОМПЛЕКС-СТРОЙ"</t>
  </si>
  <si>
    <t>"КОМПЛЕКС-СТРОЙ"</t>
  </si>
  <si>
    <t>7727418347</t>
  </si>
  <si>
    <t>117452, МОСКВА ГОРОД, Б-Р ЧЕРНОМОРСКИЙ, Д. 17, К. 1, ЭТАЖ 5 ПОМ II КОМ 4 ОФ 49</t>
  </si>
  <si>
    <t>Тадевосян Марине Овиковна</t>
  </si>
  <si>
    <t>54.193807,37.59984</t>
  </si>
  <si>
    <t>ОБЩЕСТВО С ОГРАНИЧЕННОЙ ОТВЕТСТВЕННОСТЬЮ "СТРОЙРЕСУРСФ"</t>
  </si>
  <si>
    <t>"СТРОЙРЕСУРСФ"</t>
  </si>
  <si>
    <t>7106088488</t>
  </si>
  <si>
    <t>300034, ТУЛЬСКАЯ ОБЛАСТЬ, ГОРОД ТУЛА, УЛИЦА РЕВОЛЮЦИИ, ДОМ 12,..</t>
  </si>
  <si>
    <t>Фурсова Наталья Юрьевна</t>
  </si>
  <si>
    <t>55.744895,37.600648</t>
  </si>
  <si>
    <t>ОБЩЕСТВО С ОГРАНИЧЕННОЙ ОТВЕТСТВЕННОСТЬЮ "ДЖЕННИФЕР"</t>
  </si>
  <si>
    <t>"ДЖЕННИФЕР"</t>
  </si>
  <si>
    <t>9704152140</t>
  </si>
  <si>
    <t>119019, Г.Москва, МУНИЦИПАЛЬНЫЙ ОКРУГ ХАМОВНИКИ, Б-Р ГОГОЛЕВСКИЙ, Д. 3, КОМ. 3М</t>
  </si>
  <si>
    <t>Зяблицкий Павел Алексеевич</t>
  </si>
  <si>
    <t>55.812641,37.604412</t>
  </si>
  <si>
    <t>ОБЩЕСТВО С ОГРАНИЧЕННОЙ ОТВЕТСТВЕННОСТЬЮ "ДОМА4Ю.РУ"</t>
  </si>
  <si>
    <t>"ДОМА4Ю.РУ"</t>
  </si>
  <si>
    <t>9715396678</t>
  </si>
  <si>
    <t>127254, МОСКВА Г., ПР-Д ОГОРОДНЫЙ, Д. 8, СТР. 1, ЭТАЖ 3 ПОМЕЩЕНИЕ 314</t>
  </si>
  <si>
    <t>Спирин Алексей Олегович</t>
  </si>
  <si>
    <t>55.808999,37.605715</t>
  </si>
  <si>
    <t>ОБЩЕСТВО С ОГРАНИЧЕННОЙ ОТВЕТСТВЕННОСТЬЮ "ШАРМАН"</t>
  </si>
  <si>
    <t>"ШАРМАН"</t>
  </si>
  <si>
    <t>7718728790</t>
  </si>
  <si>
    <t>127254, МОСКВА Г, ОГОРОДНЫЙ ПР, ДОМ 5, СТРОЕНИЕ 4, ЭТАЖ 3 КОМН.20</t>
  </si>
  <si>
    <t>Торосян Варужан Лермонтович</t>
  </si>
  <si>
    <t>55.886135,37.606038</t>
  </si>
  <si>
    <t>ОБЩЕСТВО С ОГРАНИЧЕННОЙ ОТВЕТСТВЕННОСТЬЮ "ТДМ"</t>
  </si>
  <si>
    <t>"ТДМ"</t>
  </si>
  <si>
    <t>9715361516</t>
  </si>
  <si>
    <t>127560, МОСКВА ГОРОД, УЛИЦА ПРИШВИНА, ДОМ 21, Э 5..</t>
  </si>
  <si>
    <t>Журкин Василий Сергеевич</t>
  </si>
  <si>
    <t>55.809636,37.606119</t>
  </si>
  <si>
    <t>ОБЩЕСТВО С ОГРАНИЧЕННОЙ ОТВЕТСТВЕННОСТЬЮ "СОВРЕМЕННЫЕ РЕЛЬСОВЫЕ СИСТЕМЫ"</t>
  </si>
  <si>
    <t>"СОВРЕМЕННЫЕ РЕЛЬСОВЫЕ СИСТЕМЫ"</t>
  </si>
  <si>
    <t>9701031606</t>
  </si>
  <si>
    <t>127254, МОСКВА Г, ОГОРОДНЫЙ ПР, ДОМ 5, СТРОЕНИЕ 6, ЭТАЖ 2 КОМНАТА 13</t>
  </si>
  <si>
    <t>Князев Сергей Сергеевич</t>
  </si>
  <si>
    <t>+7 (967) 034-40-40', '+7 (926) 295-89-30'</t>
  </si>
  <si>
    <t>ОБЩЕСТВО С ОГРАНИЧЕННОЙ ОТВЕТСТВЕННОСТЬЮ ПРОИЗВОДСТВЕННО-СТРОИТЕЛЬНАЯ КОМПАНИЯ "ЭКОСТРОЙДОМ"</t>
  </si>
  <si>
    <t>ПРОИЗВОДСТВЕННО-СТРОИТЕЛЬНАЯ КОМПАНИЯ "ЭКОСТРОЙДОМ"</t>
  </si>
  <si>
    <t>9715416412</t>
  </si>
  <si>
    <t>127254, Г.Москва, МУНИЦИПАЛЬНЫЙ ОКРУГ БУТЫРСКИЙ, ПРОЕЗД ОГОРОДНЫЙ, Д. 5,СТР. 6</t>
  </si>
  <si>
    <t>Александров Александр Валерьевич</t>
  </si>
  <si>
    <t>NORDSTROI@MAIL.RU'</t>
  </si>
  <si>
    <t>54.828797,37.607475</t>
  </si>
  <si>
    <t>ОБЩЕСТВО С ОГРАНИЧЕННОЙ ОТВЕТСТВЕННОСТЬЮ "ФЛ-БРИК"</t>
  </si>
  <si>
    <t>"ФЛ-БРИК"</t>
  </si>
  <si>
    <t>5039005987</t>
  </si>
  <si>
    <t>142290, МОСКОВСКАЯ ОБЛ, ПУЩИНО Г, ГРУЗОВАЯ УЛ, ДОМ 7, ЛИТЕРА А1, КОМНАТА 25</t>
  </si>
  <si>
    <t>Фролов Юрий Дмитриевич</t>
  </si>
  <si>
    <t>+7 (926) 125-28-54'</t>
  </si>
  <si>
    <t>55.687852,37.609155</t>
  </si>
  <si>
    <t>ОБЩЕСТВО С ОГРАНИЧЕННОЙ ОТВЕТСТВЕННОСТЬЮ "БЕТОН24"</t>
  </si>
  <si>
    <t>"БЕТОН24"</t>
  </si>
  <si>
    <t>7725848224</t>
  </si>
  <si>
    <t>117105, МОСКВА ГОРОД, ПР-Д НАГОРНЫЙ, ВЛД. 10Г</t>
  </si>
  <si>
    <t>Давыдов Геннадий Федорович</t>
  </si>
  <si>
    <t>+7 (905) 723-59-21'</t>
  </si>
  <si>
    <t>54.182933,37.609479</t>
  </si>
  <si>
    <t>ОБЩЕСТВО С ОГРАНИЧЕННОЙ ОТВЕТСТВЕННОСТЬЮ "МИСТЕР ДЕКОР"</t>
  </si>
  <si>
    <t>"МИСТЕР ДЕКОР"</t>
  </si>
  <si>
    <t>7107044772</t>
  </si>
  <si>
    <t>http://zao-economist.ru</t>
  </si>
  <si>
    <t>Г ТУЛА,УЛ Л ТОЛСТОГО 114 КОМН 51</t>
  </si>
  <si>
    <t>Дорошев Григорий Анатольевич</t>
  </si>
  <si>
    <t>+7 (921) 871-02-46'</t>
  </si>
  <si>
    <t>55.734091,37.610179</t>
  </si>
  <si>
    <t>ОБЩЕСТВО С ОГРАНИЧЕННОЙ ОТВЕТСТВЕННОСТЬЮ "РИЧАРД"</t>
  </si>
  <si>
    <t>"РИЧАРД"</t>
  </si>
  <si>
    <t>7706468611</t>
  </si>
  <si>
    <t>119049, МОСКВА ГОРОД, ПЕРЕУЛОК ЯКИМАНСКИЙ, ДОМ 6, ПОМЕЩЕНИЕ 1 КОМ. 2</t>
  </si>
  <si>
    <t xml:space="preserve"> Общество С Ограниченной Ответственностью "Парма"</t>
  </si>
  <si>
    <t>55.879036,37.610619</t>
  </si>
  <si>
    <t>7727536809</t>
  </si>
  <si>
    <t>127566, МОСКВА Г, ЮРЛОВСКИЙ ПР, ДОМ 14, КОРПУС 4, Э 1 ПОМ XX К 1 ОФ 2</t>
  </si>
  <si>
    <t>Карасев Георгий Геннадьевич</t>
  </si>
  <si>
    <t>+7 (495) 993-45-67'</t>
  </si>
  <si>
    <t>51.301279,37.611958</t>
  </si>
  <si>
    <t>ОБЩЕСТВО С ОГРАНИЧЕННОЙ ОТВЕТСТВЕННОСТЬЮ "СТАРТСЕМ"</t>
  </si>
  <si>
    <t>"СТАРТСЕМ"</t>
  </si>
  <si>
    <t>3128143985</t>
  </si>
  <si>
    <t>309184, Белгородская область, городской округ ГУБКИНСКИЙ, Город ГУБКИН, Ш ВОРОНЕЖСКОЕ, ЗД. 1,</t>
  </si>
  <si>
    <t>Семиречев Евгений Юрьевич</t>
  </si>
  <si>
    <t>55.685274,37.612434</t>
  </si>
  <si>
    <t>ОБЩЕСТВО С ОГРАНИЧЕННОЙ ОТВЕТСТВЕННОСТЬЮ "ЛЕГОБЕТОН"</t>
  </si>
  <si>
    <t>"ЛЕГОБЕТОН"</t>
  </si>
  <si>
    <t>7726301836</t>
  </si>
  <si>
    <t>117105, МОСКВА ГОРОД, ПР-Д НАГОРНЫЙ, Д. 12, СТР. 4</t>
  </si>
  <si>
    <t>Безац Олег Игоревич</t>
  </si>
  <si>
    <t>+7 (916) 780-20-85'</t>
  </si>
  <si>
    <t>mail@legobeton.ru'</t>
  </si>
  <si>
    <t>54.195192,37.612533</t>
  </si>
  <si>
    <t>ОБЩЕСТВО С ОГРАНИЧЕННОЙ ОТВЕТСТВЕННОСТЬЮ "ТРОСНЯНСКИЙ ЗАВОД СТРОИТЕЛЬНЫХ МАТЕРИАЛОВ"</t>
  </si>
  <si>
    <t>"ТРОСНЯНСКИЙ ЗАВОД СТРОИТЕЛЬНЫХ МАТЕРИАЛОВ"</t>
  </si>
  <si>
    <t>7118506860</t>
  </si>
  <si>
    <t>Г ТУЛА,УЛ СОВЕТСКАЯ Д 23-Д</t>
  </si>
  <si>
    <t>Сапов Сергей Николаевич</t>
  </si>
  <si>
    <t>+7 (910) 163-27-27'</t>
  </si>
  <si>
    <t>55.687655,37.613171</t>
  </si>
  <si>
    <t>7726468747</t>
  </si>
  <si>
    <t>117105, МОСКВА ГОРОД, ПРОЕЗД НАГОРНЫЙ, ДОМ 10, СТРОЕНИЕ 3, ЭТАЖ/ПОМЕЩЕНИЕ 2/218</t>
  </si>
  <si>
    <t>Беляев Максим Петрович</t>
  </si>
  <si>
    <t>55.665167,37.613907</t>
  </si>
  <si>
    <t>ОБЩЕСТВО С ОГРАНИЧЕННОЙ ОТВЕТСТВЕННОСТЬЮ "МОСКОВСКИЙ КОМБИНАТ ЖБИ №4"</t>
  </si>
  <si>
    <t>"МОСКОВСКИЙ КОМБИНАТ ЖБИ №4"</t>
  </si>
  <si>
    <t>9726016600</t>
  </si>
  <si>
    <t>117638, Г.Москва, МУНИЦИПАЛЬНЫЙ ОКРУГ НАГОРНЫЙ, ПРОЕЗД СИМФЕРОПОЛЬСКИЙ, Д. 18, КОМ. 2</t>
  </si>
  <si>
    <t>Узденова Аминат Хамзатовна</t>
  </si>
  <si>
    <t>55.790018,37.615354</t>
  </si>
  <si>
    <t>ОБЩЕСТВО С ОГРАНИЧЕННОЙ ОТВЕТСТВЕННОСТЬЮ "ИННОВАЦИОННЫЕ КОМПОЗИТНЫЕ МАТЕРИАЛЫ"</t>
  </si>
  <si>
    <t>"ИННОВАЦИОННЫЕ КОМПОЗИТНЫЕ МАТЕРИАЛЫ"</t>
  </si>
  <si>
    <t>9715360826</t>
  </si>
  <si>
    <t>127018, МОСКВА Г, ОКТЯБРЬСКАЯ УЛ, ДОМ 38, КОРПУС 6,..</t>
  </si>
  <si>
    <t>Дмитриев Алексей Андреевич</t>
  </si>
  <si>
    <t>55.709632,37.616926</t>
  </si>
  <si>
    <t>ОБЩЕСТВО С ОГРАНИЧЕННОЙ ОТВЕТСТВЕННОСТЬЮ "ТРОТТЕР"</t>
  </si>
  <si>
    <t>"ТРОТТЕР"</t>
  </si>
  <si>
    <t>7725377783</t>
  </si>
  <si>
    <t>115191, МОСКВА ГОРОД, УЛИЦА 2-Я РОЩИНСКАЯ, ДОМ 4, Э 5 П IА К 1 КАБ 503 РАБ.М№Х II</t>
  </si>
  <si>
    <t>Саргсян Тигран Леваевич</t>
  </si>
  <si>
    <t>ОБЩЕСТВО С ОГРАНИЧЕННОЙ ОТВЕТСТВЕННОСТЬЮ "ИМПЕРИЯ ЖБИ"</t>
  </si>
  <si>
    <t>"ИМПЕРИЯ ЖБИ"</t>
  </si>
  <si>
    <t>7725421986</t>
  </si>
  <si>
    <t>115191, МОСКВА ГОРОД, УЛ. 2-Я РОЩИНСКАЯ, Д. 4, ЭТ 5 ПОМ 1А КОМ 1,Р.М.№XXXIX</t>
  </si>
  <si>
    <t>Селезнева Олеся Сергеевна</t>
  </si>
  <si>
    <t>+7 (920) 668-53-68'</t>
  </si>
  <si>
    <t>54.193122,37.617348</t>
  </si>
  <si>
    <t>ОБЩЕСТВО С ОГРАНИЧЕННОЙ ОТВЕТСТВЕННОСТЬЮ "ПРОИЗВОДСТВЕННАЯ КОМПАНИЯ "БОРДЮРНЫЙ КАМЕНЬ 71"</t>
  </si>
  <si>
    <t>"ПРОИЗВОДСТВЕННАЯ КОМПАНИЯ "БОРДЮРНЫЙ КАМЕНЬ 71"</t>
  </si>
  <si>
    <t>7100005245</t>
  </si>
  <si>
    <t>300002, Тульская область, городской округ ГОРОД ТУЛА, Город ТУЛА, УЛ СЫЗРАНСКАЯ, Д. 10А, ОФИС 1, ЭТАЖ 1</t>
  </si>
  <si>
    <t>Шакарян Гурген Ашоти</t>
  </si>
  <si>
    <t>ОБЩЕСТВО С ОГРАНИЧЕННОЙ ОТВЕТСТВЕННОСТЬЮ "НКС СТРОЙГАРАНТ"</t>
  </si>
  <si>
    <t>"НКС СТРОЙГАРАНТ"</t>
  </si>
  <si>
    <t>7100006263</t>
  </si>
  <si>
    <t>300911, ТУЛЬСКАЯ ОБЛ., Г. Тула, П. Ново-Скуратово, Д. 101А, ЗД. СКЛАД ЛИТЕР. А, ПОМЕЩ. 4 ЭТАЖ 1</t>
  </si>
  <si>
    <t>Григорян Карен Гамлетович</t>
  </si>
  <si>
    <t>55.709079,37.617357</t>
  </si>
  <si>
    <t>ОБЩЕСТВО С ОГРАНИЧЕННОЙ ОТВЕТСТВЕННОСТЬЮ "ГСП-СТРОЙИНДУСТРИЯ"</t>
  </si>
  <si>
    <t>"ГСП-СТРОЙИНДУСТРИЯ"</t>
  </si>
  <si>
    <t>7709649302</t>
  </si>
  <si>
    <t>115191, МОСКВА Г, ТУЛЬСКАЯ М. УЛ, ДОМ 2/1, КОРПУС 26, ПОМЕЩЕНИЕ 2</t>
  </si>
  <si>
    <t>Трахман Александр Романович</t>
  </si>
  <si>
    <t>+7 (495) 916-76-71', '+7 (985) 774-52-19'</t>
  </si>
  <si>
    <t>ОБЩЕСТВО С ОГРАНИЧЕННОЙ ОТВЕТСТВЕННОСТЬЮ "ЗАПАД-БЕТОН"</t>
  </si>
  <si>
    <t>"ЗАПАД-БЕТОН"</t>
  </si>
  <si>
    <t>7725328017</t>
  </si>
  <si>
    <t>115191, МОСКВА ГОРОД, УЛ. МАЛАЯ ТУЛЬСКАЯ, Д. 2/1, К. 26, ПОМЕЩ. 2</t>
  </si>
  <si>
    <t>Смолин Сергей Вячеславович</t>
  </si>
  <si>
    <t>55.755819,37.617644</t>
  </si>
  <si>
    <t>ОБЩЕСТВО С ОГРАНИЧЕННОЙ ОТВЕТСТВЕННОСТЬЮ "ДЭСТАР"</t>
  </si>
  <si>
    <t>"ДЭСТАР"</t>
  </si>
  <si>
    <t>7720461150</t>
  </si>
  <si>
    <t>111402, МОСКВА ГОРОД, УЛИЦА КЕТЧЕРСКАЯ, ДОМ 16, ПОМЕЩЕНИЕ 561Б КОМ 5Б</t>
  </si>
  <si>
    <t>Шарапов Дмитрий Юрьевич</t>
  </si>
  <si>
    <t>7720469656</t>
  </si>
  <si>
    <t>105275, МОСКВА ГОРОД, ПРОСПЕКТ БУДЁННОГО, ДОМ 51, КОРПУС 1, ЭТ/ПОМ/КОМ 2/6/5</t>
  </si>
  <si>
    <t>Соловьева Анна Юрьевна</t>
  </si>
  <si>
    <t>kubmsk@mail.ru'</t>
  </si>
  <si>
    <t>7723758913</t>
  </si>
  <si>
    <t>117041, МОСКВА Г., УЛ. БАРТЕНЕВСКАЯ, Д. 55, ПОМЕЩЕНИЕ/БОКС II/1Б-20</t>
  </si>
  <si>
    <t>Ткаченко Елена Павловна</t>
  </si>
  <si>
    <t>+7 (926) 877-46-23'</t>
  </si>
  <si>
    <t>7724484775</t>
  </si>
  <si>
    <t>115304, МОСКВА ГОРОД, УЛИЦА КАСПИЙСКАЯ, ДОМ 22К1СТР5, Э 4 ПОМ VIII К 13 ОФ 40</t>
  </si>
  <si>
    <t>Сибикин Андрей Леонидович</t>
  </si>
  <si>
    <t>orskyjelezobeton@mail.ru'</t>
  </si>
  <si>
    <t>ОБЩЕСТВО С ОГРАНИЧЕННОЙ ОТВЕТСТВЕННОСТЬЮ "СЕВЕР"</t>
  </si>
  <si>
    <t>"СЕВЕР"</t>
  </si>
  <si>
    <t>7724861984</t>
  </si>
  <si>
    <t>123056, МОСКВА ГОРОД, УЛ. БОЛЬШАЯ ГРУЗИНСКАЯ, Д. 42, Э 1 ПОМ II К 1Б ОФ 89</t>
  </si>
  <si>
    <t>Шилов Павел Сергеевич</t>
  </si>
  <si>
    <t>9955421@mail.ru'</t>
  </si>
  <si>
    <t>ОБЩЕСТВО С ОГРАНИЧЕННОЙ ОТВЕТСТВЕННОСТЬЮ "МАСТЕРПЛИТ ЮГ"</t>
  </si>
  <si>
    <t>"МАСТЕРПЛИТ ЮГ"</t>
  </si>
  <si>
    <t>7736330875</t>
  </si>
  <si>
    <t>119331, МОСКВА ГОРОД, ПРОСПЕКТ ВЕРНАДСКОГО, ДОМ 29, Э 12 ПОМ I К 4 ОФ 117</t>
  </si>
  <si>
    <t>Уточкин Сергей Николаевич</t>
  </si>
  <si>
    <t>9701186416</t>
  </si>
  <si>
    <t>105005, МОСКВА Г., ПЕР. СТАРОКИРОЧНЫЙ, Д. 6, ПОДВ. ПОМЕЩ. 13 ОФИС 15</t>
  </si>
  <si>
    <t>Васильев Александр Владимирович</t>
  </si>
  <si>
    <t>55.818882,37.618354</t>
  </si>
  <si>
    <t>ОБЩЕСТВО С ОГРАНИЧЕННОЙ ОТВЕТСТВЕННОСТЬЮ "ЖЕЛЕЗОБЕТОННЫЕ КОНСТРУКЦИИ"</t>
  </si>
  <si>
    <t>"ЖЕЛЕЗОБЕТОННЫЕ КОНСТРУКЦИИ"</t>
  </si>
  <si>
    <t>9717065600</t>
  </si>
  <si>
    <t>129515, МОСКВА ГОРОД, УЛ. АКАДЕМИКА КОРОЛЕВА, Д. 13, СТР. 1, ЭТ 2 ПОМ II КОМ 52</t>
  </si>
  <si>
    <t>Ефремов Юрий Викторович</t>
  </si>
  <si>
    <t>+7 (920) 819-20-06'</t>
  </si>
  <si>
    <t>54.211166,37.618713</t>
  </si>
  <si>
    <t>ОБЩЕСТВО С ОГРАНИЧЕННОЙ ОТВЕТСТВЕННОСТЬЮ "ТУЛЬСКИЙ ЖИЛИЩНО-СТРОИТЕЛЬНЫЙ КОМБИНАТ-71"</t>
  </si>
  <si>
    <t>"ТУЛЬСКИЙ ЖИЛИЩНО-СТРОИТЕЛЬНЫЙ КОМБИНАТ-71"</t>
  </si>
  <si>
    <t>7105055360</t>
  </si>
  <si>
    <t>300002, ТУЛЬСКАЯ ОБЛ., Г. Тула, УЛ. ДЕМИДОВСКАЯ, ЗД. 63, ОФИС 54</t>
  </si>
  <si>
    <t>Загидуллин Салават Гаптулаевич</t>
  </si>
  <si>
    <t>tzkd@mail.ru'</t>
  </si>
  <si>
    <t>55.576808,37.61945</t>
  </si>
  <si>
    <t>ОБЩЕСТВО С ОГРАНИЧЕННОЙ ОТВЕТСТВЕННОСТЬЮ "СВ ОЛИМП"</t>
  </si>
  <si>
    <t>"СВ ОЛИМП"</t>
  </si>
  <si>
    <t>9724082100</t>
  </si>
  <si>
    <t>117403, Г.Москва, МУНИЦИПАЛЬНЫЙ ОКРУГ БИРЮЛЕВО ЗАПАДНОЕ, ПРОЕЗД ВОСТРЯКОВСКИЙ, Д. 10Б,СТР. 8</t>
  </si>
  <si>
    <t>Гвенетадзе Отар Бадриевич</t>
  </si>
  <si>
    <t>SVAI@YANDEX.RU'</t>
  </si>
  <si>
    <t>55.7322,37.620878</t>
  </si>
  <si>
    <t>ОБЩЕСТВО С ОГРАНИЧЕННОЙ ОТВЕТСТВЕННОСТЬЮ "ЗАВОД ЖБИ "ВОСТОК"</t>
  </si>
  <si>
    <t>"ЗАВОД ЖБИ "ВОСТОК"</t>
  </si>
  <si>
    <t>7706460524</t>
  </si>
  <si>
    <t>119180, МОСКВА ГОРОД, УЛ. БОЛЬШАЯ ПОЛЯНКА, Д. 51А/9, Э 8 ПОМ I К 1 ОФ А5Р</t>
  </si>
  <si>
    <t>Жемжуров Андрей Николаевич</t>
  </si>
  <si>
    <t>55.576686,37.622055</t>
  </si>
  <si>
    <t>ОБЩЕСТВО С ОГРАНИЧЕННОЙ ОТВЕТСТВЕННОСТЬЮ "КАМЕЯ"</t>
  </si>
  <si>
    <t>"КАМЕЯ"</t>
  </si>
  <si>
    <t>7730191664</t>
  </si>
  <si>
    <t>117403, МОСКВА Г, ВОСТРЯКОВСКИЙ ПР, ДОМ 10Б, СТРОЕНИЕ 3</t>
  </si>
  <si>
    <t>Текунова Галина Юрьевна</t>
  </si>
  <si>
    <t>55.722497,37.622747</t>
  </si>
  <si>
    <t>ОБЩЕСТВО С ОГРАНИЧЕННОЙ ОТВЕТСТВЕННОСТЬЮ "РЕКО"</t>
  </si>
  <si>
    <t>"РЕКО"</t>
  </si>
  <si>
    <t>9705159389</t>
  </si>
  <si>
    <t>115093, МОСКВА Г., УЛ. ЛЮСИНОВСКАЯ, Д. 39, СТР. 5, ПОМЕЩ. 5Б</t>
  </si>
  <si>
    <t>Магакян Давид Самвелович</t>
  </si>
  <si>
    <t>55.793202,37.622756</t>
  </si>
  <si>
    <t>ОБЩЕСТВО С ОГРАНИЧЕННОЙ ОТВЕТСТВЕННОСТЬЮ "ТЕГСТРОЙ"</t>
  </si>
  <si>
    <t>"ТЕГСТРОЙ"</t>
  </si>
  <si>
    <t>7717619580</t>
  </si>
  <si>
    <t>129594, г Москва, ул Сущевский Вал, д 67</t>
  </si>
  <si>
    <t>Асатрян Эдгар Акопович</t>
  </si>
  <si>
    <t>+7 (495) 506-40-77'</t>
  </si>
  <si>
    <t>55.761153,37.623304</t>
  </si>
  <si>
    <t>ОБЩЕСТВО С ОГРАНИЧЕННОЙ ОТВЕТСТВЕННОСТЬЮ "ЭКО-БЕТОН"</t>
  </si>
  <si>
    <t>"ЭКО-БЕТОН"</t>
  </si>
  <si>
    <t>9702016449</t>
  </si>
  <si>
    <t>107031, Г.Москва, внутригородская территория города федерального значения МУНИЦИПАЛЬНЫЙ ОКРУГ МЕЩАНСКИЙ, УЛ РОЖДЕСТВЕНКА, Д. 5/7, СТР. 2, ЭТАЖ/ПОМЕЩ 3/V, КОМ./ОФИС 4/233</t>
  </si>
  <si>
    <t>Долганов Александр Сергеевич</t>
  </si>
  <si>
    <t>55.770507,37.624391</t>
  </si>
  <si>
    <t>ОБЩЕСТВО С ОГРАНИЧЕННОЙ ОТВЕТСТВЕННОСТЬЮ "НИКО"</t>
  </si>
  <si>
    <t>"НИКО"</t>
  </si>
  <si>
    <t>5012077631</t>
  </si>
  <si>
    <t>http://nicoinvest.ru</t>
  </si>
  <si>
    <t>127051, МОСКВА ГОРОД, ПЕРЕУЛОК МАЛЫЙ СУХАРЕВСКИЙ, 9, СТРОЕНИЕ 1, ОФИС 220</t>
  </si>
  <si>
    <t>Гоов Рустам Русланович</t>
  </si>
  <si>
    <t>55.811513,37.624723</t>
  </si>
  <si>
    <t>ОБЩЕСТВО С ОГРАНИЧЕННОЙ ОТВЕТСТВЕННОСТЬЮ "СПЕЦТЕХБЕТОН"</t>
  </si>
  <si>
    <t>"СПЕЦТЕХБЕТОН"</t>
  </si>
  <si>
    <t>9717095926</t>
  </si>
  <si>
    <t>129085, МОСКВА ГОРОД, БУЛЬВАР ЗВЁЗДНЫЙ, ДОМ 21, СТРОЕНИЕ 1, Э 1 ПОМ I К 18 ОФ 33</t>
  </si>
  <si>
    <t>Заря Сергей Геннадьевич</t>
  </si>
  <si>
    <t>55.614765,37.625307</t>
  </si>
  <si>
    <t>ОБЩЕСТВО С ОГРАНИЧЕННОЙ ОТВЕТСТВЕННОСТЬЮ "ПРОПАВИЛЬОН"</t>
  </si>
  <si>
    <t>"ПРОПАВИЛЬОН"</t>
  </si>
  <si>
    <t>7726390498</t>
  </si>
  <si>
    <t>117545, МОСКВА ГОРОД, ПРОЕЗД 1-Й ДОРОЖНЫЙ, ДОМ 9, СТРОЕНИЕ 4, ПОМЕЩЕНИЕ 24 1-Й ЭТАЖ</t>
  </si>
  <si>
    <t>Никольский Евгений Евгеньевич</t>
  </si>
  <si>
    <t>+7 (916) 838-45-45'</t>
  </si>
  <si>
    <t>56.182241,37.625792</t>
  </si>
  <si>
    <t>ОБЩЕСТВО С ОГРАНИЧЕННОЙ ОТВЕТСТВЕННОСТЬЮ "СП ЕВРО-БЕТОН"</t>
  </si>
  <si>
    <t>"СП ЕВРО-БЕТОН"</t>
  </si>
  <si>
    <t>5007103290</t>
  </si>
  <si>
    <t>141862, МОСКОВСКАЯ ОБЛАСТЬ, ГОРОД ДМИТРОВ, ДЕРЕВНЯ ЛОТОСОВО, ВЛАДЕНИЕ 40А, ОФИС 1</t>
  </si>
  <si>
    <t>Скрябин Игорь Сергеевич</t>
  </si>
  <si>
    <t>+7 (926) 600-85-62'</t>
  </si>
  <si>
    <t>55.703992,37.625909</t>
  </si>
  <si>
    <t>ОБЩЕСТВО С ОГРАНИЧЕННОЙ ОТВЕТСТВЕННОСТЬЮ "МСКБЕТОН-РЕГИОН"</t>
  </si>
  <si>
    <t>"МСКБЕТОН-РЕГИОН"</t>
  </si>
  <si>
    <t>7726402016</t>
  </si>
  <si>
    <t>117105, МОСКВА ГОРОД, Ш. ВАРШАВСКОЕ, Д. 1, СТР. 1-2, ЭТ 3 КОМ 50 ОФ 62</t>
  </si>
  <si>
    <t>Ненцинский Константин Владимирович</t>
  </si>
  <si>
    <t>55.722882,37.626717</t>
  </si>
  <si>
    <t>ОБЩЕСТВО С ОГРАНИЧЕННОЙ ОТВЕТСТВЕННОСТЬЮ "КИНГ ДОМ"</t>
  </si>
  <si>
    <t>"КИНГ ДОМ"</t>
  </si>
  <si>
    <t>9705169186</t>
  </si>
  <si>
    <t>115093, Г.Москва, внутригородская территория города федерального значения МУНИЦИПАЛЬНЫЙ ОКРУГ ЗАМОСКВОРЕЧЬЕ, УЛ БОЛЬШАЯ СЕРПУХОВСКАЯ, Д. 44, ПОМЕЩ. I (ЭТАЖ 3), КОМ. 3 ОФИС 27</t>
  </si>
  <si>
    <t>Полозов Николай Андреевич</t>
  </si>
  <si>
    <t>55.892016,37.629062</t>
  </si>
  <si>
    <t>ОБЩЕСТВО С ОГРАНИЧЕННОЙ ОТВЕТСТВЕННОСТЬЮ "ПЛИТКА-ПЛЮС"</t>
  </si>
  <si>
    <t>"ПЛИТКА-ПЛЮС"</t>
  </si>
  <si>
    <t>1838021723</t>
  </si>
  <si>
    <t>18-Удмуртская Республика</t>
  </si>
  <si>
    <t>127543, МОСКВА ГОРОД, УЛИЦА КОРНЕЙЧУКА, ДОМ 51-Б,..</t>
  </si>
  <si>
    <t>Казак Владимир Викторович</t>
  </si>
  <si>
    <t>+7 (916) 374-98-81'</t>
  </si>
  <si>
    <t>55.656773,37.631918</t>
  </si>
  <si>
    <t>ОБЩЕСТВО С ОГРАНИЧЕННОЙ ОТВЕТСТВЕННОСТЬЮ "ВВ-ПАРК"</t>
  </si>
  <si>
    <t>"ВВ-ПАРК"</t>
  </si>
  <si>
    <t>7724771642</t>
  </si>
  <si>
    <t>115201, МОСКВА Г, КАШИРСКИЙ ПР, ДОМ 13, ЭТ 4 ПОМ XV КОМ 7, 7А</t>
  </si>
  <si>
    <t>Бутов Владимир Александрович</t>
  </si>
  <si>
    <t>55.888821,37.632619</t>
  </si>
  <si>
    <t>ОБЩЕСТВО С ОГРАНИЧЕННОЙ ОТВЕТСТВЕННОСТЬЮ "ГРАДДИ"</t>
  </si>
  <si>
    <t>"ГРАДДИ"</t>
  </si>
  <si>
    <t>7717120287</t>
  </si>
  <si>
    <t>127282, МОСКВА ГОРОД, ПР-Д ЧЕРМЯНСКИЙ, Д. 7, ЭТ 1 ПОМ I КОМ 47</t>
  </si>
  <si>
    <t>Данилевская Елена Александровна</t>
  </si>
  <si>
    <t>deepaudit@yandex.ru'</t>
  </si>
  <si>
    <t>55.812686,37.633374</t>
  </si>
  <si>
    <t>ОБЩЕСТВО С ОГРАНИЧЕННОЙ ОТВЕТСТВЕННОСТЬЮ "ЕВРОТРЕЙД"</t>
  </si>
  <si>
    <t>"ЕВРОТРЕЙД"</t>
  </si>
  <si>
    <t>9717071072</t>
  </si>
  <si>
    <t>129085, МОСКВА ГОРОД, ПРОСПЕКТ МИРА, ДОМ 101В, СТРОЕНИЕ 1, ПОМЕЩЕНИЕ II-КОМНАТА 22, ЭТАЖ 4</t>
  </si>
  <si>
    <t>Гаврилушкин Александр Викторович</t>
  </si>
  <si>
    <t>eurotrade2018@bk.ru'</t>
  </si>
  <si>
    <t>55.784268,37.634371</t>
  </si>
  <si>
    <t>ОБЩЕСТВО С ОГРАНИЧЕННОЙ ОТВЕТСТВЕННОСТЬЮ "ПК "КРЕПОСТЬ"</t>
  </si>
  <si>
    <t>"ПК "КРЕПОСТЬ"</t>
  </si>
  <si>
    <t>7729478045</t>
  </si>
  <si>
    <t>Г МОСКВА,ПРОСП МИРА, Д 51, СТР 1 А</t>
  </si>
  <si>
    <t>Неспорова Елена Николаевна</t>
  </si>
  <si>
    <t>+7 (926) 606-35-29'</t>
  </si>
  <si>
    <t>55.76523,37.638755</t>
  </si>
  <si>
    <t>ОБЩЕСТВО С ОГРАНИЧЕННОЙ ОТВЕТСТВЕННОСТЬЮ "МОНОЛИТ ВОСТОК"</t>
  </si>
  <si>
    <t>"МОНОЛИТ ВОСТОК"</t>
  </si>
  <si>
    <t>9701207306</t>
  </si>
  <si>
    <t>101000, Г.Москва, внутригородская территория города федерального значения МУНИЦИПАЛЬНЫЙ ОКРУГ БАСМАННЫЙ, УЛ МЯСНИЦКАЯ, Д. 30/1/2, СТР. 2, ЧЕРДАК №0, КАБИНЕТ 8</t>
  </si>
  <si>
    <t>Курбонов Абдужалол Алимардонович</t>
  </si>
  <si>
    <t>55.744409,37.639374</t>
  </si>
  <si>
    <t>ОБЩЕСТВО С ОГРАНИЧЕННОЙ ОТВЕТСТВЕННОСТЬЮ "АДИКОР"</t>
  </si>
  <si>
    <t>"АДИКОР"</t>
  </si>
  <si>
    <t>7705551240</t>
  </si>
  <si>
    <t>115035, МОСКВА ГОРОД, НАБ. КОСМОДАМИАНСКАЯ, Д. 4/22, К. Б, ЭТ. 1, ПОМ. IX, КОМ 1В</t>
  </si>
  <si>
    <t>Янченко Константин Викторович</t>
  </si>
  <si>
    <t>+7 (919) 722-82-14'</t>
  </si>
  <si>
    <t>adicor@mail.ru'</t>
  </si>
  <si>
    <t>55.776811,37.639887</t>
  </si>
  <si>
    <t>ОБЩЕСТВО С ОГРАНИЧЕННОЙ ОТВЕТСТВЕННОСТЬЮ "МОСПРОМЖБИ"</t>
  </si>
  <si>
    <t>"МОСПРОМЖБИ"</t>
  </si>
  <si>
    <t>7722793337</t>
  </si>
  <si>
    <t>129090, МОСКВА ГОРОД, ПЕР. ГРОХОЛЬСКИЙ, Д. 28, ЭТ 2 ПОМ I КОМ 4-8</t>
  </si>
  <si>
    <t>Лимонов Владислав Владиславович</t>
  </si>
  <si>
    <t>mpjbi@mail.ru'</t>
  </si>
  <si>
    <t>55.769221,37.640704</t>
  </si>
  <si>
    <t>ОБЩЕСТВО С ОГРАНИЧЕННОЙ ОТВЕТСТВЕННОСТЬЮ "Ремстрой"</t>
  </si>
  <si>
    <t>"Ремстрой"</t>
  </si>
  <si>
    <t>7708776121</t>
  </si>
  <si>
    <t>101000, Г.Москва, внутригородская территория города федерального значения МУНИЦИПАЛЬНЫЙ ОКРУГ КРАСНОСЕЛЬСКИЙ, ПЕР УЛАНСКИЙ, Д. 22, СТР. 1, ЭТАЖ 6, КОМ./ОФИС 40/А2Я</t>
  </si>
  <si>
    <t>Марсинкевич Диана Графовна</t>
  </si>
  <si>
    <t>55.739291,37.640839</t>
  </si>
  <si>
    <t>7705545430</t>
  </si>
  <si>
    <t>115035, МОСКВА ГОРОД, УЛ. САДОВНИЧЕСКАЯ, Д. 72, СТР. 1, ОФИС 6</t>
  </si>
  <si>
    <t>Антонов Олег Игоревич</t>
  </si>
  <si>
    <t>nikon700@yandex.ru'</t>
  </si>
  <si>
    <t>ОБЩЕСТВО С ОГРАНИЧЕННОЙ ОТВЕТСТВЕННОСТЬЮ "НОР СТРОЙ"</t>
  </si>
  <si>
    <t>"НОР СТРОЙ"</t>
  </si>
  <si>
    <t>7705978000</t>
  </si>
  <si>
    <t>115035, МОСКВА Г., УЛ. САДОВНИЧЕСКАЯ, Д. 72, СТР. 1, ЭТАЖ/ПОМЕЩЕНИЕ 1/III КОМ./ОФИС 5/К2Ж</t>
  </si>
  <si>
    <t>Хачатрян Арсен Суренович</t>
  </si>
  <si>
    <t>55.758063,37.640991</t>
  </si>
  <si>
    <t>ОБЩЕСТВО С ОГРАНИЧЕННОЙ ОТВЕТСТВЕННОСТЬЮ "ХОУМСТРОЙ"</t>
  </si>
  <si>
    <t>"ХОУМСТРОЙ"</t>
  </si>
  <si>
    <t>7726421308</t>
  </si>
  <si>
    <t>101000, МОСКВА ГОРОД, ПЕР. КОЛПАЧНЫЙ, Д. 6, СТР. 5, Э ПОДВАЛ ПОМ II К 22 ОФ 62</t>
  </si>
  <si>
    <t>Петров Максим Александрович</t>
  </si>
  <si>
    <t>+7 (952) 212-26-61'</t>
  </si>
  <si>
    <t>55.783352,37.641378</t>
  </si>
  <si>
    <t>ОБЩЕСТВО С ОГРАНИЧЕННОЙ ОТВЕТСТВЕННОСТЬЮ "ПЕРИМЕТР"</t>
  </si>
  <si>
    <t>"ПЕРИМЕТР"</t>
  </si>
  <si>
    <t>9702036910</t>
  </si>
  <si>
    <t>129110, МОСКВА Г., УЛ. БОЛЬШАЯ ПЕРЕЯСЛАВСКАЯ, Д. 9, ПОМЕЩ. 5</t>
  </si>
  <si>
    <t>Вычегжанин Борис Александрович</t>
  </si>
  <si>
    <t>BORIS@MY-HOPE'</t>
  </si>
  <si>
    <t>55.805341,37.641962</t>
  </si>
  <si>
    <t>ОБЩЕСТВО С ОГРАНИЧЕННОЙ ОТВЕТСТВЕННОСТЬЮ "ПРОТВИНСКИЙ ЗАВОД МОСТОВЫХ ЖЕЛЕЗОБЕТОННЫХ КОНСТРУКЦИЙ"</t>
  </si>
  <si>
    <t>"ПРОТВИНСКИЙ ЗАВОД МОСТОВЫХ ЖЕЛЕЗОБЕТОННЫХ КОНСТРУКЦИЙ"</t>
  </si>
  <si>
    <t>9717069147</t>
  </si>
  <si>
    <t>129626, МОСКВА ГОРОД, УЛИЦА 3-Я МЫТИЩИНСКАЯ, ДОМ 3, СТРОЕНИЕ 1, ЭТ 7 ПОМ I КОМ 10</t>
  </si>
  <si>
    <t>Стефанов Кирилл Александрович</t>
  </si>
  <si>
    <t>a@bk.ru'</t>
  </si>
  <si>
    <t>55.758681,37.642069</t>
  </si>
  <si>
    <t>ОБЩЕСТВО С ОГРАНИЧЕННОЙ ОТВЕТСТВЕННОСТЬЮ "УПРАВЛЯЮЩАЯ КОМПАНИЯ "СИСТЕМА"</t>
  </si>
  <si>
    <t>"УПРАВЛЯЮЩАЯ КОМПАНИЯ "СИСТЕМА"</t>
  </si>
  <si>
    <t>7709809059</t>
  </si>
  <si>
    <t>101000, МОСКВА ГОРОД, УЛ. ПОКРОВКА, Д.6</t>
  </si>
  <si>
    <t>Свистунов Владимир Николаевич</t>
  </si>
  <si>
    <t>55.768152,37.642159</t>
  </si>
  <si>
    <t>ОБЩЕСТВО С ОГРАНИЧЕННОЙ ОТВЕТСТВЕННОСТЬЮ " МАСТЕРСТРОЙ"</t>
  </si>
  <si>
    <t>" МАСТЕРСТРОЙ"</t>
  </si>
  <si>
    <t>7708216779</t>
  </si>
  <si>
    <t>101000, МОСКВА Г, МЯСНИЦКАЯ УЛ, ДОМ 41, СТРОЕНИЕ 5, ЭТ 4 ПОМ 1 КОМ 1</t>
  </si>
  <si>
    <t>Мартиросян Арутюн Мисакович</t>
  </si>
  <si>
    <t>55.763883,37.642878</t>
  </si>
  <si>
    <t>ОБЩЕСТВО С ОГРАНИЧЕННОЙ ОТВЕТСТВЕННОСТЬЮ "ПАСКАЛЬ"</t>
  </si>
  <si>
    <t>"ПАСКАЛЬ"</t>
  </si>
  <si>
    <t>9701152079</t>
  </si>
  <si>
    <t>101000, МОСКВА ГОРОД, ПЕРЕУЛОК ГУСЯТНИКОВ, ДОМ 13/3, ЭТАЖ 1 ПОМ II КОМ 5</t>
  </si>
  <si>
    <t>Семочкин Вадим Геннадьевич</t>
  </si>
  <si>
    <t>55.730953,37.644019</t>
  </si>
  <si>
    <t>ОБЩЕСТВО С ОГРАНИЧЕННОЙ ОТВЕТСТВЕННОСТЬЮ "ИРБИС-С"</t>
  </si>
  <si>
    <t>"ИРБИС-С"</t>
  </si>
  <si>
    <t>9705148919</t>
  </si>
  <si>
    <t>115054, МОСКВА Г., НАБ. ШЛЮЗОВАЯ, Д. 2А, ЭТАЖ 1 ПОМ/ОФИС VIII/4</t>
  </si>
  <si>
    <t>Никулин Александр Викторович</t>
  </si>
  <si>
    <t>+7 (499) 753-21-10'</t>
  </si>
  <si>
    <t>info@irbis-s'</t>
  </si>
  <si>
    <t>ОБЩЕСТВО С ОГРАНИЧЕННОЙ ОТВЕТСТВЕННОСТЬЮ "ДЕЛЬТА СТРОЙМОНТАЖ"</t>
  </si>
  <si>
    <t>"ДЕЛЬТА СТРОЙМОНТАЖ"</t>
  </si>
  <si>
    <t>9705173182</t>
  </si>
  <si>
    <t>115054, Г.Москва, МУНИЦИПАЛЬНЫЙ ОКРУГ ЗАМОСКВОРЕЧЬЕ, НАБ ШЛЮЗОВАЯ, Д. 2А, КОМ. 2</t>
  </si>
  <si>
    <t>Сакау Амантай Сагындыкович</t>
  </si>
  <si>
    <t>55.727699,37.644333</t>
  </si>
  <si>
    <t>ОБЩЕСТВО С ОГРАНИЧЕННОЙ ОТВЕТСТВЕННОСТЬЮ "РЖБ-М"</t>
  </si>
  <si>
    <t>"РЖБ-М"</t>
  </si>
  <si>
    <t>9703019121</t>
  </si>
  <si>
    <t>115114, Г.Москва, внутригородская территория города федерального значения МУНИЦИПАЛЬНЫЙ ОКРУГ ЗАМОСКВОРЕЧЬЕ, УЛ ЛЕТНИКОВСКАЯ, Д. 4, СТР. 5, ЭТАЖ/ПОМЕЩ./ОФИС МАНСАРДА/5/18</t>
  </si>
  <si>
    <t>Руденко Евгений Викторович</t>
  </si>
  <si>
    <t>55.729858,37.645699</t>
  </si>
  <si>
    <t>ОБЩЕСТВО С ОГРАНИЧЕННОЙ ОТВЕТСТВЕННОСТЬЮ ПРОИЗВОДСТВЕННО-СТРОИТЕЛЬНАЯ КОМПАНИЯ "АРТ-КАМЕНЬ"</t>
  </si>
  <si>
    <t>ПРОИЗВОДСТВЕННО-СТРОИТЕЛЬНАЯ КОМПАНИЯ "АРТ-КАМЕНЬ"</t>
  </si>
  <si>
    <t>7705554441</t>
  </si>
  <si>
    <t>Г МОСКВА,УЛ КОЖЕВНИЧЕСКАЯ, Д 7, КОРП 1,..</t>
  </si>
  <si>
    <t>+7 (495) 235-44-07'</t>
  </si>
  <si>
    <t>55.585581,37.645824</t>
  </si>
  <si>
    <t>ОБЩЕСТВО С ОГРАНИЧЕННОЙ ОТВЕТСТВЕННОСТЬЮ "ЭКОГРАН"</t>
  </si>
  <si>
    <t>"ЭКОГРАН"</t>
  </si>
  <si>
    <t>7724908520</t>
  </si>
  <si>
    <t>117546, МОСКВА Г, МЕДЫНСКАЯ УЛ, ДОМ 12, КОРПУС 1,..</t>
  </si>
  <si>
    <t>Максимов Илья Александрович</t>
  </si>
  <si>
    <t>55.745068,37.647612</t>
  </si>
  <si>
    <t>ОБЩЕСТВО С ОГРАНИЧЕННОЙ ОТВЕТСТВЕННОСТЬЮ "ЭНЕРГОМОНТАЖСТРОЙ"</t>
  </si>
  <si>
    <t>"ЭНЕРГОМОНТАЖСТРОЙ"</t>
  </si>
  <si>
    <t>7705750326</t>
  </si>
  <si>
    <t>109240, МОСКВА ГОРОД, УЛИЦА ВЕРХНЯЯ РАДИЩЕВСКАЯ, 4, СТР.3-4-5, ПОМЕЩ I.КОМ.5А</t>
  </si>
  <si>
    <t>Маслакова Любовь Николаевна</t>
  </si>
  <si>
    <t>+7 (495) 740-36-40'</t>
  </si>
  <si>
    <t>55.820824,37.648663</t>
  </si>
  <si>
    <t>ОБЩЕСТВО С ОГРАНИЧЕННОЙ ОТВЕТСТВЕННОСТЬЮ "КЛЕВЕР"</t>
  </si>
  <si>
    <t>"КЛЕВЕР"</t>
  </si>
  <si>
    <t>7717645823</t>
  </si>
  <si>
    <t>129366, МОСКВА ГОРОД, УЛИЦА КОСМОНАВТОВ, ДОМ 6, ПОМЕЩЕНИЕ I/КОМНАТА 40А</t>
  </si>
  <si>
    <t>Шахбазова Галина Васильевна</t>
  </si>
  <si>
    <t>+7 (495) 617-42-17'</t>
  </si>
  <si>
    <t>55.742423,37.650154</t>
  </si>
  <si>
    <t>ОБЩЕСТВО С ОГРАНИЧЕННОЙ ОТВЕТСТВЕННОСТЬЮ "ЗАВОД НОВЫХ ТЕХНОЛОГИЙ В СТРОИТЕЛЬСТВЕ"</t>
  </si>
  <si>
    <t>"ЗАВОД НОВЫХ ТЕХНОЛОГИЙ В СТРОИТЕЛЬСТВЕ"</t>
  </si>
  <si>
    <t>9705172510</t>
  </si>
  <si>
    <t>115172, Г.Москва, внутригородская территория города федерального значения МУНИЦИПАЛЬНЫЙ ОКРУГ ТАГАНСКИЙ, УЛ ГОНЧАРНАЯ, Д. 27/6, КОМ. 28</t>
  </si>
  <si>
    <t>Пронина Ксения Олеговна</t>
  </si>
  <si>
    <t>55.772482,37.650406</t>
  </si>
  <si>
    <t>ОБЩЕСТВО С ОГРАНИЧЕННОЙ ОТВЕТСТВЕННОСТЬЮ "ЭКОСНАБ-НЧ"</t>
  </si>
  <si>
    <t>"ЭКОСНАБ-НЧ"</t>
  </si>
  <si>
    <t>1650356782</t>
  </si>
  <si>
    <t>107078, Г.Москва, внутригородская территория города федерального значения МУНИЦИПАЛЬНЫЙ ОКРУГ КРАСНОСЕЛЬСКИЙ, ПЕР ОРЛИКОВ, Д. 5, СТР. 1А, ЭТАЖ 1, КОМ. 177</t>
  </si>
  <si>
    <t>Маненков Тимур Вячеславович</t>
  </si>
  <si>
    <t>+7 (917) 854-70-90'</t>
  </si>
  <si>
    <t>55.806889,37.653658</t>
  </si>
  <si>
    <t>ОБЩЕСТВО С ОГРАНИЧЕННОЙ ОТВЕТСТВЕННОСТЬЮ  "СТАРТ-ПРОФИТ"</t>
  </si>
  <si>
    <t xml:space="preserve"> "СТАРТ-ПРОФИТ"</t>
  </si>
  <si>
    <t>9717086520</t>
  </si>
  <si>
    <t>129626, МОСКВА ГОРОД, ПЕРЕУЛОК РИЖСКИЙ 1-Й, ДОМ 2Г, ЭТАЖ 5/ОФ 7</t>
  </si>
  <si>
    <t>Мороз Олег Николаевич</t>
  </si>
  <si>
    <t>55.747794,37.654466</t>
  </si>
  <si>
    <t>АКЦИОНЕРНОЕ ОБЩЕСТВО "ИНЭЛТЕК ПРОИЗВОДСТВЕННО-КОММЕРЧЕСКАЯ КОМПАНИЯ"</t>
  </si>
  <si>
    <t>"ИНЭЛТЕК ПРОИЗВОДСТВЕННО-КОММЕРЧЕСКАЯ КОМПАНИЯ"</t>
  </si>
  <si>
    <t>7709569784</t>
  </si>
  <si>
    <t>Г МОСКВА,ПЕР ЛЫЩИКОВ, Д 5, СТР 1</t>
  </si>
  <si>
    <t>Медведев Егор Витальевич</t>
  </si>
  <si>
    <t>+7 (495) 979-85-85'</t>
  </si>
  <si>
    <t>55.789542,37.656586</t>
  </si>
  <si>
    <t>3702550642</t>
  </si>
  <si>
    <t>37-Ивановская область</t>
  </si>
  <si>
    <t>107113, МОСКВА ГОРОД, УЛ. 2-Я РЫБИНСКАЯ, Д. 13, КОМ. 24А</t>
  </si>
  <si>
    <t>Завожина Алена Владимировна</t>
  </si>
  <si>
    <t>+7 (915) 377-70-05'</t>
  </si>
  <si>
    <t>55.668153,37.657341</t>
  </si>
  <si>
    <t>ОБЩЕСТВО С ОГРАНИЧЕННОЙ ОТВЕТСТВЕННОСТЬЮ "ЦЕНТР АРХИТЕКТУРНЫХ РЕШЕНИЙ "ЗИМА"</t>
  </si>
  <si>
    <t>"ЦЕНТР АРХИТЕКТУРНЫХ РЕШЕНИЙ "ЗИМА"</t>
  </si>
  <si>
    <t>7725804442</t>
  </si>
  <si>
    <t>115487, МОСКВА Г, КОЛОМЕНСКИЙ ПР, ДОМ 25, КОРПУС 1,..</t>
  </si>
  <si>
    <t>Макрушина Оксана Сергеевна</t>
  </si>
  <si>
    <t>+7 (903) 184-45-46'</t>
  </si>
  <si>
    <t>55.767261,37.659578</t>
  </si>
  <si>
    <t>ОБЩЕСТВО С ОГРАНИЧЕННОЙ ОТВЕТСТВЕННОСТЬЮ "ШАРК"</t>
  </si>
  <si>
    <t>"ШАРК"</t>
  </si>
  <si>
    <t>7722489506</t>
  </si>
  <si>
    <t>111250, МОСКВА ГОРОД, УЛИЦА ЛЕФОРТОВСКИЙ ВАЛ, ДОМ 24, Э ПОДВАЛ ПОМ IV К 5 ОФ 92</t>
  </si>
  <si>
    <t>Яковенко Владимир Николаевич</t>
  </si>
  <si>
    <t>+7 (926) 341-99-64'</t>
  </si>
  <si>
    <t>55.596183,37.661644</t>
  </si>
  <si>
    <t>ОБЩЕСТВО С ОГРАНИЧЕННОЙ ОТВЕТСТВЕННОСТЬЮ "ДЖЕМСТОУН"</t>
  </si>
  <si>
    <t>"ДЖЕМСТОУН"</t>
  </si>
  <si>
    <t>7724341946</t>
  </si>
  <si>
    <t>115404, МОСКВА ГОРОД, УЛИЦА БИРЮЛЁВСКАЯ, ДОМ 24, КОРПУС 1, Э 1 ПОМ 3 К 6 ОФ 11</t>
  </si>
  <si>
    <t>Молчанов Артем Викторович</t>
  </si>
  <si>
    <t>+7 (915) 010-32-45'</t>
  </si>
  <si>
    <t>55.63536,37.661832</t>
  </si>
  <si>
    <t>ОБЩЕСТВО С ОГРАНИЧЕННОЙ ОТВЕТСТВЕННОСТЬЮ "БЕСТФЕНС"</t>
  </si>
  <si>
    <t>"БЕСТФЕНС"</t>
  </si>
  <si>
    <t>7724429608</t>
  </si>
  <si>
    <t>115477, МОСКВА Г, КАНТЕМИРОВСКАЯ УЛ, ДОМ 33, КОРПУС 2,..</t>
  </si>
  <si>
    <t>Кобиашвили Энрико Гурамиевич</t>
  </si>
  <si>
    <t>+7 (926) 227-69-40'</t>
  </si>
  <si>
    <t>55.712634,37.66185</t>
  </si>
  <si>
    <t>ОБЩЕСТВО С ОГРАНИЧЕННОЙ ОТВЕТСТВЕННОСТЬЮ "ТОРКРЕТ"</t>
  </si>
  <si>
    <t>"ТОРКРЕТ"</t>
  </si>
  <si>
    <t>7716950937</t>
  </si>
  <si>
    <t>129347, МОСКВА ГОРОД, УЛИЦА ПАЛЕХСКАЯ, ДОМ 131, Э/ПОМ/К/ОФ 1/I/9/172</t>
  </si>
  <si>
    <t>Белов Андрей Андреевич</t>
  </si>
  <si>
    <t>ОБЩЕСТВО С ОГРАНИЧЕННОЙ ОТВЕТСТВЕННОСТЬЮ ТОРГОВЫЙ ДОМ "ГЕОПРОМ"</t>
  </si>
  <si>
    <t>"ГЕОПРОМ"</t>
  </si>
  <si>
    <t>7743340930</t>
  </si>
  <si>
    <t>125581, МОСКВА ГОРОД, УЛ. ФЛОТСКАЯ, Д. 7, ЭТ/ПОМ/К/О 28/860/5/4О</t>
  </si>
  <si>
    <t>Королев Александр</t>
  </si>
  <si>
    <t>ОБЩЕСТВО С ОГРАНИЧЕННОЙ ОТВЕТСТВЕННОСТЬЮ "РУСПЛИТ"</t>
  </si>
  <si>
    <t>"РУСПЛИТ"</t>
  </si>
  <si>
    <t>7751143781</t>
  </si>
  <si>
    <t>127238, МОСКВА ГОРОД, Ш. ДМИТРОВСКОЕ, Д. 71Б, Э/К/ОФ 2/21/3В</t>
  </si>
  <si>
    <t>Петросян Кристина Дживановна</t>
  </si>
  <si>
    <t>55.781696,37.663072</t>
  </si>
  <si>
    <t>ОБЩЕСТВО С ОГРАНИЧЕННОЙ ОТВЕТСТВЕННОСТЬЮ "РЕЦИКЛ МАТЕРИАЛОВ"</t>
  </si>
  <si>
    <t>"РЕЦИКЛ МАТЕРИАЛОВ"</t>
  </si>
  <si>
    <t>7708329349</t>
  </si>
  <si>
    <t>107140, Г.Москва, внутригородская территория города федерального значения МУНИЦИПАЛЬНЫЙ ОКРУГ КРАСНОСЕЛЬСКИЙ, ПЕР 1-Й КРАСНОСЕЛЬСКИЙ, Д. 3, ПОДВ./ПОМЕЩ. 1/1, КОМ./ОФИС 75/3</t>
  </si>
  <si>
    <t>Клименко Татьяна Витальевна</t>
  </si>
  <si>
    <t>+7 (967) 081-41-39'</t>
  </si>
  <si>
    <t>55.735226,37.663279</t>
  </si>
  <si>
    <t>ОБЩЕСТВО С ОГРАНИЧЕННОЙ ОТВЕТСТВЕННОСТЬЮ "ПК СТРОЙМОНОЛИТ"</t>
  </si>
  <si>
    <t>"ПК СТРОЙМОНОЛИТ"</t>
  </si>
  <si>
    <t>9709051080</t>
  </si>
  <si>
    <t>109147, Г.Москва, внутригородская территория города федерального значения МУНИЦИПАЛЬНЫЙ ОКРУГ ТАГАНСКИЙ, УЛ МАРКСИСТСКАЯ, Д. 34, К. 4, ПОМЕЩ. 1 Ч ПОДВАЛ ПОД ДВОР, КОМ. 4</t>
  </si>
  <si>
    <t>Игревский Александр Валерьевич</t>
  </si>
  <si>
    <t>55.606416,37.665686</t>
  </si>
  <si>
    <t>ОБЩЕСТВО С ОГРАНИЧЕННОЙ ОТВЕТСТВЕННОСТЬЮ "МЕЛКУП"</t>
  </si>
  <si>
    <t>"МЕЛКУП"</t>
  </si>
  <si>
    <t>9724007342</t>
  </si>
  <si>
    <t>115404, МОСКВА ГОРОД, УЛИЦА РАДИАЛЬНАЯ 6-Я, ДОМ 3, КОРПУС 2, Э 1 ПОМ XVII К 3 ОФ 3-3</t>
  </si>
  <si>
    <t>Мельников Андрей Владимирович</t>
  </si>
  <si>
    <t>55.604127,37.665839</t>
  </si>
  <si>
    <t>ОБЩЕСТВО С ОГРАНИЧЕННОЙ ОТВЕТСТВЕННОСТЬЮ "ИНК"</t>
  </si>
  <si>
    <t>"ИНК"</t>
  </si>
  <si>
    <t>9724009766</t>
  </si>
  <si>
    <t>115404, МОСКВА ГОРОД, УЛИЦА РАДИАЛЬНАЯ 6-Я, ДОМ 3, КОРПУС 10, Э 1 ПОМ VI К 3 ОФ 2-3</t>
  </si>
  <si>
    <t>Кошурников Илья Андреевич</t>
  </si>
  <si>
    <t>55.764658,37.668408</t>
  </si>
  <si>
    <t>ОБЩЕСТВО С ОГРАНИЧЕННОЙ ОТВЕТСТВЕННОСТЬЮ "ЮПИТЕР-ПЛЮС"</t>
  </si>
  <si>
    <t>"ЮПИТЕР-ПЛЮС"</t>
  </si>
  <si>
    <t>9701213500</t>
  </si>
  <si>
    <t>105064, Г.Москва, МУНИЦИПАЛЬНЫЙ ОКРУГ БАСМАННЫЙ, ПЕР ГОРОХОВСКИЙ, Д. 14,СТР. 2, КОМ. 13Б</t>
  </si>
  <si>
    <t>Кучерявый Михаил Константинович</t>
  </si>
  <si>
    <t>55.597129,37.668552</t>
  </si>
  <si>
    <t>ОБЩЕСТВО С ОГРАНИЧЕННОЙ ОТВЕТСТВЕННОСТЬЮ "ПРОЕКТФИНСТРОЙ"</t>
  </si>
  <si>
    <t>"ПРОЕКТФИНСТРОЙ"</t>
  </si>
  <si>
    <t>7736223619</t>
  </si>
  <si>
    <t>115404, Г.Москва, внутригородская территория города федерального значения МУНИЦИПАЛЬНЫЙ ОКРУГ БИРЮЛЕВО ВОСТОЧНОЕ, УЛ БИРЮЛЁВСКАЯ, Д. 13, К. 3,..</t>
  </si>
  <si>
    <t>Козлова Наталья Валентиновна</t>
  </si>
  <si>
    <t>+7 (495) 739-13-84'</t>
  </si>
  <si>
    <t>NKLIMOVCK@GMAIL.COM'</t>
  </si>
  <si>
    <t>55.783033,37.668633</t>
  </si>
  <si>
    <t>7708393062</t>
  </si>
  <si>
    <t>107140, Г.Москва, внутригородская территория города федерального значения МУНИЦИПАЛЬНЫЙ ОКРУГ КРАСНОСЕЛЬСКИЙ, ПЕР 1-Й КРАСНОСЕЛЬСКИЙ, Д. 3, ЭТ. ПОДВ. 1 ПОМ. I, КОМ 17 ОФИС 336</t>
  </si>
  <si>
    <t>Потапов Павел Андреевич</t>
  </si>
  <si>
    <t>9647719648@mail.ru'</t>
  </si>
  <si>
    <t>55.783245,37.668884</t>
  </si>
  <si>
    <t>ОБЩЕСТВО С ОГРАНИЧЕННОЙ ОТВЕТСТВЕННОСТЬЮ "ЭРГОБЕТОН"</t>
  </si>
  <si>
    <t>"ЭРГОБЕТОН"</t>
  </si>
  <si>
    <t>7708321477</t>
  </si>
  <si>
    <t>107140, МОСКВА ГОРОД, ПЕР. 1-Й КРАСНОСЕЛЬСКИЙ, Д. 3, ПОДВ. 1 ПОМ.I КОМ.79(РМ9)</t>
  </si>
  <si>
    <t>Магдалянов Автандил Александрович</t>
  </si>
  <si>
    <t>Ergobeton2017@mail.ru'</t>
  </si>
  <si>
    <t>55.766572,37.671238</t>
  </si>
  <si>
    <t>ОБЩЕСТВО С ОГРАНИЧЕННОЙ ОТВЕТСТВЕННОСТЬЮ "ЖБИ СК"</t>
  </si>
  <si>
    <t>"ЖБИ СК"</t>
  </si>
  <si>
    <t>7709484820</t>
  </si>
  <si>
    <t>109028, Г.Москва, внутригородская территория города федерального значения МУНИЦИПАЛЬНЫЙ ОКРУГ БАСМАННЫЙ, ПЕР ХОХЛОВСКИЙ, Д. 15, ЭТАЖ/ПОМЕЩ. 0/I, КОМ./ОФИС 1/22</t>
  </si>
  <si>
    <t>+7 (916) 797-19-81'</t>
  </si>
  <si>
    <t>55.872572,37.672046</t>
  </si>
  <si>
    <t>ОБЩЕСТВО С ОГРАНИЧЕННОЙ ОТВЕТСТВЕННОСТЬЮ "Маруся"</t>
  </si>
  <si>
    <t>"Маруся"</t>
  </si>
  <si>
    <t>7716673673</t>
  </si>
  <si>
    <t>129281, г Москва, ул Летчика Бабушкина, д 33, корп 5,..</t>
  </si>
  <si>
    <t>Ставицкая Марина Михайловна</t>
  </si>
  <si>
    <t>55.775925,37.67307</t>
  </si>
  <si>
    <t>ОБЩЕСТВО С ОГРАНИЧЕННОЙ ОТВЕТСТВЕННОСТЬЮ "ЖБК-1"</t>
  </si>
  <si>
    <t>"ЖБК-1"</t>
  </si>
  <si>
    <t>9701157292</t>
  </si>
  <si>
    <t>105066, МОСКВА ГОРОД, УЛИЦА КРАСНОСЕЛЬСКАЯ НИЖН., ДОМ 35, СТРОЕНИЕ 5, ЭТ ЦОКОЛЬ П I К 5 ОФ 1</t>
  </si>
  <si>
    <t>55.624734,37.675873</t>
  </si>
  <si>
    <t>ОБЩЕСТВО С ОГРАНИЧЕННОЙ ОТВЕТСТВЕННОСТЬЮ "АМ КОНТРАКТ"</t>
  </si>
  <si>
    <t>"АМ КОНТРАКТ"</t>
  </si>
  <si>
    <t>7724466215</t>
  </si>
  <si>
    <t>115304, МОСКВА ГОРОД, УЛИЦА КАСПИЙСКАЯ, ДОМ 22, КОРП 1 СТР 5, Э 4 ПОМ VIII К 13 ОФ 31</t>
  </si>
  <si>
    <t>Мищенко Алексей Андреевич</t>
  </si>
  <si>
    <t>ОБЩЕСТВО С ОГРАНИЧЕННОЙ ОТВЕТСТВЕННОСТЬЮ "КАПИТАЛ"</t>
  </si>
  <si>
    <t>"КАПИТАЛ"</t>
  </si>
  <si>
    <t>9724012952</t>
  </si>
  <si>
    <t>115304, МОСКВА ГОРОД, УЛ. КАСПИЙСКАЯ, Д. 22, К. 1 СТР 5, Э 5 ПОМ IX К 17А ОФ 103</t>
  </si>
  <si>
    <t>Никитин Роман Викторович</t>
  </si>
  <si>
    <t>ОБЩЕСТВО С ОГРАНИЧЕННОЙ ОТВЕТСТВЕННОСТЬЮ «БЕТОННАЯ ПРОИЗВОДСТВЕННАЯ КОМПАНИЯ «ПОБЕДА»</t>
  </si>
  <si>
    <t>«БЕТОННАЯ ПРОИЗВОДСТВЕННАЯ КОМПАНИЯ «ПОБЕДА»</t>
  </si>
  <si>
    <t>9724073031</t>
  </si>
  <si>
    <t>115304, Г.Москва, внутригородская территория города федерального значения МУНИЦИПАЛЬНЫЙ ОКРУГ ЦАРИЦЫНО, УЛ КАСПИЙСКАЯ, Д. 22, К. 1, СТР. 5, ПОМЕЩ. IX, КОМ 17А ОФИС 232</t>
  </si>
  <si>
    <t>Баранов Егор Алексеевич</t>
  </si>
  <si>
    <t>55.776537,37.676053</t>
  </si>
  <si>
    <t>ОБЩЕСТВО С ОГРАНИЧЕННОЙ ОТВЕТСТВЕННОСТЬЮ "КОМПАНИЯ СТРОЙТЕК Н"</t>
  </si>
  <si>
    <t>"КОМПАНИЯ СТРОЙТЕК Н"</t>
  </si>
  <si>
    <t>7701712400</t>
  </si>
  <si>
    <t>105005, МОСКВА Г., УЛ. БАУМАНСКАЯ, Д. 7, СТР. 1, ЭТАЖ/ПОМЕЩ. АНТРЕСОЛЬ 2/I КОМ./ОФИС 17/34</t>
  </si>
  <si>
    <t>Александрова Нина Григорьевна</t>
  </si>
  <si>
    <t>+7 (495) 912-91-96'</t>
  </si>
  <si>
    <t>55.486489,37.676475</t>
  </si>
  <si>
    <t>Общество с ограниченной ответственностью "СТБ ГРУПП"</t>
  </si>
  <si>
    <t>"СТБ ГРУПП"</t>
  </si>
  <si>
    <t>5074054225</t>
  </si>
  <si>
    <t>142152, МОСКОВСКАЯ ОБЛАСТЬ, ГОРОДСКОЙ ОКРУГ ПОДОЛЬСК, ДЕРЕВНЯ МАЛОЕ БРЯНЦЕВО, ДОМ ВБЛИЗИ ДЕР.М.БРЯНЦЕВО, КОРПУС КОРМОЦЕХ</t>
  </si>
  <si>
    <t>Гавриш Роман Геннадиевич</t>
  </si>
  <si>
    <t>+7 (926) 715-73-83'</t>
  </si>
  <si>
    <t>55.864182,37.677041</t>
  </si>
  <si>
    <t>ОБЩЕСТВО С ОГРАНИЧЕННОЙ ОТВЕТСТВЕННОСТЬЮ "ДЕЙМОН ГРАНД"</t>
  </si>
  <si>
    <t>"ДЕЙМОН ГРАНД"</t>
  </si>
  <si>
    <t>7716805016</t>
  </si>
  <si>
    <t>129327, МОСКВА ГОРОД, УЛ. КОМИНТЕРНА, Д. 7, К. 2, ЭТ 2 ПОМ I КОМ 7</t>
  </si>
  <si>
    <t>Гилева Оксана Владимировна</t>
  </si>
  <si>
    <t>+7 (905) 777-77-58'</t>
  </si>
  <si>
    <t>p7408666@ro.ru'</t>
  </si>
  <si>
    <t>55.76719,37.679125</t>
  </si>
  <si>
    <t>ОБЩЕСТВО С ОГРАНИЧЕННОЙ ОТВЕТСТВЕННОСТЬЮ "РАТОНГ"</t>
  </si>
  <si>
    <t>"РАТОНГ"</t>
  </si>
  <si>
    <t>9701206503</t>
  </si>
  <si>
    <t>105005, Г.Москва, внутригородская территория города федерального значения МУНИЦИПАЛЬНЫЙ ОКРУГ БАСМАННЫЙ, УЛ БАУМАНСКАЯ, Д. 58/25, СТР. 10,</t>
  </si>
  <si>
    <t>Дворянкин Максим Валерьевич</t>
  </si>
  <si>
    <t>51.282765,37.680104</t>
  </si>
  <si>
    <t>ОБЩЕСТВО С ОГРАНИЧЕННОЙ ОТВЕТСТВЕННОСТЬЮ "Комбинат строительных материалов"</t>
  </si>
  <si>
    <t>"Комбинат строительных материалов"</t>
  </si>
  <si>
    <t>3128077281</t>
  </si>
  <si>
    <t>309500, БЕЛГОРОДСКАЯ ОБЛАСТЬ, Г. СТАРЫЙ ОСКОЛ, ПРОМЗОНА ПРОМПЛОЩАДКА СИЛИКАТНАЯ, СТРОЕНИЕ 2</t>
  </si>
  <si>
    <t>Селищев Анатолий Юрьевич</t>
  </si>
  <si>
    <t>55.708181,37.681649</t>
  </si>
  <si>
    <t>ОБЩЕСТВО С ОГРАНИЧЕННОЙ ОТВЕТСТВЕННОСТЬЮ ПРОИЗВОДСТВЕННО-КОММЕРЧЕСКАЯ ФИРМА "СТРОЙЛОГИСТИКА"</t>
  </si>
  <si>
    <t>ПРОИЗВОДСТВЕННО-КОММЕРЧЕСКАЯ ФИРМА "СТРОЙЛОГИСТИКА"</t>
  </si>
  <si>
    <t>7723928869</t>
  </si>
  <si>
    <t>115193, МОСКВА ГОРОД, УЛИЦА ПЕТРА РОМАНОВА, ДОМ 7, СТРОЕНИЕ 1, ЭТАЖ 5, КОМН. 9</t>
  </si>
  <si>
    <t>Бондарев Александр Анатольевич</t>
  </si>
  <si>
    <t>+7 (495) 189-61-66'</t>
  </si>
  <si>
    <t>ОБЩЕСТВО С ОГРАНИЧЕННОЙ ОТВЕТСТВЕННОСТЬЮ "КС-СТРОЙ-М"</t>
  </si>
  <si>
    <t>"КС-СТРОЙ-М"</t>
  </si>
  <si>
    <t>9723098964</t>
  </si>
  <si>
    <t>115193, МОСКВА ГОРОД, УЛИЦА ПЕТРА РОМАНОВА, ДОМ 7, СТРОЕНИЕ 1, Э 5 ПОМ I К 9 ОФ А6Ф</t>
  </si>
  <si>
    <t>Семенова Татьяна Викторовна</t>
  </si>
  <si>
    <t>9723113468</t>
  </si>
  <si>
    <t>115193, МОСКВА Г., УЛ. ПЕТРА РОМАНОВА, Д. 7, СТР. 1, ПОМЕЩ. 1 КОМ. 9 ОФИС Б6Е</t>
  </si>
  <si>
    <t>Семенов Сергей Алексеевич</t>
  </si>
  <si>
    <t>ОБЩЕСТВО С ОГРАНИЧЕННОЙ ОТВЕТСТВЕННОСТЬЮ "РАССВЕТ"</t>
  </si>
  <si>
    <t>"РАССВЕТ"</t>
  </si>
  <si>
    <t>9723116099</t>
  </si>
  <si>
    <t>115193, МОСКВА Г., УЛ. ПЕТРА РОМАНОВА, Д. 7, СТР. 1, ЭТАЖ/ПОМЕЩ 5/1 КОМ./ОФИС 9/Б7К</t>
  </si>
  <si>
    <t>Семенов Вячеслав Александрович</t>
  </si>
  <si>
    <t>99@YANDEX.RU'</t>
  </si>
  <si>
    <t>55.792868,37.682727</t>
  </si>
  <si>
    <t>ОБЩЕСТВО С ОГРАНИЧЕННОЙ ОТВЕТСТВЕННОСТЬЮ "ДЕКАСТОУН"</t>
  </si>
  <si>
    <t>"ДЕКАСТОУН"</t>
  </si>
  <si>
    <t>9718141004</t>
  </si>
  <si>
    <t>107014, МОСКВА ГОРОД, УЛИЦА ЕГЕРСКАЯ, ДОМ 1, ЭТ 1 П IIIА К 5 ОФ 86</t>
  </si>
  <si>
    <t>Егорова Ольга Краснославовна</t>
  </si>
  <si>
    <t>EGOROVAOK1@MAIL.RU'</t>
  </si>
  <si>
    <t>55.717594,37.68791</t>
  </si>
  <si>
    <t>ОБЩЕСТВО С ОГРАНИЧЕННОЙ ОТВЕТСТВЕННОСТЬЮ ГК "ОЗЖБИ"</t>
  </si>
  <si>
    <t>ГК "ОЗЖБИ"</t>
  </si>
  <si>
    <t>7722466756</t>
  </si>
  <si>
    <t>115088, МОСКВА ГОРОД, УЛ. 2-Я МАШИНОСТРОЕНИЯ, Д. 25, СТР. 5, ЭТ 3 ПОМ I КОМ 33</t>
  </si>
  <si>
    <t>Кусков Виктор Игоревич</t>
  </si>
  <si>
    <t>+7 (963) 659-53-53'</t>
  </si>
  <si>
    <t>ОБЩЕСТВО С ОГРАНИЧЕННОЙ ОТВЕТСТВЕННОСТЬЮ "ПРОИЗВОДСТВЕННОЕ ОБЪЕДИНЕНИЕ "ОЗЖБИ"</t>
  </si>
  <si>
    <t>"ПРОИЗВОДСТВЕННОЕ ОБЪЕДИНЕНИЕ "ОЗЖБИ"</t>
  </si>
  <si>
    <t>9722008615</t>
  </si>
  <si>
    <t>115088, МОСКВА Г., УЛ. 2-Я МАШИНОСТРОЕНИЯ, Д. 25, СТР. 5, ЭТАЖ 3 ПОМЕЩ. I КОМНАТА 34</t>
  </si>
  <si>
    <t>Народецкий Иван Сергеевич</t>
  </si>
  <si>
    <t>55.723896,37.688566</t>
  </si>
  <si>
    <t>ОБЩЕСТВО С ОГРАНИЧЕННОЙ ОТВЕТСТВЕННОСТЬЮ "Бизнес Легион"</t>
  </si>
  <si>
    <t>"Бизнес Легион"</t>
  </si>
  <si>
    <t>7723791276</t>
  </si>
  <si>
    <t>109316, МОСКВА Г., ПР-КТ ВОЛГОГРАДСКИЙ, Д. 32, К. 8, ЭТ/ПОМ/КОМ 1/XII/1</t>
  </si>
  <si>
    <t>Авакян Карен Варданович</t>
  </si>
  <si>
    <t>+7 (903) 006-55-37'</t>
  </si>
  <si>
    <t>55.707816,37.688584</t>
  </si>
  <si>
    <t>ОБЩЕСТВО С ОГРАНИЧЕННОЙ ОТВЕТСТВЕННОСТЬЮ "НОРДАС"</t>
  </si>
  <si>
    <t>"НОРДАС"</t>
  </si>
  <si>
    <t>9723110040</t>
  </si>
  <si>
    <t>115088, Г.Москва, внутригородская территория города федерального значения МУНИЦИПАЛЬНЫЙ ОКРУГ ПЕЧАТНИКИ, УЛ ЮЖНОПОРТОВАЯ, Д. 5А, СТР. 1, ЭТАЖ 2, ПОМЕЩ. 232</t>
  </si>
  <si>
    <t>Дробышев Антон Сергеевич</t>
  </si>
  <si>
    <t>55.772046,37.689285</t>
  </si>
  <si>
    <t>ОБЩЕСТВО С ОГРАНИЧЕННОЙ ОТВЕТСТВЕННОСТЬЮ "ГРУППА КОМПАНИЙ "СТРАТЕГИЯ И ПАРИТЕТ"</t>
  </si>
  <si>
    <t>"ГРУППА КОМПАНИЙ "СТРАТЕГИЯ И ПАРИТЕТ"</t>
  </si>
  <si>
    <t>7735514943</t>
  </si>
  <si>
    <t>105082, Г.Москва, внутригородская территория города федерального значения МУНИЦИПАЛЬНЫЙ ОКРУГ БАСМАННЫЙ, ПЕР БАЛАКИРЕВСКИЙ, Д. 23, ЭТАЖ/ПОМЕЩ. 3/309, КОМ./ОФИС 1/79</t>
  </si>
  <si>
    <t>Раджапбаев Мухиддин Маматсалий Угли</t>
  </si>
  <si>
    <t>+7 (499) 736-32-80'</t>
  </si>
  <si>
    <t>55.881273,37.694199</t>
  </si>
  <si>
    <t>ОБЩЕСТВО С ОГРАНИЧЕННОЙ ОТВЕТСТВЕННОСТЬЮ "ИВПАЛПРОМ"</t>
  </si>
  <si>
    <t>"ИВПАЛПРОМ"</t>
  </si>
  <si>
    <t>7716963439</t>
  </si>
  <si>
    <t>129345, Г.Москва, внутригородская территория города федерального значения МУНИЦИПАЛЬНЫЙ ОКРУГ ЛОСИНООСТРОВСКИЙ, УЛ ТАЙНИНСКАЯ, Д. 26, Э/ПОМ/К/ОФ 1/I/2-3/39</t>
  </si>
  <si>
    <t>Самонов Иван Сергеевич</t>
  </si>
  <si>
    <t>55.680686,37.696292</t>
  </si>
  <si>
    <t>ОБЩЕСТВО С ОГРАНИЧЕННОЙ ОТВЕТСТВЕННОСТЬЮ "БРИЗ"</t>
  </si>
  <si>
    <t>"БРИЗ"</t>
  </si>
  <si>
    <t>9725056215</t>
  </si>
  <si>
    <t>115142, МОСКВА Г., УЛ. КОЛОМЕНСКАЯ, Д. 12, К. 1, ЭТАЖ/ПОМЕЩ. 1/XVIII ОФИС 3А</t>
  </si>
  <si>
    <t>Емелин Иван Николаевич</t>
  </si>
  <si>
    <t>55.776618,37.699975</t>
  </si>
  <si>
    <t>7701813960</t>
  </si>
  <si>
    <t>105082, МОСКВА ГОРОД, НАБ. РУБЦОВСКАЯ, Д. 3, СТР. 1, Э 1 ПОМ I К 31 ОФ 33</t>
  </si>
  <si>
    <t>Шантин Дмитрий Иннокентьевич</t>
  </si>
  <si>
    <t>+7 (495) 544-87-14', '+7 (925) 884-88-30'</t>
  </si>
  <si>
    <t>55.78856,37.700667</t>
  </si>
  <si>
    <t>ОБЩЕСТВО С ОГРАНИЧЕННОЙ ОТВЕТСТВЕННОСТЬЮ "ХАРДКЕЯ"</t>
  </si>
  <si>
    <t>"ХАРДКЕЯ"</t>
  </si>
  <si>
    <t>9718125066</t>
  </si>
  <si>
    <t>107023, МОСКВА ГОРОД, УЛ. ЭЛЕКТРОЗАВОДСКАЯ, Д. 21, СТР. 8, ЭТ 1 ПОМ I К 1</t>
  </si>
  <si>
    <t>Афонин Александр Дмитриевич</t>
  </si>
  <si>
    <t>44.778514,37.701403</t>
  </si>
  <si>
    <t>ОБЩЕСТВО С ОГРАНИЧЕННОЙ ОТВЕТСТВЕННОСТЬЮ "ПАРАЛЛЕЛЬ-95"</t>
  </si>
  <si>
    <t>"ПАРАЛЛЕЛЬ-95"</t>
  </si>
  <si>
    <t>2315226372</t>
  </si>
  <si>
    <t>353991, Краснодарский край, ГОРОД НОВОРОССИЙСК, С ГАЙДУК, УЛ ОЗЕРНАЯ, Д. 19</t>
  </si>
  <si>
    <t>Бирюков Николай Евгеньевич</t>
  </si>
  <si>
    <t>54.148359,37.701834</t>
  </si>
  <si>
    <t>ОБЩЕСТВО С ОГРАНИЧЕННОЙ ОТВЕТСТВЕННОСТЬЮ "ТУЛЬСКИЙ ЗАВОД ГАЗОБЕТОННЫХ ИЗДЕЛИЙ"</t>
  </si>
  <si>
    <t>"ТУЛЬСКИЙ ЗАВОД ГАЗОБЕТОННЫХ ИЗДЕЛИЙ"</t>
  </si>
  <si>
    <t>7105048500</t>
  </si>
  <si>
    <t>300016, ТУЛЬСКАЯ ОБЛ, ТУЛА Г, ПРЖЕВАЛЬСКОГО УЛ, ДОМ 12, ОФИС 9</t>
  </si>
  <si>
    <t>Линьков Сергей Владимирович</t>
  </si>
  <si>
    <t>44.767656,37.702373</t>
  </si>
  <si>
    <t>ОБЩЕСТВО С ОГРАНИЧЕННОЙ ОТВЕТСТВЕННОСТЬЮ "ПЛИТКА-Т"</t>
  </si>
  <si>
    <t>"ПЛИТКА-Т"</t>
  </si>
  <si>
    <t>2315218276</t>
  </si>
  <si>
    <t>353960, КРАСНОДАРСКИЙ КРАЙ, ГОРОД НОВОРОССИЙСК, СЕЛО ЦЕМДОЛИНА, УЛИЦА АТАМАНСКАЯ, ДОМ 27</t>
  </si>
  <si>
    <t>Ищенко Анатолий Григорьевич</t>
  </si>
  <si>
    <t>55.616173,37.703038</t>
  </si>
  <si>
    <t>ОБЩЕСТВО С ОГРАНИЧЕННОЙ ОТВЕТСТВЕННОСТЬЮ "СТРОЙМОНТАЖПОСТАВКА"</t>
  </si>
  <si>
    <t>"СТРОЙМОНТАЖПОСТАВКА"</t>
  </si>
  <si>
    <t>9724068480</t>
  </si>
  <si>
    <t>115569, Г.Москва, МУНИЦИПАЛЬНЫЙ ОКРУГ ОРЕХОВО-БОРИСОВО СЕВЕРНОЕ, УЛ ДОМОДЕДОВСКАЯ, Д. 4, ОФИС 5-6</t>
  </si>
  <si>
    <t>Сапрыкин Александр Владимирович</t>
  </si>
  <si>
    <t>55.561915,37.704439</t>
  </si>
  <si>
    <t>ОБЩЕСТВО С ОГРАНИЧЕННОЙ ОТВЕТСТВЕННОСТЬЮ "РУССКИЙ ФАСАДЪ"</t>
  </si>
  <si>
    <t>"РУССКИЙ ФАСАДЪ"</t>
  </si>
  <si>
    <t>5003150910</t>
  </si>
  <si>
    <t>142703, Московская область, городской округ ЛЕНИНСКИЙ, Город ВИДНОЕ, Б-Р ЗЕЛЕНЫЕ АЛЛЕИ, Д. 12,..</t>
  </si>
  <si>
    <t>Бокарев Александр Анатольевич</t>
  </si>
  <si>
    <t>BGC@GC-GAMMA'</t>
  </si>
  <si>
    <t>55.661714,37.704772</t>
  </si>
  <si>
    <t>ОБЩЕСТВО С ОГРАНИЧЕННОЙ ОТВЕТСТВЕННОСТЬЮ ПО "ТРЕСТ ЖБИ"</t>
  </si>
  <si>
    <t>ПО "ТРЕСТ ЖБИ"</t>
  </si>
  <si>
    <t>9723091630</t>
  </si>
  <si>
    <t>109383, МОСКВА ГОРОД, ПРОЕЗД БАТЮНИНСКИЙ, ДОМ 11, СТРОЕНИЕ 1, ЭТ 2 ПОМ 3,4</t>
  </si>
  <si>
    <t>Зароченцев Александр Николаевич</t>
  </si>
  <si>
    <t>54.180167,37.704996</t>
  </si>
  <si>
    <t>ОБЩЕСТВО С ОГРАНИЧЕННОЙ ОТВЕТСТВЕННОСТЬЮ "Каменный век"</t>
  </si>
  <si>
    <t>"Каменный век"</t>
  </si>
  <si>
    <t>7103514650</t>
  </si>
  <si>
    <t>300016, ТУЛЬСКАЯ ОБЛАСТЬ, ГОРОД ТУЛА, УЛИЦА МЕТАЛЛУРГОВ, ДОМ 5,..</t>
  </si>
  <si>
    <t>Кащеева Инна Степановна</t>
  </si>
  <si>
    <t>+7 (953) 953-53-19', '+7 (960) 595-65-85'</t>
  </si>
  <si>
    <t>55.637205,37.706254</t>
  </si>
  <si>
    <t>ОБЩЕСТВО С ОГРАНИЧЕННОЙ ОТВЕТСТВЕННОСТЬЮ "ГРУППА КОМПАНИЙ СТРОЙ АЛЬЯНС"</t>
  </si>
  <si>
    <t>"ГРУППА КОМПАНИЙ СТРОЙ АЛЬЯНС"</t>
  </si>
  <si>
    <t>9723062171</t>
  </si>
  <si>
    <t>109559, МОСКВА ГОРОД, УЛИЦА ЦИМЛЯНСКАЯ, ДОМ 14, ЭТ 1 ПОМ V ОФ1РМ1/3</t>
  </si>
  <si>
    <t>Читалов Лаврентий Владимирович</t>
  </si>
  <si>
    <t>LAVR7203434@MAIL.RU'</t>
  </si>
  <si>
    <t>ОБЩЕСТВО С ОГРАНИЧЕННОЙ ОТВЕТСТВЕННОСТЬЮ "ИНЖПРОМ"</t>
  </si>
  <si>
    <t>"ИНЖПРОМ"</t>
  </si>
  <si>
    <t>9724012695</t>
  </si>
  <si>
    <t>115404, МОСКВА ГОРОД, УЛИЦА БИРЮЛЁВСКАЯ, ДОМ 24, КОРПУС 1, ПОМ/КОМ/ОФ 3/1/83</t>
  </si>
  <si>
    <t>Арещенко Максим Александрович</t>
  </si>
  <si>
    <t>55.741972,37.707619</t>
  </si>
  <si>
    <t>ОБЩЕСТВО С ОГРАНИЧЕННОЙ ОТВЕТСТВЕННОСТЬЮ "МЖБИ"</t>
  </si>
  <si>
    <t>"МЖБИ"</t>
  </si>
  <si>
    <t>9722015210</t>
  </si>
  <si>
    <t>109052, Г.Москва, внутригородская территория города федерального значения МУНИЦИПАЛЬНЫЙ ОКРУГ НИЖЕГОРОДСКИЙ, УЛ ПОДЪЁМНАЯ, Д. 14, СТР. 44, ЭТАЖ 3, ПОМЕЩ. 324, КОМН. 1, ОФИС 9</t>
  </si>
  <si>
    <t>Глебов Владимир Андреевич</t>
  </si>
  <si>
    <t>55.555861,37.708464</t>
  </si>
  <si>
    <t>ОБЩЕСТВО С ОГРАНИЧЕННОЙ ОТВЕТСТВЕННОСТЬЮ "ИНЖСТРОЙ БЕТОН"</t>
  </si>
  <si>
    <t>"ИНЖСТРОЙ БЕТОН"</t>
  </si>
  <si>
    <t>5003117951</t>
  </si>
  <si>
    <t>142703, МОСКОВСКАЯ ОБЛАСТЬ, ГОРОД ВИДНОЕ, УЛИЦА СТРОИТЕЛЬНАЯ, ДОМ 1, ОФИС 1</t>
  </si>
  <si>
    <t>Кудрявцев Андрей Геннадиевич</t>
  </si>
  <si>
    <t>+7 (495) 363-70-08'</t>
  </si>
  <si>
    <t>ОБЩЕСТВО С ОГРАНИЧЕННОЙ ОТВЕТСТВЕННОСТЬЮ "БЕТОННЫЙ ЗАВОД ИНЖСТРОЙ"</t>
  </si>
  <si>
    <t>"БЕТОННЫЙ ЗАВОД ИНЖСТРОЙ"</t>
  </si>
  <si>
    <t>5003128135</t>
  </si>
  <si>
    <t>142703, МОСКОВСКАЯ ОБЛАСТЬ, ГОРОД ВИДНОЕ, УЛИЦА СТРОИТЕЛЬНАЯ, ДОМ 1, ОФИС 1А</t>
  </si>
  <si>
    <t>Данилин Михаил Николаевич</t>
  </si>
  <si>
    <t>ОБЩЕСТВО С ОГРАНИЧЕННОЙ ОТВЕТСТВЕННОСТЬЮ "БЕТОННЫЙ ЗАВОД ГОРКИ"</t>
  </si>
  <si>
    <t>"БЕТОННЫЙ ЗАВОД ГОРКИ"</t>
  </si>
  <si>
    <t>5003140566</t>
  </si>
  <si>
    <t>142703, МОСКОВСКАЯ ОБЛАСТЬ, Г. ВИДНОЕ, УЛ. СТРОИТЕЛЬНАЯ, Д. 1, ОФИС 1Б, ЭТАЖ ПОДЗЕМНЫЙ (ЦОКОЛЬНЫЙ)</t>
  </si>
  <si>
    <t>55.875107,37.70912</t>
  </si>
  <si>
    <t>ОБЩЕСТВО С ОГРАНИЧЕННОЙ ОТВЕТСТВЕННОСТЬЮ "ПЛАСТ"</t>
  </si>
  <si>
    <t>"ПЛАСТ"</t>
  </si>
  <si>
    <t>7716951930</t>
  </si>
  <si>
    <t>129347, Г.Москва, внутригородская территория города федерального значения МУНИЦИПАЛЬНЫЙ ОКРУГ ЯРОСЛАВСКИЙ, УЛ ПАЛЕХСКАЯ, Д. 131, ЭТ. 1 ПОМ. I, КОМ. 9 ОФИС 625</t>
  </si>
  <si>
    <t>Потапов Владимир Викторович</t>
  </si>
  <si>
    <t>9099451406@MAIL.RU'</t>
  </si>
  <si>
    <t>55.611129,37.709353</t>
  </si>
  <si>
    <t>ОБЩЕСТВО С ОГРАНИЧЕННОЙ ОТВЕТСТВЕННОСТЬЮ ТЕПЛОСТЕН "ЦФО"</t>
  </si>
  <si>
    <t>ТЕПЛОСТЕН "ЦФО"</t>
  </si>
  <si>
    <t>7724920421</t>
  </si>
  <si>
    <t>115551, МОСКВА ГОРОД, УЛ. ДОМОДЕДОВСКАЯ, Д. 11, К. 1, ПОМЕЩ. 147</t>
  </si>
  <si>
    <t>Григорян Арутюн Нверович</t>
  </si>
  <si>
    <t>+7 (495) 126-62-66'</t>
  </si>
  <si>
    <t>55.720788,37.709443</t>
  </si>
  <si>
    <t>ОБЩЕСТВО С ОГРАНИЧЕННОЙ ОТВЕТСТВЕННОСТЬЮ "ТРАНС ЖБИ"</t>
  </si>
  <si>
    <t>"ТРАНС ЖБИ"</t>
  </si>
  <si>
    <t>7722484434</t>
  </si>
  <si>
    <t>109316, МОСКВА Г., ПР-Д ОСТАПОВСКИЙ, Д. 7А, СТР. 1, ЭТАЖ/ЛИТЕР 2/А</t>
  </si>
  <si>
    <t>Ряжских Юрий Владимирович</t>
  </si>
  <si>
    <t>55.765757,37.709892</t>
  </si>
  <si>
    <t>ОБЩЕСТВО С ОГРАНИЧЕННОЙ ОТВЕТСТВЕННОСТЬЮ "АСТРОЙ"</t>
  </si>
  <si>
    <t>"АСТРОЙ"</t>
  </si>
  <si>
    <t>7722414719</t>
  </si>
  <si>
    <t>111020, МОСКВА ГОРОД, УЛ. СТОРОЖЕВАЯ, Д. 4, СТР. 1, КОМ. 7А</t>
  </si>
  <si>
    <t>Прохоров Александр Леонидович</t>
  </si>
  <si>
    <t>+7 (919) 777-71-23'</t>
  </si>
  <si>
    <t>55.791147,37.71088</t>
  </si>
  <si>
    <t>ОБЩЕСТВО С ОГРАНИЧЕННОЙ ОТВЕТСТВЕННОСТЬЮ "ЗЕНИТ"</t>
  </si>
  <si>
    <t>"ЗЕНИТ"</t>
  </si>
  <si>
    <t>9718032118</t>
  </si>
  <si>
    <t>107023, МОСКВА Г, СУВОРОВСКАЯ УЛ, ДОМ 10А, ОФИС 8</t>
  </si>
  <si>
    <t>Байбородина Виктория Викторовна</t>
  </si>
  <si>
    <t>+7 (906) 777-11-99'</t>
  </si>
  <si>
    <t>55.703515,37.712533</t>
  </si>
  <si>
    <t>ОБЩЕСТВО С ОГРАНИЧЕННОЙ ОТВЕТСТВЕННОСТЬЮ "АВА-БЕТОН"</t>
  </si>
  <si>
    <t>"АВА-БЕТОН"</t>
  </si>
  <si>
    <t>7723617260</t>
  </si>
  <si>
    <t>http://ava-beton.ru</t>
  </si>
  <si>
    <t>115432, МОСКВА ГОРОД, УЛ. ЮЖНОПОРТОВАЯ, Д.21, СТР.8</t>
  </si>
  <si>
    <t>Мясникова Дария Валерьевна</t>
  </si>
  <si>
    <t>+7 (495) 344-93-38', '+7 (495) 353-50-74'</t>
  </si>
  <si>
    <t>55.542075,37.713396</t>
  </si>
  <si>
    <t>ОБЩЕСТВО С ОГРАНИЧЕННОЙ ОТВЕТСТВЕННОСТЬЮ "ГВКС"</t>
  </si>
  <si>
    <t>"ГВКС"</t>
  </si>
  <si>
    <t>5003137387</t>
  </si>
  <si>
    <t>142701, Московская область, городской округ ЛЕНИНСКИЙ, Город ВИДНОЕ, УЛ РАДУЖНАЯ, Д. 6, К. 2, ПОМЕЩ. 5, ОФИС 12</t>
  </si>
  <si>
    <t>Тимошенко Димитрий Николаевич</t>
  </si>
  <si>
    <t>55.812186,37.717249</t>
  </si>
  <si>
    <t>ОБЩЕСТВО С ОГРАНИЧЕННОЙ ОТВЕТСТВЕННОСТЬЮ "ВУДМАСТЕР"</t>
  </si>
  <si>
    <t>"ВУДМАСТЕР"</t>
  </si>
  <si>
    <t>7718931834</t>
  </si>
  <si>
    <t>107150, МОСКВА ГОРОД, УЛ. БОЙЦОВАЯ, Д. 17, К. 3, Э 1 ПОМ 12 К 3 ОФ 74</t>
  </si>
  <si>
    <t>Усанин Алексей Александрович</t>
  </si>
  <si>
    <t>55.441673,37.718471</t>
  </si>
  <si>
    <t>ОБЩЕСТВО С ОГРАНИЧЕННОЙ ОТВЕТСТВЕННОСТЬЮ "ЛЕНАРТ ПЛЮС"</t>
  </si>
  <si>
    <t>"ЛЕНАРТ ПЛЮС"</t>
  </si>
  <si>
    <t>5009083120</t>
  </si>
  <si>
    <t>142032, МОСКОВСКАЯ ОБЛАСТЬ, Г. ДОМОДЕДОВО, С КОНСТАНТИНОВО, Д.81</t>
  </si>
  <si>
    <t>Аракелян Арарат Ширханович</t>
  </si>
  <si>
    <t>+7 (499) 398-08-05'</t>
  </si>
  <si>
    <t>55.818943,37.719235</t>
  </si>
  <si>
    <t>ОБЩЕСТВО С ОГРАНИЧЕННОЙ ОТВЕТСТВЕННОСТЬЮ "БЛАГСТРОЙ"</t>
  </si>
  <si>
    <t>"БЛАГСТРОЙ"</t>
  </si>
  <si>
    <t>9718140890</t>
  </si>
  <si>
    <t>107150, МОСКВА Г, ИВАНТЕЕВСКАЯ УЛ, ДОМ 8,..</t>
  </si>
  <si>
    <t>Алексеев Александр Васильевич</t>
  </si>
  <si>
    <t>55.925042,37.720367</t>
  </si>
  <si>
    <t>ОБЩЕСТВО С ОГРАНИЧЕННОЙ ОТВЕТСТВЕННОСТЬЮ "ПРОИЗВОДСТВЕННОЕ ОБЪЕДИНЕНИЕ "АТЛАНТ-ЖБИ"</t>
  </si>
  <si>
    <t>"ПРОИЗВОДСТВЕННОЕ ОБЪЕДИНЕНИЕ "АТЛАНТ-ЖБИ"</t>
  </si>
  <si>
    <t>5029219490</t>
  </si>
  <si>
    <t>141008, МОСКОВСКАЯ ОБЛ., Г. Мытищи, УЛ. КОЛПАКОВА, СТР. 44А, ПОМЕЩ./КОМ. 7/4</t>
  </si>
  <si>
    <t>Лоза Кирилл Георгиевич</t>
  </si>
  <si>
    <t>+7 (985) 220-30-76'</t>
  </si>
  <si>
    <t>55.924134,37.722235</t>
  </si>
  <si>
    <t>ОБЩЕСТВО С ОГРАНИЧЕННОЙ ОТВЕТСТВЕННОСТЬЮ "ДАНИЕЛ-СТРОЙИНВЕСТ"</t>
  </si>
  <si>
    <t>"ДАНИЕЛ-СТРОЙИНВЕСТ"</t>
  </si>
  <si>
    <t>5036152817</t>
  </si>
  <si>
    <t>141008, Московская область, городской округ МЫТИЩИ, Город МЫТИЩИ, УЛ КОЛПАКОВА, Д. 40, К. 3,..</t>
  </si>
  <si>
    <t>Даниелян Маргар Липаритович</t>
  </si>
  <si>
    <t>55.787163,37.722981</t>
  </si>
  <si>
    <t>ОБЩЕСТВО С ОГРАНИЧЕННОЙ ОТВЕТСТВЕННОСТЬЮ "КРОН"</t>
  </si>
  <si>
    <t>"КРОН"</t>
  </si>
  <si>
    <t>7719479473</t>
  </si>
  <si>
    <t>105318, МОСКВА Г, ТКАЦКАЯ УЛ, ДОМ 5, СТРОЕНИЕ 16, ЭТАЖ 2 ОФИС 16-203</t>
  </si>
  <si>
    <t>Трошков Евгений Александрович</t>
  </si>
  <si>
    <t>55.624444,37.72396</t>
  </si>
  <si>
    <t>ОБЩЕСТВО С ОГРАНИЧЕННОЙ ОТВЕТСТВЕННОСТЬЮ ТОРГОВЫЙ ДОМ "МОНОЛИТ"</t>
  </si>
  <si>
    <t>9724055353</t>
  </si>
  <si>
    <t>115563, Г.Москва, внутригородская территория города федерального значения МУНИЦИПАЛЬНЫЙ ОКРУГ ОРЕХОВО-БОРИСОВО СЕВЕРНОЕ, ПРОЕЗД БОРИСОВСКИЙ, Д. 22, К. 1,..</t>
  </si>
  <si>
    <t>Андреянова Марина Владимировна</t>
  </si>
  <si>
    <t>MAG2026@YANDEX.RU'</t>
  </si>
  <si>
    <t>55.910417,37.725101</t>
  </si>
  <si>
    <t>ОБЩЕСТВО С ОГРАНИЧЕННОЙ ОТВЕТСТВЕННОСТЬЮ "АРПРО"</t>
  </si>
  <si>
    <t>"АРПРО"</t>
  </si>
  <si>
    <t>5029233078</t>
  </si>
  <si>
    <t>141008, МОСКОВСКАЯ ОБЛ, МЫТИЩИ Г, ЛЕТНАЯ УЛ, СТРОЕНИЕ 19, ПОМЕЩЕНИЕ 310.5</t>
  </si>
  <si>
    <t>Аристархова Ольга Николаевна</t>
  </si>
  <si>
    <t>olga@aristarkhova.pro'</t>
  </si>
  <si>
    <t>55.704616,37.726394</t>
  </si>
  <si>
    <t>9723046003</t>
  </si>
  <si>
    <t>109316, МОСКВА Г, ВОЛГОГРАДСКИЙ ПР-КТ, ДОМ 46Б, КОРПУС 1, ЭТ 4 ОФ 47</t>
  </si>
  <si>
    <t>Закарян Карен Эдуардович</t>
  </si>
  <si>
    <t>+7 (916) 482-86-17'</t>
  </si>
  <si>
    <t>55.741394,37.729017</t>
  </si>
  <si>
    <t>ОБЩЕСТВО С ОГРАНИЧЕННОЙ ОТВЕТСТВЕННОСТЬЮ "СТРОИТЕЛЬ-С"</t>
  </si>
  <si>
    <t>"СТРОИТЕЛЬ-С"</t>
  </si>
  <si>
    <t>7722493319</t>
  </si>
  <si>
    <t>111024, МОСКВА ГОРОД, УЛИЦА АВИАМОТОРНАЯ, ДОМ 55, КОРПУС 31, ОФИС 3173</t>
  </si>
  <si>
    <t>Кретинин Роман Владимирович</t>
  </si>
  <si>
    <t>55.788328,37.729637</t>
  </si>
  <si>
    <t>ОБЩЕСТВО С ОГРАНИЧЕННОЙ ОТВЕТСТВЕННОСТЬЮ "ВЕДЖВУД"</t>
  </si>
  <si>
    <t>"ВЕДЖВУД"</t>
  </si>
  <si>
    <t>9719024487</t>
  </si>
  <si>
    <t>105318, Г.Москва, внутригородская территория города федерального значения МУНИЦИПАЛЬНЫЙ ОКРУГ СОКОЛИНАЯ ГОРА, УЛ ИБРАГИМОВА, Д. 31, К. 47, ЭТАЖ 3, ПОМЕЩ. I, КОМ. 11</t>
  </si>
  <si>
    <t>Украинский Виктор Валентинович</t>
  </si>
  <si>
    <t>55.736757,37.72979</t>
  </si>
  <si>
    <t>ОБЩЕСТВО С ОГРАНИЧЕННОЙ ОТВЕТСТВЕННОСТЬЮ "ЭХО"</t>
  </si>
  <si>
    <t>"ЭХО"</t>
  </si>
  <si>
    <t>7722476680</t>
  </si>
  <si>
    <t>111024, МОСКВА ГОРОД, Ш. АНДРОНОВСКОЕ, Д. 26, СТР. 9, КОМ. 11</t>
  </si>
  <si>
    <t>Кузьмина Анастасия Валерьевна</t>
  </si>
  <si>
    <t>44.753012,37.732512</t>
  </si>
  <si>
    <t>ОБЩЕСТВО С ОГРАНИЧЕННОЙ ОТВЕТСТВЕННОСТЬЮ "НПК "ДЕКОР"</t>
  </si>
  <si>
    <t>"НПК "ДЕКОР"</t>
  </si>
  <si>
    <t>2315184122</t>
  </si>
  <si>
    <t>http://dekorstonespb.ru</t>
  </si>
  <si>
    <t>353960, КРАСНОДАРСКИЙ КРАЙ, Г. НОВОРОССИЙСК, С ЦЕМДОЛИНА, УЛ. СВОБОДЫ, Д.1А</t>
  </si>
  <si>
    <t>Алистратов Сергей Владимирович</t>
  </si>
  <si>
    <t>56.283899,37.733725</t>
  </si>
  <si>
    <t>ОБЩЕСТВО С ОГРАНИЧЕННОЙ ОТВЕТСТВЕННОСТЬЮ "АРХИО"</t>
  </si>
  <si>
    <t>"АРХИО"</t>
  </si>
  <si>
    <t>5007108789</t>
  </si>
  <si>
    <t>141829, МОСКОВСКАЯ ОБЛАСТЬ, ГОРОД ДМИТРОВ, ПОСЕЛОК ЛАВРОВКИ, ДОМ 25, КАБИНЕТ 3</t>
  </si>
  <si>
    <t>Чумичев Дмитрий Борисович</t>
  </si>
  <si>
    <t>55.754132,37.735063</t>
  </si>
  <si>
    <t>ОБЩЕСТВО С ОГРАНИЧЕННОЙ ОТВЕТСТВЕННОСТЬЮ "ПРОЕКТ"</t>
  </si>
  <si>
    <t>"ПРОЕКТ"</t>
  </si>
  <si>
    <t>7720458365</t>
  </si>
  <si>
    <t>105118, МОСКВА ГОРОД, Ш. ЭНТУЗИАСТОВ, Д. 34, ЭТАЖ 1 ПОМ.I КОМН.37 ОФ.23</t>
  </si>
  <si>
    <t>Малов Сергей Алексеевич</t>
  </si>
  <si>
    <t>55.75709,37.735395</t>
  </si>
  <si>
    <t>ОБЩЕСТВО С ОГРАНИЧЕННОЙ ОТВЕТСТВЕННОСТЬЮ "ПРОИЗВОДСТВЕННАЯ КОМПАНИЯ "МОССТРОЙКОМПЛЕКТАЦИЯ"</t>
  </si>
  <si>
    <t>"ПРОИЗВОДСТВЕННАЯ КОМПАНИЯ "МОССТРОЙКОМПЛЕКТАЦИЯ"</t>
  </si>
  <si>
    <t>7719483550</t>
  </si>
  <si>
    <t>105118, Г.Москва, внутригородская территория города федерального значения МУНИЦИПАЛЬНЫЙ ОКРУГ СОКОЛИНАЯ ГОРА, УЛ БУРАКОВА, Д. 29, ПОМЕЩ. 429</t>
  </si>
  <si>
    <t>Семененко Олег Валерьевич</t>
  </si>
  <si>
    <t>ОБЩЕСТВО С ОГРАНИЧЕННОЙ ОТВЕТСТВЕННОСТЬЮ "ИНВЕСТИЦИОННО-ПРОИЗВОДСТВЕННАЯ КОМПАНИЯ "МОССТРОЙКОМПЛЕКТАЦИЯ"</t>
  </si>
  <si>
    <t>"ИНВЕСТИЦИОННО-ПРОИЗВОДСТВЕННАЯ КОМПАНИЯ "МОССТРОЙКОМПЛЕКТАЦИЯ"</t>
  </si>
  <si>
    <t>7720845822</t>
  </si>
  <si>
    <t>105118, МОСКВА Г., УЛ. БУРАКОВА, Д. 29, ПОМЕЩ. 305</t>
  </si>
  <si>
    <t>55.75903,37.737021</t>
  </si>
  <si>
    <t>ОБЩЕСТВО С ОГРАНИЧЕННОЙ ОТВЕТСТВЕННОСТЬЮ "ПАНЭКО МОС"</t>
  </si>
  <si>
    <t>"ПАНЭКО МОС"</t>
  </si>
  <si>
    <t>7720849055</t>
  </si>
  <si>
    <t>105118, Г.Москва, внутригородская территория города федерального значения МУНИЦИПАЛЬНЫЙ ОКРУГ СОКОЛИНАЯ ГОРА, УЛ БУРАКОВА, Д. 27, К. 3, ЭТАЖ 2, ПОМЕЩ./ЧАСТЬ КОМ. II/19</t>
  </si>
  <si>
    <t>Мельников Кирилл Игоревич</t>
  </si>
  <si>
    <t>PANEKOMOS@YANDEX.RU'</t>
  </si>
  <si>
    <t>55.440457,37.738504</t>
  </si>
  <si>
    <t>ОБЩЕСТВО С ОГРАНИЧЕННОЙ ОТВЕТСТВЕННОСТЬЮ "КаМеС"</t>
  </si>
  <si>
    <t>"КаМеС"</t>
  </si>
  <si>
    <t>5049022780</t>
  </si>
  <si>
    <t>МОСКОВСКАЯ ОБЛ.,Г ДОМОДЕДОВО,3-Й ЮЖНЫЙ ПР, Д 17</t>
  </si>
  <si>
    <t>Шурупов Александр Иванович</t>
  </si>
  <si>
    <t>+7 (916) 621-23-29'</t>
  </si>
  <si>
    <t>55.89716,37.738854</t>
  </si>
  <si>
    <t>ОБЩЕСТВО С ОГРАНИЧЕННОЙ ОТВЕТСТВЕННОСТЬЮ "РИКАМ+"</t>
  </si>
  <si>
    <t>"РИКАМ+"</t>
  </si>
  <si>
    <t>5029220294</t>
  </si>
  <si>
    <t>141006, МОСКОВСКАЯ ОБЛ, МЫТИЩИ Г, УЛЬЯНОВСКАЯ УЛ, ДОМ 14</t>
  </si>
  <si>
    <t>Мендесидис Денис Сергеевич</t>
  </si>
  <si>
    <t>+7 (926) 495-06-06'</t>
  </si>
  <si>
    <t>55.971365,37.739303</t>
  </si>
  <si>
    <t>ОБЩЕСТВО С ОГРАНИЧЕННОЙ ОТВЕТСТВЕННОСТЬЮ "МОСОБЛТРОТУАР"</t>
  </si>
  <si>
    <t>"МОСОБЛТРОТУАР"</t>
  </si>
  <si>
    <t>5029240269</t>
  </si>
  <si>
    <t>141033, МОСКОВСКАЯ ОБЛАСТЬ, ГОРОД МЫТИЩИ, ПОСЕЛОК МЕБЕЛЬНОЙ ФАБРИКИ, УЛИЦА ЗАРЕЧНАЯ, ДОМ 5, ЭТАЖ/ПОМ. 1/4</t>
  </si>
  <si>
    <t>Абраамян Жанна Гаспаровна</t>
  </si>
  <si>
    <t>55.799603,37.740965</t>
  </si>
  <si>
    <t>ОБЩЕСТВО С ОГРАНИЧЕННОЙ ОТВЕТСТВЕННОСТЬЮ "ДОМОСТРОИТЕЛЬНЫЙ КОМБИНАТ-МОСКВА"</t>
  </si>
  <si>
    <t>"ДОМОСТРОИТЕЛЬНЫЙ КОМБИНАТ-МОСКВА"</t>
  </si>
  <si>
    <t>9718105870</t>
  </si>
  <si>
    <t>107553, МОСКВА Г, ЧЕРКИЗОВСКАЯ Б. УЛ, ДОМ 30, КОРПУС 1,..</t>
  </si>
  <si>
    <t>Клеблеев Руслан Шевкетович</t>
  </si>
  <si>
    <t>55.665802,37.741549</t>
  </si>
  <si>
    <t>ОБЩЕСТВО С ОГРАНИЧЕННОЙ ОТВЕТСТВЕННОСТЬЮ "ДиалВест"</t>
  </si>
  <si>
    <t>"ДиалВест"</t>
  </si>
  <si>
    <t>7723850348</t>
  </si>
  <si>
    <t>109382, МОСКВА ГОРОД, УЛ. ЛЮБЛИНСКАЯ, Д. 141, ПОМ КОМН III 38</t>
  </si>
  <si>
    <t xml:space="preserve"> Генеральный Директор Сокур Анатолий Анатольевич</t>
  </si>
  <si>
    <t>VARTKOR@INBOX.RU'</t>
  </si>
  <si>
    <t>55.745924,37.742798</t>
  </si>
  <si>
    <t>ОБЩЕСТВО С ОГРАНИЧЕННОЙ ОТВЕТСТВЕННОСТЬЮ "АРХФАСАД"</t>
  </si>
  <si>
    <t>"АРХФАСАД"</t>
  </si>
  <si>
    <t>7704463590</t>
  </si>
  <si>
    <t>109202, МОСКВА Г., ПР-Д ФРЕЗЕР, Д. 2, СТР. 45, ЭТАЖ 2 ПОМЕЩ. 14</t>
  </si>
  <si>
    <t>Будяк Николай Андреевич</t>
  </si>
  <si>
    <t>44.668161,37.746418</t>
  </si>
  <si>
    <t>ОБЩЕСТВО С ОГРАНИЧЕННОЙ ОТВЕТСТВЕННОСТЬЮ "ТЕПЛОБЕТОН"</t>
  </si>
  <si>
    <t>"ТЕПЛОБЕТОН"</t>
  </si>
  <si>
    <t>2315024753</t>
  </si>
  <si>
    <t>http://teplobeton93.ru</t>
  </si>
  <si>
    <t>353993, КРАСНОДАРСКИЙ КРАЙ, Г. НОВОРОССИЙСК, С МЫСХАКО, УЛ. БАЛТИЙСКАЯ, Д. 62</t>
  </si>
  <si>
    <t>Подшивалов Александр Вячеславович</t>
  </si>
  <si>
    <t>+7 (918) 477-78-37'</t>
  </si>
  <si>
    <t>55.457373,37.746777</t>
  </si>
  <si>
    <t>ОБЩЕСТВО С ОГРАНИЧЕННОЙ ОТВЕТСТВЕННОСТЬЮ  "ТЕХНОСТРОЙ"</t>
  </si>
  <si>
    <t xml:space="preserve"> "ТЕХНОСТРОЙ"</t>
  </si>
  <si>
    <t>5040065170</t>
  </si>
  <si>
    <t>МОСКОВСКАЯ ОБЛ.,Г ДОМОДЕДОВО,П/О 1,УЛ КОМСОМОЛЬСКАЯ, Д 44</t>
  </si>
  <si>
    <t>Кузин Родион Викторович</t>
  </si>
  <si>
    <t>+7 (925) 005-92-42'</t>
  </si>
  <si>
    <t>55.749983,37.748834</t>
  </si>
  <si>
    <t>ОБЩЕСТВО С ОГРАНИЧЕННОЙ ОТВЕТСТВЕННОСТЬЮ "УНИВЕРСАЛЬНЫЕ ТЕХНОЛОГИИ"</t>
  </si>
  <si>
    <t>"УНИВЕРСАЛЬНЫЕ ТЕХНОЛОГИИ"</t>
  </si>
  <si>
    <t>7720812714</t>
  </si>
  <si>
    <t>111524, МОСКВА Г, ЭЛЕКТРОДНАЯ УЛ, ДОМ 8, СТРОЕНИЕ 13, ЭТАЖ/КОМ 2/36</t>
  </si>
  <si>
    <t>Гусев Сергей</t>
  </si>
  <si>
    <t>+7 (499) 721-86-09'</t>
  </si>
  <si>
    <t>ksyusharo2009@yandex.ru'</t>
  </si>
  <si>
    <t>55.811346,37.750927</t>
  </si>
  <si>
    <t>7718167707</t>
  </si>
  <si>
    <t>107143, МОСКВА ГОРОД, ПРОЕЗД 1-Й ИРТЫШСКИЙ, ДОМ 2, СТРОЕНИЕ 4</t>
  </si>
  <si>
    <t>Исаков Дмитрий Андреевич</t>
  </si>
  <si>
    <t>+7 (915) 363-56-40'</t>
  </si>
  <si>
    <t>55.736133,37.75143</t>
  </si>
  <si>
    <t>ОБЩЕСТВО С ОГРАНИЧЕННОЙ ОТВЕТСТВЕННОСТЬЮ "МАЛОЕ ИННОВАЦИОННОЕ ПРЕДПРИЯТИЕ "НОВЫЕ ТЕХНОЛОГИИ ПЕНОБЕТОНА"</t>
  </si>
  <si>
    <t>"МАЛОЕ ИННОВАЦИОННОЕ ПРЕДПРИЯТИЕ "НОВЫЕ ТЕХНОЛОГИИ ПЕНОБЕТОНА"</t>
  </si>
  <si>
    <t>9721105782</t>
  </si>
  <si>
    <t>109202, МОСКВА Г., Ш. ПЕРОВСКОЕ, Д. 16/2, ЭТАЖ 1 КАБ. 5</t>
  </si>
  <si>
    <t>Люц Михаил Владимирович</t>
  </si>
  <si>
    <t>44.715515,37.751826</t>
  </si>
  <si>
    <t>ОБЩЕСТВО С ОГРАНИЧЕННОЙ ОТВЕТСТВЕННОСТЬЮ "БЕТОФАС"</t>
  </si>
  <si>
    <t>"БЕТОФАС"</t>
  </si>
  <si>
    <t>2315225298</t>
  </si>
  <si>
    <t>353917, Краснодарский край, ГОРОД НОВОРОССИЙСК, Г НОВОРОССИЙСК, УЛ КУТУЗОВСКАЯ, Д. 117</t>
  </si>
  <si>
    <t>Лазутин Илья Леонидович</t>
  </si>
  <si>
    <t>NALOG@BETOFAS.RU'</t>
  </si>
  <si>
    <t>55.664736,37.752481</t>
  </si>
  <si>
    <t>ОБЩЕСТВО С ОГРАНИЧЕННОЙ ОТВЕТСТВЕННОСТЬЮ "ИНЖСЕРВИС-МР"</t>
  </si>
  <si>
    <t>"ИНЖСЕРВИС-МР"</t>
  </si>
  <si>
    <t>7723925628</t>
  </si>
  <si>
    <t>109341, МОСКВА ГОРОД, УЛИЦА БРАТИСЛАВСКАЯ, ДОМ 6, ПОМЕЩЕНИЕ 295</t>
  </si>
  <si>
    <t>Гельман Александр Юльевич</t>
  </si>
  <si>
    <t>+7 (965) 390-20-94'</t>
  </si>
  <si>
    <t>mn@yandex.ru'</t>
  </si>
  <si>
    <t>44.718621,37.752975</t>
  </si>
  <si>
    <t>ОБЩЕСТВО С ОГРАНИЧЕННОЙ ОТВЕТСТВЕННОСТЬЮ "ФОРТУНА СТРОЙ"</t>
  </si>
  <si>
    <t>"ФОРТУНА СТРОЙ"</t>
  </si>
  <si>
    <t>2315213327</t>
  </si>
  <si>
    <t>353917, КРАСНОДАРСКИЙ КРАЙ, НОВОРОССИЙСК Г, ЩОРСА УЛ, ДОМ 50, КОРПУС А</t>
  </si>
  <si>
    <t>Мартиросян Кристина Евгеньевна</t>
  </si>
  <si>
    <t>+7 (861) 730-02-40'</t>
  </si>
  <si>
    <t>55.638567,37.75329</t>
  </si>
  <si>
    <t>ОБЩЕСТВО С ОГРАНИЧЕННОЙ ОТВЕТСТВЕННОСТЬЮ "ФАБРИКА "КАМЕНЬ"</t>
  </si>
  <si>
    <t>"ФАБРИКА "КАМЕНЬ"</t>
  </si>
  <si>
    <t>7724354303</t>
  </si>
  <si>
    <t>115612, МОСКВА Г, БОРИСОВСКИЕ ПРУДЫ УЛ, ДОМ 22, КОРПУС 1,..</t>
  </si>
  <si>
    <t>Комиссаров Павел Анатольевич</t>
  </si>
  <si>
    <t>+7 (495) 952-89-01'</t>
  </si>
  <si>
    <t>55.726036,37.75603</t>
  </si>
  <si>
    <t>ОБЩЕСТВО С ОГРАНИЧЕННОЙ ОТВЕТСТВЕННОСТЬЮ "ЗАВОД СПЕЦИАЛЬНЫХ ЖЕЛЕЗОБЕТОННЫХ ТРУБ"</t>
  </si>
  <si>
    <t>"ЗАВОД СПЕЦИАЛЬНЫХ ЖЕЛЕЗОБЕТОННЫХ ТРУБ"</t>
  </si>
  <si>
    <t>7721507336</t>
  </si>
  <si>
    <t>109428, Г.Москва, внутригородская территория города федерального значения МУНИЦИПАЛЬНЫЙ ОКРУГ РЯЗАНСКИЙ, ПР-КТ РЯЗАНСКИЙ, Д. 8А, СТР. 14, ОФИС 702</t>
  </si>
  <si>
    <t>Пахомов Алексей Васильевич</t>
  </si>
  <si>
    <t>+7 (495) 961-28-39'</t>
  </si>
  <si>
    <t>55.754583,37.756685</t>
  </si>
  <si>
    <t>ОБЩЕСТВО С ОГРАНИЧЕННОЙ ОТВЕТСТВЕННОСТЬЮ АВТОБИЛДИНГ</t>
  </si>
  <si>
    <t>АВТОБИЛДИНГ</t>
  </si>
  <si>
    <t>7720436548</t>
  </si>
  <si>
    <t>111123, МОСКВА ГОРОД, УЛИЦА ПЛЕХАНОВА, ДОМ 4А, ЭТ 14 ПОМ 36 КОМ 13</t>
  </si>
  <si>
    <t>Максютина Надежда Валерьевна</t>
  </si>
  <si>
    <t>55.755348,37.759533</t>
  </si>
  <si>
    <t>ОБЩЕСТВО С ОГРАНИЧЕННОЙ ОТВЕТСТВЕННОСТЬЮ "СПЕЦИАЛИЗИРОВАННЫЙ ЗАСТРОЙЩИК ЮНИКОН"</t>
  </si>
  <si>
    <t>"СПЕЦИАЛИЗИРОВАННЫЙ ЗАСТРОЙЩИК ЮНИКОН"</t>
  </si>
  <si>
    <t>7720498400</t>
  </si>
  <si>
    <t>111141, МОСКВА ГОРОД, УЛИЦА ПЛЕХАНОВА, ДОМ 7, ЭТ 4 ПОМ I КОМ 57</t>
  </si>
  <si>
    <t>Юнкевич Екатерина Викторовна</t>
  </si>
  <si>
    <t>55.424807,37.760126</t>
  </si>
  <si>
    <t>ОБЩЕСТВО С ОГРАНИЧЕННОЙ ОТВЕТСТВЕННОСТЬЮ "ЗАВОД ЖБИ 11"</t>
  </si>
  <si>
    <t>"ЗАВОД ЖБИ 11"</t>
  </si>
  <si>
    <t>5009120421</t>
  </si>
  <si>
    <t>142003, МОСКОВСКАЯ ОБЛАСТЬ, ГОРОД ДОМОДЕДОВО, УЛИЦА ДРУЖБЫ (ЗАПАДНЫЙ МКР.), ДОМ 1,..</t>
  </si>
  <si>
    <t>Терентьев Сергей Александрович</t>
  </si>
  <si>
    <t>tarantas75@mail.ru'</t>
  </si>
  <si>
    <t>55.539813,37.760252</t>
  </si>
  <si>
    <t>ОБЩЕСТВО С ОГРАНИЧЕННОЙ ОТВЕТСТВЕННОСТЬЮ "Мир Камня"</t>
  </si>
  <si>
    <t>"Мир Камня"</t>
  </si>
  <si>
    <t>5003102923</t>
  </si>
  <si>
    <t>142704, МОСКОВСКАЯ ОБЛАСТЬ, ГОРОД ВИДНОЕ, ТЕРРИТОРИЯ ПРОМЗОНА, ООО "СПЕЦСТРОЙМОНТАЖ"</t>
  </si>
  <si>
    <t>Восканян Артур Мацакович</t>
  </si>
  <si>
    <t>+7 (967) 014-23-38'</t>
  </si>
  <si>
    <t>55.590043,37.762695</t>
  </si>
  <si>
    <t>5003117623</t>
  </si>
  <si>
    <t>142717, МОСКОВСКАЯ ОБЛАСТЬ, Г. ВИДНОЕ, П РАЗВИЛКА, Д. 45, ОФИС 3</t>
  </si>
  <si>
    <t>Жемерикин Михаил Сергеевич</t>
  </si>
  <si>
    <t>55.75667,37.763656</t>
  </si>
  <si>
    <t>ОБЩЕСТВО С ОГРАНИЧЕННОЙ ОТВЕТСТВЕННОСТЬЮ "ИНБЕТОН"</t>
  </si>
  <si>
    <t>"ИНБЕТОН"</t>
  </si>
  <si>
    <t>7720396077</t>
  </si>
  <si>
    <t>111123, МОСКВА Г., Ш. ЭНТУЗИАСТОВ, Д. 56, СТР. 11, ЭТАЖ 3 ПОМЕЩ./КОМ. 1/9</t>
  </si>
  <si>
    <t>Фасхутдинов Эльдар Маратович</t>
  </si>
  <si>
    <t>+7 (982) 310-01-10'</t>
  </si>
  <si>
    <t>55.635426,37.764483</t>
  </si>
  <si>
    <t>ОБЩЕСТВО С ОГРАНИЧЕННОЙ ОТВЕТСТВЕННОСТЬЮ "АРМЛЕНГ-ДОМ"</t>
  </si>
  <si>
    <t>"АРМЛЕНГ-ДОМ"</t>
  </si>
  <si>
    <t>9724060057</t>
  </si>
  <si>
    <t>115408, МОСКВА Г., УЛ. БРАТЕЕВСКАЯ, Д. 31А, ПОМЕЩ. V КОМ. 8</t>
  </si>
  <si>
    <t>Мельник Андрей Григорьевич</t>
  </si>
  <si>
    <t>9724060561</t>
  </si>
  <si>
    <t>115408, МОСКВА Г., УЛ. БРАТЕЕВСКАЯ, Д. 31А, ПОМЕЩ./КОМ. V/8</t>
  </si>
  <si>
    <t>55.681773,37.767825</t>
  </si>
  <si>
    <t>ОБЩЕСТВО С ОГРАНИЧЕННОЙ ОТВЕТСТВЕННОСТЬЮ "ПЛИТКА-№1"</t>
  </si>
  <si>
    <t>"ПЛИТКА-№1"</t>
  </si>
  <si>
    <t>7723887122</t>
  </si>
  <si>
    <t>http://trotuar.org</t>
  </si>
  <si>
    <t>109559, МОСКВА Г, СТАВРОПОЛЬСКАЯ УЛ, ДОМ 54, КОРПУС 1,..</t>
  </si>
  <si>
    <t>Даниелян Агарон Гришаевич</t>
  </si>
  <si>
    <t>55.437174,37.768004</t>
  </si>
  <si>
    <t>ОБЩЕСТВО С ОГРАНИЧЕННОЙ ОТВЕТСТВЕННОСТЬЮ "КАС И К"</t>
  </si>
  <si>
    <t>"КАС И К"</t>
  </si>
  <si>
    <t>5009024100</t>
  </si>
  <si>
    <t>http://kolcakol.ru</t>
  </si>
  <si>
    <t>МОСКОВСКАЯ ОБЛ.,Г ДОМОДЕДОВО,Д 65,..</t>
  </si>
  <si>
    <t>Пашкин Владислав Вячеславович</t>
  </si>
  <si>
    <t>5009123905</t>
  </si>
  <si>
    <t>142001, МОСКОВСКАЯ ОБЛАСТЬ, ГОРОД ДОМОДЕДОВО, УЛИЦА КАШИРСКОЕ ШОССЕ (СЕВЕРНЫЙ МКР.), ДОМ 7, ОФИС 040</t>
  </si>
  <si>
    <t>Казубский Сергей Владимирович</t>
  </si>
  <si>
    <t>ОБЩЕСТВО С ОГРАНИЧЕННОЙ ОТВЕТСТВЕННОСТЬЮ "ТЕХНОПАРК"</t>
  </si>
  <si>
    <t>"ТЕХНОПАРК"</t>
  </si>
  <si>
    <t>5040064722</t>
  </si>
  <si>
    <t>МОСКОВСКАЯ ОБЛ.,Г ДОМОДЕДОВО,УЛ ГУМАНЮКА, Д 38 Б</t>
  </si>
  <si>
    <t>Григорьев Николай Леонидович</t>
  </si>
  <si>
    <t>55.731364,37.768983</t>
  </si>
  <si>
    <t>ОБЩЕСТВО С ОГРАНИЧЕННОЙ ОТВЕТСТВЕННОСТЬЮ "ЦЕБИАНТ+"</t>
  </si>
  <si>
    <t>"ЦЕБИАНТ+"</t>
  </si>
  <si>
    <t>9721033400</t>
  </si>
  <si>
    <t>109428, МОСКВА ГОРОД, УЛ. ЗАРАЙСКАЯ, Д. 21, ПОМЕЩЕНИЕ 7, ОФИС 321</t>
  </si>
  <si>
    <t>Иванов Игорь Юрьевич</t>
  </si>
  <si>
    <t>ОБЩЕСТВО С ОГРАНИЧЕННОЙ ОТВЕТСТВЕННОСТЬЮ "МВ"</t>
  </si>
  <si>
    <t>"МВ"</t>
  </si>
  <si>
    <t>9721117410</t>
  </si>
  <si>
    <t>109428, Г.Москва, внутригородская территория города федерального значения МУНИЦИПАЛЬНЫЙ ОКРУГ РЯЗАНСКИЙ, УЛ ЗАРАЙСКАЯ, Д. 21, ЭТАЖ 3, ПОМЕЩ. 307, ОФИС 1003</t>
  </si>
  <si>
    <t>Попова Марина Николаевна</t>
  </si>
  <si>
    <t>55.582253,37.769199</t>
  </si>
  <si>
    <t>ОБЩЕСТВО С ОГРАНИЧЕННОЙ ОТВЕТСТВЕННОСТЬЮ "УЖСТРОЙ+"</t>
  </si>
  <si>
    <t>"УЖСТРОЙ+"</t>
  </si>
  <si>
    <t>5003073704</t>
  </si>
  <si>
    <t>142715, МОСКОВСКАЯ ОБЛАСТЬ, ГОРОД ВИДНОЕ, ПОСЕЛОК СОВХОЗА ИМ. ЛЕНИНА, ПРОМЗОНА</t>
  </si>
  <si>
    <t>Худатян Лилит Мишаевна</t>
  </si>
  <si>
    <t>44.73967,37.770358</t>
  </si>
  <si>
    <t>ОБЩЕСТВО С ОГРАНИЧЕННОЙ ОТВЕТСТВЕННОСТЬЮ ПКФ "СтройБлок"</t>
  </si>
  <si>
    <t>ПКФ "СтройБлок"</t>
  </si>
  <si>
    <t>2315174251</t>
  </si>
  <si>
    <t>353906, КРАСНОДАРСКИЙ КРАЙ, Г. НОВОРОССИЙСК, УЛ. КОЛЬЦОВСКАЯ, Д.4</t>
  </si>
  <si>
    <t>Михайлов Владимир Юрьевич</t>
  </si>
  <si>
    <t>+7 (988) 770-15-05'</t>
  </si>
  <si>
    <t>55.652004,37.771642</t>
  </si>
  <si>
    <t>ОБЩЕСТВО С ОГРАНИЧЕННОЙ ОТВЕТСТВЕННОСТЬЮ "СП"</t>
  </si>
  <si>
    <t>"СП"</t>
  </si>
  <si>
    <t>9723081537</t>
  </si>
  <si>
    <t>109469, МОСКВА ГОРОД, УЛИЦА ПОРЕЧНАЯ, ДОМ 27, КОРПУС 1,..</t>
  </si>
  <si>
    <t>ГЕНЕРАЛЬНЫЙ ДИРЕКТОР Хачятрян Самвел Норикович</t>
  </si>
  <si>
    <t>55.814396,37.772424</t>
  </si>
  <si>
    <t>ОБЩЕСТВО С ОГРАНИЧЕННОЙ ОТВЕТСТВЕННОСТЬЮ «СУ-19»</t>
  </si>
  <si>
    <t>«СУ-19»</t>
  </si>
  <si>
    <t>9718188108</t>
  </si>
  <si>
    <t>107497, Г.Москва, МУНИЦИПАЛЬНЫЙ ОКРУГ ГОЛЬЯНОВО, УЛ МОНТАЖНАЯ, Д. 9,СТР. 1, ПОМЕЩ. IV, КОМ. 16, ОФИС А3Б</t>
  </si>
  <si>
    <t>Курашов Алексей Владимирович</t>
  </si>
  <si>
    <t>ОБЩЕСТВО С ОГРАНИЧЕННОЙ ОТВЕТСТВЕННОСТЬЮ "СПЕЦАВТОНЕРУД24"</t>
  </si>
  <si>
    <t>"СПЕЦАВТОНЕРУД24"</t>
  </si>
  <si>
    <t>9718197430</t>
  </si>
  <si>
    <t>107497, Г.Москва, МУНИЦИПАЛЬНЫЙ ОКРУГ ГОЛЬЯНОВО, УЛ МОНТАЖНАЯ, Д. 9,СТР. 1, КОМ. 48 (РМ113)</t>
  </si>
  <si>
    <t>Рымарь Олег Николаевич</t>
  </si>
  <si>
    <t>55.720722,37.774463</t>
  </si>
  <si>
    <t>ОБЩЕСТВО С ОГРАНИЧЕННОЙ ОТВЕТСТВЕННОСТЬЮ ФИРМА "МОСВОДОПРОМ"</t>
  </si>
  <si>
    <t>ФИРМА "МОСВОДОПРОМ"</t>
  </si>
  <si>
    <t>7721023832</t>
  </si>
  <si>
    <t>109428, МОСКВА Г., ПР-КТ РЯЗАНСКИЙ, Д. 24, К. 2, ПОМЕЩ. XVI КОМ. 19</t>
  </si>
  <si>
    <t>Ахметжанов Берлибек Оралбекович</t>
  </si>
  <si>
    <t>+7 (495) 554-60-66', '+7 (495) 590-90-80'</t>
  </si>
  <si>
    <t>ssvetik@mail.ru'</t>
  </si>
  <si>
    <t>55.428521,37.775999</t>
  </si>
  <si>
    <t>ОБЩЕСТВО С ОГРАНИЧЕННОЙ ОТВЕТСТВЕННОСТЬЮ "КОМПАНИЯ СТРОЙДОМИНВЕСТ"</t>
  </si>
  <si>
    <t>"КОМПАНИЯ СТРОЙДОМИНВЕСТ"</t>
  </si>
  <si>
    <t>5009073813</t>
  </si>
  <si>
    <t>142004, МОСКОВСКАЯ ОБЛАСТЬ, ГОРОД ДОМОДЕДОВО, УЛИЦА КОРНЕЕВА (ЦЕНТРАЛЬНЫЙ МКР.), 36, 80</t>
  </si>
  <si>
    <t>Кочикян Роберт Эминович</t>
  </si>
  <si>
    <t>55.920179,37.781605</t>
  </si>
  <si>
    <t>ОБЩЕСТВО С ОГРАНИЧЕННОЙ ОТВЕТСТВЕННОСТЬЮ "АЛЕКС"</t>
  </si>
  <si>
    <t>"АЛЕКС"</t>
  </si>
  <si>
    <t>5029264894</t>
  </si>
  <si>
    <t>141009, МОСКОВСКАЯ ОБЛАСТЬ, ГОРОДСКОЙ ОКРУГ МЫТИЩИ, Г МЫТИЩИ, УЛ АКАДЕМИКА КАРГИНА, Д 35, ЛИТЕР Б, ОБЪЕКТ, ПОМЕЩЕНИЕ 17</t>
  </si>
  <si>
    <t>Печерских Алексей Михайлович</t>
  </si>
  <si>
    <t>PROM140@YANDEX.RU'</t>
  </si>
  <si>
    <t>44.716617,37.783401</t>
  </si>
  <si>
    <t>ОБЩЕСТВО С ОГРАНИЧЕННОЙ ОТВЕТСТВЕННОСТЬЮ "СТРЭЙТ"</t>
  </si>
  <si>
    <t>"СТРЭЙТ"</t>
  </si>
  <si>
    <t>2315992708</t>
  </si>
  <si>
    <t>353900, КРАСНОДАРСКИЙ КРАЙ, Г. НОВОРОССИЙСК, УЛ. МИРА, Д. 24,..</t>
  </si>
  <si>
    <t>Горбенко Александр Васильевич</t>
  </si>
  <si>
    <t>+7 (918) 132-02-74', '+7 (918) 463-77-84'</t>
  </si>
  <si>
    <t>55.94448,37.785827</t>
  </si>
  <si>
    <t>ЗАКРЫТОЕ АКЦИОНЕРНОЕ ОБЩЕСТВО "ПЕРВАЯ БЕТОННАЯ КОМПАНИЯ"</t>
  </si>
  <si>
    <t>ЗАКРЫТОЕ "ПЕРВАЯ БЕТОННАЯ КОМПАНИЯ"</t>
  </si>
  <si>
    <t>5029074004</t>
  </si>
  <si>
    <t>МОСКОВСКАЯ ОБЛ.,Г МЫТИЩИ,УЛ ЩОРСА, Д 19</t>
  </si>
  <si>
    <t>Якушин Владимир Александрович</t>
  </si>
  <si>
    <t>+7 (495) 672-64-20'</t>
  </si>
  <si>
    <t>ОБЩЕСТВО С ОГРАНИЧЕННОЙ ОТВЕТСТВЕННОСТЬЮ "ПЕРВАЯ БЕТОННАЯ КОМПАНИЯ"</t>
  </si>
  <si>
    <t>"ПЕРВАЯ БЕТОННАЯ КОМПАНИЯ"</t>
  </si>
  <si>
    <t>5029205377</t>
  </si>
  <si>
    <t>141004, МОСКОВСКАЯ ОБЛАСТЬ, Г.О. МЫТИЩИ, Г. МЫТИЩИ, УЛ. ЩОРСА, Д. 19</t>
  </si>
  <si>
    <t>+7 (495) 583-65-01'</t>
  </si>
  <si>
    <t>55.74107,37.788019</t>
  </si>
  <si>
    <t>ОБЩЕСТВО С ОГРАНИЧЕННОЙ ОТВЕТСТВЕННОСТЬЮ "ЮНИКОН-ЗСК"</t>
  </si>
  <si>
    <t>"ЮНИКОН-ЗСК"</t>
  </si>
  <si>
    <t>7720367580</t>
  </si>
  <si>
    <t>111141, МОСКВА ГОРОД, УЛ. 2-Я ВЛАДИМИРСКАЯ, Д. 62А, СТР 13</t>
  </si>
  <si>
    <t>Гуляева Елена Александровна</t>
  </si>
  <si>
    <t>+7 (495) 775-99-05'</t>
  </si>
  <si>
    <t>55.914665,37.793777</t>
  </si>
  <si>
    <t>ОБЩЕСТВО С ОГРАНИЧЕННОЙ ОТВЕТСТВЕННОСТЬЮ ИСК "ГЕФЕСТ"</t>
  </si>
  <si>
    <t>ИСК "ГЕФЕСТ"</t>
  </si>
  <si>
    <t>5018211146</t>
  </si>
  <si>
    <t>141070, Московская область, КОРОЛЁВ, Г КОРОЛЁВ, УЛ ПИОНЕРСКАЯ, Д. 1, ОФИС 97</t>
  </si>
  <si>
    <t>Вдовин Борис Константинович</t>
  </si>
  <si>
    <t>LADVICE49@YANDEX.RU'</t>
  </si>
  <si>
    <t>55.962508,37.794891</t>
  </si>
  <si>
    <t>ОБЩЕСТВО С ОГРАНИЧЕННОЙ ОТВЕТСТВЕННОСТЬЮ "АВАНГАРД СФБ"</t>
  </si>
  <si>
    <t>"АВАНГАРД СФБ"</t>
  </si>
  <si>
    <t>5038134122</t>
  </si>
  <si>
    <t>141221, МОСКОВСКАЯ ОБЛАСТЬ, Г ПУШКИНО, ДП. ЧЕРКИЗОВО, УЛ. ГАННЫ ШОСТАК, Д. 2, ЛИТЕРА Б3, ПОМЕЩ. А7</t>
  </si>
  <si>
    <t>Клименко Дмитрий Николаевич</t>
  </si>
  <si>
    <t>sfb@yandex.ru'</t>
  </si>
  <si>
    <t>55.755312,37.795241</t>
  </si>
  <si>
    <t>ОБЩЕСТВО С ОГРАНИЧЕННОЙ ОТВЕТСТВЕННОСТЬЮ "ОРТОСТАТ"</t>
  </si>
  <si>
    <t>"ОРТОСТАТ"</t>
  </si>
  <si>
    <t>7720864832</t>
  </si>
  <si>
    <t>111397, Г.Москва, внутригородская территория города федерального значения МУНИЦИПАЛЬНЫЙ ОКРУГ ПЕРОВО, УЛ НОВОГИРЕЕВСКАЯ, Д. 28, ЭТАЖ 1, ПОМЕЩ. II (ЧАСТЬ)</t>
  </si>
  <si>
    <t>Жуков Станислав Антонович</t>
  </si>
  <si>
    <t>59.16555,37.800173</t>
  </si>
  <si>
    <t>ОБЩЕСТВО С ОГРАНИЧЕННОЙ ОТВЕТСТВЕННОСТЬЮ "ЭКСПЕРТСТРОЙ"</t>
  </si>
  <si>
    <t>"ЭКСПЕРТСТРОЙ"</t>
  </si>
  <si>
    <t>3528280136</t>
  </si>
  <si>
    <t>35-Вологодская область</t>
  </si>
  <si>
    <t>162604, ВОЛОГОДСКАЯ ОБЛАСТЬ, Г. ЧЕРЕПОВЕЦ, Ш. СЕВЕРНОЕ, Д. 46, КАБИНЕТ 26</t>
  </si>
  <si>
    <t>Морозов Евгений Борисович</t>
  </si>
  <si>
    <t>+7 (921) 836-24-35'</t>
  </si>
  <si>
    <t>55.811786,37.801134</t>
  </si>
  <si>
    <t>ОБЩЕСТВО С ОГРАНИЧЕННОЙ ОТВЕТСТВЕННОСТЬЮ "ПРОИЗВОДСТВЕННАЯ КОМПАНИЯ СК"</t>
  </si>
  <si>
    <t>"ПРОИЗВОДСТВЕННАЯ КОМПАНИЯ СК"</t>
  </si>
  <si>
    <t>9718182378</t>
  </si>
  <si>
    <t>107207, МОСКВА Г., УЛ. УРАЛЬСКАЯ, Д. 4,..</t>
  </si>
  <si>
    <t>Мокшин Владимир Геннадьевич</t>
  </si>
  <si>
    <t>54.010554,37.802428</t>
  </si>
  <si>
    <t>ОБЩЕСТВО С ОГРАНИЧЕННОЙ ОТВЕТСТВЕННОСТЬЮ ЖБИСТРОЙКОМПЛЕКТАЦИЯ</t>
  </si>
  <si>
    <t>ЖБИСТРОЙКОМПЛЕКТАЦИЯ</t>
  </si>
  <si>
    <t>7100019657</t>
  </si>
  <si>
    <t>301273, Тульская область, КИРЕЕВСКИЙ, 2 БОРОДИНСКОЕ, Д ХОМЯКОВКА, Д. 29</t>
  </si>
  <si>
    <t>Гомонюк Станислав Юрьевич</t>
  </si>
  <si>
    <t>SSTAS8015@GMAIL.COM'</t>
  </si>
  <si>
    <t>59.17138,37.803955</t>
  </si>
  <si>
    <t>3528160350</t>
  </si>
  <si>
    <t>162625, ВОЛОГОДСКАЯ ОБЛАСТЬ, ГОРОД ЧЕРЕПОВЕЦ, ШОССЕ СЕВЕРНОЕ, ДОМ 52, КАБИНЕТ 43</t>
  </si>
  <si>
    <t>Калмыков Валерий Михайлович</t>
  </si>
  <si>
    <t>55.71591,37.804179</t>
  </si>
  <si>
    <t>ОБЩЕСТВО С ОГРАНИЧЕННОЙ ОТВЕТСТВЕННОСТЬЮ "ДОМОДЕДОВСКИЙ КОМБИНАТ ЖЕЛЕЗОБЕТОННЫХ ИЗДЕЛИЙ №11"</t>
  </si>
  <si>
    <t>"ДОМОДЕДОВСКИЙ КОМБИНАТ ЖЕЛЕЗОБЕТОННЫХ ИЗДЕЛИЙ №11"</t>
  </si>
  <si>
    <t>9721113896</t>
  </si>
  <si>
    <t>109542, Г.Москва, внутригородская территория города федерального значения МУНИЦИПАЛЬНЫЙ ОКРУГ ВЫХИНО-ЖУЛЕБИНО, ПР-КТ РЯЗАНСКИЙ, Д. 91, К. 1, ЭТАЖ 1, ПОМЕЩ. 11/КОМ.2/ОФИС 59-7</t>
  </si>
  <si>
    <t>Аносов Вадим Игоревич</t>
  </si>
  <si>
    <t>55.673884,37.812713</t>
  </si>
  <si>
    <t>ОБЩЕСТВО С ОГРАНИЧЕННОЙ ОТВЕТСТВЕННОСТЬЮ "ОПТОВИК"</t>
  </si>
  <si>
    <t>"ОПТОВИК"</t>
  </si>
  <si>
    <t>7705555124</t>
  </si>
  <si>
    <t>109380, Г.Москва, внутригородская территория города федерального значения МУНИЦИПАЛЬНЫЙ ОКРУГ ЛЮБЛИНО, УЛ СТЕПАНА ШУТОВА, Д. 4, СТР. 1, ЭТАЖ 2, ПОМ/К/ОФ VI/8Б/2</t>
  </si>
  <si>
    <t>Коппонен Александр Викторович</t>
  </si>
  <si>
    <t>54.052655,37.815588</t>
  </si>
  <si>
    <t>7130507274</t>
  </si>
  <si>
    <t>301275, ТУЛЬСКАЯ ОБЛАСТЬ, РАЙОН КИРЕЕВСКИЙ, ДЕРЕВНЯ БОЛЬШИЕ КАЛМЫКИ, УЛИЦА ЦЕНТРАЛЬНАЯ, СКЛАД 1</t>
  </si>
  <si>
    <t>Григорян Азат Варданович</t>
  </si>
  <si>
    <t>+7 (920) 773-75-75'</t>
  </si>
  <si>
    <t>00@mail.ru'</t>
  </si>
  <si>
    <t>51.284777,37.819002</t>
  </si>
  <si>
    <t>ОБЩЕСТВО С ОГРАНИЧЕННОЙ ОТВЕТСТВЕННОСТЬЮ "ТУРБОТЕХ"</t>
  </si>
  <si>
    <t>"ТУРБОТЕХ"</t>
  </si>
  <si>
    <t>3128030501</t>
  </si>
  <si>
    <t>БЕЛГОРОДСКАЯ ОБЛ.,Г СТАРЫЙ ОСКОЛ,ПРОСП КОМСОМОЛЬСКИЙ, Д 73</t>
  </si>
  <si>
    <t>Гарькавый Виктор Николаевич</t>
  </si>
  <si>
    <t>55.921481,37.820268</t>
  </si>
  <si>
    <t>ОБЩЕСТВО С ОГРАНИЧЕННОЙ ОТВЕТСТВЕННОСТЬЮ ПК "БИС"</t>
  </si>
  <si>
    <t>ПК "БИС"</t>
  </si>
  <si>
    <t>5018201733</t>
  </si>
  <si>
    <t>141070, Московская область, городской округ КОРОЛЁВ, Город КОРОЛЁВ, УЛ КАРЛА МАРКСА, Д. 19,..</t>
  </si>
  <si>
    <t>Сычёв Роман Евгеньевич</t>
  </si>
  <si>
    <t>59.14733,37.821328</t>
  </si>
  <si>
    <t>ОБЩЕСТВО С ОГРАНИЧЕННОЙ ОТВЕТСТВЕННОСТЬЮ "Завод железобетонных изделий"</t>
  </si>
  <si>
    <t>"Завод железобетонных изделий"</t>
  </si>
  <si>
    <t>3528202106</t>
  </si>
  <si>
    <t>162604, ВОЛОГОДСКАЯ ОБЛАСТЬ, Г. ЧЕРЕПОВЕЦ, Ш. СЕВЕРНОЕ, Д.55, ОФИС 5</t>
  </si>
  <si>
    <t>Воробьев Максим Алексеевич</t>
  </si>
  <si>
    <t>+7 (900) 505-44-90'</t>
  </si>
  <si>
    <t>buhzbi@gmail.com'</t>
  </si>
  <si>
    <t>ОБЩЕСТВО С ОГРАНИЧЕННОЙ ОТВЕТСТВЕННОСТЬЮ "ЗЖБИ-35"</t>
  </si>
  <si>
    <t>"ЗЖБИ-35"</t>
  </si>
  <si>
    <t>3528331077</t>
  </si>
  <si>
    <t>162604, ВОЛОГОДСКАЯ ОБЛ., Г. Череповец, Ш. СЕВЕРНОЕ, Д. 55, ОФИС 10</t>
  </si>
  <si>
    <t>Калашников Виталий Федорович</t>
  </si>
  <si>
    <t>55.908469,37.829647</t>
  </si>
  <si>
    <t>ОБЩЕСТВО С ОГРАНИЧЕННОЙ ОТВЕТСТВЕННОСТЬЮ "СТРОИТЕЛЬСТВО И ИННОВАЦИИ"</t>
  </si>
  <si>
    <t>"СТРОИТЕЛЬСТВО И ИННОВАЦИИ"</t>
  </si>
  <si>
    <t>5018184774</t>
  </si>
  <si>
    <t>141074, МОСКОВСКАЯ ОБЛАСТЬ, Г. КОРОЛЁВ, УЛ. ПИОНЕРСКАЯ, Д. 30, К. 6, ПОМЕЩ. 02</t>
  </si>
  <si>
    <t>Буланов Петр Сергеевич</t>
  </si>
  <si>
    <t>+7 (916) 344-13-09'</t>
  </si>
  <si>
    <t>55.70772,37.830338</t>
  </si>
  <si>
    <t>ОБЩЕСТВО С ОГРАНИЧЕННОЙ ОТВЕТСТВЕННОСТЬЮ «АСР ЖБК»</t>
  </si>
  <si>
    <t>«АСР ЖБК»</t>
  </si>
  <si>
    <t>9721158061</t>
  </si>
  <si>
    <t>109542, Г.Москва, внутригородская территория города федерального значения МУНИЦИПАЛЬНЫЙ ОКРУГ ВЫХИНО-ЖУЛЕБИНО, ПР-КТ РЯЗАНСКИЙ, Д. 86/1, СТР. 3, ЭТАЖ/ПОМЕЩ./КОМ./ОФИС 3/IV/30А/Б2</t>
  </si>
  <si>
    <t>Воронин Андрей Викторович</t>
  </si>
  <si>
    <t>51.297974,37.833231</t>
  </si>
  <si>
    <t>ОБЩЕСТВО С ОГРАНИЧЕННОЙ ОТВЕТСТВЕННОСТЬЮ "ЦЕХ СТРОИТЕЛЬНЫХ МАТЕРИАЛОВ ГАРАНТ"</t>
  </si>
  <si>
    <t>"ЦЕХ СТРОИТЕЛЬНЫХ МАТЕРИАЛОВ ГАРАНТ"</t>
  </si>
  <si>
    <t>3128124630</t>
  </si>
  <si>
    <t>309504, БЕЛГОРОДСКАЯ ОБЛАСТЬ, ГОРОД СТАРЫЙ ОСКОЛ, ПЛОЩАДКА ПРОИЗВОДСТВЕННАЯ ПРОЕЗД-3 (ЮЗ П/Р ПРОМЗО, ДОМ 32, БЛОК 1</t>
  </si>
  <si>
    <t>Горбунов Антон Евгеньевич</t>
  </si>
  <si>
    <t>+7 (910) 369-50-28'</t>
  </si>
  <si>
    <t>ОБЩЕСТВО С ОГРАНИЧЕННОЙ ОТВЕТСТВЕННОСТЬЮ "ТЕХНОЛОГИЯ"</t>
  </si>
  <si>
    <t>"ТЕХНОЛОГИЯ"</t>
  </si>
  <si>
    <t>3128150005</t>
  </si>
  <si>
    <t>309517, БЕЛГОРОДСКАЯ ОБЛ., Г. Старый Оскол, ПЛ-КА ПРОИЗВОДСТВЕННАЯ ПРОЕЗД-3 (ЮЗ П/Р ПРОМЗОНА), Д. 58, СТР. 1, ПОМЕЩ. 2 ОФИС 4</t>
  </si>
  <si>
    <t>Черников Роман Сергеевич</t>
  </si>
  <si>
    <t>56.265117,37.834453</t>
  </si>
  <si>
    <t>5042094970</t>
  </si>
  <si>
    <t>141351, МОСКОВСКАЯ ОБЛАСТЬ, ГОРОД СЕРГИЕВ ПОСАД, ДЕРЕВНЯ ВАСЬКОВО, -, -, -</t>
  </si>
  <si>
    <t>Эрлих Борис Семёнович</t>
  </si>
  <si>
    <t>+7 (916) 243-93-07'</t>
  </si>
  <si>
    <t>55.637794,37.837013</t>
  </si>
  <si>
    <t>ОБЩЕСТВО С ОГРАНИЧЕННОЙ ОТВЕТСТВЕННОСТЬЮ "ВИКТОСТРОЙ"</t>
  </si>
  <si>
    <t>"ВИКТОСТРОЙ"</t>
  </si>
  <si>
    <t>5027264948</t>
  </si>
  <si>
    <t>140090, МОСКОВСКАЯ ОБЛАСТЬ, Г. ДЗЕРЖИНСКИЙ, УЛ. АКАДЕМИКА ЖУКОВА, Д. 2, ЦЕХ 2</t>
  </si>
  <si>
    <t>51.296025,37.837606</t>
  </si>
  <si>
    <t>ОБЩЕСТВО С ОГРАНИЧЕННОЙ ОТВЕТСТВЕННОСТЬЮ "Спектр"</t>
  </si>
  <si>
    <t>"Спектр"</t>
  </si>
  <si>
    <t>3128099694</t>
  </si>
  <si>
    <t>309514, БЕЛГОРОДСКАЯ ОБЛАСТЬ, Г. СТАРЫЙ ОСКОЛ, УЛ. ОКТЯБРЬСКАЯ, Д.5, К.А, ПОМЕЩЕНИЕ 7</t>
  </si>
  <si>
    <t>Паук Андрей Владимирович</t>
  </si>
  <si>
    <t>+7 (910) 366-18-88'</t>
  </si>
  <si>
    <t>56.007941,37.838504</t>
  </si>
  <si>
    <t>ОБЩЕСТВО С ОГРАНИЧЕННОЙ ОТВЕТСТВЕННОСТЬЮ "СК БЛОКПЛАСТ"</t>
  </si>
  <si>
    <t>"СК БЛОКПЛАСТ"</t>
  </si>
  <si>
    <t>5038130939</t>
  </si>
  <si>
    <t>141204, МОСКОВСКАЯ ОБЛАСТЬ, Г ПУШКИНО, УЛ. ГРИБОЕДОВА, Д. 7, ПОМЕЩЕНИЕ 101, КОМ. 4</t>
  </si>
  <si>
    <t>Лапин Сергей Иванович</t>
  </si>
  <si>
    <t>+7 (920) 300-57-87'</t>
  </si>
  <si>
    <t>51.25951,37.839052</t>
  </si>
  <si>
    <t>ОБЩЕСТВО С ОГРАНИЧЕННОЙ ОТВЕТСТВЕННОСТЬЮ "Блок"</t>
  </si>
  <si>
    <t>"Блок"</t>
  </si>
  <si>
    <t>3128087811</t>
  </si>
  <si>
    <t>309540, БЕЛГОРОДСКАЯ ОБЛ, СТАРЫЙ ОСКОЛ Г, ТЕРРИТОРИЯ ЗАВОДА З С И</t>
  </si>
  <si>
    <t>Малый Александр Николаевич</t>
  </si>
  <si>
    <t>55.919453,37.839564</t>
  </si>
  <si>
    <t>ОБЩЕСТВО С ОГРАНИЧЕННОЙ ОТВЕТСТВЕННОСТЬЮ "ЗК ГРУПП"</t>
  </si>
  <si>
    <t>"ЗК ГРУПП"</t>
  </si>
  <si>
    <t>5001106016</t>
  </si>
  <si>
    <t>МОСКОВСКАЯ ОБЛ.,Г КОРОЛЕВ,ПРОСП КОРОЛЕВА, Д 10 А,..</t>
  </si>
  <si>
    <t>Хачатрян Мовсес Арамаисович</t>
  </si>
  <si>
    <t>+7 (926) 249-08-30'</t>
  </si>
  <si>
    <t>55.331782,37.842043</t>
  </si>
  <si>
    <t>ОБЩЕСТВО С ОГРАНИЧЕННОЙ ОТВЕТСТВЕННОСТЬЮ "БЕЛОСТОЛБОВСКИЙ КИРПИЧНЫЙ ЗАВОД"</t>
  </si>
  <si>
    <t>"БЕЛОСТОЛБОВСКИЙ КИРПИЧНЫЙ ЗАВОД"</t>
  </si>
  <si>
    <t>5009116087</t>
  </si>
  <si>
    <t>142050, МОСКОВСКАЯ ОБЛАСТЬ, Г. ДОМОДЕДОВО, УЛ. АВЕНАРИУСА (БЕЛЫЕ СТОЛБЫ МКР.), Д. 22, ЗД. КИРПИЧНОГО ЦЕХА</t>
  </si>
  <si>
    <t>Бутушин Владимир Владимирович</t>
  </si>
  <si>
    <t>ОБЩЕСТВО С ОГРАНИЧЕННОЙ ОТВЕТСТВЕННОСТЬЮ "БИЗНЕС ИНДУСТРИЯ"</t>
  </si>
  <si>
    <t>"БИЗНЕС ИНДУСТРИЯ"</t>
  </si>
  <si>
    <t>5019026971</t>
  </si>
  <si>
    <t>142050, МОСКОВСКАЯ ОБЛАСТЬ, ГОРОД ДОМОДЕДОВО, УЛИЦА АВЕНАРИУСА (БЕЛЫЕ СТОЛБЫ МКР.), ДОМ 22, КОРПУС БЫТОВОЕ ЗДАНИЕ</t>
  </si>
  <si>
    <t>Потлов Семен Геннадьевич</t>
  </si>
  <si>
    <t>+7 (926) 101-11-11', '+7 (916) 748-05-51'</t>
  </si>
  <si>
    <t>bk@mail.ru'</t>
  </si>
  <si>
    <t>ОБЩЕСТВО С ОГРАНИЧЕННОЙ ОТВЕТСТВЕННОСТЬЮ ИНВЕСТИЦИОННАЯ ПРОИЗВОДСТВЕННАЯ КОМПАНИЯ "РР ДЕВЕЛОПМЕНТ"</t>
  </si>
  <si>
    <t>ИНВЕСТИЦИОННАЯ ПРОИЗВОДСТВЕННАЯ КОМПАНИЯ "РР ДЕВЕЛОПМЕНТ"</t>
  </si>
  <si>
    <t>7714373628</t>
  </si>
  <si>
    <t>142050, МОСКОВСКАЯ ОБЛАСТЬ, ГОРОД ДОМОДЕДОВО, УЛИЦА АВЕНАРИУСА (БЕЛЫЕ СТОЛБЫ МКР.), ДОМ 22, ЗДАНИЕ ЦЕХА, ЭТ/КОМН 2/17</t>
  </si>
  <si>
    <t>Путилин Александр Иванович</t>
  </si>
  <si>
    <t>+7 (916) 365-87-32'</t>
  </si>
  <si>
    <t>55.932349,37.84375</t>
  </si>
  <si>
    <t>ОБЩЕСТВО С ОГРАНИЧЕННОЙ ОТВЕТСТВЕННОСТЬЮ ПРОИЗВОДСТВЕННАЯ КОМПАНИЯ "СтройОснова"</t>
  </si>
  <si>
    <t>ПРОИЗВОДСТВЕННАЯ КОМПАНИЯ "СтройОснова"</t>
  </si>
  <si>
    <t>5018150119</t>
  </si>
  <si>
    <t>http://osnova-m.ru</t>
  </si>
  <si>
    <t>141090, МОСКОВСКАЯ ОБЛАСТЬ, Г. КОРОЛЁВ, УЛ. ПИОНЕРСКАЯ (ЮБИЛЕЙНЫЙ МКР), Д. 1/4, ОФИС 3</t>
  </si>
  <si>
    <t>Пивоваров Дмитрий Олегович</t>
  </si>
  <si>
    <t>+7 (495) 544-26-50', '+7 (495) 544-26-36'</t>
  </si>
  <si>
    <t>m@mail.ru'</t>
  </si>
  <si>
    <t>ОБЩЕСТВО С ОГРАНИЧЕННОЙ ОТВЕТСТВЕННОСТЬЮ "СОВРЕМЕННЫЕ СТРОИТЕЛЬНЫЕ ТЕХНОЛОГИИ"</t>
  </si>
  <si>
    <t>"СОВРЕМЕННЫЕ СТРОИТЕЛЬНЫЕ ТЕХНОЛОГИИ"</t>
  </si>
  <si>
    <t>5018194412</t>
  </si>
  <si>
    <t>141090, МОСКОВСКАЯ ОБЛ, КОРОЛЕВ Г, ЮБИЛЕЙНЫЙ МКР, ПИОНЕРСКАЯ УЛ, ДОМ 1/4, ПОМЕЩЕНИЕ XXI</t>
  </si>
  <si>
    <t>Бондаренко Виолетта Александровна</t>
  </si>
  <si>
    <t>igor@osnova-m'</t>
  </si>
  <si>
    <t>55.928633,37.843867</t>
  </si>
  <si>
    <t>5018201652</t>
  </si>
  <si>
    <t>141090, МОСКОВСКАЯ ОБЛ, КОРОЛЕВ Г, МАЯКОВСКОГО (ЮБИЛЕЙНЫЙ МКР) УЛ, ДОМ 2, ПОМЕЩЕНИЕ 033</t>
  </si>
  <si>
    <t>Сергеева Татьяна Валерьевна</t>
  </si>
  <si>
    <t>55.921768,37.844118</t>
  </si>
  <si>
    <t>ОБЩЕСТВО С ОГРАНИЧЕННОЙ ОТВЕТСТВЕННОСТЬЮ "НИК-СТРОЙ"</t>
  </si>
  <si>
    <t>"НИК-СТРОЙ"</t>
  </si>
  <si>
    <t>5018151289</t>
  </si>
  <si>
    <t>141078, МОСКОВСКАЯ ОБЛАСТЬ, Г. КОРОЛЁВ, ПР-КТ КОРОЛЕВА, Д.5Д, КОРПУС 1, ПОМЕЩЕНИЕ 053</t>
  </si>
  <si>
    <t>Степанян Арамаис Николаевич</t>
  </si>
  <si>
    <t>+7 (905) 777-75-77', '+7 (495) 974-90-10', '+7 (985) 100-10-09'</t>
  </si>
  <si>
    <t>55.942418,37.845268</t>
  </si>
  <si>
    <t>ОБЩЕСТВО С ОГРАНИЧЕННОЙ ОТВЕТСТВЕННОСТЬЮ "СВ-ЖБК"</t>
  </si>
  <si>
    <t>"СВ-ЖБК"</t>
  </si>
  <si>
    <t>5018210777</t>
  </si>
  <si>
    <t>141091, Московская область, городской округ КОРОЛЁВ, Город КОРОЛЁВ, МКР ЮБИЛЕЙНЫЙ, ТУП ГАРАЖНЫЙ, Д. 6, ОФИС 2, ПОМЕЩ. 029</t>
  </si>
  <si>
    <t>Рачилин Алексей Алексеевич</t>
  </si>
  <si>
    <t>55.076571,37.845861</t>
  </si>
  <si>
    <t>ОБЩЕСТВО С ОГРАНИЧЕННОЙ ОТВЕТСТВЕННОСТЬЮ "ЗАВОД БЕТОННЫХ ПЛИТ"</t>
  </si>
  <si>
    <t>"ЗАВОД БЕТОННЫХ ПЛИТ"</t>
  </si>
  <si>
    <t>5045064130</t>
  </si>
  <si>
    <t>142832, МОСКОВСКАЯ ОБЛАСТЬ, ГОРОД СТУПИНО, СЕЛО ИВАНОВСКОЕ, УЛИЦА ПАРКОВАЯ, ДОМ 1, ПОМЕЩЕНИЕ 3</t>
  </si>
  <si>
    <t>Тайдакова Ольга Александровна</t>
  </si>
  <si>
    <t>55.577475,37.845915</t>
  </si>
  <si>
    <t>ОБЩЕСТВО С ОГРАНИЧЕННОЙ ОТВЕТСТВЕННОСТЬЮ "БАУКЛАСТЕР"</t>
  </si>
  <si>
    <t>"БАУКЛАСТЕР"</t>
  </si>
  <si>
    <t>5003134717</t>
  </si>
  <si>
    <t>142714, МОСКОВСКАЯ ОБЛАСТЬ, ГОРОД ВИДНОЕ, СЕЛО ОСТРОВ, УЛИЦА ИНДУСТРИАЛЬНАЯ, ДОМ 5, ОФИС 59</t>
  </si>
  <si>
    <t>Никитенко Александр Петрович</t>
  </si>
  <si>
    <t>55.327285,37.847981</t>
  </si>
  <si>
    <t>ОБЩЕСТВО С ОГРАНИЧЕННОЙ ОТВЕТСТВЕННОСТЬЮ "ХАЙ-ЭНД"</t>
  </si>
  <si>
    <t>"ХАЙ-ЭНД"</t>
  </si>
  <si>
    <t>5009025471</t>
  </si>
  <si>
    <t>МОСКОВСКАЯ ОБЛ.,Г ДОМОДЕДОВО,УЛ ГЕОЛОГОВ, Д 6,..</t>
  </si>
  <si>
    <t>Бордачев Сергей Николаевич</t>
  </si>
  <si>
    <t>55.626655,37.848933</t>
  </si>
  <si>
    <t>ОБЩЕСТВО С ОГРАНИЧЕННОЙ ОТВЕТСТВЕННОСТЬЮ "СМП МАРКО"</t>
  </si>
  <si>
    <t>"СМП МАРКО"</t>
  </si>
  <si>
    <t>5027212650</t>
  </si>
  <si>
    <t>http://durisol.ru</t>
  </si>
  <si>
    <t>140090, МОСКОВСКАЯ ОБЛАСТЬ, ГОРОД ДЗЕРЖИНСКИЙ, УЛИЦА СПОРТИВНАЯ, ДОМ 6, ПОМЕЩЕНИЕ 50, КОМНАТА 1</t>
  </si>
  <si>
    <t>Рыжов Игорь Владимирович</t>
  </si>
  <si>
    <t>+7 (928) 296-03-04'</t>
  </si>
  <si>
    <t>MARKO@YANDEX.RU'</t>
  </si>
  <si>
    <t>51.273041,37.849805</t>
  </si>
  <si>
    <t>3128120868</t>
  </si>
  <si>
    <t>309500, БЕЛГОРОДСКАЯ ОБЛАСТЬ, Г. СТАРЫЙ ОСКОЛ, ПРОМЗОНА ЮЗ П/Р</t>
  </si>
  <si>
    <t>Грудий Александр Николаевич</t>
  </si>
  <si>
    <t>55.923044,37.854278</t>
  </si>
  <si>
    <t>Общество с ограниченной ответственностью "ПРОФФСТРОЙ"</t>
  </si>
  <si>
    <t>"ПРОФФСТРОЙ"</t>
  </si>
  <si>
    <t>5018183192</t>
  </si>
  <si>
    <t>141077, МОСКОВСКАЯ ОБЛАСТЬ, Г. КОРОЛЁВ, ПР-КТ КОРОЛЕВА, Д. 11А,..</t>
  </si>
  <si>
    <t>Дубинин Сергей Дмитриевич</t>
  </si>
  <si>
    <t>+7 (916) 804-51-02'</t>
  </si>
  <si>
    <t>44.864608,37.855401</t>
  </si>
  <si>
    <t>ОБЩЕСТВО С ОГРАНИЧЕННОЙ ОТВЕТСТВЕННОСТЬЮ "ГРОМ"</t>
  </si>
  <si>
    <t>"ГРОМ"</t>
  </si>
  <si>
    <t>2337018993</t>
  </si>
  <si>
    <t>КРАСНОДАРСКИЙ КРАЙ,КРЫМСКИЙ Р-Н,СТ-ЦА НИЖНЕБАКАНСКАЯ,УЛ ГОРЬКОГО, Д 53</t>
  </si>
  <si>
    <t>Голубятников Петр Евгеньевич</t>
  </si>
  <si>
    <t>55.648905,37.856497</t>
  </si>
  <si>
    <t>ОБЩЕСТВО С ОГРАНИЧЕННОЙ ОТВЕТСТВЕННОСТЬЮ ПРОИЗВОДСТВЕННАЯ КОМПАНИЯ "АППОЛОН"</t>
  </si>
  <si>
    <t>ПРОИЗВОДСТВЕННАЯ КОМПАНИЯ "АППОЛОН"</t>
  </si>
  <si>
    <t>5027293113</t>
  </si>
  <si>
    <t>140053, МОСКОВСКАЯ ОБЛ., Г. Котельники, МКР. СИЛИКАТ ПРОМЫШЛЕННАЯ ЗОНА, Д. 18</t>
  </si>
  <si>
    <t>Овакимян Эдгар Борисович</t>
  </si>
  <si>
    <t>+7 (901) 556-53-28'</t>
  </si>
  <si>
    <t>55.695834,37.858887</t>
  </si>
  <si>
    <t>ОБЩЕСТВО С ОГРАНИЧЕННОЙ ОТВЕТСТВЕННОСТЬЮ "ПРОМТЕХСТРОЙ"</t>
  </si>
  <si>
    <t>"ПРОМТЕХСТРОЙ"</t>
  </si>
  <si>
    <t>7709457600</t>
  </si>
  <si>
    <t>109153, МОСКВА ГОРОД, ПРОЕЗД 1-Й ЛЮБЕРЕЦКИЙ, ДОМ 2, СТРОЕНИЕ 1, ЭТАЖ 5 КОМ 510</t>
  </si>
  <si>
    <t>Левин Александр Станиславович</t>
  </si>
  <si>
    <t>+7 (495) 424-12-69', '+7 (916) 381-55-60'</t>
  </si>
  <si>
    <t>56.025251,37.859408</t>
  </si>
  <si>
    <t>ОБЩЕСТВО С ОГРАНИЧЕННОЙ ОТВЕТСТВЕННОСТЬЮ "МОСКОВСКИЙ БЕТОННЫЙ ЗАВОД"</t>
  </si>
  <si>
    <t>"МОСКОВСКИЙ БЕТОННЫЙ ЗАВОД"</t>
  </si>
  <si>
    <t>5038155958</t>
  </si>
  <si>
    <t>141202, МОСКОВСКАЯ ОБЛАСТЬ, Г ПУШКИНО, УЛ. ПРОСВЕЩЕНИЯ, Д. 8, К. 2,..</t>
  </si>
  <si>
    <t>Иноземцев Александр Сергеевич</t>
  </si>
  <si>
    <t>55.810516,37.862992</t>
  </si>
  <si>
    <t>7719861844</t>
  </si>
  <si>
    <t>105173, МОСКВА ГОРОД, УЛИЦА ЗАПАДНАЯ, ДОМ 6, СТРОЕНИЕ 18, ЭТАЖ 2, ПОМЕЩЕНИЕ V КОМНАТА №3</t>
  </si>
  <si>
    <t>Чурсин Руслан Иванович</t>
  </si>
  <si>
    <t>+7 (965) 160-13-63'</t>
  </si>
  <si>
    <t>7719861844_771901001@eo.tensor'</t>
  </si>
  <si>
    <t>55.925435,37.863837</t>
  </si>
  <si>
    <t>ОБЩЕСТВО С ОГРАНИЧЕННОЙ ОТВЕТСТВЕННОСТЬЮ "БЛОКПЛАСТБЕТОН"</t>
  </si>
  <si>
    <t>"БЛОКПЛАСТБЕТОН"</t>
  </si>
  <si>
    <t>5018140400</t>
  </si>
  <si>
    <t>http://blokplastbeton.ru</t>
  </si>
  <si>
    <t>141075, МОСКОВСКАЯ ОБЛАСТЬ, Г. КОРОЛЁВ, УЛ. М.ЦВЕТАЕВОЙ, Д. 1, ПОМЕЩ. 7</t>
  </si>
  <si>
    <t>Сазоненков Павел Петрович</t>
  </si>
  <si>
    <t>+7 (985) 303-95-45'</t>
  </si>
  <si>
    <t>55.981686,37.864007</t>
  </si>
  <si>
    <t>ОБЩЕСТВО С ОГРАНИЧЕННОЙ ОТВЕТСТВЕННОСТЬЮ "ХОГАН РУС"</t>
  </si>
  <si>
    <t>"ХОГАН РУС"</t>
  </si>
  <si>
    <t>5038165177</t>
  </si>
  <si>
    <t>141201, Московская область, ПУШКИНСКИЙ, Г ПУШКИНО, Ш ЯРОСЛАВСКОЕ, Д. 2В, ОФИС 412</t>
  </si>
  <si>
    <t>Зиновьев Евгений Михайлович</t>
  </si>
  <si>
    <t>89858012649@MAIL.RU'</t>
  </si>
  <si>
    <t>55.995599,37.864286</t>
  </si>
  <si>
    <t>ОБЩЕСТВО С ОГРАНИЧЕННОЙ ОТВЕТСТВЕННОСТЬЮ  "МОНОЛИТТОРГСТРОЙ"</t>
  </si>
  <si>
    <t xml:space="preserve"> "МОНОЛИТТОРГСТРОЙ"</t>
  </si>
  <si>
    <t>5038154190</t>
  </si>
  <si>
    <t>141205, Московская область, городской округ ПУШКИНСКИЙ, Город ПУШКИНО, Ш ПУШКИНСКОЕ, Д. 4А, ОФИС 37</t>
  </si>
  <si>
    <t>Мазаева Ирина Николаевна</t>
  </si>
  <si>
    <t>55.776274,37.864429</t>
  </si>
  <si>
    <t>5041023510</t>
  </si>
  <si>
    <t>МОСКОВСКАЯ ОБЛ.,Г РЕУТОВ,ПРОСП МИРА, Д 73</t>
  </si>
  <si>
    <t>Тоирова Юлия Сергеевна</t>
  </si>
  <si>
    <t>+7 (495) 525-10-70'</t>
  </si>
  <si>
    <t>55.914358,37.866738</t>
  </si>
  <si>
    <t>ОБЩЕСТВО С ОГРАНИЧЕННОЙ ОТВЕТСТВЕННОСТЬЮ "СМАРТ-БЛОК"</t>
  </si>
  <si>
    <t>"СМАРТ-БЛОК"</t>
  </si>
  <si>
    <t>5018210505</t>
  </si>
  <si>
    <t>141080, Московская область, КОРОЛЁВ, Г КОРОЛЁВ, ПР-КТ КОСМОНАВТОВ, Д. 20А</t>
  </si>
  <si>
    <t>Орлов Павел Евгеньевич</t>
  </si>
  <si>
    <t>55.674027,37.871553</t>
  </si>
  <si>
    <t>ОБЩЕСТВО С ОГРАНИЧЕННОЙ ОТВЕТСТВЕННОСТЬЮ "ТРОТУАР"</t>
  </si>
  <si>
    <t>"ТРОТУАР"</t>
  </si>
  <si>
    <t>5027201987</t>
  </si>
  <si>
    <t>140011, МОСКОВСКАЯ ОБЛАСТЬ, Г. ЛЮБЕРЦЫ, УЛ. ШОССЕЙНАЯ, Д.10,..</t>
  </si>
  <si>
    <t>Киракосян Арутюн Киракосович</t>
  </si>
  <si>
    <t>+7 (926) 660-88-81'</t>
  </si>
  <si>
    <t>59.128394,37.872775</t>
  </si>
  <si>
    <t>ОБЩЕСТВО С ОГРАНИЧЕННОЙ ОТВЕТСТВЕННОСТЬЮ "ТРОТУАРНАЯ ПЛИТКА"</t>
  </si>
  <si>
    <t>"ТРОТУАРНАЯ ПЛИТКА"</t>
  </si>
  <si>
    <t>3528331013</t>
  </si>
  <si>
    <t>162611, ВОЛОГОДСКАЯ ОБЛ., Г. Череповец, УЛ. ЧКАЛОВА, Д. 23А, ОФИС 52</t>
  </si>
  <si>
    <t>Бреславец Александр Иванович</t>
  </si>
  <si>
    <t>STROMIKS@LIST.RU'</t>
  </si>
  <si>
    <t>59.124021,37.880931</t>
  </si>
  <si>
    <t>ОБЩЕСТВО С ОГРАНИЧЕННОЙ ОТВЕТСТВЕННОСТЬЮ "Производственное предприятие "Завод Вибропрессованных Бетонных Изделий"</t>
  </si>
  <si>
    <t>"Производственное предприятие "Завод Вибропрессованных Бетонных Изделий"</t>
  </si>
  <si>
    <t>3528197181</t>
  </si>
  <si>
    <t>162611, ВОЛОГОДСКАЯ ОБЛ., Г. Череповец, УЛ. УСТЮЖЕНСКАЯ, Д. 1А, ОФИС 8</t>
  </si>
  <si>
    <t>Сироткина Галина Александровна</t>
  </si>
  <si>
    <t>+7 (931) 511-85-15'</t>
  </si>
  <si>
    <t>07@yandex.ru', '07@yandex.ru'</t>
  </si>
  <si>
    <t>ОБЩЕСТВО С ОГРАНИЧЕННОЙ ОТВЕТСТВЕННОСТЬЮ "ЧЕРЕПОВЕЦКИЙ КАМЕНЬ"</t>
  </si>
  <si>
    <t>"ЧЕРЕПОВЕЦКИЙ КАМЕНЬ"</t>
  </si>
  <si>
    <t>3528299970</t>
  </si>
  <si>
    <t>162611, ВОЛОГОДСКАЯ ОБЛ, ЧЕРЕПОВЕЦ Г, УСТЮЖЕНСКАЯ УЛ, ДОМ 1А, ОФИС 6</t>
  </si>
  <si>
    <t>Ганичева Светлана Валентиновна</t>
  </si>
  <si>
    <t>56.051868,37.882234</t>
  </si>
  <si>
    <t>ОБЩЕСТВО С ОГРАНИЧЕННОЙ ОТВЕТСТВЕННОСТЬЮ "ПСК"</t>
  </si>
  <si>
    <t>"ПСК"</t>
  </si>
  <si>
    <t>5038105668</t>
  </si>
  <si>
    <t>141216, МОСКОВСКАЯ ОБЛАСТЬ, Г ПУШКИНО, С БРАТОВЩИНА, УЛ. ЦЕНТРАЛЬНАЯ, Д. 90В</t>
  </si>
  <si>
    <t>Овсоян Арташес Суренович</t>
  </si>
  <si>
    <t>+7 (963) 782-76-58'</t>
  </si>
  <si>
    <t>1@mail.ru'</t>
  </si>
  <si>
    <t>55.675727,37.88351</t>
  </si>
  <si>
    <t>ОБЩЕСТВО С ОГРАНИЧЕННОЙ ОТВЕТСТВЕННОСТЬЮ "ТОРГОВО ПРОИЗВОДСТВЕННАЯ КОМПАНИЯ "СТОЛИЦА"</t>
  </si>
  <si>
    <t>"ТОРГОВО ПРОИЗВОДСТВЕННАЯ КОМПАНИЯ "СТОЛИЦА"</t>
  </si>
  <si>
    <t>5027276020</t>
  </si>
  <si>
    <t>140005, МОСКОВСКАЯ ОБЛАСТЬ, ГОРОД ЛЮБЕРЦЫ, УЛИЦА КИРОВА, ДОМ 20А, ОФИС 421А</t>
  </si>
  <si>
    <t>Демидеев Сергей Николаевич</t>
  </si>
  <si>
    <t>55.670569,37.884147</t>
  </si>
  <si>
    <t>ОБЩЕСТВО С ОГРАНИЧЕННОЙ ОТВЕТСТВЕННОСТЬЮ "ИНВЕСТСТРОЙ ЛОГИСТИК"</t>
  </si>
  <si>
    <t>"ИНВЕСТСТРОЙ ЛОГИСТИК"</t>
  </si>
  <si>
    <t>5027282873</t>
  </si>
  <si>
    <t>140003, МОСКОВСКАЯ ОБЛАСТЬ, ГОРОД ЛЮБЕРЦЫ, УЛИЦА МОСКОВСКАЯ, ДОМ 5, ПОМЕЩЕНИЕ/ОФИС 005/3</t>
  </si>
  <si>
    <t>Краснышева Мария Евгеньевна</t>
  </si>
  <si>
    <t>59.124247,37.886447</t>
  </si>
  <si>
    <t>ОБЩЕСТВО С ОГРАНИЧЕННОЙ ОТВЕТСТВЕННОСТЬЮ "ПРОИЗВОДСТВЕННАЯ КОМПАНИЯ БЕТОН-ПРОФИ"</t>
  </si>
  <si>
    <t>"ПРОИЗВОДСТВЕННАЯ КОМПАНИЯ БЕТОН-ПРОФИ"</t>
  </si>
  <si>
    <t>3528204456</t>
  </si>
  <si>
    <t>162611, ВОЛОГОДСКАЯ ОБЛАСТЬ, Г. ЧЕРЕПОВЕЦ, ПР-КТ СТРОИТЕЛЕЙ, Д.43,..</t>
  </si>
  <si>
    <t>Коровин Владимир Сергеевич</t>
  </si>
  <si>
    <t>54.165357,37.889735</t>
  </si>
  <si>
    <t>ОБЩЕСТВО С ОГРАНИЧЕННОЙ ОТВЕТСТВЕННОСТЬЮ "РБЛОК"</t>
  </si>
  <si>
    <t>"РБЛОК"</t>
  </si>
  <si>
    <t>7100018163</t>
  </si>
  <si>
    <t>301285, Тульская область, КИРЕЕВСКИЙ, 2 КРАСНОЯРСКОЕ, П КРАСНЫЙ ЯР, УЛ СОВЕТСКАЯ, Д. 11</t>
  </si>
  <si>
    <t>Белян Николай Александрович</t>
  </si>
  <si>
    <t>RBLOCK2022@MAIL.RU'</t>
  </si>
  <si>
    <t>59.121458,37.890975</t>
  </si>
  <si>
    <t>ОБЩЕСТВО С ОГРАНИЧЕННОЙ ОТВЕТСТВЕННОСТЬЮ "АСН БЕТОН ГРУПП"</t>
  </si>
  <si>
    <t>"АСН БЕТОН ГРУПП"</t>
  </si>
  <si>
    <t>3528298630</t>
  </si>
  <si>
    <t>162611, ВОЛОГОДСКАЯ ОБЛАСТЬ, Г. ЧЕРЕПОВЕЦ, УЛ. ЛОМОНОСОВА, Д. 12 А,..</t>
  </si>
  <si>
    <t>Снитко Михаил Владимирович</t>
  </si>
  <si>
    <t>55.661714,37.893804</t>
  </si>
  <si>
    <t>ОБЩЕСТВО С ОГРАНИЧЕННОЙ ОТВЕТСТВЕННОСТЬЮ "КИВЛАР"</t>
  </si>
  <si>
    <t>"КИВЛАР"</t>
  </si>
  <si>
    <t>5027295833</t>
  </si>
  <si>
    <t>140000, Московская область, городской округ ЛЮБЕРЦЫ, Город ЛЮБЕРЦЫ, ПРОЕЗД КОТЕЛЬНИЧЕСКИЙ, Д. 27А, ОФИС 2</t>
  </si>
  <si>
    <t>Кондуков Кирилл Витальевич</t>
  </si>
  <si>
    <t>54.799812,37.895215</t>
  </si>
  <si>
    <t>ОБЩЕСТВО С ОГРАНИЧЕННОЙ ОТВЕТСТВЕННОСТЬЮ "ОСИ УСПЕХА"</t>
  </si>
  <si>
    <t>"ОСИ УСПЕХА"</t>
  </si>
  <si>
    <t>7100023526</t>
  </si>
  <si>
    <t>301049, Тульская область, муниципальный район ЯСНОГОРСКИЙ, Д ПОДОСИНКИ, сельское поселение ИВАНЬКОВСКОЕ, ТЕР. ТСН РАДУЖНОЕ, Д. 207,</t>
  </si>
  <si>
    <t>Китанина Ольга Николаевна</t>
  </si>
  <si>
    <t>55.972741,37.89596</t>
  </si>
  <si>
    <t>ОБЩЕСТВО С ОГРАНИЧЕННОЙ ОТВЕТСТВЕННОСТЬЮ "ГК "МОНТАДЕКО"</t>
  </si>
  <si>
    <t>"ГК "МОНТАДЕКО"</t>
  </si>
  <si>
    <t>7723488960</t>
  </si>
  <si>
    <t>141280, МОСКОВСКАЯ ОБЛАСТЬ, Г ПУШКИНО, Г. ИВАНТЕЕВКА, УЛ. ЗАВОДСКАЯ, Д. 12, ПОМЕЩ. 014 (КОМ. 1)</t>
  </si>
  <si>
    <t>Демидов Егор Евгеньевич</t>
  </si>
  <si>
    <t>ceo@montadeco.com'</t>
  </si>
  <si>
    <t>55.972635,37.896427</t>
  </si>
  <si>
    <t>ОБЩЕСТВО С ОГРАНИЧЕННОЙ ОТВЕТСТВЕННОСТЬЮ "ПРОМСТАНДАРТ ПЛЮС"</t>
  </si>
  <si>
    <t>"ПРОМСТАНДАРТ ПЛЮС"</t>
  </si>
  <si>
    <t>5038153284</t>
  </si>
  <si>
    <t>141280, МОСКОВСКАЯ ОБЛАСТЬ, Г ПУШКИНО, Г. ИВАНТЕЕВКА, УЛ. ЗАВОДСКАЯ, Д. 12, ПОМ 001</t>
  </si>
  <si>
    <t>Каримов Антон Викторович</t>
  </si>
  <si>
    <t>59.118908,37.896661</t>
  </si>
  <si>
    <t>3528251417</t>
  </si>
  <si>
    <t>162602, ВОЛОГОДСКАЯ ОБЛ, ЧЕРЕПОВЕЦ Г, ПАРКОВАЯ УЛ, ДОМ 10,..</t>
  </si>
  <si>
    <t>Юшин Александр Сергеевич</t>
  </si>
  <si>
    <t>59.090176,37.905644</t>
  </si>
  <si>
    <t>ОБЩЕСТВО С ОГРАНИЧЕННОЙ ОТВЕТСТВЕННОСТЬЮ "ХОРОШИЙ БЕТОН"</t>
  </si>
  <si>
    <t>"ХОРОШИЙ БЕТОН"</t>
  </si>
  <si>
    <t>3528247234</t>
  </si>
  <si>
    <t>162609, ВОЛОГОДСКАЯ ОБЛ, ЧЕРЕПОВЕЦ Г, НАСЕДКИНА УЛ, ДОМ 25, ОФИС 1</t>
  </si>
  <si>
    <t>Васильев Олег Валерьевич</t>
  </si>
  <si>
    <t>+7 (981) 509-62-24'</t>
  </si>
  <si>
    <t>55.626319,37.906336</t>
  </si>
  <si>
    <t>ОБЩЕСТВО С ОГРАНИЧЕННОЙ ОТВЕТСТВЕННОСТЬЮ "ЛИДЕР СТРОЙ"</t>
  </si>
  <si>
    <t>"ЛИДЕР СТРОЙ"</t>
  </si>
  <si>
    <t>7701781348</t>
  </si>
  <si>
    <t>140186, МОСКОВСКАЯ ОБЛАСТЬ, Г. ЛЮБЕРЦЫ, Д ТОКАРЕВО, УЛ. ПЕТРОВСКОЕ ПОЛЕ, УЧРЕЖДЕНИЕ 1</t>
  </si>
  <si>
    <t>Сагателян Рафаел Сурикович</t>
  </si>
  <si>
    <t>+7 (495) 555-13-33'</t>
  </si>
  <si>
    <t>55.67062,37.90709</t>
  </si>
  <si>
    <t>ОБЩЕСТВО С ОГРАНИЧЕННОЙ ОТВЕТСТВЕННОСТЬЮ "АРТИ"</t>
  </si>
  <si>
    <t>"АРТИ"</t>
  </si>
  <si>
    <t>5027131095</t>
  </si>
  <si>
    <t>140002, МОСКОВСКАЯ ОБЛАСТЬ, ГОРОДСКОЙ ОКРУГ ЛЮБЕРЦЫ, Г ЛЮБЕРЦЫ, ПР-КТ ОКТЯБРЬСКИЙ, Д. 293/301, ЭТ. 1, ПОМ. I, ОФ. 2А</t>
  </si>
  <si>
    <t>Гущян Саргис Арамович</t>
  </si>
  <si>
    <t>+7 (916) 061-70-00', '+7 (963) 750-42-58'</t>
  </si>
  <si>
    <t>55.976201,37.907414</t>
  </si>
  <si>
    <t>ОБЩЕСТВО С ОГРАНИЧЕННОЙ ОТВЕТСТВЕННОСТЬЮ "ГК ЭСТЕЙТДЕКОР"</t>
  </si>
  <si>
    <t>"ГК ЭСТЕЙТДЕКОР"</t>
  </si>
  <si>
    <t>5038159991</t>
  </si>
  <si>
    <t>141282, МОСКОВСКАЯ ОБЛ., Г. Ивантеевка, УЛ. НОВАЯ СЛОБОДА, Д. 3, ЭТ./ПОМЕЩ. 1/021</t>
  </si>
  <si>
    <t>Герасименко Елена Юрьевна</t>
  </si>
  <si>
    <t>GSAELENA@YANDEX.RU'</t>
  </si>
  <si>
    <t>55.315611,37.90833</t>
  </si>
  <si>
    <t>ОБЩЕСТВО С ОГРАНИЧЕННОЙ ОТВЕТСТВЕННОСТЬЮ "БЕР ГРУПП"</t>
  </si>
  <si>
    <t>"БЕР ГРУПП"</t>
  </si>
  <si>
    <t>5050103650</t>
  </si>
  <si>
    <t>142050, МОСКОВСКАЯ ОБЛАСТЬ, ГОРОДСКОЙ ОКРУГ ДОМОДЕДОВО, ДЕРЕВНЯ ШАХОВО, СТРОЕНИЕ 50, ЛИТЕРА Б, ПОМЕЩЕНИЕ 4</t>
  </si>
  <si>
    <t>Черняков Олег Михайлович</t>
  </si>
  <si>
    <t>+7 (495) 526-33-08', '+7 (903) 737-53-13', '+7 (915) 290-90-55'</t>
  </si>
  <si>
    <t>beargroup@bk.ru'</t>
  </si>
  <si>
    <t>55.78114,37.910001</t>
  </si>
  <si>
    <t>ОБЩЕСТВО С ОГРАНИЧЕННОЙ ОТВЕТСТВЕННОСТЬЮ "ЗОЛОТОЙ КАМЕНЬ"</t>
  </si>
  <si>
    <t>"ЗОЛОТОЙ КАМЕНЬ"</t>
  </si>
  <si>
    <t>5001127513</t>
  </si>
  <si>
    <t>143900, МОСКОВСКАЯ ОБЛ, БАЛАШИХА Г, СУВОРОВСКАЯ (НИКОЛЬСКО-АРХАНГЕЛЬСКИЙ МКР УЛ, ДОМ 11</t>
  </si>
  <si>
    <t>Хачатрян Артур Мовсесович</t>
  </si>
  <si>
    <t>59.122806,37.913415</t>
  </si>
  <si>
    <t>ОБЩЕСТВО С ОГРАНИЧЕННОЙ ОТВЕТСТВЕННОСТЬЮ "ТОРГОВЫЙ ДОМ "РУССТРОЙБЕТОН"</t>
  </si>
  <si>
    <t>""РУССТРОЙБЕТОН"</t>
  </si>
  <si>
    <t>3528207672</t>
  </si>
  <si>
    <t>ВОЛОГОДСКАЯ ОБЛ.,Г ЧЕРЕПОВЕЦ,УЛ К ЛИБКНЕХТА, Д 61</t>
  </si>
  <si>
    <t>Ванёва-Вантеева Наталья Алексеевна</t>
  </si>
  <si>
    <t>55.670879,37.916011</t>
  </si>
  <si>
    <t>ОБЩЕСТВО С ОГРАНИЧЕННОЙ ОТВЕТСТВЕННОСТЬЮ "ЗАВОД ЖЕЛЕЗОБЕТОННЫХ ИЗДЕЛИЙ И МЕТАЛЛОКОНСТРУКЦИЙ "РУ КВАДРАТ"</t>
  </si>
  <si>
    <t>"ЗАВОД ЖЕЛЕЗОБЕТОННЫХ ИЗДЕЛИЙ И МЕТАЛЛОКОНСТРУКЦИЙ "РУ КВАДРАТ"</t>
  </si>
  <si>
    <t>5027279849</t>
  </si>
  <si>
    <t>140014, МОСКОВСКАЯ ОБЛАСТЬ, ГОРОД ЛЮБЕРЦЫ, УЛИЦА ЭЛЕКТРИФИКАЦИИ, ДОМ 3, ЛИТЕР В, ЭТАЖ/ОФИС 3/22</t>
  </si>
  <si>
    <t>Рудой Александр Александрович</t>
  </si>
  <si>
    <t>59.12723,37.916145</t>
  </si>
  <si>
    <t>ОБЩЕСТВО С ОГРАНИЧЕННОЙ ОТВЕТСТВЕННОСТЬЮ "КОМПОЗИТНЫЕ МАТЕРИАЛЫ"</t>
  </si>
  <si>
    <t>"КОМПОЗИТНЫЕ МАТЕРИАЛЫ"</t>
  </si>
  <si>
    <t>3528286064</t>
  </si>
  <si>
    <t>162602, ВОЛОГОДСКАЯ ОБЛАСТЬ, Г. ЧЕРЕПОВЕЦ, УЛ. ВЕРЕЩАГИНА, Д. 40,..</t>
  </si>
  <si>
    <t>Артемьева Ирина Васильевна</t>
  </si>
  <si>
    <t>+7 (900) 548-89-50'</t>
  </si>
  <si>
    <t>51.229982,37.918625</t>
  </si>
  <si>
    <t>ОБЩЕСТВО С ОГРАНИЧЕННОЙ ОТВЕТСТВЕННОСТЬЮ «ЖБИ-31»</t>
  </si>
  <si>
    <t>«ЖБИ-31»</t>
  </si>
  <si>
    <t>3128151320</t>
  </si>
  <si>
    <t>309540, БЕЛГОРОДСКАЯ ОБЛ., Г. Старый Оскол, ПЛ-КА МОНТАЖНАЯ ПРОЕЗД Ш-5 (СТАНЦИЯ КОТЕЛ ПРОМУЗЕЛ ТЕР.), Д. 14, ЭТАЖ 3 ПОМЕЩ. 8</t>
  </si>
  <si>
    <t xml:space="preserve"> Генеральный Директор Жуков Максим Вячеславович</t>
  </si>
  <si>
    <t>55.969794,37.924904</t>
  </si>
  <si>
    <t>ОБЩЕСТВО С ОГРАНИЧЕННОЙ ОТВЕТСТВЕННОСТЬЮ "КУЛЬТУРА ЛЕПНИНЫ"</t>
  </si>
  <si>
    <t>"КУЛЬТУРА ЛЕПНИНЫ"</t>
  </si>
  <si>
    <t>7722585344</t>
  </si>
  <si>
    <t>141281, МОСКОВСКАЯ ОБЛАСТЬ, Г ПУШКИНО, Г. ИВАНТЕЕВКА, УЛ. ЗАРЕЧНАЯ, Д. 1, ЗД. АДМИНИСТРАТИВНОЕ, ЭТ/ПОМ 3/94</t>
  </si>
  <si>
    <t>Щелёва Татьяна Александровна</t>
  </si>
  <si>
    <t>+7 (495) 220-96-24', '+7 (495) 772-50-17'</t>
  </si>
  <si>
    <t>59.082062,37.926171</t>
  </si>
  <si>
    <t>ОБЩЕСТВО С ОГРАНИЧЕННОЙ ОТВЕТСТВЕННОСТЬЮ "ИНДУСТРИЯ"</t>
  </si>
  <si>
    <t>"ИНДУСТРИЯ"</t>
  </si>
  <si>
    <t>3528295936</t>
  </si>
  <si>
    <t>162627, Вологодская область, городской округ ГОРОД ЧЕРЕПОВЕЦ, Город ЧЕРЕПОВЕЦ, ПР-КТ ОКТЯБРЬСКИЙ, Д. 94,..</t>
  </si>
  <si>
    <t>Белякова Елена Николаевна</t>
  </si>
  <si>
    <t>+7 (937) 843-63-80'</t>
  </si>
  <si>
    <t>59.127295,37.929198</t>
  </si>
  <si>
    <t>ОБЩЕСТВО С ОГРАНИЧЕННОЙ ОТВЕТСТВЕННОСТЬЮ "ФОРТИССТРОЙ"</t>
  </si>
  <si>
    <t>"ФОРТИССТРОЙ"</t>
  </si>
  <si>
    <t>3528233545</t>
  </si>
  <si>
    <t>162622, ВОЛОГОДСКАЯ ОБЛАСТЬ, Г. ЧЕРЕПОВЕЦ, ПР-КТ СОВЕТСКИЙ, Д. 61,..</t>
  </si>
  <si>
    <t>Морозов Дмитрий Валентинович</t>
  </si>
  <si>
    <t>+7 (921) 723-31-56', '+7 (921) 718-05-48'</t>
  </si>
  <si>
    <t>audit@mail.ru'</t>
  </si>
  <si>
    <t>59.127258,37.930195</t>
  </si>
  <si>
    <t>ОБЩЕСТВО С ОГРАНИЧЕННОЙ ОТВЕТСТВЕННОСТЬЮ "ТРЕСТ-ЖБИ"</t>
  </si>
  <si>
    <t>"ТРЕСТ-ЖБИ"</t>
  </si>
  <si>
    <t>3528306553</t>
  </si>
  <si>
    <t>162622, ВОЛОГОДСКАЯ ОБЛАСТЬ, ГОРОД ЧЕРЕПОВЕЦ, ПРОСПЕКТ СОВЕТСКИЙ, ДОМ 73, ОФИС 310</t>
  </si>
  <si>
    <t>Денисов Игорь Владимирович</t>
  </si>
  <si>
    <t>+7 (931) 513-22-84'</t>
  </si>
  <si>
    <t>56.131245,37.934893</t>
  </si>
  <si>
    <t>ОБЩЕСТВО С ОГРАНИЧЕННОЙ ОТВЕТСТВЕННОСТЬЮ "1 ЗАВОД ЖЕЛЕЗОБЕТОННЫХ СТОЕК"</t>
  </si>
  <si>
    <t>"1 ЗАВОД ЖЕЛЕЗОБЕТОННЫХ СТОЕК"</t>
  </si>
  <si>
    <t>5038132460</t>
  </si>
  <si>
    <t>141270, МОСКОВСКАЯ ОБЛАСТЬ, Г ПУШКИНО, РП СОФРИНО, УЛ. ЛЕНИНА, Д. 4, КОМ. 9</t>
  </si>
  <si>
    <t>Новикова Евгения Викторовна</t>
  </si>
  <si>
    <t>+7 (915) 325-77-31'</t>
  </si>
  <si>
    <t>55.7032,37.935432</t>
  </si>
  <si>
    <t>ОБЩЕСТВО С ОГРАНИЧЕННОЙ ОТВЕТСТВЕННОСТЬЮ "ДОМОСТРОИТЕЛЬНЫЙ КОМБИНАТ"</t>
  </si>
  <si>
    <t>"ДОМОСТРОИТЕЛЬНЫЙ КОМБИНАТ"</t>
  </si>
  <si>
    <t>9721138442</t>
  </si>
  <si>
    <t>111674, Г.Москва, внутригородская территория города федерального значения МУНИЦИПАЛЬНЫЙ ОКРУГ НЕКРАСОВКА, УЛ НЕДОРУБОВА, Д. 20, К. 1, ПОМЕЩ. VII ОФ19 ЭТ 1</t>
  </si>
  <si>
    <t>Николаев Игорь Игоревич</t>
  </si>
  <si>
    <t>55.836575,37.937462</t>
  </si>
  <si>
    <t>5047200967</t>
  </si>
  <si>
    <t>143909, Московская область, городской округ БАЛАШИХА, Город БАЛАШИХА, УЛ ЛУКИНО, Д. 51А, ПОМЕЩ. 10</t>
  </si>
  <si>
    <t xml:space="preserve"> Генеральный Директор Зимонов Андрей Владимирович</t>
  </si>
  <si>
    <t>+7 (499) 750-14-14'</t>
  </si>
  <si>
    <t>55.797007,37.938118</t>
  </si>
  <si>
    <t>ОБЩЕСТВО С ОГРАНИЧЕННОЙ ОТВЕТСТВЕННОСТЬЮ "МАНУФАКТУРА"</t>
  </si>
  <si>
    <t>"МАНУФАКТУРА"</t>
  </si>
  <si>
    <t>5001109257</t>
  </si>
  <si>
    <t>143912, МОСКОВСКАЯ ОБЛ, БАЛАШИХА Г, ФЛЕРОВА УЛ, ДОМ 2, ПОМЕЩЕНИЕ II, ЛИТ. А</t>
  </si>
  <si>
    <t>Сипко Артем Юрьевич</t>
  </si>
  <si>
    <t>+7 (925) 785-16-98'</t>
  </si>
  <si>
    <t>55.501886,37.949302</t>
  </si>
  <si>
    <t>ОБЩЕСТВО С ОГРАНИЧЕННОЙ ОТВЕТСТВЕННОСТЬЮ "ЭКОДОМ"</t>
  </si>
  <si>
    <t>"ЭКОДОМ"</t>
  </si>
  <si>
    <t>5003145476</t>
  </si>
  <si>
    <t>142713, МОСКОВСКАЯ ОБЛ., Г. Видное, П. Володарского, УЛ. ЦЕНТРАЛЬНАЯ, Д. 30, ОФИС 39Н ЭТАЖ 2</t>
  </si>
  <si>
    <t>Ализаде Ольга Ивановна</t>
  </si>
  <si>
    <t>95@MAIL.RU'</t>
  </si>
  <si>
    <t>55.66306,37.953794</t>
  </si>
  <si>
    <t>ОБЩЕСТВО С ОГРАНИЧЕННОЙ ОТВЕТСТВЕННОСТЬЮ "ЛИДЕР ЖЕЛЕЗОБЕТОННЫХ ИЗДЕЛИЙ"</t>
  </si>
  <si>
    <t>"ЛИДЕР ЖЕЛЕЗОБЕТОННЫХ ИЗДЕЛИЙ"</t>
  </si>
  <si>
    <t>5027260622</t>
  </si>
  <si>
    <t>140070, МОСКОВСКАЯ ОБЛАСТЬ, ГОРОД ЛЮБЕРЦЫ, РАБОЧИЙ ПОСЕЛОК ТОМИЛИНО, УЛИЦА ГАРШИНА, ДОМ 3, ПОМЕЩЕНИЕ 34</t>
  </si>
  <si>
    <t>Бессонов Иван Андреевич</t>
  </si>
  <si>
    <t>+7 (925) 911-33-35'</t>
  </si>
  <si>
    <t>55.813324,37.95524</t>
  </si>
  <si>
    <t>ОБЩЕСТВО С ОГРАНИЧЕННОЙ ОТВЕТСТВЕННОСТЬЮ "ЭСТЕТ-БЕТОН"</t>
  </si>
  <si>
    <t>"ЭСТЕТ-БЕТОН"</t>
  </si>
  <si>
    <t>5001121818</t>
  </si>
  <si>
    <t>143902, МОСКОВСКАЯ ОБЛ, БАЛАШИХА Г, СОВЕТСКАЯ УЛ, ДОМ 36, ЛИТЕРА В2, ПОМЕЩЕНИЕ 325</t>
  </si>
  <si>
    <t>Медведев Алексей Юрьевич</t>
  </si>
  <si>
    <t>59.131377,37.961115</t>
  </si>
  <si>
    <t>3528314681</t>
  </si>
  <si>
    <t>162603, ВОЛОГОДСКАЯ ОБЛАСТЬ, ГОРОД ЧЕРЕПОВЕЦ, УЛИЦА ГОГОЛЯ, ДОМ 60, ПОМЕЩЕНИЕ 5Н</t>
  </si>
  <si>
    <t>Андреев Александр Леонидович</t>
  </si>
  <si>
    <t>info@germessk.ru'</t>
  </si>
  <si>
    <t>59.118663,37.963046</t>
  </si>
  <si>
    <t>ОБЩЕСТВО С ОГРАНИЧЕННОЙ  ОТВЕТСТВЕННОСТЬЮ "АРСЕНАЛ"</t>
  </si>
  <si>
    <t>3528254680</t>
  </si>
  <si>
    <t>162612, ВОЛОГОДСКАЯ ОБЛАСТЬ, Г. ЧЕРЕПОВЕЦ, УЛ. ПЕРВОМАЙСКАЯ, Д. 7,..</t>
  </si>
  <si>
    <t>55.604173,37.972658</t>
  </si>
  <si>
    <t>ОБЩЕСТВО С ОГРАНИЧЕННОЙ ОТВЕТСТВЕННОСТЬЮ "АРМБОРД"</t>
  </si>
  <si>
    <t>"АРМБОРД"</t>
  </si>
  <si>
    <t>5027297245</t>
  </si>
  <si>
    <t>140060, МОСКОВСКАЯ ОБЛ., Г. Люберцы, РП. Октябрьский, УЛ. ПЕРВОМАЙСКАЯ, Д. 18А, ПОМЕЩ. 31</t>
  </si>
  <si>
    <t>Овсепян Ваграм Лендрушевич</t>
  </si>
  <si>
    <t>ARMBORD@YANDEX.RU'</t>
  </si>
  <si>
    <t>55.609436,37.98925</t>
  </si>
  <si>
    <t>ОБЩЕСТВО С ОГРАНИЧЕННОЙ ОТВЕТСТВЕННОСТЬЮ "СИНЕРГИЯ КАМНЯ"</t>
  </si>
  <si>
    <t>"СИНЕРГИЯ КАМНЯ"</t>
  </si>
  <si>
    <t>5027211696</t>
  </si>
  <si>
    <t>http://synstone.ru</t>
  </si>
  <si>
    <t>140060, МОСКОВСКАЯ ОБЛАСТЬ, Г. ЛЮБЕРЦЫ, РП ОКТЯБРЬСКИЙ, УЛ. ДОРОЖНАЯ, Д.12, ПОМ. 1В</t>
  </si>
  <si>
    <t>Распутин Сергей Валерьевич</t>
  </si>
  <si>
    <t>+7 (919) 777-60-86'</t>
  </si>
  <si>
    <t>zavylia@bk.ru'</t>
  </si>
  <si>
    <t>55.92022,37.991532</t>
  </si>
  <si>
    <t>ОБЩЕСТВО С ОГРАНИЧЕННОЙ ОТВЕТСТВЕННОСТЬЮ "АСК ДОРСТРОЙ"</t>
  </si>
  <si>
    <t>"АСК ДОРСТРОЙ"</t>
  </si>
  <si>
    <t>5050140605</t>
  </si>
  <si>
    <t>141103, МОСКОВСКАЯ ОБЛАСТЬ, Г. ЩЁЛКОВО, УЛ. БАХЧИВАНДЖИ, Д. 7, ЭТАЖ/ПОМЕЩ ЦОКОЛЬНЫЙ/25/1</t>
  </si>
  <si>
    <t>Хачатрян Качаван Сосович</t>
  </si>
  <si>
    <t>55.591345,37.992646</t>
  </si>
  <si>
    <t>ОБЩЕСТВО С ОГРАНИЧЕННОЙ ОТВЕТСТВЕННОСТЬЮ "РАМСТРОЙ ВМ"</t>
  </si>
  <si>
    <t>"РАМСТРОЙ ВМ"</t>
  </si>
  <si>
    <t>5040084380</t>
  </si>
  <si>
    <t>140125, МОСКОВСКАЯ ОБЛАСТЬ, ГОРОД РАМЕНСКОЕ, ДЕРЕВНЯ ОСТРОВЦЫ, АДМИНИСТРАТИВНОЕ ЗДАНИЕ ОАО "МОСОБЛСОРТСЕМОВОЩ"</t>
  </si>
  <si>
    <t>Антонов Евгений Анатольевич</t>
  </si>
  <si>
    <t>+7 (495) 558-05-27'</t>
  </si>
  <si>
    <t>56.240003,37.993185</t>
  </si>
  <si>
    <t>ОБЩЕСТВО С ОГРАНИЧЕННОЙ ОТВЕТСТВЕННОСТЬЮ "ХОТЬКОВСКИЙ ЗАВОД ЖЕЛЕЗОБЕТОННЫХ ИЗДЕЛИЙ"</t>
  </si>
  <si>
    <t>"ХОТЬКОВСКИЙ ЗАВОД ЖЕЛЕЗОБЕТОННЫХ ИЗДЕЛИЙ"</t>
  </si>
  <si>
    <t>5042016643</t>
  </si>
  <si>
    <t>http://hgbi.ru</t>
  </si>
  <si>
    <t>МОСКОВСКАЯ ОБЛ.,СЕРГИЕВО-ПОСАДСКИЙ Р-Н,Г ХОТЬКОВО,ХУДОЖЕСТВЕННЫЙ ПР, Д 6 А</t>
  </si>
  <si>
    <t>Пряхин Дмитрий Викторович</t>
  </si>
  <si>
    <t>+7 (496) 543-25-50'</t>
  </si>
  <si>
    <t>55.912193,38.001144</t>
  </si>
  <si>
    <t>ОБЩЕСТВО С ОГРАНИЧЕННОЙ ОТВЕТСТВЕННОСТЬЮ "НК-ЛИДЕР"</t>
  </si>
  <si>
    <t>"НК-ЛИДЕР"</t>
  </si>
  <si>
    <t>5050152689</t>
  </si>
  <si>
    <t>141100, МОСКОВСКАЯ ОБЛ., Г. Щёлково, УЛ. СВИРСКАЯ, Д. 3, ЭТАЖ 1 ОФИС 111/1</t>
  </si>
  <si>
    <t>Зиятдинова Ксения Михайловна</t>
  </si>
  <si>
    <t>GRUPP@BK.RU'</t>
  </si>
  <si>
    <t>55.642799,38.008672</t>
  </si>
  <si>
    <t>ОБЩЕСТВО С ОГРАНИЧЕННОЙ ОТВЕТСТВЕННОСТЬЮ "ДАР-БЕТОН"</t>
  </si>
  <si>
    <t>"ДАР-БЕТОН"</t>
  </si>
  <si>
    <t>5027284454</t>
  </si>
  <si>
    <t>140032, МОСКОВСКАЯ ОБЛАСТЬ, ГОРОД ЛЮБЕРЦЫ, РАБОЧИЙ ПОСЕЛОК МАЛАХОВКА, УЛИЦА ШОССЕЙНАЯ, ДОМ 12А, ЭТАЖ 1 ПОМЕЩЕНИЕ 10</t>
  </si>
  <si>
    <t>Пырх Сергей Викторович</t>
  </si>
  <si>
    <t>59.136672,38.009642</t>
  </si>
  <si>
    <t>3528300632</t>
  </si>
  <si>
    <t>162624, ВОЛОГОДСКАЯ ОБЛ, ЧЕРЕПОВЕЦ Г, ОЛИМПИЙСКАЯ УЛ, ДОМ 2, ОФИС 2</t>
  </si>
  <si>
    <t>Гульмуратов Махмад Бекмуротович</t>
  </si>
  <si>
    <t>+7 (921) 733-63-05'</t>
  </si>
  <si>
    <t>59.128819,38.010612</t>
  </si>
  <si>
    <t>ОБЩЕСТВО С ОГРАНИЧЕННОЙ ОТВЕТСТВЕННОСТЬЮ "ПЕНОБЕТОНСТРОЙ"</t>
  </si>
  <si>
    <t>"ПЕНОБЕТОНСТРОЙ"</t>
  </si>
  <si>
    <t>3528270339</t>
  </si>
  <si>
    <t>162623, ВОЛОГОДСКАЯ ОБЛ, ЧЕРЕПОВЕЦ Г, ОЛИМПИЙСКАЯ УЛ, ДОМ 63,..</t>
  </si>
  <si>
    <t>Саватин Никита Васильевич</t>
  </si>
  <si>
    <t>+7 (911) 505-72-88', '+7 (964) 305-21-16'</t>
  </si>
  <si>
    <t>55.727866,38.012454</t>
  </si>
  <si>
    <t>ОБЩЕСТВО С ОГРАНИЧЕННОЙ ОТВЕТСТВЕННОСТЬЮ "ДАНИЛОВСКИЙ ХУДОЖЕСТВЕННО-ПРОИЗВОДСТВЕННЫЙ КОМБИНАТ"</t>
  </si>
  <si>
    <t>"ДАНИЛОВСКИЙ ХУДОЖЕСТВЕННО-ПРОИЗВОДСТВЕННЫЙ КОМБИНАТ"</t>
  </si>
  <si>
    <t>5012026161</t>
  </si>
  <si>
    <t>МОСКОВСКАЯ ОБЛ.,Г ЖЕЛЕЗНОДОРОЖНЫЙ,УЛ АВТОЗАВОДСКАЯ, Д 40</t>
  </si>
  <si>
    <t>Шарапонов Николай Анатольевич</t>
  </si>
  <si>
    <t>56.066786,38.02132</t>
  </si>
  <si>
    <t>ОБЩЕСТВО С ОГРАНИЧЕННОЙ ОТВЕТСТВЕННОСТЬЮ "МАССТРОЙ"</t>
  </si>
  <si>
    <t>"МАССТРОЙ"</t>
  </si>
  <si>
    <t>5038112538</t>
  </si>
  <si>
    <t>141214, МОСКОВСКАЯ ОБЛАСТЬ, Г ПУШКИНО, П НАГОРНОЕ, Д. 4</t>
  </si>
  <si>
    <t>Мартиросян Степан Назаретович</t>
  </si>
  <si>
    <t>+7 (963) 712-71-46'</t>
  </si>
  <si>
    <t>55.929334,38.024482</t>
  </si>
  <si>
    <t>ОБЩЕСТВО С ОГРАНИЧЕННОЙ ОТВЕТСТВЕННОСТЬЮ "ПЛАСКОНТРОЛЬ"</t>
  </si>
  <si>
    <t>"ПЛАСКОНТРОЛЬ"</t>
  </si>
  <si>
    <t>5050035992</t>
  </si>
  <si>
    <t>МОСКОВСКАЯ ОБЛ.,Г ЩЕЛКОВО,УЛ ЗАРЕЧНАЯ, Д 105 А</t>
  </si>
  <si>
    <t>Михайлов Роман Игоревич</t>
  </si>
  <si>
    <t>plaskontrol@yandex.ru'</t>
  </si>
  <si>
    <t>55.927266,38.026414</t>
  </si>
  <si>
    <t>5050085841</t>
  </si>
  <si>
    <t>http://mybeton.ru</t>
  </si>
  <si>
    <t>141100, МОСКОВСКАЯ ОБЛАСТЬ, ГОРОД ЩЁЛКОВО, УЛИЦА ЗАРЕЧНАЯ, ДОМ 105, ЭТАЖ 1, КОМНАТА 24</t>
  </si>
  <si>
    <t>Гора Евгений Владимирович</t>
  </si>
  <si>
    <t>55.748447,38.029405</t>
  </si>
  <si>
    <t>ОБЩЕСТВО С ОГРАНИЧЕННОЙ ОТВЕТСТВЕННОСТЬЮ "ПРОБЛОКСТРОЙ"</t>
  </si>
  <si>
    <t>"ПРОБЛОКСТРОЙ"</t>
  </si>
  <si>
    <t>5043051471</t>
  </si>
  <si>
    <t>МОСКОВСКАЯ ОБЛ.,Г ЖЕЛЕЗНОДОРОЖНЫЙ,УЛ НОВАЯ, Д 38,..</t>
  </si>
  <si>
    <t>Будинов Анатолий Георгиевич</t>
  </si>
  <si>
    <t>+7 (929) 607-75-84'</t>
  </si>
  <si>
    <t>55.921112,38.035469</t>
  </si>
  <si>
    <t>5050132643</t>
  </si>
  <si>
    <t>141100, МОСКОВСКАЯ ОБЛАСТЬ, ГОРОД ЩЁЛКОВО, УЛИЦА ЗАРЕЧНАЯ, ВЛАДЕНИЕ 146В, КАБИНЕТ 1</t>
  </si>
  <si>
    <t>Руднева Елена Станиславовна</t>
  </si>
  <si>
    <t>+7 (903) 129-93-88'</t>
  </si>
  <si>
    <t>59.110667,38.037562</t>
  </si>
  <si>
    <t>ОБЩЕСТВО С ОГРАНИЧЕННОЙ ОТВЕТСТВЕННОСТЬЮ "СТРОИТЕЛЬНАЯ КОМПАНИЯ "СТРОЙМИКС"</t>
  </si>
  <si>
    <t>"СТРОИТЕЛЬНАЯ КОМПАНИЯ "СТРОЙМИКС"</t>
  </si>
  <si>
    <t>3524015850</t>
  </si>
  <si>
    <t>162641, ВОЛОГОДСКАЯ ОБЛАСТЬ, РАЙОН ЧЕРЕПОВЕЦКИЙ, ДЕРЕВНЯ БОРИСОВО, УЛИЦА ЦЕНТРАЛЬНАЯ, ДОМ 5,..</t>
  </si>
  <si>
    <t>Ковалев Эдуард Валериевич</t>
  </si>
  <si>
    <t>+7 (911) 518-09-09', '+7 (953) 503-05-59'</t>
  </si>
  <si>
    <t>55.601437,38.048117</t>
  </si>
  <si>
    <t>ОБЩЕСТВО С ОГРАНИЧЕННОЙ ОТВЕТСТВЕННОСТЬЮ "ФАВОРИТ ФАСАД МСК"</t>
  </si>
  <si>
    <t>"ФАВОРИТ ФАСАД МСК"</t>
  </si>
  <si>
    <t>5040178455</t>
  </si>
  <si>
    <t>Московская область, РАМЕНСКИЙ, П СПАРТАК, СТР. 48</t>
  </si>
  <si>
    <t>Ефремов Владимир Юрьевич</t>
  </si>
  <si>
    <t>FAVORITFASADMSK@MAIL.RU'</t>
  </si>
  <si>
    <t>54.020976,38.054666</t>
  </si>
  <si>
    <t>ОБЩЕСТВО С ОГРАНИЧЕННОЙ ОТВЕТСТВЕННОСТЬЮ "СМАРТ БЛОК"</t>
  </si>
  <si>
    <t>"СМАРТ БЛОК"</t>
  </si>
  <si>
    <t>7100016208</t>
  </si>
  <si>
    <t>301610, Тульская область, УЗЛОВСКИЙ, 1 ГОРОД УЗЛОВАЯ, КВ-Л 5 ПЯТИЛЕТКА, УЛ ЭНТУЗИАСТОВ, Д. 4</t>
  </si>
  <si>
    <t>Поварницин Иван Валерьевич</t>
  </si>
  <si>
    <t>55.912985,38.059768</t>
  </si>
  <si>
    <t>ОБЩЕСТВО С ОГРАНИЧЕННОЙ ОТВЕТСТВЕННОСТЬЮ "ТЕХНОСТРОМ-ЦЕНТР"</t>
  </si>
  <si>
    <t>"ТЕХНОСТРОМ-ЦЕНТР"</t>
  </si>
  <si>
    <t>5022060179</t>
  </si>
  <si>
    <t>141103, МОСКОВСКАЯ ОБЛ., Г. Щёлково, УЛ. РАБОЧАЯ, ВЛД. 1, СТР. 6, ПОМЕЩ. 1</t>
  </si>
  <si>
    <t>55.752161,38.061861</t>
  </si>
  <si>
    <t>ОБЩЕСТВО С ОГРАНИЧЕННОЙ ОТВЕТСТВЕННОСТЬЮ "НАСЛЕДИЕ-ПРОЕКТ"</t>
  </si>
  <si>
    <t>"НАСЛЕДИЕ-ПРОЕКТ"</t>
  </si>
  <si>
    <t>5001009252</t>
  </si>
  <si>
    <t>МОСКОВСКАЯ ОБЛ.,БАЛАШИХИНСКИЙ Р-Н,Д ЧЕРНОЕ,Д 29</t>
  </si>
  <si>
    <t>Полянский Роман Владимирович</t>
  </si>
  <si>
    <t>+7 (985) 643-23-50', '+7 (917) 534-70-91'</t>
  </si>
  <si>
    <t>55.967814,38.062912</t>
  </si>
  <si>
    <t>ОБЩЕСТВО С ОГРАНИЧЕННОЙ ОТВЕТСТВЕННОСТЬЮ ПРОИЗВОДСТВЕННАЯ КОМПАНИЯ "ЭКОСТОУН"</t>
  </si>
  <si>
    <t>ПРОИЗВОДСТВЕННАЯ КОМПАНИЯ "ЭКОСТОУН"</t>
  </si>
  <si>
    <t>5050126216</t>
  </si>
  <si>
    <t>141190, МОСКОВСКАЯ ОБЛ, ФРЯЗИНО Г, ВОСТОЧНАЯ ЗАВОДСКАЯ ПРОМЫШЛЕННАЯ ТЕР, ДОМ 22Б, СТРОЕНИЕ 1, ЭТАЖ 2 КАБ.№10,№11</t>
  </si>
  <si>
    <t>Фомин Дмитрий Владимирович</t>
  </si>
  <si>
    <t>+7 (499) 390-34-76'</t>
  </si>
  <si>
    <t>55.62238,38.07088</t>
  </si>
  <si>
    <t>ОБЩЕСТВО С ОГРАНИЧЕННОЙ ОТВЕТСТВЕННОСТЬЮ "СЕТЕВОЙ ЖЕЛЕЗОБЕТОН"</t>
  </si>
  <si>
    <t>"СЕТЕВОЙ ЖЕЛЕЗОБЕТОН"</t>
  </si>
  <si>
    <t>5040136007</t>
  </si>
  <si>
    <t>140153, МОСКОВСКАЯ ОБЛАСТЬ, Г. РАМЕНСКОЕ, С БЫКОВО, УЛ. ТЕАТРАЛЬНАЯ, Д. 10</t>
  </si>
  <si>
    <t>Ганжа Евгений Викторович</t>
  </si>
  <si>
    <t>+7 (965) 141-72-01'</t>
  </si>
  <si>
    <t>bm@setzhbi.ru'</t>
  </si>
  <si>
    <t>55.759471,38.073171</t>
  </si>
  <si>
    <t>АКЦИОНЕРНОЕ ОБЩЕСТВО "183 МЕХАНИЧЕСКИЙ ЗАВОД"</t>
  </si>
  <si>
    <t>"183 МЕХАНИЧЕСКИЙ ЗАВОД"</t>
  </si>
  <si>
    <t>5001000115</t>
  </si>
  <si>
    <t>МОСКОВСКАЯ ОБЛ.,БАЛАШИХИНСКИЙ Р-Н,Д ЧЕРНОЕ,ЧЕРНОВСКАЯ ПРОМЗОНА, ВОСТОЧНОЕ ШОССЕ, Д 5</t>
  </si>
  <si>
    <t>Борисов Владимир Валерьевич</t>
  </si>
  <si>
    <t>+7 (495) 525-88-00'</t>
  </si>
  <si>
    <t>5881381@mail.ru', 'nat@yandex.ru', 'KrutikovaN@183mz.gvsu', 'starchikovans@183mz.gvsu'</t>
  </si>
  <si>
    <t>51.119925,38.082037</t>
  </si>
  <si>
    <t>ОБЩЕСТВО С ОГРАНИЧЕННОЙ ОТВЕТСТВЕННОСТЬЮ "ГОРИЗОНТ-СТРОЙ"</t>
  </si>
  <si>
    <t>"ГОРИЗОНТ-СТРОЙ"</t>
  </si>
  <si>
    <t>3128130506</t>
  </si>
  <si>
    <t>309546, БЕЛГОРОДСКАЯ ОБЛАСТЬ, Р-Н СТАРООСКОЛЬСКИЙ, С ГОРОДИЩЕ, ПЕР. 1-Й КОММУНИСТИЧЕСКИЙ, Д. 18</t>
  </si>
  <si>
    <t>Афанасьев Игорь Васильевич</t>
  </si>
  <si>
    <t>+7 (961) 182-34-08'</t>
  </si>
  <si>
    <t>44.565232,38.086619</t>
  </si>
  <si>
    <t>ОБЩЕСТВО С ОГРАНИЧЕННОЙ ОТВЕТСТВЕННОСТЬЮ "БАЛТ СТРОЙ ЮГ"</t>
  </si>
  <si>
    <t>"БАЛТ СТРОЙ ЮГ"</t>
  </si>
  <si>
    <t>2304065540</t>
  </si>
  <si>
    <t>353465, Краснодарский край, г Геленджик, ул Красных Партизан, д 39</t>
  </si>
  <si>
    <t>Гримберг Наталья Владимировна</t>
  </si>
  <si>
    <t>+7 (928) 436-99-28'</t>
  </si>
  <si>
    <t>55.5978,38.088775</t>
  </si>
  <si>
    <t>ОБЩЕСТВО С ОГРАНИЧЕННОЙ ОТВЕТСТВЕННОСТЬЮ "ИНЖЕНЕРНЫЕ СТРОИТЕЛЬНЫЕ РЕШЕНИЯ"</t>
  </si>
  <si>
    <t>"ИНЖЕНЕРНЫЕ СТРОИТЕЛЬНЫЕ РЕШЕНИЯ"</t>
  </si>
  <si>
    <t>5040160659</t>
  </si>
  <si>
    <t>140182, Московская область, городской округ ЖУКОВСКИЙ, Город ЖУКОВСКИЙ, УЛ ГУДКОВА, Д. 13А, ПОМЕЩ. 19</t>
  </si>
  <si>
    <t>Вуколов Станислав Вячеславович</t>
  </si>
  <si>
    <t>55.609106,38.08996</t>
  </si>
  <si>
    <t>Общество с ограниченной ответственностью "ГУДМИКС"</t>
  </si>
  <si>
    <t>"ГУДМИКС"</t>
  </si>
  <si>
    <t>5040139270</t>
  </si>
  <si>
    <t>140180, МОСКОВСКАЯ ОБЛ, ЖУКОВСКИЙ Г, ГАГАРИНА УЛ, ДОМ 58, ПОМЕЩЕНИЕ 3 ОФИС 33</t>
  </si>
  <si>
    <t>Шейдабеков Тимур Русланович</t>
  </si>
  <si>
    <t>+7 (915) 352-95-40'</t>
  </si>
  <si>
    <t>ooosksoyuz@yandex.ru'</t>
  </si>
  <si>
    <t>44.571891,38.095449</t>
  </si>
  <si>
    <t>2304070370</t>
  </si>
  <si>
    <t>353460, КРАСНОДАРСКИЙ КРАЙ, Г. ГЕЛЕНДЖИК, УЛ. ТЕЛЬМАНА, Д. 141, ЛИТЕР Е</t>
  </si>
  <si>
    <t>Капустин Сергей Анатольевич</t>
  </si>
  <si>
    <t>inguri@inguri.ru', 'inguri@inguri.ru'</t>
  </si>
  <si>
    <t>2304072522</t>
  </si>
  <si>
    <t>Ревякина Полина Алексеевна</t>
  </si>
  <si>
    <t>inguri@inguri.ru'</t>
  </si>
  <si>
    <t>ОБЩЕСТВО С ОГРАНИЧЕННОЙ ОТВЕТСТВЕННОСТЬЮ "ТОПАЗ"</t>
  </si>
  <si>
    <t>"ТОПАЗ"</t>
  </si>
  <si>
    <t>2304072547</t>
  </si>
  <si>
    <t>Коваленко Андрей Андреевич</t>
  </si>
  <si>
    <t>56.377024,38.102672</t>
  </si>
  <si>
    <t>ОБЩЕСТВО С ОГРАНИЧЕННОЙ ОТВЕТСТВЕННОСТЬЮ "СЮЗАННА"</t>
  </si>
  <si>
    <t>"СЮЗАННА"</t>
  </si>
  <si>
    <t>5042076459</t>
  </si>
  <si>
    <t>МОСКОВСКАЯ ОБЛ.,СЕРГИЕВО-ПОСАДСКИЙ Р-Н,С МИШУТИНО,Д 164</t>
  </si>
  <si>
    <t>Геворгян Эдик Баликович</t>
  </si>
  <si>
    <t>+7 (496) 543-98-73'</t>
  </si>
  <si>
    <t>ОБЩЕСТВО С ОГРАНИЧЕННОЙ ОТВЕТСТВЕННОСТЬЮ "ЭСТЭЛЛА"</t>
  </si>
  <si>
    <t>"ЭСТЭЛЛА"</t>
  </si>
  <si>
    <t>5042148625</t>
  </si>
  <si>
    <t>141337, МОСКОВСКАЯ ОБЛАСТЬ, ГОРОД СЕРГИЕВ ПОСАД, СЕЛО МИШУТИНО, ДОМ 164, ЛИТЕРА Б, ПОМЕЩЕНИЕ 2 ЭТАЖ 1 КОМНАТА 1</t>
  </si>
  <si>
    <t>Шашикян Саргис Ерджаникович</t>
  </si>
  <si>
    <t>55.632545,38.103597</t>
  </si>
  <si>
    <t>ОБЩЕСТВО С ОГРАНИЧЕННОЙ ОТВЕТСТВЕННОСТЬЮ "ЛИТБИ"</t>
  </si>
  <si>
    <t>"ЛИТБИ"</t>
  </si>
  <si>
    <t>5040149253</t>
  </si>
  <si>
    <t>140121, МОСКОВСКАЯ ОБЛАСТЬ, ГОРОД РАМЕНСКОЕ, РАБОЧИЙ ПОСЕЛОК ИЛЬИНСКИЙ, УЛИЦА ПРОЛЕТАРСКАЯ, ДОМ 49, ЛИТЕР 4Б, КОМНАТА 1</t>
  </si>
  <si>
    <t>Романенко Татьяна Сергеевна</t>
  </si>
  <si>
    <t>+7 (925) 171-10-09'</t>
  </si>
  <si>
    <t>54.957211,38.103857</t>
  </si>
  <si>
    <t>ОБЩЕСТВО С ОГРАНИЧЕННОЙ ОТВЕТСТВЕННОСТЬЮ "ТЕХНО-ЛИНИЯ"</t>
  </si>
  <si>
    <t>"ТЕХНО-ЛИНИЯ"</t>
  </si>
  <si>
    <t>5045046100</t>
  </si>
  <si>
    <t>142813, МОСКОВСКАЯ ОБЛАСТЬ, ГОРОД СТУПИНО, ДЕРЕВНЯ КОЛДИНО</t>
  </si>
  <si>
    <t>Панченко Виктор Григорьевич</t>
  </si>
  <si>
    <t>+7 (903) 750-51-11'</t>
  </si>
  <si>
    <t>55.033527,38.105169</t>
  </si>
  <si>
    <t>ОБЩЕСТВО С ОГРАНИЧЕННОЙ ОТВЕТСТВЕННОСТЬЮ "УЮТНЫЙ ДВОР"</t>
  </si>
  <si>
    <t>"УЮТНЫЙ ДВОР"</t>
  </si>
  <si>
    <t>5045062920</t>
  </si>
  <si>
    <t>142821, МОСКОВСКАЯ ОБЛ, СТУПИНО ГО, ВЕРЗИЛОВО С, НИКОЛАЕВСКАЯ (НОВОЕ СТУПИНО МКР) УЛ, ДОМ 65/13,..</t>
  </si>
  <si>
    <t>Арутюнян Вруйр Рубикович</t>
  </si>
  <si>
    <t>+7 (965) 236-61-31'</t>
  </si>
  <si>
    <t>53.767703,38.127735</t>
  </si>
  <si>
    <t>ОБЩЕСТВО С ОГРАНИЧЕННОЙ ОТВЕТСТВЕННОСТЬЮ "СТРОЙБЛОК71"</t>
  </si>
  <si>
    <t>"СТРОЙБЛОК71"</t>
  </si>
  <si>
    <t>7153000642</t>
  </si>
  <si>
    <t>301835, ТУЛЬСКАЯ ОБЛАСТЬ, РАЙОН БОГОРОДИЦКИЙ, ГОРОД БОГОРОДИЦК, УЛИЦА ВОЛОДАРСКОГО, ДОМ 22,..</t>
  </si>
  <si>
    <t>Фадин Максим Александрович</t>
  </si>
  <si>
    <t>45.260281,38.133547</t>
  </si>
  <si>
    <t>ОБЩЕСТВО С ОГРАНИЧЕННОЙ ОТВЕТСТВЕННОСТЬЮ"КОМБИНАТ ЖЕЛЕЗОБЕТОННЫХ ИЗДЕЛИЙ"</t>
  </si>
  <si>
    <t>"КОМБИНАТ ЖЕЛЕЗОБЕТОННЫХ ИЗДЕЛИЙ"</t>
  </si>
  <si>
    <t>2370010663</t>
  </si>
  <si>
    <t>353567, КРАСНОДАРСКИЙ КРАЙ, Р-Н СЛАВЯНСКИЙ, Г. СЛАВЯНСК-НА-КУБАНИ, УЛ. ЛЕНИНА, Д. 6</t>
  </si>
  <si>
    <t>Романов Виталий Михайлович</t>
  </si>
  <si>
    <t>+7 (918) 622-64-35'</t>
  </si>
  <si>
    <t>56.29022,38.134337</t>
  </si>
  <si>
    <t>ОБЩЕСТВО С ОГРАНИЧЕННОЙ ОТВЕТСТВЕННОСТЬЮ "К-ЖБИ"</t>
  </si>
  <si>
    <t>"К-ЖБИ"</t>
  </si>
  <si>
    <t>5042134439</t>
  </si>
  <si>
    <t>МОСКОВСКАЯ ОБЛ.,Г СЕРГИЕВ ПОСАД,СКОБЯНОЕ ШОССЕ, Д 5</t>
  </si>
  <si>
    <t>Германов Владимир Борисович</t>
  </si>
  <si>
    <t>+7 (496) 540-42-56', '+7 (916) 249-72-31', '+7 (496) 540-50-80', '+7 (903) 584-67-54'</t>
  </si>
  <si>
    <t>75bmb@mail.ru'</t>
  </si>
  <si>
    <t>56.303002,38.134652</t>
  </si>
  <si>
    <t>ОБЩЕСТВО С ОГРАНИЧЕННОЙ ОТВЕТСТВЕННОСТЬЮ "КСМК - М8"</t>
  </si>
  <si>
    <t>"КСМК - М8"</t>
  </si>
  <si>
    <t>5042152484</t>
  </si>
  <si>
    <t>141300, МОСКОВСКАЯ ОБЛАСТЬ, Г СЕРГИЕВ ПОСАД, УЛ. ВОЗНЕСЕНСКАЯ, Д. 55, ПОМЕЩ. 38</t>
  </si>
  <si>
    <t>Бритвин Станислав Николаевич</t>
  </si>
  <si>
    <t>56.315311,38.135972</t>
  </si>
  <si>
    <t>ОБЩЕСТВО С ОГРАНИЧЕННОЙ ОТВЕТСТВЕННОСТЬЮ "КРЕПВОЛ"</t>
  </si>
  <si>
    <t>"КРЕПВОЛ"</t>
  </si>
  <si>
    <t>5042157771</t>
  </si>
  <si>
    <t>141370, МОСКОВСКАЯ ОБЛ., Г. Сергиев Посад, ПР-Д ХУДОЖЕСТВЕННЫЙ, Д. 8А, ПОМЕЩЕНИЕ 1 ПОДВАЛ</t>
  </si>
  <si>
    <t>Меликянц Юрий Кеворкович</t>
  </si>
  <si>
    <t>KREPVOL@YANDEX.RU'</t>
  </si>
  <si>
    <t>53.767288,38.137877</t>
  </si>
  <si>
    <t>ОБЩЕСТВО С ОГРАНИЧЕННОЙ ОТВЕТСТВЕННОСТЬЮ "АРКОН"</t>
  </si>
  <si>
    <t>"АРКОН"</t>
  </si>
  <si>
    <t>7112001848</t>
  </si>
  <si>
    <t>ТУЛЬСКАЯ ОБЛ.,Г БОГОРОДИЦК,УЛ 10-ОЙ АРМИИ Д 8</t>
  </si>
  <si>
    <t>Неклюдов Андрей Александрович</t>
  </si>
  <si>
    <t>55.857346,38.138964</t>
  </si>
  <si>
    <t>ОБЩЕСТВО С ОГРАНИЧЕННОЙ ОТВЕТСТВЕННОСТЬЮ "АВМ ГРУПП"</t>
  </si>
  <si>
    <t>"АВМ ГРУПП"</t>
  </si>
  <si>
    <t>5050140429</t>
  </si>
  <si>
    <t>141104, МОСКОВСКАЯ ОБЛАСТЬ, ГОРОД ЩЁЛКОВО, ДЕРЕВНЯ СОКОЛОВО, УЛИЦА ПРОМЫШЛЕННАЯ, ВЛАДЕНИЕ 5, СТРОЕНИЕ 1</t>
  </si>
  <si>
    <t>Саркисян Вартан Аргамович</t>
  </si>
  <si>
    <t>vartan996@yandex.ru'</t>
  </si>
  <si>
    <t>44.85643,38.139512</t>
  </si>
  <si>
    <t>ОБЩЕСТВО С ОГРАНИЧЕННОЙ ОТВЕТСТВЕННОСТЬЮ "Абинскрыбхоз"</t>
  </si>
  <si>
    <t>"Абинскрыбхоз"</t>
  </si>
  <si>
    <t>2323028470</t>
  </si>
  <si>
    <t>353320, КРАСНОДАРСКИЙ КРАЙ, Р-Н АБИНСКИЙ, Г. АБИНСК, УЛ. ПАРКОВАЯ, Д.1, К.Б</t>
  </si>
  <si>
    <t>Григорян Арам Михайлович</t>
  </si>
  <si>
    <t>+7 (919) 118-44-42', '+7 (918) 041-07-39'</t>
  </si>
  <si>
    <t>45.135727,38.146186</t>
  </si>
  <si>
    <t>ОБЩЕСТВО С ОГРАНИЧЕННОЙ ОТВЕТСТВЕННОСТЬЮ  "БЛОК-РИФ"</t>
  </si>
  <si>
    <t xml:space="preserve"> "БЛОК-РИФ"</t>
  </si>
  <si>
    <t>2337029280</t>
  </si>
  <si>
    <t>353360, КРАСНОДАРСКИЙ КРАЙ, КРЫМСКИЙ Р-Н, ТРОИЦКАЯ СТ-ЦА, КАЛИНИНА УЛ, ДОМ 13</t>
  </si>
  <si>
    <t>Горобец Павел Васильевич</t>
  </si>
  <si>
    <t>+7 (925) 005-97-07'</t>
  </si>
  <si>
    <t>v97919012v@yandex.ru', 'v97919012v@yandex.ru'</t>
  </si>
  <si>
    <t>44.862199,38.148944</t>
  </si>
  <si>
    <t>ОБЩЕСТВО С ОГРАНИЧЕННОЙ ОТВЕТСТВЕННОСТЬЮ"КОЛОСОК"</t>
  </si>
  <si>
    <t>"КОЛОСОК"</t>
  </si>
  <si>
    <t>2323017615</t>
  </si>
  <si>
    <t>КРАСНОДАРСКИЙ КРАЙ,Г АБИНСК,УЛ КРАСНОАРМЕЙСКАЯ, Д 14</t>
  </si>
  <si>
    <t>Лебедь Сергей Викторович</t>
  </si>
  <si>
    <t>56.337386,38.150264</t>
  </si>
  <si>
    <t>5042097963</t>
  </si>
  <si>
    <t>141303, МОСКОВСКАЯ ОБЛАСТЬ, Г СЕРГИЕВ ПОСАД, УЛ. ПОГРАНИЧНАЯ, Д.5, -, -</t>
  </si>
  <si>
    <t>Басько Александр Александрович</t>
  </si>
  <si>
    <t>+7 (916) 692-10-62'</t>
  </si>
  <si>
    <t>54.834589,38.15154</t>
  </si>
  <si>
    <t>ОБЩЕСТВО С ОГРАНИЧЕННОЙ ОТВЕТСТВЕННОСТЬЮ "ПРЕФАБРИКА АГ"</t>
  </si>
  <si>
    <t>"ПРЕФАБРИКА АГ"</t>
  </si>
  <si>
    <t>5019030216</t>
  </si>
  <si>
    <t>142902, МОСКОВСКАЯ ОБЛАСТЬ, Г. КАШИРА, УЛ. СОВЕТСКИЙ ПРОСПЕКТ, Д. 10, ПОМЕЩЕНИЯ №24,№25</t>
  </si>
  <si>
    <t>Горнов Александр Александрович</t>
  </si>
  <si>
    <t>marik@yandex.ru'</t>
  </si>
  <si>
    <t>53.942958,38.15225</t>
  </si>
  <si>
    <t>ОБЩЕСТВО С ОГРАНИЧЕННОЙ ОТВЕТСТВЕННОСТЬЮ "ШКИФ"</t>
  </si>
  <si>
    <t>"ШКИФ"</t>
  </si>
  <si>
    <t>7117031155</t>
  </si>
  <si>
    <t>301602, ТУЛЬСКАЯ ОБЛАСТЬ, УЗЛОВСКИЙ РАЙОН, ГОРОД УЗЛОВАЯ, УЛИЦА ДУБОВСКАЯ, ДОМ 2, КОРПУС 12, ЦЕХ 2</t>
  </si>
  <si>
    <t>Белогурова Марина Евгеньевна</t>
  </si>
  <si>
    <t>natdaryuhina@gmail.com'</t>
  </si>
  <si>
    <t>53.974935,38.155475</t>
  </si>
  <si>
    <t>ОБЩЕСТВО С ОГРАНИЧЕННОЙ ОТВЕТСТВЕННОСТЬЮ "АВВ-ЭНЕРГО БЕТОН"</t>
  </si>
  <si>
    <t>"АВВ-ЭНЕРГО БЕТОН"</t>
  </si>
  <si>
    <t>7100016085</t>
  </si>
  <si>
    <t>301600, Тульская область, муниципальный район УЗЛОВСКИЙ, Город УЗЛОВАЯ, городское поселение ГОРОД УЗЛОВАЯ, УЛ ОКТЯБРЬСКАЯ, Д. 12, ПОМЕЩ. 10, КОМ. 6</t>
  </si>
  <si>
    <t>Просветов Андрей Николаевич</t>
  </si>
  <si>
    <t>53.97844,38.160308</t>
  </si>
  <si>
    <t>ОБЩЕСТВО С ОГРАНИЧЕННОЙ ОТВЕТСТВЕННОСТЬЮ "ТУЛЬСКАЯ ДОМОСТРОИТЕЛЬНАЯ КОМПАНИЯ"</t>
  </si>
  <si>
    <t>"ТУЛЬСКАЯ ДОМОСТРОИТЕЛЬНАЯ КОМПАНИЯ"</t>
  </si>
  <si>
    <t>7153000988</t>
  </si>
  <si>
    <t>301602, Тульская область, муниципальный район УЗЛОВСКИЙ, Город УЗЛОВАЯ, городское поселение ГОРОД УЗЛОВАЯ, УЛ ЗАВОДСКАЯ, Д. 6, ПОМЕЩ. 25 ЭТАЖ 1, КОМ. 6</t>
  </si>
  <si>
    <t>Ветрова Елена Александровна</t>
  </si>
  <si>
    <t>6176092@bk.ru'</t>
  </si>
  <si>
    <t>45.238389,38.162652</t>
  </si>
  <si>
    <t>ОБЩЕСТВО С ОГРАНИЧЕННОЙ ОТВЕТСТВЕННОСТЬЮ "СЛАВЯНСКИЕ ЖЕЛЕЗОБЕТОННЫЕ КОНСТРУКЦИИ"</t>
  </si>
  <si>
    <t>"СЛАВЯНСКИЕ ЖЕЛЕЗОБЕТОННЫЕ КОНСТРУКЦИИ"</t>
  </si>
  <si>
    <t>2370009844</t>
  </si>
  <si>
    <t>353560, КРАСНОДАРСКИЙ КРАЙ, СЛАВЯНСКИЙ РАЙОН, ГОРОД СЛАВЯНСК-НА-КУБАНИ, УЛИЦА ЗЕЛЕНСКОГО, ДОМ 1А</t>
  </si>
  <si>
    <t>Евдокимова Алена Геннадьевна</t>
  </si>
  <si>
    <t>+7 (988) 320-77-47'</t>
  </si>
  <si>
    <t>55.806778,38.167287</t>
  </si>
  <si>
    <t>ОБЩЕСТВО С ОГРАНИЧЕННОЙ ОТВЕТСТВЕННОСТЬЮ "БОГОРОДСКИЙ"</t>
  </si>
  <si>
    <t>"БОГОРОДСКИЙ"</t>
  </si>
  <si>
    <t>5031145492</t>
  </si>
  <si>
    <t>142450, Московская область, БОГОРОДСКИЙ, Г СТАРАЯ КУПАВНА, ПРОЕЗД ТЕКСТИЛЬЩИКОВ, Д. 4</t>
  </si>
  <si>
    <t>Меликян Люба Седраковна</t>
  </si>
  <si>
    <t>BOGORODSKY@YANDEX.RU'</t>
  </si>
  <si>
    <t>54.845627,38.17795</t>
  </si>
  <si>
    <t>ОБЩЕСТВО С ОГРАНИЧЕННОЙ ОТВЕТСТВЕННОСТЬЮ "СТРОЙБЕТОНСЕРВИС"</t>
  </si>
  <si>
    <t>"СТРОЙБЕТОНСЕРВИС"</t>
  </si>
  <si>
    <t>5019028351</t>
  </si>
  <si>
    <t>142901, МОСКОВСКАЯ ОБЛАСТЬ, ГОРОД КАШИРА, УЛИЦА КАШТАНОВАЯ, ДОМ 10</t>
  </si>
  <si>
    <t>Сидоров Дмитрий Николаевич</t>
  </si>
  <si>
    <t>av@yandex.ru'</t>
  </si>
  <si>
    <t>44.850481,38.180331</t>
  </si>
  <si>
    <t>ОБЩЕСТВО С ОГРАНИЧЕННОЙ ОТВЕТСТВЕННОСТЬЮ "МЕГАТЕХСТРОЙ"</t>
  </si>
  <si>
    <t>"МЕГАТЕХСТРОЙ"</t>
  </si>
  <si>
    <t>2323031627</t>
  </si>
  <si>
    <t>353320, КРАСНОДАРСКИЙ КРАЙ, РАЙОН АБИНСКИЙ, ГОРОД АБИНСК, УЛИЦА РИЖСКАЯ, 34</t>
  </si>
  <si>
    <t>Тяглов Михаил Викторович</t>
  </si>
  <si>
    <t>+7 (967) 309-33-55'</t>
  </si>
  <si>
    <t>SERVIS@ABINSK.RU', 'servis@abinsk.ru'</t>
  </si>
  <si>
    <t>55.86495,38.197498</t>
  </si>
  <si>
    <t>ОБЩЕСТВО С ОГРАНИЧЕННОЙ ОТВЕТСТВЕННОСТЬЮ "ТРУД"</t>
  </si>
  <si>
    <t>"ТРУД"</t>
  </si>
  <si>
    <t>5050012201</t>
  </si>
  <si>
    <t>МОСКОВСКАЯ ОБЛ.,ЩЕЛКОВСКИЙ Р-Н,Г ЛОСИНО-ПЕТРОВСКИЙ,УЛ КИРОВА, Д 9</t>
  </si>
  <si>
    <t>Пухаев Александр Заурович</t>
  </si>
  <si>
    <t>+7 (916) 675-09-54'</t>
  </si>
  <si>
    <t>54.859062,38.212787</t>
  </si>
  <si>
    <t>ОБЩЕСТВО С ОГРАНИЧЕННОЙ ОТВЕТСТВЕННОСТЬЮ "СтройБетонСервис"</t>
  </si>
  <si>
    <t>"СтройБетонСервис"</t>
  </si>
  <si>
    <t>5019025706</t>
  </si>
  <si>
    <t>142902, МОСКОВСКАЯ ОБЛАСТЬ, Г. КАШИРА, УЛ. СТРОИТЕЛЬНАЯ, Д. 14, ОФИС 1</t>
  </si>
  <si>
    <t>Дмитриев Николай Васильевич</t>
  </si>
  <si>
    <t>+7 (915) 243-80-60', '+7 (985) 129-00-06'</t>
  </si>
  <si>
    <t>suhov@yandex.ru'</t>
  </si>
  <si>
    <t>ОБЩЕСТВО С ОГРАНИЧЕННОЙ ОТВЕТСТВЕННОСТЬЮ "БЕТОН-КАШИРА"</t>
  </si>
  <si>
    <t>"БЕТОН-КАШИРА"</t>
  </si>
  <si>
    <t>5019029443</t>
  </si>
  <si>
    <t>142902, МОСКОВСКАЯ ОБЛАСТЬ, ГОРОД КАШИРА, УЛИЦА СТРОИТЕЛЬНАЯ, ДОМ 14, ОФИС 6</t>
  </si>
  <si>
    <t>Ковалев Илья Александрович</t>
  </si>
  <si>
    <t>betonkashira@yandex.ru'</t>
  </si>
  <si>
    <t>55.769454,38.215716</t>
  </si>
  <si>
    <t>ОБЩЕСТВО С ОГРАНИЧЕННОЙ ОТВЕТСТВЕННОСТЬЮ "ПРОИЗВОДСТВЕННО-СТРОИТЕЛЬНАЯ КОМПАНИЯ АРХИДЕЯ"</t>
  </si>
  <si>
    <t>"ПРОИЗВОДСТВЕННО-СТРОИТЕЛЬНАЯ КОМПАНИЯ АРХИДЕЯ"</t>
  </si>
  <si>
    <t>5031132246</t>
  </si>
  <si>
    <t>142435, МОСКОВСКАЯ ОБЛАСТЬ, ГОРОД НОГИНСК, СЕЛО КУДИНОВО, УЛИЦА НОВАЯ, ЛИТЕР Б-Б1, СТРОЕНИЕ 2</t>
  </si>
  <si>
    <t>Кузнецова Татьяна Геннадиевна</t>
  </si>
  <si>
    <t>bu@a-idea'</t>
  </si>
  <si>
    <t>55.582477,38.221878</t>
  </si>
  <si>
    <t>ОБЩЕСТВО С ОГРАНИЧЕННОЙ ОТВЕТСТВЕННОСТЬЮ "ПРОИЗВОДСТВЕННО-КОМПЛЕКТУЮЩЕЕ ПРЕДПРИЯТИЕ "РАМБЕТ КОНСТРУКЦИИ"</t>
  </si>
  <si>
    <t>"ПРОИЗВОДСТВЕННО-КОМПЛЕКТУЮЩЕЕ ПРЕДПРИЯТИЕ "РАМБЕТ КОНСТРУКЦИИ"</t>
  </si>
  <si>
    <t>5040180278</t>
  </si>
  <si>
    <t>140105, Московская область, РАМЕНСКИЙ, Г РАМЕНСКОЕ, Ш СЕВЕРНОЕ, Д. 10</t>
  </si>
  <si>
    <t>Кутана Виталий Вячеславович</t>
  </si>
  <si>
    <t>55.57324,38.233915</t>
  </si>
  <si>
    <t>ОБЩЕСТВО С ОГРАНИЧЕННОЙ ОТВЕТСТВЕННОСТЬЮ "ПОЛИФАСАДНЫЕ СИСТЕМЫ"</t>
  </si>
  <si>
    <t>"ПОЛИФАСАДНЫЕ СИСТЕМЫ"</t>
  </si>
  <si>
    <t>5040149863</t>
  </si>
  <si>
    <t>140109, МОСКОВСКАЯ ОБЛАСТЬ, ГОРОД РАМЕНСКОЕ, УЛИЦА КРАСНОАРМЕЙСКАЯ, ДОМ 11, ОФИС 8</t>
  </si>
  <si>
    <t>Тульская Вера Николаевна</t>
  </si>
  <si>
    <t>+7 (910) 752-62-17'</t>
  </si>
  <si>
    <t>56.088549,38.234032</t>
  </si>
  <si>
    <t>ОБЩЕСТВО С ОГРАНИЧЕННОЙ ОТВЕТСТВЕННОСТЬЮ "РСУ-1"</t>
  </si>
  <si>
    <t>"РСУ-1"</t>
  </si>
  <si>
    <t>5050113707</t>
  </si>
  <si>
    <t>141135, МОСКОВСКАЯ ОБЛ., Г. Щёлково, С. Петровское, УЛ. ПРОМЫШЛЕННАЯ, ВЛД. 1, СТР. 1, ПОМЕЩ. 1</t>
  </si>
  <si>
    <t>Ковалева Елена Михайловна</t>
  </si>
  <si>
    <t>+7 (910) 434-54-19'</t>
  </si>
  <si>
    <t>4345419@gmail.com'</t>
  </si>
  <si>
    <t>55.574869,38.237275</t>
  </si>
  <si>
    <t>ОБЩЕСТВО С ОГРАНИЧЕННОЙ ОТВЕТСТВЕННОСТЬЮ "ГРУППА КОМПАНИЙ ТЕПЛОБЕТОН"</t>
  </si>
  <si>
    <t>"ГРУППА КОМПАНИЙ ТЕПЛОБЕТОН"</t>
  </si>
  <si>
    <t>5040165079</t>
  </si>
  <si>
    <t>140103, МОСКОВСКАЯ ОБЛАСТЬ, РАМЕНСКИЙ РАЙОН, ГОРОД РАМЕНСКОЕ, УЛИЦА ГУРЬЕВА, ДОМ 4А, ОФИС 404</t>
  </si>
  <si>
    <t>Габалов Магомед Омарович</t>
  </si>
  <si>
    <t>55.590007,38.251361</t>
  </si>
  <si>
    <t>ОБЩЕСТВО С ОГРАНИЧЕННОЙ ОТВЕТСТВЕННОСТЬЮ "КЛЕВЕРВИЛЬ"</t>
  </si>
  <si>
    <t>"КЛЕВЕРВИЛЬ"</t>
  </si>
  <si>
    <t>5040176521</t>
  </si>
  <si>
    <t>140103, Московская область, городской округ РАМЕНСКИЙ, Город РАМЕНСКОЕ, УЛ МОЛОДЕЖНАЯ, Д. 20, ЭТАЖ 2, ПОМЕЩ. 49</t>
  </si>
  <si>
    <t xml:space="preserve"> Генеральный Директор Шумилов Сергей Геннадьевич</t>
  </si>
  <si>
    <t>55.427801,38.252322</t>
  </si>
  <si>
    <t>ОБЩЕСТВО С ОГРАНИЧЕННОЙ ОТВЕТСТВЕННОСТЬЮ "СЭВА"</t>
  </si>
  <si>
    <t>"СЭВА"</t>
  </si>
  <si>
    <t>5040166805</t>
  </si>
  <si>
    <t>140170, МОСКОВСКАЯ ОБЛАСТЬ, ГОРОД БРОННИЦЫ, УЛИЦА МОСКОВСКАЯ, ДОМ 14, ЛИТЕР А-2, ПОМЕЩЕНИЕ 142</t>
  </si>
  <si>
    <t>Барабаш Вячеслав Борисович</t>
  </si>
  <si>
    <t>55.558906,38.253885</t>
  </si>
  <si>
    <t>ОБЩЕСТВО С ОГРАНИЧЕННОЙ ОТВЕТСТВЕННОСТЬЮ "ЗАВОД ТЕПЛОБЕТОНА"</t>
  </si>
  <si>
    <t>"ЗАВОД ТЕПЛОБЕТОНА"</t>
  </si>
  <si>
    <t>5040167598</t>
  </si>
  <si>
    <t>140108, МОСКОВСКАЯ ОБЛАСТЬ, Г. РАМЕНСКОЕ, УЛ. МИХАЛЕВИЧА, Д. 72Д, ОФИС 309</t>
  </si>
  <si>
    <t>Магомедов Али Омарасхабович</t>
  </si>
  <si>
    <t>55.553686,38.261045</t>
  </si>
  <si>
    <t>ОБЩЕСТВО С ОГРАНИЧЕННОЙ ОТВЕТСТВЕННОСТЬЮ "ТОННЕЛЬНО-МОСТОВОЙ ТРЕСТ № 3"</t>
  </si>
  <si>
    <t>"ТОННЕЛЬНО-МОСТОВОЙ ТРЕСТ № 3"</t>
  </si>
  <si>
    <t>5040178543</t>
  </si>
  <si>
    <t>140108, Московская область, РАМЕНСКИЙ, Г РАМЕНСКОЕ, УЛ САДОВАЯ, Д. 10, ПОМЕЩ. 2</t>
  </si>
  <si>
    <t>Никитченко Даниил Михайлович</t>
  </si>
  <si>
    <t>52.121217,38.273899</t>
  </si>
  <si>
    <t>ПРОИЗВОДСТВЕННЫЙ КООПЕРАТИВ "АБАТ"</t>
  </si>
  <si>
    <t>4815016240</t>
  </si>
  <si>
    <t>48-Липецкая область</t>
  </si>
  <si>
    <t>399540, ЛИПЕЦКАЯ ОБЛАСТЬ, Р-Н ТЕРБУНСКИЙ, С ТЕРБУНЫ, УЛ. ДОРОЖНАЯ, Д. 5Б</t>
  </si>
  <si>
    <t>Батищев Александр Александрович</t>
  </si>
  <si>
    <t>+7 (905) 685-67-77', '+7 (961) 035-48-48'</t>
  </si>
  <si>
    <t>46.675136,38.276576</t>
  </si>
  <si>
    <t>ОБЩЕСТВО С ОГРАНИЧЕННОЙ ОТВЕТСТВЕННОСТЬЮ "ДРУЖБА-ЮГ"</t>
  </si>
  <si>
    <t>"ДРУЖБА-ЮГ"</t>
  </si>
  <si>
    <t>2361004053</t>
  </si>
  <si>
    <t>353680, КРАСНОДАРСКИЙ КРАЙ, Р-Н ЕЙСКИЙ, Г. ЕЙСК, УЛ. ГЕРЦЕНА, Д.44</t>
  </si>
  <si>
    <t>Джанбеков Милан Владимирович</t>
  </si>
  <si>
    <t>+7 (918) 482-67-06'</t>
  </si>
  <si>
    <t>46.677368,38.283323</t>
  </si>
  <si>
    <t>ОБЩЕСТВО С ОГРАНИЧЕННОЙ ОТВЕТСТВЕННОСТЬЮ "ЕЙСКЖЕЛЕЗО-БЕТОН"</t>
  </si>
  <si>
    <t>"ЕЙСКЖЕЛЕЗО-БЕТОН"</t>
  </si>
  <si>
    <t>2361000764</t>
  </si>
  <si>
    <t>353691, Краснодарский край, муниципальный район ЕЙСКИЙ, Город ЕЙСК, городское поселение ЕЙСКОЕ, УЛ КРАСНАЯ, Д. 74/2, ПОМЕЩ. 10</t>
  </si>
  <si>
    <t>Гаджиомаров Гусейбэй Исабекович</t>
  </si>
  <si>
    <t>ОБЩЕСТВО С ОГРАНИЧЕННОЙ ОТВЕТСТВЕННОСТЬЮ "КАМСТРОЙ"</t>
  </si>
  <si>
    <t>"КАМСТРОЙ"</t>
  </si>
  <si>
    <t>2361018257</t>
  </si>
  <si>
    <t>353691, КРАСНОДАРСКИЙ КРАЙ, Р-Н ЕЙСКИЙ, Г. ЕЙСК, УЛ. КРАСНАЯ, Д. 74/2, ОФИС 12</t>
  </si>
  <si>
    <t>Потапов Егор Леонидович</t>
  </si>
  <si>
    <t>+7 (988) 400-13-00'</t>
  </si>
  <si>
    <t>55.548238,38.28432</t>
  </si>
  <si>
    <t>ОБЩЕСТВО С ОГРАНИЧЕННОЙ ОТВЕТСТВЕННОСТЬЮ "БИЗНЕС ПАРТНЕР СТРОИТЕЛЬНЫЙ КОНТИНЕНТ"</t>
  </si>
  <si>
    <t>"БИЗНЕС ПАРТНЕР СТРОИТЕЛЬНЫЙ КОНТИНЕНТ"</t>
  </si>
  <si>
    <t>5040172220</t>
  </si>
  <si>
    <t>140127, МОСКОВСКАЯ ОБЛ., Г. Раменское, Д. Сафоново, УЛ. ШОССЕЙНАЯ, СТР. 1/1, ПОМЕЩ. 215</t>
  </si>
  <si>
    <t>Тамарова Ольга Владимировна</t>
  </si>
  <si>
    <t>INFO@BPS-KONTINENT'</t>
  </si>
  <si>
    <t>55.415319,38.287536</t>
  </si>
  <si>
    <t>ОБЩЕСТВО С ОГРАНИЧЕННОЙ ОТВЕТСТВЕННОСТЬЮ "ТЕПЛОКАМ"</t>
  </si>
  <si>
    <t>"ТЕПЛОКАМ"</t>
  </si>
  <si>
    <t>5002005589</t>
  </si>
  <si>
    <t>140170, МОСКОВСКАЯ ОБЛАСТЬ, ГОРОД БРОННИЦЫ, УЛИЦА СОВЕТСКАЯ, ДОМ 155, СТРОЕНИЕ 8, ПОМЕЩЕНИЕ 81</t>
  </si>
  <si>
    <t>Игнатьев Дмитрий Николаевич</t>
  </si>
  <si>
    <t>55.147109,38.289458</t>
  </si>
  <si>
    <t>ОБЩЕСТВО С ОГРАНИЧЕННОЙ ОТВЕТСТВЕННОСТЬЮ "Каскад"</t>
  </si>
  <si>
    <t>"Каскад"</t>
  </si>
  <si>
    <t>5045048837</t>
  </si>
  <si>
    <t>142854, МОСКОВСКАЯ ОБЛАСТЬ, Г. СТУПИНО, С АКСИНЬИНО, УЛ. ШОССЕЙНАЯ, Д.10</t>
  </si>
  <si>
    <t>Хрусталёв Дмитрий Анатольевич</t>
  </si>
  <si>
    <t>+7 (495) 555-52-96', '+7 (916) 135-54-42'</t>
  </si>
  <si>
    <t>54.011983,38.300022</t>
  </si>
  <si>
    <t>7116154080</t>
  </si>
  <si>
    <t>301650, ТУЛЬСКАЯ ОБЛ, НОВОМОСКОВСКИЙ Р-Н, НОВОМОСКОВСК Г, СВЕРДЛОВА УЛ, ДОМ 21,..</t>
  </si>
  <si>
    <t>Проткин Николай Николаевич</t>
  </si>
  <si>
    <t>+7 (953) 970-48-50'</t>
  </si>
  <si>
    <t>55.506887,38.321995</t>
  </si>
  <si>
    <t>ОБЩЕСТВО С ОГРАНИЧЕННОЙ ОТВЕТСТВЕННОСТЬЮ ПРОИЗВОДСТВЕННО-КОММЕРЧЕСКАЯ ФИРМА "БИТЭК"</t>
  </si>
  <si>
    <t>ПРОИЗВОДСТВЕННО-КОММЕРЧЕСКАЯ ФИРМА "БИТЭК"</t>
  </si>
  <si>
    <t>5040175951</t>
  </si>
  <si>
    <t>140152, МОСКОВСКАЯ ОБЛ., Г. Раменское, Д. Кузнецово, УЛ. ЦЕНТРАЛЬНАЯ, Д. 176, КОМ. 6</t>
  </si>
  <si>
    <t>Лемехов Артем Дмитриевич</t>
  </si>
  <si>
    <t>LEMEHOV@BITEKBLOK.RU'</t>
  </si>
  <si>
    <t>55.721959,38.348963</t>
  </si>
  <si>
    <t>ОБЩЕСТВО С ОГРАНИЧЕННОЙ ОТВЕТСТВЕННОСТЬЮ "ВИРО"</t>
  </si>
  <si>
    <t>"ВИРО"</t>
  </si>
  <si>
    <t>5031129571</t>
  </si>
  <si>
    <t>142460, МОСКОВСКАЯ ОБЛАСТЬ, ГОРОД НОГИНСК, РАБОЧИЙ ПОСЕЛОК ИМ. ВОРОВСКОГО, УЛИЦА ПРИВОКЗАЛЬНАЯ, ДОМ 1</t>
  </si>
  <si>
    <t>Григорян Вираб Владикович</t>
  </si>
  <si>
    <t>+7 (968) 763-00-00'</t>
  </si>
  <si>
    <t>55.990917,38.359976</t>
  </si>
  <si>
    <t>ОБЩЕСТВО С ОГРАНИЧЕННОЙ ОТВЕТСТВЕННОСТЬЮ "ПРОИЗВОДСТВЕННО-КОММЕРЧЕСКАЯ ФИРМА "БИТЭК"</t>
  </si>
  <si>
    <t>"ПРОИЗВОДСТВЕННО-КОММЕРЧЕСКАЯ ФИРМА "БИТЭК"</t>
  </si>
  <si>
    <t>5031136314</t>
  </si>
  <si>
    <t>142432, МОСКОВСКАЯ ОБЛАСТЬ, ГОРОД ЧЕРНОГОЛОВКА, ПРОЕЗД 3-Й, ДОМ 9А, ЗДАНИЕ СКЛАДСКОЕ</t>
  </si>
  <si>
    <t>55.416407,38.360057</t>
  </si>
  <si>
    <t>ОБЩЕСТВО С ОГРАНИЧЕННОЙ ОТВЕТСТВЕННОСТЬЮ "АКВИЛОН"</t>
  </si>
  <si>
    <t>"АКВИЛОН"</t>
  </si>
  <si>
    <t>5040159967</t>
  </si>
  <si>
    <t>140160, МОСКОВСКАЯ ОБЛАСТЬ, РАМЕНСКИЙ РАЙОН, ДЕРЕВНЯ НИКУЛИНО, СТРОЕНИЕ 4, ОФИС 1</t>
  </si>
  <si>
    <t>Кустипаев Дмитрий Сергеевич</t>
  </si>
  <si>
    <t>55.84255,38.392926</t>
  </si>
  <si>
    <t>ОБЩЕСТВО С ОГРАНИЧЕННОЙ ОТВЕТСТВЕННОСТЬЮ "ЭЛЕГАНС"</t>
  </si>
  <si>
    <t>"ЭЛЕГАНС"</t>
  </si>
  <si>
    <t>5031130270</t>
  </si>
  <si>
    <t>142407, МОСКОВСКАЯ ОБЛАСТЬ, ГОРОД НОГИНСК, ПРОЕЗД 1-ЫЙ КАРДОЛЕНТНЫЙ, ДОМ 5, ПРИСТРОЙКА СКЛАДА СЫРЬЯ</t>
  </si>
  <si>
    <t>Гукасян Тигран Самвелович</t>
  </si>
  <si>
    <t>50.785576,38.434141</t>
  </si>
  <si>
    <t>ОБЩЕСТВО С ОГРАНИЧЕННОЙ ОТВЕТСТВЕННОСТЬЮ "НИКССЕРВИС"</t>
  </si>
  <si>
    <t>"НИКССЕРВИС"</t>
  </si>
  <si>
    <t>3121186154</t>
  </si>
  <si>
    <t>БЕЛГОРОДСКАЯ ОБЛ.,КРАСНОГВАРДЕЙСКИЙ Р-Н,С ВЕРХНЯЯ ПОКРОВКА</t>
  </si>
  <si>
    <t>Никитенко Сергей Владимирович</t>
  </si>
  <si>
    <t>+7 (915) 575-99-25'</t>
  </si>
  <si>
    <t>55.78809,38.438336</t>
  </si>
  <si>
    <t>ОБЩЕСТВО С ОГРАНИЧЕННОЙ ОТВЕТСТВЕННОСТЬЮ "БКИ"</t>
  </si>
  <si>
    <t>"БКИ"</t>
  </si>
  <si>
    <t>5031142798</t>
  </si>
  <si>
    <t>144000, МОСКОВСКАЯ ОБЛ., Г. Электросталь, УЛ. НИКОЛАЕВА, Д. 9, ПОМЕЩ. 17</t>
  </si>
  <si>
    <t>Перевезенцева Ольга Анатольевна</t>
  </si>
  <si>
    <t>SOROKOLETOVA_OA@MAIL.RU'</t>
  </si>
  <si>
    <t>52.634002,38.454245</t>
  </si>
  <si>
    <t>ОБЩЕСТВО С ОГРАНИЧЕННОЙ ОТВЕТСТВЕННОСТЬЮ "АОМ-ГРУПП"</t>
  </si>
  <si>
    <t>"АОМ-ГРУПП"</t>
  </si>
  <si>
    <t>4807009055</t>
  </si>
  <si>
    <t>399778, Липецкая область, Город ЕЛЕЦ, Ш МОСКОВСКОЕ, Д. 12А, ОФИС 209</t>
  </si>
  <si>
    <t>Мурадян Лусине Эдвардовна</t>
  </si>
  <si>
    <t>+7 (915) 550-23-62'</t>
  </si>
  <si>
    <t>52.629935,38.454829</t>
  </si>
  <si>
    <t>АКЦИОНЕРНОЕ ОБЩЕСТВО ЗАВОД СТРОЙМАТЕРИАЛОВ "ЕЛЕЦКИЙ"</t>
  </si>
  <si>
    <t>ЗАВОД СТРОЙМАТЕРИАЛОВ "ЕЛЕЦКИЙ"</t>
  </si>
  <si>
    <t>4807002099</t>
  </si>
  <si>
    <t>http://elportal.lipetsk.ru</t>
  </si>
  <si>
    <t>ЛИПЕЦКАЯ ОБЛ.,Г ЕЛЕЦ,МОСКОВСКОЕ ШОССЕ, 1</t>
  </si>
  <si>
    <t>Борисова Инна Анатольевна</t>
  </si>
  <si>
    <t>+7 (952) 592-47-29', '+7 (910) 256-90-03', '+7 (905) 681-72-28', '+7 (926) 819-93-25'</t>
  </si>
  <si>
    <t>vl@yandex.ru', '1@mail.ru', 'zsm@mail.ru', 'vl@yandex.ru', 'zsmsbyt@mail.ru', 'alexyelets@mail.ru', 'sbit_zsm@mail.ru', 'energo@zsm48.ru'</t>
  </si>
  <si>
    <t>55.875183,38.461953</t>
  </si>
  <si>
    <t>ОБЩЕСТВО С ОГРАНИЧЕННОЙ ОТВЕТСТВЕННОСТЬЮ "ПРОИЗВОДСТВЕННО-МОНТАЖНАЯ КОМПАНИЯ "АСТРОЙ"</t>
  </si>
  <si>
    <t>"ПРОИЗВОДСТВЕННО-МОНТАЖНАЯ КОМПАНИЯ "АСТРОЙ"</t>
  </si>
  <si>
    <t>5031119950</t>
  </si>
  <si>
    <t>142403, МОСКОВСКАЯ ОБЛАСТЬ, ГОРОД НОГИНСК, УЛИЦА СОВЕТСКОЙ КОНСТИТУЦИИ, ДОМ 3, СТРОЕНИЕ 9, ПОМЕЩЕНИЕ 161</t>
  </si>
  <si>
    <t>Комлев Александр Александрович</t>
  </si>
  <si>
    <t>55.301623,38.462788</t>
  </si>
  <si>
    <t>ОБЩЕСТВО С ОГРАНИЧЕННОЙ ОТВЕТСТВЕННОСТЬЮ "ПРОИЗВОДСТВЕННАЯ КОМПАНИЯ БЛОКПРОМ"</t>
  </si>
  <si>
    <t>"ПРОИЗВОДСТВЕННАЯ КОМПАНИЯ БЛОКПРОМ"</t>
  </si>
  <si>
    <t>5040168601</t>
  </si>
  <si>
    <t>140168, МОСКОВСКАЯ ОБЛАСТЬ, Г. РАМЕНСКОЕ, С НИКИТСКОЕ, Д. 51-А, КОМ. №6</t>
  </si>
  <si>
    <t>Кузьмин Алексей Александрович</t>
  </si>
  <si>
    <t>55.793713,38.474996</t>
  </si>
  <si>
    <t>ОБЩЕСТВО С ОГРАНИЧЕННОЙ ОТВЕТСТВЕННОСТЬЮ "ИНЭЛТЕК-СТРОЙИНЖБЕТОН"</t>
  </si>
  <si>
    <t>"ИНЭЛТЕК-СТРОЙИНЖБЕТОН"</t>
  </si>
  <si>
    <t>5053043430</t>
  </si>
  <si>
    <t>144001, МОСКОВСКАЯ ОБЛАСТЬ, ГОРОД ЭЛЕКТРОСТАЛЬ, ПЕРЕУЛОК СТРОИТЕЛЬНЫЙ, ДОМ 2, ЛИТЕРА Т1, ПОМЕЩЕНИЕ 4</t>
  </si>
  <si>
    <t>Медведев Никита Витальевич</t>
  </si>
  <si>
    <t>55.864854,38.492208</t>
  </si>
  <si>
    <t>ОБЩЕСТВО С ОГРАНИЧЕННОЙ ОТВЕТСТВЕННОСТЬЮ "КРЕАТИВ-СТРОЙ 33"</t>
  </si>
  <si>
    <t>"КРЕАТИВ-СТРОЙ 33"</t>
  </si>
  <si>
    <t>5031140247</t>
  </si>
  <si>
    <t>142401, МОСКОВСКАЯ ОБЛ., Г. Ногинск, УЛ. 2-АЯ ПАРКОВАЯ, Д. 24, ПОМЕЩ. 2</t>
  </si>
  <si>
    <t>Елисеев Сергей Владиславович</t>
  </si>
  <si>
    <t>44.850411,38.498344</t>
  </si>
  <si>
    <t>ОБЩЕСТВО С ОГРАНИЧЕННОЙ ОТВЕТСТВЕННОСТЬЮ "СТРОИТЕЛЬНЫЕ МАТЕРИАЛЫ И КОНСТРУКЦИИ"</t>
  </si>
  <si>
    <t>"СТРОИТЕЛЬНЫЕ МАТЕРИАЛЫ И КОНСТРУКЦИИ"</t>
  </si>
  <si>
    <t>2348023554</t>
  </si>
  <si>
    <t>КРАСНОДАРСКИЙ КРАЙ,СЕВЕРСКИЙ Р-Н,PП ЧЕРНОМОРСКИЙ,СТАНЦИЯ ХАБЛЬ, Д 5</t>
  </si>
  <si>
    <t>Ханбеков Александр Владимирович</t>
  </si>
  <si>
    <t>+7 (861) 211-52-33', '+7 (861) 211-52-09'</t>
  </si>
  <si>
    <t>ooo_smik@mail.ru'</t>
  </si>
  <si>
    <t>52.622107,38.499538</t>
  </si>
  <si>
    <t>ОБЩЕСТВО С ОГРАНИЧЕННОЙ ОТВЕТСТВЕННОСТЬЮ "ОПОРА48"</t>
  </si>
  <si>
    <t>"ОПОРА48"</t>
  </si>
  <si>
    <t>4824002236</t>
  </si>
  <si>
    <t>ЛИПЕЦКАЯ ОБЛ.,Г ЕЛЕЦ,ПЛ ЛЕНИНА, 1</t>
  </si>
  <si>
    <t>Саркисян Левон Каренович</t>
  </si>
  <si>
    <t>52.603056,38.500032</t>
  </si>
  <si>
    <t>ОБЩЕСТВО С ОГРАНИЧЕННОЙ ОТВЕТСТВЕННОСТЬЮ "РЕЦИТАЛ+"</t>
  </si>
  <si>
    <t>"РЕЦИТАЛ+"</t>
  </si>
  <si>
    <t>4821050471</t>
  </si>
  <si>
    <t>399772, ЛИПЕЦКАЯ ОБЛАСТЬ, Г. ЕЛЕЦ, УЛ. ПУШКИНА, Д. 6А</t>
  </si>
  <si>
    <t>Цыба Герман Владимирович</t>
  </si>
  <si>
    <t>+7 (980) 251-31-68', '+7 (962) 350-16-68'</t>
  </si>
  <si>
    <t>ZAVODZBI48@MAIL.RU'</t>
  </si>
  <si>
    <t>55.85623,38.508189</t>
  </si>
  <si>
    <t>ОБЩЕСТВО С ОГРАНИЧЕННОЙ ОТВЕТСТВЕННОСТЬЮ "АРХИДЕКО"</t>
  </si>
  <si>
    <t>"АРХИДЕКО"</t>
  </si>
  <si>
    <t>5031124238</t>
  </si>
  <si>
    <t>142401, МОСКОВСКАЯ ОБЛАСТЬ, ГОРОД НОГИНСК, УЛИЦА СТАРОПАВЛОВСКАЯ, ДОМ 9</t>
  </si>
  <si>
    <t>Зотов Виктор Валерьевич</t>
  </si>
  <si>
    <t>+7 (916) 944-12-19', '+7 (985) 739-19-18'</t>
  </si>
  <si>
    <t>54.850318,38.520478</t>
  </si>
  <si>
    <t>ОБЩЕСТВО С ОГРАНИЧЕННОЙ ОТВЕТСТВЕННОСТЬЮ "БЕТОН РУ"</t>
  </si>
  <si>
    <t>"БЕТОН РУ"</t>
  </si>
  <si>
    <t>5033002732</t>
  </si>
  <si>
    <t>140563, МОСКОВСКАЯ ОБЛАСТЬ, Г КОЛОМНА, Г. ОЗЁРЫ, УЛ. ЛЕНИНА, Д. 106</t>
  </si>
  <si>
    <t>Бондаренко Сергей Юрьевич</t>
  </si>
  <si>
    <t>+7 (495) 557-83-10'</t>
  </si>
  <si>
    <t>54.68614,38.522697</t>
  </si>
  <si>
    <t>ОБЩЕСТВО С ОГРАНИЧЕННОЙ ОТВЕТСТВЕННОСТЬЮ "ВЫБОР-МСК"</t>
  </si>
  <si>
    <t>"ВЫБОР-МСК"</t>
  </si>
  <si>
    <t>5019019974</t>
  </si>
  <si>
    <t>142930, МОСКОВСКАЯ ОБЛАСТЬ, ГОРОД КАШИРА, ПОСЕЛОК БОГАТИЩЕВО, УЛИЦА ПРОМЫШЛЕННАЯ, ДОМ 1</t>
  </si>
  <si>
    <t>Пашко Евгений Борисович</t>
  </si>
  <si>
    <t>+7 (988) 762-27-60'</t>
  </si>
  <si>
    <t>55.42662,38.554021</t>
  </si>
  <si>
    <t>ОБЩЕСТВО С ОГРАНИЧЕННОЙ ОТВЕТСТВЕННОСТЬЮ "ЛЕОНАРДО-СТОУН СТИЛЬ"</t>
  </si>
  <si>
    <t>"ЛЕОНАРДО-СТОУН СТИЛЬ"</t>
  </si>
  <si>
    <t>5005063349</t>
  </si>
  <si>
    <t>140230, МОСКОВСКАЯ ОБЛАСТЬ, ГОРОД ВОСКРЕСЕНСК, ПОСЕЛОК ВИНОГРАДОВО, УЛИЦА КОММУНИСТИЧЕСКАЯ, ДОМ 5А</t>
  </si>
  <si>
    <t>Глизин Евгений Валерьевич</t>
  </si>
  <si>
    <t>+7 (495) 988-29-21'</t>
  </si>
  <si>
    <t>44.856238,38.57444</t>
  </si>
  <si>
    <t>ОБЩЕСТВО С ОГРАНИЧЕННОЙ ОТВЕТСТВЕННОСТЬЮ "ВЕРТИКАЛЬ"</t>
  </si>
  <si>
    <t>"ВЕРТИКАЛЬ"</t>
  </si>
  <si>
    <t>2348042606</t>
  </si>
  <si>
    <t>353230, Краснодарский край, муниципальный район СЕВЕРСКИЙ, ПГТ ИЛЬСКИЙ, городское поселение ИЛЬСКОЕ, УЛ ДЛИННАЯ, Д. 31Д,</t>
  </si>
  <si>
    <t>Ткачёва Марина Геннадьевна</t>
  </si>
  <si>
    <t>56.385242,38.579929</t>
  </si>
  <si>
    <t>ОБЩЕСТВО С ОГРАНИЧЕННОЙ ОТВЕТСТВЕННОСТЬЮ "АБЕЛУН"</t>
  </si>
  <si>
    <t>"АБЕЛУН"</t>
  </si>
  <si>
    <t>3311023616</t>
  </si>
  <si>
    <t>33-Владимирская область</t>
  </si>
  <si>
    <t>601670, ВЛАДИМИРСКАЯ ОБЛАСТЬ, РАЙОН АЛЕКСАНДРОВСКИЙ, ГОРОД СТРУНИНО, УЛИЦА ЧЕРНЫШЕВСКОГО, ДОМ 3, ПОМЕЩЕНИЕ 2</t>
  </si>
  <si>
    <t>Селезнев Максим Викторович</t>
  </si>
  <si>
    <t>+7 (926) 246-89-66'</t>
  </si>
  <si>
    <t>54.730796,38.641454</t>
  </si>
  <si>
    <t>ОБЩЕСТВО С ОГРАНИЧЕННОЙ ОТВЕТСТВЕННОСТЬЮ  "АДРИАНА"</t>
  </si>
  <si>
    <t xml:space="preserve"> "АДРИАНА"</t>
  </si>
  <si>
    <t>5044087858</t>
  </si>
  <si>
    <t>МОСКОВСКАЯ ОБЛ.,ЗАРАЙСКИЙ Р-Н,Д НИКОЛЬСКОЕ</t>
  </si>
  <si>
    <t>Нерсисян Адрине Славиковна</t>
  </si>
  <si>
    <t>+7 (925) 059-40-55'</t>
  </si>
  <si>
    <t>55.776219,38.653069</t>
  </si>
  <si>
    <t>ОБЩЕСТВО С ОГРАНИЧЕННОЙ ОТВЕТСТВЕННОСТЬЮ "ВАЙДЕ"</t>
  </si>
  <si>
    <t>"ВАЙДЕ"</t>
  </si>
  <si>
    <t>5035029000</t>
  </si>
  <si>
    <t>142500, МОСКОВСКАЯ ОБЛАСТЬ, Г. ПАВЛОВСКИЙ ПОСАД, УЛ. БОЛЬШАЯ ПОКРОВСКАЯ, Д. 30, ОФИС 7</t>
  </si>
  <si>
    <t>Чемезова Олеся Владимировна</t>
  </si>
  <si>
    <t>+7 (925) 362-23-90'</t>
  </si>
  <si>
    <t>55.061859,38.659142</t>
  </si>
  <si>
    <t>ОБЩЕСТВО С ОГРАНИЧЕННОЙ ОТВЕТСТВЕННОСТЬЮ "АРБОЛИТ-КОЛОМНА"</t>
  </si>
  <si>
    <t>"АРБОЛИТ-КОЛОМНА"</t>
  </si>
  <si>
    <t>5022061969</t>
  </si>
  <si>
    <t>140450, МОСКОВСКАЯ ОБЛ., Г. Коломна, П. Первомайский, КВ-Л 0040415, Д. 17, СТР. 12, ОФИС 4</t>
  </si>
  <si>
    <t>Суббочев Александр Васильевич</t>
  </si>
  <si>
    <t>44.850986,38.659681</t>
  </si>
  <si>
    <t>ОБЩЕСТВО С ОГРАНИЧЕННОЙ ОТВЕТСТВЕННОСТЬЮ "СТРОЙ-ЭКСПРЕСС"</t>
  </si>
  <si>
    <t>"СТРОЙ-ЭКСПРЕСС"</t>
  </si>
  <si>
    <t>2348027319</t>
  </si>
  <si>
    <t>353240, КРАСНОДАРСКИЙ КРАЙ, Р-Н СЕВЕРСКИЙ, СТ-ЦА СЕВЕРСКАЯ, УЛ. ЗАПАДНАЯ, Д.7</t>
  </si>
  <si>
    <t>Белохорт Владимир Николаевич</t>
  </si>
  <si>
    <t>55.322978,38.673362</t>
  </si>
  <si>
    <t>ОБЩЕСТВО С ОГРАНИЧЕННОЙ ОТВЕТСТВЕННОСТЬЮ "ЗАВОД КЕРАМЗИТОБЕТОННЫХ ИЗДЕЛИЙ "ЛИДЕР"</t>
  </si>
  <si>
    <t>"ЗАВОД КЕРАМЗИТОБЕТОННЫХ ИЗДЕЛИЙ "ЛИДЕР"</t>
  </si>
  <si>
    <t>5005066212</t>
  </si>
  <si>
    <t>140200, МОСКОВСКАЯ ОБЛАСТЬ, Г ВОСКРЕСЕНСК, УЛ. ЗАВОДСКАЯ, Д. 1, ПОМЕЩ. 2А</t>
  </si>
  <si>
    <t>Кулабухов Павел Анатольевич</t>
  </si>
  <si>
    <t>ОБЩЕСТВО С ОГРАНИЧЕННОЙ ОТВЕТСТВЕННОСТЬЮ "СТРОЙБИЗНЕС ВОСКРЕСЕНСК"</t>
  </si>
  <si>
    <t>"СТРОЙБИЗНЕС ВОСКРЕСЕНСК"</t>
  </si>
  <si>
    <t>5005071124</t>
  </si>
  <si>
    <t>140209, МОСКОВСКАЯ ОБЛ., Г. Воскресенск, ТЕР. СНТ ПЕРЕБАТИНО, Д. 102А, ОФИС 1</t>
  </si>
  <si>
    <t>Алоян Татевик Генриковна</t>
  </si>
  <si>
    <t>GURGEN@MAIL.RU'</t>
  </si>
  <si>
    <t>56.819784,38.681914</t>
  </si>
  <si>
    <t>ОБЩЕСТВО С ОГРАНИЧЕННОЙ ОТВЕТСТВЕННОСТЬЮ "ЦЕНТРИНЖЕНЕР"</t>
  </si>
  <si>
    <t>"ЦЕНТРИНЖЕНЕР"</t>
  </si>
  <si>
    <t>7622012188</t>
  </si>
  <si>
    <t>76-Ярославская область</t>
  </si>
  <si>
    <t>ЯРОСЛАВСКАЯ ОБЛ.,ПЕРЕСЛАВСКИЙ Р-Н,С КУПАНСКОЕ,УЛ ДЕПУТАТСКАЯ, Д 16</t>
  </si>
  <si>
    <t>Смирнов Сергей Валериевич</t>
  </si>
  <si>
    <t>+7 (495) 930-33-70'</t>
  </si>
  <si>
    <t>50@mail.ru'</t>
  </si>
  <si>
    <t>54.856968,38.683621</t>
  </si>
  <si>
    <t>ОБЩЕСТВО С ОГРАНИЧЕННОЙ ОТВЕТСТВЕННОСТЬЮ "САД"</t>
  </si>
  <si>
    <t>"САД"</t>
  </si>
  <si>
    <t>5033003060</t>
  </si>
  <si>
    <t>140571, МОСКОВСКАЯ ОБЛАСТЬ, Г КОЛОМНА, Г. ОЗЁРЫ, С ПОЛУРЯДИНКИ, УЛ. ЗЕЛЕНАЯ, Д. 2</t>
  </si>
  <si>
    <t>Цатурян Саргис Вагаршакович</t>
  </si>
  <si>
    <t>+7 (926) 877-99-98'</t>
  </si>
  <si>
    <t>52.718432,38.695048</t>
  </si>
  <si>
    <t>ОБЩЕСТВО С ОГРАНИЧЕННОЙ ОТВЕТСТВЕННОСТЬЮ "ЖБИ ЕЛЕЦКИЙ"</t>
  </si>
  <si>
    <t>"ЖБИ ЕЛЕЦКИЙ"</t>
  </si>
  <si>
    <t>4807056922</t>
  </si>
  <si>
    <t>399761, Липецкая область, район ЕЛЕЦКИЙ, Д КОЛОСОВКА, УЛ ИВАНОВСКАЯ, Д. 7,</t>
  </si>
  <si>
    <t>Мажаев Заур Микаилович</t>
  </si>
  <si>
    <t>80@MAIL.RU'</t>
  </si>
  <si>
    <t>55.307573,38.696961</t>
  </si>
  <si>
    <t>ОБЩЕСТВО С ОГРАНИЧЕННОЙ ОТВЕТСТВЕННОСТЬЮ "АЭРБЛОК"</t>
  </si>
  <si>
    <t>"АЭРБЛОК"</t>
  </si>
  <si>
    <t>5005046826</t>
  </si>
  <si>
    <t>140200, МОСКОВСКАЯ ОБЛАСТЬ, ГОРОД ВОСКРЕСЕНСК, УЛИЦА ЗАВОДСКАЯ, 1</t>
  </si>
  <si>
    <t>Бузин Михаил Юрьевич</t>
  </si>
  <si>
    <t>+7 (495) 730-23-34'</t>
  </si>
  <si>
    <t>55.773434,38.698596</t>
  </si>
  <si>
    <t>ОБЩЕСТВО С ОГРАНИЧЕННОЙ ОТВЕТСТВЕННОСТЬЮ  "АЛЬФОЛИ"</t>
  </si>
  <si>
    <t xml:space="preserve"> "АЛЬФОЛИ"</t>
  </si>
  <si>
    <t>5035038526</t>
  </si>
  <si>
    <t>142505, МОСКОВСКАЯ ОБЛАСТЬ, ГОРОД ПАВЛОВСКИЙ ПОСАД, ПЕРЕУЛОК КОРНЕВО-ЮДИНСКИЙ, 2/2</t>
  </si>
  <si>
    <t>Филатов Андрей Михайлович</t>
  </si>
  <si>
    <t>55.773018,38.701273</t>
  </si>
  <si>
    <t>ОБЩЕСТВО С ОГРАНИЧЕННОЙ ОТВЕТСТВЕННОСТЬЮ "СТИЛБЕТ"</t>
  </si>
  <si>
    <t>"СТИЛБЕТ"</t>
  </si>
  <si>
    <t>5034061875</t>
  </si>
  <si>
    <t>142505, Московская область, ПАВЛОВСКИЙ ПОСАД, Г ПАВЛОВСКИЙ ПОСАД, ПЕР КОРНЕВО-ЮДИНСКИЙ, Д. 2/3</t>
  </si>
  <si>
    <t>Галлямов Руслан Фанзилевич</t>
  </si>
  <si>
    <t>56.396349,38.71358</t>
  </si>
  <si>
    <t>3301034721</t>
  </si>
  <si>
    <t>601654, ВЛАДИМИРСКАЯ ОБЛАСТЬ, РАЙОН АЛЕКСАНДРОВСКИЙ, ГОРОД АЛЕКСАНДРОВ, УЛИЦА КРАСНЫЙ ПЕРЕУЛОК, ДОМ 13, ОФИС 1</t>
  </si>
  <si>
    <t>Бердников Алексей Геннадьевич</t>
  </si>
  <si>
    <t>+7 (917) 503-95-05', '+7 (925) 740-25-01'</t>
  </si>
  <si>
    <t>55.274513,38.732112</t>
  </si>
  <si>
    <t>ОБЩЕСТВО С ОГРАНИЧЕННОЙ ОТВЕТСТВЕННОСТЬЮ СК "ОПЫТ"</t>
  </si>
  <si>
    <t>СК "ОПЫТ"</t>
  </si>
  <si>
    <t>5005070360</t>
  </si>
  <si>
    <t>140200, МОСКОВСКАЯ ОБЛ., Г. Воскресенск, УЛ. МОСКОВСКАЯ, Д. 32Ж</t>
  </si>
  <si>
    <t>Шардаков Владимир Николаевич</t>
  </si>
  <si>
    <t>WALL177@MAIL.RU'</t>
  </si>
  <si>
    <t>56.368858,38.735247</t>
  </si>
  <si>
    <t>ОБЩЕСТВО С ОГРАНИЧЕННОЙ ОТВЕТСТВЕННОСТЬЮ "АЛЕКСПЛИТКА"</t>
  </si>
  <si>
    <t>"АЛЕКСПЛИТКА"</t>
  </si>
  <si>
    <t>3311022193</t>
  </si>
  <si>
    <t>http://aleksplitka.ru</t>
  </si>
  <si>
    <t>601655, ВЛАДИМИРСКАЯ ОБЛАСТЬ, РАЙОН АЛЕКСАНДРОВСКИЙ, ДЕРЕВНЯ НОВИНКИ, -</t>
  </si>
  <si>
    <t>Маликов Сергей Васильевич</t>
  </si>
  <si>
    <t>+7 (904) 569-45-65'</t>
  </si>
  <si>
    <t>plitkaalex@mail.ru'</t>
  </si>
  <si>
    <t>55.251737,38.743664</t>
  </si>
  <si>
    <t>ОБЩЕСТВО С ОГРАНИЧЕННОЙ ОТВЕТСТВЕННОСТЬЮ "СПЕЦСТРОЙТРАНС"</t>
  </si>
  <si>
    <t>"СПЕЦСТРОЙТРАНС"</t>
  </si>
  <si>
    <t>5005036426</t>
  </si>
  <si>
    <t>МОСКОВСКАЯ ОБЛ.,Г ВОСКРЕСЕНСК,УЛ СУВОРОВА, Д 9</t>
  </si>
  <si>
    <t>Кирьянов Михаил Николаевич</t>
  </si>
  <si>
    <t>+7 (965) 412-49-69'</t>
  </si>
  <si>
    <t>55.272821,38.748488</t>
  </si>
  <si>
    <t>5005040503</t>
  </si>
  <si>
    <t>МОСКОВСКАЯ ОБЛ.,Г ВОСКРЕСЕНСК,УЛ ЛОМОНОСОВА, Д 111</t>
  </si>
  <si>
    <t>Архипов Виталий Александрович</t>
  </si>
  <si>
    <t>58.084401,38.768853</t>
  </si>
  <si>
    <t>ОБЩЕСТВО С ОГРАНИЧЕННОЙ ОТВЕТСТВЕННОСТЬЮ "БЛАГОУСТРОИТЕЛЬ"</t>
  </si>
  <si>
    <t>"БЛАГОУСТРОИТЕЛЬ"</t>
  </si>
  <si>
    <t>7610108618</t>
  </si>
  <si>
    <t>http://blagoustroitel76.ru</t>
  </si>
  <si>
    <t>152914, Ярославская область, г Рыбинск, ул Рокоссовского, д 16,..</t>
  </si>
  <si>
    <t>Серов Сергей Владимирович</t>
  </si>
  <si>
    <t>+7 (930) 123-95-57'</t>
  </si>
  <si>
    <t>uslug@yandex.ru'</t>
  </si>
  <si>
    <t>55.082127,38.778411</t>
  </si>
  <si>
    <t>ОБЩЕСТВО С ОГРАНИЧЕННОЙ ОТВЕТСТВЕННОСТЬЮ НПП "ЭФФЕКТИВНЫЕ СТРОИТЕЛЬНЫЕ МАТЕРИАЛЫ И ИЗДЕЛИЯ"</t>
  </si>
  <si>
    <t>НПП "ЭФФЕКТИВНЫЕ СТРОИТЕЛЬНЫЕ МАТЕРИАЛЫ И ИЗДЕЛИЯ"</t>
  </si>
  <si>
    <t>5022061091</t>
  </si>
  <si>
    <t>140410, МОСКОВСКАЯ ОБЛАСТЬ, Г КОЛОМНА, УЛ. ФРУНЗЕ, Д. 46, ОФИС 308, ЭТАЖ 3</t>
  </si>
  <si>
    <t>Хоруженко Максим Викторович</t>
  </si>
  <si>
    <t>55.069881,38.796315</t>
  </si>
  <si>
    <t>Общество с ограниченной ответственностью "ПРОИЗВОДСТВЕННАЯ КОМПАНИЯ "КОЛДИЗ"</t>
  </si>
  <si>
    <t>"ПРОИЗВОДСТВЕННАЯ КОМПАНИЯ "КОЛДИЗ"</t>
  </si>
  <si>
    <t>5022057881</t>
  </si>
  <si>
    <t>140402, МОСКОВСКАЯ ОБЛАСТЬ, Г КОЛОМНА, ПР-КТ ОКСКИЙ, Д. 40, ПОМЕЩ. 2</t>
  </si>
  <si>
    <t>Кононец Наталия Евгеньевна</t>
  </si>
  <si>
    <t>+7 (916) 503-74-67'</t>
  </si>
  <si>
    <t>79654298887@mail.ru', 'kne77@list.ru'</t>
  </si>
  <si>
    <t>55.327818,38.815134</t>
  </si>
  <si>
    <t>ОБЩЕСТВО С ОГРАНИЧЕННОЙ ОТВЕТСТВЕННОСТЬЮ "ТОРГОВО-ПРОИЗВОДСТВЕННАЯ КОМПАНИЯ КАЛАКАН"</t>
  </si>
  <si>
    <t>"ТОРГОВО-ПРОИЗВОДСТВЕННАЯ КОМПАНИЯ КАЛАКАН"</t>
  </si>
  <si>
    <t>5005055115</t>
  </si>
  <si>
    <t>140235, МОСКОВСКАЯ ОБЛАСТЬ, Г ВОСКРЕСЕНСК, РП ХОРЛОВО, ПЛ. ЛЕНИНА, ЗД. 1, ПОМЕЩ. 5,6</t>
  </si>
  <si>
    <t>Сальков Михаил Михайлович</t>
  </si>
  <si>
    <t>+7 (910) 782-18-84'</t>
  </si>
  <si>
    <t>58.036836,38.825214</t>
  </si>
  <si>
    <t>ОБЩЕСТВО С ОГРАНИЧЕННОЙ ОТВЕТСТВЕННОСТЬЮ "ЕВРО БЕТОН"</t>
  </si>
  <si>
    <t>"ЕВРО БЕТОН"</t>
  </si>
  <si>
    <t>7604291429</t>
  </si>
  <si>
    <t>ЯРОСЛАВСКАЯ ОБЛ.,Г РЫБИНСК,УЛ ТРУДА, Д 28</t>
  </si>
  <si>
    <t>Буджиашвили Леон Джамбулович</t>
  </si>
  <si>
    <t>+7 (915) 993-61-30'</t>
  </si>
  <si>
    <t>44.913587,38.834269</t>
  </si>
  <si>
    <t>ОБЩЕСТВО С ОГРАНИЧЕННОЙ ОТВЕТСТВЕННОСТЬЮ ЮЖНЫЙ ТОРГОВЫЙ ДОМ "ГРАНИТ"</t>
  </si>
  <si>
    <t>ЮЖНЫЙ "ГРАНИТ"</t>
  </si>
  <si>
    <t>2348041056</t>
  </si>
  <si>
    <t>353236, КРАСНОДАРСКИЙ КРАЙ, РАЙОН СЕВЕРСКИЙ, ПОСЕЛОК ГОРОДСКОГО ТИПА АФИПСКИЙ, УЛИЦА 50 ЛЕТ ОКТЯБРЯ, ДОМ 42 Б,..</t>
  </si>
  <si>
    <t>Юкина Кристина Алексеевна</t>
  </si>
  <si>
    <t>+7 (918) 343-65-02'</t>
  </si>
  <si>
    <t>51.581019,38.840799</t>
  </si>
  <si>
    <t>3616012721</t>
  </si>
  <si>
    <t>396840, ВОРОНЕЖСКАЯ ОБЛАСТЬ, Р-Н ХОХОЛЬСКИЙ, РП ХОХОЛЬСКИЙ, УЛ. КОЛХОЗНАЯ, Д.50 А, ОФИС 1</t>
  </si>
  <si>
    <t>Стиховин Владислав Евгеньевич</t>
  </si>
  <si>
    <t>+7 (903) 853-39-92', '+7 (473) 714-32-75'</t>
  </si>
  <si>
    <t>44.903348,38.841132</t>
  </si>
  <si>
    <t>2348038952</t>
  </si>
  <si>
    <t>353236, КРАСНОДАРСКИЙ КРАЙ, РАЙОН СЕВЕРСКИЙ, ПОСЕЛОК ГОРОДСКОГО ТИПА АФИПСКИЙ, ТЕРРИТОРИЯ ПРОМЗОНА, КОРПУС М</t>
  </si>
  <si>
    <t>Кордубан Екатерина Сергеевна</t>
  </si>
  <si>
    <t>56.741781,38.882517</t>
  </si>
  <si>
    <t>ОБЩЕСТВО С ОГРАНИЧЕННОЙ ОТВЕТСТВЕННОСТЬЮ  "РЕГЕНТ - РЕСУРС"</t>
  </si>
  <si>
    <t xml:space="preserve"> "РЕГЕНТ - РЕСУРС"</t>
  </si>
  <si>
    <t>7608019008</t>
  </si>
  <si>
    <t>152023, ЯРОСЛАВСКАЯ ОБЛАСТЬ, Г. ПЕРЕСЛАВЛЬ-ЗАЛЕССКИЙ, УЛ. СВОБОДЫ, Д. 99</t>
  </si>
  <si>
    <t>Юсупов Камиль Хатымович</t>
  </si>
  <si>
    <t>44.953647,38.883685</t>
  </si>
  <si>
    <t>ОБЩЕСТВО С ОГРАНИЧЕННОЙ ОТВЕТСТВЕННОСТЬЮ "ВАШ ДОМ"</t>
  </si>
  <si>
    <t>"ВАШ ДОМ"</t>
  </si>
  <si>
    <t>2312184815</t>
  </si>
  <si>
    <t>385130, АДЫГЕЯ РЕСПУБЛИКА, РАЙОН ТАХТАМУКАЙСКИЙ, ПОСЕЛОК ДРУЖНЫЙ, ДОМ 2</t>
  </si>
  <si>
    <t>Харченко Наталия Любомировна</t>
  </si>
  <si>
    <t>+7 (918) 940-65-76', '+7 (918) 454-56-58'</t>
  </si>
  <si>
    <t>yna@mail.ru', 'yna@mail.ru'</t>
  </si>
  <si>
    <t>44.853804,38.886434</t>
  </si>
  <si>
    <t>ОБЩЕСТВО С ОГРАНИЧЕННОЙ ОТВЕТСТВЕННОСТЬЮ "СТРОЙ КУБАНЬ"</t>
  </si>
  <si>
    <t>"СТРОЙ КУБАНЬ"</t>
  </si>
  <si>
    <t>2348036793</t>
  </si>
  <si>
    <t>353250, КРАСНОДАРСКИЙ КРАЙ, СЕВЕРСКИЙ Р-Н, НОВОДМИТРИЕВСКАЯ СТ-ЦА, ГОРЬКОГО УЛ, 130</t>
  </si>
  <si>
    <t>Мирзоев Рустам Борисович</t>
  </si>
  <si>
    <t>+7 (961) 535-69-76', '+7 (929) 829-28-88'</t>
  </si>
  <si>
    <t>kr@yandex.ru', 'kr@yandex.ru', 'kr@yandex.ru'</t>
  </si>
  <si>
    <t>47.251354,38.887566</t>
  </si>
  <si>
    <t>ОБЩЕСТВО С ОГРАНИЧЕННОЙ ОТВЕТСТВЕННОСТЬЮ "АРСТРОЙ"</t>
  </si>
  <si>
    <t>"АРСТРОЙ"</t>
  </si>
  <si>
    <t>6154157161</t>
  </si>
  <si>
    <t>61-Ростовская область</t>
  </si>
  <si>
    <t>347910, РОСТОВСКАЯ ОБЛАСТЬ, ГОРОД ТАГАНРОГ, УЛИЦА КОТЛОСТРОИТЕЛЬНАЯ, ДОМ 39-2, ОФИС 1</t>
  </si>
  <si>
    <t>Оськин Александр Андреевич</t>
  </si>
  <si>
    <t>+7 (928) 959-54-44'</t>
  </si>
  <si>
    <t>mibar4nov@yandex.ru'</t>
  </si>
  <si>
    <t>44.921598,38.888257</t>
  </si>
  <si>
    <t>Общество с ограниченной ответственностью "ЭНЕМ-ЖБИ"</t>
  </si>
  <si>
    <t>"ЭНЕМ-ЖБИ"</t>
  </si>
  <si>
    <t>0107031160</t>
  </si>
  <si>
    <t>385130, АДЫГЕЯ РЕСПУБЛИКА, Р-Н ТАХТАМУКАЙСКИЙ, ПГТ ЭНЕМ, УЛ. ПЕРОВА, Д. 56</t>
  </si>
  <si>
    <t>Манукян Татевос Варданович</t>
  </si>
  <si>
    <t>+7 (928) 666-75-75'</t>
  </si>
  <si>
    <t>47.231367,38.895623</t>
  </si>
  <si>
    <t>ОБЩЕСТВО С ОГРАНИЧЕННОЙ ОТВЕТСТВЕННОСТЬЮ "СТРОЙКОМ-Т"</t>
  </si>
  <si>
    <t>"СТРОЙКОМ-Т"</t>
  </si>
  <si>
    <t>6154142158</t>
  </si>
  <si>
    <t>347930, РОСТОВСКАЯ ОБЛ., Г. Таганрог, ПЛ. СЕВЕРНАЯ, Д. 3, К. 18, ОФИС 1</t>
  </si>
  <si>
    <t>Тарасенко Руслан Владимирович</t>
  </si>
  <si>
    <t>+7 (863) 447-74-78', '+7 (928) 149-88-92'</t>
  </si>
  <si>
    <t>stroikomtaganrog@yandex.ru'</t>
  </si>
  <si>
    <t>56.743637,38.899477</t>
  </si>
  <si>
    <t>ОБЩЕСТВО С ОГРАНИЧЕННОЙ ОТВЕТСТВЕННОСТЬЮ "ПЕРЕСЛАВЛЬСТРОЙПРОМ"</t>
  </si>
  <si>
    <t>"ПЕРЕСЛАВЛЬСТРОЙПРОМ"</t>
  </si>
  <si>
    <t>7608009360</t>
  </si>
  <si>
    <t>http://pspbeton.ru</t>
  </si>
  <si>
    <t>152023, ЯРОСЛАВСКАЯ ОБЛАСТЬ, ГОРОД ПЕРЕСЛАВЛЬ-ЗАЛЕССКИЙ, УЛИЦА МАГИСТРАЛЬНАЯ, 20</t>
  </si>
  <si>
    <t>Митинский Владимир Михайлович</t>
  </si>
  <si>
    <t>45.028566,38.912117</t>
  </si>
  <si>
    <t>2308266060</t>
  </si>
  <si>
    <t>350089, КРАСНОДАРСКИЙ КРАЙ, ГОРОД КРАСНОДАР, ПРОСПЕКТ ЧЕКИСТОВ, ДОМ 22, ОФИС 73</t>
  </si>
  <si>
    <t>Маслов Евгений Олегович</t>
  </si>
  <si>
    <t>+7 (918) 385-29-67'</t>
  </si>
  <si>
    <t>45.039833,38.920615</t>
  </si>
  <si>
    <t>ОБЩЕСТВО С ОГРАНИЧЕННОЙ ОТВЕТСТВЕННОСТЬЮ "ТРАНС АВТО"</t>
  </si>
  <si>
    <t>"ТРАНС АВТО"</t>
  </si>
  <si>
    <t>2308210928</t>
  </si>
  <si>
    <t>350004, КРАСНОДАРСКИЙ КРАЙ, Г. КРАСНОДАР, УЛ. АЛМА-АТИНСКАЯ, Д. 63, ОФИС 1</t>
  </si>
  <si>
    <t>Колосницин Евгений Сергеевич</t>
  </si>
  <si>
    <t>+7 (918) 344-19-95'</t>
  </si>
  <si>
    <t>tavto14@bk.ru'</t>
  </si>
  <si>
    <t>45.06918,38.921603</t>
  </si>
  <si>
    <t>ОБЩЕСТВО С ОГРАНИЧЕННОЙ ОТВЕТСТВЕННОСТЬЮ "ЗАВОД "ГРАНИТ"</t>
  </si>
  <si>
    <t>"ЗАВОД "ГРАНИТ"</t>
  </si>
  <si>
    <t>2311278250</t>
  </si>
  <si>
    <t>350012, КРАСНОДАРСКИЙ КРАЙ, ГОРОД КРАСНОДАР, УЛИЦА КРУГОВАЯ, ДОМ 24/2</t>
  </si>
  <si>
    <t>Кардасевич Станислав Игоревич</t>
  </si>
  <si>
    <t>+7 (908) 679-31-88'</t>
  </si>
  <si>
    <t>47.212432,38.92861</t>
  </si>
  <si>
    <t>ОБЩЕСТВО С ОГРАНИЧЕННОЙ ОТВЕТСТВЕННОСТЬЮ "КСМ 555"</t>
  </si>
  <si>
    <t>"КСМ 555"</t>
  </si>
  <si>
    <t>6154160485</t>
  </si>
  <si>
    <t>347900, РОСТОВСКАЯ ОБЛ., Г. Таганрог, ПЕР. ЛЕРМОНТОВСКИЙ, Д. 19, ЛИТЕР А КОМ. 83</t>
  </si>
  <si>
    <t>Мамонтов Александр Владимирович</t>
  </si>
  <si>
    <t>OOOKCM555@YANDEX.RU'</t>
  </si>
  <si>
    <t>47.277856,38.929436</t>
  </si>
  <si>
    <t>ОБЩЕСТВО С ОГРАНИЧЕННОЙ ОТВЕТСТВЕННОСТЬЮ "ТЕПЛОСТЕН-ДОН"</t>
  </si>
  <si>
    <t>"ТЕПЛОСТЕН-ДОН"</t>
  </si>
  <si>
    <t>6154133001</t>
  </si>
  <si>
    <t>347942, РОСТОВСКАЯ ОБЛ, ТАГАНРОГ Г, МАРШАЛА ЖУКОВА УЛ, ДОМ 2, КОРПУС Д,..</t>
  </si>
  <si>
    <t>Борсоков Андзор Анатольевич</t>
  </si>
  <si>
    <t>+7 (928) 901-28-16', '+7 (918) 556-56-45', '+7 (863) 436-56-45'</t>
  </si>
  <si>
    <t>buhgalteriy@list.com'</t>
  </si>
  <si>
    <t>45.035706,38.930415</t>
  </si>
  <si>
    <t>ОБЩЕСТВО С ОГРАНИЧЕННОЙ ОТВЕТСТВЕННОСТЬЮ "ЮГЭНЕРГО"</t>
  </si>
  <si>
    <t>"ЮГЭНЕРГО"</t>
  </si>
  <si>
    <t>2308250840</t>
  </si>
  <si>
    <t>350004, КРАСНОДАРСКИЙ КРАЙ, ГОРОД КРАСНОДАР, УЛИЦА КУБАНКА, ДОМ 3</t>
  </si>
  <si>
    <t>Закалюгин Сергей Андреевич</t>
  </si>
  <si>
    <t>4331817@mail.ru'</t>
  </si>
  <si>
    <t>47.262784,38.938383</t>
  </si>
  <si>
    <t>ОБЩЕСТВО С ОГРАНИЧЕННОЙ ОТВЕТСТВЕННОСТЬЮ "РБУ-25"</t>
  </si>
  <si>
    <t>"РБУ-25"</t>
  </si>
  <si>
    <t>6154139540</t>
  </si>
  <si>
    <t>347909, РОСТОВСКАЯ ОБЛАСТЬ, ГОРОД ТАГАНРОГ, УЛИЦА БАБУШКИНА, ДОМ 56,..</t>
  </si>
  <si>
    <t>Чекашкин Владимир Иванович</t>
  </si>
  <si>
    <t>+7 (928) 107-98-62'</t>
  </si>
  <si>
    <t>odemob@mail.ru'</t>
  </si>
  <si>
    <t>45.060039,38.941159</t>
  </si>
  <si>
    <t>ОБЩЕСТВО С ОГРАНИЧЕННОЙ ОТВЕТСТВЕННОСТЬЮ "ДСК-ПРОМ"</t>
  </si>
  <si>
    <t>"ДСК-ПРОМ"</t>
  </si>
  <si>
    <t>2631039476</t>
  </si>
  <si>
    <t>26-Ставропольский край</t>
  </si>
  <si>
    <t>350062, КРАСНОДАРСКИЙ КРАЙ, ГОРОД КРАСНОДАР, УЛИЦА ИМ. КАЛЯЕВА, ДОМ 263, ОФИС 313</t>
  </si>
  <si>
    <t>Скоробогатов Дмитрий Алексеевич</t>
  </si>
  <si>
    <t>oschipova@europeya.ru', '71n@mail.ru'</t>
  </si>
  <si>
    <t>47.209555,38.943423</t>
  </si>
  <si>
    <t>ОБЩЕСТВО С ОГРАНИЧЕННОЙ ОТВЕТСТВЕННОСТЬЮ "ТОРГОВЫЙ ДОМ КСМ-14"</t>
  </si>
  <si>
    <t>"КСМ-14"</t>
  </si>
  <si>
    <t>6168082861</t>
  </si>
  <si>
    <t>РОСТОВСКАЯ ОБЛ.,Г ТАГАНРОГ,УЛ ПУШКИНСКАЯ/ ПЕР НЕКРАСОВСКИЙ, 1/50</t>
  </si>
  <si>
    <t>Азов Автандил Владимирович</t>
  </si>
  <si>
    <t>+7 (863) 220-97-26', '+7 (863) 201-89-43'</t>
  </si>
  <si>
    <t>45.037814,38.944627</t>
  </si>
  <si>
    <t>ОБЩЕСТВО С ОГРАНИЧЕННОЙ ОТВЕТСТВЕННОСТЬЮ "ДОМА-КРД.РУ"</t>
  </si>
  <si>
    <t>"ДОМА-КРД.РУ"</t>
  </si>
  <si>
    <t>2308278845</t>
  </si>
  <si>
    <t>350004, КРАСНОДАРСКИЙ КРАЙ, Г. Краснодар, УЛ. КОЖЕВЕННАЯ, Д. 28, ПОМЕЩ. 70</t>
  </si>
  <si>
    <t>KRD@YAHOO.COM'</t>
  </si>
  <si>
    <t>45.067042,38.948058</t>
  </si>
  <si>
    <t>2311303266</t>
  </si>
  <si>
    <t>350062, КРАСНОДАРСКИЙ КРАЙ, Г. КРАСНОДАР, УЛ. СОВХОЗНАЯ, Д. 20, ПОМЕЩ. 41</t>
  </si>
  <si>
    <t>Володин Владимир Алексеевич</t>
  </si>
  <si>
    <t>45.043069,38.94866</t>
  </si>
  <si>
    <t>ОБЩЕСТВО С ОГРАНИЧЕННОЙ ОТВЕТСТВЕННОСТЬЮ "СЗСМ"</t>
  </si>
  <si>
    <t>"СЗСМ"</t>
  </si>
  <si>
    <t>2370005470</t>
  </si>
  <si>
    <t>350004, КРАСНОДАРСКИЙ КРАЙ, ГОРОД КРАСНОДАР, УЛИЦА ИМ. КРОПОТКИНА, ДОМ 50, ПОМЕЩЕНИЕ 30</t>
  </si>
  <si>
    <t>Соломаха Сергей Васильевич</t>
  </si>
  <si>
    <t>+7 (918) 447-60-69'</t>
  </si>
  <si>
    <t>admin@szsm23.ru'</t>
  </si>
  <si>
    <t>45.052672,38.948669</t>
  </si>
  <si>
    <t>ОБЩЕСТВО С ОГРАНИЧЕННОЙ ОТВЕТСТВЕННОСТЬЮ "РУААР"</t>
  </si>
  <si>
    <t>"РУААР"</t>
  </si>
  <si>
    <t>2311300730</t>
  </si>
  <si>
    <t>350049, КРАСНОДАРСКИЙ КРАЙ, ГОРОД КРАСНОДАР, УЛИЦА КРАСНЫХ ПАРТИЗАН, ДОМ 371, ОФИС 4.8</t>
  </si>
  <si>
    <t>Завгородний Александр Сергеевич</t>
  </si>
  <si>
    <t>+7 (861) 259-27-86'</t>
  </si>
  <si>
    <t>46.065518,38.954688</t>
  </si>
  <si>
    <t>2334005530</t>
  </si>
  <si>
    <t>КРАСНОДАРСКИЙ КРАЙ,КАНЕВСКИЙ Р-Н,СТ-ЦА КАНЕВСКАЯ,УЛ ПРОМЫСЛОВАЯ, Д 10 А</t>
  </si>
  <si>
    <t>Евтушенко Александр Сергеевич</t>
  </si>
  <si>
    <t>45.02331,38.957832</t>
  </si>
  <si>
    <t>ОБЩЕСТВО С ОГРАНИЧЕННОЙ ОТВЕТСТВЕННОСТЬЮ "ЮЖНЫЙ СВЕТ"</t>
  </si>
  <si>
    <t>"ЮЖНЫЙ СВЕТ"</t>
  </si>
  <si>
    <t>2308278108</t>
  </si>
  <si>
    <t>350063, КРАСНОДАРСКИЙ КРАЙ, Г. Краснодар, УЛ. КУБАНСКАЯ НАБЕРЕЖНАЯ, Д. 37, ПОМЕЩ. 8</t>
  </si>
  <si>
    <t>Жданов Сергей Юрьевич</t>
  </si>
  <si>
    <t>45.055461,38.958335</t>
  </si>
  <si>
    <t>ОБЩЕСТВО С ОГРАНИЧЕННОЙ ОТВЕТСТВЕННОСТЬЮ "СТРОЙ-ГАЗОБЛОК"</t>
  </si>
  <si>
    <t>"СТРОЙ-ГАЗОБЛОК"</t>
  </si>
  <si>
    <t>2311328430</t>
  </si>
  <si>
    <t>350049, Краснодарский край, ГОРОД КРАСНОДАР, Г КРАСНОДАР, УЛ ОЛИМПИЙСКАЯ, Д. 8</t>
  </si>
  <si>
    <t>Добрянский Юрий Орестович</t>
  </si>
  <si>
    <t>GLAV_DOBR@MAIL.RU'</t>
  </si>
  <si>
    <t>45.037783,38.962476</t>
  </si>
  <si>
    <t>ОБЩЕСТВО С ОГРАНИЧЕННОЙ ОТВЕТСТВЕННОСТЬЮ "МИРОН ГРУПП"</t>
  </si>
  <si>
    <t>"МИРОН ГРУПП"</t>
  </si>
  <si>
    <t>2308203504</t>
  </si>
  <si>
    <t>350000, КРАСНОДАРСКИЙ КРАЙ, Г. КРАСНОДАР, УЛ. ИМ. БУДЕННОГО, Д.81</t>
  </si>
  <si>
    <t>Прудников Игорь Александрович</t>
  </si>
  <si>
    <t>+7 (900) 249-77-66'</t>
  </si>
  <si>
    <t>45.059536,38.962692</t>
  </si>
  <si>
    <t>ОБЩЕСТВО С ОГРАНИЧЕННОЙ ОТВЕТСТВЕННОСТЬЮ "ЭКО-ПРОДУКТ"</t>
  </si>
  <si>
    <t>"ЭКО-ПРОДУКТ"</t>
  </si>
  <si>
    <t>2308205124</t>
  </si>
  <si>
    <t>350051, КРАСНОДАРСКИЙ КРАЙ, Г. КРАСНОДАР, УЛ. МОНТАЖНИКОВ, Д. 1, К. 4, ОФИС 1408</t>
  </si>
  <si>
    <t>Ковалева Алиса Валерьевна</t>
  </si>
  <si>
    <t>+7 (861) 455-55-21', '+7 (906) 436-01-25'</t>
  </si>
  <si>
    <t>usalyans@mail.ru', 'ecoprdct@mail.ru', 'n2677388@rambler.ru'</t>
  </si>
  <si>
    <t>45.0387,38.966734</t>
  </si>
  <si>
    <t>ОБЩЕСТВО С ОГРАНИЧЕННОЙ ОТВЕТСТВЕННОСТЬЮ "ЕКАТЕРИНОДАРСКИЕ СМЕСИ"</t>
  </si>
  <si>
    <t>"ЕКАТЕРИНОДАРСКИЕ СМЕСИ"</t>
  </si>
  <si>
    <t>2308094929</t>
  </si>
  <si>
    <t>Г КРАСНОДАР,УЛ КАЛИНИНА, Д 327</t>
  </si>
  <si>
    <t>Досычев Александр Олегович</t>
  </si>
  <si>
    <t>+7 (861) 263-80-23', '+7 (800) 200-11-91'</t>
  </si>
  <si>
    <t>45.060268,38.966995</t>
  </si>
  <si>
    <t>ОБЩЕСТВО С ОГРАНИЧЕННОЙ ОТВЕТСТВЕННОСТЬЮ "АНТАРЕССТРОЙ"</t>
  </si>
  <si>
    <t>"АНТАРЕССТРОЙ"</t>
  </si>
  <si>
    <t>2308275629</t>
  </si>
  <si>
    <t>350051, КРАСНОДАРСКИЙ КРАЙ, ГОРОД КРАСНОДАР, УЛИЦА МОНТАЖНИКОВ, ДОМ 5, ЛИТЕРА А, ПОМЕЩЕНИЕ 15</t>
  </si>
  <si>
    <t>Горшков Михаил Геннадьевич</t>
  </si>
  <si>
    <t>+7 (928) 316-73-49'</t>
  </si>
  <si>
    <t>45.061764,38.968477</t>
  </si>
  <si>
    <t>ОБЩЕСТВО С ОГРАНИЧЕННОЙ ОТВЕТСТВЕННОСТЬЮ "КРАСИВЫЙ ДОМ"</t>
  </si>
  <si>
    <t>"КРАСИВЫЙ ДОМ"</t>
  </si>
  <si>
    <t>2308254643</t>
  </si>
  <si>
    <t>350051, КРАСНОДАРСКИЙ КРАЙ, ГОРОД КРАСНОДАР, УЛИЦА ГАРАЖНАЯ, ДОМ 89, ПОМЕЩЕНИЕ 14</t>
  </si>
  <si>
    <t>Шулаев Виктор Николаевич</t>
  </si>
  <si>
    <t>+7 (918) 120-51-51'</t>
  </si>
  <si>
    <t>45.034904,38.970157</t>
  </si>
  <si>
    <t>ОБЩЕСТВО С ОГРАНИЧЕННОЙ ОТВЕТСТВЕННОСТЬЮ "АЛЬЯНСПРОМТРАНС-ЮГ"</t>
  </si>
  <si>
    <t>"АЛЬЯНСПРОМТРАНС-ЮГ"</t>
  </si>
  <si>
    <t>2310187360</t>
  </si>
  <si>
    <t>https://apt-ug.ru</t>
  </si>
  <si>
    <t>350000, КРАСНОДАРСКИЙ КРАЙ, ГОРОД КРАСНОДАР, УЛИЦА ДЛИННАЯ, ДОМ 100, ОФИС 202Б</t>
  </si>
  <si>
    <t>Ковтунов Александр Александрович</t>
  </si>
  <si>
    <t>+7 (918) 212-11-40', '+7 (964) 910-14-45'</t>
  </si>
  <si>
    <t>torg3@mail.ru'</t>
  </si>
  <si>
    <t>45.040445,38.970795</t>
  </si>
  <si>
    <t>ОБЩЕСТВО С ОГРАНИЧЕННОЙ ОТВЕТСТВЕННОСТЬЮ "БЛОК-ЮГ"</t>
  </si>
  <si>
    <t>"БЛОК-ЮГ"</t>
  </si>
  <si>
    <t>2308160346</t>
  </si>
  <si>
    <t>http://block-gbi.ru</t>
  </si>
  <si>
    <t>350000, КРАСНОДАРСКИЙ КРАЙ, Г. КРАСНОДАР, УЛ. СЕВЕРНАЯ, Д. 326, ПОМЕЩ. 702</t>
  </si>
  <si>
    <t>Еременко Алексей Анатольевич</t>
  </si>
  <si>
    <t>+7 (861) 309-22-09'</t>
  </si>
  <si>
    <t>45.619294,38.971307</t>
  </si>
  <si>
    <t>ОБЩЕСТВО С ОГРАНИЧЕННОЙ ОТВЕТСТВЕННОСТЬЮ "ТИМАШЕВСКИЙ КОМБИНАТ СТРОИТЕЛЬНЫХ МАТЕРИАЛОВ"</t>
  </si>
  <si>
    <t>"ТИМАШЕВСКИЙ КОМБИНАТ СТРОИТЕЛЬНЫХ МАТЕРИАЛОВ"</t>
  </si>
  <si>
    <t>2369004489</t>
  </si>
  <si>
    <t>352700, КРАСНОДАРСКИЙ КРАЙ, ТИМАШЕВСКИЙ Р-Н, ТИМАШЕВСК Г, ТРАНСПОРТНАЯ УЛ, ДОМ 5Г</t>
  </si>
  <si>
    <t>Шилов Артур Александрович</t>
  </si>
  <si>
    <t>+7 (918) 274-97-27', '+7 (918) 678-91-47'</t>
  </si>
  <si>
    <t>tksm023@gmail.com', 'tksm023@gmail.com'</t>
  </si>
  <si>
    <t>45.0228,38.972295</t>
  </si>
  <si>
    <t>Общество с ограниченной ответственностью "КСМК-ВОЛГА"</t>
  </si>
  <si>
    <t>"КСМК-ВОЛГА"</t>
  </si>
  <si>
    <t>3461058488</t>
  </si>
  <si>
    <t>34-Волгоградская область</t>
  </si>
  <si>
    <t>350000, КРАСНОДАРСКИЙ КРАЙ, ГОРОД КРАСНОДАР, УЛИЦА КРАСНОАРМЕЙСКАЯ, ДОМ 36, ОФИС 321</t>
  </si>
  <si>
    <t>Власенко Андрей Владимирович</t>
  </si>
  <si>
    <t>+7 (861) 274-90-38'</t>
  </si>
  <si>
    <t>ladanova_sv@v-k', 'ladanova_sv@v-k'</t>
  </si>
  <si>
    <t>45.060491,38.97304</t>
  </si>
  <si>
    <t>ОБЩЕСТВО С ОГРАНИЧЕННОЙ ОТВЕТСТВЕННОСТЬЮ "СТРОИТЕЛЬНО-ИНВЕСТИЦИОННЫЙ ТРЕСТ"</t>
  </si>
  <si>
    <t>"СТРОИТЕЛЬНО-ИНВЕСТИЦИОННЫЙ ТРЕСТ"</t>
  </si>
  <si>
    <t>2308284983</t>
  </si>
  <si>
    <t>350051, Краснодарский край, ГОРОД КРАСНОДАР, Г КРАСНОДАР, УЛ РАШПИЛЕВСКАЯ, Д. 238</t>
  </si>
  <si>
    <t>Зуева Юлия Александровна</t>
  </si>
  <si>
    <t>SIT@YANDEX.RU'</t>
  </si>
  <si>
    <t>45.048921,38.973624</t>
  </si>
  <si>
    <t>2308166228</t>
  </si>
  <si>
    <t>350000, КРАСНОДАРСКИЙ КРАЙ, Г. КРАСНОДАР, УЛ. КРАСНЫХ ПАРТИЗАН, Д.559,..</t>
  </si>
  <si>
    <t>Колосовская Оксана Васильевна</t>
  </si>
  <si>
    <t>+7 (918) 111-22-77'</t>
  </si>
  <si>
    <t>45.037884,38.973858</t>
  </si>
  <si>
    <t>ОБЩЕСТВО С ОГРАНИЧЕННОЙ ОТВЕТСТВЕННОСТЬЮ "СУ-23"</t>
  </si>
  <si>
    <t>"СУ-23"</t>
  </si>
  <si>
    <t>2308263334</t>
  </si>
  <si>
    <t>350000, КРАСНОДАРСКИЙ КРАЙ, ГОРОД КРАСНОДАР, УЛИЦА ИМ КАЛИНИНА, ДОМ 337, ЛИТЕРА А, ПОМЕЩЕНИЕ 16</t>
  </si>
  <si>
    <t>45.027737,38.974307</t>
  </si>
  <si>
    <t>ОБЩЕСТВО С ОГРАНИЧЕННОЙ ОТВЕТСТВЕННОСТЬЮ "НИКАСОЧИКОМ"</t>
  </si>
  <si>
    <t>"НИКАСОЧИКОМ"</t>
  </si>
  <si>
    <t>2320214929</t>
  </si>
  <si>
    <t>Г КРАСНОДАР,УЛ КАРАСУНСКАЯ, 86</t>
  </si>
  <si>
    <t>Никитина Юлия Михайловна</t>
  </si>
  <si>
    <t>+7 (918) 912-51-11'</t>
  </si>
  <si>
    <t>55.810951,38.974361</t>
  </si>
  <si>
    <t>ОБЩЕСТВО С ОГРАНИЧЕННОЙ ОТВЕТСТВЕННОСТЬЮ "СТРОЙКОНСАЛТСОЮЗ"</t>
  </si>
  <si>
    <t>"СТРОЙКОНСАЛТСОЮЗ"</t>
  </si>
  <si>
    <t>5034033395</t>
  </si>
  <si>
    <t>142602, МОСКОВСКАЯ ОБЛАСТЬ, Г ОРЕХОВО-ЗУЕВО, ПР-Д КРАСНОАРМЕЙСКИЙ, Д.4, К.А,..</t>
  </si>
  <si>
    <t>Медведев Павел Сергеевич</t>
  </si>
  <si>
    <t>45.03547,38.975313</t>
  </si>
  <si>
    <t>ОБЩЕСТВО С ОГРАНИЧЕННОЙ ОТВЕТСТВЕННОСТЬЮ "ПКП ЖЕЛЕЗОБЕТОН"</t>
  </si>
  <si>
    <t>"ПКП ЖЕЛЕЗОБЕТОН"</t>
  </si>
  <si>
    <t>2311299161</t>
  </si>
  <si>
    <t>350062, КРАСНОДАРСКИЙ КРАЙ, ГОРОД КРАСНОДАР, УЛИЦА ИМ. АТАРБЕКОВА, ДОМ 1/1, ЭТ/ПОМ/ОФ 4/65/1/12</t>
  </si>
  <si>
    <t>Коньков Алексей Александрович</t>
  </si>
  <si>
    <t>+7 (918) 971-81-10'</t>
  </si>
  <si>
    <t>ОБЩЕСТВО С ОГРАНИЧЕННОЙ ОТВЕТСТВЕННОСТЬЮ "ПРОПРЕСС"</t>
  </si>
  <si>
    <t>"ПРОПРЕСС"</t>
  </si>
  <si>
    <t>2311317999</t>
  </si>
  <si>
    <t>350072, КРАСНОДАРСКИЙ КРАЙ, Г. Краснодар, УЛ. РОСТОВСКОЕ ШОССЕ, Д. 23/1, ПОМЕЩ. 15</t>
  </si>
  <si>
    <t>Согоян Левон Артурович</t>
  </si>
  <si>
    <t>45.074088,38.977523</t>
  </si>
  <si>
    <t>ОБЩЕСТВО С ОГРАНИЧЕННОЙ ОТВЕТСТВЕННОСТЬЮ "ОСТ ГРУПП"</t>
  </si>
  <si>
    <t>"ОСТ ГРУПП"</t>
  </si>
  <si>
    <t>2311169243</t>
  </si>
  <si>
    <t>350090, КРАСНОДАРСКИЙ КРАЙ, Г. КРАСНОДАР, ПР-Д ИМ. РЕПИНА, ДОМ 42</t>
  </si>
  <si>
    <t>Садайло Артем Игоревич</t>
  </si>
  <si>
    <t>+7 (964) 940-24-39'</t>
  </si>
  <si>
    <t>45.075329,38.977586</t>
  </si>
  <si>
    <t>ОБЩЕСТВО С ОГРАНИЧЕННОЙ ОТВЕТСТВЕННОСТЬЮ "КТ ГРУПП"</t>
  </si>
  <si>
    <t>"КТ ГРУПП"</t>
  </si>
  <si>
    <t>2311322050</t>
  </si>
  <si>
    <t>350090, КРАСНОДАРСКИЙ КРАЙ, Г. Краснодар, ПР-Д ИМ. РЕПИНА, Д. 3/1, К. 3,..</t>
  </si>
  <si>
    <t>Финько Алексей Сергеевич</t>
  </si>
  <si>
    <t>GRUPP@YANDEX.RU'</t>
  </si>
  <si>
    <t>45.091513,38.977783</t>
  </si>
  <si>
    <t>ОБЩЕСТВО С ОГРАНИЧЕННОЙ ОТВЕТСТВЕННОСТЬЮ "ЮГ-СТРОЙСНАБ"</t>
  </si>
  <si>
    <t>"ЮГ-СТРОЙСНАБ"</t>
  </si>
  <si>
    <t>2311239395</t>
  </si>
  <si>
    <t>350090, КРАСНОДАРСКИЙ КРАЙ, Г. КРАСНОДАР, УЛ. ИМ. ДЗЕРЖИНСКОГО, Д. 80/1, ПОМЕЩ. 1</t>
  </si>
  <si>
    <t>Лузан Виктор Юрьевич</t>
  </si>
  <si>
    <t>+7 (989) 269-81-16', '+7 (989) 833-33-34'</t>
  </si>
  <si>
    <t>45.808788,38.979284</t>
  </si>
  <si>
    <t>ОБЩЕСТВО С ОГРАНИЧЕННОЙ ОТВЕТСТВЕННОСТЬЮ ХУДОЖЕСТВЕННО ПРОМЫШЛЕННАЯ КОМПАНИЯ "БОРИСОВСКИЕ МАНУФАКТУРЫ"</t>
  </si>
  <si>
    <t>ХУДОЖЕСТВЕННО ПРОМЫШЛЕННАЯ КОМПАНИЯ "БОРИСОВСКИЕ МАНУФАКТУРЫ"</t>
  </si>
  <si>
    <t>7729772713</t>
  </si>
  <si>
    <t>КРАСНОДАРСКИЙ КРАЙ,БРЮХОВЕЦКИЙ Р-Н,СТ-ЦА БРЮХОВЕЦКАЯ,УЛ ПОЛЕВАЯ, Д 3</t>
  </si>
  <si>
    <t>Скляров Борис Александрович</t>
  </si>
  <si>
    <t>+7 (925) 741-10-65'</t>
  </si>
  <si>
    <t>75@mail.ru'</t>
  </si>
  <si>
    <t>45.013396,38.979823</t>
  </si>
  <si>
    <t>ОБЩЕСТВО С ОГРАНИЧЕННОЙ ОТВЕТСТВЕННОСТЬЮ "КУБАНЬСТРОЙБЕТОН"</t>
  </si>
  <si>
    <t>"КУБАНЬСТРОЙБЕТОН"</t>
  </si>
  <si>
    <t>2309168690</t>
  </si>
  <si>
    <t>350033, КРАСНОДАРСКИЙ КРАЙ, ГОРОД КРАСНОДАР, УЛИЦА СТАВРОПОЛЬСКАЯ, ДОМ 5, КАБИНЕТ 501</t>
  </si>
  <si>
    <t>Тливасов Анзор Коншаубиевич</t>
  </si>
  <si>
    <t>+7 (953) 117-11-03'</t>
  </si>
  <si>
    <t>2578233@BK.RU', '2578233@BK.RU', '2311154913@bk.ru'</t>
  </si>
  <si>
    <t>45.069473,38.981547</t>
  </si>
  <si>
    <t>2308228900</t>
  </si>
  <si>
    <t>350051, КРАСНОДАРСКИЙ КРАЙ, Г. КРАСНОДАР, УЛ. ШОССЕ НЕФТЯНИКОВ, Д. 63, ОФИС 372</t>
  </si>
  <si>
    <t>Лашкин Михаил Михайлович</t>
  </si>
  <si>
    <t>+7 (988) 242-44-74'</t>
  </si>
  <si>
    <t>45.066201,38.983533</t>
  </si>
  <si>
    <t>ОБЩЕСТВО С ОГРАНИЧЕННОЙ ОТВЕТСТВЕННОСТЬЮ "АЗИМУТ Групп"</t>
  </si>
  <si>
    <t>"АЗИМУТ Групп"</t>
  </si>
  <si>
    <t>2308195162</t>
  </si>
  <si>
    <t>http://azimuth-group.com</t>
  </si>
  <si>
    <t>350000, КРАСНОДАРСКИЙ КРАЙ, Г. КРАСНОДАР, УЛ. ШОССЕ НЕФТЯНИКОВ, Д.18, ЛИТЕР Е</t>
  </si>
  <si>
    <t>Сергачева Мария Борисовна</t>
  </si>
  <si>
    <t>+7 (905) 403-40-40'</t>
  </si>
  <si>
    <t>45.81463,38.984413</t>
  </si>
  <si>
    <t>ОБЩЕСТВО С ОГРАНИЧЕННОЙ ОТВЕТСТВЕННОСТЬЮ "СТРОЙСЕРВИС"</t>
  </si>
  <si>
    <t>"СТРОЙСЕРВИС"</t>
  </si>
  <si>
    <t>2327010681</t>
  </si>
  <si>
    <t>КРАСНОДАРСКИЙ КРАЙ,БРЮХОВЕЦКИЙ Р-Н,СТ-ЦА БРЮХОВЕЦКАЯ,УЛ КОМСОМОЛЬСКАЯ, Д 37</t>
  </si>
  <si>
    <t>Пашнев Вадим Сергеевич</t>
  </si>
  <si>
    <t>+7 (918) 211-69-16'</t>
  </si>
  <si>
    <t>45.013479,38.995184</t>
  </si>
  <si>
    <t>ОБЩЕСТВО С ОГРАНИЧЕННОЙ ОТВЕТСТВЕННОСТЬЮ "АЛЬЯНССТРОЙТОРГ"</t>
  </si>
  <si>
    <t>"АЛЬЯНССТРОЙТОРГ"</t>
  </si>
  <si>
    <t>2309174239</t>
  </si>
  <si>
    <t>350001, КРАСНОДАРСКИЙ КРАЙ, Г. КРАСНОДАР, УЛ. ИМ. ВИШНЯКОВОЙ, Д. 5/2, ЛИТЕР К, ОФИС 17/5</t>
  </si>
  <si>
    <t>Фефелов Максим Николаевич</t>
  </si>
  <si>
    <t>FEFE2020RA@MAIL.RU'</t>
  </si>
  <si>
    <t>45.143706,38.995947</t>
  </si>
  <si>
    <t>ОБЩЕСТВО С ОГРАНИЧЕННОЙ ОТВЕТСТВЕННОСТЬЮ "С-ЮГСТРОЙ"</t>
  </si>
  <si>
    <t>"С-ЮГСТРОЙ"</t>
  </si>
  <si>
    <t>2311337018</t>
  </si>
  <si>
    <t>350031, Краснодарский край, ГОРОД КРАСНОДАР, Г КРАСНОДАР, УЛ 2-Я ЦЕЛИНОГРАДСКАЯ, Д. 3</t>
  </si>
  <si>
    <t>Утицких Дмитрий Геннадьевич</t>
  </si>
  <si>
    <t>45.008591,38.996756</t>
  </si>
  <si>
    <t>ОБЩЕСТВО С ОГРАНИЧЕННОЙ ОТВЕТСТВЕННОСТЬЮ "СВЕЖЕЕ РЕШЕНИЕ"</t>
  </si>
  <si>
    <t>"СВЕЖЕЕ РЕШЕНИЕ"</t>
  </si>
  <si>
    <t>2309169750</t>
  </si>
  <si>
    <t>350001, КРАСНОДАРСКИЙ КРАЙ, Г. КРАСНОДАР, УЛ. ИМ. ВИШНЯКОВОЙ, Д. 1/23, К. 2,..</t>
  </si>
  <si>
    <t>Байкин Алексей Александрович</t>
  </si>
  <si>
    <t>45.119155,39.001715</t>
  </si>
  <si>
    <t>ОБЩЕСТВО С ОГРАНИЧЕННОЙ ОТВЕТСТВЕННОСТЬЮ "ФОРМА БЕТОНА"</t>
  </si>
  <si>
    <t>"ФОРМА БЕТОНА"</t>
  </si>
  <si>
    <t>2311233280</t>
  </si>
  <si>
    <t>350087, КРАСНОДАРСКИЙ КРАЙ, ГОРОД КРАСНОДАР, УЛИЦА ИМ. ВИКТОРА ГРИШИНА, ДОМ 31</t>
  </si>
  <si>
    <t>Иванчук Татьяна Евгеньевна</t>
  </si>
  <si>
    <t>+7 (918) 467-10-65'</t>
  </si>
  <si>
    <t>45.069104,39.008991</t>
  </si>
  <si>
    <t>ОБЩЕСТВО С ОГРАНИЧЕННОЙ ОТВЕТСТВЕННОСТЬЮ "СТРОЙТРАНС-СЕРВИС"</t>
  </si>
  <si>
    <t>"СТРОЙТРАНС-СЕРВИС"</t>
  </si>
  <si>
    <t>2311236394</t>
  </si>
  <si>
    <t>350016, КРАСНОДАРСКИЙ КРАЙ, ГОРОД КРАСНОДАР, УЛИЦА ИМ. БАЙБАКОВА Н.К., ДОМ 2/1,..</t>
  </si>
  <si>
    <t>Кузнецов Василий Николаевич</t>
  </si>
  <si>
    <t>51.469412,39.010734</t>
  </si>
  <si>
    <t>ОБЩЕСТВО С ОГРАНИЧЕННОЙ ОТВЕТСТВЕННОСТЬЮ "ЛЯ ТРОТУАР"</t>
  </si>
  <si>
    <t>"ЛЯ ТРОТУАР"</t>
  </si>
  <si>
    <t>3631009120</t>
  </si>
  <si>
    <t>396813, ВОРОНЕЖСКАЯ ОБЛ., Р-Н Хохольский, С. Гремячье, УЛ. ЧЕХОВА, Д. 37</t>
  </si>
  <si>
    <t>Егиазарян Артем Овсепович</t>
  </si>
  <si>
    <t>LA_TROTUAR@MAIL.RU'</t>
  </si>
  <si>
    <t>45.023807,39.010779</t>
  </si>
  <si>
    <t>ОБЩЕСТВО С ОГРАНИЧЕННОЙ ОТВЕТСТВЕННОСТЬЮ "РБК МОЛОТ"</t>
  </si>
  <si>
    <t>"РБК МОЛОТ"</t>
  </si>
  <si>
    <t>2309140367</t>
  </si>
  <si>
    <t>350001, КРАСНОДАРСКИЙ КРАЙ, ГОРОД КРАСНОДАР, УЛИЦА ИМ. МАЯКОВСКОГО, 163, 2</t>
  </si>
  <si>
    <t>Нехай Бислан Мугдинович</t>
  </si>
  <si>
    <t>+7 (861) 292-59-59', '+7 (918) 947-77-46'</t>
  </si>
  <si>
    <t>rbkmolot@mail.ru', 'rbkmolot@mal.ru', 'rbkmolot@mail.ru'</t>
  </si>
  <si>
    <t>45.070193,39.012243</t>
  </si>
  <si>
    <t>ОБЩЕСТВО С ОГРАНИЧЕННОЙ ОТВЕТСТВЕННОСТЬЮ "АРТ-БЕТОН"</t>
  </si>
  <si>
    <t>"АРТ-БЕТОН"</t>
  </si>
  <si>
    <t>2311174405</t>
  </si>
  <si>
    <t>350016, КРАСНОДАРСКИЙ КРАЙ, ГОРОД КРАСНОДАР, УЛИЦА ИМ. КОТЛЯРОВА Н.С., ДОМ 22,..</t>
  </si>
  <si>
    <t>Харьков Сергей Владимирович</t>
  </si>
  <si>
    <t>+7 (918) 989-66-99'</t>
  </si>
  <si>
    <t>beton2014@mail.ru'</t>
  </si>
  <si>
    <t>45.11205,39.012764</t>
  </si>
  <si>
    <t>ОБЩЕСТВО С ОГРАНИЧЕННОЙ ОТВЕТСТВЕННОСТЬЮ "ДИАМАНТ"</t>
  </si>
  <si>
    <t>"ДИАМАНТ"</t>
  </si>
  <si>
    <t>2311201232</t>
  </si>
  <si>
    <t>350087, КРАСНОДАРСКИЙ КРАЙ, ГОРОД КРАСНОДАР, УЛИЦА РОССИЙСКАЯ, ДОМ 664, ПОМЕЩЕНИЕ 13</t>
  </si>
  <si>
    <t>Шереметьев Эраст Рубенович</t>
  </si>
  <si>
    <t>+7 (861) 992-33-79'</t>
  </si>
  <si>
    <t>buhask@bk.ru', 'stroi@mail.ru'</t>
  </si>
  <si>
    <t>45.234498,39.017327</t>
  </si>
  <si>
    <t>ОБЩЕСТВО С ОГРАНИЧЕННОЙ ОТВЕТСТВЕННОСТЬЮ "НОВТЕХСТРОЙ"</t>
  </si>
  <si>
    <t>"НОВТЕХСТРОЙ"</t>
  </si>
  <si>
    <t>2373017152</t>
  </si>
  <si>
    <t>353211, КРАСНОДАРСКИЙ КРАЙ, ДИНСКОЙ РАЙОН, ХУТОР КАРЛА МАРКСА, УЛИЦА БЕЛЕВЦЫ, ДОМ 8</t>
  </si>
  <si>
    <t>Редков Андрей Юрьевич</t>
  </si>
  <si>
    <t>+7 (958) 573-00-59'</t>
  </si>
  <si>
    <t>51.698018,39.017579</t>
  </si>
  <si>
    <t>ОБЩЕСТВО С ОГРАНИЧЕННОЙ ОТВЕТСТВЕННОСТЬЮ "Евромрамор-Воронеж"</t>
  </si>
  <si>
    <t>"Евромрамор-Воронеж"</t>
  </si>
  <si>
    <t>3662163267</t>
  </si>
  <si>
    <t>http://evromramor-vrn.ru</t>
  </si>
  <si>
    <t>396900, ВОРОНЕЖСКАЯ ОБЛАСТЬ, РАЙОН СЕМИЛУКСКИЙ, ГОРОД СЕМИЛУКИ, УЛИЦА ДЗЕРЖИНСКОГО, ДОМ 22,..</t>
  </si>
  <si>
    <t>Архипов Игорь Иванович</t>
  </si>
  <si>
    <t>+7 (920) 462-02-15', '+7 (960) 106-61-02'</t>
  </si>
  <si>
    <t>45.02552,39.019896</t>
  </si>
  <si>
    <t>ОБЩЕСТВО С ОГРАНИЧЕННОЙ ОТВЕТСТВЕННОСТЬЮ "МИРОВОЙ КИРПИЧ"</t>
  </si>
  <si>
    <t>"МИРОВОЙ КИРПИЧ"</t>
  </si>
  <si>
    <t>2312307305</t>
  </si>
  <si>
    <t>350075, Краснодарский край, ГОРОД КРАСНОДАР, Г КРАСНОДАР, УЛ ИМ. СЕЛЕЗНЕВА, Д. 4А</t>
  </si>
  <si>
    <t>Петровский Владимир Сергеевич</t>
  </si>
  <si>
    <t>ОБЩЕСТВО С ОГРАНИЧЕННОЙ ОТВЕТСТВЕННОСТЬЮ "СТРОИТЕЛЬНО-ПРОИЗВОДСТВЕННАЯ КОМПАНИЯ"</t>
  </si>
  <si>
    <t>"СТРОИТЕЛЬНО-ПРОИЗВОДСТВЕННАЯ КОМПАНИЯ"</t>
  </si>
  <si>
    <t>2312309084</t>
  </si>
  <si>
    <t>Харитонова Алеся Геннадьевна</t>
  </si>
  <si>
    <t>51.69463,39.020211</t>
  </si>
  <si>
    <t>ОБЩЕСТВА С ОГРАНИЧЕННОЙ ОТВЕТСТВЕННОСТЬЮ "ОНИКССТРОЙ"</t>
  </si>
  <si>
    <t>3628020854</t>
  </si>
  <si>
    <t>396901, Воронежская область, муниципальный район СЕМИЛУКСКИЙ, Город СЕМИЛУКИ, городское поселение ГОРОД СЕМИЛУКИ, УЛ ЛЕНИНА, ЗД. 15А, ОФИС 408/4</t>
  </si>
  <si>
    <t>+7 (980) 528-42-62'</t>
  </si>
  <si>
    <t>51.692782,39.020417</t>
  </si>
  <si>
    <t>ОБЩЕСТВО С ОГРАНИЧЕННОЙ ОТВЕТСТВЕННОСТЬЮ ТОРГОВО- СТРОИТЕЛЬНАЯ ПРОИЗВОДСТВЕННАЯ КОМПАНИЯ "НОВОСТРОЙ"</t>
  </si>
  <si>
    <t>ТОРГОВО- СТРОИТЕЛЬНАЯ ПРОИЗВОДСТВЕННАЯ КОМПАНИЯ "НОВОСТРОЙ"</t>
  </si>
  <si>
    <t>3628012162</t>
  </si>
  <si>
    <t>396900, ВОРОНЕЖСКАЯ ОБЛАСТЬ, РАЙОН СЕМИЛУКСКИЙ, ГОРОД СЕМИЛУКИ, УЛИЦА ГАГАРИНА, ДОМ 37, ПОМЕЩЕНИЕ 1</t>
  </si>
  <si>
    <t>Мельников Всеволод Робертович</t>
  </si>
  <si>
    <t>+7 (908) 141-47-77'</t>
  </si>
  <si>
    <t>45.016697,39.027056</t>
  </si>
  <si>
    <t>ОБЩЕСТВО С ОГРАНИЧЕННОЙ ОТВЕТСТВЕННОСТЬЮ "МА-МА"</t>
  </si>
  <si>
    <t>"МА-МА"</t>
  </si>
  <si>
    <t>2309167087</t>
  </si>
  <si>
    <t>350040, КРАСНОДАРСКИЙ КРАЙ, Г. КРАСНОДАР, УЛ. ИМ. ДИМИТРОВА, Д. 101, ОФИС 6</t>
  </si>
  <si>
    <t>Соломенникова Маргарита Константиновна</t>
  </si>
  <si>
    <t>+7 (961) 591-37-19'</t>
  </si>
  <si>
    <t>46.524395,39.027119</t>
  </si>
  <si>
    <t>ОБЩЕСТВО С ОГРАНИЧЕННОЙ ОТВЕТСТВЕННОСТЬЮ "МАСТЕР-ЦЕНТР"</t>
  </si>
  <si>
    <t>"МАСТЕР-ЦЕНТР"</t>
  </si>
  <si>
    <t>2350010898</t>
  </si>
  <si>
    <t>353601, КРАСНОДАРСКИЙ КРАЙ, Р-Н СТАРОМИНСКИЙ, СТ-ЦА СТАРОМИНСКАЯ, УЛ. ОСТРОВСКОГО, Д.2</t>
  </si>
  <si>
    <t>Синчурин Вадим Николаевич</t>
  </si>
  <si>
    <t>45.060211,39.029266</t>
  </si>
  <si>
    <t>ОБЩЕСТВО С ОГРАНИЧЕННОЙ ОТВЕТСТВЕННОСТЬЮ "ЗАВОД СТРОИТЕЛЬНЫХ ИЗДЕЛИЙ"</t>
  </si>
  <si>
    <t>"ЗАВОД СТРОИТЕЛЬНЫХ ИЗДЕЛИЙ"</t>
  </si>
  <si>
    <t>2311285874</t>
  </si>
  <si>
    <t>350028, КРАСНОДАРСКИЙ КРАЙ, Г. КРАСНОДАР, УЛ. ИМ. ГЕРОЯ АВЕРКИЕВА А.А., Д. 8, ПОМЕЩ. 52</t>
  </si>
  <si>
    <t>Мадовский Александр Иосифович</t>
  </si>
  <si>
    <t>45.053219,39.029571</t>
  </si>
  <si>
    <t>ОБЩЕСТВО С ОГРАНИЧЕННОЙ ОТВЕТСТВЕННОСТЬЮ "МЖБК"</t>
  </si>
  <si>
    <t>"МЖБК"</t>
  </si>
  <si>
    <t>2311309028</t>
  </si>
  <si>
    <t>350028, КРАСНОДАРСКИЙ КРАЙ, Г. КРАСНОДАР, УЛ. ИМ. ГЕРОЯ САРАБЕЕВА В.И., Д. 5, К. 1, ПОМЕЩ. 43,44</t>
  </si>
  <si>
    <t>Борискин Денис Геннадьевич</t>
  </si>
  <si>
    <t>+7 (918) 453-79-55'</t>
  </si>
  <si>
    <t>45.02638,39.033461</t>
  </si>
  <si>
    <t>ОБЩЕСТВО С ОГРАНИЧЕННОЙ ОТВЕТСТВЕННОСТЬЮ "АЛАТЫРЬ"</t>
  </si>
  <si>
    <t>"АЛАТЫРЬ"</t>
  </si>
  <si>
    <t>2312304424</t>
  </si>
  <si>
    <t>350075, Краснодарский край, городской округ ГОРОД КРАСНОДАР, Город КРАСНОДАР, УЛ ИМ. СЕЛЕЗНЕВА, Д. 135, ОФИС 3, ПОМЕЩ. 14</t>
  </si>
  <si>
    <t>Сахаров Юрий Николаевич</t>
  </si>
  <si>
    <t>SAHAROVCMC@YANDEX.RU'</t>
  </si>
  <si>
    <t>45.056569,39.035518</t>
  </si>
  <si>
    <t>ОБЩЕСТВО С ОГРАНИЧЕННОЙ ОТВЕТСТВЕННОСТЬЮ "МЕГА-СТРОЙ"</t>
  </si>
  <si>
    <t>"МЕГА-СТРОЙ"</t>
  </si>
  <si>
    <t>2311231540</t>
  </si>
  <si>
    <t>350028, КРАСНОДАРСКИЙ КРАЙ, Г. КРАСНОДАР, УЛ. ИМ. 40-ЛЕТИЯ ПОБЕДЫ, Д. 135, ОФИС 14 (ЭТАЖ : ЦОКОЛЬ)</t>
  </si>
  <si>
    <t>Тарзян Роберт Степанович</t>
  </si>
  <si>
    <t>+7 (918) 441-14-03'</t>
  </si>
  <si>
    <t>54.229464,39.043235</t>
  </si>
  <si>
    <t>ОБЩЕСТВО С ОГРАНИЧЕННОЙ ОТВЕТСТВЕННОСТЬЮ "ТЕСЕЙ-М"</t>
  </si>
  <si>
    <t>"ТЕСЕЙ-М"</t>
  </si>
  <si>
    <t>6208009532</t>
  </si>
  <si>
    <t>62-Рязанская область</t>
  </si>
  <si>
    <t>391710, РЯЗАНСКАЯ ОБЛ, МИХАЙЛОВСКИЙ Р-Н, МИХАЙЛОВ Г, ЗЕЛЕНАЯ УЛ, 20 "В"</t>
  </si>
  <si>
    <t>Большаков Игорь Владимирович</t>
  </si>
  <si>
    <t>45.04915,39.056404</t>
  </si>
  <si>
    <t>ОБЩЕСТВО С ОГРАНИЧЕННОЙ ОТВЕТСТВЕННОСТЬЮ "МАСТЕРКРИТ"</t>
  </si>
  <si>
    <t>"МАСТЕРКРИТ"</t>
  </si>
  <si>
    <t>2312287240</t>
  </si>
  <si>
    <t>350059, КРАСНОДАРСКИЙ КРАЙ, ГОРОД КРАСНОДАР, УЛИЦА ТИХОРЕЦКАЯ, ДОМ 26, ЛИТЕР А, ОФИС 302</t>
  </si>
  <si>
    <t>Попов Владимир Владимирович</t>
  </si>
  <si>
    <t>+7 (918) 687-61-97'</t>
  </si>
  <si>
    <t>51.644794,39.06041</t>
  </si>
  <si>
    <t>ЗАКРЫТОЕ АКЦИОНЕРНОЕ ОБЩЕСТВО "ВОРОНЕЖСКИЙ КОМБИНАТ СТРОИТЕЛЬНЫХ МАТЕРИАЛОВ"</t>
  </si>
  <si>
    <t>ЗАКРЫТОЕ "ВОРОНЕЖСКИЙ КОМБИНАТ СТРОИТЕЛЬНЫХ МАТЕРИАЛОВ"</t>
  </si>
  <si>
    <t>3665002959</t>
  </si>
  <si>
    <t>Г ВОРОНЕЖ,РП ПРИДОНСКОЙ,П ПРИДОНСКОЙ,УЛ ПРИДОНСКАЯ Д 57</t>
  </si>
  <si>
    <t>Скипский Дмитрий Станиславович</t>
  </si>
  <si>
    <t>+7 (473) 224-89-88', '+7 (473) 234-32-55', '+7 (473) 243-34-43', '+7 (473) 224-89-92'</t>
  </si>
  <si>
    <t>ksmyrn@list.ru', 'ootevksm@mail.ru'</t>
  </si>
  <si>
    <t>45.028432,39.063626</t>
  </si>
  <si>
    <t>2312127415</t>
  </si>
  <si>
    <t>Г КРАСНОДАР,УЛ ТЕКСТИЛЬНАЯ, Д 9, КОРП 2</t>
  </si>
  <si>
    <t>Пинтюрин Александр Алексеевич</t>
  </si>
  <si>
    <t>+7 (861) 266-71-01'</t>
  </si>
  <si>
    <t>45.018474,39.067399</t>
  </si>
  <si>
    <t>ОБЩЕСТВО С ОГРАНИЧЕННОЙ ОТВЕТСТВЕННОСТЬЮ ПРОИЗВОДСТВЕННО КОММЕРЧЕСКАЯ ФИРМА "ЮГ ПРАЙМ"</t>
  </si>
  <si>
    <t>ПРОИЗВОДСТВЕННО КОММЕРЧЕСКАЯ ФИРМА "ЮГ ПРАЙМ"</t>
  </si>
  <si>
    <t>2311248738</t>
  </si>
  <si>
    <t>350018, КРАСНОДАРСКИЙ КРАЙ, Г. КРАСНОДАР, УЛ. КАЛИНИНА, Д. 13, К. 63, ПОМЕЩ. 61</t>
  </si>
  <si>
    <t>Крицкий Алексей Игоревич</t>
  </si>
  <si>
    <t>+7 (918) 346-49-62'</t>
  </si>
  <si>
    <t>51.692302,39.069403</t>
  </si>
  <si>
    <t>ОБЩЕСТВО С ОГРАНИЧЕННОЙ ОТВЕТСТВЕННОСТЬЮ "ПРОИЗВОДСТВЕННАЯ КОМПАНИЯ МЕГА"</t>
  </si>
  <si>
    <t>"ПРОИЗВОДСТВЕННАЯ КОМПАНИЯ МЕГА"</t>
  </si>
  <si>
    <t>3661171280</t>
  </si>
  <si>
    <t>394040, Воронежская область, городской округ ГОРОД ВОРОНЕЖ, Город ВОРОНЕЖ, УЛ ТИХИЙ ДОН, Д. 59/6,</t>
  </si>
  <si>
    <t>Алексеев Евгений Игоревич</t>
  </si>
  <si>
    <t>agromix36@mail.ru', 'tvpotapova2014@mail.ru'</t>
  </si>
  <si>
    <t>45.043158,39.072493</t>
  </si>
  <si>
    <t>ОБЩЕСТВО С ОГРАНИЧЕННОЙ ОТВЕТСТВЕННОСТЬЮ "Краснодарский завод ЖБИ"</t>
  </si>
  <si>
    <t>"Краснодарский завод ЖБИ"</t>
  </si>
  <si>
    <t>2312182991</t>
  </si>
  <si>
    <t>http://k-gbi.ru</t>
  </si>
  <si>
    <t>350059, КРАСНОДАРСКИЙ КРАЙ, Г. КРАСНОДАР, УЛ. НОВОРОССИЙСКАЯ, Д.43/1</t>
  </si>
  <si>
    <t>Егоров Андрей Борисович</t>
  </si>
  <si>
    <t>+7 (861) 236-66-56', '+7 (918) 451-74-14', '+7 (861) 266-16-79'</t>
  </si>
  <si>
    <t>ОБЩЕСТВО С ОГРАНИЧЕННОЙ ОТВЕТСТВЕННОСТЬЮ "ЦЕНТР ВЫСОКИХ ТЕХНОЛОГИЙ"</t>
  </si>
  <si>
    <t>"ЦЕНТР ВЫСОКИХ ТЕХНОЛОГИЙ"</t>
  </si>
  <si>
    <t>2312253106</t>
  </si>
  <si>
    <t>350059, КРАСНОДАРСКИЙ КРАЙ, Г. КРАСНОДАР, УЛ. НОВОРОССИЙСКАЯ, Д. 43/1, ЛИТЕР В</t>
  </si>
  <si>
    <t>Байкин Александр Леонидович</t>
  </si>
  <si>
    <t>+7 (918) 157-50-50'</t>
  </si>
  <si>
    <t>45.089133,39.073175</t>
  </si>
  <si>
    <t>ОБЩЕСТВО С ОГРАНИЧЕННОЙ ОТВЕТСТВЕННОСТЬЮ "ЮГ СТРОЙТЕХНОЛОГИИ"</t>
  </si>
  <si>
    <t>"ЮГ СТРОЙТЕХНОЛОГИИ"</t>
  </si>
  <si>
    <t>2311331658</t>
  </si>
  <si>
    <t>350073, Краснодарский край, ГОРОД КРАСНОДАР, Г КРАСНОДАР, УЛ НОВОДМИТРИЕВСКАЯ, Д. 56/1</t>
  </si>
  <si>
    <t>Набиуллин Ринат Муктасимович</t>
  </si>
  <si>
    <t>45.006648,39.073382</t>
  </si>
  <si>
    <t>ОБЩЕСТВО С ОГРАНИЧЕННОЙ ОТВЕТСТВЕННОСТЬЮ "ТЕХНОБЕТАЛ"</t>
  </si>
  <si>
    <t>"ТЕХНОБЕТАЛ"</t>
  </si>
  <si>
    <t>2312302995</t>
  </si>
  <si>
    <t>350061, КРАСНОДАРСКИЙ КРАЙ, Г. Краснодар, УЛ. ИМ. ИГНАТОВА, Д. 57,..</t>
  </si>
  <si>
    <t>Петрова Анна Михайловна</t>
  </si>
  <si>
    <t>ALPINA43@YANDEX.RU'</t>
  </si>
  <si>
    <t>45.030967,39.086668</t>
  </si>
  <si>
    <t>ОБЩЕСТВО С ОГРАНИЧЕННОЙ ОТВЕТСТВЕННОСТЬЮ "СтройДвор-Юг"</t>
  </si>
  <si>
    <t>"СтройДвор-Юг"</t>
  </si>
  <si>
    <t>2312187164</t>
  </si>
  <si>
    <t>http://stroydvor-ug.ru</t>
  </si>
  <si>
    <t>350066, КРАСНОДАРСКИЙ КРАЙ, ГОРОД КРАСНОДАР, УЛИЦА СОРМОВСКАЯ, ДОМ 88, ОФИС 25</t>
  </si>
  <si>
    <t>Маркитант Татьяна Владимировна</t>
  </si>
  <si>
    <t>+7 (918) 396-54-33', '+7 (918) 277-57-92'</t>
  </si>
  <si>
    <t>123@bk.ru', 'info@stroydvor-ug', '06@stroydvor-ug'</t>
  </si>
  <si>
    <t>45.026419,39.088186</t>
  </si>
  <si>
    <t>ОБЩЕСТВО С ОГРАНИЧЕННОЙ ОТВЕТСТВЕННОСТЬЮ "ДОМОСТРОИТЕЛЬНЫЙ КОМБИНАТ МОНОЛИТ"</t>
  </si>
  <si>
    <t>"ДОМОСТРОИТЕЛЬНЫЙ КОМБИНАТ МОНОЛИТ"</t>
  </si>
  <si>
    <t>2312279866</t>
  </si>
  <si>
    <t>350066, КРАСНОДАРСКИЙ КРАЙ, Г. КРАСНОДАР, УЛ. БОРОДИНСКАЯ, Д. 16, ОФИС 321</t>
  </si>
  <si>
    <t>Остапенко Михаил Петрович</t>
  </si>
  <si>
    <t>lubchenkois@avagroup.ru'</t>
  </si>
  <si>
    <t>45.097214,39.0916</t>
  </si>
  <si>
    <t>ОБЩЕСТВО С ОГРАНИЧЕННОЙ ОТВЕТСТВЕННОСТЬЮ "ЗАВОД ПРОМЫШЛЕННЫХ БЕТОННЫХ КОНСТРУКЦИЙ"</t>
  </si>
  <si>
    <t>"ЗАВОД ПРОМЫШЛЕННЫХ БЕТОННЫХ КОНСТРУКЦИЙ"</t>
  </si>
  <si>
    <t>2311246113</t>
  </si>
  <si>
    <t>350007, КРАСНОДАРСКИЙ КРАЙ, ГОРОД КРАСНОДАР, ПОСЕЛОК ИНДУСТРИАЛЬНЫЙ, УЛИЦА МИЛЮТИНСКАЯ, ДОМ 35, ЛИТЕР А, ОФИС 18</t>
  </si>
  <si>
    <t>Найденов Владимир Владимирович</t>
  </si>
  <si>
    <t>+7 (918) 263-35-16'</t>
  </si>
  <si>
    <t>45.036757,39.09186</t>
  </si>
  <si>
    <t>ОБЩЕСТВО С ОГРАНИЧЕННОЙ ОТВЕТСТВЕННОСТЬЮ "ДАРИННА"</t>
  </si>
  <si>
    <t>"ДАРИННА"</t>
  </si>
  <si>
    <t>2312235509</t>
  </si>
  <si>
    <t>350080, КРАСНОДАРСКИЙ КРАЙ, ГОРОД КРАСНОДАР, УЛИЦА УРАЛЬСКАЯ, ДОМ 156, ОФИС 3</t>
  </si>
  <si>
    <t>Воронов Илья Сергеевич</t>
  </si>
  <si>
    <t>+7 (938) 409-55-94'</t>
  </si>
  <si>
    <t>DARINNA023@MAIL.RU'</t>
  </si>
  <si>
    <t>45.027489,39.098328</t>
  </si>
  <si>
    <t>ОБЩЕСТВО С ОГРАНИЧЕННОЙ ОТВЕТСТВЕННОСТЬЮ "ДОРСТРОЙБЕТОН"</t>
  </si>
  <si>
    <t>"ДОРСТРОЙБЕТОН"</t>
  </si>
  <si>
    <t>2312231825</t>
  </si>
  <si>
    <t>350910, КРАСНОДАРСКИЙ КРАЙ, Г. Краснодар, УЛ. КАРАСУНСКАЯ (ПАШКОВСКИЙ ЖИЛОЙ МАССИВ ТЕР.), Д. 237, ПОМЕЩ. 3</t>
  </si>
  <si>
    <t>Меликян Саркис Макичович</t>
  </si>
  <si>
    <t>+7 (961) 500-03-91'</t>
  </si>
  <si>
    <t>snabgb@yandex.ru', 'marya@buhonkuban.ru', 'snabgb@yandex.ru'</t>
  </si>
  <si>
    <t>45.00638,39.106476</t>
  </si>
  <si>
    <t>ОБЩЕСТВО С ОГРАНИЧЕННОЙ ОТВЕТСТВЕННОСТЬЮ "КАМАНИТ"</t>
  </si>
  <si>
    <t>"КАМАНИТ"</t>
  </si>
  <si>
    <t>2312279591</t>
  </si>
  <si>
    <t>350910, КРАСНОДАРСКИЙ КРАЙ, ГОРОД КРАСНОДАР, УЛИЦА ИМ ЛЕОНИДА ЛАВРОВА (ПАШКОВСКИЙ ЖИЛОЙ МАС, ДОМ 8, КОРПУС 1,..</t>
  </si>
  <si>
    <t>Мантуленко Константин Валентинович</t>
  </si>
  <si>
    <t>13130965@mail.ru', '79615391050@yandex.ru'</t>
  </si>
  <si>
    <t>ОБЩЕСТВО С ОГРАНИЧЕННОЙ ОТВЕТСТВЕННОСТЬЮ "КАМАНИТ ЮГ"</t>
  </si>
  <si>
    <t>"КАМАНИТ ЮГ"</t>
  </si>
  <si>
    <t>2312279961</t>
  </si>
  <si>
    <t>44.992046,39.111004</t>
  </si>
  <si>
    <t>ОБЩЕСТВО С ОГРАНИЧЕННОЙ ОТВЕТСТВЕННОСТЬЮ "ТЕУЧЕЖСКИЙ ЗАВОД ЖБИ"</t>
  </si>
  <si>
    <t>"ТЕУЧЕЖСКИЙ ЗАВОД ЖБИ"</t>
  </si>
  <si>
    <t>0107034933</t>
  </si>
  <si>
    <t>385228, АДЫГЕЯ РЕСПУБЛИКА, РАЙОН ТЕУЧЕЖСКИЙ, ПОСЕЛОК ГОРОДСКОГО ТИПА ТЛЮСТЕНХАБЛЬ, УЛИЦА ДЖУБГИНСКОЕ ШОССЕ, ДОМ 19, ОФИС 8</t>
  </si>
  <si>
    <t>Степаненко Сергей Николаевич</t>
  </si>
  <si>
    <t>45.039235,39.115055</t>
  </si>
  <si>
    <t>ОБЩЕСТВО С ОГРАНИЧЕННОЙ ОТВЕТСТВЕННОСТЬЮ "Уютный двор"</t>
  </si>
  <si>
    <t>"Уютный двор"</t>
  </si>
  <si>
    <t>2124034422</t>
  </si>
  <si>
    <t>21-Чувашская Республика - Чувашия</t>
  </si>
  <si>
    <t>350088, КРАСНОДАРСКИЙ КРАЙ, ГОРОД КРАСНОДАР, УЛИЦА СОРМОВСКАЯ, ДОМ 210, ПОМЕЩЕНИЕ 49</t>
  </si>
  <si>
    <t>Гагарин Алексей Николаевич</t>
  </si>
  <si>
    <t>51.690152,39.126392</t>
  </si>
  <si>
    <t>ОБЩЕСТВО С ОГРАНИЧЕННОЙ ОТВЕТСТВЕННОСТЬЮ "ВОРОНЕЖСКИЕ БЕТОННЫЕ ИЗДЕЛИЯ"</t>
  </si>
  <si>
    <t>"ВОРОНЕЖСКИЕ БЕТОННЫЕ ИЗДЕЛИЯ"</t>
  </si>
  <si>
    <t>3662296203</t>
  </si>
  <si>
    <t>394026, ВОРОНЕЖСКАЯ ОБЛ., Г. Воронеж, УЛ. АНТОНОВА-ОВСЕЕНКО, Д. 7, ОФИС 311А</t>
  </si>
  <si>
    <t>Скарга Виктор Егорович</t>
  </si>
  <si>
    <t>51.723304,39.135555</t>
  </si>
  <si>
    <t>ОБЩЕСТВО С ОГРАНИЧЕННОЙ ОТВЕТСТВЕННОСТЬЮ "БЕТОН СТРОЙ ТРЕСТ"</t>
  </si>
  <si>
    <t>"БЕТОН СТРОЙ ТРЕСТ"</t>
  </si>
  <si>
    <t>3662287054</t>
  </si>
  <si>
    <t>394075, ВОРОНЕЖСКАЯ ОБЛАСТЬ, ГОРОД ВОРОНЕЖ, УЛИЦА ФЕДОРА СУШКОВА, ДОМ 1</t>
  </si>
  <si>
    <t>Хрипунова Валентина Васильевна</t>
  </si>
  <si>
    <t>+7 (952) 558-35-12'</t>
  </si>
  <si>
    <t>51.660764,39.143927</t>
  </si>
  <si>
    <t>3665808361</t>
  </si>
  <si>
    <t>394038, ВОРОНЕЖСКАЯ ОБЛАСТЬ, ГОРОД ВОРОНЕЖ, УЛИЦА ДОРОЖНАЯ, ДОМ 13, ЛИТЕР Ч, ПОМЕЩЕНИЕ 16</t>
  </si>
  <si>
    <t>Полянских Александр Тихонович</t>
  </si>
  <si>
    <t>51.706106,39.151221</t>
  </si>
  <si>
    <t>3662277507</t>
  </si>
  <si>
    <t>394088, ВОРОНЕЖСКАЯ ОБЛ, ВОРОНЕЖ Г, ГЕНЕРАЛА ЛИЗЮКОВА УЛ, ДОМ 56, ОФИС 1</t>
  </si>
  <si>
    <t>Орлов Василий Владимирович</t>
  </si>
  <si>
    <t>+7 (910) 746-04-85'</t>
  </si>
  <si>
    <t>51.688293,39.151329</t>
  </si>
  <si>
    <t>ОБЩЕСТВО С ОГРАНИЧЕННОЙ ОТВЕТСТВЕННОСТЬЮ "СОЮЗАГРОТЕХНОЛОГИИ"</t>
  </si>
  <si>
    <t>"СОЮЗАГРОТЕХНОЛОГИИ"</t>
  </si>
  <si>
    <t>3662228482</t>
  </si>
  <si>
    <t>394016, ВОРОНЕЖСКАЯ ОБЛ, ВОРОНЕЖ Г, ЯСНЫЙ ПР, ДОМ 1Б, ОФИС 10</t>
  </si>
  <si>
    <t>Евсеев Павел Николаевич</t>
  </si>
  <si>
    <t>44.635567,39.152003</t>
  </si>
  <si>
    <t>ОБЩЕСТВО С ОГРАНИЧЕННОЙ ОТВЕТСТВЕННОСТЬЮ "ГАРАНТ-ЖБИ-2"</t>
  </si>
  <si>
    <t>"ГАРАНТ-ЖБИ-2"</t>
  </si>
  <si>
    <t>2305024497</t>
  </si>
  <si>
    <t>353290, Краснодарский край, городской округ ГОРОД ГОРЯЧИЙ КЛЮЧ, Город ГОРЯЧИЙ КЛЮЧ, УЛ ЯРОСЛАВСКОГО, Д. 89,..</t>
  </si>
  <si>
    <t>Шерстяных Юрий Владимирович</t>
  </si>
  <si>
    <t>+7 (918) 430-10-56', '+7 (918) 226-15-13'</t>
  </si>
  <si>
    <t>51.658177,39.154051</t>
  </si>
  <si>
    <t>ОБЩЕСТВО С ОГРАНИЧЕННОЙ ОТВЕТСТВЕННОСТЬЮ "СТРОЙМОДЕРН"</t>
  </si>
  <si>
    <t>"СТРОЙМОДЕРН"</t>
  </si>
  <si>
    <t>3665811484</t>
  </si>
  <si>
    <t>394038, ВОРОНЕЖСКАЯ ОБЛАСТЬ, Г. ВОРОНЕЖ, Б-Р ПИОНЕРОВ, Д. 6,..</t>
  </si>
  <si>
    <t>Жерлыкина Светлана Евгеньевна</t>
  </si>
  <si>
    <t>53.252236,39.165091</t>
  </si>
  <si>
    <t>ОТКРЫТОЕ АКЦИОНЕРНОЕ ОБЩЕСТВО "ЗАВОД ЖЕЛЕЗОБЕТОННЫХ ИЗДЕЛИЙ"</t>
  </si>
  <si>
    <t>ОТКРЫТОЕ "ЗАВОД ЖЕЛЕЗОБЕТОННЫХ ИЗДЕЛИЙ"</t>
  </si>
  <si>
    <t>4803003422</t>
  </si>
  <si>
    <t>ЛИПЕЦКАЯ ОБЛ.,Г ДАНКОВ,УЛ МИРА, 75</t>
  </si>
  <si>
    <t>Гаркавенко Сергей Владимирович</t>
  </si>
  <si>
    <t>51.722969,39.172044</t>
  </si>
  <si>
    <t>ОБЩЕСТВО С ОГРАНИЧЕННОЙ ОТВЕТСТВЕННОСТЬЮ "ГЛАВСНАБ"</t>
  </si>
  <si>
    <t>"ГЛАВСНАБ"</t>
  </si>
  <si>
    <t>3662272636</t>
  </si>
  <si>
    <t>394005, ВОРОНЕЖСКАЯ ОБЛАСТЬ, ГОРОД ВОРОНЕЖ, УЛИЦА ВЛАДИМИРА НЕВСКОГО, ДОМ 85, ОФИС 4</t>
  </si>
  <si>
    <t>Гунько Алексей Анатольевич</t>
  </si>
  <si>
    <t>51.627051,39.172978</t>
  </si>
  <si>
    <t>ОБЩЕСТВО С ОГРАНИЧЕННОЙ ОТВЕТСТВЕННОСТЬЮ ПРЕДПРИЯТИЕ "ДИГ"</t>
  </si>
  <si>
    <t>ПРЕДПРИЯТИЕ "ДИГ"</t>
  </si>
  <si>
    <t>3664056373</t>
  </si>
  <si>
    <t>394052, ВОРОНЕЖСКАЯ ОБЛАСТЬ, ГОРОД ВОРОНЕЖ, УЛИЦА ЕСЕНИНА, ДОМ 29</t>
  </si>
  <si>
    <t>Дворцов Дмитрий Владимирович</t>
  </si>
  <si>
    <t>+7 (950) 762-60-65'</t>
  </si>
  <si>
    <t>51.677024,39.173895</t>
  </si>
  <si>
    <t>ОБЩЕСТВО С ОГРАНИЧЕННОЙ ОТВЕТСТВЕННОСТЬЮ "МИКРОН В"</t>
  </si>
  <si>
    <t>"МИКРОН В"</t>
  </si>
  <si>
    <t>3662127100</t>
  </si>
  <si>
    <t>394026, ВОРОНЕЖСКАЯ ОБЛАСТЬ, Г. ВОРОНЕЖ, ПР-КТ ТРУДА, Д.91,..</t>
  </si>
  <si>
    <t>Гашев Александр Борисович</t>
  </si>
  <si>
    <t>+7 (473) 246-75-49', '+7 (920) 400-28-21'</t>
  </si>
  <si>
    <t>44.643456,39.174299</t>
  </si>
  <si>
    <t>ОБЩЕСТВО С ОГРАНИЧЕННОЙ ОТВЕТСТВЕННОСТЬЮ "ТЕРЕМ ЖЕЛЕЗОБЕТОННЫЕ ТЕХНОЛОГИИ"</t>
  </si>
  <si>
    <t>"ТЕРЕМ ЖЕЛЕЗОБЕТОННЫЕ ТЕХНОЛОГИИ"</t>
  </si>
  <si>
    <t>2368011003</t>
  </si>
  <si>
    <t>353290, КРАСНОДАРСКИЙ КРАЙ, Г. ГОРЯЧИЙ КЛЮЧ, УЛ. ХАДЫЖЕНСКАЯ, Д. 28-Б</t>
  </si>
  <si>
    <t>Доморацкий Роман Валерьевич</t>
  </si>
  <si>
    <t>bev@terem-gk', 'marta@terem-gk'</t>
  </si>
  <si>
    <t>51.711575,39.178754</t>
  </si>
  <si>
    <t>ОБЩЕСТВО С ОГРАНИЧЕННОЙ ОТВЕТСТВЕННОСТЬЮ "СЕМИЛУКСКИЙ КОМБИНАТ СТРОИТЕЛЬНЫХ МАТЕРИАЛОВ"</t>
  </si>
  <si>
    <t>"СЕМИЛУКСКИЙ КОМБИНАТ СТРОИТЕЛЬНЫХ МАТЕРИАЛОВ"</t>
  </si>
  <si>
    <t>3628019792</t>
  </si>
  <si>
    <t>394077, Воронежская область, городской округ ГОРОД ВОРОНЕЖ, Город ВОРОНЕЖ, ПР-КТ МОСКОВСКИЙ, Д. 109/1,..</t>
  </si>
  <si>
    <t>Гранатовый Денис Васильевич</t>
  </si>
  <si>
    <t>45.065151,39.179895</t>
  </si>
  <si>
    <t>ОБЩЕСТВО С ОГРАНИЧЕННОЙ ОТВЕТСТВЕННОСТЬЮ "ТОРГОВЫЙ ДОМ ЯНТАРЬ"</t>
  </si>
  <si>
    <t>"ЯНТАРЬ"</t>
  </si>
  <si>
    <t>2312298837</t>
  </si>
  <si>
    <t>350055, Краснодарский край, городской округ ГОРОД КРАСНОДАР, Город КРАСНОДАР, ТЕР. ДНТ ЗНАМЕНСКИЙ, УЛ МАЛИНОВАЯ, Д. 6,</t>
  </si>
  <si>
    <t>Исроян Григор Маисович</t>
  </si>
  <si>
    <t>51.733033,39.18701</t>
  </si>
  <si>
    <t>ОБЩЕСТВО С ОГРАНИЧЕННОЙ ОТВЕТСТВЕННОСТЬЮ "СПЕЦПРОМ 1"</t>
  </si>
  <si>
    <t>"СПЕЦПРОМ 1"</t>
  </si>
  <si>
    <t>3666101624</t>
  </si>
  <si>
    <t>http://gib-plita.ru</t>
  </si>
  <si>
    <t>394087, ВОРОНЕЖСКАЯ ОБЛАСТЬ, ГОРОД ВОРОНЕЖ, КВАРТАЛ ЖИЛОЙ МАССИВ ЛЕСНАЯ ПОЛЯНА, ДОМ 105</t>
  </si>
  <si>
    <t>Ардаков Алексей Анатольевич</t>
  </si>
  <si>
    <t>+7 (473) 251-95-93'</t>
  </si>
  <si>
    <t>51.6953,39.188196</t>
  </si>
  <si>
    <t>3662275740</t>
  </si>
  <si>
    <t>394068, ВОРОНЕЖСКАЯ ОБЛ, ВОРОНЕЖ Г, 45 СТРЕЛКОВОЙ ДИВИЗИИ УЛ, ДОМ 111А, ОФИС 305</t>
  </si>
  <si>
    <t>Трунов Евгений Юрьевич</t>
  </si>
  <si>
    <t>+7 (950) 552-52-55'</t>
  </si>
  <si>
    <t>44.88287,39.189912</t>
  </si>
  <si>
    <t>Общество с ограниченной ответственностью "АЗУР"</t>
  </si>
  <si>
    <t>"АЗУР"</t>
  </si>
  <si>
    <t>0107035581</t>
  </si>
  <si>
    <t>385200, АДЫГЕЯ РЕСПУБЛИКА, ГОРОД АДЫГЕЙСК, ПРОСПЕКТ В.И.ЛЕНИНА, ДОМ 20</t>
  </si>
  <si>
    <t>Маркосян Арсен Александрович</t>
  </si>
  <si>
    <t>+7 (928) 665-80-41', '+7 (918) 478-00-90'</t>
  </si>
  <si>
    <t>nerud4@yandex.ru'</t>
  </si>
  <si>
    <t>51.648627,39.190235</t>
  </si>
  <si>
    <t>ОБЩЕСТВО С ОГРАНИЧЕННОЙ ОТВЕТСТВЕННОСТЬЮ "ВОРОНЕЖПРОМБЛОК"</t>
  </si>
  <si>
    <t>"ВОРОНЕЖПРОМБЛОК"</t>
  </si>
  <si>
    <t>3664245476</t>
  </si>
  <si>
    <t>394006, ВОРОНЕЖСКАЯ ОБЛАСТЬ, ГОРОД ВОРОНЕЖ, УЛИЦА ЧЕЛЮСКИНЦЕВ, ДОМ 101Б,..</t>
  </si>
  <si>
    <t>Каширских Татьяна Александровна</t>
  </si>
  <si>
    <t>+7 (900) 955-83-16'</t>
  </si>
  <si>
    <t>51.680045,39.190774</t>
  </si>
  <si>
    <t>ОБЩЕСТВО С ОГРАНИЧЕННОЙ ОТВЕТСТВЕННОСТЬЮ "КИРПИЧНЫЙ ЗАВОД БАРРУМ"</t>
  </si>
  <si>
    <t>"КИРПИЧНЫЙ ЗАВОД БАРРУМ"</t>
  </si>
  <si>
    <t>3625014997</t>
  </si>
  <si>
    <t>394026, ВОРОНЕЖСКАЯ ОБЛ., Г. Воронеж, УЛ. УРИЦКОГО, Д. 75, ЛИТЕР Е ОФИС 3</t>
  </si>
  <si>
    <t>Горлов Артур Сергеевич</t>
  </si>
  <si>
    <t>+7 (920) 211-89-86'</t>
  </si>
  <si>
    <t>51.648136,39.191448</t>
  </si>
  <si>
    <t>ОБЩЕСТВО С ОГРАНИЧЕННОЙ ОТВЕТСТВЕННОСТЬЮ "АВАНГАРД"</t>
  </si>
  <si>
    <t>"АВАНГАРД"</t>
  </si>
  <si>
    <t>3664250564</t>
  </si>
  <si>
    <t>394006, Воронежская область, городской округ ГОРОД ВОРОНЕЖ, Город ВОРОНЕЖ, УЛ ЧЕЛЮСКИНЦЕВ, Д. 101А, КОМ. 10, ПОМЕЩ. XII</t>
  </si>
  <si>
    <t>Кулешов Владимир Александрович</t>
  </si>
  <si>
    <t>AVANGARD_36@BK.RU'</t>
  </si>
  <si>
    <t>56.954115,39.19152</t>
  </si>
  <si>
    <t>ОБЩЕСТВО С ОГРАНИЧЕННОЙ ОТВЕТСТВЕННОСТЬЮ "ПЕТРОВСКИЙ КАМЕНЬ"</t>
  </si>
  <si>
    <t>"ПЕТРОВСКИЙ КАМЕНЬ"</t>
  </si>
  <si>
    <t>7609028990</t>
  </si>
  <si>
    <t>152137, ЯРОСЛАВСКАЯ ОБЛАСТЬ, РАЙОН РОСТОВСКИЙ, ДЕРЕВНЯ КОЛЕНОВО</t>
  </si>
  <si>
    <t>Журавлева Ольга Вениаминовна</t>
  </si>
  <si>
    <t>+7 (915) 998-91-98', '+7 (910) 963-60-55'</t>
  </si>
  <si>
    <t>byk@pzgbi.ru'</t>
  </si>
  <si>
    <t>51.70187,39.192355</t>
  </si>
  <si>
    <t>ОБЩЕСТВО С ОГРАНИЧЕННОЙ ОТВЕТСТВЕННОСТЬЮ "СТАРТ БЕТОН"</t>
  </si>
  <si>
    <t>"СТАРТ БЕТОН"</t>
  </si>
  <si>
    <t>3661062153</t>
  </si>
  <si>
    <t>394042, ВОРОНЕЖСКАЯ ОБЛАСТЬ, Г. ВОРОНЕЖ, УЛ. СТАРЫХ БОЛЬШЕВИКОВ, Д. 2, ПОМЕЩ V В ЛИТ А, КОМ 6</t>
  </si>
  <si>
    <t>Колесников Виктор Васильевич</t>
  </si>
  <si>
    <t>51.682469,39.195984</t>
  </si>
  <si>
    <t>Общество с ограниченной ответственностью "Бетон Строй"</t>
  </si>
  <si>
    <t>"Бетон Строй"</t>
  </si>
  <si>
    <t>3663098116</t>
  </si>
  <si>
    <t>http://beton-s.net</t>
  </si>
  <si>
    <t>Г ВОРОНЕЖ,УЛ ВАРЕЙКИСА Д 9..</t>
  </si>
  <si>
    <t>Шаповалов Алексей Алексеевич</t>
  </si>
  <si>
    <t>+7 (950) 779-97-06'</t>
  </si>
  <si>
    <t>51.66454,39.197107</t>
  </si>
  <si>
    <t>ОБЩЕСТВО С ОГРАНИЧЕННОЙ ОТВЕТСТВЕННОСТЬЮ "ЭЛПРО"</t>
  </si>
  <si>
    <t>"ЭЛПРО"</t>
  </si>
  <si>
    <t>3663122136</t>
  </si>
  <si>
    <t>394018, Воронежская область, городской округ ГОРОД ВОРОНЕЖ, Город ВОРОНЕЖ, УЛ ФРИДРИХА ЭНГЕЛЬСА, Д. 56, ОФИС 6</t>
  </si>
  <si>
    <t>Горелов Александр Геннадьевич</t>
  </si>
  <si>
    <t>+7 (473) 210-66-37'</t>
  </si>
  <si>
    <t>55.897009,39.198167</t>
  </si>
  <si>
    <t>ОБЩЕСТВО С ОГРАНИЧЕННОЙ ОТВЕТСТВЕННОСТЬЮ "ПОКРОВСКИЙ ЗАВОД ЖЕЛЕЗОБЕТОННЫХ ИЗДЕЛИЙ"</t>
  </si>
  <si>
    <t>"ПОКРОВСКИЙ ЗАВОД ЖЕЛЕЗОБЕТОННЫХ ИЗДЕЛИЙ"</t>
  </si>
  <si>
    <t>3321015237</t>
  </si>
  <si>
    <t>http://gbipokrov.ru</t>
  </si>
  <si>
    <t>ВЛАДИМИРСКАЯ ОБЛ.,ПЕТУШИНСКИЙ Р-Н,Г ПОКРОВ,УЛ ФРАНЦА ШТОЛЬВЕРКА,16</t>
  </si>
  <si>
    <t>Мананников Сергей Анатольевич</t>
  </si>
  <si>
    <t>+7 (920) 917-15-82', '+7 (920) 917-15-74'</t>
  </si>
  <si>
    <t>gbipokrov@mail.ru'</t>
  </si>
  <si>
    <t>51.660781,39.200296</t>
  </si>
  <si>
    <t>ОБЩЕСТВО С ОГРАНИЧЕННОЙ ОТВЕТСТВЕННОСТЬЮ "СТРОЙМАРКЕТ"</t>
  </si>
  <si>
    <t>"СТРОЙМАРКЕТ"</t>
  </si>
  <si>
    <t>3627019630</t>
  </si>
  <si>
    <t>394016, Воронежская область, городской округ ГОРОД ВОРОНЕЖ, Город ВОРОНЕЖ, ПР-КТ МОСКОВСКИЙ, Д. 67, ПОМЕЩ. 1/1, ОФИС 1</t>
  </si>
  <si>
    <t>Абашин Игорь Вячеславович</t>
  </si>
  <si>
    <t>ОБЩЕСТВО С ОГРАНИЧЕННОЙ ОТВЕТСТВЕННОСТЬЮ "БЛОК36"</t>
  </si>
  <si>
    <t>"БЛОК36"</t>
  </si>
  <si>
    <t>3662289051</t>
  </si>
  <si>
    <t>394033, Воронежская область, городской округ ГОРОД ВОРОНЕЖ, Город ВОРОНЕЖ, УЛ ВИТРУКА, Д. 10А, ОФИС 2/11</t>
  </si>
  <si>
    <t>Битюцких Сергей Васильевич</t>
  </si>
  <si>
    <t>ОБЩЕСТВО С ОГРАНИЧЕННОЙ ОТВЕТСТВЕННОСТЬЮ "АЛЕКСА"</t>
  </si>
  <si>
    <t>"АЛЕКСА"</t>
  </si>
  <si>
    <t>3663158693</t>
  </si>
  <si>
    <t>394029, Воронежская область, ГОРОД ВОРОНЕЖ, Г ВОРОНЕЖ, ПР-КТ ЛЕНИНСКИЙ, Д. 27, ПОМЕЩ. 1/1</t>
  </si>
  <si>
    <t>Ирлык Алла Михайловна</t>
  </si>
  <si>
    <t>82@MAIL.RU'</t>
  </si>
  <si>
    <t>3666227120</t>
  </si>
  <si>
    <t>394036, ВОРОНЕЖСКАЯ ОБЛ., Г. Воронеж, УЛ. ФРИДРИХА ЭНГЕЛЬСА, Д. 25Б, ОФИС 319, 320, 321</t>
  </si>
  <si>
    <t>Васильев Станислав Владимирович</t>
  </si>
  <si>
    <t>+7 (920) 229-56-77'</t>
  </si>
  <si>
    <t>ОБЩЕСТВО С ОГРАНИЧЕННОЙ ОТВЕТСТВЕННОСТЬЮ "РЕГИОН36"</t>
  </si>
  <si>
    <t>"РЕГИОН36"</t>
  </si>
  <si>
    <t>3666249035</t>
  </si>
  <si>
    <t>394043, ВОРОНЕЖСКАЯ ОБЛ., Г. Воронеж, УЛ. ЛЕНИНА, Д. 43, ПОМЕЩ. 1/59 ОФИС 1</t>
  </si>
  <si>
    <t>Алексеев Владислав Алексеевич</t>
  </si>
  <si>
    <t>+7 (920) 426-71-25'</t>
  </si>
  <si>
    <t>51.63106,39.203036</t>
  </si>
  <si>
    <t>ОБЩЕСТВО С ОГРАНИЧЕННОЙ ОТВЕТСТВЕННОСТЬЮ "СВЯЗЬСТРОЙ"</t>
  </si>
  <si>
    <t>"СВЯЗЬСТРОЙ"</t>
  </si>
  <si>
    <t>3631008818</t>
  </si>
  <si>
    <t>394031, ВОРОНЕЖСКАЯ ОБЛАСТЬ, ГОРОД ВОРОНЕЖ, ПЕРЕУЛОК ЛЕНСКИЙ, ДОМ 2</t>
  </si>
  <si>
    <t>Нечаев Алексей Кузьмич</t>
  </si>
  <si>
    <t>+7 (906) 588-20-45'</t>
  </si>
  <si>
    <t>vrn@mail.ru', 'svs@mail.ru', 'akn1963@yandex.ru'</t>
  </si>
  <si>
    <t>44.878642,39.205327</t>
  </si>
  <si>
    <t>ОБЩЕСТВО С ОГРАНИЧЕННОЙ ОТВЕТСТВЕННОСТЬЮ КОМБИНАТ СТРОИТЕЛЬНЫХ МАТЕРИАЛОВ "АЛМАЗ"</t>
  </si>
  <si>
    <t>КОМБИНАТ СТРОИТЕЛЬНЫХ МАТЕРИАЛОВ "АЛМАЗ"</t>
  </si>
  <si>
    <t>0107036320</t>
  </si>
  <si>
    <t>385200, АДЫГЕЯ РЕСПУБЛИКА, ГОРОД АДЫГЕЙСК, УЛИЦА ИМ Т.Х.ЧУЯКО, ДОМ 10, ОФИС 1</t>
  </si>
  <si>
    <t>Пшидаток Аслан Адамович</t>
  </si>
  <si>
    <t>56.964186,39.205524</t>
  </si>
  <si>
    <t>ОБЩЕСТВО С ОГРАНИЧЕННОЙ ОТВЕТСТВЕННОСТЬЮ "ДекорСтройЛандшафт плюс"</t>
  </si>
  <si>
    <t>"ДекорСтройЛандшафт плюс"</t>
  </si>
  <si>
    <t>7609024272</t>
  </si>
  <si>
    <t>152137, ЯРОСЛАВСКАЯ ОБЛ., Р-Н Ростовский, С. Любилки, УЛ. РОЖДЕСТВЕНСКАЯ, Д. 19, ПОМЕЩ. 2, ЭТАЖ 1</t>
  </si>
  <si>
    <t>Гарайшин Марат Саяхович</t>
  </si>
  <si>
    <t>+7 (920) 140-84-72', '+7 (915) 998-57-18'</t>
  </si>
  <si>
    <t>ОБЩЕСТВО С ОГРАНИЧЕННОЙ ОТВЕТСТВЕННОСТЬЮ "ПЕТРОВСКИЙ КАМЕНЬ ПЛЮС"</t>
  </si>
  <si>
    <t>"ПЕТРОВСКИЙ КАМЕНЬ ПЛЮС"</t>
  </si>
  <si>
    <t>7609038740</t>
  </si>
  <si>
    <t>152137, ЯРОСЛАВСКАЯ ОБЛАСТЬ, Р-Н РОСТОВСКИЙ, С ЛЮБИЛКИ, УЛ. РОЖДЕСТВЕНСКАЯ, Д. 19, ОФИС 3</t>
  </si>
  <si>
    <t>56.966487,39.20636</t>
  </si>
  <si>
    <t>АКЦИОНЕРНОЕ ОБЩЕСТВО "ПЕТРОВСКИЙ ЗАВОД ЖБИ"</t>
  </si>
  <si>
    <t>"ПЕТРОВСКИЙ ЗАВОД ЖБИ"</t>
  </si>
  <si>
    <t>7609012573</t>
  </si>
  <si>
    <t>ЯРОСЛАВСКАЯ ОБЛ.,РОСТОВСКИЙ Р-Н,С ЛЮБИЛКИ</t>
  </si>
  <si>
    <t>zavod@pzgbi.ru'</t>
  </si>
  <si>
    <t>51.666607,39.206557</t>
  </si>
  <si>
    <t>ОБЩЕСТВО С ОГРАНИЧЕННОЙ ОТВЕТСТВЕННОСТЬЮ "ВТК"</t>
  </si>
  <si>
    <t>"ВТК"</t>
  </si>
  <si>
    <t>3666254701</t>
  </si>
  <si>
    <t>394036, Воронежская область, городской округ ГОРОД ВОРОНЕЖ, Город ВОРОНЕЖ, ПР-КТ РЕВОЛЮЦИИ, Д. 39, ОФИС 53</t>
  </si>
  <si>
    <t>Алексеев Евгений Олегович</t>
  </si>
  <si>
    <t>51.695512,39.210348</t>
  </si>
  <si>
    <t>ОБЩЕСТВО С ОГРАНИЧЕННОЙ ОТВЕТСТВЕННОСТЬЮ "БАК"</t>
  </si>
  <si>
    <t>"БАК"</t>
  </si>
  <si>
    <t>3666209593</t>
  </si>
  <si>
    <t>394024, ВОРОНЕЖСКАЯ ОБЛ, ВОРОНЕЖ Г, ТРАНСПОРТНАЯ УЛ, ДОМ 58А, ОФИС 2</t>
  </si>
  <si>
    <t>Болотин Алексей Алексеевич</t>
  </si>
  <si>
    <t>51.684993,39.213142</t>
  </si>
  <si>
    <t>ОБЩЕСТВО С ОГРАНИЧЕННОЙ ОТВЕТСТВЕННОСТЬЮ "АКТУРА"</t>
  </si>
  <si>
    <t>"АКТУРА"</t>
  </si>
  <si>
    <t>3666257029</t>
  </si>
  <si>
    <t>394024, ВОРОНЕЖСКАЯ ОБЛ., Г. Воронеж, УЛ. РЕСПУБЛИКАНСКАЯ, Д. 5, ОФИС 23</t>
  </si>
  <si>
    <t>Барбашин Алексей Сергеевич</t>
  </si>
  <si>
    <t>45.209072,39.227874</t>
  </si>
  <si>
    <t>ОБЩЕСТВО С ОГРАНИЧЕННОЙ ОТВЕТСТВЕННОСТЬЮ "КУБАНЬ-БЛОК"</t>
  </si>
  <si>
    <t>"КУБАНЬ-БЛОК"</t>
  </si>
  <si>
    <t>2373007059</t>
  </si>
  <si>
    <t>353200, КРАСНОДАРСКИЙ КРАЙ, Р-Н ДИНСКОЙ, СТ-ЦА ДИНСКАЯ, УЛ. ШИРОКАЯ, Д.78</t>
  </si>
  <si>
    <t>Голота Елена Александровна</t>
  </si>
  <si>
    <t>+7 (918) 956-95-70'</t>
  </si>
  <si>
    <t>2373@bk.ru', 'oookubblok@mail.ru'</t>
  </si>
  <si>
    <t>51.671891,39.228629</t>
  </si>
  <si>
    <t>ОБЩЕСТВО С ОГРАНИЧЕННОЙ ОТВЕТСТВЕННОСТЬЮ "ДЕМЕТРА"</t>
  </si>
  <si>
    <t>"ДЕМЕТРА"</t>
  </si>
  <si>
    <t>3661171829</t>
  </si>
  <si>
    <t>394033, ВОРОНЕЖСКАЯ ОБЛАСТЬ, ГОРОД ВОРОНЕЖ, ПРОСПЕКТ ЛЕНИНСКИЙ, ДОМ 172, НЕЖ. ПОМ. I, ОФИС 16 А</t>
  </si>
  <si>
    <t>Масыч Алексей Владимирович</t>
  </si>
  <si>
    <t>51.622729,39.229222</t>
  </si>
  <si>
    <t>ОБЩЕСТВО С ОГРАНИЧЕННОЙ ОТВЕТСТВЕННОСТЬЮ "СТРОЙЭЛЕМЕНТ"</t>
  </si>
  <si>
    <t>"СТРОЙЭЛЕМЕНТ"</t>
  </si>
  <si>
    <t>3663136749</t>
  </si>
  <si>
    <t>394014, ВОРОНЕЖСКАЯ ОБЛ, ВОРОНЕЖ Г, ЛЕБЕДЕВА УЛ, ДОМ 10В</t>
  </si>
  <si>
    <t>Фетисова Лариса Юрьевна</t>
  </si>
  <si>
    <t>stroyelement36@mail.ru'</t>
  </si>
  <si>
    <t>51.613759,39.235115</t>
  </si>
  <si>
    <t>ОБЩЕСТВО С ОГРАНИЧЕННОЙ ОТВЕТСТВЕННОСТЬЮ "ВИБРО-ЭЛЕМЕНТ"</t>
  </si>
  <si>
    <t>"ВИБРО-ЭЛЕМЕНТ"</t>
  </si>
  <si>
    <t>3663156350</t>
  </si>
  <si>
    <t>394074, ВОРОНЕЖСКАЯ ОБЛ., Г. Воронеж, УЛ. НОВОСИБИРСКАЯ, Д. 26,..</t>
  </si>
  <si>
    <t>Колобова Вероника Александровна</t>
  </si>
  <si>
    <t>ELEMENT@MAIL.RU'</t>
  </si>
  <si>
    <t>51.711168,39.235393</t>
  </si>
  <si>
    <t>ОБЩЕСТВО С ОГРАНИЧЕННОЙ ОТВЕТСТВЕННОСТЬЮ ПК "УМС- 22"</t>
  </si>
  <si>
    <t>ПК "УМС- 22"</t>
  </si>
  <si>
    <t>3666234720</t>
  </si>
  <si>
    <t>394087, ВОРОНЕЖСКАЯ ОБЛ., Г. Воронеж, УЛ. ДУГОВАЯ, Д. 66</t>
  </si>
  <si>
    <t>Балюкова Галина Гавриловна</t>
  </si>
  <si>
    <t>+7 (908) 135-31-05'</t>
  </si>
  <si>
    <t>45.194796,39.235824</t>
  </si>
  <si>
    <t>ОБЩЕСТВО С ОГРАНИЧЕННОЙ ОТВЕТСТВЕННОСТЬЮ "ДОРОЖНАЯ ИНЖИНИРИЯ"</t>
  </si>
  <si>
    <t>"ДОРОЖНАЯ ИНЖИНИРИЯ"</t>
  </si>
  <si>
    <t>2373011513</t>
  </si>
  <si>
    <t>353200, КРАСНОДАРСКИЙ КРАЙ, ДИНСКОЙ Р-Н, ДИНСКАЯ СТ-ЦА, ЖЕЛЕЗНОДОРОЖНАЯ УЛ, ДОМ 259</t>
  </si>
  <si>
    <t>Песков Григорий Владимирович</t>
  </si>
  <si>
    <t>krasnodar@mail.ru', 'kitanina77@mail.ru'</t>
  </si>
  <si>
    <t>45.195526,39.236175</t>
  </si>
  <si>
    <t>ОБЩЕСТВО С ОГРАНИЧЕННОЙ ОТВЕТСТВЕННОСТЬЮ "ТЕХНОЛОГИИ БЕТОНА"</t>
  </si>
  <si>
    <t>"ТЕХНОЛОГИИ БЕТОНА"</t>
  </si>
  <si>
    <t>2373017434</t>
  </si>
  <si>
    <t>353204, КРАСНОДАРСКИЙ КРАЙ, ДИНСКОЙ Р-Н, ДИНСКАЯ СТ-ЦА, ЖЕЛЕЗНОДОРОЖНАЯ УЛ, ДОМ 259, ЛИТЕР А, ПОМЕЩЕНИЕ 51</t>
  </si>
  <si>
    <t>Ющенко Владимир Владимирович</t>
  </si>
  <si>
    <t>45.203262,39.238322</t>
  </si>
  <si>
    <t>ОБЩЕСТВО С ОГРАНИЧЕННОЙ ОТВЕТСТВЕННОСТЬЮ "КУБЕРА"</t>
  </si>
  <si>
    <t>"КУБЕРА"</t>
  </si>
  <si>
    <t>2309140984</t>
  </si>
  <si>
    <t>КРАСНОДАРСКИЙ КРАЙ,ДИНСКОЙ Р-Н,СТ-ЦА ДИНСКАЯ,УЛ ТЕЛЬМАНА, Д 93 А</t>
  </si>
  <si>
    <t>Псеуш Рустэм Асланович</t>
  </si>
  <si>
    <t>+7 (918) 967-88-23'</t>
  </si>
  <si>
    <t>51.650075,39.24046</t>
  </si>
  <si>
    <t>ОБЩЕСТВО С ОГРАНИЧЕННОЙ ОТВЕТСТВЕННОСТЬЮ "ФИНАНСИРОВАНИЕ НЕЗАВИСИМЫХ ПРОЕКТОВ"</t>
  </si>
  <si>
    <t>"ФИНАНСИРОВАНИЕ НЕЗАВИСИМЫХ ПРОЕКТОВ"</t>
  </si>
  <si>
    <t>3663142502</t>
  </si>
  <si>
    <t>394004, ВОРОНЕЖСКАЯ ОБЛАСТЬ, ГОРОД ВОРОНЕЖ, ПРОСПЕКТ ЛЕНИНСКИЙ, ДОМ 61А, ОФИС 12</t>
  </si>
  <si>
    <t>Войтенок Анатолий Андреевич</t>
  </si>
  <si>
    <t>51.597907,39.252695</t>
  </si>
  <si>
    <t>ОБЩЕСТВО С ОГРАНИЧЕННОЙ ОТВЕТСТВЕННОСТЬЮ "БЕТОН СТАР ПЛЮС"</t>
  </si>
  <si>
    <t>"БЕТОН СТАР ПЛЮС"</t>
  </si>
  <si>
    <t>3605042160</t>
  </si>
  <si>
    <t>http://бетонстарплюс.рф</t>
  </si>
  <si>
    <t>394028, ВОРОНЕЖСКАЯ ОБЛ, ВОРОНЕЖ Г, ЧЕБЫШЕВА УЛ, ДОМ 5</t>
  </si>
  <si>
    <t>Аракелян Роберт Карапетович</t>
  </si>
  <si>
    <t>+7 (908) 137-76-04', '+7 (904) 210-79-54'</t>
  </si>
  <si>
    <t>51.630948,39.257177</t>
  </si>
  <si>
    <t>ОБЩЕСТВО С ОГРАНИЧЕННОЙ ОТВЕТСТВЕННОСТЬЮ "ВОРОНЕЖСКИЙ ЖЕЛЕЗОБЕТОННЫЙ ЗАВОД МОСТЫ И ТРУБЫ"</t>
  </si>
  <si>
    <t>"ВОРОНЕЖСКИЙ ЖЕЛЕЗОБЕТОННЫЙ ЗАВОД МОСТЫ И ТРУБЫ"</t>
  </si>
  <si>
    <t>3663136347</t>
  </si>
  <si>
    <t>394028, ВОРОНЕЖСКАЯ ОБЛ, ВОРОНЕЖ Г, ЧЕРЕПАНОВА УЛ, ДОМ 1, ОФИС 27</t>
  </si>
  <si>
    <t>Соколов Игорь Александрович</t>
  </si>
  <si>
    <t>+7 (473) 275-23-45'</t>
  </si>
  <si>
    <t>most@mail.ru', 'voskresenskaya@zhbi-voronezh'</t>
  </si>
  <si>
    <t>51.635281,39.265235</t>
  </si>
  <si>
    <t>ОБЩЕСТВО С ОГРАНИЧЕННОЙ ОТВЕТСТВЕННОСТЬЮ "АРТ ДЕ ТАР"</t>
  </si>
  <si>
    <t>"АРТ ДЕ ТАР"</t>
  </si>
  <si>
    <t>3663153286</t>
  </si>
  <si>
    <t>394028, ВОРОНЕЖСКАЯ ОБЛ., Г. Воронеж, ПЕР. ОТЛИЧНИКОВ, Д. 45А,..</t>
  </si>
  <si>
    <t>Черенков Олег Викторович</t>
  </si>
  <si>
    <t>51.693234,39.269987</t>
  </si>
  <si>
    <t>ОБЩЕСТВО С ОГРАНИЧЕННОЙ ОТВЕТСТВЕННОСТЬЮ "ТРУДОВЫЕ РЕЗЕРВЫ"</t>
  </si>
  <si>
    <t>"ТРУДОВЫЕ РЕЗЕРВЫ"</t>
  </si>
  <si>
    <t>3666115271</t>
  </si>
  <si>
    <t>394033, ВОРОНЕЖСКАЯ ОБЛАСТЬ, Г. ВОРОНЕЖ, ПР-КТ ЛЕНИНСКИЙ, Д. 172, ОФИС 22</t>
  </si>
  <si>
    <t>Камбаров Владислав Юрьевич</t>
  </si>
  <si>
    <t>+7 (473) 239-87-92', '+7 (910) 340-96-97'</t>
  </si>
  <si>
    <t>51.636583,39.272233</t>
  </si>
  <si>
    <t>ОБЩЕСТВО С ОГРАНИЧЕННОЙ ОТВЕТСТВЕННОСТЬЮ "СТРОИТЕЛЬНО-ПРОИЗВОДСТВЕННАЯ КОМАНИЯ БЕТОНСТРОЙ"</t>
  </si>
  <si>
    <t>"СТРОИТЕЛЬНО-ПРОИЗВОДСТВЕННАЯ КОМАНИЯ БЕТОНСТРОЙ"</t>
  </si>
  <si>
    <t>3663159320</t>
  </si>
  <si>
    <t>394076, Воронежская область, ГОРОД ВОРОНЕЖ, Г ВОРОНЕЖ, УЛ ТУПОЛЕВА, Д. 27А</t>
  </si>
  <si>
    <t>Таранцов Сергей Александрович</t>
  </si>
  <si>
    <t>BETONST00@MAIL.RU'</t>
  </si>
  <si>
    <t>57.150514,39.280426</t>
  </si>
  <si>
    <t>ОБЩЕСТВО С ОГРАНИЧЕННОЙ ОТВЕТСТВЕННОСТЬЮ "РОСТПЛИТ"</t>
  </si>
  <si>
    <t>"РОСТПЛИТ"</t>
  </si>
  <si>
    <t>7609026978</t>
  </si>
  <si>
    <t>http://ростплит.рф</t>
  </si>
  <si>
    <t>152124, ЯРОСЛАВСКАЯ ОБЛ., Р-Н Ростовский, С. Шурскол, УЛ. СЕЛЬСКАЯ, Д. 18, ОФИС 101</t>
  </si>
  <si>
    <t>Ельников Денис Сергеевич</t>
  </si>
  <si>
    <t>+7 (962) 206-98-58'</t>
  </si>
  <si>
    <t>rostplit@mail.ru'</t>
  </si>
  <si>
    <t>51.65217,39.280866</t>
  </si>
  <si>
    <t>ОБЩЕСТВО С ОГРАНИЧЕННОЙ ОТВЕТСТВЕННОСТЬЮ "ЗАВОД АРБЕТ"</t>
  </si>
  <si>
    <t>"ЗАВОД АРБЕТ"</t>
  </si>
  <si>
    <t>3663062945</t>
  </si>
  <si>
    <t>http://zavodarbet.ru</t>
  </si>
  <si>
    <t>394028, ВОРОНЕЖСКАЯ ОБЛ, ВОРОНЕЖ Г, БАЗОВАЯ УЛ, 13</t>
  </si>
  <si>
    <t>Швецов Валерий Николаевич</t>
  </si>
  <si>
    <t>+7 (473) 262-22-90', '+7 (473) 244-34-15', '+7 (473) 244-34-43', '+7 (473) 244-34-13'</t>
  </si>
  <si>
    <t>51.646929,39.285708</t>
  </si>
  <si>
    <t>ОБЩЕСТВО С ОГРАНИЧЕННОЙ ОТВЕТСТВЕННОСТЬЮ "ВОРОНЕЖСТРОЙДЕТАЛЬ - 1"</t>
  </si>
  <si>
    <t>"ВОРОНЕЖСТРОЙДЕТАЛЬ - 1"</t>
  </si>
  <si>
    <t>3663071530</t>
  </si>
  <si>
    <t>394028, ВОРОНЕЖСКАЯ ОБЛАСТЬ, Г. ВОРОНЕЖ, ПР-Д МОНТАЖНЫЙ, Д.3 "З", ОФИС 1</t>
  </si>
  <si>
    <t>Куприянов Дмитрий Сергеевич</t>
  </si>
  <si>
    <t>+7 (473) 247-56-02', '+7 (473) 247-56-87', '+7 (473) 247-57-59', '+7 (915) 547-87-28'</t>
  </si>
  <si>
    <t>51.902942,39.286157</t>
  </si>
  <si>
    <t>ОБЩЕСТВО С ОГРАНИЧЕННОЙ ОТВЕТСТВЕННОСТЬЮ "БЕТОН 36"</t>
  </si>
  <si>
    <t>"БЕТОН 36"</t>
  </si>
  <si>
    <t>3625015616</t>
  </si>
  <si>
    <t>396002, ВОРОНЕЖСКАЯ ОБЛ, РАМОНСКИЙ Р-Н, АЙДАРОВО С, ПРОМЫШЛЕННАЯ ЗОНА 2 ТЕР, ДОМ 34, ОФИС 1</t>
  </si>
  <si>
    <t>Дроздов Сергей Викторович</t>
  </si>
  <si>
    <t>+7 (920) 211-64-18'</t>
  </si>
  <si>
    <t>51.713177,39.291358</t>
  </si>
  <si>
    <t>ОБЩЕСТВО С ОГРАНИЧЕННОЙ ОТВЕТСТВЕННОСТЬЮ "ЖБТЕХ"</t>
  </si>
  <si>
    <t>"ЖБТЕХ"</t>
  </si>
  <si>
    <t>3661086683</t>
  </si>
  <si>
    <t>394033, ВОРОНЕЖСКАЯ ОБЛАСТЬ, ГОРОД ВОРОНЕЖ, УЛИЦА ЗЕМЛЯЧКИ, ДОМ 19, ПОМЕЩЕНИЕ НЕЖИЛОЕ, ОФИС 108</t>
  </si>
  <si>
    <t>Закарая Рамин Георгиевич</t>
  </si>
  <si>
    <t>+7 (473) 207-09-16'</t>
  </si>
  <si>
    <t>zhbtex@bk.ru', 'kbm@mail.ru'</t>
  </si>
  <si>
    <t>51.682681,39.295958</t>
  </si>
  <si>
    <t>ОБЩЕСТВО С ОГРАНИЧЕННОЙ ОТВЕТСТВЕННОСТЬЮ "М4-ДОН"</t>
  </si>
  <si>
    <t>"М4-ДОН"</t>
  </si>
  <si>
    <t>3661178768</t>
  </si>
  <si>
    <t>394033, Воронежская область, ГОРОД ВОРОНЕЖ, Г ВОРОНЕЖ, УЛ ОСТУЖЕВА, Д. 43В</t>
  </si>
  <si>
    <t>Пантелеев Антон Сергеевич</t>
  </si>
  <si>
    <t>4DON@YANDEX.RU'</t>
  </si>
  <si>
    <t>51.675818,39.315343</t>
  </si>
  <si>
    <t>3616024653</t>
  </si>
  <si>
    <t>396336, Воронежская область, муниципальный район НОВОУСМАНСКИЙ, П ОТРАДНОЕ, сельское поселение ОТРАДНЕНСКОЕ, ПЕР ВЫКРЕСТОВСКИЙ, Д. 5,</t>
  </si>
  <si>
    <t>Болтнев Олег Владимирович</t>
  </si>
  <si>
    <t>51.677672,39.317688</t>
  </si>
  <si>
    <t>ОБЩЕСТВО С ОГРАНИЧЕННОЙ ОТВЕТСТВЕННОСТЬЮ "ГРУЗЛАЙН"</t>
  </si>
  <si>
    <t>"ГРУЗЛАЙН"</t>
  </si>
  <si>
    <t>3616024822</t>
  </si>
  <si>
    <t>396336, ВОРОНЕЖСКАЯ ОБЛ., Р-Н Новоусманский, ПОС. Отрадное, УЛ. ПРИДОРОЖНАЯ, Д. 28А, ОФИС 41А</t>
  </si>
  <si>
    <t>47.07605,39.320509</t>
  </si>
  <si>
    <t>ОБЩЕСТВО С ОГРАНИЧЕННОЙ ОТВЕТСТВЕННОСТЬЮ "ЛИДЕР-СТРОЙ"</t>
  </si>
  <si>
    <t>"ЛИДЕР-СТРОЙ"</t>
  </si>
  <si>
    <t>6101000551</t>
  </si>
  <si>
    <t>346770, Ростовская область, муниципальный район АЗОВСКИЙ, Село КАГАЛЬНИК, сельское поселение КАГАЛЬНИЦКОЕ, УЛ СОВЕТСКАЯ, Д. 50Д, ОФИС 1</t>
  </si>
  <si>
    <t>Кошуба Константин Юрьевич</t>
  </si>
  <si>
    <t>+7 (989) 705-15-05'</t>
  </si>
  <si>
    <t>2105476@mail.ru'</t>
  </si>
  <si>
    <t>45.067786,39.327596</t>
  </si>
  <si>
    <t>ОБЩЕСТВО С ОГРАНИЧЕННОЙ ОТВЕТСТВЕННОСТЬЮ "ТУРЕЛЬ"</t>
  </si>
  <si>
    <t>"ТУРЕЛЬ"</t>
  </si>
  <si>
    <t>2312227970</t>
  </si>
  <si>
    <t>350909, КРАСНОДАРСКИЙ КРАЙ, ГОРОД КРАСНОДАР, СТАНИЦА СТАРОКОРСУНСКАЯ, УЛИЦА СЕВЕРНАЯ, ДОМ 65/3</t>
  </si>
  <si>
    <t>Ильин Виктор Вильевич</t>
  </si>
  <si>
    <t>+7 (918) 441-60-28'</t>
  </si>
  <si>
    <t>51.627638,39.384073</t>
  </si>
  <si>
    <t>ОБЩЕСТВО С ОГРАНИЧЕННОЙ ОТВЕТСТВЕННОСТЬЮ "НОВОПЛИТ"</t>
  </si>
  <si>
    <t>"НОВОПЛИТ"</t>
  </si>
  <si>
    <t>3616026548</t>
  </si>
  <si>
    <t>396310, Воронежская область, муниципальный район НОВОУСМАНСКИЙ, Село НОВАЯ УСМАНЬ, сельское поселение УСМАНСКОЕ 2-Е, УЛ КОММУНАРСКАЯ, Д. 299,</t>
  </si>
  <si>
    <t>Шагинян Вааг Темури</t>
  </si>
  <si>
    <t>56.310498,39.388754</t>
  </si>
  <si>
    <t>ОБЩЕСТВО С ОГРАНИЧЕННОЙ ОТВЕТСТВЕННОСТЬЮ "КОЛЬЧУГИНСКИЙ ЗАВОД ЖЕЛЕЗОБЕТОННЫХ ИЗДЕЛИЙ"</t>
  </si>
  <si>
    <t>"КОЛЬЧУГИНСКИЙ ЗАВОД ЖЕЛЕЗОБЕТОННЫХ ИЗДЕЛИЙ"</t>
  </si>
  <si>
    <t>3327132138</t>
  </si>
  <si>
    <t>601781, ВЛАДИМИРСКАЯ ОБЛАСТЬ, РАЙОН КОЛЬЧУГИНСКИЙ, ГОРОД КОЛЬЧУГИНО, УЛИЦА ПОСЕЛОК ЛЕСОСПЛАВА, ДОМ 27</t>
  </si>
  <si>
    <t>Зюлькарнеев Ринат Рамисович</t>
  </si>
  <si>
    <t>+7 (927) 642-38-77'</t>
  </si>
  <si>
    <t>56.306897,39.40133</t>
  </si>
  <si>
    <t>ОБЩЕСТВО С ОГРАНИЧЕННОЙ ОТВЕТСТВЕННОСТЬЮ "КОМБИНАТ БЕТОННЫХ КОНСТРУКЦИЙ 33"</t>
  </si>
  <si>
    <t>"КОМБИНАТ БЕТОННЫХ КОНСТРУКЦИЙ 33"</t>
  </si>
  <si>
    <t>3306019822</t>
  </si>
  <si>
    <t>601781, ВЛАДИМИРСКАЯ ОБЛ., Кольчугинский Р-Н, Г. Кольчугино, УЛ. СОВЕТСКАЯ, Д. 66, ПОМЕЩ. 1</t>
  </si>
  <si>
    <t>Уланов Иван Юрьевич</t>
  </si>
  <si>
    <t>51.611931,39.402417</t>
  </si>
  <si>
    <t>ОБЩЕСТВО С ОГРАНИЧЕННОЙ ОТВЕТСТВЕННОСТЬЮ "ЯРУС"</t>
  </si>
  <si>
    <t>"ЯРУС"</t>
  </si>
  <si>
    <t>3616021853</t>
  </si>
  <si>
    <t>396311, ВОРОНЕЖСКАЯ ОБЛАСТЬ, РАЙОН НОВОУСМАНСКИЙ, СЕЛО НОВАЯ УСМАНЬ, УЛИЦА АЛЕКСЕЕВСКОГО, ДОМ 70А, ОФИС 11</t>
  </si>
  <si>
    <t>Межов Сергей Васильевич</t>
  </si>
  <si>
    <t>+7 (903) 852-38-31'</t>
  </si>
  <si>
    <t>51.325797,39.40486</t>
  </si>
  <si>
    <t>ОБЩЕСТВО С ОГРАНИЧЕННОЙ ОТВЕТСТВЕННОСТЬЮ "ТЕХНОСЕРВИС"</t>
  </si>
  <si>
    <t>"ТЕХНОСЕРВИС"</t>
  </si>
  <si>
    <t>3613005010</t>
  </si>
  <si>
    <t>396360, ВОРОНЕЖСКАЯ ОБЛАСТЬ, РАЙОН КАШИРСКИЙ, СЕЛО ЛЕВАЯ РОССОШЬ, ПРОСПЕКТ РЕВОЛЮЦИИ, ДОМ 90</t>
  </si>
  <si>
    <t>Даллакян Тархан Иванович</t>
  </si>
  <si>
    <t>+7 (473) 333-53-30'</t>
  </si>
  <si>
    <t>46.310731,39.414904</t>
  </si>
  <si>
    <t>ОБЩЕСТВО С ОГРАНИЧЕННОЙ ОТВЕТСТВЕННОСТЬЮ "ДАУРИЯ - СТРОЙНОВАЦИЯ"</t>
  </si>
  <si>
    <t>"ДАУРИЯ - СТРОЙНОВАЦИЯ"</t>
  </si>
  <si>
    <t>2341011944</t>
  </si>
  <si>
    <t>КРАСНОДАРСКИЙ КРАЙ,ЛЕНИНГРАДСКИЙ Р-Н,СТ-ЦА ЛЕНИНГРАДСКАЯ,УЛ МИРА, Д 75</t>
  </si>
  <si>
    <t>Лоренц Евгений Александрович</t>
  </si>
  <si>
    <t>45.119142,39.416341</t>
  </si>
  <si>
    <t>ОБЩЕСТВО С ОГРАНИЧЕННОЙ ОТВЕТСТВЕННОСТЬЮ "КОМБИНАТ БЕТОННЫХ КОНСТРУКЦИЙ-ЮГ"</t>
  </si>
  <si>
    <t>"КОМБИНАТ БЕТОННЫХ КОНСТРУКЦИЙ-ЮГ"</t>
  </si>
  <si>
    <t>2311280509</t>
  </si>
  <si>
    <t>353225, КРАСНОДАРСКИЙ КРАЙ, РАЙОН ДИНСКОЙ, СТАНИЦА ВАСЮРИНСКАЯ, УЛИЦА СТАВСКОГО, ДОМ 30, ПОМЕЩЕНИЕ 3</t>
  </si>
  <si>
    <t>Анохин Илья Игоревич</t>
  </si>
  <si>
    <t>+7 (961) 136-43-29'</t>
  </si>
  <si>
    <t>52.585004,39.457843</t>
  </si>
  <si>
    <t>ОБЩЕСТВО С ОГРАНИЧЕННОЙ ОТВЕТСТВЕННОСТЬЮ "АЛЬЯНС 48"</t>
  </si>
  <si>
    <t>"АЛЬЯНС 48"</t>
  </si>
  <si>
    <t>4826146770</t>
  </si>
  <si>
    <t>398902, ЛИПЕЦКАЯ ОБЛ., Г. Липецк, УЛ. ЮНОШЕСКАЯ, Д. 43, ПОМЕЩ. 8</t>
  </si>
  <si>
    <t>Мозгунов Никита Владимирович</t>
  </si>
  <si>
    <t>LIPETSK@RAMBLER.RU'</t>
  </si>
  <si>
    <t>52.880003,39.472971</t>
  </si>
  <si>
    <t>ОБЩЕСТВО С ОГРАНИЧЕННОЙ ОТВЕТСТВЕННОСТЬЮ АРГО-Л"</t>
  </si>
  <si>
    <t>АРГО-Л"</t>
  </si>
  <si>
    <t>4805016963</t>
  </si>
  <si>
    <t>399155, ЛИПЕЦКАЯ ОБЛАСТЬ, ДОБРОВСКИЙ РАЙОН, СЕЛО ПОРОЙ, УЛИЦА СЕЛЬСКАЯ, ДОМ 35А, ОФИС 2</t>
  </si>
  <si>
    <t>Калдин Александр Сергеевич</t>
  </si>
  <si>
    <t>52.578618,39.480741</t>
  </si>
  <si>
    <t>ОБЩЕСТВО С ОГРАНИЧЕННОЙ ОТВЕТСТВЕННОСТЬЮ "СТРОЙПРО"</t>
  </si>
  <si>
    <t>"СТРОЙПРО"</t>
  </si>
  <si>
    <t>4826154675</t>
  </si>
  <si>
    <t>398902, Липецкая область, ГОРОД ЛИПЕЦК, Г ЛИПЕЦК, УЛ БАЗАРНАЯ, СТР. 3Б</t>
  </si>
  <si>
    <t>Анистратенко Максим Андреевич</t>
  </si>
  <si>
    <t>GENERAL@GMAIL.COM'</t>
  </si>
  <si>
    <t>52.589452,39.490416</t>
  </si>
  <si>
    <t>ОБЩЕСТВО С ОГРАНИЧЕННОЙ ОТВЕТСТВЕННОСТЬЮ "КРАФТБЕТОН"</t>
  </si>
  <si>
    <t>"КРАФТБЕТОН"</t>
  </si>
  <si>
    <t>4823028016</t>
  </si>
  <si>
    <t>http://kraftbeton.ru</t>
  </si>
  <si>
    <t>398042, ЛИПЕЦКАЯ ОБЛАСТЬ, ГОРОД ЛИПЕЦК, УЛИЦА МОСКОВСКАЯ, 40, А</t>
  </si>
  <si>
    <t>Быков Игорь Иванович</t>
  </si>
  <si>
    <t>52.59077,39.495959</t>
  </si>
  <si>
    <t>ОБЩЕСТВО С ОГРАНИЧЕННОЙ ОТВЕТСТВЕННОСТЬЮ ПРОИЗВОДСТВЕННАЯ ГРУППА "ДИМ"</t>
  </si>
  <si>
    <t>ПРОИЗВОДСТВЕННАЯ ГРУППА "ДИМ"</t>
  </si>
  <si>
    <t>4827000526</t>
  </si>
  <si>
    <t>398042, Липецкая область, ГОРОД ЛИПЕЦК, Г ЛИПЕЦК, УЛ МОСКОВСКАЯ, Д. 38А</t>
  </si>
  <si>
    <t>Шаробаров Сергей Владимирович</t>
  </si>
  <si>
    <t>52.602602,39.508984</t>
  </si>
  <si>
    <t>ОБЩЕСТВО С ОГРАНИЧЕННОЙ ОТВЕТСТВЕННОСТЬЮ "РЕМ ЖЕЛЕЗОБЕТОННЫЕ ИЗДЕЛИЯ"</t>
  </si>
  <si>
    <t>"РЕМ ЖЕЛЕЗОБЕТОННЫЕ ИЗДЕЛИЯ"</t>
  </si>
  <si>
    <t>4826147244</t>
  </si>
  <si>
    <t>398070, ЛИПЕЦКАЯ ОБЛ., Г. Липецк, УЛ. БЕХТЕЕВА С.С., Д. 5, ПОМЕЩ. 1.5</t>
  </si>
  <si>
    <t>Щербаков Владимир Владимирович</t>
  </si>
  <si>
    <t>52.585184,39.509981</t>
  </si>
  <si>
    <t>ОБЩЕСТВО С ОГРАНИЧЕННОЙ ОТВЕТСТВЕННОСТЬЮ "ЛИПЕЦКАЯ ЖЕЛЕЗОБЕТОННАЯ КОМПАНИЯ"</t>
  </si>
  <si>
    <t>"ЛИПЕЦКАЯ ЖЕЛЕЗОБЕТОННАЯ КОМПАНИЯ"</t>
  </si>
  <si>
    <t>4824095431</t>
  </si>
  <si>
    <t>398027, ЛИПЕЦКАЯ ОБЛАСТЬ, ГОРОД ЛИПЕЦК, УЛИЦА ИМЕНИ ХОРОШАВИНА А.И., ДОМ 21, ПОМЕЩЕНИЕ 3</t>
  </si>
  <si>
    <t>Карибов Ивтихар Гияс Оглы</t>
  </si>
  <si>
    <t>+7 (910) 742-33-80'</t>
  </si>
  <si>
    <t>vin1965vin@yavdex.ru'</t>
  </si>
  <si>
    <t>47.276224,39.513539</t>
  </si>
  <si>
    <t>ОБЩЕСТВО С ОГРАНИЧЕННОЙ ОТВЕТСТВЕННОСТЬЮ "ПЕТРОВСКИЙ ЗАВОД ЖБИ"</t>
  </si>
  <si>
    <t>6122019472</t>
  </si>
  <si>
    <t>346800, РОСТОВСКАЯ ОБЛ, МЯСНИКОВСКИЙ Р-Н, ЧАЛТЫРЬ С, РОСТОВСКАЯ УЛ, ДОМ 53, ЛИТЕР А, ОФИС 1</t>
  </si>
  <si>
    <t>Быченкова Людмила Васильевна</t>
  </si>
  <si>
    <t>+7 (999) 697-94-49'</t>
  </si>
  <si>
    <t>52.58479,39.52059</t>
  </si>
  <si>
    <t>ОБЩЕСТВО С ОГРАНИЧЕННОЙ ОТВЕТСТВЕННОСТЬЮ "ОБКОМ-48"</t>
  </si>
  <si>
    <t>"ОБКОМ-48"</t>
  </si>
  <si>
    <t>4824090539</t>
  </si>
  <si>
    <t>398004, ЛИПЕЦКАЯ ОБЛАСТЬ, Г. ЛИПЕЦК, УЛ. КАТУКОВА, Д. 23, ПОМЕЩ. 9</t>
  </si>
  <si>
    <t>Канунцев Юрий Эдуардович</t>
  </si>
  <si>
    <t>52.613168,39.525109</t>
  </si>
  <si>
    <t>ОБЩЕСТВО С ОГРАНИЧЕННОЙ ОТВЕТСТВЕННОСТЬЮ "БАЗАЛЬТ"</t>
  </si>
  <si>
    <t>"БАЗАЛЬТ"</t>
  </si>
  <si>
    <t>4825133390</t>
  </si>
  <si>
    <t>398032, ЛИПЕЦКАЯ ОБЛАСТЬ, Г. ЛИПЕЦК, ПР-Д УНИВЕРСАЛЬНЫЙ, ВЛД 14А, ПОМЕЩ. 7</t>
  </si>
  <si>
    <t>Фролова Лидия Михайловна</t>
  </si>
  <si>
    <t>16@mail.ru', '234060@bk.ru'</t>
  </si>
  <si>
    <t>52.587816,39.528136</t>
  </si>
  <si>
    <t>ОБЩЕСТВО С ОГРАНИЧЕННОЙ ОТВЕТСТВЕННОСТЬЮ "БЕТОНИТ"</t>
  </si>
  <si>
    <t>"БЕТОНИТ"</t>
  </si>
  <si>
    <t>4824092430</t>
  </si>
  <si>
    <t>398036, ЛИПЕЦКАЯ ОБЛАСТЬ, ГОРОД ЛИПЕЦК, ПРОСПЕКТ ИМЕНИ 60-ЛЕТИЯ СССР, ДОМ 31,..</t>
  </si>
  <si>
    <t>Ивашкин Александр Николаевич</t>
  </si>
  <si>
    <t>+7 (961) 600-56-84'</t>
  </si>
  <si>
    <t>57.276889,39.535952</t>
  </si>
  <si>
    <t>7609029680</t>
  </si>
  <si>
    <t>152101, ЯРОСЛАВСКАЯ ОБЛАСТЬ, РАЙОН РОСТОВСКИЙ, РАБОЧИЙ ПОСЕЛОК СЕМИБРАТОВО, УЛИЦА ВОСТОЧНАЯ, ДОМ 13</t>
  </si>
  <si>
    <t>Фисенко Александр Николаевич</t>
  </si>
  <si>
    <t>+7 (980) 652-55-55'</t>
  </si>
  <si>
    <t>45.190705,39.539266</t>
  </si>
  <si>
    <t>ОБЩЕСТВО С ОГРАНИЧЕННОЙ ОТВЕТСТВЕННОСТЬЮ "НГС-ЮГ"</t>
  </si>
  <si>
    <t>"НГС-ЮГ"</t>
  </si>
  <si>
    <t>2373014384</t>
  </si>
  <si>
    <t>352325, КРАСНОДАРСКИЙ КРАЙ, Р-Н УСТЬ-ЛАБИНСКИЙ, СТ-ЦА ВОРОНЕЖСКАЯ, УЛ. КРАСНАЯ, Д. 1А</t>
  </si>
  <si>
    <t>Куценко Петр Владимирович</t>
  </si>
  <si>
    <t>+7 (861) 353-83-56'</t>
  </si>
  <si>
    <t>2017@bk.ru', '2013@mail.ru'</t>
  </si>
  <si>
    <t>47.168403,39.548726</t>
  </si>
  <si>
    <t>ОБЩЕСТВО С ОГРАНИЧЕННОЙ ОТВЕТСТВЕННОСТЬЮ «АКРИЛ МРАМОРНАЯ КРОШКА ДОН»</t>
  </si>
  <si>
    <t>«АКРИЛ МРАМОРНАЯ КРОШКА ДОН»</t>
  </si>
  <si>
    <t>6162084982</t>
  </si>
  <si>
    <t>344033, РОСТОВСКАЯ ОБЛАСТЬ, ГОРОД РОСТОВ-НА-ДОНУ, УЛИЦА КУМЖЕНСКАЯ, ДОМ 62А, ЛИТЕР/ЭТАЖ Д/1, КОМНАТА 2</t>
  </si>
  <si>
    <t>Черный Геннадий Владиславович</t>
  </si>
  <si>
    <t>52.606152,39.558248</t>
  </si>
  <si>
    <t>ОБЩЕСТВО С ОГРАНИЧЕННОЙ ОТВЕТСТВЕННОСТЬЮ ТОРГОВЫЙ ДОМ "БЕТОНПЛЮС"</t>
  </si>
  <si>
    <t>"БЕТОНПЛЮС"</t>
  </si>
  <si>
    <t>4824101491</t>
  </si>
  <si>
    <t>398024, ЛИПЕЦКАЯ ОБЛ., Г. Липецк, ПР-Д ГЕРОЯ СОВЕТСКОГО СОЮЗА Е.ПОТАПОВА, ВЛД. 18, ПОМЕЩ. 3</t>
  </si>
  <si>
    <t>Ларина Наталья Васильевна</t>
  </si>
  <si>
    <t>BETONPLYUS@BK.RU'</t>
  </si>
  <si>
    <t>52.604177,39.561545</t>
  </si>
  <si>
    <t>ОБЩЕСТВО С ОГРАНИЧЕННОЙ ОТВЕТСТВЕННОСТЬЮ "ФОРМАТ"</t>
  </si>
  <si>
    <t>"ФОРМАТ"</t>
  </si>
  <si>
    <t>4824097686</t>
  </si>
  <si>
    <t>398024, ЛИПЕЦКАЯ ОБЛАСТЬ, ГОРОД ЛИПЕЦК, УЛИЦА УРОЖАЙНАЯ, ДОМ 11</t>
  </si>
  <si>
    <t>Черников Владимир Викторович</t>
  </si>
  <si>
    <t>+7 (915) 556-90-07'</t>
  </si>
  <si>
    <t>52.61191,39.563925</t>
  </si>
  <si>
    <t>ОБЩЕСТВО С ОГРАНИЧЕННОЙ ОТВЕТСТВЕННОСТЬЮ "3Д-СТРОЙ48"</t>
  </si>
  <si>
    <t>"3Д-СТРОЙ48"</t>
  </si>
  <si>
    <t>4826139290</t>
  </si>
  <si>
    <t>398043, ЛИПЕЦКАЯ ОБЛАСТЬ, ГОРОД ЛИПЕЦК, УЛИЦА ЦИОЛКОВСКОГО, ДОМ 29Б, ПОМЕЩЕНИЕ 3</t>
  </si>
  <si>
    <t>Семенов Владимир Валериевич</t>
  </si>
  <si>
    <t>elena49int@mail.ru'</t>
  </si>
  <si>
    <t>47.223681,39.569495</t>
  </si>
  <si>
    <t>ОБЩЕСТВО С ОГРАНИЧЕННОЙ ОТВЕТСТВЕННОСТЬЮ "ПРОИЗВОДСТВЕННО-СТРОИТЕЛЬНАЯ КОМПАНИЯ "ПЕНОБЕТОН-ТОРНАДО"</t>
  </si>
  <si>
    <t>"ПРОИЗВОДСТВЕННО-СТРОИТЕЛЬНАЯ КОМПАНИЯ "ПЕНОБЕТОН-ТОРНАДО"</t>
  </si>
  <si>
    <t>6168114707</t>
  </si>
  <si>
    <t>344055, РОСТОВСКАЯ ОБЛ., Г. Ростов-на-Дону, УЛ. СОВХОЗНАЯ, ЗД. 2П, ОФИС 22</t>
  </si>
  <si>
    <t>Батурин Александр Борисович</t>
  </si>
  <si>
    <t>47.214213,39.573771</t>
  </si>
  <si>
    <t>ОБЩЕСТВО С ОГРАНИЧЕННОЙ ОТВЕТСТВЕННОСТЬЮ "ЛЕВЕНЦОВСКОЕ"</t>
  </si>
  <si>
    <t>"ЛЕВЕНЦОВСКОЕ"</t>
  </si>
  <si>
    <t>6168017647</t>
  </si>
  <si>
    <t>344055, РОСТОВСКАЯ ОБЛАСТЬ, Г. РОСТОВ-НА-ДОНУ, УЛ. 30-ЛЕТИЯ ОКТЯБРЯ, Д.288А</t>
  </si>
  <si>
    <t>Перцев Михаил Андреевич</t>
  </si>
  <si>
    <t>+7 (863) 266-25-89', '+7 (863) 222-66-71', '+7 (903) 401-59-87', '+7 (863) 222-66-71'</t>
  </si>
  <si>
    <t>47.242166,39.578595</t>
  </si>
  <si>
    <t>ОБЩЕСТВО С ОГРАНИЧЕННОЙ ОТВЕТСТВЕННОСТЬЮ "КОМБИНАТ СТРОИТЕЛЬНЫХ МАТЕРИАЛОВ-14 ПЛЮС"</t>
  </si>
  <si>
    <t>"КОМБИНАТ СТРОИТЕЛЬНЫХ МАТЕРИАЛОВ-14 ПЛЮС"</t>
  </si>
  <si>
    <t>6168020953</t>
  </si>
  <si>
    <t>344103, РОСТОВСКАЯ ОБЛАСТЬ, ГОРОД РОСТОВ-НА-ДОНУ, УЛИЦА ДОВАТОРА, 164/1</t>
  </si>
  <si>
    <t>Ивченко Михаил Валерьевич</t>
  </si>
  <si>
    <t>52.618532,39.579735</t>
  </si>
  <si>
    <t>ОБЩЕСТВО С ОГРАНИЧЕННОЙ ОТВЕТСТВЕННОСТЬЮ "РЕГИОНСТРОЙРЕСУРС"</t>
  </si>
  <si>
    <t>"РЕГИОНСТРОЙРЕСУРС"</t>
  </si>
  <si>
    <t>4826135866</t>
  </si>
  <si>
    <t>398016, ЛИПЕЦКАЯ ОБЛАСТЬ, Г. ЛИПЕЦК, УЛ. КОСМОНАВТОВ, Д. 6, ОФИС 101</t>
  </si>
  <si>
    <t>Пономарчук Вадим Викторович</t>
  </si>
  <si>
    <t>+7 (903) 643-55-43'</t>
  </si>
  <si>
    <t>popova@newteletech.ru', 'regionstroyresurs48@yandex.ru', 'newteletech@yandex.ru'</t>
  </si>
  <si>
    <t>52.605993,39.589563</t>
  </si>
  <si>
    <t>ОБЩЕСТВО С ОГРАНИЧЕННОЙ ОТВЕТСТВЕННОСТЬЮ "РИСТЭМстрой"</t>
  </si>
  <si>
    <t>"РИСТЭМстрой"</t>
  </si>
  <si>
    <t>4823052756</t>
  </si>
  <si>
    <t>398001, Липецкая область, Город ЛИПЕЦК, УЛ Л.ТОЛСТОГО, Д. 28, ПОМЕЩ. 2</t>
  </si>
  <si>
    <t>Батищев Роман Сергеевич</t>
  </si>
  <si>
    <t>+7 (906) 593-67-59', '+7 (962) 352-73-40', '+7 (920) 524-65-24'</t>
  </si>
  <si>
    <t>47.238226,39.599454</t>
  </si>
  <si>
    <t>ОБЩЕСТВО С ОГРАНИЧЕННОЙ ОТВЕТСТВЕННОСТЬЮ «МЕРИДИАН-СТРОЙ»</t>
  </si>
  <si>
    <t>«МЕРИДИАН-СТРОЙ»</t>
  </si>
  <si>
    <t>6168110163</t>
  </si>
  <si>
    <t>344041, РОСТОВСКАЯ ОБЛАСТЬ, ГОРОД РОСТОВ-НА-ДОНУ, УЛИЦА ДОВАТОРА, ДОМ 148, ОФИС 424Г</t>
  </si>
  <si>
    <t>Смирнов Денис Викторович</t>
  </si>
  <si>
    <t>52.541275,39.600909</t>
  </si>
  <si>
    <t>ОБЩЕСТВО С ОГРАНИЧЕННОЙ ОТВЕТСТВЕННОСТЬЮ "МЕТАЛЛУРГРЕМСТРОЙ-ЖБИ"</t>
  </si>
  <si>
    <t>"МЕТАЛЛУРГРЕМСТРОЙ-ЖБИ"</t>
  </si>
  <si>
    <t>4824014062</t>
  </si>
  <si>
    <t>http://rs-gbi.ru</t>
  </si>
  <si>
    <t>Г ЛИПЕЦК,УЛ ВОЛГОГРАДСКАЯ, 35</t>
  </si>
  <si>
    <t>Ненахов Дмитрий Александрович</t>
  </si>
  <si>
    <t>ОБЩЕСТВО С ОГРАНИЧЕННОЙ ОТВЕТСТВЕННОСТЬЮ "РЕМСТРОЙ-ЖБИ"</t>
  </si>
  <si>
    <t>"РЕМСТРОЙ-ЖБИ"</t>
  </si>
  <si>
    <t>4824039204</t>
  </si>
  <si>
    <t>398006, ЛИПЕЦКАЯ ОБЛАСТЬ, ГОРОД ЛИПЕЦК, УЛИЦА ВОЛГОГРАДСКАЯ, 35, Г</t>
  </si>
  <si>
    <t>Чудин Роман Николаевич</t>
  </si>
  <si>
    <t>54.690652,39.60222</t>
  </si>
  <si>
    <t>ОБЩЕСТВО С ОГРАНИЧЕННОЙ ОТВЕТСТВЕННОСТЬЮ "АРПАЙП-КОМПОЗИТ"</t>
  </si>
  <si>
    <t>"АРПАЙП-КОМПОЗИТ"</t>
  </si>
  <si>
    <t>6229083914</t>
  </si>
  <si>
    <t>390028, РЯЗАНСКАЯ ОБЛАСТЬ, ГОРОД РЯЗАНЬ, УЛИЦА ПРИЖЕЛЕЗНОДОРОЖНАЯ, ДОМ 42, ЛИТЕРА А</t>
  </si>
  <si>
    <t>Зайцев Олег Владимирович</t>
  </si>
  <si>
    <t>+7 (930) 875-00-02'</t>
  </si>
  <si>
    <t>52.569051,39.602544</t>
  </si>
  <si>
    <t>ОБЩЕСТВО С ОГРАНИЧЕННОЙ ОТВЕТСТВЕННОСТЬЮ "НАУЧНО ПРОИЗВОДСТВЕННОЕ ПРЕДПРИЯТИЕ "СИНТЕЗ Л"</t>
  </si>
  <si>
    <t>"НАУЧНО ПРОИЗВОДСТВЕННОЕ ПРЕДПРИЯТИЕ "СИНТЕЗ Л"</t>
  </si>
  <si>
    <t>4823077302</t>
  </si>
  <si>
    <t>398017, ЛИПЕЦКАЯ ОБЛАСТЬ, ГОРОД ЛИПЕЦК, УЛИЦА 9-ГО МАЯ, ВЛАДЕНИЕ 27</t>
  </si>
  <si>
    <t>Ермолаева Лидия Алексеевна</t>
  </si>
  <si>
    <t>+7 (910) 251-58-67', '+7 (900) 989-50-39'</t>
  </si>
  <si>
    <t>52.574026,39.607152</t>
  </si>
  <si>
    <t>ОБЩЕСТВО С ОГРАНИЧЕННОЙ ОТВЕТСТВЕННОСТЬЮ "АЛЬЯНС48-Л"</t>
  </si>
  <si>
    <t>"АЛЬЯНС48-Л"</t>
  </si>
  <si>
    <t>4826108781</t>
  </si>
  <si>
    <t>Г ЛИПЕЦК,УЛ ФЕСТИВАЛЬНАЯ, 10</t>
  </si>
  <si>
    <t>Перов Олег Владимирович</t>
  </si>
  <si>
    <t>52.625316,39.609506</t>
  </si>
  <si>
    <t>ОБЩЕСТВО С ОГРАНИЧЕННОЙ ОТВЕТСТВЕННОСТЬЮ "СТРОЙТЭК"</t>
  </si>
  <si>
    <t>"СТРОЙТЭК"</t>
  </si>
  <si>
    <t>4825140670</t>
  </si>
  <si>
    <t>398020, ЛИПЕЦКАЯ ОБЛ., Г. Липецк, УЛ. ГАЙДАРА, Д. 4, ОФИС 2 ПОМЕЩ. 4</t>
  </si>
  <si>
    <t>Смольянинов Роман Викторович</t>
  </si>
  <si>
    <t>54.682586,39.61185</t>
  </si>
  <si>
    <t>ОБЩЕСТВО С ОГРАНИЧЕННОЙ ОТВЕТСТВЕННОСТЬЮ "СПЕЦДОКСТРОЙ"</t>
  </si>
  <si>
    <t>"СПЕЦДОКСТРОЙ"</t>
  </si>
  <si>
    <t>6229069846</t>
  </si>
  <si>
    <t>390028, РЯЗАНСКАЯ ОБЛАСТЬ, ГОРОД РЯЗАНЬ, УЛИЦА ПРИЖЕЛЕЗНОДОРОЖНАЯ, 28Б</t>
  </si>
  <si>
    <t>Брянцев Филипп Евгеньевич</t>
  </si>
  <si>
    <t>fin@dsk-kolovrat'</t>
  </si>
  <si>
    <t>52.572527,39.614626</t>
  </si>
  <si>
    <t>ОБЩЕСТВО С ОГРАНИЧЕННОЙ ОТВЕТСТВЕННОСТЬЮ "ТОРГОВЫЙ ДОМ "ЯРСТРОЙ"</t>
  </si>
  <si>
    <t>""ЯРСТРОЙ"</t>
  </si>
  <si>
    <t>4823074990</t>
  </si>
  <si>
    <t>398017, ЛИПЕЦКАЯ ОБЛАСТЬ, ГОРОД ЛИПЕЦК, УЛИЦА 9-ГО МАЯ, ДОМ 14А, ПОМЕЩЕНИЕ 10, ОФИС 7</t>
  </si>
  <si>
    <t>Щепетинников Александр Анатольевич</t>
  </si>
  <si>
    <t>+7 (903) 867-44-30'</t>
  </si>
  <si>
    <t>52.616902,39.615075</t>
  </si>
  <si>
    <t>ОБЩЕСТВО С ОГРАНИЧЕННОЙ ОТВЕТСТВЕННОСТЬЮ "ТЕХНОЛОГИИ ЛЁГКОГО СТРОИТЕЛЬСТВА"</t>
  </si>
  <si>
    <t>"ТЕХНОЛОГИИ ЛЁГКОГО СТРОИТЕЛЬСТВА"</t>
  </si>
  <si>
    <t>4824015299</t>
  </si>
  <si>
    <t>Г ЛИПЕЦК,УЛ ЛЕНИНА, 40</t>
  </si>
  <si>
    <t>Кретинин Константин Романович</t>
  </si>
  <si>
    <t>+7 (919) 251-40-46', '+7 (919) 166-74-97'</t>
  </si>
  <si>
    <t>52.571158,39.616369</t>
  </si>
  <si>
    <t>ОБЩЕСТВО С ОГРАНИЧЕННОЙ ОТВЕТСТВЕННОСТЬЮ "МАСТЕРСТРОЙ"</t>
  </si>
  <si>
    <t>"МАСТЕРСТРОЙ"</t>
  </si>
  <si>
    <t>4823034147</t>
  </si>
  <si>
    <t>398017, ЛИПЕЦКАЯ ОБЛ, ЛИПЕЦК Г, 9 МАЯ УЛ, 9</t>
  </si>
  <si>
    <t>Хачатрян Сос Аветисович</t>
  </si>
  <si>
    <t>52.667738,39.617582</t>
  </si>
  <si>
    <t>ОБЩЕСТВО С ОГРАНИЧЕННОЙ ОТВЕТСТВЕННОСТЬЮ "ЗАВОД СТРОИТЕЛЬНЫХ  КОНСТРУКЦИЙ "СТРОЙ-ГРАД"</t>
  </si>
  <si>
    <t>"ЗАВОД СТРОИТЕЛЬНЫХ  КОНСТРУКЦИЙ "СТРОЙ-ГРАД"</t>
  </si>
  <si>
    <t>4825072902</t>
  </si>
  <si>
    <t>Г ЛИПЕЦК,УЛ КОВАЛЕВА, 132</t>
  </si>
  <si>
    <t>Сердюков Дмитрий Юрьевич</t>
  </si>
  <si>
    <t>ОБЩЕСТВО С ОГРАНИЧЕННОЙ ОТВЕТСТВЕННОСТЬЮ "ЗАВОД СТРОИТЕЛЬНЫХ КОНСТРУКЦИЙ "НИКА"</t>
  </si>
  <si>
    <t>"ЗАВОД СТРОИТЕЛЬНЫХ КОНСТРУКЦИЙ "НИКА"</t>
  </si>
  <si>
    <t>4825130390</t>
  </si>
  <si>
    <t>398007, ЛИПЕЦКАЯ ОБЛАСТЬ, ГОРОД ЛИПЕЦК, УЛИЦА КОВАЛЕВА, ВЛАДЕНИЕ 132, ПОМЕЩЕНИЕ 5</t>
  </si>
  <si>
    <t>Руднев Пётр Петрович</t>
  </si>
  <si>
    <t>+7 (950) 804-79-83'</t>
  </si>
  <si>
    <t>54.681243,39.623007</t>
  </si>
  <si>
    <t>ОБЩЕСТВО С ОГРАНИЧЕННОЙ ОТВЕТСТВЕННОСТЬЮ "ЖБИ 1"</t>
  </si>
  <si>
    <t>"ЖБИ 1"</t>
  </si>
  <si>
    <t>6234138848</t>
  </si>
  <si>
    <t>390028, РЯЗАНСКАЯ ОБЛАСТЬ, Г. РЯЗАНЬ, УЛ. ПРОМЫШЛЕННАЯ, Д. 21</t>
  </si>
  <si>
    <t>Гуськов Максим Петрович</t>
  </si>
  <si>
    <t>+7 (960) 577-22-77', '+7 (952) 122-83-68'</t>
  </si>
  <si>
    <t>otdelkranov@yandex.ru'</t>
  </si>
  <si>
    <t>52.652154,39.624049</t>
  </si>
  <si>
    <t>ОБЩЕСТВО С ОГРАНИЧЕННОЙ ОТВЕТСТВЕННОСТЬЮ "БЕТОНПРОФИ"</t>
  </si>
  <si>
    <t>"БЕТОНПРОФИ"</t>
  </si>
  <si>
    <t>4825126763</t>
  </si>
  <si>
    <t>398007, ЛИПЕЦКАЯ ОБЛАСТЬ, ГОРОД ЛИПЕЦК, УЛИЦА КОВАЛЕВА, ВЛАДЕНИЕ 109, КОРПУС Г, ОФИС 1</t>
  </si>
  <si>
    <t>Копылов Игорь Васильевич</t>
  </si>
  <si>
    <t>47.214697,39.627301</t>
  </si>
  <si>
    <t>ОБЩЕСТВО С ОГРАНИЧЕННОЙ ОТВЕТСТВЕННОСТЬЮ «ИНДУСТРИЯ ТЕХНОЛОГИЙ»</t>
  </si>
  <si>
    <t>«ИНДУСТРИЯ ТЕХНОЛОГИЙ»</t>
  </si>
  <si>
    <t>6168094056</t>
  </si>
  <si>
    <t>344091, РОСТОВСКАЯ ОБЛАСТЬ, Г. РОСТОВ-НА-ДОНУ, ПР-КТ СТАЧКИ, Д. 200/2, ЛИТЕР Г, КОМ. 2</t>
  </si>
  <si>
    <t>Мордовина Ирина Викторовна</t>
  </si>
  <si>
    <t>+7 (989) 714-09-57', '+7 (912) 408-20-17', '+7 (978) 213-60-47', '+7 (918) 545-38-29'</t>
  </si>
  <si>
    <t>52.645172,39.630966</t>
  </si>
  <si>
    <t>ОБЩЕСТВО С ОГРАНИЧЕННОЙ ОТВЕТСТВЕННОСТЬЮ "ЖЕЛЕЗОБЕТОН-СПЕЦФУНДАМЕНТСТРОЙ"</t>
  </si>
  <si>
    <t>"ЖЕЛЕЗОБЕТОН-СПЕЦФУНДАМЕНТСТРОЙ"</t>
  </si>
  <si>
    <t>4826085608</t>
  </si>
  <si>
    <t xml:space="preserve"> ЛИПЕЦКАЯ ОБЛ., Г.ЛИПЕЦК, Г.ЛИПЕЦК, КОВАЛЕВА, 101,</t>
  </si>
  <si>
    <t>Ульяшин Денис Евгеньевич</t>
  </si>
  <si>
    <t>47.256351,39.637641</t>
  </si>
  <si>
    <t>ОБЩЕСТВО С ОГРАНИЧЕННОЙ ОТВЕТСТВЕННОСТЬЮ "НЬЮКАМ"</t>
  </si>
  <si>
    <t>"НЬЮКАМ"</t>
  </si>
  <si>
    <t>6165207350</t>
  </si>
  <si>
    <t>344012, РОСТОВСКАЯ ОБЛАСТЬ, ГОРОД РОСТОВ-НА-ДОНУ, УЛИЦА ТАГАНРОГСКАЯ, ДОМ 132/3, ОФИС 1</t>
  </si>
  <si>
    <t>Терещенко Александр Владимирович</t>
  </si>
  <si>
    <t>dmn@newkam.com'</t>
  </si>
  <si>
    <t>54.677386,39.645681</t>
  </si>
  <si>
    <t>ОБЩЕСТВО С ОГРАНИЧЕННОЙ ОТВЕТСТВЕННОСТЬЮ "СТОУНВИЛЬ"</t>
  </si>
  <si>
    <t>"СТОУНВИЛЬ"</t>
  </si>
  <si>
    <t>6229085118</t>
  </si>
  <si>
    <t>390039, РЯЗАНСКАЯ ОБЛ, Г РЯЗАНЬ, УЛ БИРЮЗОВА, Д 1, КОРП 3,..</t>
  </si>
  <si>
    <t>Канунников Михаил Евгеньевич</t>
  </si>
  <si>
    <t>+7 (910) 502-81-88'</t>
  </si>
  <si>
    <t>47.096525,39.650891</t>
  </si>
  <si>
    <t>ОБЩЕСТВО С ОГРАНИЧЕННОЙ ОТВЕТСТВЕННОСТЬЮ «САПФИР»</t>
  </si>
  <si>
    <t>«САПФИР»</t>
  </si>
  <si>
    <t>6101005221</t>
  </si>
  <si>
    <t>346750, РОСТОВСКАЯ ОБЛ., Р-Н Азовский, П. Овощной, УЛ. КРАВЧЕНКО, Д. 38</t>
  </si>
  <si>
    <t>Мирзабеков Нариман Уршибеевич</t>
  </si>
  <si>
    <t>JULIA@AKTIVUA.RU'</t>
  </si>
  <si>
    <t>52.633947,39.651709</t>
  </si>
  <si>
    <t>4825129556</t>
  </si>
  <si>
    <t>398007, ЛИПЕЦКАЯ ОБЛАСТЬ, Г. ЛИПЕЦК, УЛ. КОВАЛЕВА, ЛИТЕР А2, А5, ПОМЕЩЕНИЕ 8, КАБИНЕТ 3</t>
  </si>
  <si>
    <t>Власова Анна Александровна</t>
  </si>
  <si>
    <t>+7 (980) 262-03-59', '+7 (919) 252-30-00', '+7 (905) 043-33-96'</t>
  </si>
  <si>
    <t>43.651519,39.654664</t>
  </si>
  <si>
    <t>ОБЩЕСТВО С ОГРАНИЧЕННОЙ ОТВЕТСТВЕННОСТЬЮ "ВЗЖБИ"</t>
  </si>
  <si>
    <t>"ВЗЖБИ"</t>
  </si>
  <si>
    <t>2318043070</t>
  </si>
  <si>
    <t>354207, КРАСНОДАРСКИЙ КРАЙ, ГОРОД СОЧИ, УЛИЦА ЛЕНИНГРАДСКАЯ (ЛАЗАРЕВСКИЙ Р-Н), ДОМ 32/1, ПОМЕЩЕНИЕ 4-6</t>
  </si>
  <si>
    <t>Пустовалова Валентина Петровна</t>
  </si>
  <si>
    <t>+7 (863) 929-98-99'</t>
  </si>
  <si>
    <t>vzjbi@bk.ru', 'foodservice23@yandex.ru', 'vzjbi@bk.ru'</t>
  </si>
  <si>
    <t>52.575657,39.658311</t>
  </si>
  <si>
    <t>ОБЩЕСТВО С ОГРАНИЧЕННОЙ ОТВЕТСТВЕННОСТЬЮ завод "Стройдеталь"</t>
  </si>
  <si>
    <t>завод "Стройдеталь"</t>
  </si>
  <si>
    <t>4823037532</t>
  </si>
  <si>
    <t>http://beton-48.ru</t>
  </si>
  <si>
    <t>398005, ЛИПЕЦКАЯ ОБЛАСТЬ, ГОРОД ЛИПЕЦК, УЛИЦА АЛМАЗНАЯ, ДОМ 10, КАБИНЕТ 9</t>
  </si>
  <si>
    <t>Кузнецов Максим Александрович</t>
  </si>
  <si>
    <t>ОБЩЕСТВО С ОГРАНИЧЕННОЙ ОТВЕТСТВЕННОСТЬЮ ТОРГОВЫЙ ДОМ "ЛЗСМ"</t>
  </si>
  <si>
    <t>"ЛЗСМ"</t>
  </si>
  <si>
    <t>4823071639</t>
  </si>
  <si>
    <t>398600, ЛИПЕЦКАЯ ОБЛАСТЬ, ГОРОД ЛИПЕЦК, УЛИЦА АЛМАЗНАЯ, ДОМ 10, КАБИНЕТ 6</t>
  </si>
  <si>
    <t>Шабанов Сеймур Алескер Оглы</t>
  </si>
  <si>
    <t>+7 (904) 288-20-83', '+7 (904) 288-20-85'</t>
  </si>
  <si>
    <t>info@stdl.ru', 'td_lzsm@bk.ru'</t>
  </si>
  <si>
    <t>ОБЩЕСТВО С ОГРАНИЧЕННОЙ ОТВЕТСТВЕННОСТЬЮ "СТРОЙДЕТАЛЬ-Л"</t>
  </si>
  <si>
    <t>"СТРОЙДЕТАЛЬ-Л"</t>
  </si>
  <si>
    <t>4823074830</t>
  </si>
  <si>
    <t>398005, ЛИПЕЦКАЯ ОБЛАСТЬ, ГОРОД ЛИПЕЦК, УЛИЦА АЛМАЗНАЯ, ДОМ 10, КАБИНЕТ 4</t>
  </si>
  <si>
    <t>+7 (904) 288-20-85'</t>
  </si>
  <si>
    <t>52.589441,39.659452</t>
  </si>
  <si>
    <t>ОБЩЕСТВО С ОГРАНИЧЕННОЙ ОТВЕТСТВЕННОСТЬЮ "ЛИПЕЦКИЙ СИЛИКАТНЫЙ ЗАВОД"</t>
  </si>
  <si>
    <t>"ЛИПЕЦКИЙ СИЛИКАТНЫЙ ЗАВОД"</t>
  </si>
  <si>
    <t>4823073114</t>
  </si>
  <si>
    <t>398011, ЛИПЕЦКАЯ ОБЛАСТЬ, Г. ЛИПЕЦК, УЛ. АСТРАХАНСКАЯ, Д. 1</t>
  </si>
  <si>
    <t>Сазонов Сергей Васильевич</t>
  </si>
  <si>
    <t>47.198762,39.66026</t>
  </si>
  <si>
    <t>ОБЩЕСТВО С ОГРАНИЧЕННОЙ ОТВЕТСТВЕННОСТЬЮ "РОСТОВСКОЕ ПОХОРОННОЕ БЮРО"</t>
  </si>
  <si>
    <t>"РОСТОВСКОЕ ПОХОРОННОЕ БЮРО"</t>
  </si>
  <si>
    <t>6162053751</t>
  </si>
  <si>
    <t>344033, РОСТОВСКАЯ ОБЛ, РОСТОВ-НА-ДОНУ Г, ПОРТОВАЯ УЛ, 288 А</t>
  </si>
  <si>
    <t>Джансузян Артем Арутович</t>
  </si>
  <si>
    <t>+7 (863) 229-72-30', '+7 (863) 262-46-11'</t>
  </si>
  <si>
    <t>47.295032,39.667231</t>
  </si>
  <si>
    <t>ОБЩЕСТВО С ОГРАНИЧЕННОЙ ОТВЕТСТВЕННОСТЬЮ «КОЛЬЦА ПЛЮС»</t>
  </si>
  <si>
    <t>«КОЛЬЦА ПЛЮС»</t>
  </si>
  <si>
    <t>6165229178</t>
  </si>
  <si>
    <t>344064, РОСТОВСКАЯ ОБЛ., Г. Ростов-на-Дону, ПЕР. 4-Й ИЮЛЬСКИЙ, Д. 53</t>
  </si>
  <si>
    <t>Лосева Светлана Александровна</t>
  </si>
  <si>
    <t>44.4122,39.667609</t>
  </si>
  <si>
    <t>8602175130</t>
  </si>
  <si>
    <t>352685, Краснодарский край, Апшеронский район, НИКОЛАЕНКО Х, ул Дубравная, д 13</t>
  </si>
  <si>
    <t>Пирус Валерий Николаевич</t>
  </si>
  <si>
    <t>+7 (918) 937-17-59'</t>
  </si>
  <si>
    <t>54.664229,39.667914</t>
  </si>
  <si>
    <t>6229085301</t>
  </si>
  <si>
    <t>390039, РЯЗАНСКАЯ ОБЛ, Г РЯЗАНЬ, УЛ ИНТЕРНАЦИОНАЛЬНАЯ, Д 22 А, ЛИТ А, ПОМ Н4</t>
  </si>
  <si>
    <t>Сазонова Светлана Геннадьевна</t>
  </si>
  <si>
    <t>+7 (910) 641-66-22'</t>
  </si>
  <si>
    <t>47.263335,39.668794</t>
  </si>
  <si>
    <t>ОБЩЕСТВО С ОГРАНИЧЕННОЙ ОТВЕТСТВЕННОСТЬЮ "ЖЕЛЕЗОБЕТОНИНВЕСТ"</t>
  </si>
  <si>
    <t>"ЖЕЛЕЗОБЕТОНИНВЕСТ"</t>
  </si>
  <si>
    <t>6165187979</t>
  </si>
  <si>
    <t>344069, РОСТОВСКАЯ ОБЛ, РОСТОВ-НА-ДОНУ Г, ТАГАНРОГСКАЯ УЛ, 117, 412</t>
  </si>
  <si>
    <t>Аржанников Илья Александрович</t>
  </si>
  <si>
    <t>+7 (960) 460-79-79', '+7 (863) 295-88-94', '+7 (938) 146-97-55', '+7 (863) 296-37-49', '+7 (863) 296-37-55', '+7 (863) 295-88-26'</t>
  </si>
  <si>
    <t>21@mail.ru'</t>
  </si>
  <si>
    <t>52.571443,39.670061</t>
  </si>
  <si>
    <t>ОБЩЕСТВО С ОГРАНИЧЕННОЙ ОТВЕТСТВЕННОСТЬЮ "Газобетон 48"</t>
  </si>
  <si>
    <t>"Газобетон 48"</t>
  </si>
  <si>
    <t>4823051819</t>
  </si>
  <si>
    <t>398005, Липецкая область, Город ЛИПЕЦК, УЛ ПЕРЕДЕЛЬЧЕСКАЯ, СТР. 3Б,</t>
  </si>
  <si>
    <t>Машанский Константин Анатольевич</t>
  </si>
  <si>
    <t>gb48@nlmk.com', 'merinov_ak@nlmk.com'</t>
  </si>
  <si>
    <t>47.386606,39.670214</t>
  </si>
  <si>
    <t>ОБЩЕСТВО С ОГРАНИЧЕННОЙ ОТВЕТСТВЕННОСТЬЮ "ПК ЖБИ ЮГ"</t>
  </si>
  <si>
    <t>"ПК ЖБИ ЮГ"</t>
  </si>
  <si>
    <t>6122020020</t>
  </si>
  <si>
    <t>346816, РОСТОВСКАЯ ОБЛАСТЬ, МЯСНИКОВСКИЙ РАЙОН, СЕЛО БОЛЬШИЕ САЛЫ, УЛИЦА ЗАВОДСКАЯ, ДОМ 2</t>
  </si>
  <si>
    <t>Огородникова Юлия Вячеславовна</t>
  </si>
  <si>
    <t>59.288368,39.675711</t>
  </si>
  <si>
    <t>ОБЩЕСТВО С ОГРАНИЧЕННОЙ ОТВЕТСТВЕННОСТЬЮ "ПК ЛУНА"</t>
  </si>
  <si>
    <t>"ПК ЛУНА"</t>
  </si>
  <si>
    <t>3525311410</t>
  </si>
  <si>
    <t>160555, Вологодская область, г Вологда, ул Шмидта, д 14,..</t>
  </si>
  <si>
    <t>Белов Алексей Александрович</t>
  </si>
  <si>
    <t>+7 (953) 505-42-02'</t>
  </si>
  <si>
    <t>luna@yandex.ru'</t>
  </si>
  <si>
    <t>54.646453,39.678622</t>
  </si>
  <si>
    <t>ОБЩЕСТВО С ОГРАНИЧЕННОЙ ОТВЕТСТВЕННОСТЬЮ "ПРОИЗВОДСТВЕННАЯ КОМПАНИЯ "МЕЩЕРСКАЯ УСАДЬБА"</t>
  </si>
  <si>
    <t>"ПРОИЗВОДСТВЕННАЯ КОМПАНИЯ "МЕЩЕРСКАЯ УСАДЬБА"</t>
  </si>
  <si>
    <t>6229092387</t>
  </si>
  <si>
    <t>390043, РЯЗАНСКАЯ ОБЛ, РЯЗАНЬ Г, ШАБУЛИНА ПР, ДОМ 15, ОФИС 2</t>
  </si>
  <si>
    <t>Ромашин Максим Анатольевич</t>
  </si>
  <si>
    <t>+7 (905) 690-57-89', '+7 (910) 611-30-49', '+7 (910) 573-73-10'</t>
  </si>
  <si>
    <t>43.684756,39.67961</t>
  </si>
  <si>
    <t>ОБЩЕСТВО С ОГРАНИЧЕННОЙ ОТВЕТСТВЕННОСТЬЮ "СТАТУС"</t>
  </si>
  <si>
    <t>"СТАТУС"</t>
  </si>
  <si>
    <t>2318047251</t>
  </si>
  <si>
    <t>354207, КРАСНОДАРСКИЙ КРАЙ, ГОРОД СОЧИ, СЕЛО БАРАНОВКА, ШОССЕ БАРАНОВСКОЕ, 9 Д</t>
  </si>
  <si>
    <t>Арутюнян Арутюн Генрикович</t>
  </si>
  <si>
    <t>+7 (988) 188-96-27'</t>
  </si>
  <si>
    <t>373639@mail.ru', 'MNASVO@INBOX.RU'</t>
  </si>
  <si>
    <t>47.275093,39.689564</t>
  </si>
  <si>
    <t>ОБЩЕСТВО С ОГРАНИЧЕННОЙ ОТВЕТСТВЕННОСТЬЮ "БЕТОНЭНЕРГО"</t>
  </si>
  <si>
    <t>"БЕТОНЭНЕРГО"</t>
  </si>
  <si>
    <t>6165222013</t>
  </si>
  <si>
    <t>344064, РОСТОВСКАЯ ОБЛ, РОСТОВ-НА-ДОНУ Г, РАДИАТОРНЫЙ ПЕР, ДОМ 7В, ЭТАЖ/ОФИС 3/18</t>
  </si>
  <si>
    <t>+7 (044) 285-54-25'</t>
  </si>
  <si>
    <t>45.221415,39.691737</t>
  </si>
  <si>
    <t>ОБЩЕСТВО С ОГРАНИЧЕННОЙ ОТВЕТСТВЕННОСТЬЮ "КАЙЛАС"</t>
  </si>
  <si>
    <t>"КАЙЛАС"</t>
  </si>
  <si>
    <t>2373017561</t>
  </si>
  <si>
    <t>352333, КРАСНОДАРСКИЙ КРАЙ, УСТЬ-ЛАБИНСКИЙ РАЙОН, ГОРОД УСТЬ-ЛАБИНСК, УЛИЦА РАБОЧАЯ, ДОМ 52</t>
  </si>
  <si>
    <t>Вертелецкий Михаил Андреевич</t>
  </si>
  <si>
    <t>47.245947,39.692995</t>
  </si>
  <si>
    <t>ОБЩЕСТВО С ОГРАНИЧЕННОЙ ОТВЕТСТВЕННОСТЬЮ "ЕВРОН"</t>
  </si>
  <si>
    <t>"ЕВРОН"</t>
  </si>
  <si>
    <t>6165225832</t>
  </si>
  <si>
    <t>344079, РОСТОВСКАЯ ОБЛАСТЬ, Г. РОСТОВ-НА-ДОНУ, УЛ. НАНСЕНА, Д. 87, ЛИТЕР К'</t>
  </si>
  <si>
    <t>Холистов-Лазарев Евгений Викторович</t>
  </si>
  <si>
    <t>47.272984,39.693301</t>
  </si>
  <si>
    <t>ОБЩЕСТВО С ОГРАНИЧЕННОЙ ОТВЕТСТВЕННОСТЬЮ  СОВМЕСТНОЕ ПРЕДПРИЯТИЕ "ДОН-ШТАЙН"</t>
  </si>
  <si>
    <t xml:space="preserve"> СОВМЕСТНОЕ ПРЕДПРИЯТИЕ "ДОН-ШТАЙН"</t>
  </si>
  <si>
    <t>6165093640</t>
  </si>
  <si>
    <t>Г РОСТОВ-НА-ДОНУ,ПЕР РАДИАТОРНЫЙ, 9</t>
  </si>
  <si>
    <t>Карцев Алексей Владимирович</t>
  </si>
  <si>
    <t>+7 (863) 297-89-84', '+7 (863) 292-36-77', '+7 (863) 279-05-35', '+7 (863) 308-90-32', '+7 (912) 299-47-89', '+7 (918) 891-35-15', '+7 (863) 292-37-88', '+7 (912) 018-12-28'</t>
  </si>
  <si>
    <t>54.620902,39.694361</t>
  </si>
  <si>
    <t>ОБЩЕСТВО С ОГРАНИЧЕННОЙ ОТВЕТСТВЕННОСТЬЮ "СТРОЙБЕТОН-4"</t>
  </si>
  <si>
    <t>"СТРОЙБЕТОН-4"</t>
  </si>
  <si>
    <t>6234061659</t>
  </si>
  <si>
    <t>390029, РЯЗАНСКАЯ ОБЛАСТЬ, Г. РЯЗАНЬ, УЛ. ЧКАЛОВА, Д. 21, ЛИТЕРА Б, ПОМЕЩ. Н28</t>
  </si>
  <si>
    <t>Геворгян Владик Измирович</t>
  </si>
  <si>
    <t>47.26668,39.695187</t>
  </si>
  <si>
    <t>ОБЩЕСТВО С ОГРАНИЧЕННОЙ ОТВЕТСТВЕННОСТЬЮ "ГЛАВЭНЕРГО-ЖБИ"</t>
  </si>
  <si>
    <t>"ГЛАВЭНЕРГО-ЖБИ"</t>
  </si>
  <si>
    <t>6165197215</t>
  </si>
  <si>
    <t>344064, РОСТОВСКАЯ ОБЛАСТЬ, Г. РОСТОВ-НА-ДОНУ, УЛ. ТРАКТОРНАЯ, Д. 48А, ОФИС 90</t>
  </si>
  <si>
    <t>Семенченко Игорь Юрьевич</t>
  </si>
  <si>
    <t>+7 (988) 896-14-13', '+7 (918) 570-63-46', '+7 (989) 536-60-17', '+7 (863) 285-39-09'</t>
  </si>
  <si>
    <t>buh@vash-uchet'</t>
  </si>
  <si>
    <t>47.299799,39.699903</t>
  </si>
  <si>
    <t>6161076682</t>
  </si>
  <si>
    <t>344113, РОСТОВСКАЯ ОБЛ, РОСТОВ-НА-ДОНУ Г, ОРБИТАЛЬНАЯ УЛ, ДОМ 14Б</t>
  </si>
  <si>
    <t>Новокрещенов Александр Александрович</t>
  </si>
  <si>
    <t>+7 (928) 619-80-80', '+7 (928) 127-19-90', '+7 (863) 301-01-20'</t>
  </si>
  <si>
    <t>47.238556,39.704215</t>
  </si>
  <si>
    <t>ОБЩЕСТВО С ОГРАНИЧЕННОЙ ОТВЕТСТВЕННОСТЬЮ "КСМ ТРАСТ"</t>
  </si>
  <si>
    <t>"КСМ ТРАСТ"</t>
  </si>
  <si>
    <t>6165231434</t>
  </si>
  <si>
    <t>344018, Ростовская область, городской округ ГОРОД РОСТОВ-НА-ДОНУ, Город РОСТОВ-НА-ДОНУ, ПЕР СОБОРНЫЙ, Д. 98,..</t>
  </si>
  <si>
    <t>Головнев Евгений Владимирович</t>
  </si>
  <si>
    <t>47.234892,39.704529</t>
  </si>
  <si>
    <t>ОБЩЕСТВО С ОГРАНИЧЕННОЙ ОТВЕТСТВЕННОСТЬЮ "НОВОЧЕРКАССКИЙ ЗАВОД СТРОИТЕЛЬНЫХ МАТЕРИАЛОВ"</t>
  </si>
  <si>
    <t>"НОВОЧЕРКАССКИЙ ЗАВОД СТРОИТЕЛЬНЫХ МАТЕРИАЛОВ"</t>
  </si>
  <si>
    <t>6165558616</t>
  </si>
  <si>
    <t>344018, РОСТОВСКАЯ ОБЛ., Г. Ростов-на-Дону, УЛ. ТЕКУЧЕВА, Д. 139/94, ЭТАЖ 15 КОМНАТА 14</t>
  </si>
  <si>
    <t xml:space="preserve"> Управляющая Компания Ооо "Тибл-Груп"</t>
  </si>
  <si>
    <t>+7 (863) 268-88-80'</t>
  </si>
  <si>
    <t>morozova@tibl.ru'</t>
  </si>
  <si>
    <t>47.225842,39.705518</t>
  </si>
  <si>
    <t>ОБЩЕСТВО С ОГРАНИЧЕННОЙ ОТВЕТСТВЕННОСТЬЮ "БЕТОННЫЕ БЛОКИ И КОЛЬЦА"</t>
  </si>
  <si>
    <t>"БЕТОННЫЕ БЛОКИ И КОЛЬЦА"</t>
  </si>
  <si>
    <t>6164134685</t>
  </si>
  <si>
    <t>344002, Ростовская область, городской округ ГОРОД РОСТОВ-НА-ДОНУ, Город РОСТОВ-НА-ДОНУ, ПР-КТ БУДЕННОВСКИЙ, Д. 56,..</t>
  </si>
  <si>
    <t>Каппушева Фатима Барисбиевна</t>
  </si>
  <si>
    <t>AAK9281704448@YANDEX.RU'</t>
  </si>
  <si>
    <t>47.236562,39.706146</t>
  </si>
  <si>
    <t>ОБЩЕСТВО С ОГРАНИЧЕННОЙ ОТВЕТСТВЕННОСТЬЮ "БРИГ ПЛЮС"</t>
  </si>
  <si>
    <t>"БРИГ ПЛЮС"</t>
  </si>
  <si>
    <t>6165002307</t>
  </si>
  <si>
    <t>Г РОСТОВ-НА-ДОНУ,ПЕР СЕМАШКО, ДОМ 117 "А"</t>
  </si>
  <si>
    <t>Бабаян Рафаэл Бахшикович</t>
  </si>
  <si>
    <t>+7 (863) 255-19-73', '+7 (952) 583-74-02', '+7 (863) 255-14-08'</t>
  </si>
  <si>
    <t>47.218357,39.709794</t>
  </si>
  <si>
    <t>ОБЩЕСТВО С ОГРАНИЧЕННОЙ ОТВЕТСТВЕННОСТЬЮ "БЕТОНПРОМ"</t>
  </si>
  <si>
    <t>"БЕТОНПРОМ"</t>
  </si>
  <si>
    <t>6164108050</t>
  </si>
  <si>
    <t>344002, РОСТОВСКАЯ ОБЛАСТЬ, Г. РОСТОВ-НА-ДОНУ, УЛ. ТЕМЕРНИЦКАЯ, Д. 47, ЛИТЕР В, ОФИС 4</t>
  </si>
  <si>
    <t>Ковалев Олег Николаевич</t>
  </si>
  <si>
    <t>+7 (989) 511-11-10', '+7 (989) 311-16-62'</t>
  </si>
  <si>
    <t>47.295986,39.711959</t>
  </si>
  <si>
    <t>ОБЩЕСТВО С ОГРАНИЧЕННОЙ ОТВЕТСТВЕННОСТЬЮ "ДОН-БЕТОН"</t>
  </si>
  <si>
    <t>"ДОН-БЕТОН"</t>
  </si>
  <si>
    <t>6161072470</t>
  </si>
  <si>
    <t>344113, РОСТОВСКАЯ ОБЛАСТЬ, Г. РОСТОВ-НА-ДОНУ, ПР-КТ КОСМОНАВТОВ, Д. 37, ОФИС 9Б</t>
  </si>
  <si>
    <t>Хамидов Хайрулло Хасанбоевич</t>
  </si>
  <si>
    <t>+7 (863) 231-44-97', '+7 (863) 311-32-22'</t>
  </si>
  <si>
    <t>AUDON@YANDEX.RU'</t>
  </si>
  <si>
    <t>47.288059,39.713495</t>
  </si>
  <si>
    <t>ОБЩЕСТВО С ОГРАНИЧЕННОЙ ОТВЕТСТВЕННОСТЬЮ "ТЕРМО-БЛОК"</t>
  </si>
  <si>
    <t>"ТЕРМО-БЛОК"</t>
  </si>
  <si>
    <t>6163145042</t>
  </si>
  <si>
    <t>344092, РОСТОВСКАЯ ОБЛАСТЬ, ГОРОД РОСТОВ-НА-ДОНУ, БУЛЬВАР КОМАРОВА, ДОМ 13,..</t>
  </si>
  <si>
    <t>Князев Владимир Павлович</t>
  </si>
  <si>
    <t>consult161@mail.ru'</t>
  </si>
  <si>
    <t>47.220273,39.715381</t>
  </si>
  <si>
    <t>ОБЩЕСТВО С ОГРАНИЧЕННОЙ ОТВЕТСТВЕННОСТЬЮ "ПЛАТОН"</t>
  </si>
  <si>
    <t>"ПЛАТОН"</t>
  </si>
  <si>
    <t>6165224719</t>
  </si>
  <si>
    <t>344002, РОСТОВСКАЯ ОБЛ., Г. Ростов-на-Дону, УЛ. СОЦИАЛИСТИЧЕСКАЯ, Д. 88, ОФИС 709</t>
  </si>
  <si>
    <t>Буриев Дмитрий Олегович</t>
  </si>
  <si>
    <t>47.368819,39.71654</t>
  </si>
  <si>
    <t>ОБЩЕСТВО С ОГРАНИЧЕННОЙ ОТВЕТСТВЕННОСТЬЮ "БЕТОН.КОМ"</t>
  </si>
  <si>
    <t>"БЕТОН.КОМ"</t>
  </si>
  <si>
    <t>6161076844</t>
  </si>
  <si>
    <t>346735, РОСТОВСКАЯ ОБЛАСТЬ, Р-Н АКСАЙСКИЙ, Х НИЖНЕТЕМЕРНИЦКИЙ, УЛ. ГАЙДАРА, Д. 7</t>
  </si>
  <si>
    <t>Барышев Сергей Николаевич</t>
  </si>
  <si>
    <t>+7 (988) 990-43-01', '+7 (863) 303-63-63', '+7 (918) 596-50-94', '+7 (988) 892-54-05'</t>
  </si>
  <si>
    <t>54.616596,39.717807</t>
  </si>
  <si>
    <t>ОБЩЕСТВО С ОГРАНИЧЕННОЙ ОТВЕТСТВЕННОСТЬЮ "КОНАРТ"</t>
  </si>
  <si>
    <t>"КОНАРТ"</t>
  </si>
  <si>
    <t>6234128134</t>
  </si>
  <si>
    <t>390026, РЯЗАНСКАЯ ОБЛАСТЬ, Г. РЯЗАНЬ, УЛ. СТРОЙКОВА, Д.38, ОФИС Н34</t>
  </si>
  <si>
    <t>Папенко Сергей Николаевич</t>
  </si>
  <si>
    <t>+7 (910) 642-60-82'</t>
  </si>
  <si>
    <t>best_buhh@mail.ru'</t>
  </si>
  <si>
    <t>47.224336,39.718238</t>
  </si>
  <si>
    <t>6163156598</t>
  </si>
  <si>
    <t>344006, РОСТОВСКАЯ ОБЛ, РОСТОВ-НА-ДОНУ Г, ВОРОШИЛОВСКИЙ ПР-КТ, ДОМ 24,..</t>
  </si>
  <si>
    <t>Петросян Родик Срафилович</t>
  </si>
  <si>
    <t>+7 (961) 323-38-00', '+7 (961) 310-46-97'</t>
  </si>
  <si>
    <t>47.217965,39.721445</t>
  </si>
  <si>
    <t>ОБЩЕСТВО С ОГРАНИЧЕННОЙ ОТВЕТСТВЕННОСТЬЮ "ПСБПЛИТКА"</t>
  </si>
  <si>
    <t>"ПСБПЛИТКА"</t>
  </si>
  <si>
    <t>6163223653</t>
  </si>
  <si>
    <t>344006, РОСТОВСКАЯ ОБЛ., Г. Ростов-на-Дону, УЛ. СЕДОВА, Д. 3, КОМ. 20А</t>
  </si>
  <si>
    <t>Володин Павел Николаевич</t>
  </si>
  <si>
    <t>PSBLOK@MAIL.RU'</t>
  </si>
  <si>
    <t>52.055028,39.722154</t>
  </si>
  <si>
    <t>ОБЩЕСТВО С ОГРАНИЧЕННОЙ ОТВЕТСТВЕННОСТЬЮ "ЭКОСТРОЙМАТЕРИАЛ"</t>
  </si>
  <si>
    <t>"ЭКОСТРОЙМАТЕРИАЛ"</t>
  </si>
  <si>
    <t>4816006780</t>
  </si>
  <si>
    <t>399373, Липецкая область, Усманский район, г Усмань, ул Шмидта, д 11 А</t>
  </si>
  <si>
    <t>Комяков Евгений Иванович</t>
  </si>
  <si>
    <t>+7 (909) 224-92-92', '+7 (903) 862-42-71'</t>
  </si>
  <si>
    <t>v@mail.ru'</t>
  </si>
  <si>
    <t>47.227806,39.722882</t>
  </si>
  <si>
    <t>ОБЩЕСТВО С ОГРАНИЧЕННОЙ ОТВЕТСТВЕННОСТЬЮ "РОСТОВСКИЙ БЕТОННЫЙ ЗАВОД"</t>
  </si>
  <si>
    <t>"РОСТОВСКИЙ БЕТОННЫЙ ЗАВОД"</t>
  </si>
  <si>
    <t>6163222191</t>
  </si>
  <si>
    <t>344006, РОСТОВСКАЯ ОБЛ., Г. Ростов-на-Дону, ПР-КТ ЧЕХОВА, Д. 78, КОМ. 10</t>
  </si>
  <si>
    <t>Тригубов Артем Андреевич</t>
  </si>
  <si>
    <t>47.242417,39.723511</t>
  </si>
  <si>
    <t>ОБЩЕСТВО С ОГРАНИЧЕННОЙ ОТВЕТСТВЕННОСТЬЮ "БУНСТОУН"</t>
  </si>
  <si>
    <t>"БУНСТОУН"</t>
  </si>
  <si>
    <t>6163153903</t>
  </si>
  <si>
    <t>344000, РОСТОВСКАЯ ОБЛ, РОСТОВ-НА-ДОНУ Г, НАНСЕНА УЛ, ДОМ 146/4, ЛИТЕР Б, КОМНАТА 23</t>
  </si>
  <si>
    <t>Бунь Алексей Викторович</t>
  </si>
  <si>
    <t>+7 (863) 279-13-80', '+7 (928) 279-29-18'</t>
  </si>
  <si>
    <t>47.29928,39.725307</t>
  </si>
  <si>
    <t>ОБЩЕСТВО С ОГРАНИЧЕННОЙ ОТВЕТСТВЕННОСТЬЮ "СТЕНА61"</t>
  </si>
  <si>
    <t>"СТЕНА61"</t>
  </si>
  <si>
    <t>6161073265</t>
  </si>
  <si>
    <t>344114, Ростовская область, г Ростов-на-Дону, ул Беляева, 22А</t>
  </si>
  <si>
    <t>Ионик Алексей Владимирович</t>
  </si>
  <si>
    <t>+7 (928) 229-00-46', '+7 (863) 200-86-30'</t>
  </si>
  <si>
    <t>ssp2005@mail.ru'</t>
  </si>
  <si>
    <t>54.596201,39.726592</t>
  </si>
  <si>
    <t>ОБЩЕСТВО С ОГРАНИЧЕННОЙ ОТВЕТСТВЕННОСТЬЮ "СТРОЙЛИДЕР-Р"</t>
  </si>
  <si>
    <t>"СТРОЙЛИДЕР-Р"</t>
  </si>
  <si>
    <t>6234156420</t>
  </si>
  <si>
    <t>390035, РЯЗАНСКАЯ ОБЛ, РЯЗАНЬ Г, ГОЛЕНЧИНСКАЯ УЛ, ДОМ 102, КОРПУС Ж2</t>
  </si>
  <si>
    <t>Гончаров Андрей Александрович</t>
  </si>
  <si>
    <t>+7 (910) 643-43-30', '+7 (910) 900-09-36'</t>
  </si>
  <si>
    <t>47.240771,39.728425</t>
  </si>
  <si>
    <t>ОБЩЕСТВО С ОГРАНИЧЕННОЙ ОТВЕТСТВЕННОСТЬЮ «ПАГ РОСТОВ»</t>
  </si>
  <si>
    <t>«ПАГ РОСТОВ»</t>
  </si>
  <si>
    <t>6163223607</t>
  </si>
  <si>
    <t>344000, Ростовская область, городской округ ГОРОД РОСТОВ-НА-ДОНУ, Город РОСТОВ-НА-ДОНУ, УЛ ТУРКЕСТАНСКАЯ, Д. 1, ОФИС 53А</t>
  </si>
  <si>
    <t>Казарян Лилит Григорьевна</t>
  </si>
  <si>
    <t>43.61874,39.728577</t>
  </si>
  <si>
    <t>ОБЩЕСТВО С ОГРАНИЧЕННОЙ ОТВЕТСТВЕННОСТЬЮ "ЮНА"</t>
  </si>
  <si>
    <t>"ЮНА"</t>
  </si>
  <si>
    <t>2366013990</t>
  </si>
  <si>
    <t>354068, КРАСНОДАРСКИЙ КРАЙ, ГОРОД СОЧИ, УЛИЦА ПАСЕЧНАЯ, ДОМ 37,..</t>
  </si>
  <si>
    <t>Корнаев Роберд Георгиевич</t>
  </si>
  <si>
    <t>c2366@ya.ru', '9029436@mail.ru', '9029436@mail.ru'</t>
  </si>
  <si>
    <t>47.240863,39.728802</t>
  </si>
  <si>
    <t>ОБЩЕСТВО С ОГРАНИЧЕННОЙ ОТВЕТСТВЕННОСТЬЮ "КСМ "БИЛДИНГ"</t>
  </si>
  <si>
    <t>"КСМ "БИЛДИНГ"</t>
  </si>
  <si>
    <t>6163152089</t>
  </si>
  <si>
    <t>344010, РОСТОВСКАЯ ОБЛАСТЬ, Г. РОСТОВ-НА-ДОНУ, ПЕР. ЖУРАВЛЕВА, Д. 173/1, КОМ. 35Б</t>
  </si>
  <si>
    <t>Нерсесов Леван Рудикович</t>
  </si>
  <si>
    <t>+7 (928) 600-41-41'</t>
  </si>
  <si>
    <t>43.6097,39.732458</t>
  </si>
  <si>
    <t>ОБЩЕСТВО С ОГРАНИЧЕННОЙ ОТВЕТСТВЕННОСТЬЮ "РАДЭЛИЯ"</t>
  </si>
  <si>
    <t>"РАДЭЛИЯ"</t>
  </si>
  <si>
    <t>2366005251</t>
  </si>
  <si>
    <t>354065, КРАСНОДАРСКИЙ КРАЙ, Г. СОЧИ, УЛ. ГАГАРИНА (ЦЕНТРАЛЬНЫЙ Р-Н), Д. 76/4, ЛИТЕР "Б", ОФИС 32</t>
  </si>
  <si>
    <t>Ливада Сергей Владимирович</t>
  </si>
  <si>
    <t>+7 (918) 917-11-48'</t>
  </si>
  <si>
    <t>RODELIYA2018@MAIL.RU'</t>
  </si>
  <si>
    <t>43.58973,39.734884</t>
  </si>
  <si>
    <t>ОБЩЕСТВО С ОГРАНИЧЕННОЙ ОТВЕТСТВЕННОСТЬЮ "ЮЖНАЯ СТРОИТЕЛЬНАЯ КОМПАНИЯ"</t>
  </si>
  <si>
    <t>"ЮЖНАЯ СТРОИТЕЛЬНАЯ КОМПАНИЯ"</t>
  </si>
  <si>
    <t>2366027880</t>
  </si>
  <si>
    <t>354057, КРАСНОДАРСКИЙ КРАЙ, Г. Сочи, УЛ. ПАРАЛЛЕЛЬНАЯ, Д. 10,..</t>
  </si>
  <si>
    <t>Лавров Валерий Владимирович</t>
  </si>
  <si>
    <t>OLYA@MAIL.RU'</t>
  </si>
  <si>
    <t>47.12186,39.73624</t>
  </si>
  <si>
    <t>ОБЩЕСТВО С ОГРАНИЧЕННОЙ ОТВЕТСТВЕННОСТЬЮ "АП Строй"</t>
  </si>
  <si>
    <t>"АП Строй"</t>
  </si>
  <si>
    <t>6141043791</t>
  </si>
  <si>
    <t>346894, Ростовская область, г Батайск, ул Белинского, 30</t>
  </si>
  <si>
    <t>Хандажевский Андрей Александрович</t>
  </si>
  <si>
    <t>+7 (906) 185-70-74', '+7 (928) 600-13-14'</t>
  </si>
  <si>
    <t>20@yandex.ru'</t>
  </si>
  <si>
    <t>54.630112,39.73686</t>
  </si>
  <si>
    <t>ОБЩЕСТВО С ОГРАНИЧЕННОЙ ОТВЕТСТВЕННОСТЬЮ "МТ ИНВЕСТ"</t>
  </si>
  <si>
    <t>"МТ ИНВЕСТ"</t>
  </si>
  <si>
    <t>6229069740</t>
  </si>
  <si>
    <t>390000, РЯЗАНСКАЯ ОБЛ, РЯЗАНЬ Г, СОБОРНАЯ УЛ, ДОМ 52, ПОМЕЩЕНИЕ Н8 ОФИС 28</t>
  </si>
  <si>
    <t>Моськин Сергей Юрьевич</t>
  </si>
  <si>
    <t>+7 (961) 132-00-63'</t>
  </si>
  <si>
    <t>mtinvest74@bk.ru'</t>
  </si>
  <si>
    <t>43.602755,39.738144</t>
  </si>
  <si>
    <t>ОБЩЕСТВО С ОГРАНИЧЕННОЙ ОТВЕТСТВЕННОСТЬЮ "СТРОИТЕЛЬНАЯ КОМПАНИЯ "ЮЖНЫЙ МОНОЛИТ"</t>
  </si>
  <si>
    <t>"СТРОИТЕЛЬНАЯ КОМПАНИЯ "ЮЖНЫЙ МОНОЛИТ"</t>
  </si>
  <si>
    <t>2366019462</t>
  </si>
  <si>
    <t>354000, КРАСНОДАРСКИЙ КРАЙ, ГОРОД СОЧИ, ПЕРЕУЛОК ПРОМЫШЛЕННЫЙ, ДОМ 4, ОФИС 16</t>
  </si>
  <si>
    <t>Амирханов Расим Девлетханович</t>
  </si>
  <si>
    <t>54.633875,39.74401</t>
  </si>
  <si>
    <t>ОБЩЕСТВО С ОГРАНИЧЕННОЙ ОТВЕТСТВЕННОСТЬЮ "ПАРИТЕТ"</t>
  </si>
  <si>
    <t>"ПАРИТЕТ"</t>
  </si>
  <si>
    <t>6230092014</t>
  </si>
  <si>
    <t>390000, РЯЗАНСКАЯ ОБЛ, РЯЗАНЬ Г, СОБОРНАЯ УЛ, ДОМ 12, ПОМЕЩЕНИЕ Н1</t>
  </si>
  <si>
    <t>Абрашин Владимир Александрович</t>
  </si>
  <si>
    <t>54.608671,39.744891</t>
  </si>
  <si>
    <t>ОБЩЕСТВО С ОГРАНИЧЕННОЙ ОТВЕТСТВЕННОСТЬЮ "ВОСТОК-БЕРЕГ"</t>
  </si>
  <si>
    <t>"ВОСТОК-БЕРЕГ"</t>
  </si>
  <si>
    <t>2724239990</t>
  </si>
  <si>
    <t>390046, Рязанская область, городской округ ГОРОД РЯЗАНЬ, Город РЯЗАНЬ, УЛ СВЕТЛАЯ, Д. 16, К. 1,</t>
  </si>
  <si>
    <t>Парамонов Андрей Евгеньевич</t>
  </si>
  <si>
    <t>54.60817,39.752455</t>
  </si>
  <si>
    <t>ОБЩЕСТВО С ОГРАНИЧЕННОЙ ОТВЕТСТВЕННОСТЬЮ "ТЕПЛОБЛОК"</t>
  </si>
  <si>
    <t>"ТЕПЛОБЛОК"</t>
  </si>
  <si>
    <t>6230090948</t>
  </si>
  <si>
    <t>390011, Рязанская область, г Рязань, УЛ ЧАЙКИНОЙ, Д 13,..</t>
  </si>
  <si>
    <t>Кацуба Евгений Евгеньевич</t>
  </si>
  <si>
    <t>+7 (903) 839-96-89'</t>
  </si>
  <si>
    <t>43.634035,39.752796</t>
  </si>
  <si>
    <t>2319059838</t>
  </si>
  <si>
    <t>354073, Краснодарский край, городской округ ГОРОД-КУРОРТ СОЧИ, Село ВЕРХНИЙ ЮРТ, ПЕР ГРУШЕВЫЙ, Д. 10,</t>
  </si>
  <si>
    <t>Текнеджян Карапет Амбарцумович</t>
  </si>
  <si>
    <t>+7 (918) 604-22-11'</t>
  </si>
  <si>
    <t>karina2025@mail.ru', 'karina2025@mail.ru'</t>
  </si>
  <si>
    <t>43.602213,39.753991</t>
  </si>
  <si>
    <t>ОБЩЕСТВО С ОГРАНИЧЕННОЙ ОТВЕТСТВЕННОСТЬЮ "БУМАР-БЕТОН"</t>
  </si>
  <si>
    <t>"БУМАР-БЕТОН"</t>
  </si>
  <si>
    <t>2320226635</t>
  </si>
  <si>
    <t>354002, КРАСНОДАРСКИЙ КРАЙ, ГОРОД СОЧИ, УЛИЦА ТРАНСПОРТНАЯ (ХОСТИНСКИЙ Р-Н), ДОМ 69, ПОМЕЩЕНИЕ 10</t>
  </si>
  <si>
    <t>Бучукури Иосиф Георгиевич</t>
  </si>
  <si>
    <t>+7 (967) 325-46-41'</t>
  </si>
  <si>
    <t>elena_keg@mail.ru', 'elena_keg@mail.ru', 'elena_keg@mail.ru'</t>
  </si>
  <si>
    <t>47.253641,39.754287</t>
  </si>
  <si>
    <t>ОБЩЕСТВО С ОГРАНИЧЕННОЙ ОТВЕТСТВЕННОСТЬЮ "КОМБИНАТ СТРОИТЕЛЬНЫХ МАТЕРИАЛОВ ЖЕЛЕЗОБЕТОН"</t>
  </si>
  <si>
    <t>"КОМБИНАТ СТРОИТЕЛЬНЫХ МАТЕРИАЛОВ ЖЕЛЕЗОБЕТОН"</t>
  </si>
  <si>
    <t>6166122967</t>
  </si>
  <si>
    <t>344023, РОСТОВСКАЯ ОБЛ., Г. Ростов-на-Дону, УЛ. СТРАНЫ СОВЕТОВ, Д. 7, ЭТАЖ 2 ПОМЕЩ. 204</t>
  </si>
  <si>
    <t>Цой Алексей Феликсович</t>
  </si>
  <si>
    <t>47.229886,39.758087</t>
  </si>
  <si>
    <t>Общество с ограниченной ответственностью "ББМК"</t>
  </si>
  <si>
    <t>"ББМК"</t>
  </si>
  <si>
    <t>6167136176</t>
  </si>
  <si>
    <t>344019, РОСТОВСКАЯ ОБЛАСТЬ, ГОРОД РОСТОВ-НА-ДОНУ, УЛИЦА СОВЕТСКАЯ, ДОМ 21, КОМНАТА 7</t>
  </si>
  <si>
    <t>Борисенко Вадим Олегович</t>
  </si>
  <si>
    <t>+7 (938) 108-07-11', '+7 (938) 110-10-40'</t>
  </si>
  <si>
    <t>47.124785,39.766468</t>
  </si>
  <si>
    <t>ОБЩЕСТВО С ОГРАНИЧЕННОЙ ОТВЕТСТВЕННОСТЬЮ "ЭДУКО"</t>
  </si>
  <si>
    <t>"ЭДУКО"</t>
  </si>
  <si>
    <t>6141056159</t>
  </si>
  <si>
    <t>346884, РОСТОВСКАЯ ОБЛАСТЬ, ГОРОД БАТАЙСК, УЛИЦА КОМАРОВА, ДОМ 131А,..</t>
  </si>
  <si>
    <t>Нецветай Наталья Васильевна</t>
  </si>
  <si>
    <t>54.582476,39.766567</t>
  </si>
  <si>
    <t>ОБЩЕСТВО С ОГРАНИЧЕННОЙ ОТВЕТСТВЕННОСТЬЮ "ЦЕМОПЛЕКС"</t>
  </si>
  <si>
    <t>"ЦЕМОПЛЕКС"</t>
  </si>
  <si>
    <t>6230120906</t>
  </si>
  <si>
    <t>390011, Рязанская область, городской округ ГОРОД РЯЗАНЬ, Город РЯЗАНЬ, КМ 198 КИЛОМЕТР (ОКРУЖНАЯ ДОРОГА), Д. 6, ПОМЕЩ. 22</t>
  </si>
  <si>
    <t>Дадинская Надежда Игоревна</t>
  </si>
  <si>
    <t>47.118249,39.768966</t>
  </si>
  <si>
    <t>6141054715</t>
  </si>
  <si>
    <t>346886, РОСТОВСКАЯ ОБЛАСТЬ, ГОРОД БАТАЙСК, УЛИЦА ПРОИЗВОДСТВЕННАЯ, ДОМ 4, ОФИС 1</t>
  </si>
  <si>
    <t>Лагутин Михаил Викторович</t>
  </si>
  <si>
    <t>54.629956,39.769298</t>
  </si>
  <si>
    <t>ОБЩЕСТВО С ОГРАНИЧЕННОЙ ОТВЕТСТВЕННОСТЬЮ "ОКА"</t>
  </si>
  <si>
    <t>"ОКА"</t>
  </si>
  <si>
    <t>6234196744</t>
  </si>
  <si>
    <t>390006, РЯЗАНСКАЯ ОБЛ., Г. Рязань, УЛ. ЕСЕНИНА, Д. 6</t>
  </si>
  <si>
    <t>Оганян Арам Асатури</t>
  </si>
  <si>
    <t>PLITKAOKA@MAIL.RU'</t>
  </si>
  <si>
    <t>44.447468,39.772253</t>
  </si>
  <si>
    <t>ОБЩЕСТВО С ОГРАНИЧЕННОЙ ОТВЕТСТВЕННОСТЬЮ  ПРОИЗВОДСТВЕННО-СТРОИТЕЛЬНАЯ КОМПАНИЯ "КАПИТАЛ +"</t>
  </si>
  <si>
    <t xml:space="preserve"> ПРОИЗВОДСТВЕННО-СТРОИТЕЛЬНАЯ КОМПАНИЯ "КАПИТАЛ +"</t>
  </si>
  <si>
    <t>2325008782</t>
  </si>
  <si>
    <t>352690, КРАСНОДАРСКИЙ КРАЙ, РАЙОН АПШЕРОНСКИЙ, ГОРОД АПШЕРОНСК, УЛИЦА ЛЕНИНА, 245-А</t>
  </si>
  <si>
    <t>Пахомов Юрий Александрович</t>
  </si>
  <si>
    <t>54.625776,39.786034</t>
  </si>
  <si>
    <t>6234198244</t>
  </si>
  <si>
    <t>390027, Рязанская область, ГОРОД РЯЗАНЬ, Г РЯЗАНЬ, УЛ КАЛЬНАЯ, Д. 31</t>
  </si>
  <si>
    <t>Чернышев Сергей Алексеевич</t>
  </si>
  <si>
    <t>47.383269,39.789663</t>
  </si>
  <si>
    <t>ОБЩЕСТВО С ОГРАНИЧЕННОЙ ОТВЕТСТВЕННОСТЬЮ "БАРИШ"</t>
  </si>
  <si>
    <t>"БАРИШ"</t>
  </si>
  <si>
    <t>2703093740</t>
  </si>
  <si>
    <t>346750, РОСТОВСКАЯ ОБЛ., Р-Н Аксайский, П. Щепкин, УЛ. ЕРЕМЕНКО, Д. 8</t>
  </si>
  <si>
    <t>Барышников Сергей Витальевич</t>
  </si>
  <si>
    <t>+7 (914) 161-74-39'</t>
  </si>
  <si>
    <t>57.670608,39.789708</t>
  </si>
  <si>
    <t>ОБЩЕСТВО С ОГРАНИЧЕННОЙ ОТВЕТСТВЕННОСТЬЮ "БЕТОН-РЕСУРС"</t>
  </si>
  <si>
    <t>"БЕТОН-РЕСУРС"</t>
  </si>
  <si>
    <t>7602157883</t>
  </si>
  <si>
    <t>150044, ЯРОСЛАВСКАЯ ОБЛ., Г. Ярославль, УЛ. МЕХАНИЗАТОРОВ, Д. 14, ПОМЕЩ. 307, ЭТАЖ 3</t>
  </si>
  <si>
    <t>Румянцев Алексей Валерьевич</t>
  </si>
  <si>
    <t>RESURS2022@INBOX.RU'</t>
  </si>
  <si>
    <t>57.662165,39.792528</t>
  </si>
  <si>
    <t>ЗАКРЫТОЕ АКЦИОНЕРНОЕ ОБЩЕСТВО "ПРОМТЕХМОНТАЖ-ЖЕЛЕЗОБЕТОННЫЕ ИЗДЕЛИЯ"</t>
  </si>
  <si>
    <t>ЗАКРЫТОЕ "ПРОМТЕХМОНТАЖ-ЖЕЛЕЗОБЕТОННЫЕ ИЗДЕЛИЯ"</t>
  </si>
  <si>
    <t>7602051911</t>
  </si>
  <si>
    <t>Г ЯРОСЛАВЛЬ,УЛ ПРОМЫШЛЕННАЯ, Д 20, КОРП 5</t>
  </si>
  <si>
    <t>Мущинин Игорь Юрьевич</t>
  </si>
  <si>
    <t>57.665241,39.793229</t>
  </si>
  <si>
    <t>ОБЩЕСТВО С ОГРАНИЧЕННОЙ ОТВЕТСТВЕННОСТЬЮ ПРОИЗВОДСТВЕННО-СТРОИТЕЛЬНОЕ ПРЕДПРИЯТИЕ "СТРОЙИНДУСТРИЯ"</t>
  </si>
  <si>
    <t>ПРОИЗВОДСТВЕННО-СТРОИТЕЛЬНОЕ ПРЕДПРИЯТИЕ "СТРОЙИНДУСТРИЯ"</t>
  </si>
  <si>
    <t>7602152042</t>
  </si>
  <si>
    <t>150031, ЯРОСЛАВСКАЯ ОБЛАСТЬ, ГОРОД ЯРОСЛАВЛЬ, УЛИЦА ПРОМЫШЛЕННАЯ, ДОМ 20, СТРОЕНИЕ 7</t>
  </si>
  <si>
    <t>Хламов Владимир Геннадьевич</t>
  </si>
  <si>
    <t>57.571776,39.797254</t>
  </si>
  <si>
    <t>ОБЩЕСТВО С ОГРАНИЧЕННОЙ ОТВЕТСТВЕННОСТЬЮ "ЗАВОД ЖЕЛЕЗОБЕТОННЫХ ИЗДЕЛИЙ "АРСЕНАЛ"</t>
  </si>
  <si>
    <t>"ЗАВОД ЖЕЛЕЗОБЕТОННЫХ ИЗДЕЛИЙ "АРСЕНАЛ"</t>
  </si>
  <si>
    <t>7604374185</t>
  </si>
  <si>
    <t>150023, ЯРОСЛАВСКАЯ ОБЛ., Г. Ярославль, УЛ. ГАГАРИНА, Д. 68В, ПОМЕЩ. 15</t>
  </si>
  <si>
    <t>Зукина Елена Николаевна</t>
  </si>
  <si>
    <t>ARSENAL@YANDEX.RU'</t>
  </si>
  <si>
    <t>47.295448,39.803982</t>
  </si>
  <si>
    <t>ОБЩЕСТВО С ОГРАНИЧЕННОЙ ОТВЕТСТВЕННОСТЬЮ «РОСТАВТОБЕТОН»</t>
  </si>
  <si>
    <t>«РОСТАВТОБЕТОН»</t>
  </si>
  <si>
    <t>6102070150</t>
  </si>
  <si>
    <t>346715, РОСТОВСКАЯ ОБЛ, АКСАЙСКИЙ Р-Н, КАМЫШЕВАХА Х, МЕТАЛЛУРГИЧЕСКАЯ УЛ, ДОМ 10, КОРПУС Б</t>
  </si>
  <si>
    <t>Соловьева Светлана Валерьевна</t>
  </si>
  <si>
    <t>rostavtobeton@mail.ru'</t>
  </si>
  <si>
    <t>54.029566,39.805195</t>
  </si>
  <si>
    <t>ОБЩЕСТВО С ОГРАНИЧЕННОЙ ОТВЕТСТВЕННОСТЬЮ "ЭКО-Золопродукт Рязань"</t>
  </si>
  <si>
    <t>"ЭКО-Золопродукт Рязань"</t>
  </si>
  <si>
    <t>6211007493</t>
  </si>
  <si>
    <t>391160, РЯЗАНСКАЯ ОБЛАСТЬ, Р-Н ПРОНСКИЙ, Г. НОВОМИЧУРИНСК, УЛ. ПРОМЫШЛЕННАЯ, Д.22</t>
  </si>
  <si>
    <t>Исмайылов Фархад Джумшуд Оглы</t>
  </si>
  <si>
    <t>+7 (495) 232-18-92'</t>
  </si>
  <si>
    <t>47.235626,39.805689</t>
  </si>
  <si>
    <t>ОБЩЕСТВО С ОГРАНИЧЕННОЙ ОТВЕТСТВЕННОСТЬЮ "БЕТОН+"</t>
  </si>
  <si>
    <t>"БЕТОН+"</t>
  </si>
  <si>
    <t>6167060368</t>
  </si>
  <si>
    <t>Г РОСТОВ-НА-ДОНУ,ПРОСП 40-ЛЕТИЯ ПОБЕДЫ, 156/7</t>
  </si>
  <si>
    <t>Рожков Александр Владимирович</t>
  </si>
  <si>
    <t>+7 (928) 104-69-90', '+7 (928) 270-17-27'</t>
  </si>
  <si>
    <t>54.604327,39.818076</t>
  </si>
  <si>
    <t>ОБЩЕСТВО С ОГРАНИЧЕННОЙ ОТВЕТСТВЕННОСТЬЮ "Бетон-Сервис"</t>
  </si>
  <si>
    <t>"Бетон-Сервис"</t>
  </si>
  <si>
    <t>6230073290</t>
  </si>
  <si>
    <t>390000, РЯЗАНСКАЯ ОБЛ, Г РЯЗАНЬ , РАЙОН ПЕСОЧНЯ, Д 6,..</t>
  </si>
  <si>
    <t>Подковыров Андрей Иванович</t>
  </si>
  <si>
    <t>+7 (906) 646-17-44'</t>
  </si>
  <si>
    <t>ОБЩЕСТВО С ОГРАНИЧЕННОЙ ОТВЕТСТВЕННОСТЬЮ "Строительная фирма "Поместье"</t>
  </si>
  <si>
    <t>"Строительная фирма "Поместье"</t>
  </si>
  <si>
    <t>6234081359</t>
  </si>
  <si>
    <t>390048, РЯЗАНСКАЯ ОБЛАСТЬ, ГОРОД РЯЗАНЬ, РАЙОН ПЕСОЧНЯ, ДОМ 6, СТРОЕНИЕ 8, ОФИС 36</t>
  </si>
  <si>
    <t>Ванешин Роман Евгеньевич</t>
  </si>
  <si>
    <t>+7 (906) 547-03-18'</t>
  </si>
  <si>
    <t>57.669299,39.823197</t>
  </si>
  <si>
    <t>ОБЩЕСТВО С ОГРАНИЧЕННОЙ ОТВЕТСТВЕННОСТЬЮ "ПРОИЗВОДСТВО СТРОИТЕЛЬНЫХ МАТЕРИАЛОВ"</t>
  </si>
  <si>
    <t>"ПРОИЗВОДСТВО СТРОИТЕЛЬНЫХ МАТЕРИАЛОВ"</t>
  </si>
  <si>
    <t>7602144429</t>
  </si>
  <si>
    <t>150044, ЯРОСЛАВСКАЯ ОБЛ, ЯРОСЛАВЛЬ Г, ЛЕНИНГРАДСКИЙ ПР-КТ, ДОМ 27Б, ЛИТЕР ББ1</t>
  </si>
  <si>
    <t>Непряхин Сергей Петрович</t>
  </si>
  <si>
    <t>47.10288,39.823233</t>
  </si>
  <si>
    <t>ОБЩЕСТВО С ОГРАНИЧЕННОЙ ОТВЕТСТВЕННОСТЬЮ "АКСАЙСТРОЙПРОМ"</t>
  </si>
  <si>
    <t>"АКСАЙСТРОЙПРОМ"</t>
  </si>
  <si>
    <t>6102016498</t>
  </si>
  <si>
    <t>РОСТОВСКАЯ ОБЛ.,АКСАЙСКИЙ Р-Н,Х ЛЕНИНА,АВТОМАГИСТРАЛЬ "ДОН" 1080КМ ПЛЮС 900 (ВОСТОЧНЫЙ ОБХОД Г РОСТОВ-НА-ДОНУ)</t>
  </si>
  <si>
    <t xml:space="preserve"> Генеральный Директор Давиденко Инна Михайловна</t>
  </si>
  <si>
    <t>+7 (863) 220-37-78'</t>
  </si>
  <si>
    <t>64.563386,39.823781</t>
  </si>
  <si>
    <t>ОБЩЕСТВО С ОГРАНИЧЕННОЙ ОТВЕТСТВЕННОСТЬЮ "С-БЕТОН"</t>
  </si>
  <si>
    <t>"С-БЕТОН"</t>
  </si>
  <si>
    <t>2902088085</t>
  </si>
  <si>
    <t>29-Архангельская область</t>
  </si>
  <si>
    <t>164500, АРХАНГЕЛЬСКАЯ ОБЛ., Г. Северодвинск, Ш. АРХАНГЕЛЬСКОЕ, Д. 17, ПОМЕЩ. 34,35</t>
  </si>
  <si>
    <t>Мурцев Сергей Викторинович</t>
  </si>
  <si>
    <t>54.772972,39.825317</t>
  </si>
  <si>
    <t>ОБЩЕСТВО С ОГРАНИЧЕННОЙ ОТВЕТСТВЕННОСТЬЮ "МТ ИНВЕСТ ГРУПП"</t>
  </si>
  <si>
    <t>"МТ ИНВЕСТ ГРУПП"</t>
  </si>
  <si>
    <t>6234199209</t>
  </si>
  <si>
    <t>390021, Рязанская область, ГОРОД РЯЗАНЬ, Г РЯЗАНЬ, УЛ МЕЩЕРСКАЯ, Д. 2Б</t>
  </si>
  <si>
    <t>Фролова Татьяна Владимировна</t>
  </si>
  <si>
    <t>MTINVEST74@BK.RU'</t>
  </si>
  <si>
    <t>57.670315,39.825919</t>
  </si>
  <si>
    <t>ОБЩЕСТВО С ОГРАНИЧЕННОЙ ОТВЕТСТВЕННОСТЬЮ "РемСтрой-Комплектация"</t>
  </si>
  <si>
    <t>"РемСтрой-Комплектация"</t>
  </si>
  <si>
    <t>7606085686</t>
  </si>
  <si>
    <t>150044, ЯРОСЛАВСКАЯ ОБЛАСТЬ, ГОРОД ЯРОСЛАВЛЬ, ПРОСПЕКТ ЛЕНИНГРАДСКИЙ, ДОМ 27, ОФИС 1</t>
  </si>
  <si>
    <t>Пухтий Михаил Олегович</t>
  </si>
  <si>
    <t>54.548917,39.826619</t>
  </si>
  <si>
    <t>ОБЩЕСТВО С ОГРАНИЧЕННОЙ ОТВЕТСТВЕННОСТЬЮ "Завод ЖБИ - 5"</t>
  </si>
  <si>
    <t>"Завод ЖБИ - 5"</t>
  </si>
  <si>
    <t>6215025782</t>
  </si>
  <si>
    <t>http://gbi-5.net</t>
  </si>
  <si>
    <t>390511, РЯЗАНСКАЯ ОБЛ, РЯЗАНСКИЙ Р-Н, ТУРЛАТОВО Д, НОВАЯ УЛ, ДОМ 24, ОФИС 36</t>
  </si>
  <si>
    <t>Сикорский Виталий Юрьевич</t>
  </si>
  <si>
    <t>+7 (920) 633-08-00'</t>
  </si>
  <si>
    <t>59.222513,39.827401</t>
  </si>
  <si>
    <t>ОБЩЕСТВО С ОГРАНИЧЕННОЙ ОТВЕТСТВЕННОСТЬЮ "ЖБИ-35"</t>
  </si>
  <si>
    <t>"ЖБИ-35"</t>
  </si>
  <si>
    <t>3525408814</t>
  </si>
  <si>
    <t>160026, ВОЛОГОДСКАЯ ОБЛ, ВОЛОГДА Г, ПРЕОБРАЖЕНСКОГО УЛ, ДОМ 32, ОФИС 1</t>
  </si>
  <si>
    <t>Перов Юрий Владимирович</t>
  </si>
  <si>
    <t>59.240849,39.828874</t>
  </si>
  <si>
    <t>ОБЩЕСТВО С ОГРАНИЧЕННОЙ ОТВЕТСТВЕННОСТЬЮ "Гарант"</t>
  </si>
  <si>
    <t>"Гарант"</t>
  </si>
  <si>
    <t>3525268363</t>
  </si>
  <si>
    <t>160010, Вологодская область, г Вологда, ул Рыбная, д 20-А</t>
  </si>
  <si>
    <t>Иванов Олег Германович</t>
  </si>
  <si>
    <t>54.73024,39.832108</t>
  </si>
  <si>
    <t>ОБЩЕСТВО С ОГРАНИЧЕННОЙ ОТВЕТСТВЕННОСТЬЮ "ТРАКТ62"</t>
  </si>
  <si>
    <t>"ТРАКТ62"</t>
  </si>
  <si>
    <t>6215031313</t>
  </si>
  <si>
    <t>390525, РЯЗАНСКАЯ ОБЛАСТЬ, РАЙОН РЯЗАНСКИЙ, СЕЛО ПОЛЯНЫ, УЛИЦА НОВАЯ, ДОМ 30, ПОМЕЩЕНИЕ Н-2</t>
  </si>
  <si>
    <t>Кузин Алексей Михайлович</t>
  </si>
  <si>
    <t>+7 (962) 396-27-96'</t>
  </si>
  <si>
    <t>54.551622,39.832575</t>
  </si>
  <si>
    <t>ОБЩЕСТВО С ОГРАНИЧЕННОЙ ОТВЕТСТВЕННОСТЬЮ "Пеноблок 62"</t>
  </si>
  <si>
    <t>"Пеноблок 62"</t>
  </si>
  <si>
    <t>6215024732</t>
  </si>
  <si>
    <t>390511, РЯЗАНСКАЯ ОБЛАСТЬ, РАЙОН РЯЗАНСКИЙ, ДЕРЕВНЯ ТУРЛАТОВО, УЛИЦА ДОРОЖНАЯ, 7</t>
  </si>
  <si>
    <t>Дергачев Владимир Александрович</t>
  </si>
  <si>
    <t>+7 (920) 950-33-67'</t>
  </si>
  <si>
    <t>54.552702,39.837705</t>
  </si>
  <si>
    <t>ОБЩЕСТВО С ОГРАНИЧЕННОЙ ОТВЕТСТВЕННОСТЬЮ "РУМ"</t>
  </si>
  <si>
    <t>"РУМ"</t>
  </si>
  <si>
    <t>6215032941</t>
  </si>
  <si>
    <t>390511, РЯЗАНСКАЯ ОБЛАСТЬ, Р-Н РЯЗАНСКИЙ, Д ТУРЛАТОВО, УЛ. АЭРОПОРТОВСКАЯ, Д. 3, ПОМЕЩ. 7</t>
  </si>
  <si>
    <t>Исаева Екатерина Валерьевна</t>
  </si>
  <si>
    <t>57.619204,39.838396</t>
  </si>
  <si>
    <t>ОБЩЕСТВО С ОГРАНИЧЕННОЙ ОТВЕТСТВЕННОСТЬЮ "ЯРОСЛАВСКИЙ ЗАВОД СТРОИТЕЛЬНЫХ КОНСТРУКЦИЙ"</t>
  </si>
  <si>
    <t>"ЯРОСЛАВСКИЙ ЗАВОД СТРОИТЕЛЬНЫХ КОНСТРУКЦИЙ"</t>
  </si>
  <si>
    <t>7604310456</t>
  </si>
  <si>
    <t>150049, ЯРОСЛАВСКАЯ ОБЛАСТЬ, Г. ЯРОСЛАВЛЬ, УЛ. ВСПОЛЬИНСКОЕ ПОЛЕ, Д. 11 Б</t>
  </si>
  <si>
    <t>Кававин Алексей Евгеньевич</t>
  </si>
  <si>
    <t>ОБЩЕСТВО С ОГРАНИЧЕННОЙ ОТВЕТСТВЕННОСТЬЮ "ЯРОСЛАВСКИЙ ЗАВОД ЖЕЛЕЗОБЕТОННЫХ ИЗДЕЛИЙ"</t>
  </si>
  <si>
    <t>"ЯРОСЛАВСКИЙ ЗАВОД ЖЕЛЕЗОБЕТОННЫХ ИЗДЕЛИЙ"</t>
  </si>
  <si>
    <t>7604368520</t>
  </si>
  <si>
    <t>150049, ЯРОСЛАВСКАЯ ОБЛАСТЬ, ГОРОД ЯРОСЛАВЛЬ, УЛИЦА ВСПОЛЬИНСКОЕ ПОЛЕ, ДОМ 11Б</t>
  </si>
  <si>
    <t>Кававин Сергей Евгеньевич</t>
  </si>
  <si>
    <t>59.218806,39.840858</t>
  </si>
  <si>
    <t>ОБЩЕСТВО С ОГРАНИЧЕННОЙ ОТВЕТСТВЕННОСТЬЮ "ВИТЯЗЬ"</t>
  </si>
  <si>
    <t>"ВИТЯЗЬ"</t>
  </si>
  <si>
    <t>3525409261</t>
  </si>
  <si>
    <t>160026, ВОЛОГОДСКАЯ ОБЛАСТЬ, Г. ВОЛОГДА, ПЕР. ВЕРХНИЙ, Д. 19</t>
  </si>
  <si>
    <t>Масесов Карен Вячеславович</t>
  </si>
  <si>
    <t>+7 (911) 048-88-88'</t>
  </si>
  <si>
    <t>59.218479,39.840939</t>
  </si>
  <si>
    <t>3525308464</t>
  </si>
  <si>
    <t>160026, ВОЛОГОДСКАЯ ОБЛАСТЬ, Г. ВОЛОГДА, УЛ. НАРОДНАЯ, Д.34</t>
  </si>
  <si>
    <t>Калашников Игнат Григорьевич</t>
  </si>
  <si>
    <t>ruskamen_v@mail.ru'</t>
  </si>
  <si>
    <t>47.263427,39.840948</t>
  </si>
  <si>
    <t>ОБЩЕСТВО С ОГРАНИЧЕННОЙ ОТВЕТСТВЕННОСТЬЮ "СТРОЙФОРМ"</t>
  </si>
  <si>
    <t>"СТРОЙФОРМ"</t>
  </si>
  <si>
    <t>6102071844</t>
  </si>
  <si>
    <t>346720, РОСТОВСКАЯ ОБЛ, АКСАЙСКИЙ Р-Н, АКСАЙ Г, ПОРОХОВАЯ БАЛКА УЛ, ДОМ 6, ОФИС 9</t>
  </si>
  <si>
    <t>Сюсюкин Алексей Владимирович</t>
  </si>
  <si>
    <t>+7 (863) 226-99-29', '+7 (863) 291-90-38', '+7 (863) 291-90-37', '+7 (863) 279-56-53', '+7 (863) 295-51-76', '+7 (863) 112-22-89'</t>
  </si>
  <si>
    <t>64.5667,39.853156</t>
  </si>
  <si>
    <t>ОБЩЕСТВО С ОГРАНИЧЕННОЙ ОТВЕТСТВЕННОСТЬЮ "СЕВЕРБЕТОН"</t>
  </si>
  <si>
    <t>"СЕВЕРБЕТОН"</t>
  </si>
  <si>
    <t>2902077069</t>
  </si>
  <si>
    <t>164500, АРХАНГЕЛЬСКАЯ ОБЛАСТЬ, ГОРОД СЕВЕРОДВИНСК, УЛИЦА ЖЕЛЕЗНОДОРОЖНАЯ, 19, 57</t>
  </si>
  <si>
    <t>Замятин Андрей Владимирович</t>
  </si>
  <si>
    <t>+7 (911) 670-17-77'</t>
  </si>
  <si>
    <t>64.578132,39.862489</t>
  </si>
  <si>
    <t>ОБЩЕСТВО С ОГРАНИЧЕННОЙ ОТВЕТСТВЕННОСТЬЮ "СОВРЕМЕННЫЙ ЗАВОД СТРОИТЕЛЬНЫХ МАТЕРИАЛОВ"</t>
  </si>
  <si>
    <t>"СОВРЕМЕННЫЙ ЗАВОД СТРОИТЕЛЬНЫХ МАТЕРИАЛОВ"</t>
  </si>
  <si>
    <t>2902088832</t>
  </si>
  <si>
    <t>164500, Архангельская область, городской округ СЕВЕРОДВИНСК, Город СЕВЕРОДВИНСК, Ш АРХАНГЕЛЬСКОЕ, Д. 31, ПОМЕЩ. 2</t>
  </si>
  <si>
    <t>Тюряпин Андрей Сергеевич</t>
  </si>
  <si>
    <t>54.583608,39.862615</t>
  </si>
  <si>
    <t>ОБЩЕСТВО С ОГРАНИЧЕННОЙ ОТВЕТСТВЕННОСТЬЮ "ПЕНОБЛОКСТРОЙ"</t>
  </si>
  <si>
    <t>"ПЕНОБЛОКСТРОЙ"</t>
  </si>
  <si>
    <t>6215031948</t>
  </si>
  <si>
    <t>390047, РЯЗАНСКАЯ ОБЛ, РЯЗАНСКИЙ Р-Н, ВИШНЕВКА Д, 2-Й ВИШНЁВЫЙ ПР, ДОМ 8</t>
  </si>
  <si>
    <t>+7 (903) 839-35-94'</t>
  </si>
  <si>
    <t>59.207489,39.867789</t>
  </si>
  <si>
    <t>ОБЩЕСТВО С ОГРАНИЧЕННОЙ ОТВЕТСТВЕННОСТЬЮ "ЗАВОД ЖЕЛЕЗОБЕТОННЫХ КОНСТРУКЦИЙ ВСЗ"</t>
  </si>
  <si>
    <t>"ЗАВОД ЖЕЛЕЗОБЕТОННЫХ КОНСТРУКЦИЙ ВСЗ"</t>
  </si>
  <si>
    <t>3525356210</t>
  </si>
  <si>
    <t>160017, ВОЛОГОДСКАЯ ОБЛАСТЬ, Г. ВОЛОГДА, ПР-Д ГОВОРОВСКИЙ, Д. 4, ПОМЕЩ. 1</t>
  </si>
  <si>
    <t>Проворов Юрий Борисович</t>
  </si>
  <si>
    <t>+7 (911) 523-77-17', '+7 (921) 716-30-07'</t>
  </si>
  <si>
    <t>peo@zbkvsz.ru', 'Priemnaya@zbkvsz.ru'</t>
  </si>
  <si>
    <t>44.79342,39.867942</t>
  </si>
  <si>
    <t>ОБЩЕСТВО С ОГРАНИЧЕННОЙ ОТВЕТСТВЕННОСТЬЮ "СПЕЦЖЕЛЕЗОБЕТОН-ЮГ"</t>
  </si>
  <si>
    <t>"СПЕЦЖЕЛЕЗОБЕТОН-ЮГ"</t>
  </si>
  <si>
    <t>2303028626</t>
  </si>
  <si>
    <t>http://sgb-yug.ru</t>
  </si>
  <si>
    <t>352634, КРАСНОДАРСКИЙ КРАЙ, Р-Н БЕЛОРЕЧЕНСКИЙ, Г. БЕЛОРЕЧЕНСК, УЛ. ЛАЗУРНАЯ, Д. 4,..</t>
  </si>
  <si>
    <t>Перваков Иван Сергеевич</t>
  </si>
  <si>
    <t>+7 (918) 465-82-21', '+7 (918) 355-46-06'</t>
  </si>
  <si>
    <t>59.193569,39.86946</t>
  </si>
  <si>
    <t>ОБЩЕСТВО С ОГРАНИЧЕННОЙ ОТВЕТСТВЕННОСТЬЮ "ПРОИЗВОДСТВЕННО-ТОРГОВАЯ КОМПАНИЯ "ВЛАСТКОЛ"</t>
  </si>
  <si>
    <t>"ПРОИЗВОДСТВЕННО-ТОРГОВАЯ КОМПАНИЯ "ВЛАСТКОЛ"</t>
  </si>
  <si>
    <t>3525430312</t>
  </si>
  <si>
    <t>160022, ВОЛОГОДСКАЯ ОБЛАСТЬ, ГОРОД ВОЛОГДА, УЛИЦА НОВГОРОДСКАЯ, ДОМ 35,..</t>
  </si>
  <si>
    <t>Онучин Владислав Алексеевич</t>
  </si>
  <si>
    <t>47.262992,39.871634</t>
  </si>
  <si>
    <t>ОБЩЕСТВО С ОГРАНИЧЕННОЙ ОТВЕТСТВЕННОСТЬЮ  ПРОИЗВОДСТВЕННО КОММЕРЧЕСКАЯ ФИРМА "ВОЗРОЖДЕНИЕ"</t>
  </si>
  <si>
    <t xml:space="preserve"> ПРОИЗВОДСТВЕННО КОММЕРЧЕСКАЯ ФИРМА "ВОЗРОЖДЕНИЕ"</t>
  </si>
  <si>
    <t>6102018470</t>
  </si>
  <si>
    <t>РОСТОВСКАЯ ОБЛ.,Г АКСАЙ,УЛ ШЕВЧЕНКО, 95</t>
  </si>
  <si>
    <t>Запорожцева Валентина Сергеевна</t>
  </si>
  <si>
    <t>+7 (863) 505-60-06', '+7 (928) 160-91-29'</t>
  </si>
  <si>
    <t>57.634062,39.871823</t>
  </si>
  <si>
    <t>7602130151</t>
  </si>
  <si>
    <t>150040, ЯРОСЛАВСКАЯ ОБЛАСТЬ, ГОРОД ЯРОСЛАВЛЬ, УЛИЦА ПОБЕДЫ, ДОМ 29, ОФИС 11</t>
  </si>
  <si>
    <t>Ларионова Екатерина Александровна</t>
  </si>
  <si>
    <t>+7 (965) 726-60-66'</t>
  </si>
  <si>
    <t>57.631768,39.872209</t>
  </si>
  <si>
    <t>ОБЩЕСТВО С ОГРАНИЧЕННОЙ ОТВЕТСТВЕННОСТЬЮ "ЖБ ИНДУСТРИЯ"</t>
  </si>
  <si>
    <t>"ЖБ ИНДУСТРИЯ"</t>
  </si>
  <si>
    <t>7604301691</t>
  </si>
  <si>
    <t>150000, ЯРОСЛАВСКАЯ ОБЛ, ЯРОСЛАВЛЬ Г, НЕКРАСОВА УЛ, ДОМ 41, ПОМЕЩЕНИЕ 5 ОФИС 305</t>
  </si>
  <si>
    <t>Харитонов Сергей Алексеевич</t>
  </si>
  <si>
    <t>yarkolco@yandex.ru'</t>
  </si>
  <si>
    <t>57.630867,39.873278</t>
  </si>
  <si>
    <t>7604347544</t>
  </si>
  <si>
    <t>150000, ЯРОСЛАВСКАЯ ОБЛАСТЬ, ГОРОД ЯРОСЛАВЛЬ, УЛИЦА НЕКРАСОВА, ДОМ 41, ЛИТЕР А, ПОМЕЩЕНИЕ 5 ОФИС 305</t>
  </si>
  <si>
    <t>Пулин Никита Сергеевич</t>
  </si>
  <si>
    <t>ОБЩЕСТВО С ОГРАНИЧЕННОЙ ОТВЕТСТВЕННОСТЬЮ "ЯРБРУСЧАТКА"</t>
  </si>
  <si>
    <t>"ЯРБРУСЧАТКА"</t>
  </si>
  <si>
    <t>7604356980</t>
  </si>
  <si>
    <t>150000, ЯРОСЛАВСКАЯ ОБЛАСТЬ, ГОРОД ЯРОСЛАВЛЬ, УЛИЦА НЕКРАСОВА, ДОМ 41, ЛИТЕР А1, ОФИС 511</t>
  </si>
  <si>
    <t>Орлов Сергей Александрович</t>
  </si>
  <si>
    <t>59.196836,39.875003</t>
  </si>
  <si>
    <t>ОБЩЕСТВО С ОГРАНИЧЕННОЙ ОТВЕТСТВЕННОСТЬЮ "ПРОИЗВОДСТВЕННАЯ КОМПАНИЯ "ВОЛОГОДСКИЙ ЖЕЛЕЗОБЕТОН"</t>
  </si>
  <si>
    <t>"ПРОИЗВОДСТВЕННАЯ КОМПАНИЯ "ВОЛОГОДСКИЙ ЖЕЛЕЗОБЕТОН"</t>
  </si>
  <si>
    <t>3525449289</t>
  </si>
  <si>
    <t>160022, ВОЛОГОДСКАЯ ОБЛАСТЬ, Г. ВОЛОГДА, УЛ. ЯРОСЛАВСКАЯ, Д. 29А,..</t>
  </si>
  <si>
    <t>Гизатулина Нина Шамильевна</t>
  </si>
  <si>
    <t>57.62586,39.875371</t>
  </si>
  <si>
    <t>ОБЩЕСТВО С ОГРАНИЧЕННОЙ ОТВЕТСТВЕННОСТЬЮ "ПОТОК"</t>
  </si>
  <si>
    <t>"ПОТОК"</t>
  </si>
  <si>
    <t>7604370127</t>
  </si>
  <si>
    <t>150000, ЯРОСЛАВСКАЯ ОБЛАСТЬ, ГОРОД ЯРОСЛАВЛЬ, УЛИЦА СВОБОДЫ, ДОМ 34, ОФИС 10</t>
  </si>
  <si>
    <t>Шилов Василий Сергеевич</t>
  </si>
  <si>
    <t>59.21163,39.880357</t>
  </si>
  <si>
    <t>ОБЩЕСТВО С ОГРАНИЧЕННОЙ ОТВЕТСТВЕННОСТЬЮ "ВологодскаяКонсалтинговаяКомпания"</t>
  </si>
  <si>
    <t>"ВологодскаяКонсалтинговаяКомпания"</t>
  </si>
  <si>
    <t>3525272881</t>
  </si>
  <si>
    <t>160009, ВОЛОГОДСКАЯ ОБЛАСТЬ, ГОРОД ВОЛОГДА, УЛИЦА МИРА, 82, 511</t>
  </si>
  <si>
    <t>Рудакова Лидия Васильевна</t>
  </si>
  <si>
    <t>+7 (953) 506-10-06'</t>
  </si>
  <si>
    <t>57.625513,39.882701</t>
  </si>
  <si>
    <t>ОБЩЕСТВО С ОГРАНИЧЕННОЙ ОТВЕТСТВЕННОСТЬЮ "РЖБ"</t>
  </si>
  <si>
    <t>"РЖБ"</t>
  </si>
  <si>
    <t>7604297526</t>
  </si>
  <si>
    <t>http://rybinsk-beton.ru</t>
  </si>
  <si>
    <t>150000, ЯРОСЛАВСКАЯ ОБЛ, ЯРОСЛАВЛЬ Г, СВОБОДЫ УЛ, ДОМ 2, ОФИС 417</t>
  </si>
  <si>
    <t>Трофимов Иван Владимирович</t>
  </si>
  <si>
    <t>57.614813,39.884462</t>
  </si>
  <si>
    <t>ОБЩЕСТВО С ОГРАНИЧЕННОЙ ОТВЕТСТВЕННОСТЬЮ "РОСТСТРОЙБЕТОН"</t>
  </si>
  <si>
    <t>"РОСТСТРОЙБЕТОН"</t>
  </si>
  <si>
    <t>7604328196</t>
  </si>
  <si>
    <t>150001, ЯРОСЛАВСКАЯ ОБЛ, ЯРОСЛАВЛЬ Г, МОСКОВСКИЙ ПР-КТ, ДОМ 1/2, ЛИТЕР А, ОФИС 1</t>
  </si>
  <si>
    <t>Медянко Дмитрий Васильевич</t>
  </si>
  <si>
    <t>59.233204,39.886088</t>
  </si>
  <si>
    <t>0БЩЕСТВО С ОГРАНИЧЕННОЙ ОТВЕТСТВЕННОСТЬЮ "КАПИТАЛ СЕВЕРА"</t>
  </si>
  <si>
    <t>3525253286</t>
  </si>
  <si>
    <t>160000, ВОЛОГОДСКАЯ ОБЛАСТЬ, Г. ВОЛОГДА, УЛ. ЛЕДЕНЦОВА, Д.10Б,..</t>
  </si>
  <si>
    <t>Котов Александр Геннадьевич</t>
  </si>
  <si>
    <t>+7 (921) 722-10-25'</t>
  </si>
  <si>
    <t>44.741374,39.886816</t>
  </si>
  <si>
    <t>ОБЩЕСТВО С ОГРАНИЧЕННОЙ ОТВЕТСТВЕННОСТЬЮ "СПЕЦЖЕЛЕЗОБЕТОНЮГ"</t>
  </si>
  <si>
    <t>"СПЕЦЖЕЛЕЗОБЕТОНЮГ"</t>
  </si>
  <si>
    <t>2368012695</t>
  </si>
  <si>
    <t>352630, КРАСНОДАРСКИЙ КРАЙ, БЕЛОРЕЧЕНСКИЙ Р-Н, БЕЛОРЕЧЕНСК Г, МАЙКОПСКОЕ ШОССЕ УЛ, ДОМ 4, ОФИС 1</t>
  </si>
  <si>
    <t>+7 (918) 434-58-00'</t>
  </si>
  <si>
    <t>47.260748,39.888046</t>
  </si>
  <si>
    <t>6102061959</t>
  </si>
  <si>
    <t>346720, РОСТОВСКАЯ ОБЛАСТЬ, Р-Н АКСАЙСКИЙ, Г. АКСАЙ, УЛ. НАБЕРЕЖНАЯ, Д.197,..</t>
  </si>
  <si>
    <t>Каплунов Константин Андреевич</t>
  </si>
  <si>
    <t>+7 (918) 591-24-49', '+7 (961) 332-37-30'</t>
  </si>
  <si>
    <t>belkina_ludmila@yanamebel.ru'</t>
  </si>
  <si>
    <t>44.747904,39.88863</t>
  </si>
  <si>
    <t>ОБЩЕСТВО С ОГРАНИЧЕННОЙ ОТВЕТСТВЕННОСТЬЮ НАУЧНО-ПРОИЗВОДСТВЕННЫЙ ЦЕНТР "ЭКОРЕСТ" (ЭКОЛОГИЯ, РЕСУРСЫ, ТЕХНОЛОГИЯ)</t>
  </si>
  <si>
    <t>НАУЧНО-ПРОИЗВОДСТВЕННЫЙ ЦЕНТР "ЭКОРЕСТ" (ЭКОЛОГИЯ, РЕСУРСЫ, ТЕХНОЛОГИЯ)</t>
  </si>
  <si>
    <t>2303000540</t>
  </si>
  <si>
    <t>КРАСНОДАРСКИЙ КРАЙ,Г БЕЛОРЕЧЕНСК,УЛ АЭРОДРОМНАЯ, Д 19 А</t>
  </si>
  <si>
    <t>Дударь Наталья Васильевна</t>
  </si>
  <si>
    <t>ОБЩЕСТВО С ОГРАНИЧЕННОЙ ОТВЕТСТВЕННОСТЬЮ ПРЕДПРИЯТИЕ ПО ПРОИЗВОДСТВУ ЖЕЛЕЗОБЕТОННЫХ ИЗДЕЛИЙ "ЭКОРЕСТ"</t>
  </si>
  <si>
    <t>ПРЕДПРИЯТИЕ ПО ПРОИЗВОДСТВУ ЖЕЛЕЗОБЕТОННЫХ ИЗДЕЛИЙ "ЭКОРЕСТ"</t>
  </si>
  <si>
    <t>2303026989</t>
  </si>
  <si>
    <t>57.625272,39.888963</t>
  </si>
  <si>
    <t>ОБЩЕСТВО С ОГРАНИЧЕННОЙ ОТВЕТСТВЕННОСТЬЮ "ЯРОСЛАВСКИЙ ЖЕЛЕЗОБЕТОН"</t>
  </si>
  <si>
    <t>"ЯРОСЛАВСКИЙ ЖЕЛЕЗОБЕТОН"</t>
  </si>
  <si>
    <t>7602102637</t>
  </si>
  <si>
    <t>http://gbi-kzn.ru</t>
  </si>
  <si>
    <t>Г ЯРОСЛАВЛЬ,ДЕПУТАТСКИЙ ПЕР, 4</t>
  </si>
  <si>
    <t>Шатохин Кирилл Александрович</t>
  </si>
  <si>
    <t>+7 (910) 971-89-77'</t>
  </si>
  <si>
    <t>59.189425,39.89314</t>
  </si>
  <si>
    <t>ОБЩЕСТВО С ОГРАНИЧЕННОЙ ОТВЕТСТВЕННОСТЬЮ ПРОИЗВОДСТВЕННАЯ КОМПАНИЯ "КОНСТРУКТОР"</t>
  </si>
  <si>
    <t>ПРОИЗВОДСТВЕННАЯ КОМПАНИЯ "КОНСТРУКТОР"</t>
  </si>
  <si>
    <t>3525407560</t>
  </si>
  <si>
    <t>160032, ВОЛОГОДСКАЯ ОБЛАСТЬ, Г. ВОЛОГДА, ПР-Д ОСАНОВСКИЙ, Д. 29,..</t>
  </si>
  <si>
    <t>Жуков Олег Георгиевич</t>
  </si>
  <si>
    <t>+7 (981) 431-23-98'</t>
  </si>
  <si>
    <t>57.601042,39.893742</t>
  </si>
  <si>
    <t>ОБЩЕСТВО С ОГРАНИЧЕННОЙ ОТВЕТСТВЕННОСТЬЮ ПРОИЗВОДСТВЕННАЯ КОМПАНИЯ "БАЗИС"</t>
  </si>
  <si>
    <t>ПРОИЗВОДСТВЕННАЯ КОМПАНИЯ "БАЗИС"</t>
  </si>
  <si>
    <t>7604375781</t>
  </si>
  <si>
    <t>150001, ЯРОСЛАВСКАЯ ОБЛ., Г. Ярославль, УЛ. ПЕСОЧНАЯ, Д. 22А, ОФИС 3</t>
  </si>
  <si>
    <t>Чеглеев Алексей Николаевич</t>
  </si>
  <si>
    <t>PKBAZIS@LIST.RU'</t>
  </si>
  <si>
    <t>57.626559,39.893813</t>
  </si>
  <si>
    <t>ОБЩЕСТВО С ОГРАНИЧЕННОЙ ОТВЕТСТВЕННОСТЬЮ "МБЕТОН"</t>
  </si>
  <si>
    <t>"МБЕТОН"</t>
  </si>
  <si>
    <t>7604378052</t>
  </si>
  <si>
    <t>150047, ЯРОСЛАВСКАЯ ОБЛ., Г. Ярославль, УЛ. УГЛИЧСКАЯ, Д. 39В, ОФИС 113, ЛИТЕР В</t>
  </si>
  <si>
    <t>Цуренков Никита Евгеньевич</t>
  </si>
  <si>
    <t>57.609987,39.894038</t>
  </si>
  <si>
    <t>ОБЩЕСТВО С ОГРАНИЧЕННОЙ ОТВЕТСТВЕННОСТЬЮ "ПРОМТЕХМОНТАЖ - ЖБИ"</t>
  </si>
  <si>
    <t>"ПРОМТЕХМОНТАЖ - ЖБИ"</t>
  </si>
  <si>
    <t>7604377806</t>
  </si>
  <si>
    <t>150001, ЯРОСЛАВСКАЯ ОБЛ., Г. Ярославль, УЛ. МЕЛЬНИЧНАЯ, Д. 43, ПОМЕЩ. 41</t>
  </si>
  <si>
    <t>Трубников Александр Владимирович</t>
  </si>
  <si>
    <t>AV@MAIL.RU'</t>
  </si>
  <si>
    <t>59.214965,39.894586</t>
  </si>
  <si>
    <t>ОБЩЕСТВО С ОГРАНИЧЕННОЙ ОТВЕТСТВЕННОСТЬЮ "ПРОМРЕСУРС-БЕТОН"</t>
  </si>
  <si>
    <t>"ПРОМРЕСУРС-БЕТОН"</t>
  </si>
  <si>
    <t>3525476941</t>
  </si>
  <si>
    <t>160000, Вологодская область, ГОРОД ВОЛОГДА, Г ВОЛОГДА, УЛ КОЗЛЕНСКАЯ, Д. 35</t>
  </si>
  <si>
    <t>Смирнов Дмитрий Александрович</t>
  </si>
  <si>
    <t>59.188941,39.897335</t>
  </si>
  <si>
    <t>ОБЩЕСТВО С ОГРАНИЧЕННОЙ ОТВЕТСТВЕННОСТЬЮ "ФАРИС"</t>
  </si>
  <si>
    <t>"ФАРИС"</t>
  </si>
  <si>
    <t>3525368061</t>
  </si>
  <si>
    <t>160032, ВОЛОГОДСКАЯ ОБЛАСТЬ, Г. ВОЛОГДА, УЛ. МАРШАЛА КОНЕВА, Д. 18 В,..</t>
  </si>
  <si>
    <t>Любимов Илья Валерьевич</t>
  </si>
  <si>
    <t>+7 (953) 506-02-07'</t>
  </si>
  <si>
    <t>oliabar@bk.ru'</t>
  </si>
  <si>
    <t>59.212298,39.897928</t>
  </si>
  <si>
    <t>ОБЩЕСТВО С ОГРАНИЧЕННОЙ ОТВЕТСТВЕННОСТЬЮ "ПРОИЗВОДСТВЕННАЯ КОМПАНИЯ "ВЛАСТКОЛ"</t>
  </si>
  <si>
    <t>"ПРОИЗВОДСТВЕННАЯ КОМПАНИЯ "ВЛАСТКОЛ"</t>
  </si>
  <si>
    <t>3525473757</t>
  </si>
  <si>
    <t>160011, Вологодская область, городской округ ГОРОД ВОЛОГДА, Город ВОЛОГДА, УЛ КОЗЛЕНСКАЯ, Д. 62,..</t>
  </si>
  <si>
    <t>Лугина Александра Владимировна</t>
  </si>
  <si>
    <t>DANILOVA35@YANDEX.RU'</t>
  </si>
  <si>
    <t>43.467079,39.899733</t>
  </si>
  <si>
    <t>ОБЩЕСТВО С ОГРАНИЧЕННОЙ ОТВЕТСТВЕННОСТЬЮ "ПРОМАТ ГРУПП"</t>
  </si>
  <si>
    <t>"ПРОМАТ ГРУПП"</t>
  </si>
  <si>
    <t>2367018278</t>
  </si>
  <si>
    <t>354340, КРАСНОДАРСКИЙ КРАЙ, Г. Сочи, УЛ. ЛЕНИНА, Д. 219/35, ПОМЕЩ. 3В</t>
  </si>
  <si>
    <t>Топчиян Леонид Сергеевич</t>
  </si>
  <si>
    <t>47.816135,39.904512</t>
  </si>
  <si>
    <t>ОБЩЕСТВО С ОГРАНИЧЕННОЙ ОТВЕТСТВЕННОСТЬЮ "НОВОШАХТИНСКИЕ СТРОИТЕЛЬНЫЕ МАТЕРИАЛЫ"</t>
  </si>
  <si>
    <t>"НОВОШАХТИНСКИЕ СТРОИТЕЛЬНЫЕ МАТЕРИАЛЫ"</t>
  </si>
  <si>
    <t>6151019117</t>
  </si>
  <si>
    <t>346909, РОСТОВСКАЯ ОБЛАСТЬ, Г. НОВОШАХТИНСК, УЛ. ПРИВОКЗАЛЬНАЯ, Д. 142</t>
  </si>
  <si>
    <t>Донцов Игорь Александрович</t>
  </si>
  <si>
    <t>+7 (928) 270-17-27', '+7 (989) 709-09-54'</t>
  </si>
  <si>
    <t>6151019283</t>
  </si>
  <si>
    <t>346901, РОСТОВСКАЯ ОБЛАСТЬ, Г. НОВОШАХТИНСК, УЛ. ПРИВОКЗАЛЬНАЯ, Д. 142</t>
  </si>
  <si>
    <t>Никифоров Борис Борисович</t>
  </si>
  <si>
    <t>+7 (928) 159-92-27'</t>
  </si>
  <si>
    <t>CHERVE@YANDEX.RU'</t>
  </si>
  <si>
    <t>ОБЩЕСТВО С ОГРАНИЧЕННОЙ ОТВЕТСТВЕННОСТЬЮ "НОВОШАХТИНСКИЙ ЗАВОД СТРОИТЕЛЬНЫХ МАТЕРИАЛОВ"</t>
  </si>
  <si>
    <t>"НОВОШАХТИНСКИЙ ЗАВОД СТРОИТЕЛЬНЫХ МАТЕРИАЛОВ"</t>
  </si>
  <si>
    <t>6151020271</t>
  </si>
  <si>
    <t>346909, РОСТОВСКАЯ ОБЛАСТЬ, ГОРОД НОВОШАХТИНСК, УЛИЦА ПРИВОКЗАЛЬНАЯ, ДОМ 142, ОФИС 1</t>
  </si>
  <si>
    <t>Донцова Светлана Андреевна</t>
  </si>
  <si>
    <t>+7 (988) 251-52-88'</t>
  </si>
  <si>
    <t>6151346107</t>
  </si>
  <si>
    <t>346909, РОСТОВСКАЯ ОБЛАСТЬ, ГОРОД НОВОШАХТИНСК, УЛИЦА ПРИВОКЗАЛЬНАЯ, 142</t>
  </si>
  <si>
    <t>+7 (863) 623-66-99'</t>
  </si>
  <si>
    <t>47.788246,39.908303</t>
  </si>
  <si>
    <t>ОБЩЕСТВО С ОГРАНИЧЕННОЙ ОТВЕТСТВЕННОСТЬЮ "ИНТЕГРАЦИЯ"</t>
  </si>
  <si>
    <t>"ИНТЕГРАЦИЯ"</t>
  </si>
  <si>
    <t>6151010837</t>
  </si>
  <si>
    <t>РОСТОВСКАЯ ОБЛ.,Г НОВОШАХТИНСК,УЛ ТРАМВАЙНАЯ, 1</t>
  </si>
  <si>
    <t>Баширов Халид Магомедович</t>
  </si>
  <si>
    <t>AVEM@INBOX.RU'</t>
  </si>
  <si>
    <t>43.471933,39.909013</t>
  </si>
  <si>
    <t>ОБЩЕСТВО С ОГРАНИЧЕННОЙ ОТВЕТСТВЕННОСТЬЮ "ГЛОРИЯ"</t>
  </si>
  <si>
    <t>"ГЛОРИЯ"</t>
  </si>
  <si>
    <t>2367005462</t>
  </si>
  <si>
    <t>354340, КРАСНОДАРСКИЙ КРАЙ, ГОРОД СОЧИ, УЛИЦА ИЗВЕСТИНСКАЯ (АДЛЕРСКИЙ Р-Н), ДОМ 45</t>
  </si>
  <si>
    <t>Асланян Валерий Георгиевич</t>
  </si>
  <si>
    <t>+7 (918) 900-99-11'</t>
  </si>
  <si>
    <t>59.19255,39.911385</t>
  </si>
  <si>
    <t>ОБЩЕСТВО С ОГРАНИЧЕННОЙ ОТВЕТСТВЕННОСТЬЮ "ЗАВОД ГИПСОВЫХ ИЗДЕЛИЙ"</t>
  </si>
  <si>
    <t>"ЗАВОД ГИПСОВЫХ ИЗДЕЛИЙ"</t>
  </si>
  <si>
    <t>3525475514</t>
  </si>
  <si>
    <t>160032, ВОЛОГОДСКАЯ ОБЛ., Г. Вологда, УЛ. ПРИГОРОДНАЯ, Д. 10,..</t>
  </si>
  <si>
    <t>Изотов Александр Сергеевич</t>
  </si>
  <si>
    <t>ANUTA_VYU@MAIL.RU'</t>
  </si>
  <si>
    <t>43.497744,39.912418</t>
  </si>
  <si>
    <t>ОБЩЕСТВО С ОГРАНИЧЕННОЙ ОТВЕТСТВЕННОСТЬЮ "ЛИДЕРБЛОК"</t>
  </si>
  <si>
    <t>"ЛИДЕРБЛОК"</t>
  </si>
  <si>
    <t>2367019867</t>
  </si>
  <si>
    <t>354066, Краснодарский край, городской округ ГОРОД-КУРОРТ СОЧИ, Город СОЧИ, Р-Н АДЛЕРСКИЙ, УЛ ИСКРЫ, Д. 68,</t>
  </si>
  <si>
    <t>Трохимчук Вадим Борисович</t>
  </si>
  <si>
    <t>59.21204,39.912777</t>
  </si>
  <si>
    <t>ОБЩЕСТВО С ОГРАНИЧЕННОЙ ОТВЕТСТВЕННОСТЬЮ "АВТОУСПЕХ"</t>
  </si>
  <si>
    <t>"АВТОУСПЕХ"</t>
  </si>
  <si>
    <t>3525403358</t>
  </si>
  <si>
    <t>160029, ВОЛОГОДСКАЯ ОБЛАСТЬ, ГОРОД ВОЛОГДА, УЛИЦА МАШИНОСТРОИТЕЛЬНАЯ, ДОМ 19, ОФИС 11</t>
  </si>
  <si>
    <t>Ершова Мария Валерьевна</t>
  </si>
  <si>
    <t>43.448187,39.919829</t>
  </si>
  <si>
    <t>ОБЩЕСТВО С ОГРАНИЧЕНОЙ ОТВЕТСТВЕННОСТЬЮ "АДЛЕРСТРОЙ"</t>
  </si>
  <si>
    <t>7704660006</t>
  </si>
  <si>
    <t>354340, КРАСНОДАРСКИЙ КРАЙ, Г. СОЧИ, УЛ. ГАСТЕЛЛО (АДЛЕРСКИЙ Р-Н), Д. 42, ПОМЕЩ. 58</t>
  </si>
  <si>
    <t>Желонкин Александр Александрович</t>
  </si>
  <si>
    <t>+7 (862) 246-46-00'</t>
  </si>
  <si>
    <t>57.629311,39.920907</t>
  </si>
  <si>
    <t>ОБЩЕСТВО С ОГРАНИЧЕННОЙ ОТВЕТСТВЕННОСТЬЮ "КОМПАНИЯ ПРОМИНВЕСТ"</t>
  </si>
  <si>
    <t>"КОМПАНИЯ ПРОМИНВЕСТ"</t>
  </si>
  <si>
    <t>7603076394</t>
  </si>
  <si>
    <t>150007, ЯРОСЛАВСКАЯ ОБЛ., Г. Ярославль, УЛ. СОЮЗНАЯ, Д. 88,..</t>
  </si>
  <si>
    <t>Плетнев Олег Сергеевич</t>
  </si>
  <si>
    <t>9801010@BK.RU'</t>
  </si>
  <si>
    <t>59.213648,39.924275</t>
  </si>
  <si>
    <t>ОБЩЕСТВО С ОГРАНИЧЕННОЙ ОТВЕТСТВЕННОСТЬЮ "СТРОИМ ДОМ"</t>
  </si>
  <si>
    <t>"СТРОИМ ДОМ"</t>
  </si>
  <si>
    <t>3525455564</t>
  </si>
  <si>
    <t>160029, ВОЛОГОДСКАЯ ОБЛАСТЬ, Г. ВОЛОГДА, УЛ. РАЗИНА, Д. 41, ОФИС 2</t>
  </si>
  <si>
    <t>Смирнов Евгений Владимирович</t>
  </si>
  <si>
    <t>59.197813,39.925111</t>
  </si>
  <si>
    <t>ОБЩЕСТВО С ОГРАНИЧЕННОЙ ОТВЕТСТВЕННОСТЬЮ "СТОУН"</t>
  </si>
  <si>
    <t>"СТОУН"</t>
  </si>
  <si>
    <t>3525451150</t>
  </si>
  <si>
    <t>160012, ВОЛОГОДСКАЯ ОБЛАСТЬ, ГОРОД ВОЛОГДА, ПРОСПЕКТ СОВЕТСКИЙ, ДОМ 164, ОФИС 310</t>
  </si>
  <si>
    <t>Шиловский Дмитрий Николаевич</t>
  </si>
  <si>
    <t>+7 (921) 538-81-01'</t>
  </si>
  <si>
    <t>48.059183,39.926054</t>
  </si>
  <si>
    <t>ОБЩЕСТВО С ОГРАНИЧЕННОЙ ОТВЕТСТВЕННОСТЬЮ "ДОНСТРОЙ"</t>
  </si>
  <si>
    <t>"ДОНСТРОЙ"</t>
  </si>
  <si>
    <t>6144021740</t>
  </si>
  <si>
    <t>347880, РОСТОВСКАЯ ОБЛ, ГУКОВО Г, САЛЬСКАЯ УЛ, ДОМ 14, ОФИС 1</t>
  </si>
  <si>
    <t>Носков Евгений Викторович</t>
  </si>
  <si>
    <t>+7 (908) 185-25-36', '+7 (999) 691-69-26'</t>
  </si>
  <si>
    <t>48.054473,39.927042</t>
  </si>
  <si>
    <t>ОБЩЕСТВО С ОГРАНИЧЕННОЙ ОТВЕТСТВЕННОСТЬЮ "ДОНСТРОЙСЕРВИС"</t>
  </si>
  <si>
    <t>"ДОНСТРОЙСЕРВИС"</t>
  </si>
  <si>
    <t>6144020070</t>
  </si>
  <si>
    <t>347880, Ростовская область, городской округ ГОРОД ГУКОВО, Город ГУКОВО, УЛ КОРОТКАЯ, Д. 1ЖК, КОМ. 10</t>
  </si>
  <si>
    <t>Арутюнян Тигран Сарибекович</t>
  </si>
  <si>
    <t>+7 (908) 515-66-89', '+7 (938) 110-16-93', '+7 (909) 433-52-62'</t>
  </si>
  <si>
    <t>stroy2018@yandex.ru'</t>
  </si>
  <si>
    <t>57.666392,39.929683</t>
  </si>
  <si>
    <t>ОБЩЕСТВО С ОГРАНИЧЕННОЙ ОТВЕТСТВЕННОСТЬЮ "ЛИДЕР ФАСАДА"</t>
  </si>
  <si>
    <t>"ЛИДЕР ФАСАДА"</t>
  </si>
  <si>
    <t>7627048815</t>
  </si>
  <si>
    <t>150020, ЯРОСЛАВСКАЯ ОБЛАСТЬ, Г. ЯРОСЛАВЛЬ, ПР-Д ДОМОСТРОИТЕЛЕЙ, Д. 1, ЛИТЕР И, ПОМЕЩ. 1</t>
  </si>
  <si>
    <t>Шахова Ольга Владимировна</t>
  </si>
  <si>
    <t>+7 (910) 973-64-64'</t>
  </si>
  <si>
    <t>59.211902,39.931884</t>
  </si>
  <si>
    <t>ОБЩЕСТВО С ОГРАНИЧЕННОЙ ОТВЕТСТВЕННОСТЬЮ "МИР КОЛЕЦ"</t>
  </si>
  <si>
    <t>"МИР КОЛЕЦ"</t>
  </si>
  <si>
    <t>3525401752</t>
  </si>
  <si>
    <t>160024, ВОЛОГОДСКАЯ ОБЛАСТЬ, Г. ВОЛОГДА, УЛ. ПУГАЧЕВА, Д. 73Б,..</t>
  </si>
  <si>
    <t>Комаров Артем Андреевич</t>
  </si>
  <si>
    <t>+7 (931) 505-02-05'</t>
  </si>
  <si>
    <t>43.424018,39.933771</t>
  </si>
  <si>
    <t>ОБЩЕСТВО С ОГРАНИЧЕННОЙ ОТВЕТСТВЕННОСТЬЮ "КОМПАНИЯ ПСК"</t>
  </si>
  <si>
    <t>"КОМПАНИЯ ПСК"</t>
  </si>
  <si>
    <t>2317078105</t>
  </si>
  <si>
    <t>354340, КРАСНОДАРСКИЙ КРАЙ, ПГТ СИРИУС, УЛ. ЭНЕРГЕТИКОВ, Д. 11, ОФИС 5</t>
  </si>
  <si>
    <t>Филиппенко Андрей Викторович</t>
  </si>
  <si>
    <t>+7 (967) 328-82-03'</t>
  </si>
  <si>
    <t>sochi@rambler.ru', 'sochi@rambler.ru', 'sochi@rambler.ru'</t>
  </si>
  <si>
    <t>59.208982,39.940355</t>
  </si>
  <si>
    <t>ОБЩЕСТВО С ОГРАНИЧЕННОЙ ОТВЕТСТВЕННОСТЬЮ "БЕТОМИР"</t>
  </si>
  <si>
    <t>"БЕТОМИР"</t>
  </si>
  <si>
    <t>3525421445</t>
  </si>
  <si>
    <t>160024, ВОЛОГОДСКАЯ ОБЛ, ВОЛОГДА Г, КАРЛА МАРКСА УЛ, ДОМ 123В,..</t>
  </si>
  <si>
    <t>Зайцева Ольга Игоревна</t>
  </si>
  <si>
    <t>+7 (953) 501-44-69'</t>
  </si>
  <si>
    <t>59.234332,39.942754</t>
  </si>
  <si>
    <t>ОБЩЕСТВО С ОГРАНИЧЕННОЙ ОТВЕТСТВЕННОСТЬЮ "ТЕПЛОБЛОКСТРОЙ"</t>
  </si>
  <si>
    <t>"ТЕПЛОБЛОКСТРОЙ"</t>
  </si>
  <si>
    <t>3525305618</t>
  </si>
  <si>
    <t>160014, ВОЛОГОДСКАЯ ОБЛАСТЬ, Г. ВОЛОГДА, УЛ. САММЕРА, Д.66А</t>
  </si>
  <si>
    <t>Артамонов Виталий Александрович</t>
  </si>
  <si>
    <t>+7 (921) 236-50-86'</t>
  </si>
  <si>
    <t>etpi35@mail.ru'</t>
  </si>
  <si>
    <t>59.229153,39.944317</t>
  </si>
  <si>
    <t>АКЦИОНЕРНОЕ ОБЩЕСТВО "АГРОСКОН-ЖБИ"</t>
  </si>
  <si>
    <t>"АГРОСКОН-ЖБИ"</t>
  </si>
  <si>
    <t>3525418065</t>
  </si>
  <si>
    <t>160014, ВОЛОГОДСКАЯ ОБЛАСТЬ, Г. ВОЛОГДА, УЛ. ДОРОНИНСКАЯ, Д. 48, ОФИС 7</t>
  </si>
  <si>
    <t>Дурнов Василий Владимирович</t>
  </si>
  <si>
    <t>+7 (921) 713-80-96'</t>
  </si>
  <si>
    <t>59.200564,39.945098</t>
  </si>
  <si>
    <t>ОБЩЕСТВО С ОГРАНИЧЕННОЙ ОТВЕТСТВЕННОСТЬЮ "ЖБИИК"</t>
  </si>
  <si>
    <t>"ЖБИИК"</t>
  </si>
  <si>
    <t>3525436610</t>
  </si>
  <si>
    <t>160012, ВОЛОГОДСКАЯ ОБЛАСТЬ, ГОРОД ВОЛОГДА, УЛИЦА ЭЛЕВАТОРНАЯ, ДОМ 37, ПОМЕЩЕНИЕ 1</t>
  </si>
  <si>
    <t>Сальников Константин Константинович</t>
  </si>
  <si>
    <t>57.638711,39.949419</t>
  </si>
  <si>
    <t>ОБЩЕСТВО С ОГРАНИЧЕННОЙ ОТВЕТСТВЕННОСТЬЮ "ИНВЕСТПРОМ"</t>
  </si>
  <si>
    <t>"ИНВЕСТПРОМ"</t>
  </si>
  <si>
    <t>7603070427</t>
  </si>
  <si>
    <t>150065, ЯРОСЛАВСКАЯ ОБЛ, ЯРОСЛАВЛЬ Г, КРАСНОБОРСКАЯ УЛ, ДОМ 43/18,..</t>
  </si>
  <si>
    <t>Плетнева Наталья Юрьевна</t>
  </si>
  <si>
    <t>52.47324,39.954037</t>
  </si>
  <si>
    <t>ОБЩЕСТВО С ОГРАНИЧЕННОЙ ОТВЕТСТВЕННОСТЬЮ "ЕВРО СЛАТС"</t>
  </si>
  <si>
    <t>"ЕВРО СЛАТС"</t>
  </si>
  <si>
    <t>4802008643</t>
  </si>
  <si>
    <t>399059, ЛИПЕЦКАЯ ОБЛАСТЬ, Р-Н ГРЯЗИНСКИЙ, Г. ГРЯЗИ, УЛ. ГАГАРИНА, Д. 1, К. А, ПОМЕЩ. №2 КАБИНЕТ №46</t>
  </si>
  <si>
    <t>Шашлов Артем Юрьевич</t>
  </si>
  <si>
    <t>+7 (495) 933-83-54'</t>
  </si>
  <si>
    <t>59.182432,39.955061</t>
  </si>
  <si>
    <t>ОБЩЕСТВО С ОГРАНИЧЕННОЙ ОТВЕТСТВЕННОСТЬЮ "СТРОЙИНТЕХ"</t>
  </si>
  <si>
    <t>"СТРОЙИНТЕХ"</t>
  </si>
  <si>
    <t>3525420040</t>
  </si>
  <si>
    <t>160025, ВОЛОГОДСКАЯ ОБЛАСТЬ, ГОРОД ВОЛОГДА, ШОССЕ МОСКОВСКОЕ, ДОМ 44, КАБИНЕТ 2</t>
  </si>
  <si>
    <t>Курбанов Магомедага Мурадагаевич</t>
  </si>
  <si>
    <t>+7 (921) 063-16-31'</t>
  </si>
  <si>
    <t>ОБЩЕСТВО С ОГРАНИЧЕННОЙ ОТВЕТСТВЕННОСТЬЮ "ТЕПЛОБЛОКСТРОЙ ВОЛОГДА"</t>
  </si>
  <si>
    <t>"ТЕПЛОБЛОКСТРОЙ ВОЛОГДА"</t>
  </si>
  <si>
    <t>3525438174</t>
  </si>
  <si>
    <t>160025, ВОЛОГОДСКАЯ ОБЛАСТЬ, ГОРОД ВОЛОГДА, ШОССЕ МОСКОВСКОЕ, ДОМ 44, КАБИНЕТ 2А</t>
  </si>
  <si>
    <t>Лесков Евгений Александрович</t>
  </si>
  <si>
    <t>+7 (964) 670-80-01'</t>
  </si>
  <si>
    <t>51.061469,39.958259</t>
  </si>
  <si>
    <t>ОБЩЕСТВО С ОГРАНИЧЕННОЙ ОТВЕТСТВЕННОСТЬЮ "АКША"</t>
  </si>
  <si>
    <t>"АКША"</t>
  </si>
  <si>
    <t>3666203400</t>
  </si>
  <si>
    <t>397705, ВОРОНЕЖСКАЯ ОБЛ., Р-Н Бобровский, Г. Бобров, ПЕР. ЭНЕРГЕТИКОВ, Д. 38, ОФИС 3</t>
  </si>
  <si>
    <t>Аветисян Акоб Сергеевич</t>
  </si>
  <si>
    <t>+7 (951) 546-49-57'</t>
  </si>
  <si>
    <t>48.05569,39.958851</t>
  </si>
  <si>
    <t>ОБЩЕСТВО С ОГРАНИЧЕННОЙ ОТВЕТСТВЕННОСТЬЮ "ЕВРОПЛИТА"</t>
  </si>
  <si>
    <t>"ЕВРОПЛИТА"</t>
  </si>
  <si>
    <t>6144020746</t>
  </si>
  <si>
    <t>347880, РОСТОВСКАЯ ОБЛАСТЬ, ГОРОД ГУКОВО, УЛИЦА СОВЕТСКАЯ, ДОМ 247</t>
  </si>
  <si>
    <t>Голубь Найля Рефатовна</t>
  </si>
  <si>
    <t>+7 (919) 892-93-39', '+7 (918) 514-10-54', '+7 (951) 524-07-83', '+7 (928) 192-21-21'</t>
  </si>
  <si>
    <t>bux@refavtotrans.ru', 'nellyalst@mail.ru', 'bux@refavtotrans.ru'</t>
  </si>
  <si>
    <t>56.148664,39.959714</t>
  </si>
  <si>
    <t>3323007390</t>
  </si>
  <si>
    <t>601230, ВЛАДИМИРСКАЯ ОБЛАСТЬ, РАЙОН СОБИНСКИЙ, ДЕРЕВНЯ ЕРМОНИНО, УЛИЦА СОВЕТСКАЯ, ДОМ 1А, ОФИС 1</t>
  </si>
  <si>
    <t>Кулагин Алексей Геннадьевич</t>
  </si>
  <si>
    <t>yuliya_kirillova_2012@bk.ru'</t>
  </si>
  <si>
    <t>57.647107,39.960424</t>
  </si>
  <si>
    <t>ОБЩЕСТВО С ОГРАНИЧЕННОЙ ОТВЕТСТВЕННОСТЬЮ "СТРОИТЕЛЬНАЯ КОМПАНИЯ А-СТРОЙ"</t>
  </si>
  <si>
    <t>"СТРОИТЕЛЬНАЯ КОМПАНИЯ А-СТРОЙ"</t>
  </si>
  <si>
    <t>7606128788</t>
  </si>
  <si>
    <t>150065, Ярославская область, ГОРОД ЯРОСЛАВЛЬ, Г ЯРОСЛАВЛЬ, УЛ ПАПАНИНА, Д. 17</t>
  </si>
  <si>
    <t>Арефьев Владимир Сергеевич</t>
  </si>
  <si>
    <t>48.355246,39.961115</t>
  </si>
  <si>
    <t>ОБЩЕСТВО С ОГРАНИЧЕННОЙ ОТВЕТСТВЕННОСТЬЮ "ЮГ ИНВЕСТ СТРОЙ"</t>
  </si>
  <si>
    <t>"ЮГ ИНВЕСТ СТРОЙ"</t>
  </si>
  <si>
    <t>6145010236</t>
  </si>
  <si>
    <t>346341, РОСТОВСКАЯ ОБЛАСТЬ, ГОРОД ДОНЕЦК, ПЕРЕУЛОК ВТОРОЙ АВАРИЙНЫЙ, ДОМ 10</t>
  </si>
  <si>
    <t>Фролова Елена Юрьевна</t>
  </si>
  <si>
    <t>59.20935,39.961232</t>
  </si>
  <si>
    <t>ОБЩЕСТВО С ОГРАНИЧЕННОЙ ОТВЕТСТВЕННОСТЬЮ "ВОЛОГОДСКАЯ БЕТОННАЯ КОМПАНИЯ"</t>
  </si>
  <si>
    <t>"ВОЛОГОДСКАЯ БЕТОННАЯ КОМПАНИЯ"</t>
  </si>
  <si>
    <t>3525440536</t>
  </si>
  <si>
    <t>160012, ВОЛОГОДСКАЯ ОБЛАСТЬ, Г. ВОЛОГДА, УЛ. ТУРУНДАЕВСКАЯ, Д. 29А, ОФИС 2</t>
  </si>
  <si>
    <t>Чурбанов Александр Сергеевич</t>
  </si>
  <si>
    <t>ОБЩЕСТВО С ОГРАНИЧЕННОЙ ОТВЕТСТВЕННОСТЬЮ "ТЕХСТРОЙ"</t>
  </si>
  <si>
    <t>"ТЕХСТРОЙ"</t>
  </si>
  <si>
    <t>3525474077</t>
  </si>
  <si>
    <t>160012, Вологодская область, городской округ ГОРОД ВОЛОГДА, Город ВОЛОГДА, УЛ ТУРУНДАЕВСКАЯ, Д. 29А, ОФИС 3</t>
  </si>
  <si>
    <t>Зыков Алексей Юрьевич</t>
  </si>
  <si>
    <t>TEHSTROYVOL@YANDEX.RU'</t>
  </si>
  <si>
    <t>53.239983,39.962175</t>
  </si>
  <si>
    <t>ОБЩЕСТВО С ОГРАНИЧЕННОЙ ОТВЕТСТВЕННОСТЬЮ "ПОДВАЛЬЧИКЪ"</t>
  </si>
  <si>
    <t>"ПОДВАЛЬЧИКЪ"</t>
  </si>
  <si>
    <t>4818009233</t>
  </si>
  <si>
    <t>399900, ЛИПЕЦКАЯ ОБЛАСТЬ, РАЙОН ЧАПЛЫГИНСКИЙ, ГОРОД ЧАПЛЫГИН, УЛИЦА ВОЛОДАРСКОГО, ДОМ 45, ПОМЕЩЕНИЕ 3</t>
  </si>
  <si>
    <t>Чавриков Андрей Сергеевич</t>
  </si>
  <si>
    <t>57.646934,39.971626</t>
  </si>
  <si>
    <t>ОБЩЕСТВО С ОГРАНИЧЕННОЙ ОТВЕТСТВЕННОСТЬЮ "БЕТОН СИТИ"</t>
  </si>
  <si>
    <t>"БЕТОН СИТИ"</t>
  </si>
  <si>
    <t>7627051046</t>
  </si>
  <si>
    <t>150518, Ярославская область, муниципальный район ЯРОСЛАВСКИЙ, П КРАСНЫЙ БОР, сельское поселение ЗАВОЛЖСКОЕ, КВ-Л ЭКОГОРОД, Д. 1А, ПОМЕЩ. 1</t>
  </si>
  <si>
    <t>Теленков Василий Владимирович</t>
  </si>
  <si>
    <t>59.203633,39.993068</t>
  </si>
  <si>
    <t>ОБЩЕСТВО С ОГРАНИЧЕННОЙ ОТВЕТСТВЕННОСТЬЮ "ДОРОЖНЫЕ ПЛИТЫ"</t>
  </si>
  <si>
    <t>"ДОРОЖНЫЕ ПЛИТЫ"</t>
  </si>
  <si>
    <t>3525446810</t>
  </si>
  <si>
    <t>160012, Вологодская область, городской округ ГОРОД ВОЛОГДА, Город ВОЛОГДА, УЛ ПРОМЫШЛЕННАЯ, Д. 12, ПОМЕЩ. 29</t>
  </si>
  <si>
    <t>Куликов Сергей Николаевич</t>
  </si>
  <si>
    <t>57.671148,40.026072</t>
  </si>
  <si>
    <t>ОБЩЕСТВО С ОГРАНИЧЕННОЙ ОТВЕТСТВЕННОСТЬЮ "ЯРЛИДЕР"</t>
  </si>
  <si>
    <t>"ЯРЛИДЕР"</t>
  </si>
  <si>
    <t>7627054858</t>
  </si>
  <si>
    <t>150027, ЯРОСЛАВСКАЯ ОБЛ., Ярославский Р-Н, ЛН. 6-Я (ОРИОН ТЕР. СНТ), Д. 86</t>
  </si>
  <si>
    <t>Колесников Павел Петрович</t>
  </si>
  <si>
    <t>44.610803,40.026854</t>
  </si>
  <si>
    <t>0105003009</t>
  </si>
  <si>
    <t>Г МАЙКОП,Х ГАВЕРДОВСКИЙ,УЛ 2-АЯ ГАГАРИНА, 8</t>
  </si>
  <si>
    <t>Чернышов Андрей Петрович</t>
  </si>
  <si>
    <t>53.928302,40.044084</t>
  </si>
  <si>
    <t>6206003398</t>
  </si>
  <si>
    <t>РЯЗАНСКАЯ ОБЛ.,Г КОРАБЛИНО,УЛ МАЯКОВСКОГО, Д 31,..</t>
  </si>
  <si>
    <t>Бирюков Олег Евгеньевич</t>
  </si>
  <si>
    <t>44.610463,40.054765</t>
  </si>
  <si>
    <t>0105083460</t>
  </si>
  <si>
    <t>385008, АДЫГЕЯ РЕСП., Г. Майкоп, УЛ. ЮННАТОВ, Д. 2Б,..</t>
  </si>
  <si>
    <t>Гусева Ольга Викторовна</t>
  </si>
  <si>
    <t>54.606272,40.062831</t>
  </si>
  <si>
    <t>ОБЩЕСТВО С ОГРАНИЧЕННОЙ ОТВЕТСТВЕННОСТЬЮ "ЖЕЛЕЗОБЕТОННЫЙ КОМБИНАТ ТЕХНОМОНОЛИТ"</t>
  </si>
  <si>
    <t>"ЖЕЛЕЗОБЕТОННЫЙ КОМБИНАТ ТЕХНОМОНОЛИТ"</t>
  </si>
  <si>
    <t>6215032839</t>
  </si>
  <si>
    <t>390528, РЯЗАНСКАЯ ОБЛ, РЯЗАНСКИЙ Р-Н, МУРМИНО П, ВЕРХНЕ-САДОВАЯ УЛ, ДОМ 7</t>
  </si>
  <si>
    <t>Агеев Сергей Петрович</t>
  </si>
  <si>
    <t>44.62361,40.066335</t>
  </si>
  <si>
    <t>0105008222</t>
  </si>
  <si>
    <t>Г МАЙКОП,УЛ ЗАГОРОДНАЯ, 4</t>
  </si>
  <si>
    <t>Мамгетов Руслан Довлетбиевич</t>
  </si>
  <si>
    <t>47.414358,40.082693</t>
  </si>
  <si>
    <t>ОБЩЕСТВО С ОГРАНИЧЕННОЙ ОТВЕТСТВЕННОСТЬЮ "АРМАТОР"</t>
  </si>
  <si>
    <t>"АРМАТОР"</t>
  </si>
  <si>
    <t>6150101947</t>
  </si>
  <si>
    <t>346428, Ростовская область, ГОРОД НОВОЧЕРКАССК, Г НОВОЧЕРКАССК, УЛ ПРОСВЕЩЕНИЯ, Д. 155А</t>
  </si>
  <si>
    <t>Кутасов Александр Николаевич</t>
  </si>
  <si>
    <t>47.425808,40.095413</t>
  </si>
  <si>
    <t>ОБЩЕСТВО С ОГРАНИЧЕННОЙ ОТВЕТСТВЕННОСТЬЮ "ЗАВОД ЖБИ ЮГ"</t>
  </si>
  <si>
    <t>"ЗАВОД ЖБИ ЮГ"</t>
  </si>
  <si>
    <t>6150097433</t>
  </si>
  <si>
    <t>346407, РОСТОВСКАЯ ОБЛАСТЬ, ГОРОД НОВОЧЕРКАССК, СПУСК ГЕРЦЕНА, ДОМ 19</t>
  </si>
  <si>
    <t>Ильин Денис Владимирович</t>
  </si>
  <si>
    <t>+7 (908) 188-98-80'</t>
  </si>
  <si>
    <t>46.036571,40.103489</t>
  </si>
  <si>
    <t>ОБЩЕСТВО С ОГРАНИЧЕННОЙ ОТВЕТСТВЕННОСТЬЮ "ГРАНДАЛЬЯНС"</t>
  </si>
  <si>
    <t>"ГРАНДАЛЬЯНС"</t>
  </si>
  <si>
    <t>2310189060</t>
  </si>
  <si>
    <t>КРАСНОДАРСКИЙ КРАЙ,ТИХОРЕЦКИЙ Р-Н,П БРАТСКИЙ,УЛ ОКТЯБРЬСКАЯ, 2</t>
  </si>
  <si>
    <t>Рыбас Анастасия Викторовна</t>
  </si>
  <si>
    <t>+7 (952) 814-95-73'</t>
  </si>
  <si>
    <t>47.693919,40.117431</t>
  </si>
  <si>
    <t>ОБЩЕСТВО С ОГРАНИЧЕННОЙ ОТВЕТСТВЕННОСТЬЮ «ЖБИ-ЮФО»</t>
  </si>
  <si>
    <t>«ЖБИ-ЮФО»</t>
  </si>
  <si>
    <t>6155079660</t>
  </si>
  <si>
    <t>346537, РОСТОВСКАЯ ОБЛАСТЬ, Г. ШАХТЫ, УЛ. УСТИНОВА, Д. 85,..</t>
  </si>
  <si>
    <t>Петросян Оганес Карленович</t>
  </si>
  <si>
    <t>its61@inbox.ru'</t>
  </si>
  <si>
    <t>44.628877,40.122911</t>
  </si>
  <si>
    <t>ОБЩЕСТВО С ОГРАНИЧЕННОЙ ОТВЕТСТВЕННОСТЬЮ "Евробетон"</t>
  </si>
  <si>
    <t>"Евробетон"</t>
  </si>
  <si>
    <t>0105070301</t>
  </si>
  <si>
    <t>385000, АДЫГЕЯ РЕСПУБЛИКА, Г. МАЙКОП, УЛ. ШОВГЕНОВА, Д.307</t>
  </si>
  <si>
    <t>Шхалахов Аслан Тагирович</t>
  </si>
  <si>
    <t>+7 (918) 422-00-05', '+7 (877) 257-05-59'</t>
  </si>
  <si>
    <t>44.630346,40.129702</t>
  </si>
  <si>
    <t>ОБЩЕСТВО С ОГРАНИЧЕННОЙ ОТВЕТСТВЕННОСТЬЮ "Фабрика бетонных изделий"</t>
  </si>
  <si>
    <t>"Фабрика бетонных изделий"</t>
  </si>
  <si>
    <t>0105065460</t>
  </si>
  <si>
    <t>http://fabrikabi.ru</t>
  </si>
  <si>
    <t>385000, АДЫГЕЯ РЕСПУБЛИКА, Г. МАЙКОП, УЛ. ИНДУСТРИАЛЬНАЯ, Д.2 Б</t>
  </si>
  <si>
    <t>Ханаху Руслан Заурович</t>
  </si>
  <si>
    <t>Общество с ограниченной ответственностью "Фабрика бетонных изделий МАЙКОП"</t>
  </si>
  <si>
    <t>"Фабрика бетонных изделий МАЙКОП"</t>
  </si>
  <si>
    <t>0105081590</t>
  </si>
  <si>
    <t>385013, АДЫГЕЯ РЕСПУБЛИКА, ГОРОД МАЙКОП, УЛИЦА ИНДУСТРИАЛЬНАЯ, ДОМ 2, КОРПУС Б</t>
  </si>
  <si>
    <t>Напцок Руслан Заурович</t>
  </si>
  <si>
    <t>fabrikabi@mail.ru', 'inna@mail.ru', 'fabrikabi@mail.ru'</t>
  </si>
  <si>
    <t>62.932188,40.138029</t>
  </si>
  <si>
    <t>ОБЩЕСТВО С ОГРАНИЧЕННОЙ ОТВЕТСТВЕННОСТЬЮ "САВИНСКБЕТОН"</t>
  </si>
  <si>
    <t>"САВИНСКБЕТОН"</t>
  </si>
  <si>
    <t>2920012804</t>
  </si>
  <si>
    <t>164288, АРХАНГЕЛЬСКАЯ ОБЛ, ПЛЕСЕЦКИЙ Р-Н, САВИНСКИЙ РП, ВЛАДЕНИЕ ТЕРРИТОРИЯ ЗАЦИ</t>
  </si>
  <si>
    <t>Порохов Олег Екзакустодианович</t>
  </si>
  <si>
    <t>47.709401,40.14748</t>
  </si>
  <si>
    <t>ПРОИЗВОДСТВЕННЫЙ РЕМОНТНО-СТРОИТЕЛЬНЫЙ  КООПЕРАТИВ "ЮЖНЫЙ"</t>
  </si>
  <si>
    <t>6155023019</t>
  </si>
  <si>
    <t>РОСТОВСКАЯ ОБЛ.,Г ШАХТЫ,УЛ ДАЧНАЯ, 297,..</t>
  </si>
  <si>
    <t>Еремин Виктор Николаевич</t>
  </si>
  <si>
    <t>45.903807,40.157397</t>
  </si>
  <si>
    <t>ОБЩЕСТВО С ОГРАНИЧЕННОЙ ОТВЕТСТВЕННОСТЬЮ "ТИХОРЕЦКИЙ ГИПЕРПРЕССОВАННЫЙ КИРПИЧ"</t>
  </si>
  <si>
    <t>"ТИХОРЕЦКИЙ ГИПЕРПРЕССОВАННЫЙ КИРПИЧ"</t>
  </si>
  <si>
    <t>2360012397</t>
  </si>
  <si>
    <t>352101, КРАСНОДАРСКИЙ КРАЙ, Р-Н ТИХОРЕЦКИЙ, СТ-ЦА ФАСТОВЕЦКАЯ, УЛ. ДЛИННАЯ, Д. 62</t>
  </si>
  <si>
    <t>Боровой Николай Николаевич</t>
  </si>
  <si>
    <t>konsalt@mail.ru', 'KONSALT@MAIL.RU'</t>
  </si>
  <si>
    <t>45.839456,40.16126</t>
  </si>
  <si>
    <t>ОБЩЕСТВО С ОГРАНИЧЕННОЙ ОТВЕТСТВЕННОСТЬЮ "Бетон-Мастер ЖБИ"</t>
  </si>
  <si>
    <t>"Бетон-Мастер ЖБИ"</t>
  </si>
  <si>
    <t>2360004420</t>
  </si>
  <si>
    <t>http://beton-masters.ru/index.php?option=com_content&amp;task=view&amp;id=23&amp;Itemid=47</t>
  </si>
  <si>
    <t>352104, КРАСНОДАРСКИЙ КРАЙ, РАЙОН ТИХОРЕЦКИЙ, ПОСЕЛОК ПАРКОВЫЙ, ТЕРРИТОРИЯ ПРОМЗОНА, ДОМ 2 "Б"</t>
  </si>
  <si>
    <t>Деревянко Андрей Николаевич</t>
  </si>
  <si>
    <t>+7 (918) 390-85-97'</t>
  </si>
  <si>
    <t>45.204195,40.187203</t>
  </si>
  <si>
    <t>ОБЩЕСТВО С ОГРАНИЧЕННОЙ ОТВЕТСТВЕННОСТЬЮ "СПЕЦЭНЕРГОЖЕЛЕЗОБЕТОН"</t>
  </si>
  <si>
    <t>"СПЕЦЭНЕРГОЖЕЛЕЗОБЕТОН"</t>
  </si>
  <si>
    <t>2311176314</t>
  </si>
  <si>
    <t>КРАСНОДАРСКИЙ КРАЙ,ТБИЛИССКИЙ Р-Н,СТ-ЦА АЛЕКСЕЕ-ТЕНГИНСКАЯ,ПЕР КОРОТКИЙ 7</t>
  </si>
  <si>
    <t>Моисеев Тимофей Сергеевич</t>
  </si>
  <si>
    <t>+7 (918) 184-00-93'</t>
  </si>
  <si>
    <t>47.716852,40.197893</t>
  </si>
  <si>
    <t>ОБЩЕСТВО С ОГРАНИЧЕННОЙ ОТВЕТСТВЕННОСТЬЮ "БЕТОН-ЮГ"</t>
  </si>
  <si>
    <t>"БЕТОН-ЮГ"</t>
  </si>
  <si>
    <t>6155067584</t>
  </si>
  <si>
    <t>346500, РОСТОВСКАЯ ОБЛ., Г. Шахты, УЛ. СОВЕТСКАЯ, Д. 279, ОФИС 249</t>
  </si>
  <si>
    <t>Бойко Юлия Геннадиевна</t>
  </si>
  <si>
    <t>beton@mail.ru'</t>
  </si>
  <si>
    <t>47.709237,40.215401</t>
  </si>
  <si>
    <t>ОБЩЕСТВО С ОГРАНИЧЕННОЙ ОТВЕТСТВЕННОСТЬЮ "ПРЕДПРИЯТИЕ МАРИЯ"</t>
  </si>
  <si>
    <t>"ПРЕДПРИЯТИЕ МАРИЯ"</t>
  </si>
  <si>
    <t>6162068187</t>
  </si>
  <si>
    <t>http://maria-kirpich.com</t>
  </si>
  <si>
    <t>РОСТОВСКАЯ ОБЛ.,Г ШАХТЫ,УЛ ТЕМЕРНИЦКОГО, 25,..</t>
  </si>
  <si>
    <t>Бареева Елена Михайловна</t>
  </si>
  <si>
    <t>+7 (918) 581-04-90'</t>
  </si>
  <si>
    <t>47.731738,40.218761</t>
  </si>
  <si>
    <t>ОБЩЕСТВО С ОГРАНИЧЕННОЙ ОТВЕТСТВЕННОСТЬЮ "ГРАНДПЛЮС"</t>
  </si>
  <si>
    <t>"ГРАНДПЛЮС"</t>
  </si>
  <si>
    <t>6155074038</t>
  </si>
  <si>
    <t>346513, РОСТОВСКАЯ ОБЛ, ШАХТЫ Г, ЮНЫЙ СПАРТАК УЛ, ДОМ 122</t>
  </si>
  <si>
    <t>ОБЩЕСТВО С ОГРАНИЧЕННОЙ ОТВЕТСТВЕННОСТЬЮ "СТН- ШАХТИНСКИЙ ЗАВОД ЖЕЛЕЗОБЕТОННЫХ ИЗДЕЛИЙ"</t>
  </si>
  <si>
    <t>"СТН- ШАХТИНСКИЙ ЗАВОД ЖЕЛЕЗОБЕТОННЫХ ИЗДЕЛИЙ"</t>
  </si>
  <si>
    <t>6155082102</t>
  </si>
  <si>
    <t>346513, РОСТОВСКАЯ ОБЛАСТЬ, ГОРОД ШАХТЫ, УЛИЦА ЮНЫЙ СПАРТАК, ДОМ 122, ОФИС 1</t>
  </si>
  <si>
    <t>Бутин Юрий Михайлович</t>
  </si>
  <si>
    <t>47.753182,40.242764</t>
  </si>
  <si>
    <t>ОБЩЕСТВО С ОГРАНИЧЕННОЙ ОТВЕТСТВЕННОСТЬЮ «ДОМОСТРОИТЕЛЬНЫЙ КОМБИНАТ ЮГ»</t>
  </si>
  <si>
    <t>«ДОМОСТРОИТЕЛЬНЫЙ КОМБИНАТ ЮГ»</t>
  </si>
  <si>
    <t>6155088915</t>
  </si>
  <si>
    <t>346512, РОСТОВСКАЯ ОБЛАСТЬ, ГОРОД ШАХТЫ, УЛИЦА НАКЛОННАЯ, ДОМ 1А</t>
  </si>
  <si>
    <t>Деланьян Карен Александрович</t>
  </si>
  <si>
    <t>47.750262,40.246681</t>
  </si>
  <si>
    <t>ОБЩЕСТВО С ОГРАНИЧЕННОЙ ОТВЕТСТВЕННОСТЬЮ "МОНОЛИТ - ЮГ"</t>
  </si>
  <si>
    <t>"МОНОЛИТ - ЮГ"</t>
  </si>
  <si>
    <t>6155012602</t>
  </si>
  <si>
    <t>РОСТОВСКАЯ ОБЛ.,Г ШАХТЫ,ПОС СМАГИНА</t>
  </si>
  <si>
    <t>Кильдюшев Павел Васильевич</t>
  </si>
  <si>
    <t>+7 (918) 233-01-06', '+7 (863) 627-92-21', '+7 (863) 627-92-20', '+7 (800) 551-53-11', '+7 (863) 627-92-31'</t>
  </si>
  <si>
    <t>48.318693,40.247345</t>
  </si>
  <si>
    <t>6147003410</t>
  </si>
  <si>
    <t>РОСТОВСКАЯ ОБЛ.,Г КАМЕНСК-ШАХТИНСКИЙ,УЛ 2 ЛИНИЯ, 8</t>
  </si>
  <si>
    <t>Колодяжный Вячеслав Егорович</t>
  </si>
  <si>
    <t>51.100733,40.250525</t>
  </si>
  <si>
    <t>ОБЩЕСТВО С ОГРАНИЧЕННОЙ ОТВЕТСТВЕННОСТЬЮ "НПО Энергосвязьпроект"</t>
  </si>
  <si>
    <t>"НПО Энергосвязьпроект"</t>
  </si>
  <si>
    <t>3602011573</t>
  </si>
  <si>
    <t>397740, ВОРОНЕЖСКАЯ ОБЛ, БОБРОВСКИЙ Р-Н, ХРЕНОВОЕ С, ЧАПАЕВА УЛ, ДОМ 73/4</t>
  </si>
  <si>
    <t>Муковнин Петр Иванович</t>
  </si>
  <si>
    <t>48.331699,40.262958</t>
  </si>
  <si>
    <t>ОБЩЕСТВО С ОГРАНИЧЕННОЙ ОТВЕТСТВЕННОСТЬЮ "АТЛАНТИС ДОН"</t>
  </si>
  <si>
    <t>"АТЛАНТИС ДОН"</t>
  </si>
  <si>
    <t>6147040980</t>
  </si>
  <si>
    <t>347810, РОСТОВСКАЯ ОБЛАСТЬ, ГОРОД КАМЕНСК-ШАХТИНСКИЙ, ПЕРЕУЛОК ЖЕЛЕЗНОДОРОЖНЫЙ, ДОМ 21</t>
  </si>
  <si>
    <t>Лебедева Ирина Николаевна</t>
  </si>
  <si>
    <t>48.304204,40.263192</t>
  </si>
  <si>
    <t>6147030830</t>
  </si>
  <si>
    <t>347803, РОСТОВСКАЯ ОБЛАСТЬ, ГОРОД КАМЕНСК-ШАХТИНСКИЙ, УЛИЦА ПРОФИЛЬНАЯ, 19-Б</t>
  </si>
  <si>
    <t>Восканян Георгий Хачатурович</t>
  </si>
  <si>
    <t>+7 (928) 607-45-74'</t>
  </si>
  <si>
    <t>48.32372,40.269534</t>
  </si>
  <si>
    <t>ОБЩЕСТВО С ОГРАНИЧЕННОЙ ОТВЕТСТВЕННОСТЬЮ «СМЛ ДОН ПРЕМИУМ»</t>
  </si>
  <si>
    <t>«СМЛ ДОН ПРЕМИУМ»</t>
  </si>
  <si>
    <t>6147041335</t>
  </si>
  <si>
    <t>347810, РОСТОВСКАЯ ОБЛ., Г. Каменск-Шахтинский, ПР-КТ КАРЛА МАРКСА, Д. 52,..</t>
  </si>
  <si>
    <t>Погурец Дмитрий Евгеньевич</t>
  </si>
  <si>
    <t>62.721714,40.286404</t>
  </si>
  <si>
    <t>ОБЩЕСТВО С ОГРАНИЧЕННОЙ ОТВЕТСТВЕННОСТЬЮ "ГРАНТ ЖБИ"</t>
  </si>
  <si>
    <t>"ГРАНТ ЖБИ"</t>
  </si>
  <si>
    <t>7802580849</t>
  </si>
  <si>
    <t>164262, АРХАНГЕЛЬСКАЯ ОБЛАСТЬ, РАЙОН ПЛЕСЕЦКИЙ, РАБОЧИЙ ПОСЕЛОК ПЛЕСЕЦК, УЛИЦА ЛЕНИНА, ДОМ 80,..</t>
  </si>
  <si>
    <t>Нечепуренко Дмитрий Николаевич</t>
  </si>
  <si>
    <t>+7 (921) 440-51-61'</t>
  </si>
  <si>
    <t>45.341878,40.332209</t>
  </si>
  <si>
    <t>ОБЩЕСТВО С ОГРАНИЧЕННОЙ ОТВЕТСТВЕННОСТЬЮ "СВЕТЛАНА"</t>
  </si>
  <si>
    <t>"СВЕТЛАНА"</t>
  </si>
  <si>
    <t>2364012782</t>
  </si>
  <si>
    <t>352359, КРАСНОДАРСКИЙ КРАЙ, РАЙОН ТБИЛИССКИЙ, ХУТОР НОВОПЕХОВСКИЙ ПЕРВЫЙ, УЛИЦА ПЕСЧАНАЯ, ДОМ 26</t>
  </si>
  <si>
    <t>Гончарова Любовь Викторовна</t>
  </si>
  <si>
    <t>+7 (985) 163-16-22'</t>
  </si>
  <si>
    <t>56.093415,40.344372</t>
  </si>
  <si>
    <t>ОБЩЕСТВО С ОГРАНИЧЕННОЙ ОТВЕТСТВЕННОСТЬЮ "БОРДЮР"</t>
  </si>
  <si>
    <t>"БОРДЮР"</t>
  </si>
  <si>
    <t>3327133149</t>
  </si>
  <si>
    <t>600033, ВЛАДИМИРСКАЯ ОБЛ, ВЛАДИМИР Г, СКЛАДСКАЯ УЛ, ДОМ 7А, ОФИС 2</t>
  </si>
  <si>
    <t>Заргарян Маро Арменаковна</t>
  </si>
  <si>
    <t>+7 (920) 907-14-98'</t>
  </si>
  <si>
    <t>garant@garant-vladimir'</t>
  </si>
  <si>
    <t>56.093159,40.36825</t>
  </si>
  <si>
    <t>ОБЩЕСТВО С ОГРАНИЧЕННОЙ ОТВЕТСТВЕННОСТЬЮ "СТИЗ"</t>
  </si>
  <si>
    <t>"СТИЗ"</t>
  </si>
  <si>
    <t>3327123888</t>
  </si>
  <si>
    <t>600033, ВЛАДИМИРСКАЯ ОБЛАСТЬ, ГОРОД ВЛАДИМИР, УЛИЦА МОСТОСТРОЕВСКАЯ, 9, ОФИС 3</t>
  </si>
  <si>
    <t>Чижов Дмитрий Александрович</t>
  </si>
  <si>
    <t>monostroi@yandex.ru'</t>
  </si>
  <si>
    <t>56.094957,40.370217</t>
  </si>
  <si>
    <t>ОБЩЕСТВО С ОГРАНИЧЕННОЙ ОТВЕТСТВЕННОСТЬЮ "ИМПЕРИЯ ПРОИЗВОДСТВА"</t>
  </si>
  <si>
    <t>"ИМПЕРИЯ ПРОИЗВОДСТВА"</t>
  </si>
  <si>
    <t>3327142418</t>
  </si>
  <si>
    <t>600033, ВЛАДИМИРСКАЯ ОБЛАСТЬ, ГОРОД ВЛАДИМИР, УЛИЦА МОСТОСТРОЕВСКАЯ, ДОМ 15, ЭТАЖ 2, ОФИС 201</t>
  </si>
  <si>
    <t>Григорян Тигран Эдикович</t>
  </si>
  <si>
    <t>+7 (961) 111-56-66'</t>
  </si>
  <si>
    <t>48.917893,40.371942</t>
  </si>
  <si>
    <t>ОБЩЕСТВО С ОГРАНИЧЕННОЙ ОТВЕТСТВЕННОСТЬЮ "ДОН-КОРН"</t>
  </si>
  <si>
    <t>"ДОН-КОРН"</t>
  </si>
  <si>
    <t>6149007330</t>
  </si>
  <si>
    <t>РОСТОВСКАЯ ОБЛ.,Г МИЛЛЕРОВО,УЛ СОВЕТСКАЯ, 53</t>
  </si>
  <si>
    <t>Кузнецов Сергей Анатольевич</t>
  </si>
  <si>
    <t>+7 (863) 852-68-07', '+7 (863) 852-42-68'</t>
  </si>
  <si>
    <t>54.413763,40.386737</t>
  </si>
  <si>
    <t>6220006753</t>
  </si>
  <si>
    <t>РЯЗАНСКАЯ ОБЛ.,Г СПАССК-РЯЗАНСКИЙ,УЛ УРИЦКОГО, Д 40</t>
  </si>
  <si>
    <t>Волобуев Валентин Викторович</t>
  </si>
  <si>
    <t>56.152043,40.39899</t>
  </si>
  <si>
    <t>ОБЩЕСТВО С ОГРАНИЧЕННОЙ ОТВЕТСТВЕННОСТЬЮ "ВЛАДБЕТОНИНВЕСТ"</t>
  </si>
  <si>
    <t>"ВЛАДБЕТОНИНВЕСТ"</t>
  </si>
  <si>
    <t>3329047689</t>
  </si>
  <si>
    <t>600005, ВЛАДИМИРСКАЯ ОБЛАСТЬ, ГОРОД ВЛАДИМИР, ПРОЕЗД ПРОМЫШЛЕННЫЙ, ДОМ 5Б, ПОМЕЩЕНИЕ 1</t>
  </si>
  <si>
    <t>Юсипов Рифат Аскярович</t>
  </si>
  <si>
    <t>56.129057,40.406635</t>
  </si>
  <si>
    <t>ОБЩЕСТВО С ОГРАНИЧЕННОЙ ОТВЕТСТВЕННОСТЬЮ ЖБИ "ЧЕРНОРУД"</t>
  </si>
  <si>
    <t>ЖБИ "ЧЕРНОРУД"</t>
  </si>
  <si>
    <t>3849057556</t>
  </si>
  <si>
    <t>600009, ВЛАДИМИРСКАЯ ОБЛАСТЬ, ГОРОД ВЛАДИМИР, УЛИЦА ПОЧАЕВСКИЙ ОВРАГ, ДОМ 1, ЭТ/КАБ 3/5</t>
  </si>
  <si>
    <t>Бобкина Елена Николаевна</t>
  </si>
  <si>
    <t>+7 (960) 719-05-05', '+7 (905) 142-04-65'</t>
  </si>
  <si>
    <t>gb@chernorud.ru'</t>
  </si>
  <si>
    <t>56.16819,40.411135</t>
  </si>
  <si>
    <t>ОБЩЕСТВО С ОГРАНИЧЕННОЙ ОТВЕТСТВЕННОСТЬЮ "БТ-ГРУПП33"</t>
  </si>
  <si>
    <t>"БТ-ГРУПП33"</t>
  </si>
  <si>
    <t>3329081680</t>
  </si>
  <si>
    <t>600035, ВЛАДИМИРСКАЯ ОБЛАСТЬ, ГОРОД ВЛАДИМИР, УЛИЦА КУЙБЫШЕВА, ДОМ 28 Н, ЭТАЖ 2, ПОМЕЩЕНИЕ 20</t>
  </si>
  <si>
    <t>Вдовин Михаил Александрович</t>
  </si>
  <si>
    <t>mirnat61@mail.ru'</t>
  </si>
  <si>
    <t>56.154084,40.411656</t>
  </si>
  <si>
    <t>ОБЩЕСТВО С ОГРАНИЧЕННОЙ ОТВЕТСТВЕННОСТЬЮ "ЖБИ-ПРО"</t>
  </si>
  <si>
    <t>"ЖБИ-ПРО"</t>
  </si>
  <si>
    <t>3328012517</t>
  </si>
  <si>
    <t>600009, ВЛАДИМИРСКАЯ ОБЛ, ВЛАДИМИР Г, ПОЛИНЫ ОСИПЕНКО УЛ, ДОМ 53, ОФИС 39</t>
  </si>
  <si>
    <t>Сабирова Елена Александровна</t>
  </si>
  <si>
    <t>+7 (905) 143-01-07'</t>
  </si>
  <si>
    <t>gbipro2016@yandex.ru'</t>
  </si>
  <si>
    <t>56.160606,40.42567</t>
  </si>
  <si>
    <t>ОБЩЕСТВО С ОГРАНИЧЕННОЙ ОТВЕТСТВЕННОСТЬЮ "МЕГАБЛОК"</t>
  </si>
  <si>
    <t>"МЕГАБЛОК"</t>
  </si>
  <si>
    <t>3328020645</t>
  </si>
  <si>
    <t>600007, ВЛАДИМИРСКАЯ ОБЛАСТЬ, ГОРОД ВЛАДИМИР, УЛИЦА 16 ЛЕТ ОКТЯБРЯ, ДОМ 68А, ЭТАЖ 2, ПОМЕЩЕНИЕ 23</t>
  </si>
  <si>
    <t>Гаврилов Сергей Юрьевич</t>
  </si>
  <si>
    <t>medtexnika2016@mail.ru'</t>
  </si>
  <si>
    <t>52.897351,40.445352</t>
  </si>
  <si>
    <t>ОБЩЕСТВО С ОГРАНИЧЕННОЙ ОТВЕТСТВЕННОСТЬЮ "Недра-М"</t>
  </si>
  <si>
    <t>"Недра-М"</t>
  </si>
  <si>
    <t>6827020815</t>
  </si>
  <si>
    <t>68-Тамбовская область</t>
  </si>
  <si>
    <t>393778, ТАМБОВСКАЯ ОБЛАСТЬ, Г. МИЧУРИНСК, УЛ. БЕЛИНСКОГО, Д.1А</t>
  </si>
  <si>
    <t>Макаров Владимир Владимирович</t>
  </si>
  <si>
    <t>52.91061,40.445478</t>
  </si>
  <si>
    <t>6807008697</t>
  </si>
  <si>
    <t>393741, ТАМБОВСКАЯ ОБЛАСТЬ, Р-Н МИЧУРИНСКИЙ, П ЗЕЛЕНЫЙ ГАЙ, УЛ. НОВАЯ ПЛОЩАДКА, Д.4</t>
  </si>
  <si>
    <t>Карпова Марина Алексеевна</t>
  </si>
  <si>
    <t>+7 (961) 618-69-22', '+7 (926) 723-39-03'</t>
  </si>
  <si>
    <t>54.210044,40.469409</t>
  </si>
  <si>
    <t>ОБЩЕСТВО С ОГРАНИЧЕННОЙ ОТВЕТСТВЕННОСТЬЮ "ШЕЛЬФ ТРАНС"</t>
  </si>
  <si>
    <t>"ШЕЛЬФ ТРАНС"</t>
  </si>
  <si>
    <t>6225011404</t>
  </si>
  <si>
    <t>391539, РЯЗАНСКАЯ ОБЛ, ШИЛОВСКИЙ Р-Н, ЛЕСНОЙ РП, СТРОИТЕЛЕЙ УЛ, ДОМ 3,..</t>
  </si>
  <si>
    <t>Колесов Сергей Александрович</t>
  </si>
  <si>
    <t>56.31909,40.472679</t>
  </si>
  <si>
    <t>ОБЩЕСТВО С ОГРАНИЧЕННОЙ ОТВЕТСТВЕННОСТЬЮ ГРУППА КОМПАНИЙ "ЭКОСТРОЙМИР"</t>
  </si>
  <si>
    <t>ГРУППА КОМПАНИЙ "ЭКОСТРОЙМИР"</t>
  </si>
  <si>
    <t>3325014837</t>
  </si>
  <si>
    <t>601273, Владимирская область, СУЗДАЛЬСКИЙ, 2 ПАВЛОВСКОЕ, С ПАВЛОВСКОЕ, УЛ ЦЕНТРАЛЬНАЯ, Д. 27</t>
  </si>
  <si>
    <t>Зинченко Игорь Алексеевич</t>
  </si>
  <si>
    <t>56.17034,40.497922</t>
  </si>
  <si>
    <t>ОБЩЕСТВО С ОГРАНИЧЕННОЙ ОТВЕТСТВЕННОСТЬЮ "ЗАВОД "БЕТАЛ"</t>
  </si>
  <si>
    <t>"ЗАВОД "БЕТАЛ"</t>
  </si>
  <si>
    <t>3329095795</t>
  </si>
  <si>
    <t>600031, ВЛАДИМИРСКАЯ ОБЛАСТЬ, ГОРОД ВЛАДИМИР, УЛИЦА ДОБРОСЕЛЬСКАЯ, ДОМ 220, ОФИС 1</t>
  </si>
  <si>
    <t>Вдовин Александр Иванович</t>
  </si>
  <si>
    <t>Vdovin33@mail.ru'</t>
  </si>
  <si>
    <t>56.852809,40.506069</t>
  </si>
  <si>
    <t>ОБЩЕСТВО С ОГРАНИЧЕННОЙ ОТВЕТСТВЕННОСТЬЮ "ГИГ-СТРОЙ"</t>
  </si>
  <si>
    <t>"ГИГ-СТРОЙ"</t>
  </si>
  <si>
    <t>3704009615</t>
  </si>
  <si>
    <t>155040, ИВАНОВСКАЯ ОБЛАСТЬ, Р-Н ТЕЙКОВСКИЙ, Г. ТЕЙКОВО, УЛ. ФРИДРИХА ЭНГЕЛЬСА, Д. 20В, ПОМЕЩ. 5</t>
  </si>
  <si>
    <t>Гордеев Александр Николаевич</t>
  </si>
  <si>
    <t>+7 (800) 222-08-26'</t>
  </si>
  <si>
    <t>64.541821,40.518825</t>
  </si>
  <si>
    <t>ОБЩЕСТВО С ОГРАНИЧЕННОЙ ОТВЕТСТВЕННОСТЬЮ "АРХАНГЕЛЬСКИЙ ДОМОСТРОИТЕЛЬНЫЙ КОМБИНАТ "ДВИНА"</t>
  </si>
  <si>
    <t>"АРХАНГЕЛЬСКИЙ ДОМОСТРОИТЕЛЬНЫЙ КОМБИНАТ "ДВИНА"</t>
  </si>
  <si>
    <t>2901256876</t>
  </si>
  <si>
    <t>163000, АРХАНГЕЛЬСКАЯ ОБЛАСТЬ, Г. АРХАНГЕЛЬСК, УЛ. СВОБОДЫ, Д. 23, КОМ. 2/3</t>
  </si>
  <si>
    <t>Лукин Александр Николаевич</t>
  </si>
  <si>
    <t>+7 (911) 874-77-09', '+7 (911) 554-07-08'</t>
  </si>
  <si>
    <t>sot@gmail.com'</t>
  </si>
  <si>
    <t>52.905342,40.524925</t>
  </si>
  <si>
    <t>ОБЩЕСТВО С ОГРАНИЧЕННОЙ ОТВЕТСТВЕННОСТЬЮ "ГРЕЙТ СТОУН"</t>
  </si>
  <si>
    <t>"ГРЕЙТ СТОУН"</t>
  </si>
  <si>
    <t>6827032747</t>
  </si>
  <si>
    <t>393772, ТАМБОВСКАЯ ОБЛАСТЬ, ГОРОД МИЧУРИНСК, УЛИЦА ДАЧНАЯ, ДОМ 61,..</t>
  </si>
  <si>
    <t>Григоревская Ирина Юрьевна</t>
  </si>
  <si>
    <t>56.201234,40.525051</t>
  </si>
  <si>
    <t>3325013791</t>
  </si>
  <si>
    <t>601270, ВЛАДИМИРСКАЯ ОБЛАСТЬ, РАЙОН СУЗДАЛЬСКИЙ, ПОСЕЛОК БОГОЛЮБОВО, УЛИЦА НОВАЯ, ДОМ 1, ЭТАЖ 1, КОМНАТА 1</t>
  </si>
  <si>
    <t>Саакян Саак Самвелович</t>
  </si>
  <si>
    <t>+7 (915) 766-99-40'</t>
  </si>
  <si>
    <t>ОБЩЕСТВО С ОГРАНИЧЕННОЙ ОТВЕТСТВЕННОСТЬЮ "СПЕЦТРАНС"</t>
  </si>
  <si>
    <t>"СПЕЦТРАНС"</t>
  </si>
  <si>
    <t>3325014308</t>
  </si>
  <si>
    <t>601270, ВЛАДИМИРСКАЯ ОБЛАСТЬ, РАЙОН СУЗДАЛЬСКИЙ, ПОСЕЛОК БОГОЛЮБОВО, УЛИЦА НОВАЯ, ДОМ 1</t>
  </si>
  <si>
    <t>Оганнисян Алвард Людвиковна</t>
  </si>
  <si>
    <t>glazova@bk.ru'</t>
  </si>
  <si>
    <t>52.904885,40.527359</t>
  </si>
  <si>
    <t>ОБЩЕСТВО С ОГРАНИЧЕННОЙ ОТВЕТСТВЕННОСТЬЮ "СТРОЙТЕХНОЛОГИЯ"</t>
  </si>
  <si>
    <t>"СТРОЙТЕХНОЛОГИЯ"</t>
  </si>
  <si>
    <t>6827017795</t>
  </si>
  <si>
    <t>393772, Тамбовская область, Мичуринск г, Кооперативная ул, д 69</t>
  </si>
  <si>
    <t>Погорелов Андрей Евгеньевич</t>
  </si>
  <si>
    <t>+7 (906) 598-40-23', '+7 (915) 861-44-11', '+7 (906) 598-40-22'</t>
  </si>
  <si>
    <t>64.546046,40.531033</t>
  </si>
  <si>
    <t>ОБЩЕСТВО С ОГРАНИЧЕННОЙ ОТВЕТСТВЕННОСТЬЮ "ПРОИЗВОДСТВЕННОЕ ОБЪЕДИНЕНИЕ "ЭКОБЛОКИ"</t>
  </si>
  <si>
    <t>"ПРОИЗВОДСТВЕННОЕ ОБЪЕДИНЕНИЕ "ЭКОБЛОКИ"</t>
  </si>
  <si>
    <t>2901251959</t>
  </si>
  <si>
    <t>163000, Архангельская область, г Архангельск, ул Попова, д 27, офис 46</t>
  </si>
  <si>
    <t>Лыткин Николай Павлович</t>
  </si>
  <si>
    <t>+7 (960) 001-26-26'</t>
  </si>
  <si>
    <t>Annfadeev@yandex.ru'</t>
  </si>
  <si>
    <t>56.845766,40.553168</t>
  </si>
  <si>
    <t>ОБЩЕСТВО С ОГРАНИЧЕННОЙ ОТВЕТСТВЕННОСТЬЮ "ЭКОДРЕВПРОДУКТ"</t>
  </si>
  <si>
    <t>"ЭКОДРЕВПРОДУКТ"</t>
  </si>
  <si>
    <t>3704007417</t>
  </si>
  <si>
    <t>155040, Ивановская область, г Тейково, ул Лежневская, д 23</t>
  </si>
  <si>
    <t>Соколов Александр Анатольевич</t>
  </si>
  <si>
    <t>+7 (903) 578-60-63', '+7 (903) 960-66-05'</t>
  </si>
  <si>
    <t>sokolofff2005@mail.ru', '84934340039@mail.ru', 'sokolofff2005@mail.ru'</t>
  </si>
  <si>
    <t>55.148539,40.557686</t>
  </si>
  <si>
    <t>6226012136</t>
  </si>
  <si>
    <t>391001, РЯЗАНСКАЯ ОБЛ, КЛЕПИКОВСКИЙ Р-Н, РП ТУМА, УЛ ЛЕНИНА, Д 104, ЛИТ А</t>
  </si>
  <si>
    <t>Трепьев Владимир Владимирович</t>
  </si>
  <si>
    <t>+7 (951) 106-40-76'</t>
  </si>
  <si>
    <t>elenashlykova84@yandex.ru'</t>
  </si>
  <si>
    <t>57.471905,40.559384</t>
  </si>
  <si>
    <t>4405005741</t>
  </si>
  <si>
    <t>44-Костромская область</t>
  </si>
  <si>
    <t>КОСТРОМСКАЯ ОБЛ.,Г НЕРЕХТА,УЛ ДРУЖБЫ Д 25</t>
  </si>
  <si>
    <t>Овсянников Яков Борисович</t>
  </si>
  <si>
    <t>56.249997,40.565448</t>
  </si>
  <si>
    <t>ОБЩЕСТВО С ОГРАНИЧЕННОЙ ОТВЕТСТВЕННОСТЬЮ "СИПТЕХСТРОЙ 33"</t>
  </si>
  <si>
    <t>"СИПТЕХСТРОЙ 33"</t>
  </si>
  <si>
    <t>3325008583</t>
  </si>
  <si>
    <t>601278, Владимирская область, Суздальский район, п Сокол, ул Никольская,17</t>
  </si>
  <si>
    <t>Федотов Михаил Николаевич</t>
  </si>
  <si>
    <t>+7 (920) 901-01-01'</t>
  </si>
  <si>
    <t>64.533221,40.588508</t>
  </si>
  <si>
    <t>ОБЩЕСТВО С ОГРАНИЧЕННОЙ ОТВЕТСТВЕННОСТЬЮ "ТЕПЛОБЛОК 29"</t>
  </si>
  <si>
    <t>"ТЕПЛОБЛОК 29"</t>
  </si>
  <si>
    <t>2901308490</t>
  </si>
  <si>
    <t>163002, Архангельская область, ГОРОД АРХАНГЕЛЬСК, Г АРХАНГЕЛЬСК, ПР-КТ МОСКОВСКИЙ, Д. 25, К. 3</t>
  </si>
  <si>
    <t>Михалев Станислав Иванович</t>
  </si>
  <si>
    <t>435303@GMAIL.COM'</t>
  </si>
  <si>
    <t>45.426211,40.602728</t>
  </si>
  <si>
    <t>ОБЩЕСТВО С ОГРАНИЧЕННОЙ ОТВЕТСТВЕННОСТЬЮ "КРОПОТКИНСКИЙ БЕТОННЫЙ ЗАВОД"</t>
  </si>
  <si>
    <t>"КРОПОТКИНСКИЙ БЕТОННЫЙ ЗАВОД"</t>
  </si>
  <si>
    <t>2364015335</t>
  </si>
  <si>
    <t>352380, КРАСНОДАРСКИЙ КРАЙ, Р-Н КАВКАЗСКИЙ, Г. КРОПОТКИН, УЛ. ЗАВОДСКАЯ, Д. 6, ОФИС 8</t>
  </si>
  <si>
    <t>+7 (918) 651-80-80'</t>
  </si>
  <si>
    <t>64.470779,40.610615</t>
  </si>
  <si>
    <t>ОБЩЕСТВО С ОГРАНИЧЕННОЙ ОТВЕТСТВЕННОСТЬЮ "СОЮЗАРХЖБИ"</t>
  </si>
  <si>
    <t>"СОЮЗАРХЖБИ"</t>
  </si>
  <si>
    <t>2901284898</t>
  </si>
  <si>
    <t>163035, АРХАНГЕЛЬСКАЯ ОБЛАСТЬ, Г. АРХАНГЕЛЬСК, УЛ. ЗЕНЬКОВИЧА, Д. 3, ОФИС 22</t>
  </si>
  <si>
    <t>Пиковской Иван Валерьевич</t>
  </si>
  <si>
    <t>stroy@yandex.ru'</t>
  </si>
  <si>
    <t>50.807063,40.635912</t>
  </si>
  <si>
    <t>ОБЩЕСТВО С ОГРАНИЧЕННОЙ ОТВЕТСТВЕННОСТЬЮ "БУТУРЛИНОВСКИЙ ЗАВОД ЖЕЛЕЗОБЕТОННЫХ ИЗДЕЛИЙ"</t>
  </si>
  <si>
    <t>"БУТУРЛИНОВСКИЙ ЗАВОД ЖЕЛЕЗОБЕТОННЫХ ИЗДЕЛИЙ"</t>
  </si>
  <si>
    <t>3605007896</t>
  </si>
  <si>
    <t>397504, ВОРОНЕЖСКАЯ ОБЛАСТЬ, РАЙОН БУТУРЛИНОВСКИЙ, ГОРОД БУТУРЛИНОВКА, УЛИЦА СОВХОЗНАЯ, ДОМ 44, ОФИС 106</t>
  </si>
  <si>
    <t>Смольянинов Игорь Петрович</t>
  </si>
  <si>
    <t>136@mail.ru'</t>
  </si>
  <si>
    <t>ОБЩЕСТВО С ОГРАНИЧЕННОЙ ОТВЕТСТВЕННОСТЬЮ "АРМБЕТОН 136"</t>
  </si>
  <si>
    <t>"АРМБЕТОН 136"</t>
  </si>
  <si>
    <t>3605008875</t>
  </si>
  <si>
    <t>397504, ВОРОНЕЖСКАЯ ОБЛАСТЬ, РАЙОН БУТУРЛИНОВСКИЙ, ГОРОД БУТУРЛИНОВКА, УЛИЦА СОВХОЗНАЯ, ДОМ 44, ОФИС 4</t>
  </si>
  <si>
    <t>Шахова Галина Юрьевна</t>
  </si>
  <si>
    <t>ОБЩЕСТВО С ОГРАНИЧЕННОЙ ОТВЕТСТВЕННОСТЬЮ "Домостроительный комбинат А"</t>
  </si>
  <si>
    <t>"Домостроительный комбинат А"</t>
  </si>
  <si>
    <t>3663095676</t>
  </si>
  <si>
    <t>397504, ВОРОНЕЖСКАЯ ОБЛАСТЬ, РАЙОН БУТУРЛИНОВСКИЙ, ГОРОД БУТУРЛИНОВКА, УЛИЦА СОВХОЗНАЯ, 44, ОФИС 107</t>
  </si>
  <si>
    <t>ooo_dsk_a@mail.ru'</t>
  </si>
  <si>
    <t>55.613158,40.641535</t>
  </si>
  <si>
    <t>ЗАКРЫТОЕ АКЦИОНЕРНОЕ ОБЩЕСТВО "МОНОЛИТ-ЛТД"</t>
  </si>
  <si>
    <t>ЗАКРЫТОЕ "МОНОЛИТ-ЛТД"</t>
  </si>
  <si>
    <t>3304007028</t>
  </si>
  <si>
    <t>ВЛАДИМИРСКАЯ ОБЛ.,Г ГУСЬ-ХРУСТАЛЬНЫЙ,ГРАЖДАНСКИЙ ПЕР,13</t>
  </si>
  <si>
    <t>Гефт Дина Владимировна</t>
  </si>
  <si>
    <t>monolitltd1@rambler.ru'</t>
  </si>
  <si>
    <t>45.445507,40.646368</t>
  </si>
  <si>
    <t>ОБЩЕСТВО С ОГРАНИЧЕННОЙ ОТВЕТСТВЕННОСТЬЮ "КАВКАЗСКИЙ БЕТОННЫЙ ЗАВОД"</t>
  </si>
  <si>
    <t>"КАВКАЗСКИЙ БЕТОННЫЙ ЗАВОД"</t>
  </si>
  <si>
    <t>2364016716</t>
  </si>
  <si>
    <t>352140, КРАСНОДАРСКИЙ КРАЙ, РАЙОН КАВКАЗСКИЙ, СТАНИЦА КАВКАЗСКАЯ, УЛИЦА К. ПАХАРЬ, УЧАСТОК 73Б, ОФИС 1</t>
  </si>
  <si>
    <t>+7 (918) 018-22-11'</t>
  </si>
  <si>
    <t>64.494806,40.686963</t>
  </si>
  <si>
    <t>ОБЩЕСТВО С ОГРАНИЧЕННОЙ ОТВЕТСТВЕННОСТЬЮ "АРКТИК-СТРОЙ"</t>
  </si>
  <si>
    <t>"АРКТИК-СТРОЙ"</t>
  </si>
  <si>
    <t>2901299750</t>
  </si>
  <si>
    <t>163030, АРХАНГЕЛЬСКАЯ ОБЛАСТЬ, ГОРОД АРХАНГЕЛЬСК, УЛИЦА РЕВОЛЮЦИИ, ДОМ 1, СТРОЕНИЕ 7, ОФИС 101</t>
  </si>
  <si>
    <t>Ерофеевский Павел Владимирович</t>
  </si>
  <si>
    <t>45.398663,40.701408</t>
  </si>
  <si>
    <t>ОБЩЕСТВО С ОГРАНИЧЕННОЙ ОТВЕТСТВЕННОСТЬЮ "СЕВЕРО-КАВКАЗСКИЙ КОМБИНАТ ПРОМЫШЛЕННЫХ ПРЕДПРИЯТИЙ"</t>
  </si>
  <si>
    <t>"СЕВЕРО-КАВКАЗСКИЙ КОМБИНАТ ПРОМЫШЛЕННЫХ ПРЕДПРИЯТИЙ"</t>
  </si>
  <si>
    <t>2329016368</t>
  </si>
  <si>
    <t>КРАСНОДАРСКИЙ КРАЙ,Г ГУЛЬКЕВИЧИ,ПРОМЗОНА 1</t>
  </si>
  <si>
    <t>Новиков Владимир Иванович</t>
  </si>
  <si>
    <t>+7 (916) 415-41-78'</t>
  </si>
  <si>
    <t>skkpp@mail.ru'</t>
  </si>
  <si>
    <t>45.397555,40.703043</t>
  </si>
  <si>
    <t>ОБЩЕСТВО С ОГРАНИЧЕННОЙ ОТВЕТСТВЕННОСТЬЮ " САПФИР "</t>
  </si>
  <si>
    <t>" САПФИР "</t>
  </si>
  <si>
    <t>2324006246</t>
  </si>
  <si>
    <t>КРАСНОДАРСКИЙ КРАЙ,АНАПСКИЙ Р-Н,Х ВОСКРЕСЕНСКИЙ,ПРОМЗОНА</t>
  </si>
  <si>
    <t>Мусольян Юрий Георгиевич</t>
  </si>
  <si>
    <t>45.950366,40.709888</t>
  </si>
  <si>
    <t>ОБЩЕСТВО С ОГРАНИЧЕННОЙ ОТВЕТСТВЕННОСТЬЮ "МАГНИТ"</t>
  </si>
  <si>
    <t>"МАГНИТ"</t>
  </si>
  <si>
    <t>2360003226</t>
  </si>
  <si>
    <t>353020, КРАСНОДАРСКИЙ КРАЙ, Р-Н НОВОПОКРОВСКИЙ, СТ-ЦА НОВОПОКРОВСКАЯ, УЛ. ЛЕНИНА, Д.106,..</t>
  </si>
  <si>
    <t>Бульский Сергей Владимирович</t>
  </si>
  <si>
    <t>+7 (928) 405-13-30', '+7 (918) 177-10-46'</t>
  </si>
  <si>
    <t>47.103463,40.721647</t>
  </si>
  <si>
    <t>ОБЩЕСТВО С ОГРАНИЧЕННОЙ ОТВЕТСТВЕННОСТЬЮ "ГАСПАРЯН Г.А."</t>
  </si>
  <si>
    <t>"ГАСПАРЯН Г.А."</t>
  </si>
  <si>
    <t>6106005708</t>
  </si>
  <si>
    <t>347780, РОСТОВСКАЯ ОБЛАСТЬ, РАЙОН ВЕСЕЛОВСКИЙ, ПОСЕЛОК ВЕСЕЛЫЙ, ПЕРЕУЛОК ПРОМЫШЛЕННЫЙ, ДОМ 13</t>
  </si>
  <si>
    <t>Гаспарян Гарик Акопович</t>
  </si>
  <si>
    <t>+7 (928) 894-78-79'</t>
  </si>
  <si>
    <t>vertepa@yandex.ru'</t>
  </si>
  <si>
    <t>64.493942,40.722482</t>
  </si>
  <si>
    <t>ОБЩЕСТВО С ОГРАНИЧЕННОЙ ОТВЕТСТВЕННОСТЬЮ "КАМЕННЫЙ ДЕКОР 29"</t>
  </si>
  <si>
    <t>"КАМЕННЫЙ ДЕКОР 29"</t>
  </si>
  <si>
    <t>2901297583</t>
  </si>
  <si>
    <t>163030, АРХАНГЕЛЬСКАЯ ОБЛАСТЬ, ГОРОД АРХАНГЕЛЬСК, УЛИЦА СТ. ЖАРОВИХА, ДОМ ГРУЗОВОЙ ДВОР, ПОМЕЩЕНИЕ 1</t>
  </si>
  <si>
    <t>Боровский Артем Владимирович</t>
  </si>
  <si>
    <t>+7 (902) 286-16-56'</t>
  </si>
  <si>
    <t>44.635715,40.723578</t>
  </si>
  <si>
    <t>ОБЩЕСТВО С ОГРАНИЧЕННОЙ ОТВЕТСТВЕННОСТЬЮ  "ГРАНИТ"</t>
  </si>
  <si>
    <t xml:space="preserve"> "ГРАНИТ"</t>
  </si>
  <si>
    <t>2314022464</t>
  </si>
  <si>
    <t>352503, КРАСНОДАРСКИЙ КРАЙ, РАЙОН ЛАБИНСКИЙ, ГОРОД ЛАБИНСК, ТЕРРИТОРИЯ ПОСЕЛОК САХАРНОГО ЗАВОДА</t>
  </si>
  <si>
    <t>Гертье Андрей Владимирович</t>
  </si>
  <si>
    <t>+7 (800) 222-18-81', '+7 (861) 775-18-81'</t>
  </si>
  <si>
    <t>64.481034,40.741239</t>
  </si>
  <si>
    <t>ОБЩЕСТВО С ОГРАНИЧЕННОЙ ОТВЕТСТВЕННОСТЬЮ "ДВИНА ЖБИ"</t>
  </si>
  <si>
    <t>"ДВИНА ЖБИ"</t>
  </si>
  <si>
    <t>2901307048</t>
  </si>
  <si>
    <t>163016, АРХАНГЕЛЬСКАЯ ОБЛ., Г. Архангельск, ПР-КТ ЛЕНИНГРАДСКИЙ, Д. 386, СТР. 13, ПОМЕЩ. 104</t>
  </si>
  <si>
    <t>Воронцов Максим Владимирович</t>
  </si>
  <si>
    <t>SF@YANDEX.RU'</t>
  </si>
  <si>
    <t>56.863857,40.764101</t>
  </si>
  <si>
    <t>ОБЩЕСТВО С ОГРАНИЧЕННОЙ ОТВЕТСТВЕННОСТЬЮ "АКМ"</t>
  </si>
  <si>
    <t>"АКМ"</t>
  </si>
  <si>
    <t>3711037035</t>
  </si>
  <si>
    <t>155116, ИВАНОВСКАЯ ОБЛАСТЬ, Р-Н ЛЕЖНЕВСКИЙ, С ЧЕРНЦЫ</t>
  </si>
  <si>
    <t>Саргсян Эрик Сейрани</t>
  </si>
  <si>
    <t>64.4858,40.776076</t>
  </si>
  <si>
    <t>ОБЩЕСТВО С ОГРАНИЧЕННОЙ ОТВЕТСТВЕННОСТЬЮ "КАМЕННЫЙ ЦВЕТОК"</t>
  </si>
  <si>
    <t>"КАМЕННЫЙ ЦВЕТОК"</t>
  </si>
  <si>
    <t>2901173080</t>
  </si>
  <si>
    <t>163058, АРХАНГЕЛЬСКАЯ ОБЛАСТЬ, ГОРОД АРХАНГЕЛЬСК, УЛИЦА СИЛИКАТЧИКОВ, 15, 7</t>
  </si>
  <si>
    <t>Лисицын Андрей Владимирович</t>
  </si>
  <si>
    <t>44.414363,40.790278</t>
  </si>
  <si>
    <t>ОБЩЕСТВО С ОГРАНИЧЕННОЙ ОТВЕТСТВЕННОСТЬЮ "КРОНА"</t>
  </si>
  <si>
    <t>"КРОНА"</t>
  </si>
  <si>
    <t>2342014698</t>
  </si>
  <si>
    <t>КРАСНОДАРСКИЙ КРАЙ,PП МОСТОВСКОЙ,50,ПРОМЗОНА УЧ-К</t>
  </si>
  <si>
    <t>ОБЩЕСТВО С ОГРАНИЧЕННОЙ ОТВЕТСТВЕННОСТЬЮ "ВЕКТОР И КОМПАНИЯ"</t>
  </si>
  <si>
    <t>"ВЕКТОР И КОМПАНИЯ"</t>
  </si>
  <si>
    <t>2342019992</t>
  </si>
  <si>
    <t>352570, КРАСНОДАРСКИЙ КРАЙ, Р-Н МОСТОВСКИЙ, ПГТ МОСТОВСКОЙ, МКР ЭНЕРГЕТИКОВ, ПРОМЗОНА</t>
  </si>
  <si>
    <t>Акбаев Казбек Ансарович</t>
  </si>
  <si>
    <t>+7 (918) 355-37-77'</t>
  </si>
  <si>
    <t>15@rambled.ru', 'mostov_yug@mail.ru'</t>
  </si>
  <si>
    <t>44.412129,40.79194</t>
  </si>
  <si>
    <t>ОБЩЕСТВО С ОГРАНИЧЕННОЙ ОТВЕТСТВЕННОСТЬЮ "АБСОЛЮТСТРОЙГРУПП"</t>
  </si>
  <si>
    <t>"АБСОЛЮТСТРОЙГРУПП"</t>
  </si>
  <si>
    <t>2377003908</t>
  </si>
  <si>
    <t>352570, Краснодарский край, МОСТОВСКИЙ, 1 МОСТОВСКОЕ, ПГТ МОСТОВСКОЙ, УЛ ГОРЬКОГО, Д. 121</t>
  </si>
  <si>
    <t>Плугина Светлана Владимировна</t>
  </si>
  <si>
    <t>57.079695,40.802873</t>
  </si>
  <si>
    <t>ОБЩЕСТВО С ОГРАНИЧЕННОЙ ОТВЕТСТВЕННОСТЬЮ "СТРОЙСЕРВИС-2015"</t>
  </si>
  <si>
    <t>"СТРОЙСЕРВИС-2015"</t>
  </si>
  <si>
    <t>3711039956</t>
  </si>
  <si>
    <t>153009, ИВАНОВСКАЯ ОБЛАСТЬ, РАЙОН ИВАНОВСКИЙ, ДЕРЕВНЯ КОЛЯНОВО, СТРОЕНИЕ 1, ОФИС 41Б</t>
  </si>
  <si>
    <t>Дряницын Михаил Федорович</t>
  </si>
  <si>
    <t>+7 (493) 229-59-19'</t>
  </si>
  <si>
    <t>46.08968,40.821522</t>
  </si>
  <si>
    <t>ОБЩЕСТВО С ОГРАНИЧЕННОЙ ОТВЕТСТВЕННОСТЬЮ "БЕЛОГЛИНСКИЙ ЗАВОД ЖБИ"</t>
  </si>
  <si>
    <t>"БЕЛОГЛИНСКИЙ ЗАВОД ЖБИ"</t>
  </si>
  <si>
    <t>2360006918</t>
  </si>
  <si>
    <t>353040, КРАСНОДАРСКИЙ КРАЙ, РАЙОН БЕЛОГЛИНСКИЙ, СЕЛО БЕЛАЯ ГЛИНА, УЛИЦА ПРИВОКЗАЛЬНАЯ, 1"А"</t>
  </si>
  <si>
    <t>betonomaster@yandex.ru', 'Betonomaster@yandex.ru'</t>
  </si>
  <si>
    <t>57.758402,40.887871</t>
  </si>
  <si>
    <t>ОБЩЕСТВО С ОГРАНИЧЕННОЙ ОТВЕТСТВЕННОСТЬЮ "ЖБИ ТРЕСТ"</t>
  </si>
  <si>
    <t>"ЖБИ ТРЕСТ"</t>
  </si>
  <si>
    <t>4400009291</t>
  </si>
  <si>
    <t>156001, Костромская область, ГОРОД КОСТРОМА, Г КОСТРОМА, ПЕР ИНЖЕНЕРНЫЙ, Д. 3</t>
  </si>
  <si>
    <t>Щёголев Евгений Александрович</t>
  </si>
  <si>
    <t>ОБЩЕСТВО С ОГРАНИЧЕННОЙ ОТВЕТСТВЕННОСТЬЮ "СОФФ"</t>
  </si>
  <si>
    <t>"СОФФ"</t>
  </si>
  <si>
    <t>4414015520</t>
  </si>
  <si>
    <t>156001, КОСТРОМСКАЯ ОБЛ., Г. Кострома, ПЕР. ИНЖЕНЕРНЫЙ, Д. 3, СКЛ. ЛАКОКРАСОК</t>
  </si>
  <si>
    <t>soff@mail.ru'</t>
  </si>
  <si>
    <t>57.744091,40.89186</t>
  </si>
  <si>
    <t>АКЦИОНЕРНОЕ ОБЩЕСТВО "КОСТРОМСКОЙ СИЛИКАТНЫЙ ЗАВОД"</t>
  </si>
  <si>
    <t>"КОСТРОМСКОЙ СИЛИКАТНЫЙ ЗАВОД"</t>
  </si>
  <si>
    <t>4400000108</t>
  </si>
  <si>
    <t>Г КОСТРОМА,УЛ ЯРОСЛАВСКАЯ, Д 43</t>
  </si>
  <si>
    <t>Смирнов Михаил Андреевич</t>
  </si>
  <si>
    <t>KSZ@KMTN.RU'</t>
  </si>
  <si>
    <t>54.324711,40.896028</t>
  </si>
  <si>
    <t>ОБЩЕСТВО С ОГРАНИЧЕННОЙ ОТВЕТСТВЕННОСТЬЮ "ПОСАНДРА"</t>
  </si>
  <si>
    <t>"ПОСАНДРА"</t>
  </si>
  <si>
    <t>6165201662</t>
  </si>
  <si>
    <t>РЯЗАНСКАЯ ОБЛ.,PП ШИЛОВО,УЛ СОВЕТСКАЯ, Д 57</t>
  </si>
  <si>
    <t>Соболев Дмитрий Викторович</t>
  </si>
  <si>
    <t>+7 (863) 255-82-33'</t>
  </si>
  <si>
    <t>izmkuzm@yandex.ru'</t>
  </si>
  <si>
    <t>57.739585,40.90882</t>
  </si>
  <si>
    <t>ОБЩЕСТВО С ОГРАНИЧЕННОЙ ОТВЕТСТВЕННОСТЬЮ "КОМПЛЕКССТРОЙСЕРВИС"</t>
  </si>
  <si>
    <t>"КОМПЛЕКССТРОЙСЕРВИС"</t>
  </si>
  <si>
    <t>4401144279</t>
  </si>
  <si>
    <t>http://kcc44.ru</t>
  </si>
  <si>
    <t>156010, Костромская область, г Кострома, мкр Паново, д 14,..</t>
  </si>
  <si>
    <t>Коваленко Иван Владимирович</t>
  </si>
  <si>
    <t>+7 (960) 739-53-57'</t>
  </si>
  <si>
    <t>56.974523,40.91209</t>
  </si>
  <si>
    <t>ОБЩЕСТВО С ОГРАНИЧЕННОЙ ОТВЕТСТВЕННОСТЬЮ "КЕРАМАК-БЕТОН"</t>
  </si>
  <si>
    <t>"КЕРАМАК-БЕТОН"</t>
  </si>
  <si>
    <t>3702219783</t>
  </si>
  <si>
    <t>153015, ИВАНОВСКАЯ ОБЛ, ИВАНОВО Г, СТАНКОСТРОИТЕЛЕЙ УЛ, ДОМ 45, ЛИТЕРА А</t>
  </si>
  <si>
    <t>Сухарев Максим Евгеньевич</t>
  </si>
  <si>
    <t>57.002873,40.912665</t>
  </si>
  <si>
    <t>ОБЩЕСТВО С ОГРАНИЧЕННОЙ ОТВЕТСТВЕННОСТЬЮ "АРКАДА"</t>
  </si>
  <si>
    <t>"АРКАДА"</t>
  </si>
  <si>
    <t>3702001240</t>
  </si>
  <si>
    <t>153011, Ивановская область, г Иваново, Фрунзенский район, ул Суздальская, д 2/58</t>
  </si>
  <si>
    <t>Рекечинский Павел Борисович</t>
  </si>
  <si>
    <t>57.03122,40.920237</t>
  </si>
  <si>
    <t>ОБЩЕСТВО С ОГРАНИЧЕННОЙ ОТВЕТСТВЕННОСТЬЮ "Трудовик"</t>
  </si>
  <si>
    <t>"Трудовик"</t>
  </si>
  <si>
    <t>3702626965</t>
  </si>
  <si>
    <t>153023, ИВАНОВСКАЯ ОБЛ, ИВАНОВО Г, РЕВОЛЮЦИОННАЯ УЛ, ДОМ 43А</t>
  </si>
  <si>
    <t>Семченков Сергей Витальевич</t>
  </si>
  <si>
    <t>+7 (910) 982-12-70'</t>
  </si>
  <si>
    <t>57.743313,40.921001</t>
  </si>
  <si>
    <t>ОБЩЕСТВО С ОГРАНИЧЕННОЙ ОТВЕТСТВЕННОСТЬЮ "ТЕХНОСИЛА"</t>
  </si>
  <si>
    <t>"ТЕХНОСИЛА"</t>
  </si>
  <si>
    <t>4401167646</t>
  </si>
  <si>
    <t>156010, КОСТРОМСКАЯ ОБЛАСТЬ, ГОРОД КОСТРОМА, УЛИЦА МАГИСТРАЛЬНАЯ, ДОМ 14,..</t>
  </si>
  <si>
    <t>Потапов Александр Александрович</t>
  </si>
  <si>
    <t>+7 (910) 661-44-49'</t>
  </si>
  <si>
    <t>ОБЩЕСТВО С ОГРАНИЧЕННОЙ ОТВЕТСТВЕННОСТЬЮ "КОСТРОМАСТРОЙДЕТАЛЬ"</t>
  </si>
  <si>
    <t>"КОСТРОМАСТРОЙДЕТАЛЬ"</t>
  </si>
  <si>
    <t>4401172861</t>
  </si>
  <si>
    <t>56.988286,40.921306</t>
  </si>
  <si>
    <t>ОБЩЕСТВО С ОГРАНИЧЕННОЙ ОТВЕТСТВЕННОСТЬЮ "ЖБИ"</t>
  </si>
  <si>
    <t>"ЖБИ"</t>
  </si>
  <si>
    <t>3702552946</t>
  </si>
  <si>
    <t>153031, ИВАНОВСКАЯ ОБЛ, ИВАНОВО Г, 23-Я ЛИНИЯ, ДОМ 13, КОРПУС 16</t>
  </si>
  <si>
    <t>Черницов Алексей Александрович</t>
  </si>
  <si>
    <t>56.992283,40.922331</t>
  </si>
  <si>
    <t>ОБЩЕСТВО С ОГРАНИЧЕННОЙ ОТВЕТСТВЕННОСТЬЮ "ЖБИ-1"</t>
  </si>
  <si>
    <t>"ЖБИ-1"</t>
  </si>
  <si>
    <t>3702151052</t>
  </si>
  <si>
    <t>153031, ИВАНОВСКАЯ ОБЛ, Фрунзенский, ИВАНОВО Г, 23-Я ЛИНИЯ, ДОМ 13, КОРПУС А39</t>
  </si>
  <si>
    <t>Галимов Ильдар Габдуллаевич</t>
  </si>
  <si>
    <t>57.783103,40.929032</t>
  </si>
  <si>
    <t>ОБЩЕСТВО С ОГРАНИЧЕННОЙ ОТВЕТСТВЕННОСТЬЮ "СПЕКТР"</t>
  </si>
  <si>
    <t>"СПЕКТР"</t>
  </si>
  <si>
    <t>4401191840</t>
  </si>
  <si>
    <t>156025, КОСТРОМСКАЯ ОБЛАСТЬ, ГОРОД КОСТРОМА, УЛИЦА КРАСНОАРМЕЙСКАЯ, ДОМ 50,..</t>
  </si>
  <si>
    <t>Чижиков Виталий Владимирович</t>
  </si>
  <si>
    <t>56.97858,40.929257</t>
  </si>
  <si>
    <t>ОБЩЕСТВО С ОГРАНИЧЕННОЙ ОТВЕТСТВЕННОСТЬЮ "ИРИС"</t>
  </si>
  <si>
    <t>"ИРИС"</t>
  </si>
  <si>
    <t>3702083973</t>
  </si>
  <si>
    <t>153015, ИВАНОВСКАЯ ОБЛ, ИВАНОВО Г, 13-Я БЕРЕЗНИКОВСКАЯ УЛ, 42Б</t>
  </si>
  <si>
    <t>Машина Ольга Васильевна</t>
  </si>
  <si>
    <t>57.738268,40.930344</t>
  </si>
  <si>
    <t>4400008770</t>
  </si>
  <si>
    <t>156011, Костромская область, ГОРОД КОСТРОМА, Г КОСТРОМА, Б-Р МИХАЛЕВСКИЙ, Д. 26А</t>
  </si>
  <si>
    <t>Смирнов Евгений Борисович</t>
  </si>
  <si>
    <t>44@YANDEX.RU'</t>
  </si>
  <si>
    <t>57.764394,40.931053</t>
  </si>
  <si>
    <t>ОБЩЕСТВО С ОГРАНИЧЕННОЙ ОТВЕТСТВЕННОСТЬЮ "СТРОЙГАРАНТ"</t>
  </si>
  <si>
    <t>"СТРОЙГАРАНТ"</t>
  </si>
  <si>
    <t>4401166730</t>
  </si>
  <si>
    <t>156000, КОСТРОМСКАЯ ОБЛАСТЬ, ГОРОД КОСТРОМА, УЛИЦА ЧАЙКОВСКОГО, ДОМ 9, ЛИТЕР 3</t>
  </si>
  <si>
    <t>Окунев Федор Аркадьевич</t>
  </si>
  <si>
    <t>+7 (910) 123-36-04'</t>
  </si>
  <si>
    <t>57.777124,40.935239</t>
  </si>
  <si>
    <t>ОБЩЕСТВО С ОГРАНИЧЕННОЙ ОТВЕТСТВЕННОСТЬЮ "КОРПОРАЦИЯ БЛОКСТРОЙ"</t>
  </si>
  <si>
    <t>"КОРПОРАЦИЯ БЛОКСТРОЙ"</t>
  </si>
  <si>
    <t>4401074663</t>
  </si>
  <si>
    <t>Г КОСТРОМА,УЛ МАРШАЛА НОВИКОВА, Д 1/48</t>
  </si>
  <si>
    <t>Евсевьева Анна Петровна</t>
  </si>
  <si>
    <t>+7 (910) 660-41-28'</t>
  </si>
  <si>
    <t>56.963489,40.935401</t>
  </si>
  <si>
    <t>ОБЩЕСТВО С ОГРАНИЧЕННОЙ ОТВЕТСТВЕННОСТЬЮ "ИВАНОВСКИЙ ЖБК"</t>
  </si>
  <si>
    <t>"ИВАНОВСКИЙ ЖБК"</t>
  </si>
  <si>
    <t>3702252533</t>
  </si>
  <si>
    <t>153032, ИВАНОВСКАЯ ОБЛ., Г. Иваново, УЛ. СТАНКОСТРОИТЕЛЕЙ, Д. 17, ОФИС 18</t>
  </si>
  <si>
    <t>Иневаткин Павел Михайлович</t>
  </si>
  <si>
    <t>ЗАКРЫТОЕ АКЦИОНЕРНОЕ ОБЩЕСТВО "Комбинат Строительных Конструкций +"</t>
  </si>
  <si>
    <t>ЗАКРЫТОЕ "Комбинат Строительных Конструкций +"</t>
  </si>
  <si>
    <t>3702645566</t>
  </si>
  <si>
    <t>153032, ИВАНОВСКАЯ ОБЛАСТЬ, Г. ИВАНОВО, УЛ. СТАНКОСТРОИТЕЛЕЙ, Д. 17, ОФИС 3</t>
  </si>
  <si>
    <t>Кузнецов Владимир Леонидович</t>
  </si>
  <si>
    <t>56.964897,40.943782</t>
  </si>
  <si>
    <t>3702268050</t>
  </si>
  <si>
    <t>153032, Ивановская область, ИВАНОВО, Г ИВАНОВО, УЛ СТАНКОСТРОИТЕЛЕЙ, Д. 7</t>
  </si>
  <si>
    <t>Соколов Максим Дмитриевич</t>
  </si>
  <si>
    <t>0101@BK.RU'</t>
  </si>
  <si>
    <t>57.034134,40.946675</t>
  </si>
  <si>
    <t>ОБЩЕСТВО С ОГРАНИЧЕННОЙ ОТВЕТСТВЕННОСТЬЮ "ДОМ-С"</t>
  </si>
  <si>
    <t>"ДОМ-С"</t>
  </si>
  <si>
    <t>3702070815</t>
  </si>
  <si>
    <t>153029, ИВАНОВСКАЯ ОБЛАСТЬ, Г. ИВАНОВО, УЛ. МИНСКАЯ, Д. 3</t>
  </si>
  <si>
    <t>Толдин Александр Владимирович</t>
  </si>
  <si>
    <t>+7 (961) 118-34-21'</t>
  </si>
  <si>
    <t>ОБЩЕСТВО С ОГРАНИЧЕННОЙ ОТВЕТСТВЕННОСТЬЮ "ИВСТРОЙМАТЕРИАЛЫ"</t>
  </si>
  <si>
    <t>"ИВСТРОЙМАТЕРИАЛЫ"</t>
  </si>
  <si>
    <t>3702158347</t>
  </si>
  <si>
    <t>153029, ИВАНОВСКАЯ ОБЛАСТЬ, Г. ИВАНОВО, УЛ. МИНСКАЯ, Д. 3, ОФИС 2</t>
  </si>
  <si>
    <t>Смирнов Александр Николаевич</t>
  </si>
  <si>
    <t>ОБЩЕСТВО С ОГРАНИЧЕННОЙ ОТВЕТСТВЕННОСТЬЮ "КИРПИЧИ И БЛОКИ"</t>
  </si>
  <si>
    <t>"КИРПИЧИ И БЛОКИ"</t>
  </si>
  <si>
    <t>3702209658</t>
  </si>
  <si>
    <t>153029, ИВАНОВСКАЯ ОБЛАСТЬ, Г. ИВАНОВО, УЛ. МИНСКАЯ, Д. 3, ОФИС 5</t>
  </si>
  <si>
    <t>Калинин Артур Андреевич</t>
  </si>
  <si>
    <t>ОБЩЕСТВО С ОГРАНИЧЕННОЙ ОТВЕТСТВЕННОСТЬЮ "ИВАНОВСКИЙ СИЛИКАТНЫЙ КИРПИЧ"</t>
  </si>
  <si>
    <t>"ИВАНОВСКИЙ СИЛИКАТНЫЙ КИРПИЧ"</t>
  </si>
  <si>
    <t>3702252357</t>
  </si>
  <si>
    <t>153029, ИВАНОВСКАЯ ОБЛ., Г. Иваново, УЛ. МИНСКАЯ, Д. 3, ОФИС 3</t>
  </si>
  <si>
    <t>Воробьева Ольга Викторовна</t>
  </si>
  <si>
    <t>57.048359,40.94707</t>
  </si>
  <si>
    <t>ОБЩЕСТВО С ОГРАНИЧЕННОЙ ОТВЕТСТВЕННОСТЬЮ "ЖБИ МАК"</t>
  </si>
  <si>
    <t>"ЖБИ МАК"</t>
  </si>
  <si>
    <t>3702211858</t>
  </si>
  <si>
    <t>153029, ИВАНОВСКАЯ ОБЛ, ИВАНОВО Г, 3-Я ПЕТРОЗАВОДСКАЯ УЛ, ДОМ 12, ЛИТЕР А 14, ОФИС 6</t>
  </si>
  <si>
    <t>Степанян Мгер Срапионович</t>
  </si>
  <si>
    <t>57.030774,40.951517</t>
  </si>
  <si>
    <t>3702177396</t>
  </si>
  <si>
    <t>153029, ИВАНОВСКАЯ ОБЛАСТЬ, Г. ИВАНОВО, УЛ. ВИТЕБСКАЯ, Д. 4Б, ОФИС 34</t>
  </si>
  <si>
    <t>Кустова Елена Владимировна</t>
  </si>
  <si>
    <t>57.766555,40.952981</t>
  </si>
  <si>
    <t>ОБЩЕСТВО С ОГРАНИЧЕННОЙ ОТВЕТСТВЕННОСТЬЮ "ЭТАЛОН"</t>
  </si>
  <si>
    <t>"ЭТАЛОН"</t>
  </si>
  <si>
    <t>4401178493</t>
  </si>
  <si>
    <t>156005, КОСТРОМСКАЯ ОБЛАСТЬ, ГОРОД КОСТРОМА, УЛИЦА СВЕРДЛОВА, ДОМ 80,..</t>
  </si>
  <si>
    <t>Яковлева Наталья Владимировна</t>
  </si>
  <si>
    <t>+7 (960) 744-49-26'</t>
  </si>
  <si>
    <t>57.016723,40.95538</t>
  </si>
  <si>
    <t>ОБЩЕСТВО С ОГРАНИЧЕННОЙ ОТВЕТСТВЕННОСТЬЮ "ИВЖЕЛЕЗОБЕТОН"</t>
  </si>
  <si>
    <t>"ИВЖЕЛЕЗОБЕТОН"</t>
  </si>
  <si>
    <t>3702178551</t>
  </si>
  <si>
    <t>153025, ИВАНОВСКАЯ ОБЛАСТЬ, ГОРОД ИВАНОВО, УЛИЦА ТИМИРЯЗЕВА, ДОМ 1, ОФИС 210 А</t>
  </si>
  <si>
    <t>Галицын Сергей Сергеевич</t>
  </si>
  <si>
    <t>ksk@mail.ru', 'buh@mail.ru'</t>
  </si>
  <si>
    <t>57.762263,40.958317</t>
  </si>
  <si>
    <t>ОБЩЕСТВО С ОГРАНИЧЕННОЙ ОТВЕТСТВЕННОСТЬЮ "ЖБК СТАРТ"</t>
  </si>
  <si>
    <t>"ЖБК СТАРТ"</t>
  </si>
  <si>
    <t>4401082520</t>
  </si>
  <si>
    <t>156005, КОСТРОМСКАЯ ОБЛ., Г. Кострома, УЛ. КУЗНЕЦКАЯ, Д. 18Б, ПОМЕЩ. 6</t>
  </si>
  <si>
    <t>Тимусяк Станислав Юрьевич</t>
  </si>
  <si>
    <t>57.010215,40.95882</t>
  </si>
  <si>
    <t>ОБЩЕСТВО С ОГРАНИЧЕННОЙ ОТВЕТСТВЕННОСТЬЮ "НОБИЛИС И КО"</t>
  </si>
  <si>
    <t>"НОБИЛИС И КО"</t>
  </si>
  <si>
    <t>3702173056</t>
  </si>
  <si>
    <t>153003, ИВАНОВСКАЯ ОБЛ, ИВАНОВО Г, НАГОВИЦЫНОЙ-ИКРЯНИСТОВОЙ УЛ, ДОМ 6, ЛИТЕР У1, ПОМЕЩЕНИЕ 1</t>
  </si>
  <si>
    <t>Колобков Алексей Александрович</t>
  </si>
  <si>
    <t>sadykova08@bk.ru', 'sadykova08@bk.ru'</t>
  </si>
  <si>
    <t>56.980787,40.966339</t>
  </si>
  <si>
    <t>ОБЩЕСТВО С ОГРАНИЧЕННОЙ ОТВЕТСТВЕННОСТЬЮ "ГК АВАНГАРД"</t>
  </si>
  <si>
    <t>"ГК АВАНГАРД"</t>
  </si>
  <si>
    <t>3702261496</t>
  </si>
  <si>
    <t>153022, ИВАНОВСКАЯ ОБЛ., Г. Иваново, УЛ. БЛАГОВА, Д. 42,..</t>
  </si>
  <si>
    <t>Гармаш Наталья Юрьевна</t>
  </si>
  <si>
    <t>IV@MAIL.RU'</t>
  </si>
  <si>
    <t>56.962223,40.971953</t>
  </si>
  <si>
    <t>ОБЩЕСТВО С ОГРАНИЧЕННОЙ ОТВЕТСТВЕННОСТЬЮ "ИВТРОТУАР"</t>
  </si>
  <si>
    <t>"ИВТРОТУАР"</t>
  </si>
  <si>
    <t>3702220877</t>
  </si>
  <si>
    <t>153032, ИВАНОВСКАЯ ОБЛ, ИВАНОВО Г, ЛЕЖНЕВСКАЯ УЛ, ДОМ 158,..</t>
  </si>
  <si>
    <t>Ромашов Алексей Борисович</t>
  </si>
  <si>
    <t>57.020961,40.973912</t>
  </si>
  <si>
    <t>ОБЩЕСТВО С ОГРАНИЧЕННОЙ ОТВЕТСТВЕННОСТЬЮ "ПЭВИНГ СТОУН"</t>
  </si>
  <si>
    <t>"ПЭВИНГ СТОУН"</t>
  </si>
  <si>
    <t>3702176000</t>
  </si>
  <si>
    <t>153024, ИВАНОВСКАЯ ОБЛАСТЬ, Г. ИВАНОВО, УЛ. КАЛАШНИКОВА, Д. 16, ЛИТЕР А11</t>
  </si>
  <si>
    <t>Соболева Татьяна Сергеевна</t>
  </si>
  <si>
    <t>57.000353,40.97393</t>
  </si>
  <si>
    <t>ОБЩЕСТВО С ОГРАНИЧЕННОЙ ОТВЕТСТВЕННОСТЬЮ "Цветок"</t>
  </si>
  <si>
    <t>"Цветок"</t>
  </si>
  <si>
    <t>3702644820</t>
  </si>
  <si>
    <t>153023, ИВАНОВСКАЯ ОБЛАСТЬ, ГОРОД ИВАНОВО, ДОМ 5,..</t>
  </si>
  <si>
    <t>Зуев Александр Николаевич</t>
  </si>
  <si>
    <t>57.027526,40.975529</t>
  </si>
  <si>
    <t>ОБЩЕСТВО С ОГРАНИЧЕННОЙ ОТВЕТСТВЕННОСТЬЮ "СТРОЙ БЕТОН СЕРВИС"</t>
  </si>
  <si>
    <t>"СТРОЙ БЕТОН СЕРВИС"</t>
  </si>
  <si>
    <t>3702055398</t>
  </si>
  <si>
    <t>153043, ИВАНОВСКАЯ ОБЛ, ИВАНОВО Г, КАЛАШНИКОВА УЛ, ДОМ 28С</t>
  </si>
  <si>
    <t>Абрамов Сергей Александрович</t>
  </si>
  <si>
    <t>57.00576,40.97569</t>
  </si>
  <si>
    <t>ОБЩЕСТВО С ОГРАНИЧЕННОЙ ОТВЕТСТВЕННОСТЬЮ "АЙТИКОМ"</t>
  </si>
  <si>
    <t>"АЙТИКОМ"</t>
  </si>
  <si>
    <t>3702116795</t>
  </si>
  <si>
    <t>Г ИВАНОВО,УЛ ДЕМИДОВА 6</t>
  </si>
  <si>
    <t>Быкова Мария Алексеевна</t>
  </si>
  <si>
    <t>57.005108,40.977766</t>
  </si>
  <si>
    <t>ОБЩЕСТВО С ОГРАНИЧЕННОЙ ОТВЕТСТВЕННОСТЬЮ "СТРОЙЭКОБЛОК"</t>
  </si>
  <si>
    <t>"СТРОЙЭКОБЛОК"</t>
  </si>
  <si>
    <t>3702252163</t>
  </si>
  <si>
    <t>153002, ИВАНОВСКАЯ ОБЛАСТЬ, ГОРОД ИВАНОВО, УЛИЦА БАТУРИНА, Д. 23,..</t>
  </si>
  <si>
    <t>Малытин Сергей Валентинович</t>
  </si>
  <si>
    <t>MALYTINSV@GMAIL.COM'</t>
  </si>
  <si>
    <t>57.737668,40.980892</t>
  </si>
  <si>
    <t>ОБЩЕСТВО С ОГРАНИЧЕННОЙ ОТВЕТСТВЕННОСТЬЮ "ПК"</t>
  </si>
  <si>
    <t>"ПК"</t>
  </si>
  <si>
    <t>4401161073</t>
  </si>
  <si>
    <t>156009, КОСТРОМСКАЯ ОБЛ, КОСТРОМА Г, МКР ЮБИЛЕЙНЫЙ, Д 4,..</t>
  </si>
  <si>
    <t>Резвов Дмитрий Евгеньевич</t>
  </si>
  <si>
    <t>57.010073,40.98488</t>
  </si>
  <si>
    <t>ОБЩЕСТВО С ОГРАНИЧЕННОЙ ОТВЕТСТВЕННОСТЬЮ "КАПИТАЛСТРОЙ"</t>
  </si>
  <si>
    <t>"КАПИТАЛСТРОЙ"</t>
  </si>
  <si>
    <t>3702128864</t>
  </si>
  <si>
    <t>153037, ИВАНОВСКАЯ ОБЛАСТЬ, Г. ИВАНОВО, УЛ. ГРОМОБОЯ, Д. 56,..</t>
  </si>
  <si>
    <t>Вейсман Александр Валентинович</t>
  </si>
  <si>
    <t>56.995136,40.985913</t>
  </si>
  <si>
    <t>ОБЩЕСТВО С ОГРАНИЧЕННОЙ ОТВЕТСТВЕННОСТЬЮ "СТРОЙПРОФИНВЕСТ"</t>
  </si>
  <si>
    <t>"СТРОЙПРОФИНВЕСТ"</t>
  </si>
  <si>
    <t>3702122245</t>
  </si>
  <si>
    <t>153012, ИВАНОВСКАЯ ОБЛ., Г. Иваново, УЛ. 10 АВГУСТА, Д. 43, ОФИС 405</t>
  </si>
  <si>
    <t>Морозов Александр Васильевич</t>
  </si>
  <si>
    <t>56.997725,40.988878</t>
  </si>
  <si>
    <t>ОБЩЕСТВО С ОГРАНИЧЕННОЙ ОТВЕТСТВЕННОСТЬЮ "НПО СМАРТАРБОЛИТ"</t>
  </si>
  <si>
    <t>"НПО СМАРТАРБОЛИТ"</t>
  </si>
  <si>
    <t>3702266470</t>
  </si>
  <si>
    <t>153012, Ивановская область, городской округ ИВАНОВО, Город ИВАНОВО, УЛ АРСЕНИЯ, Д. 35, ПОМЕЩ. 1003</t>
  </si>
  <si>
    <t>Делекторский Денис Юрьевич</t>
  </si>
  <si>
    <t>57.76402,40.988959</t>
  </si>
  <si>
    <t>ОБЩЕСТВО С ОГРАНИЧЕННОЙ ОТВЕТСТВЕННОСТЬЮ "ДОМОСТРОИТЕЛЬ"</t>
  </si>
  <si>
    <t>"ДОМОСТРОИТЕЛЬ"</t>
  </si>
  <si>
    <t>4401183341</t>
  </si>
  <si>
    <t>156019, КОСТРОМСКАЯ ОБЛАСТЬ, ГОРОД КОСТРОМА, УЛИЦА ЛОКОМОТИВНАЯ, ДОМ 8А, ЛИТЕР Б, ОФИС 5</t>
  </si>
  <si>
    <t>Останин Александр Юрьевич</t>
  </si>
  <si>
    <t>+7 (915) 922-03-52'</t>
  </si>
  <si>
    <t>57.760794,40.989866</t>
  </si>
  <si>
    <t>4401185557</t>
  </si>
  <si>
    <t>156019, КОСТРОМСКАЯ ОБЛАСТЬ, Г. КОСТРОМА, УЛ. ЛОКОМОТИВНАЯ, Д. 8, ЛИТЕР И, И1, ПОМЕЩ. 42</t>
  </si>
  <si>
    <t>Тарасов Александр Дмитриевич</t>
  </si>
  <si>
    <t>+7 (910) 377-77-10'</t>
  </si>
  <si>
    <t>57.805663,40.998795</t>
  </si>
  <si>
    <t>ОБЩЕСТВО С ОГРАНИЧЕННОЙ ОТВЕТСТВЕННОСТЬЮ "КАМИНТЕРН"</t>
  </si>
  <si>
    <t>"КАМИНТЕРН"</t>
  </si>
  <si>
    <t>4401197552</t>
  </si>
  <si>
    <t>156012, КОСТРОМСКАЯ ОБЛАСТЬ, ГОРОД КОСТРОМА, УЛИЦА КОСТРОМСКАЯ, ДОМ 103, ПОМЕЩЕНИЕ 1</t>
  </si>
  <si>
    <t>Большаков Андрей Игоревич</t>
  </si>
  <si>
    <t>57.734161,40.999505</t>
  </si>
  <si>
    <t>ОБЩЕСТВО С ОГРАНИЧЕННОЙ ОТВЕТСТВЕННОСТЬЮ "КОСТРОМАПЛИТКА"</t>
  </si>
  <si>
    <t>"КОСТРОМАПЛИТКА"</t>
  </si>
  <si>
    <t>4400003370</t>
  </si>
  <si>
    <t>156014, КОСТРОМСКАЯ ОБЛ., Г. Кострома, УЛ. ДАВЫДОВСКАЯ, Д. 17,..</t>
  </si>
  <si>
    <t>Тамразян Арсен Тевосович</t>
  </si>
  <si>
    <t>KOSTRAMA@YANDEX.RU'</t>
  </si>
  <si>
    <t>57.762469,41.002703</t>
  </si>
  <si>
    <t>ОБЩЕСТВО С ОГРАНИЧЕННОЙ ОТВЕТСТВЕННОСТЬЮ "ФАСПЛИТ"</t>
  </si>
  <si>
    <t>"ФАСПЛИТ"</t>
  </si>
  <si>
    <t>4401153266</t>
  </si>
  <si>
    <t>http://фасплит44.ru</t>
  </si>
  <si>
    <t>156019, КОСТРОМСКАЯ ОБЛАСТЬ, ГОРОД КОСТРОМА, УЛИЦА ЗЕЛЕНАЯ, 1, ЛИТЕР А, ПОМЕЩЕНИЕ 16</t>
  </si>
  <si>
    <t>Пестовский Алексей Сергеевич</t>
  </si>
  <si>
    <t>+7 (909) 253-03-22'</t>
  </si>
  <si>
    <t>57.73024,41.011066</t>
  </si>
  <si>
    <t>ОБЩЕСТВО С ОГРАНИЧЕННОЙ ОТВЕТСТВЕННОСТЬЮ "СТРИТ СТОУН"</t>
  </si>
  <si>
    <t>"СТРИТ СТОУН"</t>
  </si>
  <si>
    <t>4400005113</t>
  </si>
  <si>
    <t>156016, КОСТРОМСКАЯ ОБЛ., Г. Кострома, УЛ. ПРОФСОЮЗНАЯ, Д. 28,..</t>
  </si>
  <si>
    <t>Ошмарин Сергей Анатольевич</t>
  </si>
  <si>
    <t>STONE44@MAIL.RU'</t>
  </si>
  <si>
    <t>57.772699,41.012575</t>
  </si>
  <si>
    <t>ОБЩЕСТВО С ОГРАНИЧЕННОЙ ОТВЕТСТВЕННОСТЬЮ "Автотехстрой"</t>
  </si>
  <si>
    <t>"Автотехстрой"</t>
  </si>
  <si>
    <t>4401127918</t>
  </si>
  <si>
    <t>156019, КОСТРОМСКАЯ ОБЛАСТЬ, ГОРОД КОСТРОМА, УЛИЦА БАЗОВАЯ, ДОМ 8Г</t>
  </si>
  <si>
    <t>Цветков Владислав Александрович</t>
  </si>
  <si>
    <t>44.94002,41.019537</t>
  </si>
  <si>
    <t>ОБЩЕСТВО С ОГРАНИЧЕННОЙ ОТВЕТСТВЕННОСТЬЮ "УСПЕХ ВИА"</t>
  </si>
  <si>
    <t>"УСПЕХ ВИА"</t>
  </si>
  <si>
    <t>2372026644</t>
  </si>
  <si>
    <t>352207, КРАСНОДАРСКИЙ КРАЙ, Р-Н НОВОКУБАНСКИЙ, П ГЛУБОКИЙ, УЛ. КАЛИНИНА, Д. 2</t>
  </si>
  <si>
    <t>Волков Игорь Александрович</t>
  </si>
  <si>
    <t>kasim_48@mail.ru'</t>
  </si>
  <si>
    <t>57.769824,41.025628</t>
  </si>
  <si>
    <t>АКЦИОНЕРНОЕ ОБЩЕСТВО ФИРМА "АГРОТЕКС-ЖБИ"</t>
  </si>
  <si>
    <t>ФИРМА "АГРОТЕКС-ЖБИ"</t>
  </si>
  <si>
    <t>4401005349</t>
  </si>
  <si>
    <t>Г КОСТРОМА,УЛ ИНДУСТРИАЛЬНАЯ, Д 50/2</t>
  </si>
  <si>
    <t>Шкляев Евгений Васильевич</t>
  </si>
  <si>
    <t>AGROTEX@KMTN.RU'</t>
  </si>
  <si>
    <t>57.770107,41.029239</t>
  </si>
  <si>
    <t>ОБЩЕСТВО С ОГРАНИЧЕННОЙ ОТВЕТСТВЕННОСТЬЮ "КОСТРОМСКОЙ ЗАВОД СТРОИТЕЛЬНЫХ МАТЕРИАЛОВ"</t>
  </si>
  <si>
    <t>"КОСТРОМСКОЙ ЗАВОД СТРОИТЕЛЬНЫХ МАТЕРИАЛОВ"</t>
  </si>
  <si>
    <t>4401097808</t>
  </si>
  <si>
    <t>156016, КОСТРОМСКАЯ ОБЛАСТЬ, ГОРОД КОСТРОМА, УЛИЦА МЕЛИОРАТИВНАЯ, 3</t>
  </si>
  <si>
    <t xml:space="preserve"> Генеральный Директор Мошков Константин Евгеньевич</t>
  </si>
  <si>
    <t>+7 (495) 933-21-51', '+7 (911) 927-70-15'</t>
  </si>
  <si>
    <t>54.212403,41.038123</t>
  </si>
  <si>
    <t>ОБЩЕСТВО С ОГРАНИЧЕННОЙ ОТВЕТСТВЕННОСТЬЮ "ГЛАВКБЕТОН"</t>
  </si>
  <si>
    <t>"ГЛАВКБЕТОН"</t>
  </si>
  <si>
    <t>6212002890</t>
  </si>
  <si>
    <t>391490, РЯЗАНСКАЯ ОБЛ, ПУТЯТИНСКИЙ Р-Н, С ЕКАТЕРИНОВКА, УЛ ЦЕНТРАЛЬНАЯ, Д 44</t>
  </si>
  <si>
    <t>Брызгин Геннадий Геннадьевич</t>
  </si>
  <si>
    <t>56.999201,41.038941</t>
  </si>
  <si>
    <t>ОБЩЕСТВО С ОГРАНИЧЕННОЙ ОТВЕТСТВЕННОСТЬЮ "АС-ЮНИОН"</t>
  </si>
  <si>
    <t>"АС-ЮНИОН"</t>
  </si>
  <si>
    <t>3702526551</t>
  </si>
  <si>
    <t>Г ИВАНОВО,УЛ СОСНЕВСКАЯ 12-Я, Д 3</t>
  </si>
  <si>
    <t>Ширяев Сергей Иванович</t>
  </si>
  <si>
    <t>45.00608,41.085977</t>
  </si>
  <si>
    <t>АКЦИОНЕРНОЕ ОБЩЕСТВО "СПЕЦИАЛИЗИРОВАННЫЙ ЗАСТРОЙЩИК "ДОМОСТРОИТЕЛЬ"</t>
  </si>
  <si>
    <t>"СПЕЦИАЛИЗИРОВАННЫЙ ЗАСТРОЙЩИК "ДОМОСТРОИТЕЛЬ"</t>
  </si>
  <si>
    <t>2302001526</t>
  </si>
  <si>
    <t>КРАСНОДАРСКИЙ КРАЙ,Г АРМАВИР,ТЕР ПРОМЗОНА 16</t>
  </si>
  <si>
    <t>Филоненко Наталья Викторовна</t>
  </si>
  <si>
    <t>dsk@arm.kes'</t>
  </si>
  <si>
    <t>45.076322,41.091438</t>
  </si>
  <si>
    <t>ОБЩЕСТВО С ОГРАНИЧЕННОЙ ОТВЕТСТВЕННОСТЬЮ "ПЛИТТЕКС"</t>
  </si>
  <si>
    <t>"ПЛИТТЕКС"</t>
  </si>
  <si>
    <t>2372029123</t>
  </si>
  <si>
    <t>352244, Краснодарский край, муниципальный район НОВОКУБАНСКИЙ, Город НОВОКУБАНСК, городское поселение НОВОКУБАНСКОЕ, УЛ КУЗНЕЧНАЯ, ВЛД. 1, ОФИС 2</t>
  </si>
  <si>
    <t>Выхватенко Валентина Андреевна</t>
  </si>
  <si>
    <t>44.989987,41.097754</t>
  </si>
  <si>
    <t>ОБЩЕСТВО С ОГРАНИЧЕННОЙ ОТВЕТСТВЕННОСТЬЮ "Стройтехнологии"</t>
  </si>
  <si>
    <t>"Стройтехнологии"</t>
  </si>
  <si>
    <t>2302061331</t>
  </si>
  <si>
    <t>352932, Краснодарский край, городской округ ГОРОД АРМАВИР, Город АРМАВИР, УЛ СОВЕТСКОЙ АРМИИ, Д. 97, ОФИС 308</t>
  </si>
  <si>
    <t>Амброш Сергей Валерьевич</t>
  </si>
  <si>
    <t>45.016136,41.098149</t>
  </si>
  <si>
    <t>2372028722</t>
  </si>
  <si>
    <t>352900, Краснодарский край, городской округ ГОРОД АРМАВИР, Город АРМАВИР, УЛ ЛИНЕЙНАЯ, Д. 42,</t>
  </si>
  <si>
    <t>Казарян Наталья Михайловна</t>
  </si>
  <si>
    <t>KAZ57@MAIL.RU'</t>
  </si>
  <si>
    <t>56.965456,41.10264</t>
  </si>
  <si>
    <t>ОБЩЕСТВО С ОГРАНИЧЕННОЙ ОТВЕТСТВЕННОСТЬЮ "НПО АРБОКОМПЛЕКТ"</t>
  </si>
  <si>
    <t>"НПО АРБОКОМПЛЕКТ"</t>
  </si>
  <si>
    <t>3702228636</t>
  </si>
  <si>
    <t>153042, ИВАНОВСКАЯ ОБЛАСТЬ, Г. ИВАНОВО, МКР ТЭЦ-3, Д. 28, СТР. Б</t>
  </si>
  <si>
    <t>Тихонова Елена Олеговна</t>
  </si>
  <si>
    <t>arbokomplekt@yandex.ru'</t>
  </si>
  <si>
    <t>44.979602,41.102829</t>
  </si>
  <si>
    <t>2372019608</t>
  </si>
  <si>
    <t>352900, КРАСНОДАРСКИЙ КРАЙ, АРМАВИР Г, ВОРОВСКОГО УЛ, ДОМ 81, ОФИС 1</t>
  </si>
  <si>
    <t>Иваненко Артур Сергеевич</t>
  </si>
  <si>
    <t>+7 (918) 491-29-52'</t>
  </si>
  <si>
    <t>57.273458,41.143325</t>
  </si>
  <si>
    <t>ОБЩЕСТВО С ОГРАНИЧЕННОЙ ОТВЕТСТВЕННОСТЬЮ "ЛИМАТОН"</t>
  </si>
  <si>
    <t>"ЛИМАТОН"</t>
  </si>
  <si>
    <t>3705010525</t>
  </si>
  <si>
    <t>155523, ИВАНОВСКАЯ ОБЛ, ФУРМАНОВСКИЙ Р-Н, ФУРМАНОВ Г, ДЕМЬЯНА БЕДНОГО УЛ, ДОМ 69, ПОМЕЩЕНИЕ 1</t>
  </si>
  <si>
    <t>Зайцев Андрей Валерьевич</t>
  </si>
  <si>
    <t>taxsbis@umail.limpack'</t>
  </si>
  <si>
    <t>52.773927,41.285924</t>
  </si>
  <si>
    <t>ОБЩЕСТВО С ОГРАНИЧЕННОЙ ОТВЕТСТВЕННОСТЬЮ "ЗАВОД БЕТОННЫХ ИЗДЕЛИЙ №1"</t>
  </si>
  <si>
    <t>"ЗАВОД БЕТОННЫХ ИЗДЕЛИЙ №1"</t>
  </si>
  <si>
    <t>6820041630</t>
  </si>
  <si>
    <t>392543, Тамбовская область, муниципальный район ТАМБОВСКИЙ, П СОВХОЗА "КОМСОМОЛЕЦ", сельское поселение КОМСОМОЛЬСКИЙ СЕЛЬСОВЕТ, УЛ СЕВЕРНАЯ 2-Я, Д. 30, СТР. 19, КОМ. 3</t>
  </si>
  <si>
    <t>Канина Наталья Юрьевна</t>
  </si>
  <si>
    <t>ZBI_TMB@MAIL.RU'</t>
  </si>
  <si>
    <t>56.351141,41.290595</t>
  </si>
  <si>
    <t>ОБЩЕСТВО С ОГРАНИЧЕННОЙ ОТВЕТСТВЕННОСТЬЮ "СТРОЙПОРТАЛ"</t>
  </si>
  <si>
    <t>"СТРОЙПОРТАЛ"</t>
  </si>
  <si>
    <t>3305797298</t>
  </si>
  <si>
    <t>601903, ВЛАДИМИРСКАЯ ОБЛАСТЬ, ГОРОД КОВРОВ, УЛИЦА ФРУНЗЕ, ДОМ 4,..</t>
  </si>
  <si>
    <t>Карев Антон Владимирович</t>
  </si>
  <si>
    <t>+7 (915) 799-32-90'</t>
  </si>
  <si>
    <t>56.360317,41.300234</t>
  </si>
  <si>
    <t>ОБЩЕСТВО С ОГРАНИЧЕННОЙ ОТВЕТСТВЕННОСТЬЮ "КОЛЬЦО33"</t>
  </si>
  <si>
    <t>"КОЛЬЦО33"</t>
  </si>
  <si>
    <t>3305721524</t>
  </si>
  <si>
    <t>601901, Владимирская область, г Ковров, ул Фурманова, д 17, корп 1,..</t>
  </si>
  <si>
    <t>Сенькова Наталья Викторовна</t>
  </si>
  <si>
    <t>+7 (904) 030-45-45'</t>
  </si>
  <si>
    <t>56.346926,41.300961</t>
  </si>
  <si>
    <t>ОБЩЕСТВО С ОГРАНИЧЕННОЙ ОТВЕТСТВЕННОСТЬЮ "ВИКТОРИЯТРЕЙД"</t>
  </si>
  <si>
    <t>"ВИКТОРИЯТРЕЙД"</t>
  </si>
  <si>
    <t>3305800769</t>
  </si>
  <si>
    <t>601914, ВЛАДИМИРСКАЯ ОБЛАСТЬ, ГОРОД КОВРОВ, УЛИЦА 5 ДЕКАБРЯ, ДОМ 22/1,..</t>
  </si>
  <si>
    <t>Балашов Александр Юрьевич</t>
  </si>
  <si>
    <t>56.353904,41.31043</t>
  </si>
  <si>
    <t>ОБЩЕСТВО С ОГРАНИЧЕННОЙ ОТВЕТСТВЕННОСТЬЮ "ИНТЕГРА"</t>
  </si>
  <si>
    <t>"ИНТЕГРА"</t>
  </si>
  <si>
    <t>3305797971</t>
  </si>
  <si>
    <t>601900, ВЛАДИМИРСКАЯ ОБЛАСТЬ, ГОРОД КОВРОВ, ПРОСПЕКТ ЛЕНИНА, ДОМ 49/1,..</t>
  </si>
  <si>
    <t>Северов Владимир Николаевич</t>
  </si>
  <si>
    <t>+7 (910) 777-24-00'</t>
  </si>
  <si>
    <t>3305800705</t>
  </si>
  <si>
    <t>601901, ВЛАДИМИРСКАЯ ОБЛАСТЬ, ГОРОД КОВРОВ, ПРОСПЕКТ ЛЕНИНА, ДОМ 49/1,..</t>
  </si>
  <si>
    <t>56.352592,41.315056</t>
  </si>
  <si>
    <t>3332000056</t>
  </si>
  <si>
    <t>601910, Владимирская область, ГОРОД КОВРОВ, Г КОВРОВ, УЛ ПУГАЧЕВА, Д. 35</t>
  </si>
  <si>
    <t>Панин Иван Сергеевич</t>
  </si>
  <si>
    <t>56.365932,41.322126</t>
  </si>
  <si>
    <t>3305795639</t>
  </si>
  <si>
    <t>601900, ВЛАДИМИРСКАЯ ОБЛ, КОВРОВ Г, СОЦИАЛИСТИЧЕСКАЯ УЛ, ДОМ 24, СТРОЕНИЕ 5, ОФИС 301</t>
  </si>
  <si>
    <t>Кузнецов Владимир Витальевич</t>
  </si>
  <si>
    <t>buh_giguli@mail.ru'</t>
  </si>
  <si>
    <t>56.356238,41.331612</t>
  </si>
  <si>
    <t>ОБЩЕСТВО С ОГРАНИЧЕННОЙ ОТВЕТСТВЕННОСТЬЮ "КОЛЬЦО-33"</t>
  </si>
  <si>
    <t>"КОЛЬЦО-33"</t>
  </si>
  <si>
    <t>3305796632</t>
  </si>
  <si>
    <t>601900, ВЛАДИМИРСКАЯ ОБЛ, КОВРОВ Г, МАЯКОВСКОГО УЛ, ДОМ 85,..</t>
  </si>
  <si>
    <t>Мешкова Яна Викторовна</t>
  </si>
  <si>
    <t>nv@yandex.ru', 'alfin1971@mail.ru'</t>
  </si>
  <si>
    <t>54.906595,41.343362</t>
  </si>
  <si>
    <t>ОБЩЕСТВО С ОГРАНИЧЕННОЙ ОТВЕТСТВЕННОСТЬЮ "ЭКО ЛЕГО БРАЗЕРС"</t>
  </si>
  <si>
    <t>"ЭКО ЛЕГО БРАЗЕРС"</t>
  </si>
  <si>
    <t>6204009556</t>
  </si>
  <si>
    <t>391315, РЯЗАНСКАЯ ОБЛ., Р-Н Касимовский, Д. Бочкари, ЗД. 85</t>
  </si>
  <si>
    <t>Гуляев Роман Анатольевич</t>
  </si>
  <si>
    <t>52.801729,41.353145</t>
  </si>
  <si>
    <t>ОБЩЕСТВО С ОГРАНИЧЕННОЙ ОТВЕТСТВЕННОСТЬЮ "ЗАВОД ЖЕЛЕЗОБЕТОННЫХ ИЗДЕЛИЙ №7"</t>
  </si>
  <si>
    <t>"ЗАВОД ЖЕЛЕЗОБЕТОННЫХ ИЗДЕЛИЙ №7"</t>
  </si>
  <si>
    <t>6829120710</t>
  </si>
  <si>
    <t>392027, Тамбовская область, городской округ ГОРОД ТАМБОВ, Город ТАМБОВ, УЛ МИЧУРИНСКАЯ, Д. 405,</t>
  </si>
  <si>
    <t>Казмин Сергей Николаевич</t>
  </si>
  <si>
    <t>ОБЩЕСТВО С ОГРАНИЧЕННОЙ ОТВЕТСТВЕННОСТЬЮ "ЗАВОД ЖЕЛЕЗОБЕТОННЫХ ИЗДЕЛИЙ 7"</t>
  </si>
  <si>
    <t>"ЗАВОД ЖЕЛЕЗОБЕТОННЫХ ИЗДЕЛИЙ 7"</t>
  </si>
  <si>
    <t>6829159121</t>
  </si>
  <si>
    <t>Романтеев Дмитрий Леонидович</t>
  </si>
  <si>
    <t>OOOJBI7@RAMBLER.RU'</t>
  </si>
  <si>
    <t>52.744029,41.370069</t>
  </si>
  <si>
    <t>ОБЩЕСТВО С ОГРАНИЧЕННОЙ ОТВЕТСТВЕННОСТЬЮ СТРОИТЕЛЬНАЯ БАЗА "ПАНДОРА"</t>
  </si>
  <si>
    <t>СТРОИТЕЛЬНАЯ БАЗА "ПАНДОРА"</t>
  </si>
  <si>
    <t>6829145672</t>
  </si>
  <si>
    <t>392029, ТАМБОВСКАЯ ОБЛАСТЬ, ГОРОД ТАМБОВ, УЛИЦА БАСТИОННАЯ, ДОМ 22А</t>
  </si>
  <si>
    <t>Власов Константин Иванович</t>
  </si>
  <si>
    <t>+7 (953) 713-82-22'</t>
  </si>
  <si>
    <t>52.74144,41.370832</t>
  </si>
  <si>
    <t>ОБЩЕСТВО С ОГРАНИЧЕННОЙ ОТВЕТСТВЕННОСТЬЮ "ТАМБОВБАЗАЛЬТПЛЮС"</t>
  </si>
  <si>
    <t>"ТАМБОВБАЗАЛЬТПЛЮС"</t>
  </si>
  <si>
    <t>6820035851</t>
  </si>
  <si>
    <t>392029, ТАМБОВСКАЯ ОБЛАСТЬ, ГОРОД ТАМБОВ, УЛИЦА БАСТИОННАЯ, ДОМ 29, ЛИТЕР С</t>
  </si>
  <si>
    <t>Мищенко Анна Алексеевна</t>
  </si>
  <si>
    <t>+7 (909) 234-60-80', '+7 (915) 861-36-48', '+7 (980) 788-87-87'</t>
  </si>
  <si>
    <t>mxa@uiotmb.ru', 'tambazalt@yandex.ru'</t>
  </si>
  <si>
    <t>52.724835,41.371551</t>
  </si>
  <si>
    <t>ОБЩЕСТВО С ОГРАНИЧЕННОЙ ОТВЕТСТВЕННОСТЬЮ "ТБС-КИРПИЧ"</t>
  </si>
  <si>
    <t>"ТБС-КИРПИЧ"</t>
  </si>
  <si>
    <t>6829104242</t>
  </si>
  <si>
    <t>392014, Тамбовская область, городской округ ГОРОД ТАМБОВ, Город ТАМБОВ, УЛ КИКВИДЗЕ, Д. 85Б, ОФИС 403</t>
  </si>
  <si>
    <t>Зимарин Роман Александрович</t>
  </si>
  <si>
    <t>+7 (475) 272-76-97', '+7 (920) 480-01-96', '+7 (475) 272-85-45'</t>
  </si>
  <si>
    <t>tambov@mail.ru'</t>
  </si>
  <si>
    <t>54.95446,41.379717</t>
  </si>
  <si>
    <t>6226012030</t>
  </si>
  <si>
    <t>391306, РЯЗАНСКАЯ ОБЛАСТЬ, ГОРОД КАСИМОВ, УЛИЦА СЕВЕРНАЯ, 5</t>
  </si>
  <si>
    <t>Наумкин Александр Юрьевич</t>
  </si>
  <si>
    <t>+7 (910) 573-70-03'</t>
  </si>
  <si>
    <t>alexandr5737003@gmail.com'</t>
  </si>
  <si>
    <t>52.738414,41.382708</t>
  </si>
  <si>
    <t>6829159386</t>
  </si>
  <si>
    <t>392029, Тамбовская область, городской округ ГОРОД ТАМБОВ, Город ТАМБОВ, УЛ БАСТИОННАЯ, Д. 21,</t>
  </si>
  <si>
    <t>Александрин Евгений Сергеевич</t>
  </si>
  <si>
    <t>54.938736,41.393515</t>
  </si>
  <si>
    <t>6226006894</t>
  </si>
  <si>
    <t>РЯЗАНСКАЯ ОБЛ.,Г КАСИМОВ,УЛ СОВЕТСКАЯ, Д 11</t>
  </si>
  <si>
    <t>Сучков Петр Владимирович</t>
  </si>
  <si>
    <t>+7 (910) 901-40-48'</t>
  </si>
  <si>
    <t>52.697862,41.399309</t>
  </si>
  <si>
    <t>ОТКРЫТОЕ АКЦИОНЕРНОЕ ОБЩЕСТВО "МИРАЖ"</t>
  </si>
  <si>
    <t>ОТКРЫТОЕ "МИРАЖ"</t>
  </si>
  <si>
    <t>6833003247</t>
  </si>
  <si>
    <t>http://желтые-ворота.рф</t>
  </si>
  <si>
    <t>Г ТАМБОВ,УЛ ВОРОНЕЖСКАЯ, Д 142</t>
  </si>
  <si>
    <t>Савинкова Раиса Ивановна</t>
  </si>
  <si>
    <t>56.824809,41.400594</t>
  </si>
  <si>
    <t>ОБЩЕСТВО С ОГРАНИЧЕННОЙ ОТВЕТСТВЕННОСТЬЮ "ШУЯ-ЦЕМЕНТ"</t>
  </si>
  <si>
    <t>"ШУЯ-ЦЕМЕНТ"</t>
  </si>
  <si>
    <t>3702151327</t>
  </si>
  <si>
    <t>155908, ИВАНОВСКАЯ ОБЛ, ШУЙСКИЙ Р-Н, ОСТАПОВО Д, 0</t>
  </si>
  <si>
    <t>Чесноков Дмитрий Борисович</t>
  </si>
  <si>
    <t>+7 (903) 878-09-49'</t>
  </si>
  <si>
    <t>52.736582,41.412802</t>
  </si>
  <si>
    <t>ОТКРЫТОЕ АКЦИОНЕРНОЕ ОБЩЕСТВО "ТАМБОВСКИЙ ЗАВОД ЖЕЛЕЗОБЕТОННЫХ ИЗДЕЛИЙ "</t>
  </si>
  <si>
    <t>ОТКРЫТОЕ "ТАМБОВСКИЙ ЗАВОД ЖЕЛЕЗОБЕТОННЫХ ИЗДЕЛИЙ "</t>
  </si>
  <si>
    <t>6833002821</t>
  </si>
  <si>
    <t>Г ТАМБОВ,УЛ ИППОДРОМНАЯ, Д 7</t>
  </si>
  <si>
    <t>Андреев Андрей Владимирович</t>
  </si>
  <si>
    <t>info@vbi-tambov'</t>
  </si>
  <si>
    <t>52.654235,41.424318</t>
  </si>
  <si>
    <t>6820038980</t>
  </si>
  <si>
    <t>392525, ТАМБОВСКАЯ ОБЛ, ТАМБОВСКИЙ Р-Н, СТРОИТЕЛЬ П, ПРОМЫШЛЕННАЯ ЗОНА, ДОМ 10</t>
  </si>
  <si>
    <t>Митрофанов Александр Николаевич</t>
  </si>
  <si>
    <t>+7 (905) 047-90-00'</t>
  </si>
  <si>
    <t>52.655312,41.433032</t>
  </si>
  <si>
    <t>6820041333</t>
  </si>
  <si>
    <t>392526, ТАМБОВСКАЯ ОБЛ., Тамбовский Р-Н, ЗОНА ПРОМЫШЛЕННАЯ, Д. 10</t>
  </si>
  <si>
    <t>Ивляков Юрий Николаевич</t>
  </si>
  <si>
    <t>KAZMINVV@MAIL.RU'</t>
  </si>
  <si>
    <t>52.756234,41.457196</t>
  </si>
  <si>
    <t>6829163022</t>
  </si>
  <si>
    <t>392000, Тамбовская область, ГОРОД ТАМБОВ, Г ТАМБОВ, Б-Р СТРОИТЕЛЕЙ, Д. 6</t>
  </si>
  <si>
    <t>Синельников Константин Владимирович</t>
  </si>
  <si>
    <t>OOOMBS2011@MAIL.RU'</t>
  </si>
  <si>
    <t>52.754997,41.46512</t>
  </si>
  <si>
    <t>ОБЩЕСТВО С ОГРАНИЧЕННОЙ ОТВЕТСТВЕННОСТЬЮ "ФИРМА "ЕВРОФАСАД"</t>
  </si>
  <si>
    <t>"ФИРМА "ЕВРОФАСАД"</t>
  </si>
  <si>
    <t>6829001800</t>
  </si>
  <si>
    <t>Г ТАМБОВ,БУЛЬВАР СТРОИТЕЛЕЙ, Д 5А</t>
  </si>
  <si>
    <t>Вакульчик Юлия Викторовна</t>
  </si>
  <si>
    <t>+7 (953) 700-99-45', '+7 (961) 628-22-88'</t>
  </si>
  <si>
    <t>52.864914,41.491818</t>
  </si>
  <si>
    <t>6820034872</t>
  </si>
  <si>
    <t>392502, Тамбовская область, муниципальный район ТАМБОВСКИЙ, Село КУКСОВО, сельское поселение ТАТАНОВСКИЙ СЕЛЬСОВЕТ, УЛ СОВЕТСКАЯ, Д. 41,..</t>
  </si>
  <si>
    <t>Милосердова Александра Павловна</t>
  </si>
  <si>
    <t>+7 (475) 256-39-14', '+7 (915) 877-75-25'</t>
  </si>
  <si>
    <t>52.598872,41.506568</t>
  </si>
  <si>
    <t>ОБЩЕСТВО С ОГРАНИЧЕННОЙ ОТВЕТСТВЕННОСТЬЮ "ТЕПЛЫЙ ДОМ"</t>
  </si>
  <si>
    <t>"ТЕПЛЫЙ ДОМ"</t>
  </si>
  <si>
    <t>6825006815</t>
  </si>
  <si>
    <t>393192, Тамбовская область, Г КОТОВСК, УЛ ГАВРИЛОВА, Д. 31,</t>
  </si>
  <si>
    <t>Шамилов Абдулзагир Магомедович</t>
  </si>
  <si>
    <t>46.44777,41.563</t>
  </si>
  <si>
    <t>6153014756</t>
  </si>
  <si>
    <t>РОСТОВСКАЯ ОБЛ.,Г САЛЬСК,УЛ КАРЛА МАРКСА, 112</t>
  </si>
  <si>
    <t>Колесников Иван Иванович</t>
  </si>
  <si>
    <t>54.032247,41.709479</t>
  </si>
  <si>
    <t>ОБЩЕСТВО С ОГРАНИЧЕННОЙ ОТВЕТСТВЕННОСТЬЮ "ШАЦКИЙ АРБОЛИТ"</t>
  </si>
  <si>
    <t>"ШАЦКИЙ АРБОЛИТ"</t>
  </si>
  <si>
    <t>6225011820</t>
  </si>
  <si>
    <t>391550, РЯЗАНСКАЯ ОБЛ., Шацкий Р-Н, Г. Шацк, УЛ. КАРЛА МАРКСА, ЗД. 59</t>
  </si>
  <si>
    <t>Крюков Александр Анатольевич</t>
  </si>
  <si>
    <t>LUKAS787@MAIL.RU'</t>
  </si>
  <si>
    <t>54.038286,41.713674</t>
  </si>
  <si>
    <t>ОБЩЕСТВО С ОГРАНИЧЕННОЙ ОТВЕТСТВЕННОСТЬЮ "Универсал"</t>
  </si>
  <si>
    <t>"Универсал"</t>
  </si>
  <si>
    <t>6224006232</t>
  </si>
  <si>
    <t>391550, РЯЗАНСКАЯ ОБЛАСТЬ, Р-Н ШАЦКИЙ, Г. ШАЦК, УЛ. ПЕРВОМАЙСКАЯ, Д.49, К.Б</t>
  </si>
  <si>
    <t>Кулешов Сергей Павлович</t>
  </si>
  <si>
    <t>+7 (930) 069-52-49', '+7 (916) 634-01-89'</t>
  </si>
  <si>
    <t>45.356941,41.721068</t>
  </si>
  <si>
    <t>ОБЩЕСТВО С ОГРАНИЧЕННОЙ ОТВЕТСТВЕННОСТЬЮ "ГРИН"</t>
  </si>
  <si>
    <t>"ГРИН"</t>
  </si>
  <si>
    <t>2635082786</t>
  </si>
  <si>
    <t>СТАВРОПОЛЬСКИЙ КРАЙ,Г ИЗОБИЛЬНЫЙ,УЛ ТРАНСПОРТНАЯ, Д 9</t>
  </si>
  <si>
    <t xml:space="preserve"> Конкурсный Управляющий Семирульников Николай Васильевич</t>
  </si>
  <si>
    <t>+7 (962) 444-25-08'</t>
  </si>
  <si>
    <t>43.957999,41.735611</t>
  </si>
  <si>
    <t>ОБЩЕСТВО С ОГРАНИЧЕННОЙ ОТВЕТСТВЕННОСТЬЮ ФИРМА "СТРОЙМАРКЕТ"</t>
  </si>
  <si>
    <t>ФИРМА "СТРОЙМАРКЕТ"</t>
  </si>
  <si>
    <t>0910006452</t>
  </si>
  <si>
    <t>09-Карачаево-Черкесская Республика</t>
  </si>
  <si>
    <t>КАРАЧАЕВО-ЧЕРКЕССКАЯ РЕСПУБЛИКА,ХАБЕЗСКИЙ Р-Н,АУЛ ЖАКО,УЛ ПОДГОРНАЯ, Д 1</t>
  </si>
  <si>
    <t>Богатырева Юлия Исмаиловна</t>
  </si>
  <si>
    <t>43.959602,41.741163</t>
  </si>
  <si>
    <t>ОБЩЕСТВО С ОГРАНИЧЕННОЙ ОТВЕТСТВЕННОСТЬЮ "ОКСАЛ"</t>
  </si>
  <si>
    <t>"ОКСАЛ"</t>
  </si>
  <si>
    <t>0917007913</t>
  </si>
  <si>
    <t>КАРАЧАЕВО-ЧЕРКЕССКАЯ РЕСПУБЛИКА,ХАБЕЗСКИЙ Р-Н,АУЛ ЖАКО,УЛ М АКОВА, Д 16</t>
  </si>
  <si>
    <t>Богатырев Аслан Кашифович</t>
  </si>
  <si>
    <t>+7 (928) 396-64-50', '+7 (963) 287-79-43'</t>
  </si>
  <si>
    <t>53.443493,41.757818</t>
  </si>
  <si>
    <t>ОБЩЕСТВО С ОГРАНИЧЕННОЙ ОТВЕТСТВЕННОСТЬЮ "БИЗНЕССТРОЙ"</t>
  </si>
  <si>
    <t>"БИЗНЕССТРОЙ"</t>
  </si>
  <si>
    <t>6809006776</t>
  </si>
  <si>
    <t>393956, ТАМБОВСКАЯ ОБЛАСТЬ, РАЙОН МОРШАНСКИЙ, ПОСЕЛОК УСТЬИНСКИЙ, УЛИЦА СОЛНЕЧНАЯ, ДОМ 4,..</t>
  </si>
  <si>
    <t>Сорокин Сергей Владимирович</t>
  </si>
  <si>
    <t>+7 (910) 752-85-30'</t>
  </si>
  <si>
    <t>53.44404,41.766136</t>
  </si>
  <si>
    <t>ОБЩЕСТВО С ОГРАНИЧЕННОЙ ОТВЕТСТВЕННОСТЬЮ "ЛАЙТ ФАСАД"</t>
  </si>
  <si>
    <t>"ЛАЙТ ФАСАД"</t>
  </si>
  <si>
    <t>6809006913</t>
  </si>
  <si>
    <t>393950, ТАМБОВСКАЯ ОБЛ, МОРШАНСК Г, ДЗЕРЖИНСКОГО УЛ, Д 1В,..</t>
  </si>
  <si>
    <t>Добычин Дмитрий Юрьевич</t>
  </si>
  <si>
    <t>53.432342,41.783321</t>
  </si>
  <si>
    <t>6826005476</t>
  </si>
  <si>
    <t>ТАМБОВСКАЯ ОБЛ.,Г МОРШАНСК,П ХИММАШ, ЗАВОД ЖБИ-3</t>
  </si>
  <si>
    <t>Тесёлкин Юрий Васильевич</t>
  </si>
  <si>
    <t>stroi200161@mail.ru'</t>
  </si>
  <si>
    <t>44.769326,41.821805</t>
  </si>
  <si>
    <t>ОБЩЕСТВО С ОГРАНИЧЕННОЙ ОТВЕТСТВЕННОСТЬЮ "АСФАЛЬТОБЕТОН"</t>
  </si>
  <si>
    <t>"АСФАЛЬТОБЕТОН"</t>
  </si>
  <si>
    <t>2610020523</t>
  </si>
  <si>
    <t>357032, СТАВРОПОЛЬСКИЙ КРАЙ, КОЧУБЕЕВСКИЙ РАЙОН, СТАНИЦА БАРСУКОВСКАЯ, УЛИЦА ОСТРОВНАЯ, ДОМ 11, ОФИС 4</t>
  </si>
  <si>
    <t>Шевченко Сергей Михайлович</t>
  </si>
  <si>
    <t>sergej_shevchenko_1973@list.ru'</t>
  </si>
  <si>
    <t>44.674891,41.822487</t>
  </si>
  <si>
    <t>ОБЩЕСТВО С ОГРАНИЧЕННОЙ ОТВЕТСТВЕННОСТЬЮ "СТРОЙПОЛИМЕР - К"</t>
  </si>
  <si>
    <t>"СТРОЙПОЛИМЕР - К"</t>
  </si>
  <si>
    <t>2610018740</t>
  </si>
  <si>
    <t>357000, СТАВРОПОЛЬСКИЙ КРАЙ, КОЧУБЕЕВСКИЙ Р-Н, С КОЧУБЕЕВСКОЕ, УЛ ТОРГОВАЯ, Д 27</t>
  </si>
  <si>
    <t>Торопова Наталья Борисовна</t>
  </si>
  <si>
    <t>+7 (962) 440-07-93'</t>
  </si>
  <si>
    <t>48.364669,41.838316</t>
  </si>
  <si>
    <t>ОБЩЕСТВО С ОГРАНИЧЕННОЙ ОТВЕТСТВЕННОСТЬЮ "СТРОИТЕЛЬ"</t>
  </si>
  <si>
    <t>"СТРОИТЕЛЬ"</t>
  </si>
  <si>
    <t>6121006752</t>
  </si>
  <si>
    <t>РОСТОВСКАЯ ОБЛ.,Г МОРОЗОВСК,УЛ ПЕСЧАНАЯ, 4</t>
  </si>
  <si>
    <t>Хачатрян Аветик Володяевич</t>
  </si>
  <si>
    <t>+7 (903) 402-20-57', '+7 (863) 842-26-55', '+7 (909) 420-34-44'</t>
  </si>
  <si>
    <t>44.658435,41.844595</t>
  </si>
  <si>
    <t>ОБЩЕСТВО С ОГРАНИЧЕННОЙ ОТВЕТСТВЕННОСТЬЮ "ПОЛИГОН"</t>
  </si>
  <si>
    <t>"ПОЛИГОН"</t>
  </si>
  <si>
    <t>2610009706</t>
  </si>
  <si>
    <t>СТАВРОПОЛЬСКИЙ КРАЙ,КОЧУБЕЕВСКИЙ Р-Н,С КОЧУБЕЕВСКОЕ,УЛ ПОЛЕВАЯ, Д 4</t>
  </si>
  <si>
    <t>Тысячный Евгений Александрович</t>
  </si>
  <si>
    <t>45.062974,41.903111</t>
  </si>
  <si>
    <t>ОБЩЕСТВО С ОГРАНИЧЕННОЙ ОТВЕТСТВЕННОСТЬЮ "ПРОФИЛЬ"</t>
  </si>
  <si>
    <t>"ПРОФИЛЬ"</t>
  </si>
  <si>
    <t>2634030457</t>
  </si>
  <si>
    <t>Г СТАВРОПОЛЬ,УЛ 4-Я ПРОМЫШЛЕННАЯ, Д 7</t>
  </si>
  <si>
    <t>Агуренко Любовь Михайловна</t>
  </si>
  <si>
    <t>43.824601,41.905357</t>
  </si>
  <si>
    <t>ОБЩЕСТВО С ОГРАНИЧЕННОЙ ОТВЕТСТВЕННОСТЬЮ "ЭНЕРГОЖЕЛЕЗОБЕТОН"</t>
  </si>
  <si>
    <t>"ЭНЕРГОЖЕЛЕЗОБЕТОН"</t>
  </si>
  <si>
    <t>0919005950</t>
  </si>
  <si>
    <t>369228, Карачаево-Черкесская Республика, Карачаевский р-н, пгт Новый Карачай, ул Кази-Хаджи Лайпанова, д 24</t>
  </si>
  <si>
    <t>Алиев Ахмат Али-Магомедович</t>
  </si>
  <si>
    <t>+7 (928) 383-62-62'</t>
  </si>
  <si>
    <t>45.006699,41.919892</t>
  </si>
  <si>
    <t>ОБЩЕСТВО С ОГРАНИЧЕННОЙ ОТВЕТСТВЕННОСТЬЮ "СТАВРОПОЛЬСКИЙ КОМБИНАТ СТРОИТЕЛЬНЫХ МАТЕРИАЛОВ"</t>
  </si>
  <si>
    <t>"СТАВРОПОЛЬСКИЙ КОМБИНАТ СТРОИТЕЛЬНЫХ МАТЕРИАЛОВ"</t>
  </si>
  <si>
    <t>2635213333</t>
  </si>
  <si>
    <t>http://blok-26.ru</t>
  </si>
  <si>
    <t>355042, СТАВРОПОЛЬСКИЙ КРАЙ, Г СТАВРОПОЛЬ , УЛ 50 ЛЕТ ВЛКСМ, Д 53, КОРП 7, ПОМЕЩЕНИЕ 12-30</t>
  </si>
  <si>
    <t>Долженко Сергей Владимирович</t>
  </si>
  <si>
    <t>+7 (962) 400-10-20', '+7 (962) 400-10-50'</t>
  </si>
  <si>
    <t>ssd26@mail.ru'</t>
  </si>
  <si>
    <t>45.037184,41.92238</t>
  </si>
  <si>
    <t>ОБЩЕСТВО С ОГРАНИЧЕННОЙ ОТВЕТСТВЕННОСТЬЮ "ЭСТЭИК"</t>
  </si>
  <si>
    <t>"ЭСТЭИК"</t>
  </si>
  <si>
    <t>2636207928</t>
  </si>
  <si>
    <t>Г СТАВРОПОЛЬ,УЛ ЛЕНИНА, Д 415, КАБ 108</t>
  </si>
  <si>
    <t>Полякова Анна Григорьевна</t>
  </si>
  <si>
    <t>+7 (905) 470-25-48'</t>
  </si>
  <si>
    <t>45.014116,41.922542</t>
  </si>
  <si>
    <t>ОБЩЕСТВО С ОГРАНИЧЕННОЙ ОТВЕТСТВЕННОСТЬЮ "ПРОИЗВОДСТЕННАЯ КОМПАНИЯ БЕТОНТРАНСРЕГИОН"</t>
  </si>
  <si>
    <t>"ПРОИЗВОДСТЕННАЯ КОМПАНИЯ БЕТОНТРАНСРЕГИОН"</t>
  </si>
  <si>
    <t>2635254153</t>
  </si>
  <si>
    <t>355040, Ставропольский край, ГОРОД СТАВРОПОЛЬ, Г СТАВРОПОЛЬ, УЛ ТУХАЧЕВСКОГО, Д. 7/4</t>
  </si>
  <si>
    <t>Макеев Василий Вячеславович</t>
  </si>
  <si>
    <t>45.06023,41.923072</t>
  </si>
  <si>
    <t>ОБЩЕСТВО С ОГРАНИЧЕННОЙ ОТВЕТСТВЕННОСТЬЮ СТРОИТЕЛЬНАЯ КОМПАНИЯ "ЕВРОСТАНДАРТ"</t>
  </si>
  <si>
    <t>СТРОИТЕЛЬНАЯ КОМПАНИЯ "ЕВРОСТАНДАРТ"</t>
  </si>
  <si>
    <t>2634071012</t>
  </si>
  <si>
    <t>Г СТАВРОПОЛЬ,ПРОСПЕКТ КУЛАКОВА, Д 25, ОФИС 526</t>
  </si>
  <si>
    <t>Пьянковский Владимир Борисович</t>
  </si>
  <si>
    <t>+7 (928) 230-40-89'</t>
  </si>
  <si>
    <t>44.655646,41.933133</t>
  </si>
  <si>
    <t>ОБЩЕСТВО С ОГРАНИЧЕННОЙ ОТВЕТСТВЕННОСТЬЮ "БЕТОН 26"</t>
  </si>
  <si>
    <t>"БЕТОН 26"</t>
  </si>
  <si>
    <t>2631034220</t>
  </si>
  <si>
    <t>357107, СТАВРОПОЛЬСКИЙ КРАЙ, Г НЕВИННОМЫССК, УЛ ЭНЕРГЕТИКОВ, Д 2, ОФИС 1</t>
  </si>
  <si>
    <t>Погорелов Евгений Сергеевич</t>
  </si>
  <si>
    <t>+7 (938) 654-26-26'</t>
  </si>
  <si>
    <t>varda5@mail.ru'</t>
  </si>
  <si>
    <t>44.629717,41.938514</t>
  </si>
  <si>
    <t>ОБЩЕСТВО С ОГРАНИЧЕННОЙ ОТВЕТСТВЕННОСТЬЮ "ПРОСТАЛЬ"</t>
  </si>
  <si>
    <t>"ПРОСТАЛЬ"</t>
  </si>
  <si>
    <t>2631036524</t>
  </si>
  <si>
    <t>357100, СТАВРОПОЛЬСКИЙ КРАЙ, Г НЕВИННОМЫССК, УЛ РЕВОЛЮЦИОННАЯ, Д 31</t>
  </si>
  <si>
    <t>Дубинин Евгений Александрович</t>
  </si>
  <si>
    <t>+7 (906) 472-01-15'</t>
  </si>
  <si>
    <t>44.994003,41.943185</t>
  </si>
  <si>
    <t>ОБЩЕСТВО С ОГРАНИЧЕННОЙ ОТВЕТСТВЕННОСТЬЮ "КРАСТ"</t>
  </si>
  <si>
    <t>"КРАСТ"</t>
  </si>
  <si>
    <t>2635104408</t>
  </si>
  <si>
    <t>355030, СТАВРОПОЛЬСКИЙ КРАЙ, Г СТАВРОПОЛЬ, ПРОЕЗД 3 ЮГО-ЗАПАДНЫЙ, Д 11, ОФИС 32</t>
  </si>
  <si>
    <t>Чурилова Наталья Ивановна</t>
  </si>
  <si>
    <t>+7 (928) 009-77-71', '+7 (928) 010-06-76'</t>
  </si>
  <si>
    <t>44.646925,41.947227</t>
  </si>
  <si>
    <t>ОБЩЕСТВО С ОГРАНИЧЕННОЙ ОТВЕТСТВЕННОСТЬЮ "ТИНИМЕКС"</t>
  </si>
  <si>
    <t>"ТИНИМЕКС"</t>
  </si>
  <si>
    <t>2631032470</t>
  </si>
  <si>
    <t>357114, СТАВРОПОЛЬСКИЙ КРАЙ, Г НЕВИННОМЫССК, УЛ МОНТАЖНАЯ, Д 22</t>
  </si>
  <si>
    <t>Мишинева Елена Юрьевна</t>
  </si>
  <si>
    <t>+7 (962) 420-56-35'</t>
  </si>
  <si>
    <t>45.100434,41.952339</t>
  </si>
  <si>
    <t>ОБЩЕСТВО С ОГРАНИЧЕННОЙ ОТВЕТСТВЕННОСТЬЮ "БЕТОНПОЛИМЕРСТРОЙ"</t>
  </si>
  <si>
    <t>"БЕТОНПОЛИМЕРСТРОЙ"</t>
  </si>
  <si>
    <t>2635251924</t>
  </si>
  <si>
    <t>355035, СТАВРОПОЛЬСКИЙ КРАЙ, Г СТАВРОПОЛЬ, УЛ КОЛОМИЙЦЕВА, Д 21</t>
  </si>
  <si>
    <t>Богданов Василий Дмитриевич</t>
  </si>
  <si>
    <t>45.039203,41.960091</t>
  </si>
  <si>
    <t>ОБЩЕСТВО С ОГРАНИЧЕННОЙ ОТВЕТСТВЕННОСТЬЮ "А ГРУПП"</t>
  </si>
  <si>
    <t>"А ГРУПП"</t>
  </si>
  <si>
    <t>2634109964</t>
  </si>
  <si>
    <t>355017, СТАВРОПОЛЬСКИЙ КРАЙ, Г СТАВРОПОЛЬ, УЛ ЛЕНИНА, Д 245, ЭТАЖ 2 ПОМЕЩЕНИЕ 86-89</t>
  </si>
  <si>
    <t>Кроль Антон Юрьевич</t>
  </si>
  <si>
    <t>44.640159,41.969389</t>
  </si>
  <si>
    <t>2631040810</t>
  </si>
  <si>
    <t>357114, СТАВРОПОЛЬСКИЙ КРАЙ, Г НЕВИННОМЫССК, ШОССЕ ПЯТИГОРСКОЕ, Д 6</t>
  </si>
  <si>
    <t>Кильба Станислав Мухабович</t>
  </si>
  <si>
    <t>44.077815,41.973611</t>
  </si>
  <si>
    <t>ОБЩЕСТВО С ОГРАНИЧЕННОЙ ОТВЕТСТВЕННОСТЬЮ ПК "КОМБИНАТ ЖЕЛЕЗОБЕТОННЫХ ИЗДЕЛИЙ"</t>
  </si>
  <si>
    <t>ПК "КОМБИНАТ ЖЕЛЕЗОБЕТОННЫХ ИЗДЕЛИЙ"</t>
  </si>
  <si>
    <t>0916011160</t>
  </si>
  <si>
    <t>369301, КАРАЧАЕВО-ЧЕРКЕССКАЯ РЕСПУБЛИКА, УСТЬ-ДЖЕГУТИНСКИЙ РАЙОН, ГОРОД УСТЬ-ДЖЕГУТА, УЛИЦА КУРОРТНАЯ, ДОМ 319</t>
  </si>
  <si>
    <t>Джашеев Аслан Мекерович</t>
  </si>
  <si>
    <t>56.59769,41.976719</t>
  </si>
  <si>
    <t>ОБЩЕСТВО С ОГРАНИЧЕННОЙ ОТВЕТСТВЕННОСТЬЮ "ЮЖСКИЙ КИРПИЧНЫЙ ЗАВОД"</t>
  </si>
  <si>
    <t>"ЮЖСКИЙ КИРПИЧНЫЙ ЗАВОД"</t>
  </si>
  <si>
    <t>3706028525</t>
  </si>
  <si>
    <t>155630, ИВАНОВСКАЯ ОБЛАСТЬ, РАЙОН ЮЖСКИЙ, ГОРОД ЮЖА, УЛИЦА АРСЕНЬЕВКА, ДОМ 94</t>
  </si>
  <si>
    <t>Коченков Евгений Алексеевич</t>
  </si>
  <si>
    <t>45.037369,41.992107</t>
  </si>
  <si>
    <t>ОБЩЕСТВО С ОГРАНИЧЕННОЙ ОТВЕТСТВЕННОСТЬЮ "АЛЕКО"</t>
  </si>
  <si>
    <t>"АЛЕКО"</t>
  </si>
  <si>
    <t>0512011333</t>
  </si>
  <si>
    <t>05-Республика Дагестан</t>
  </si>
  <si>
    <t>РЕСПУБЛИКА ДАГЕСТАН,ДЕРБЕНТСКИЙ Р-Н,С РУКЕЛЬ</t>
  </si>
  <si>
    <t>Ахмедов Фехретдин Нариманович</t>
  </si>
  <si>
    <t>+7 (928) 579-77-89'</t>
  </si>
  <si>
    <t>55.588705,41.992476</t>
  </si>
  <si>
    <t>ОБЩЕСТВО С ОГРАНИЧЕННОЙ ОТВЕТСТВЕННОСТЬЮ "ГРИС"</t>
  </si>
  <si>
    <t>"ГРИС"</t>
  </si>
  <si>
    <t>2636027570</t>
  </si>
  <si>
    <t>Г СТАВРОПОЛЬ,УЛ ДОБРОЛЮБОВА, Д 53, КОРП 1</t>
  </si>
  <si>
    <t>Ген Маргарита Петровна</t>
  </si>
  <si>
    <t>+7 (918) 741-37-92'</t>
  </si>
  <si>
    <t>45.047839,41.992574</t>
  </si>
  <si>
    <t>ОБЩЕСТВО С ОГРАНИЧЕННОЙ ОТВЕТСТВЕННОСТЬЮ "БАКАР"</t>
  </si>
  <si>
    <t>"БАКАР"</t>
  </si>
  <si>
    <t>3334023299</t>
  </si>
  <si>
    <t>602201, Владимирская область, Муромский район, д Нежиловка, ул Пригородная,55</t>
  </si>
  <si>
    <t>Асатрян Арарат Самвелович</t>
  </si>
  <si>
    <t>+7 (920) 620-21-71'</t>
  </si>
  <si>
    <t>mplmurom@mail.ru'</t>
  </si>
  <si>
    <t>55.583637,41.993554</t>
  </si>
  <si>
    <t>ОБЩЕСТВО С ОГРАНИЧЕННОЙ ОТВЕТСТВЕННОСТЬЮ "БЕТОН ЮГ"</t>
  </si>
  <si>
    <t>"БЕТОН ЮГ"</t>
  </si>
  <si>
    <t>2634109890</t>
  </si>
  <si>
    <t>355008, Ставропольский край, ГОРОД СТАВРОПОЛЬ, Г СТАВРОПОЛЬ, УЛ КОВАЛЕВА, Д. 19</t>
  </si>
  <si>
    <t>Русаков Вадим Александрович</t>
  </si>
  <si>
    <t>47.542913,42.00321</t>
  </si>
  <si>
    <t>ОБЩЕСТВО С ОГРАНИЧЕННОЙ ОТВЕТСТВЕННОСТЬЮ "МУРОМСКИЙ ЗАВОД ЖЕЛЕЗОБЕТОННЫХ КОНСТРУКЦИЙ"</t>
  </si>
  <si>
    <t>"МУРОМСКИЙ ЗАВОД ЖЕЛЕЗОБЕТОННЫХ КОНСТРУКЦИЙ"</t>
  </si>
  <si>
    <t>3307022754</t>
  </si>
  <si>
    <t>602266, ВЛАДИМИРСКАЯ ОБЛАСТЬ, ГОРОД МУРОМ, ШОССЕ ВЛАДИМИРСКОЕ, ДОМ 14</t>
  </si>
  <si>
    <t>Анисимов Максим Иванович</t>
  </si>
  <si>
    <t>+7 (499) 262-81-86'</t>
  </si>
  <si>
    <t>55.325277,42.010792</t>
  </si>
  <si>
    <t>ОБЩЕСТВО С ОГРАНИЧЕННОЙ ОТВЕТСТВЕННОСТЬЮ "ТОРГОВО-ПРОИЗВОДСТВЕННОЕ ПРЕДПРИЯТИЕ ЖЕЛЕЗО-БЕТОННЫЕ ИЗДЕЛИЯ"</t>
  </si>
  <si>
    <t>"ТОРГОВО-ПРОИЗВОДСТВЕННОЕ ПРЕДПРИЯТИЕ ЖЕЛЕЗО-БЕТОННЫЕ ИЗДЕЛИЯ"</t>
  </si>
  <si>
    <t>6107015096</t>
  </si>
  <si>
    <t>347350, РОСТОВСКАЯ ОБЛАСТЬ, ВОЛГОДОНСКОЙ РАЙОН, СТАНИЦА РОМАНОВСКАЯ, ПЕРЕУЛОК КАЗАЧИЙ, ДОМ 3</t>
  </si>
  <si>
    <t>Барбаянов Сергей Григорьевич</t>
  </si>
  <si>
    <t>+7 (928) 104-97-77'</t>
  </si>
  <si>
    <t>55.320724,42.024833</t>
  </si>
  <si>
    <t>ОБЩЕСТВО С ОГРАНИЧЕННОЙ ОТВЕТСТВЕННОСТЬЮ "ЭКОСТРОЙ-ИНВЕСТ"</t>
  </si>
  <si>
    <t>"ЭКОСТРОЙ-ИНВЕСТ"</t>
  </si>
  <si>
    <t>5247054463</t>
  </si>
  <si>
    <t>52-Нижегородская область</t>
  </si>
  <si>
    <t>607037, НИЖЕГОРОДСКАЯ ОБЛАСТЬ, ГОРОД ВЫКСА, РАБОЧИЙ ПОСЕЛОК ШИМОРСКОЕ, УЛИЦА ЛЕНИНА, ДОМ 3А,..</t>
  </si>
  <si>
    <t>Портнягин Константин Евгеньевич</t>
  </si>
  <si>
    <t>+7 (985) 770-18-00'</t>
  </si>
  <si>
    <t>55.589091,42.029387</t>
  </si>
  <si>
    <t>5247052201</t>
  </si>
  <si>
    <t>607037, НИЖЕГОРОДСКАЯ ОБЛАСТЬ, Г. ВЫКСА, РП ШИМОРСКОЕ, УЛ. САДОВАЯ, ЗД. 1</t>
  </si>
  <si>
    <t>Портнягина Евгения Сергеевна</t>
  </si>
  <si>
    <t>44.329362,42.032621</t>
  </si>
  <si>
    <t>ОБЩЕСТВО С ОГРАНИЧЕННОЙ ОТВЕТСТВЕННОСТЬЮ "УНИКОМБЕТОН"</t>
  </si>
  <si>
    <t>"УНИКОМБЕТОН"</t>
  </si>
  <si>
    <t>3307025064</t>
  </si>
  <si>
    <t>602256, Владимирская область, городской округ ОКРУГ МУРОМ, Город МУРОМ, УЛ 2-Я НОВОСЛОБОДСКАЯ, Д. 3,..</t>
  </si>
  <si>
    <t>Прусов Максим Александрович</t>
  </si>
  <si>
    <t>YURIST@YANDEX.RU'</t>
  </si>
  <si>
    <t>44.981247,42.041982</t>
  </si>
  <si>
    <t>ОБЩЕСТВО С ОГРАНИЧЕННОЙ ОТВЕТСТВЕННОСТЬЮ "ЭЛЬБРУС"</t>
  </si>
  <si>
    <t>"ЭЛЬБРУС"</t>
  </si>
  <si>
    <t>0903005828</t>
  </si>
  <si>
    <t>КАРАЧАЕВО-ЧЕРКЕССКАЯ РЕСПУБЛИКА,АДЫГЕ-ХАБЛЬСКИЙ Р-Н,С САДОВОЕ,УЛ ПОЛЕВАЯ, Д 14</t>
  </si>
  <si>
    <t>Чотчаева Зульфа Хызыровна</t>
  </si>
  <si>
    <t>44.196153,42.04491</t>
  </si>
  <si>
    <t>ОБЩЕСТВО С ОГРАНИЧЕННОЙ ОТВЕТСТВЕННОСТЬЮ "ОПТИМУМ СТРОЙ"</t>
  </si>
  <si>
    <t>"ОПТИМУМ СТРОЙ"</t>
  </si>
  <si>
    <t>2623026265</t>
  </si>
  <si>
    <t>356235, Ставропольский край, Шпаковский р-н, х Демино, ул Молодежная, д 26</t>
  </si>
  <si>
    <t>Федорук Александр Вячеславович</t>
  </si>
  <si>
    <t>+7 (962) 421-23-43'</t>
  </si>
  <si>
    <t>44.191034,42.046294</t>
  </si>
  <si>
    <t>ОБЩЕСТВО С ОГРАНИЧЕННОЙ ОТВЕТСТВЕННОСТЬЮ "ДЖАНАЙ"</t>
  </si>
  <si>
    <t>"ДЖАНАЙ"</t>
  </si>
  <si>
    <t>0901042077</t>
  </si>
  <si>
    <t>Г ЧЕРКЕССК,П/О N 15,УЛ КОСМОНАВТОВ, Д 35,..</t>
  </si>
  <si>
    <t>Исламов Рахмет Хамзатович</t>
  </si>
  <si>
    <t>44.228374,42.048279</t>
  </si>
  <si>
    <t>ОБЩЕСТВО С ОГРАНИЧЕННОЙ ОТВЕТСТВЕННОСТЬЮ "ЖБИ 777"</t>
  </si>
  <si>
    <t>"ЖБИ 777"</t>
  </si>
  <si>
    <t>0917031225</t>
  </si>
  <si>
    <t>369015, КАРАЧАЕВО-ЧЕРКЕССКАЯ РЕСПУБЛИКА, Г. ЧЕРКЕССК, УЛ. ТЕАТРАЛЬНАЯ, Д. 8</t>
  </si>
  <si>
    <t>Батруков Назир Султан-Алиевич</t>
  </si>
  <si>
    <t>+7 (928) 034-07-50', '+7 (928) 386-32-56'</t>
  </si>
  <si>
    <t>44.227153,42.05083</t>
  </si>
  <si>
    <t>ОТКРЫТОЕ  АКЦИОНЕРНОЕ ОБЩЕСТВО "ДОМОСТРОИТЕЛЬНЫЙ КОМБИНАТ"</t>
  </si>
  <si>
    <t>ОТКРЫТОЕ  "ДОМОСТРОИТЕЛЬНЫЙ КОМБИНАТ"</t>
  </si>
  <si>
    <t>0901000133</t>
  </si>
  <si>
    <t>Г ЧЕРКЕССК,П/О N 11,СЕВЕРНАЯ ЧАСТЬ ГОРОДА</t>
  </si>
  <si>
    <t>Галибердов Ахмед Мурадинович</t>
  </si>
  <si>
    <t>+7 (909) 497-46-05', '+7 (928) 025-13-00'</t>
  </si>
  <si>
    <t>44.270422,42.055016</t>
  </si>
  <si>
    <t>ОБЩЕСТВО С ОГРАНИЧЕННОЙ ОТВЕТСТВЕННОСТЬЮ "РУССТРОЙКОМПЛЕКТ"</t>
  </si>
  <si>
    <t>"РУССТРОЙКОМПЛЕКТ"</t>
  </si>
  <si>
    <t>0917023714</t>
  </si>
  <si>
    <t>369000, КАРАЧАЕВО-ЧЕРКЕССКАЯ РЕСПУБЛИКА, Г. ЧЕРКЕССК, УЛ. СОВЕТСКАЯ, Д.65,..</t>
  </si>
  <si>
    <t>Чотчаев Азамат Алиевич</t>
  </si>
  <si>
    <t>RSSKCHR@yandex.ru'</t>
  </si>
  <si>
    <t>44.249944,42.065958</t>
  </si>
  <si>
    <t>ОБЩЕСТВО С ОГРАНИЧЕННОЙ ОТВЕТСТВЕННОСТЬЮ "АЛЬТЕРНАТИВА"</t>
  </si>
  <si>
    <t>"АЛЬТЕРНАТИВА"</t>
  </si>
  <si>
    <t>0907000845</t>
  </si>
  <si>
    <t>КАРАЧАЕВО-ЧЕРКЕССКАЯ РЕСПУБЛИКА,ПРИКУБАНСКИЙ Р-Н,С ЧАПАЕВСКОЕ,УЛ НАБЕРЕЖНАЯ, Д 148</t>
  </si>
  <si>
    <t>Хапаева Мадина Азретовна</t>
  </si>
  <si>
    <t>+7 (928) 028-29-15'</t>
  </si>
  <si>
    <t>ОБЩЕСТВО С ОГРАНИЧЕННОЙ ОТВЕТСТВЕННОСТЬЮ "КОМБИНАТ ЖЕЛЕЗОБЕТОННЫХ КОНСТРУКЦИЙ"</t>
  </si>
  <si>
    <t>"КОМБИНАТ ЖЕЛЕЗОБЕТОННЫХ КОНСТРУКЦИЙ"</t>
  </si>
  <si>
    <t>0917001534</t>
  </si>
  <si>
    <t>Г ЧЕРКЕССК,П/О N 3,ПЯТИГОРСКОЕ ШОССЕ, Д 7, КОРП Б</t>
  </si>
  <si>
    <t>Шупа Татьяна Олеговна</t>
  </si>
  <si>
    <t>44.248394,42.066335</t>
  </si>
  <si>
    <t>ОБЩЕСТВО С ОГРАНИЧЕННОЙ ОТВЕТСТВЕННОСТЬЮ "ЭНЕРГОСТРОЙДЕТАЛЬ"</t>
  </si>
  <si>
    <t>"ЭНЕРГОСТРОЙДЕТАЛЬ"</t>
  </si>
  <si>
    <t>0917026433</t>
  </si>
  <si>
    <t>369003, КАРАЧАЕВО-ЧЕРКЕССКАЯ РЕСПУБЛИКА, ГОРОД ЧЕРКЕССК, УЛИЦА ПЯТИГОРСКОЕ ШОССЕ, ДОМ 7, КОРПУС "Б"</t>
  </si>
  <si>
    <t>Бостанов Мурат Хусейнович</t>
  </si>
  <si>
    <t>+7 (878) 221-06-37'</t>
  </si>
  <si>
    <t>44.249163,42.071429</t>
  </si>
  <si>
    <t>ОБЩЕСТВО С ОГРАНИЧЕННОЙ ОТВЕТСТВЕННОСТЬЮ "КОМБИНАТ СТРОИТЕЛЬНЫХ МАТЕРИАЛОВ И КОНСТРУКЦИЙ"</t>
  </si>
  <si>
    <t>"КОМБИНАТ СТРОИТЕЛЬНЫХ МАТЕРИАЛОВ И КОНСТРУКЦИЙ"</t>
  </si>
  <si>
    <t>0917034794</t>
  </si>
  <si>
    <t>369003, КАРАЧАЕВО-ЧЕРКЕССКАЯ РЕСПУБЛИКА, Г ЧЕРКЕССК, УЛ ПЯТИГОРСКОЕ ШОССЕ, Д 7, КОРП Д, ОФИС 7</t>
  </si>
  <si>
    <t>Мамаев Ибрагим Сеитович</t>
  </si>
  <si>
    <t>44.249583,42.07919</t>
  </si>
  <si>
    <t>ОБЩЕСТВО С ОГРАНИЧЕННОЙ ОТВЕТСТВЕННОСТЬЮ "ТРИАЛ"</t>
  </si>
  <si>
    <t>"ТРИАЛ"</t>
  </si>
  <si>
    <t>0917036287</t>
  </si>
  <si>
    <t>369009, КАРАЧАЕВО-ЧЕРКЕССКАЯ РЕСПУБЛИКА, ГОРОД ЧЕРКЕССК, ШОССЕ ПЯТИГОРСКОЕ, ДОМ 13, ОФИС 11</t>
  </si>
  <si>
    <t>Хоперский Александр Александрович</t>
  </si>
  <si>
    <t>44.231326,42.081526</t>
  </si>
  <si>
    <t>ОБЩЕСТВО С ОГРАНИЧЕННОЙ ОТВЕТСТВЕННОСТЬЮ "ЖБИ СВ"</t>
  </si>
  <si>
    <t>"ЖБИ СВ"</t>
  </si>
  <si>
    <t>0917034314</t>
  </si>
  <si>
    <t>369009, КАРАЧАЕВО-ЧЕРКЕССКАЯ РЕСПУБЛИКА, ГОРОД ЧЕРКЕССК, УЛИЦА ПЯТИГОРСКОЕ ШОССЕ, ДОМ 14Г, ОФИС 1</t>
  </si>
  <si>
    <t>Батрукова Лаура Борисовна</t>
  </si>
  <si>
    <t>51.377587,42.102888</t>
  </si>
  <si>
    <t>ОБЩЕСТВО С ОГРАНИЧЕННОЙ ОТВЕТСТВЕННОСТЬЮ "ФИРМА "БЕРЕГ"</t>
  </si>
  <si>
    <t>"ФИРМА "БЕРЕГ"</t>
  </si>
  <si>
    <t>0542006250</t>
  </si>
  <si>
    <t>РЕСПУБЛИКА ДАГЕСТАН,Г ДЕРБЕНТ,ДЕРБЕНТСКОЕ,УЛ ТАГИЕВА Д 2</t>
  </si>
  <si>
    <t>Шахбанов Магомед Шахбанович</t>
  </si>
  <si>
    <t>+7 (989) 480-65-20'</t>
  </si>
  <si>
    <t>57.451824,42.108754</t>
  </si>
  <si>
    <t>ЗАКРЫТОЕ АКЦИОНЕРНОЕ ОБЩЕСТВО "РЕЙС"</t>
  </si>
  <si>
    <t>ЗАКРЫТОЕ "РЕЙС"</t>
  </si>
  <si>
    <t>0901000503</t>
  </si>
  <si>
    <t>Г ЧЕРКЕССК,ГЛАВПОЧТАМТ,УЛ ПОДГОРНАЯ, Д 57</t>
  </si>
  <si>
    <t>Блимготов Арсен Солтанович</t>
  </si>
  <si>
    <t>+7 (909) 498-79-26', '+7 (909) 499-10-25'</t>
  </si>
  <si>
    <t>ОБЩЕСТВО С ОГРАНИЧЕННОЙ ОТВЕТСТВЕННОСТЬЮ "БОРИСОГЛЕБСКИЙ ЗАВОД ЖЕЛЕЗОБЕТОННЫХ ИЗДЕЛИЙ"</t>
  </si>
  <si>
    <t>"БОРИСОГЛЕБСКИЙ ЗАВОД ЖЕЛЕЗОБЕТОННЫХ ИЗДЕЛИЙ"</t>
  </si>
  <si>
    <t>3604082668</t>
  </si>
  <si>
    <t>397167, ВОРОНЕЖСКАЯ ОБЛ, БОРИСОГЛЕБСКИЙ Р-Н, БОРИСОГЛЕБСК Г, МАТРОСОВСКАЯ УЛ, ДОМ 105, ОФИС 5</t>
  </si>
  <si>
    <t>Шаробаров Александр Владимирович</t>
  </si>
  <si>
    <t>bor_buh@zhbi36.ru'</t>
  </si>
  <si>
    <t>57.42047,42.111655</t>
  </si>
  <si>
    <t>ОБЩЕСТВО С ОГРАНИЧЕННОЙ ОТВЕТСТВЕННОСТЬЮ "МОНТСЕРРАТ"</t>
  </si>
  <si>
    <t>"МОНТСЕРРАТ"</t>
  </si>
  <si>
    <t>3703021151</t>
  </si>
  <si>
    <t>155815, ИВАНОВСКАЯ ОБЛАСТЬ, ГОРОД КИНЕШМА, УЛИЦА МАЯКОВСКОГО, ДОМ 60А</t>
  </si>
  <si>
    <t>Горбунов Алексей Валерьевич</t>
  </si>
  <si>
    <t>+7 (910) 994-78-87'</t>
  </si>
  <si>
    <t>51.37847,42.11391</t>
  </si>
  <si>
    <t>ОБЩЕСТВО С ОГРАНИЧЕННОЙ ОТВЕТСТВЕННОСТЬЮ "Монсеррат"</t>
  </si>
  <si>
    <t>"Монсеррат"</t>
  </si>
  <si>
    <t>3703045314</t>
  </si>
  <si>
    <t>+7 (915) 849-50-54'</t>
  </si>
  <si>
    <t>51.379262,42.115518</t>
  </si>
  <si>
    <t>ОБЩЕСТВО С ОГРАНИЧЕННОЙ ОТВЕТСТВЕННОСТЬЮ "СТРОЙ ДЕТАЛЬ КОНСТРУКЦИЯ"</t>
  </si>
  <si>
    <t>"СТРОЙ ДЕТАЛЬ КОНСТРУКЦИЯ"</t>
  </si>
  <si>
    <t>3703014549</t>
  </si>
  <si>
    <t>155808, ИВАНОВСКАЯ ОБЛ, КИНЕШМА Г, ИВАНА ВИНОГРАДОВА УЛ, 12Б</t>
  </si>
  <si>
    <t>Агапов Александр Валентинович</t>
  </si>
  <si>
    <t>56.232739,42.120261</t>
  </si>
  <si>
    <t>ОБЩЕСТВО С ОГРАНИЧЕННОЙ ОТВЕТСТВЕННОСТЬЮ "БИЗНЕС-СТРОЙ"</t>
  </si>
  <si>
    <t>"БИЗНЕС-СТРОЙ"</t>
  </si>
  <si>
    <t>3604016714</t>
  </si>
  <si>
    <t>397165, ВОРОНЕЖСКАЯ ОБЛАСТЬ, Р-Н БОРИСОГЛЕБСКИЙ, Г. БОРИСОГЛЕБСК, УЛ. МАТРОСОВСКАЯ, Д. 109, К. А</t>
  </si>
  <si>
    <t>Можеровцев Сергей Юрьевич</t>
  </si>
  <si>
    <t>47.548722,42.124249</t>
  </si>
  <si>
    <t>ОБЩЕСТВО С ОГРАНИЧЕННОЙ ОТВЕТСТВЕННОСТЬЮ "ЭКОСТРОЙКОНСТРУКЦИЯ"</t>
  </si>
  <si>
    <t>"ЭКОСТРОЙКОНСТРУКЦИЯ"</t>
  </si>
  <si>
    <t>3604017475</t>
  </si>
  <si>
    <t>397165, ВОРОНЕЖСКАЯ ОБЛАСТЬ, Р-Н БОРИСОГЛЕБСКИЙ, Г. БОРИСОГЛЕБСК, УЛ. МАТРОСОВСКАЯ, Д.111,..</t>
  </si>
  <si>
    <t>Кузнецов Алексей Анатольевич</t>
  </si>
  <si>
    <t>ОБЩЕСТВО С ОГРАНИЧЕННОЙ ОТВЕТСТВЕННОСТЬЮ "АВТОСЕРВИС ОСВАР"</t>
  </si>
  <si>
    <t>"АВТОСЕРВИС ОСВАР"</t>
  </si>
  <si>
    <t>3303002122</t>
  </si>
  <si>
    <t>http://avtoservis-m7.ru</t>
  </si>
  <si>
    <t>ВЛАДИМИРСКАЯ ОБЛ.,Г ВЯЗНИКИ,УЛ ЖЕЛЕЗНОДОРОЖНАЯ,13</t>
  </si>
  <si>
    <t>Камбулов Александр Николаевич</t>
  </si>
  <si>
    <t>57.490054,42.129109</t>
  </si>
  <si>
    <t>ОБЩЕСТВО С ОГРАНИЧЕННОЙ ОТВЕТСТВЕННОСТЬЮ "ТЕХНОЛОГИИ БЕТОННОГО ФОРМОВАНИЯ"</t>
  </si>
  <si>
    <t>"ТЕХНОЛОГИИ БЕТОННОГО ФОРМОВАНИЯ"</t>
  </si>
  <si>
    <t>6143098612</t>
  </si>
  <si>
    <t>347360, РОСТОВСКАЯ ОБЛАСТЬ, ГОРОД ВОЛГОДОНСК, ШОССЕ ЦИМЛЯНСКОЕ, ДОМ 36, ЛИТЕР Ч, ПОМЕЩЕНИЕ 107</t>
  </si>
  <si>
    <t>Черепанов Сергей Владимирович</t>
  </si>
  <si>
    <t>51.353125,42.133152</t>
  </si>
  <si>
    <t>ОБЩЕСТВО С ОГРАНИЧЕННОЙ ОТВЕТСТВЕННОСТЬЮ ПРОИЗВОДСТВЕННАЯ КОМПАНИЯ "АРТБЕТОН"</t>
  </si>
  <si>
    <t>ПРОИЗВОДСТВЕННАЯ КОМПАНИЯ "АРТБЕТОН"</t>
  </si>
  <si>
    <t>6143099704</t>
  </si>
  <si>
    <t>347360, РОСТОВСКАЯ ОБЛАСТЬ, ГОРОД ВОЛГОДОНСК, ШОССЕ ЦИМЛЯНСКОЕ, ДОМ 36, ЛИТЕР 41</t>
  </si>
  <si>
    <t>Целыковских Владислав Анатольевич</t>
  </si>
  <si>
    <t>+7 (988) 574-10-45'</t>
  </si>
  <si>
    <t>56.242029,42.13723</t>
  </si>
  <si>
    <t>ОБЩЕСТВО С ОГРАНИЧЕННОЙ ОТВЕТСТВЕННОСТЬЮ "КАРЬЕР ФОМИНСКИЙ"</t>
  </si>
  <si>
    <t>"КАРЬЕР ФОМИНСКИЙ"</t>
  </si>
  <si>
    <t>3703023631</t>
  </si>
  <si>
    <t>155412, ИВАНОВСКАЯ ОБЛАСТЬ, РАЙОН ЗАВОЛЖСКИЙ, ГОРОД ЗАВОЛЖСК, УЛИЦА ФРУНЗЕ, ДОМ 47, ПОМЕЩЕНИЕ 8</t>
  </si>
  <si>
    <t>Никитин Григорий Владленович</t>
  </si>
  <si>
    <t>47.521492,42.150507</t>
  </si>
  <si>
    <t>ОБЩЕСТВО С ОГРАНИЧЕННОЙ ОТВЕТСТВЕННОСТЬЮ "Каменная роза"</t>
  </si>
  <si>
    <t>"Каменная роза"</t>
  </si>
  <si>
    <t>3604018334</t>
  </si>
  <si>
    <t>http://kamennayaroza.ru</t>
  </si>
  <si>
    <t>397172, ВОРОНЕЖСКАЯ ОБЛАСТЬ, РАЙОН БОРИСОГЛЕБСКИЙ, ГОРОД БОРИСОГЛЕБСК, УЛИЦА 40 ЛЕТ ОКТЯБРЯ, 309, А, ОФИС 209-Б</t>
  </si>
  <si>
    <t>Пивкин Сергей Владимирович</t>
  </si>
  <si>
    <t>+7 (980) 340-81-98'</t>
  </si>
  <si>
    <t>57.417383,42.162661</t>
  </si>
  <si>
    <t>ОБЩЕСТВО С ОГРАНИЧЕННОЙ ОТВЕТСТВЕННОСТЬЮ "ПАРТНЕР-С"</t>
  </si>
  <si>
    <t>"ПАРТНЕР-С"</t>
  </si>
  <si>
    <t>3303007730</t>
  </si>
  <si>
    <t>ВЛАДИМИРСКАЯ ОБЛ.,Г ВЯЗНИКИ,УЛ КОМСОМОЛЬСКАЯ,13</t>
  </si>
  <si>
    <t>Павлова Марина Александровна</t>
  </si>
  <si>
    <t>+7 (920) 945-85-88'</t>
  </si>
  <si>
    <t>57.416365,42.163335</t>
  </si>
  <si>
    <t>ОБЩЕСТВО С ОГРАНИЧЕННОЙ ОТВЕТСТВЕННОСТЬЮ "БЕТОННЫЕ ИЗДЕЛИЯ"</t>
  </si>
  <si>
    <t>"БЕТОННЫЕ ИЗДЕЛИЯ"</t>
  </si>
  <si>
    <t>6143019787</t>
  </si>
  <si>
    <t>РОСТОВСКАЯ ОБЛ.,Г ВОЛГОДОНСК,УЛ МОРСКАЯ, 48А,..</t>
  </si>
  <si>
    <t>Леготкин Владимир Павлович</t>
  </si>
  <si>
    <t>55.321487,42.168015</t>
  </si>
  <si>
    <t>ОБЩЕСТВО С ОГРАНИЧЕННОЙ ОТВЕТСТВЕННОСТЬЮ "Стройсервис"</t>
  </si>
  <si>
    <t>"Стройсервис"</t>
  </si>
  <si>
    <t>3703044039</t>
  </si>
  <si>
    <t>155813, ИВАНОВСКАЯ ОБЛАСТЬ, ГОРОД КИНЕШМА, УЛИЦА ОКРУЖНАЯ, 4</t>
  </si>
  <si>
    <t>Карачёв Александр Владимирович</t>
  </si>
  <si>
    <t>+7 (910) 990-64-64'</t>
  </si>
  <si>
    <t>47.52482,42.196744</t>
  </si>
  <si>
    <t>ОБЩЕСТВО С ОГРАНИЧЕННОЙ ОТВЕТСТВЕННОСТЬЮ "Стройсервис-Плюс"</t>
  </si>
  <si>
    <t>"Стройсервис-Плюс"</t>
  </si>
  <si>
    <t>3703046149</t>
  </si>
  <si>
    <t>155813, Ивановская область, г Кинешма, ул Окружная, д 4А</t>
  </si>
  <si>
    <t>47.48741,42.231212</t>
  </si>
  <si>
    <t>ОБЩЕСТВО С ОГРАНИЧЕННОЙ ОТВЕТСТВЕННОСТЬЮ ПРОИЗВОДСТВЕННАЯ КОМПАНИЯ "АРТ КАМЕНЬ"</t>
  </si>
  <si>
    <t>ПРОИЗВОДСТВЕННАЯ КОМПАНИЯ "АРТ КАМЕНЬ"</t>
  </si>
  <si>
    <t>5247054142</t>
  </si>
  <si>
    <t>607060, НИЖЕГОРОДСКАЯ ОБЛАСТЬ, ГОРОД ВЫКСА, УЛИЦА СТЕПАНА РАЗИНА, ДОМ 41,..</t>
  </si>
  <si>
    <t>Антипов Алексей Александрович</t>
  </si>
  <si>
    <t>+7 (910) 109-99-66'</t>
  </si>
  <si>
    <t>ОБЩЕСТВО С ОГРАНИЧЕННОЙ ОТВЕТСТВЕННОСТЬЮ "ЖЕЛЕЗОБЕТОННЫЙ ЗАВОД"</t>
  </si>
  <si>
    <t>"ЖЕЛЕЗОБЕТОННЫЙ ЗАВОД"</t>
  </si>
  <si>
    <t>6143100237</t>
  </si>
  <si>
    <t>347375, РОСТОВСКАЯ ОБЛ., Г. Волгодонск, УЛ. ЭНТУЗИАСТОВ, Д. 27,..</t>
  </si>
  <si>
    <t>Галов Алексей Валерьевич</t>
  </si>
  <si>
    <t>H@MAIL.RU'</t>
  </si>
  <si>
    <t>51.280749,42.284742</t>
  </si>
  <si>
    <t>ОТКРЫТОЕ АКЦИОНЕРНОЕ ОБЩЕСТВО "ЗАВОД КПД 210"</t>
  </si>
  <si>
    <t>ОТКРЫТОЕ "ЗАВОД КПД 210"</t>
  </si>
  <si>
    <t>6143075301</t>
  </si>
  <si>
    <t>http://kpd210.ru</t>
  </si>
  <si>
    <t>347360, РОСТОВСКАЯ ОБЛАСТЬ, ГОРОД ВОЛГОДОНСК, УЛИЦА 6-Я ЗАВОДСКАЯ, 10</t>
  </si>
  <si>
    <t>Фирсов Николай Николаевич</t>
  </si>
  <si>
    <t>44.253928,42.483782</t>
  </si>
  <si>
    <t>ОБЩЕСТВО С ОГРАНИЧЕННОЙ ОТВЕТСТВЕННОСТЬЮ "ЗАВОД КПД 210"</t>
  </si>
  <si>
    <t>"ЗАВОД КПД 210"</t>
  </si>
  <si>
    <t>6143095072</t>
  </si>
  <si>
    <t>347360, РОСТОВСКАЯ ОБЛАСТЬ, ГОРОД ВОЛГОДОНСК, УЛИЦА 6-Я ЗАВОДСКАЯ, ДОМ 10, ПОМЕЩЕНИЕ 19</t>
  </si>
  <si>
    <t>Кузьмин Сергей Владимирович</t>
  </si>
  <si>
    <t>+7 (863) 927-79-55', '+7 (863) 927-79-07'</t>
  </si>
  <si>
    <t>43.946642,42.522176</t>
  </si>
  <si>
    <t>ОБЩЕСТВО С ОГРАНИЧЕННОЙ ОТВЕТСТВЕННОСТЬЮ Завод "ПеноБетонных Изделий"</t>
  </si>
  <si>
    <t>Завод "ПеноБетонных Изделий"</t>
  </si>
  <si>
    <t>3604019176</t>
  </si>
  <si>
    <t>397154, Воронежская область, городской округ БОРИСОГЛЕБСКИЙ, Село ПЕТРОВСКОЕ, УЛ ПЕТРОВСКАЯ, ЗД. 28,</t>
  </si>
  <si>
    <t>Хрючкин Михаил Викторович</t>
  </si>
  <si>
    <t>44.175992,42.675402</t>
  </si>
  <si>
    <t>ОБЩЕСТВО С ОГРАНИЧЕННОЙ ОТВЕТСТВЕННОСТЬЮ "БЕТОННЫЙ ШПАЛЕРНЫЙ ЗАВОД"</t>
  </si>
  <si>
    <t>"БЕТОННЫЙ ШПАЛЕРНЫЙ ЗАВОД"</t>
  </si>
  <si>
    <t>0917035692</t>
  </si>
  <si>
    <t>369113, КАРАЧАЕВО-ЧЕРКЕССКАЯ РЕСПУБЛИКА, ПРИКУБАНСКИЙ Р-Н, П ОКТЯБРЬСКИЙ, УЛ МОЛОДЕЖНАЯ, Д 19,..</t>
  </si>
  <si>
    <t>Чанкаев Арсен Сагитович</t>
  </si>
  <si>
    <t>+7 (928) 392-65-50'</t>
  </si>
  <si>
    <t>plato09@mail.ru', 'Laura_78_78@mail.ru'</t>
  </si>
  <si>
    <t>56.204504,42.691814</t>
  </si>
  <si>
    <t>ОБЩЕСТВО С ОГРАНИЧЕННОЙ ОТВЕТСТВЕННОСТЬЮ "БИЙСК-СЕРВИС"</t>
  </si>
  <si>
    <t>"БИЙСК-СЕРВИС"</t>
  </si>
  <si>
    <t>2226023317</t>
  </si>
  <si>
    <t>22-Алтайский край</t>
  </si>
  <si>
    <t>АЛТАЙСКИЙ КРАЙ,БИЙСКИЙ Р-Н,С ПЕРВОМАЙСКОЕ,УЛ СТЕПНАЯ, Д 1,..</t>
  </si>
  <si>
    <t>Котлярский Сергей Александрович</t>
  </si>
  <si>
    <t>+7 (913) 217-02-04'</t>
  </si>
  <si>
    <t>43.920805,42.745695</t>
  </si>
  <si>
    <t>ОБЩЕСТВО С ОГРАНИЧЕННОЙ ОТВЕТСТВЕННОСТЬЮ "СПЕЦСТРОЙБЕТОН"</t>
  </si>
  <si>
    <t>"СПЕЦСТРОЙБЕТОН"</t>
  </si>
  <si>
    <t>0920001220</t>
  </si>
  <si>
    <t>369380, Карачаево-Черкесская Республика, Малокарачаевский р-н, с Учкекен, переулок Больничный, д 7</t>
  </si>
  <si>
    <t>Боташев Хасан Сосланбекович</t>
  </si>
  <si>
    <t>45.361267,42.81562</t>
  </si>
  <si>
    <t>ОБЩЕСТВО С ОГРАНИЧЕННОЙ ОТВЕТСТВЕННОСТЬЮ "ТЕХНОСТРОЙИНВЕСТ"</t>
  </si>
  <si>
    <t>"ТЕХНОСТРОЙИНВЕСТ"</t>
  </si>
  <si>
    <t>2618021960</t>
  </si>
  <si>
    <t>357390, Ставропольский край, Предгорный р-н, ст-ца Суворовская, ул Шоссейная, д 20</t>
  </si>
  <si>
    <t>Долесов Сергей Борисович</t>
  </si>
  <si>
    <t>+7 (905) 446-66-66'</t>
  </si>
  <si>
    <t>stv@yandex.ru'</t>
  </si>
  <si>
    <t>44.034067,42.843773</t>
  </si>
  <si>
    <t>ОБЩЕСТВО С ОГРАНИЧЕННОЙ ОТВЕТСТВЕННОСТЬЮ "СТРОЙТЕПЛОКОМПЛЕКТ"</t>
  </si>
  <si>
    <t>"СТРОЙТЕПЛОКОМПЛЕКТ"</t>
  </si>
  <si>
    <t>3313010394</t>
  </si>
  <si>
    <t>601480, ВЛАДИМИРСКАЯ ОБЛ, ГОРОХОВЕЦКИЙ Р-Н, ГОРОХОВЕЦ Г, БРАТЬЕВ БЕСЕДИНЫХ УЛ, 9, 6</t>
  </si>
  <si>
    <t>Гусев Николай Викторович</t>
  </si>
  <si>
    <t>+7 (920) 058-64-18'</t>
  </si>
  <si>
    <t>stroika_33@mail.ru', 'ma@mail.ru'</t>
  </si>
  <si>
    <t>44.042413,42.849379</t>
  </si>
  <si>
    <t>Общество с ограниченной ответственностью "МОНОЛИТ-ИНВЕСТ"</t>
  </si>
  <si>
    <t>"МОНОЛИТ-ИНВЕСТ"</t>
  </si>
  <si>
    <t>2628040746</t>
  </si>
  <si>
    <t>СТАВРОПОЛЬСКИЙ КРАЙ,Г КИСЛОВОДСК,УЛ КАЛИНИНА, Д 164</t>
  </si>
  <si>
    <t>Боташев Рамазан Хасанович</t>
  </si>
  <si>
    <t>+7 (879) 376-47-71'</t>
  </si>
  <si>
    <t>44.031099,42.850322</t>
  </si>
  <si>
    <t>ОБЩЕСТВО С ОГРАНИЧЕННОЙ ОТВЕТСТВЕННОСТЬЮ "ТЕХНОЛОГ"</t>
  </si>
  <si>
    <t>"ТЕХНОЛОГ"</t>
  </si>
  <si>
    <t>2508051337</t>
  </si>
  <si>
    <t>ПРИМОРСКИЙ КРАЙ,Г НАХОДКА,УЛ МАКАРОВА, 19</t>
  </si>
  <si>
    <t>Лаптева Елена Михайловна</t>
  </si>
  <si>
    <t>44.04623,42.852765</t>
  </si>
  <si>
    <t>ОБЩЕСТВО С ОГРАНИЧЕННОЙ ОТВЕТСТВЕННОСТЬЮ  "ДСК "ГРАС-СВЕТЛОГРАД"</t>
  </si>
  <si>
    <t xml:space="preserve"> "ДСК "ГРАС-СВЕТЛОГРАД"</t>
  </si>
  <si>
    <t>2617013243</t>
  </si>
  <si>
    <t>http://dskgras.ru</t>
  </si>
  <si>
    <t>356530, СТАВРОПОЛЬСКИЙ КРАЙ, ПЕТРОВСКИЙ Р-Н, Г СВЕТЛОГРАД, УЛ 1-Я ПРОМЫШЛЕННАЯ, Д 26 А</t>
  </si>
  <si>
    <t>Сучков Иван Викторович</t>
  </si>
  <si>
    <t>+7 (988) 769-21-07'</t>
  </si>
  <si>
    <t>44.048621,42.857607</t>
  </si>
  <si>
    <t>ПРОИЗВОДСТВЕННЫЙ КООПЕРАТИВ "ОТДЕЛОЧНИК"</t>
  </si>
  <si>
    <t>0560018184</t>
  </si>
  <si>
    <t>Г МАХАЧКАЛА,РАЙОН УЗК</t>
  </si>
  <si>
    <t>Магомедов Магомед Гайдарович</t>
  </si>
  <si>
    <t>+7 (911) 111-11-14'</t>
  </si>
  <si>
    <t>44.019911,42.861308</t>
  </si>
  <si>
    <t>ПРОИЗВОДСТВЕННЫЙ КООПЕРАТИВ "БЕТОНЩИК"</t>
  </si>
  <si>
    <t>2508049095</t>
  </si>
  <si>
    <t>ПРИМОРСКИЙ КРАЙ,Г НАХОДКА,УЛ БЕРЕГОВАЯ, 6</t>
  </si>
  <si>
    <t>Бодров Денис Васильевич</t>
  </si>
  <si>
    <t>44.017214,42.871253</t>
  </si>
  <si>
    <t>ОБЩЕСТВО С ОГРАНИЧЕННОЙ ОТВЕТСТВЕННОСТЬЮ "СК ИНТЕРГРАД 5"</t>
  </si>
  <si>
    <t>"СК ИНТЕРГРАД 5"</t>
  </si>
  <si>
    <t>2626051196</t>
  </si>
  <si>
    <t>357633, Ставропольский край, ГОРОД-КУРОРТ ЕССЕНТУКИ, Г ЕССЕНТУКИ, УЛ КОЛЬЦЕВАЯ, Д. 21</t>
  </si>
  <si>
    <t>Фахиров Феодосий Георгиевич</t>
  </si>
  <si>
    <t>44.032628,42.879391</t>
  </si>
  <si>
    <t>ОБЩЕСТВО С ОГРАНИЧЕННОЙ ОТВЕТСТВЕННОСТЬЮ "ЕВРО-БЕТОН"</t>
  </si>
  <si>
    <t>"ЕВРО-БЕТОН"</t>
  </si>
  <si>
    <t>2632089751</t>
  </si>
  <si>
    <t>357601, СТАВРОПОЛЬСКИЙ КРАЙ, Г ЕССЕНТУКИ, УЛ ВОКЗАЛЬНАЯ, Д 31 А</t>
  </si>
  <si>
    <t>Колбазов Руслан Владимирович</t>
  </si>
  <si>
    <t>+7 (905) 419-70-56'</t>
  </si>
  <si>
    <t>44.053869,42.892228</t>
  </si>
  <si>
    <t>ОБЩЕСТВО С ОГРАНИЧЕННОЙ ОТВЕТСТВЕННОСТЬЮ "ПЯТИГОРСКИЙ ПРОИЗВОДСТВЕННЫЙ КОМБИНАТ"</t>
  </si>
  <si>
    <t>"ПЯТИГОРСКИЙ ПРОИЗВОДСТВЕННЫЙ КОМБИНАТ"</t>
  </si>
  <si>
    <t>2626033479</t>
  </si>
  <si>
    <t>СТАВРОПОЛЬСКИЙ КРАЙ,Г ЕССЕНТУКИ,УЛ КОЛЬЦЕВАЯ, Д 117</t>
  </si>
  <si>
    <t>Кусов Руслан Изатович</t>
  </si>
  <si>
    <t>44.061513,42.982733</t>
  </si>
  <si>
    <t>ОБЩЕСТВО С ОГРАНИЧЕННОЙ ОТВЕТСТВЕННОСТЬЮ "ЯМАЛ-СТРОЙ-ИНВЕСТ"</t>
  </si>
  <si>
    <t>"ЯМАЛ-СТРОЙ-ИНВЕСТ"</t>
  </si>
  <si>
    <t>2626047545</t>
  </si>
  <si>
    <t>357601, СТАВРОПОЛЬСКИЙ КРАЙ, Г ЕССЕНТУКИ, УЛ ВОКЗАЛЬНАЯ, Д 16, ЭТАЖ 2</t>
  </si>
  <si>
    <t>Оганесян Михаил Зармикович</t>
  </si>
  <si>
    <t>ОБЩЕСТВО С ОГРАНИЧЕННОЙ ОТВЕТСТВЕННОСТЬЮ "СОВЕТ КОНСАЛТИНГ ПЛЮС"</t>
  </si>
  <si>
    <t>"СОВЕТ КОНСАЛТИНГ ПЛЮС"</t>
  </si>
  <si>
    <t>2626038043</t>
  </si>
  <si>
    <t>357600, СТАВРОПОЛЬСКИЙ КРАЙ, Г ЕССЕНТУКИ, УЛ АНДЖИЕВСКОГО, Д 1 А</t>
  </si>
  <si>
    <t>Погребняков Юрий Владимирович</t>
  </si>
  <si>
    <t>+7 (928) 377-03-04'</t>
  </si>
  <si>
    <t>44.053856,42.990019</t>
  </si>
  <si>
    <t>ОБЩЕСТВО С ОГРАНИЧЕННОЙ ОТВЕТСТВЕННОСТЬЮ "ВОСТОК"</t>
  </si>
  <si>
    <t>"ВОСТОК"</t>
  </si>
  <si>
    <t>2618011859</t>
  </si>
  <si>
    <t>СТАВРОПОЛЬСКИЙ КРАЙ,ПРЕДГОРНЫЙ Р-Н,СТ-ЦА ЕССЕНТУКСКАЯ,УЛ ЮЦКАЯ, Д 80</t>
  </si>
  <si>
    <t>Алексов Константин Николаевич</t>
  </si>
  <si>
    <t>+7 (928) 365-07-48'</t>
  </si>
  <si>
    <t>44.046308,43.015881</t>
  </si>
  <si>
    <t>ОБЩЕСТВО С ОГРАНИЧЕННОЙ ОТВЕТСТВЕННОСТЬЮ "ПРОФДОРСТРОЙ"</t>
  </si>
  <si>
    <t>"ПРОФДОРСТРОЙ"</t>
  </si>
  <si>
    <t>2618024103</t>
  </si>
  <si>
    <t>357350, СТАВРОПОЛЬСКИЙ КРАЙ, ПРЕДГОРНЫЙ Р-Н, СТ-ЦА ЕССЕНТУКСКАЯ, УЛ РУЧЕЙНАЯ, Д 1</t>
  </si>
  <si>
    <t>Филиппов Сергей Вениаминович</t>
  </si>
  <si>
    <t>44.064622,43.052919</t>
  </si>
  <si>
    <t>ОБЩЕСТВО С ОГРАНИЧЕННОЙ ОТВЕТСТВЕННОСТЬЮ "МКМ"</t>
  </si>
  <si>
    <t>"МКМ"</t>
  </si>
  <si>
    <t>2626037949</t>
  </si>
  <si>
    <t>357351, Ставропольский край, Предгорный р-н, ст-ца Ессентукская, ул Гагарина, д 78</t>
  </si>
  <si>
    <t>Антуев Микдад Антуевич</t>
  </si>
  <si>
    <t>44.112658,43.091762</t>
  </si>
  <si>
    <t>ОБЩЕСТВО С ОГРАНИЧЕННОЙ ОТВЕТСТВЕННОСТЬЮ "КАНР И Л"</t>
  </si>
  <si>
    <t>"КАНР И Л"</t>
  </si>
  <si>
    <t>2524005289</t>
  </si>
  <si>
    <t>ПРИМОРСКИЙ КРАЙ,ПАРТИЗАНСКИЙ Р-Н,С ГОЛУБОВКА,РАДИОЦЕНТР ПМП</t>
  </si>
  <si>
    <t>Конвалюк Роман Николаевич</t>
  </si>
  <si>
    <t>+7 (914) 349-37-65', '+7 (914) 708-21-05'</t>
  </si>
  <si>
    <t>55.963214,43.092157</t>
  </si>
  <si>
    <t>ОБЩЕСТВО С ОГРАНИЧЕННОЙ ОТВЕТСТВЕННОСТЬЮ "БЕЛОЯР"</t>
  </si>
  <si>
    <t>"БЕЛОЯР"</t>
  </si>
  <si>
    <t>2626047489</t>
  </si>
  <si>
    <t>357625, СТАВРОПОЛЬСКИЙ КРАЙ, Г ЕССЕНТУКИ, УЛ ПЯТИГОРСКАЯ, Д 118 А, ОФИС 303</t>
  </si>
  <si>
    <t>Шведчиков Евгений Александрович</t>
  </si>
  <si>
    <t>61.085045,43.191089</t>
  </si>
  <si>
    <t>ОБЩЕСТВО С ОГРАНИЧЕННОЙ ОТВЕТСТВЕННОСТЬЮ "ЛЕХКОСТРОЙ"</t>
  </si>
  <si>
    <t>"ЛЕХКОСТРОЙ"</t>
  </si>
  <si>
    <t>0573003690</t>
  </si>
  <si>
    <t>Г МАХАЧКАЛА,ПР.КОМСОМОЛЬСКИЙ, 59, 28</t>
  </si>
  <si>
    <t>Шахбанов Джабраил Алиевич</t>
  </si>
  <si>
    <t>+7 (964) 053-99-99'</t>
  </si>
  <si>
    <t>43.898249,43.193927</t>
  </si>
  <si>
    <t>АКЦИОНЕРНОЕ ОБЩЕСТВО "ДАГСТРОЙИНДУСТРИЯ"</t>
  </si>
  <si>
    <t>"ДАГСТРОЙИНДУСТРИЯ"</t>
  </si>
  <si>
    <t>0541001700</t>
  </si>
  <si>
    <t>Г МАХАЧКАЛА,УЛ КРЫЛОВА Д 5</t>
  </si>
  <si>
    <t>Алиев Джамал Магомедович</t>
  </si>
  <si>
    <t>Artik200606@mail.ru', 'Artik200606@mail.ru'</t>
  </si>
  <si>
    <t>51.542587,43.219332</t>
  </si>
  <si>
    <t>ОБЩЕСТВО С ОГРАНИЧЕННОЙ ОТВЕТСТВЕННОСТЬЮ "АРИС"</t>
  </si>
  <si>
    <t>"АРИС"</t>
  </si>
  <si>
    <t>0562058376</t>
  </si>
  <si>
    <t>Г МАХАЧКАЛА,УЛ БАТЫРАЯ Д 11</t>
  </si>
  <si>
    <t>Гушанов Исмаил Камилович</t>
  </si>
  <si>
    <t>51.545987,43.225575</t>
  </si>
  <si>
    <t>АКЦИОНЕРНОЕ ОБЩЕСТВО "ЗАВОД ЖЕЛЕЗОБЕТОННЫХ КОНСТРУКЦИЙ №2"</t>
  </si>
  <si>
    <t>"ЗАВОД ЖЕЛЕЗОБЕТОННЫХ КОНСТРУКЦИЙ №2"</t>
  </si>
  <si>
    <t>0541001890</t>
  </si>
  <si>
    <t>Г МАХАЧКАЛА,НЕФТЕГАВАНЬ-1</t>
  </si>
  <si>
    <t>Омаров Камалудин Исмаилович</t>
  </si>
  <si>
    <t>+7 (928) 523-03-40'</t>
  </si>
  <si>
    <t>50.084946,43.227219</t>
  </si>
  <si>
    <t>ОБЩЕСТВО С ОГРАНИЧЕННОЙ ОТВЕТСТВЕННОСТЬЮ "КИПАРИС"</t>
  </si>
  <si>
    <t>"КИПАРИС"</t>
  </si>
  <si>
    <t>2632065550</t>
  </si>
  <si>
    <t>СТАВРОПОЛЬСКИЙ КРАЙ,Г ПЯТИГОРСК,ЧЕРКЕССКОЕ ШОССЕ, Д П/О 22</t>
  </si>
  <si>
    <t>Саркисов Роман Сергеевич</t>
  </si>
  <si>
    <t>+7 (909) 754-04-49', '+7 (928) 308-90-22'</t>
  </si>
  <si>
    <t>50.084819,43.242382</t>
  </si>
  <si>
    <t>ОБЩЕСТВО С ОГРАНИЧЕННОЙ ОТВЕТСТВЕННОСТЬЮ "СТРОЙБЛОК"</t>
  </si>
  <si>
    <t>"СТРОЙБЛОК"</t>
  </si>
  <si>
    <t>2632065655</t>
  </si>
  <si>
    <t>СТАВРОПОЛЬСКИЙ КРАЙ,Г ПЯТИГОРСК,ЧЕРКЕССКОЕ ШОССЕ, Д 22</t>
  </si>
  <si>
    <t>43.798158,43.325261</t>
  </si>
  <si>
    <t>ОБЩЕСТВО С ОГРАНИЧЕННОЙ ОТВЕТСТВЕННОСТЬЮ "БЕТОН-К"</t>
  </si>
  <si>
    <t>"БЕТОН-К"</t>
  </si>
  <si>
    <t>2632003539</t>
  </si>
  <si>
    <t>357528, СТАВРОПОЛЬСКИЙ КРАЙ, Г ПЯТИГОРСК, ШОССЕ КИСЛОВОДСКОЕ, Д 4</t>
  </si>
  <si>
    <t>Мелкумян Бела Яшаевна</t>
  </si>
  <si>
    <t>+7 (905) 499-77-00'</t>
  </si>
  <si>
    <t>beton@list.ru'</t>
  </si>
  <si>
    <t>43.610744,43.329537</t>
  </si>
  <si>
    <t>ОБЩЕСТВО С ОГРАНИЧЕННОЙ ОТВЕТСТВЕННОСТЬЮ "СТРОЙМАТЕРИАЛЫ - 2007"</t>
  </si>
  <si>
    <t>"СТРОЙМАТЕРИАЛЫ - 2007"</t>
  </si>
  <si>
    <t>0546019323</t>
  </si>
  <si>
    <t>РЕСПУБЛИКА ДАГЕСТАН,Г КИЗИЛЮРТ,УЛ ПРОМЫШЛЕННАЯ Д 5</t>
  </si>
  <si>
    <t>Мусаев Ибрагим Сайпудинович</t>
  </si>
  <si>
    <t>43.615111,43.343209</t>
  </si>
  <si>
    <t>ОБЩЕСТВО С ОГРАНИЧЕННОЙ ОТВЕТСТВЕННОСТЬЮ "ДАСУФ"</t>
  </si>
  <si>
    <t>"ДАСУФ"</t>
  </si>
  <si>
    <t>0546018640</t>
  </si>
  <si>
    <t>http://yuzh-veter.ru</t>
  </si>
  <si>
    <t>РЕСПУБЛИКА ДАГЕСТАН,Г КИЗИЛЮРТ,УЛ ПРОМЫШЛЕННАЯ Д 7</t>
  </si>
  <si>
    <t>Гаджиев Исрапил Абдулкагирович</t>
  </si>
  <si>
    <t>56.260038,43.396785</t>
  </si>
  <si>
    <t>ОБЩЕСТВО С ОГРАНИЧЕННОЙ ОТВЕТСТВЕННОСТЬЮ " АЛЬФАПЛАСТ "</t>
  </si>
  <si>
    <t>" АЛЬФАПЛАСТ "</t>
  </si>
  <si>
    <t>0560032608</t>
  </si>
  <si>
    <t>Г МАХАЧКАЛА,ТЕР Р-Н ДРКБ Д 13</t>
  </si>
  <si>
    <t>Омаров Юсуп Омарович</t>
  </si>
  <si>
    <t>58.465719,43.42112</t>
  </si>
  <si>
    <t>ОБЩЕСТВО С ОГРАНИЧЕННОЙ ОТВЕТСТВЕННОСТЬЮ "ПРЕДПРИНИМАТЕЛЬ"</t>
  </si>
  <si>
    <t>"ПРЕДПРИНИМАТЕЛЬ"</t>
  </si>
  <si>
    <t>2632045313</t>
  </si>
  <si>
    <t>СТАВРОПОЛЬСКИЙ КРАЙ,Г ПЯТИГОРСК,УЛ ЕРМОЛОВА, Д 20</t>
  </si>
  <si>
    <t>Курилов Александр Иванович</t>
  </si>
  <si>
    <t>+7 (918) 756-15-98', '+7 (928) 267-31-68'</t>
  </si>
  <si>
    <t>43.665084,43.431918</t>
  </si>
  <si>
    <t>АКЦИОНЕРНОЕ ОБЩЕСТВО "ЗАВОД ЖЕЛЕЗОБЕТОННЫХ ИЗДЕЛИЙ "СТРОЙДЕТАЛЬ"</t>
  </si>
  <si>
    <t>"ЗАВОД ЖЕЛЕЗОБЕТОННЫХ ИЗДЕЛИЙ "СТРОЙДЕТАЛЬ"</t>
  </si>
  <si>
    <t>0560028680</t>
  </si>
  <si>
    <t>Г МАХАЧКАЛА,Р-Н УЗК</t>
  </si>
  <si>
    <t>Рабаданов Иса Муртузалиевич</t>
  </si>
  <si>
    <t>+7 (928) 677-42-37', '+7 (960) 414-24-01'</t>
  </si>
  <si>
    <t>56.229481,43.439554</t>
  </si>
  <si>
    <t>ОБЩЕСТВО С ОГРАНИЧЕННОЙ ОТВЕТСТВЕННОСТЬЮ "ПЕНОБЕТОН"</t>
  </si>
  <si>
    <t>"ПЕНОБЕТОН"</t>
  </si>
  <si>
    <t>1503018623</t>
  </si>
  <si>
    <t>15-Республика Северная Осетия - Алания</t>
  </si>
  <si>
    <t>Г ВЛАДИКАВКАЗ,УЛ СТАВРОПОЛЬСКАЯ, 9</t>
  </si>
  <si>
    <t>Пхалагов Тимур Хазбатрович</t>
  </si>
  <si>
    <t>43.668417,43.448708</t>
  </si>
  <si>
    <t>ОТКРЫТОЕ АКЦИОНЕРНОЕ ОБЩЕСТВО "ЗАВОД СТРОИТЕЛЬНЫХ ИЗДЕЛИЙ И МАТЕРИАЛОВ"</t>
  </si>
  <si>
    <t>ОТКРЫТОЕ "ЗАВОД СТРОИТЕЛЬНЫХ ИЗДЕЛИЙ И МАТЕРИАЛОВ"</t>
  </si>
  <si>
    <t>1503000947</t>
  </si>
  <si>
    <t>Г ВЛАДИКАВКАЗ,ЧЕРМЕНСКОЕ ШОССЕ</t>
  </si>
  <si>
    <t>Датиева Бэла Акшоевна</t>
  </si>
  <si>
    <t>43.668267,43.454062</t>
  </si>
  <si>
    <t>ОБЩЕСТВО С ОГРАНИЧЕННОЙ ОТВЕТСТВЕННОСТЬЮ "НОВЫЕ СТРОИТЕЛЬНЫЕ ТЕХНОЛОГИИ"</t>
  </si>
  <si>
    <t>"НОВЫЕ СТРОИТЕЛЬНЫЕ ТЕХНОЛОГИИ"</t>
  </si>
  <si>
    <t>2632116317</t>
  </si>
  <si>
    <t>357502, СТАВРОПОЛЬСКИЙ КРАЙ, Г ПЯТИГОРСК, ШОССЕ БЕШТАУГОРСКОЕ, Д 22 Г</t>
  </si>
  <si>
    <t>Ярморкин Юрий Николаевич</t>
  </si>
  <si>
    <t>56.246606,43.474947</t>
  </si>
  <si>
    <t>АКЦИОНЕРНОЕ ОБЩЕСТВО "ВЛАДИКАВКАЗСКИЙ ЗАВОД ЖЕЛЕЗОБЕТОННЫХ КОНСТРУКЦИЙ"</t>
  </si>
  <si>
    <t>"ВЛАДИКАВКАЗСКИЙ ЗАВОД ЖЕЛЕЗОБЕТОННЫХ КОНСТРУКЦИЙ"</t>
  </si>
  <si>
    <t>1503003507</t>
  </si>
  <si>
    <t>Г ВЛАДИКАВКАЗ,УЛ ПОЖАРСКОГО, 17</t>
  </si>
  <si>
    <t>Цебоев Юрий Султанович</t>
  </si>
  <si>
    <t>44.160706,43.478909</t>
  </si>
  <si>
    <t>ОТКРЫТОЕ АКЦИОНЕРНОЕ ОБЩЕСТВО "УНИВЕРСАЛ-АЛАНИЯ"</t>
  </si>
  <si>
    <t>ОТКРЫТОЕ "УНИВЕРСАЛ-АЛАНИЯ"</t>
  </si>
  <si>
    <t>1503015333</t>
  </si>
  <si>
    <t>Г ВЛАДИКАВКАЗ,УЛ ПРОМЫШЛЕННАЯ, 2</t>
  </si>
  <si>
    <t>Тебиев Ажарбек Сахангериевич</t>
  </si>
  <si>
    <t>56.091562,43.481882</t>
  </si>
  <si>
    <t>ОБЩЕСТВО С ОГРАНИЧЕННОЙ ОТВЕТСТВЕННОСТЬЮ "ХУА-АНЬ"</t>
  </si>
  <si>
    <t>"ХУА-АНЬ"</t>
  </si>
  <si>
    <t>2509036902</t>
  </si>
  <si>
    <t>ПРИМОРСКИЙ КРАЙ,Г ПАРТИЗАНСК,УЛ МАГИСТРАЛЬНАЯ, 8</t>
  </si>
  <si>
    <t>Кунгурова Людмила Юрьевна</t>
  </si>
  <si>
    <t>+7 (924) 258-76-78', '+7 (924) 258-06-49'</t>
  </si>
  <si>
    <t>56.115218,43.483095</t>
  </si>
  <si>
    <t>ОБЩЕСТВО С ОГРАНИЧЕННОЙ ОТВЕТСТВЕННОСТЬЮ "ВАДО"</t>
  </si>
  <si>
    <t>"ВАДО"</t>
  </si>
  <si>
    <t>1512011310</t>
  </si>
  <si>
    <t>РЕСПУБЛИКА СЕВЕРНАЯ ОСЕТИЯ-АЛАНИЯ,ПРИГОРОДНЫЙ Р-Н,С НОГИР,УЛ ХАРЕБОВА, 39</t>
  </si>
  <si>
    <t>Догузов Тимур Тотрбекович</t>
  </si>
  <si>
    <t>56.237472,43.489886</t>
  </si>
  <si>
    <t>ОБЩЕСТВО С ОГРАНИЧЕННОЙ ОТВЕТСТВЕННОСТЬЮ "ЖЕЛЕЗОБЕТОННЫЙ КОМБИНАТ"</t>
  </si>
  <si>
    <t>"ЖЕЛЕЗОБЕТОННЫЙ КОМБИНАТ"</t>
  </si>
  <si>
    <t>0513001659</t>
  </si>
  <si>
    <t>РЕСПУБЛИКА ДАГЕСТАН,КАЗБЕКОВСКИЙ Р-Н,ЛЕНИНАУЛЬСКОЕ,С ЛЕНИНАУЛ</t>
  </si>
  <si>
    <t>Джантуев Анвар Маматшаирович</t>
  </si>
  <si>
    <t>+7 (928) 679-01-24'</t>
  </si>
  <si>
    <t>56.106053,43.492941</t>
  </si>
  <si>
    <t>ОБЩЕСТВО С ОГРАНИЧЕННОЙ ОТВЕТСТВЕННОСТЬЮ "СТРОЙДЕТАЛЬСЕРВИС Ф"</t>
  </si>
  <si>
    <t>"СТРОЙДЕТАЛЬСЕРВИС Ф"</t>
  </si>
  <si>
    <t>2627024004</t>
  </si>
  <si>
    <t>357433, Ставропольский край, г Железноводск, п Иноземцево, ул Промышленная, д 1</t>
  </si>
  <si>
    <t>Абдулмуслимов Абдулла Рабаданович</t>
  </si>
  <si>
    <t>56.237962,43.494998</t>
  </si>
  <si>
    <t>ОБЩЕСТВО С ОГРАНИЧЕННОЙ ОТВЕТСТВЕННОСТЬЮ "МЕТАЛЛОСНАБ"</t>
  </si>
  <si>
    <t>"МЕТАЛЛОСНАБ"</t>
  </si>
  <si>
    <t>5256054244</t>
  </si>
  <si>
    <t>606108, НИЖЕГОРОДСКАЯ ОБЛ, ПАВЛОВСКИЙ Р-Н, ПАВЛОВО Г, ЧКАЛОВА УЛ, 57</t>
  </si>
  <si>
    <t>Егоров Владимир Юрьевич</t>
  </si>
  <si>
    <t>56.240623,43.496121</t>
  </si>
  <si>
    <t>ОБЩЕСТВО С ОГРАНИЧЕННОЙ ОТВЕТСТВЕННОСТЬЮ "ДАЛЬНЕВОСТОЧНАЯ ОПОРА № 9"</t>
  </si>
  <si>
    <t>"ДАЛЬНЕВОСТОЧНАЯ ОПОРА № 9"</t>
  </si>
  <si>
    <t>2536096361</t>
  </si>
  <si>
    <t>Г ВЛАДИВОСТОК,УЛ ДАЛЬЗАВОДСКАЯ, 4</t>
  </si>
  <si>
    <t>Шабанов Аркадий Владимирович</t>
  </si>
  <si>
    <t>+7 (908) 993-71-91', '+7 (950) 297-88-45', '+7 (914) 796-56-91'</t>
  </si>
  <si>
    <t>IPB@MAIL.PRIMORYE', 'info@vest-vl', 'buh@vest-vl'</t>
  </si>
  <si>
    <t>43.681946,43.534622</t>
  </si>
  <si>
    <t>ОБЩЕСТВА С ОГРАНИЧЕННОЙ ОТВЕТСТВЕННОСТЬЮ "КОНТУР ДВ"</t>
  </si>
  <si>
    <t>2508115125</t>
  </si>
  <si>
    <t>Г ВЛАДИВОСТОК,УЛ НЕРЧИНСКАЯ, 21</t>
  </si>
  <si>
    <t>Климов Дмитрий Юрьевич</t>
  </si>
  <si>
    <t>43.670829,43.549912</t>
  </si>
  <si>
    <t>АКЦИОНЕРНОЕ ОБЩЕСТВО "ФИРМА "АВРОРА"</t>
  </si>
  <si>
    <t>"ФИРМА "АВРОРА"</t>
  </si>
  <si>
    <t>2538005930</t>
  </si>
  <si>
    <t>Г ВЛАДИВОСТОК,УЛ СНЕГОВАЯ, 18 А</t>
  </si>
  <si>
    <t>Лопардин Фёдор Олегович</t>
  </si>
  <si>
    <t>+7 (423) 246-45-57', '+7 (423) 249-93-67', '+7 (423) 246-45-57'</t>
  </si>
  <si>
    <t>AVRORAKPD300@MAIL.RU'</t>
  </si>
  <si>
    <t>56.11989,43.55567</t>
  </si>
  <si>
    <t>ОБЩЕСТВО С ОГРАНИЧЕННОЙ ОТВЕТСТВЕННОСТЬЮ "ПЕНОИЗОЛЯЦИЯ"</t>
  </si>
  <si>
    <t>"ПЕНОИЗОЛЯЦИЯ"</t>
  </si>
  <si>
    <t>2536099524</t>
  </si>
  <si>
    <t>Г ВЛАДИВОСТОК,ПРОСП 100 ЛЕТ ВЛАДИВОСТОКУ, 30</t>
  </si>
  <si>
    <t>Шушанян Гагик Павлеевич</t>
  </si>
  <si>
    <t>+7 (423) 271-98-29'</t>
  </si>
  <si>
    <t>43.673627,43.558401</t>
  </si>
  <si>
    <t>ОБЩЕСТВО С ОГРАНИЧЕННОЙ ОТВЕТСТВЕННОСТЬЮ "УСТЬЯНСКИЙ ДОМОСТРОИТЕЛЬНЫЙ КОМБИНАТ"</t>
  </si>
  <si>
    <t>"УСТЬЯНСКИЙ ДОМОСТРОИТЕЛЬНЫЙ КОМБИНАТ"</t>
  </si>
  <si>
    <t>2922009437</t>
  </si>
  <si>
    <t>165210, АРХАНГЕЛЬСКАЯ ОБЛАСТЬ, Р-Н УСТЬЯНСКИЙ, РП ОКТЯБРЬСКИЙ, УЛ. ДОМОСТРОИТЕЛЕЙ, Д. 56, ОФИС 1</t>
  </si>
  <si>
    <t>Чесноков Сергей Вячеславович</t>
  </si>
  <si>
    <t>43.678256,43.560386</t>
  </si>
  <si>
    <t>ОБЩЕСТВО С ОГРАНИЧЕННОЙ ОТВЕТСТВЕННОСТЬЮ "Зольская строительная база"</t>
  </si>
  <si>
    <t>"Зольская строительная база"</t>
  </si>
  <si>
    <t>0702008593</t>
  </si>
  <si>
    <t>07-Кабардино-Балкарская Республика</t>
  </si>
  <si>
    <t>361704, Кабардино-Балкарская Республика, Зольский р-н, с Светловодское, УЛ СТРОИТЕЛЕЙ, д 1</t>
  </si>
  <si>
    <t>Есанкулов Анзор Шафигович</t>
  </si>
  <si>
    <t>+7 (903) 491-35-54'</t>
  </si>
  <si>
    <t>43.499483,43.563584</t>
  </si>
  <si>
    <t>ОБЩЕСТВО С ОГРАНИЧЕННОЙ ОТВЕТСТВЕННОСТЬЮ "МЕЛИОРАТОР"</t>
  </si>
  <si>
    <t>"МЕЛИОРАТОР"</t>
  </si>
  <si>
    <t>0546001830</t>
  </si>
  <si>
    <t>РЕСПУБЛИКА ДАГЕСТАН,Г КИЗИЛЮРТ,PП БАВТУГАЙ</t>
  </si>
  <si>
    <t>Нуцалов Расул Басирович</t>
  </si>
  <si>
    <t>43.502733,43.564186</t>
  </si>
  <si>
    <t>ОБЩЕСТВО С ОГРАНИЧЕННОЙ ОТВЕТСТВЕННОСТЬЮ "КИЗИЛЮРТОВСКИЙ ЗАВОД КЕРАМЗИТОВОГО ГРАВИЯ"</t>
  </si>
  <si>
    <t>"КИЗИЛЮРТОВСКИЙ ЗАВОД КЕРАМЗИТОВОГО ГРАВИЯ"</t>
  </si>
  <si>
    <t>0541027232</t>
  </si>
  <si>
    <t>РЕСПУБЛИКА ДАГЕСТАН,Г КИЗИЛЮРТ,КИЗИЛЮРТОВСКОЕ,УЛ ИМАМА ШАМИЛЯ Д 1</t>
  </si>
  <si>
    <t>Сайгидгусейнов Курбанали Магомедович</t>
  </si>
  <si>
    <t>43.49966,43.578757</t>
  </si>
  <si>
    <t>ОБЩЕСТВО С ОГРАНИЧЕННОЙ ОТВЕТСТВЕННОСТЬЮ "КЕДР"</t>
  </si>
  <si>
    <t>"КЕДР"</t>
  </si>
  <si>
    <t>0546011973</t>
  </si>
  <si>
    <t>РЕСПУБЛИКА ДАГЕСТАН,Г КИЗИЛЮРТ,УЛ ГАГАРИНА Д 24</t>
  </si>
  <si>
    <t>Абдулатипов Исмаил Магомедкамильевич</t>
  </si>
  <si>
    <t>43.473968,43.583033</t>
  </si>
  <si>
    <t>ОБЩЕСТВО С ОГРАНИЧЕННОЙ ОТВЕТСТВЕННОСТЬЮ "КОНГЛОМЕРАТ"</t>
  </si>
  <si>
    <t>"КОНГЛОМЕРАТ"</t>
  </si>
  <si>
    <t>0516011486</t>
  </si>
  <si>
    <t>РЕСПУБЛИКА ДАГЕСТАН,КИЗИЛЮРТОВСКИЙ Р-Н,СУЛТАН-ЯНГИ-ЮРТОВСКОЕ,С СУЛТАН-ЯНГИ-ЮРТ,Р-Н КОРА</t>
  </si>
  <si>
    <t>Гаджидадаев Шамиль Камилович</t>
  </si>
  <si>
    <t>43.490452,43.583284</t>
  </si>
  <si>
    <t>ОБЩЕСТВО С ОГРАНИЧЕННОЙ ОТВЕТСТВЕННОСТЬЮ "КИЗИЛЮРТКАРЬЕРСТРОЙ"</t>
  </si>
  <si>
    <t>"КИЗИЛЮРТКАРЬЕРСТРОЙ"</t>
  </si>
  <si>
    <t>0546014526</t>
  </si>
  <si>
    <t>РЕСПУБЛИКА ДАГЕСТАН,КИЗИЛЮРТОВСКИЙ Р-Н,СУЛТАН-ЯНГИ-ЮРТОВСКОЕ,С СУЛТАН-ЯНГИ-ЮРТ,УЛ БУЙНАКСКОГО Д 23</t>
  </si>
  <si>
    <t>Гаджиева Зумрад Сулеймановна</t>
  </si>
  <si>
    <t>56.255362,43.591387</t>
  </si>
  <si>
    <t>ОБЩЕСТВО С ОГРАНИЧЕННОЙ ОТВЕТСТВЕННОСТЬЮ "ЖБИ - 3"</t>
  </si>
  <si>
    <t>"ЖБИ - 3"</t>
  </si>
  <si>
    <t>6440042926</t>
  </si>
  <si>
    <t>64-Саратовская область</t>
  </si>
  <si>
    <t>412305, Саратовская область, БАЛАШОВСКИЙ, 1 ГОРОД БАЛАШОВ, Г БАЛАШОВ, УЛ ПРИГОРОДНАЯ, Д. 2А</t>
  </si>
  <si>
    <t>Лобачев Артем Валерьевич</t>
  </si>
  <si>
    <t>43.318674,43.601035</t>
  </si>
  <si>
    <t>ОБЩЕСТВО С ОГРАНИЧЕННОЙ ОТВЕТСТВЕННОСТЬЮ "ЖБК-8"</t>
  </si>
  <si>
    <t>"ЖБК-8"</t>
  </si>
  <si>
    <t>6440040301</t>
  </si>
  <si>
    <t>412304, САРАТОВСКАЯ ОБЛАСТЬ, ГОРОД БАЛАШОВ, ШОССЕ САРАТОВСКОЕ, ДОМ 1 Б</t>
  </si>
  <si>
    <t>Петраков Михаил Павлович</t>
  </si>
  <si>
    <t>+7 (905) 322-00-20'</t>
  </si>
  <si>
    <t>43.48607,43.602095</t>
  </si>
  <si>
    <t>ОБЩЕСТВО С ОГРАНИЧЕННОЙ ОТВЕТСТВЕННОСТЬЮ "АЭРОСТРОЙТРЕСТ"</t>
  </si>
  <si>
    <t>"АЭРОСТРОЙТРЕСТ"</t>
  </si>
  <si>
    <t>3456004751</t>
  </si>
  <si>
    <t>403343, ВОЛГОГРАДСКАЯ ОБЛ, МИХАЙЛОВКА Г, ОБОРОНЫ УЛ, ДОМ 134, ПОМ. 7</t>
  </si>
  <si>
    <t>Дмитриенко Александр Викторович</t>
  </si>
  <si>
    <t>43.483519,43.606101</t>
  </si>
  <si>
    <t>Закрытое акционерное общество "Себряковский цемент и бетон"</t>
  </si>
  <si>
    <t>Закрытое "Себряковский цемент и бетон"</t>
  </si>
  <si>
    <t>3437000818</t>
  </si>
  <si>
    <t>http://spbscb.ru</t>
  </si>
  <si>
    <t>ВОЛГОГРАДСКАЯ ОБЛ.,Г МИХАЙЛОВКА,УЛ ИНДУСТРИАЛЬНАЯ,8</t>
  </si>
  <si>
    <t>Шарапов Алексей Владимирович</t>
  </si>
  <si>
    <t>zaoscb@mail.ru'</t>
  </si>
  <si>
    <t>43.489687,43.606263</t>
  </si>
  <si>
    <t>ОБЩЕСТВО С ОГРАНИЧЕННОЙ ОТВЕТСТВЕННОСТЬЮ "АГАТ"</t>
  </si>
  <si>
    <t>"АГАТ"</t>
  </si>
  <si>
    <t>0544014048</t>
  </si>
  <si>
    <t>РЕСПУБЛИКА ДАГЕСТАН,Г ХАСАВЮРТ,УЛ НЕКРАСОВА Д 69</t>
  </si>
  <si>
    <t>Акавов Бадир Салевович</t>
  </si>
  <si>
    <t>43.481511,43.608868</t>
  </si>
  <si>
    <t>ОБЩЕСТВО С ОГРАНИЧЕННОЙ ОТВЕТСТВЕННОСТЬЮ "АРМАДА"</t>
  </si>
  <si>
    <t>"АРМАДА"</t>
  </si>
  <si>
    <t>0710056456</t>
  </si>
  <si>
    <t>КАБАРДИНО-БАЛКАРСКАЯ РЕСПУБЛИКА,ЭЛЬБРУССКИЙ Р-Н,С ЭЛЬБРУС,Д 5</t>
  </si>
  <si>
    <t>Моллаев Руслан Садулович</t>
  </si>
  <si>
    <t>43.48537,43.610521</t>
  </si>
  <si>
    <t>ГОСУДАРСТВЕННОЕ УНИТАРНОЕ ПРЕДПРИЯТИЕ "АРГУНСКИЙ ЗАВОД ЖЕЛЕЗОБЕТОННЫХ ИЗДЕЛИЙ"</t>
  </si>
  <si>
    <t>2001004026</t>
  </si>
  <si>
    <t>20-Чеченская Республика</t>
  </si>
  <si>
    <t>ЧЕЧЕНСКАЯ РЕСПУБЛИКА,Г АРГУН,УЛ КУТУЗОВА, Д 40</t>
  </si>
  <si>
    <t>Эдилов Ваха Алиевич</t>
  </si>
  <si>
    <t>+7 (928) 736-48-66', '+7 (928) 784-09-42'</t>
  </si>
  <si>
    <t>43.504734,43.613036</t>
  </si>
  <si>
    <t>ОБЩЕСТВО С ОГРАНИЧЕННОЙ ОТВЕТСТВЕННОСТЬЮ "РЕНАН"</t>
  </si>
  <si>
    <t>"РЕНАН"</t>
  </si>
  <si>
    <t>0702010264</t>
  </si>
  <si>
    <t>361711, КАБАРДИНО-БАЛКАРСКАЯ РЕСПУБЛИКА, РАЙОН ЗОЛЬСКИЙ, СЕЛО МАЛКА, УЛИЦА ЛЕНИНА, ДОМ 463</t>
  </si>
  <si>
    <t>Кипов Латиф Еражибович</t>
  </si>
  <si>
    <t>43.502616,43.613252</t>
  </si>
  <si>
    <t>ОБЩЕСТВО С ОГРАНИЧЕННОЙ ОТВЕТСТВЕННОСТЬЮ "ПУЕРТ"</t>
  </si>
  <si>
    <t>"ПУЕРТ"</t>
  </si>
  <si>
    <t>0701012068</t>
  </si>
  <si>
    <t>361522, КАБАРДИНО-БАЛКАРСКАЯ РЕСПУБЛИКА, БАКСАНСКИЙ Р-Н, С ЗАЮКОВО, УЛ НАБЕРЕЖНАЯ, Д 20</t>
  </si>
  <si>
    <t>Жамурзов Лиуан Амдулчеримович</t>
  </si>
  <si>
    <t>+7 (928) 690-09-73'</t>
  </si>
  <si>
    <t>43.506068,43.623771</t>
  </si>
  <si>
    <t>МАЛОЕ ЧАСТНОЕ ПРЕДПРИЯТИЕ "БАРС"</t>
  </si>
  <si>
    <t>0701005007</t>
  </si>
  <si>
    <t>КАБАРДИНО-БАЛКАРСКАЯ РЕСПУБЛИКА,БАКСАНСКИЙ Р-Н,С ЗАЮКОВО,УЛ КАЦИБАЕВА,11</t>
  </si>
  <si>
    <t>Кацибаева Зухра Газизовна</t>
  </si>
  <si>
    <t>43.957369,43.63191</t>
  </si>
  <si>
    <t>ОБЩЕСТВО С ОГРАНИЧЕННОЙ ОТВЕТСТВЕННОСТЬЮ "АРТЕМОВСКИЙ ЗАВОД ЖБИ"</t>
  </si>
  <si>
    <t>"АРТЕМОВСКИЙ ЗАВОД ЖБИ"</t>
  </si>
  <si>
    <t>2502026670</t>
  </si>
  <si>
    <t>ПРИМОРСКИЙ КРАЙ,Г АРТЕМ,УЛ ЗАПАДНАЯ, 6</t>
  </si>
  <si>
    <t>Пенязь Павел Владимирович</t>
  </si>
  <si>
    <t>+7 (423) 374-29-04', '+7 (423) 374-34-46', '+7 (423) 374-35-05', '+7 (423) 374-26-49', '+7 (423) 373-59-74', '+7 (842) 323-59-74'</t>
  </si>
  <si>
    <t>zavod1958@mail.ru'</t>
  </si>
  <si>
    <t>56.253777,43.640148</t>
  </si>
  <si>
    <t>ОБЩЕСТВО С ОГРАНИЧЕННОЙ ОТВЕТСТВЕННОСТЬЮ "ЕЗДЕН"</t>
  </si>
  <si>
    <t>"ЕЗДЕН"</t>
  </si>
  <si>
    <t>0710000213</t>
  </si>
  <si>
    <t>КАБАРДИНО-БАЛКАРСКАЯ РЕСПУБЛИКА,Г ТЫРНЫАУЗ,ПРОСП ЭЛЬБРУССКИЙ,35,..</t>
  </si>
  <si>
    <t>Узденов Мурадин Сагитович</t>
  </si>
  <si>
    <t>43.51613,43.666819</t>
  </si>
  <si>
    <t>5249169678</t>
  </si>
  <si>
    <t>606002, НИЖЕГОРОДСКАЯ ОБЛАСТЬ, Г. ДЗЕРЖИНСК, УЛ. ЛЕРМОНТОВА, Д. 13, ЛИТЕРА В ПОМЕЩЕНИЕ 28</t>
  </si>
  <si>
    <t>Гущин Дмитрий Владимирович</t>
  </si>
  <si>
    <t>43.502609,43.669235</t>
  </si>
  <si>
    <t>ОБЩЕСТВО С ОГРАНИЧЕННОЙ ОТВЕТСТВЕННОСТЬЮ "НОВОСИБИРСКИЙ ЗАВОД ЖЕЛЕЗОБЕТОННЫХ ОПОР И СВАЙ"</t>
  </si>
  <si>
    <t>"НОВОСИБИРСКИЙ ЗАВОД ЖЕЛЕЗОБЕТОННЫХ ОПОР И СВАЙ"</t>
  </si>
  <si>
    <t>5408010678</t>
  </si>
  <si>
    <t>КОСТРОМСКАЯ ОБЛ.,ПАРФЕНЬЕВСКИЙ Р-Н,С ПАРФЕНЬЕВО,УЛ ПЕСОЧНАЯ, Д 31</t>
  </si>
  <si>
    <t>Коротков Дмитрий Владимирович</t>
  </si>
  <si>
    <t>43.518399,43.676475</t>
  </si>
  <si>
    <t>ОБЩЕСТВО С ОГРАНИЧЕННОЙ ОТВЕТСТВЕННОСТЬЮ "БАЗИС КОМПЛЕКТ"</t>
  </si>
  <si>
    <t>"БАЗИС КОМПЛЕКТ"</t>
  </si>
  <si>
    <t>0701016680</t>
  </si>
  <si>
    <t>361520, КАБАРДИНО-БАЛКАРСКАЯ РЕСПУБЛИКА, РАЙОН БАКСАНСКИЙ, СЕЛО ИСЛАМЕЙ, ПЕРЕУЛОК ШОПАРОВА, ДОМ 14</t>
  </si>
  <si>
    <t>Юров Игорь Сергеевич</t>
  </si>
  <si>
    <t>+7 (928) 707-10-80'</t>
  </si>
  <si>
    <t>43.515378,43.687138</t>
  </si>
  <si>
    <t>АКЦИОНЕРНОЕ ОБЩЕСТВО "ОНИКС"</t>
  </si>
  <si>
    <t>5260359954</t>
  </si>
  <si>
    <t>НИЖЕГОРОДСКАЯ ОБЛ.,Г ДЗЕРЖИНСК,УЛ ГАЙДАРА Д 75</t>
  </si>
  <si>
    <t>Скочилов Егор Михайлович</t>
  </si>
  <si>
    <t>+7 (831) 220-53-65'</t>
  </si>
  <si>
    <t>ОБЩЕСТВО С ОГРАНИЧЕННОЙ ОТВЕТСТВЕННОСТЬЮ "РЕМОНТНО-СТРОИТЕЛЬНОЕ УПРАВЛЕНИЕ-1"</t>
  </si>
  <si>
    <t>"РЕМОНТНО-СТРОИТЕЛЬНОЕ УПРАВЛЕНИЕ-1"</t>
  </si>
  <si>
    <t>0701011642</t>
  </si>
  <si>
    <t>361520, КАБАРДИНО-БАЛКАРСКАЯ РЕСПУБЛИКА, РАЙОН БАКСАНСКИЙ, СЕЛО ИСЛАМЕЙ, УЛИЦА КРАСНОАРМЕЙСКАЯ, 121</t>
  </si>
  <si>
    <t>Озроков Мухамед Гумарбиевич</t>
  </si>
  <si>
    <t>+7 (928) 703-71-68'</t>
  </si>
  <si>
    <t>56.257753,43.733177</t>
  </si>
  <si>
    <t>ОБЩЕСТВО С ОГРАНИЧЕННОЙ ОТВЕТСТВЕННОСТЬЮ "КАРА-МУРЗА"</t>
  </si>
  <si>
    <t>"КАРА-МУРЗА"</t>
  </si>
  <si>
    <t>0701015887</t>
  </si>
  <si>
    <t>361520, КАБАРДИНО-БАЛКАРСКАЯ РЕСПУБЛИКА, РАЙОН БАКСАНСКИЙ, СЕЛО ИСЛАМЕЙ, УЛИЦА ЕВГАЖУКОВА, 145</t>
  </si>
  <si>
    <t>Карамурзов Залимхан Хаджи-Муратович</t>
  </si>
  <si>
    <t>44.262934,43.754889</t>
  </si>
  <si>
    <t>АКЦИОНЕРНОЕ ОБЩЕСТВО "ЗАВОД ЖБИ-3"</t>
  </si>
  <si>
    <t>"ЗАВОД ЖБИ-3"</t>
  </si>
  <si>
    <t>2502000488</t>
  </si>
  <si>
    <t>http://gbi3.com</t>
  </si>
  <si>
    <t>ПРИМОРСКИЙ КРАЙ,Г АРТЕМ,УЛ СТРЕЛЬНИКОВА, 70</t>
  </si>
  <si>
    <t>Рухляда Андрей Валерьянович</t>
  </si>
  <si>
    <t>+7 (924) 427-46-89'</t>
  </si>
  <si>
    <t>GBI3@VLAD.RU'</t>
  </si>
  <si>
    <t>Научно-производственная фирма "Сапфир-1" Общество с ограниченной ответственностью</t>
  </si>
  <si>
    <t xml:space="preserve">Научно-производственная фирма "Сапфир-1" </t>
  </si>
  <si>
    <t>0711046651</t>
  </si>
  <si>
    <t>Г НАЛЬЧИК,ПРОСП ЛЕНИНА,2</t>
  </si>
  <si>
    <t xml:space="preserve"> Директор Бейтоков Руслан Муаедович</t>
  </si>
  <si>
    <t>56.142937,43.796158</t>
  </si>
  <si>
    <t>ОБЩЕСТВО С ОГРАНИЧЕННОЙ ОТВЕТСТВЕННОСТЬЮ "ЗАВОД ЖЕЛЕЗОБЕТОННЫХ ИЗДЕЛИЙ-2"</t>
  </si>
  <si>
    <t>"ЗАВОД ЖЕЛЕЗОБЕТОННЫХ ИЗДЕЛИЙ-2"</t>
  </si>
  <si>
    <t>0721007972</t>
  </si>
  <si>
    <t>Г НАЛЬЧИК,УЛ УРОЖАЙНАЯ,22</t>
  </si>
  <si>
    <t>Кастахов Ратмир Султанович</t>
  </si>
  <si>
    <t>55.404591,43.798287</t>
  </si>
  <si>
    <t>ОБЩЕСТВО С ОГРАНИЧЕННОЙ ОТВЕТСТВЕННОСТЬЮ "СК ВОСТОЧНОЕ ШОССЕ"</t>
  </si>
  <si>
    <t>"СК ВОСТОЧНОЕ ШОССЕ"</t>
  </si>
  <si>
    <t>5249177076</t>
  </si>
  <si>
    <t>606019, Нижегородская область, ГОРОД ДЗЕРЖИНСК, Г ДЗЕРЖИНСК, УЛ ЧЕРНЯХОВСКОГО, Д. 41</t>
  </si>
  <si>
    <t>Пашков Игорь Михайлович</t>
  </si>
  <si>
    <t>56.203538,43.807324</t>
  </si>
  <si>
    <t>ОБЩЕСТВО С ОГРАНИЧЕННОЙ ОТВЕТСТВЕННОСТЬЮ  "АЛЬФАСТРОЙ"</t>
  </si>
  <si>
    <t xml:space="preserve"> "АЛЬФАСТРОЙ"</t>
  </si>
  <si>
    <t>2625085192</t>
  </si>
  <si>
    <t>357825, СТАВРОПОЛЬСКИЙ КРАЙ, Г ГЕОРГИЕВСК, УЛ АНДЖИЕВСКОГО, Д 46</t>
  </si>
  <si>
    <t>Багдян Армен Севадаевич</t>
  </si>
  <si>
    <t>56.20918,43.811232</t>
  </si>
  <si>
    <t>ОБЩЕСТВО С ОГРАНИЧЕННОЙ ОТВЕТСТВЕННОСТЬЮ "СИГМАСТРОЙ - НН"</t>
  </si>
  <si>
    <t>"СИГМАСТРОЙ - НН"</t>
  </si>
  <si>
    <t>5245025330</t>
  </si>
  <si>
    <t>607603, НИЖЕГОРОДСКАЯ ОБЛАСТЬ, Р-Н БОГОРОДСКИЙ, Г. БОГОРОДСК, УЛ. САМОХВАЛОВА, Д.41</t>
  </si>
  <si>
    <t>Кабатова Мария Павловна</t>
  </si>
  <si>
    <t>+7 (960) 181-85-27'</t>
  </si>
  <si>
    <t>ОБЩЕСТВО С ОГРАНИЧЕННОЙ ОТВЕТСТВЕННОСТЬЮ "ЩОМАХУЭ"</t>
  </si>
  <si>
    <t>"ЩОМАХУЭ"</t>
  </si>
  <si>
    <t>0711011190</t>
  </si>
  <si>
    <t>Г НАЛЬЧИК,УЛ КИРОВА,19..</t>
  </si>
  <si>
    <t>Хамуков Юрий Шахбанович</t>
  </si>
  <si>
    <t>ОБЩЕСТВО С ОГРАНИЧЕННОЙ ОТВЕТСТВЕННОСТЬЮ "ДОКА"</t>
  </si>
  <si>
    <t>"ДОКА"</t>
  </si>
  <si>
    <t>0721002999</t>
  </si>
  <si>
    <t>Г НАЛЬЧИК,ПРОСП ШОГЕНЦУКОВА,21 А..</t>
  </si>
  <si>
    <t>Бейтуганов Феликс Мухарбекович</t>
  </si>
  <si>
    <t>ОБЩЕСТВО С ОГРАНИЧЕННОЙ ОТВЕТСТВЕННОСТЬЮ "НОВОСТРОЙ"</t>
  </si>
  <si>
    <t>"НОВОСТРОЙ"</t>
  </si>
  <si>
    <t>5245017554</t>
  </si>
  <si>
    <t>607600, НИЖЕГОРОДСКАЯ ОБЛ, БОГОРОДСКИЙ Р-Н, БОГОРОДСК Г, ЗАВОДСКАЯ УЛ, 5</t>
  </si>
  <si>
    <t>Сухова Галина Дмитриевна</t>
  </si>
  <si>
    <t>55.415646,43.813091</t>
  </si>
  <si>
    <t>ОБЩЕСТВО С ОГРАНИЧЕННОЙ ОТВЕТСТВЕННОСТЬЮ "Квинта"</t>
  </si>
  <si>
    <t>"Квинта"</t>
  </si>
  <si>
    <t>5257132470</t>
  </si>
  <si>
    <t>606016, НИЖЕГОРОДСКАЯ ОБЛ., Г. Дзержинск, УЛ. ОКТЯБРЬСКАЯ, Д. 63,..</t>
  </si>
  <si>
    <t>Шулепин Дмитрий Александрович</t>
  </si>
  <si>
    <t>axlenn@mail.ru'</t>
  </si>
  <si>
    <t>56.341707,43.81929</t>
  </si>
  <si>
    <t>АКЦИОНЕРНОЕ ОБЩЕСТВО "ЗАВОД ЖЕЛЕЗОБЕТОННЫХ ИЗДЕЛИЙ-2"</t>
  </si>
  <si>
    <t>0711032169</t>
  </si>
  <si>
    <t>Г НАЛЬЧИК,УЛ ГОЛОВКО,168</t>
  </si>
  <si>
    <t>56.311162,43.820457</t>
  </si>
  <si>
    <t>5252048850</t>
  </si>
  <si>
    <t>607603, Нижегородская область, БОГОРОДСКИЙ, Г БОГОРОДСК, УЛ ЧЕРНЫШЕВСКОГО, Д. 16А</t>
  </si>
  <si>
    <t>Павлов Владимир Юрьевич</t>
  </si>
  <si>
    <t>PAVLOV1989@GMAIL.COM'</t>
  </si>
  <si>
    <t>56.332122,43.821086</t>
  </si>
  <si>
    <t>ОБЩЕСТВО С ОГРАНИЧЕННОЙ ОТВЕТСТВЕННОСТЬЮ ПРОИЗВОДСТВЕННО-КОММЕРЧЕСКАЯ ФИРМА "РЕКА"</t>
  </si>
  <si>
    <t>ПРОИЗВОДСТВЕННО-КОММЕРЧЕСКАЯ ФИРМА "РЕКА"</t>
  </si>
  <si>
    <t>5249073126</t>
  </si>
  <si>
    <t>606016, НИЖЕГОРОДСКАЯ ОБЛАСТЬ, ГОРОД ДЗЕРЖИНСК, УЛИЦА ОКТЯБРЬСКАЯ, 86</t>
  </si>
  <si>
    <t>Лобов Андрей Юрьевич</t>
  </si>
  <si>
    <t>43.81197,43.824446</t>
  </si>
  <si>
    <t>ОБЩЕСТВО С ОГРАНИЧЕННОЙ ОТВЕТСТВЕННОСТЬЮ "ДЗЕРЖИНСКИЙ СИЛИКАТНЫЙ ЗАВОД"</t>
  </si>
  <si>
    <t>"ДЗЕРЖИНСКИЙ СИЛИКАТНЫЙ ЗАВОД"</t>
  </si>
  <si>
    <t>5249175030</t>
  </si>
  <si>
    <t>606016, Нижегородская область, городской округ ГОРОД ДЗЕРЖИНСК, Город ДЗЕРЖИНСК, ПР-КТ ЛЕНИНА, Д. 111, ОФИС 3</t>
  </si>
  <si>
    <t>GENERAL@SILIKAT-NN'</t>
  </si>
  <si>
    <t>56.230197,43.825695</t>
  </si>
  <si>
    <t>ОБЩЕСТВО С ОГРАНИЧЕННОЙ ОТВЕТСТВЕННОСТЬЮ "ЛИОЛА"</t>
  </si>
  <si>
    <t>"ЛИОЛА"</t>
  </si>
  <si>
    <t>0721000751</t>
  </si>
  <si>
    <t>Г НАЛЬЧИК,УЛ ЩОРСА,59,..</t>
  </si>
  <si>
    <t>Семенов Лиуан Натирбиевич</t>
  </si>
  <si>
    <t>+7 (928) 723-84-74', '+7 (938) 691-07-77'</t>
  </si>
  <si>
    <t>56.250837,43.831516</t>
  </si>
  <si>
    <t>Общество с ограниченной ответственностью фирма "ГРАНИТ"</t>
  </si>
  <si>
    <t>фирма "ГРАНИТ"</t>
  </si>
  <si>
    <t>0711000400</t>
  </si>
  <si>
    <t>Г НАЛЬЧИК,3-Й ПРОМЫШЛЕННЫЙ ПРОЕЗД,10</t>
  </si>
  <si>
    <t>Ерижоков Лиуан Гидович</t>
  </si>
  <si>
    <t>ОБЩЕСТВО С ОГРАНИЧЕННОЙ ОТВЕТСТВЕННОСТЬЮ "ПРОДСЕРВИС"</t>
  </si>
  <si>
    <t>"ПРОДСЕРВИС"</t>
  </si>
  <si>
    <t>0708013399</t>
  </si>
  <si>
    <t>КАБАРДИНО-БАЛКАРСКАЯ РЕСПУБЛИКА,ЧЕГЕМСКИЙ Р-Н,С ШАЛУШКА,УЛ ЛЕНИНА,148</t>
  </si>
  <si>
    <t>Абитов Латмир Дзуевич</t>
  </si>
  <si>
    <t>+7 (928) 622-74-88'</t>
  </si>
  <si>
    <t>56.35552,43.837445</t>
  </si>
  <si>
    <t>ОБЩЕСТВО С ОГРАНИЧЕННОЙ ОТВЕТСТВЕННОСТЬЮ "САДКОМПЛЕКТМОНТАЖ"</t>
  </si>
  <si>
    <t>"САДКОМПЛЕКТМОНТАЖ"</t>
  </si>
  <si>
    <t>0722004808</t>
  </si>
  <si>
    <t>361538, КАБАРДИНО-БАЛКАРСКАЯ РЕСПУБЛИКА, Г БАКСАН, УЛ ИМЕНИ ГАГАРИНА ЮРИЯ АЛЕКСЕЕВИЧА, Д 1, КОРП 1 А</t>
  </si>
  <si>
    <t>Мамхегова Сакинат Тахировна</t>
  </si>
  <si>
    <t>ooockm@inbox.ru'</t>
  </si>
  <si>
    <t>55.365647,43.84075</t>
  </si>
  <si>
    <t>ОБЩЕСТВО С ОГРАНИЧЕННОЙ ОТВЕТСТВЕННОСТЬЮ "СТРОЙМАТСЕРВИС"</t>
  </si>
  <si>
    <t>"СТРОЙМАТСЕРВИС"</t>
  </si>
  <si>
    <t>0721015652</t>
  </si>
  <si>
    <t>Г НАЛЬЧИК,ПРОХЛАДНЕНСКОЕ ШОССЕ,5</t>
  </si>
  <si>
    <t>Емкужев Мухамед-Рашид Амдулчеримович</t>
  </si>
  <si>
    <t>55.367853,43.843203</t>
  </si>
  <si>
    <t>Общество с ограниченной ответственностью "МЭРР"</t>
  </si>
  <si>
    <t>"МЭРР"</t>
  </si>
  <si>
    <t>0722002960</t>
  </si>
  <si>
    <t>361534, КАБАРДИНО-БАЛКАРСКАЯ РЕСПУБЛИКА, ГОРОД БАКСАН, ПЕРЕУЛОК СТРОИТЕЛЬНЫЙ, ДОМ 12</t>
  </si>
  <si>
    <t>Хамжуева Эльмера Муазировна</t>
  </si>
  <si>
    <t>+7 (928) 077-91-96'</t>
  </si>
  <si>
    <t>dumaeva1980@yandex.ru'</t>
  </si>
  <si>
    <t>56.247981,43.843284</t>
  </si>
  <si>
    <t>ОБЩЕСТВО С ОГРАНИЧЕННОЙ ОТВЕТСТВЕННОСТЬЮ "ЖБК-3"</t>
  </si>
  <si>
    <t>"ЖБК-3"</t>
  </si>
  <si>
    <t>5252048031</t>
  </si>
  <si>
    <t>607600, НИЖЕГОРОДСКАЯ ОБЛ., Богородский Р-Н, Г. Богородск, Ш. НИЖЕГОРОДСКОЕ, Д. 11/11</t>
  </si>
  <si>
    <t>Царев Александр Васильевич</t>
  </si>
  <si>
    <t>3@BK.RU'</t>
  </si>
  <si>
    <t>43.528047,43.844146</t>
  </si>
  <si>
    <t>ОБЩЕСТВО С ОГРАНИЧЕННОЙ ОТВЕТСТВЕННОСТЬЮ "БЕРД"</t>
  </si>
  <si>
    <t>"БЕРД"</t>
  </si>
  <si>
    <t>0701008671</t>
  </si>
  <si>
    <t>КАБАРДИНО-БАЛКАРСКАЯ РЕСПУБЛИКА,Г БАКСАН,УЛ КАТХАНОВА,Б/Н</t>
  </si>
  <si>
    <t>Бердов Муаед Заудинович</t>
  </si>
  <si>
    <t>+7 (928) 691-45-84'</t>
  </si>
  <si>
    <t>56.271625,43.84632</t>
  </si>
  <si>
    <t>ОБЩЕСТВО С ОГРАНИЧЕННОЙ ОТВЕТСТВЕННОСТЬЮ "СОВРЕМЕННЫЕ СТРОИТЕЛЬНЫЕ МАТЕРИАЛЫ"</t>
  </si>
  <si>
    <t>"СОВРЕМЕННЫЕ СТРОИТЕЛЬНЫЕ МАТЕРИАЛЫ"</t>
  </si>
  <si>
    <t>0722002720</t>
  </si>
  <si>
    <t>361534, КАБАРДИНО-БАЛКАРСКАЯ РЕСПУБЛИКА, ГОРОД БАКСАН, УЛИЦА ФАБРИЧНАЯ, ДОМ 22</t>
  </si>
  <si>
    <t>Ципинов Астемир Султанович</t>
  </si>
  <si>
    <t>+7 (963) 169-17-72'</t>
  </si>
  <si>
    <t>anzhela@yandex.ru'</t>
  </si>
  <si>
    <t>55.406676,43.848664</t>
  </si>
  <si>
    <t>ОБЩЕСТВО С ОГРАНИЧЕННОЙ ОТВЕТСТВЕННОСТЬЮ "ГРАНИТ"</t>
  </si>
  <si>
    <t>"ГРАНИТ"</t>
  </si>
  <si>
    <t>0707009520</t>
  </si>
  <si>
    <t>КАБАРДИНО-БАЛКАРСКАЯ РЕСПУБЛИКА,Г НАРТКАЛА,УЛ ГАГАРИНА,32</t>
  </si>
  <si>
    <t>Тляругов Мурат Тауканович</t>
  </si>
  <si>
    <t>56.256748,43.849293</t>
  </si>
  <si>
    <t>ОБЩЕСТВО С ОГРАНИЧЕННОЙ ОТВЕТСТВЕННОСТЬЮ "АМАНАТ-77"</t>
  </si>
  <si>
    <t>"АМАНАТ-77"</t>
  </si>
  <si>
    <t>0725030813</t>
  </si>
  <si>
    <t>360904, КАБАРДИНО-БАЛКАРСКАЯ РЕСПУБЛИКА, Г НАЛЬЧИК, С КЕНЖЕ, УЛ БАЛОВА, Д 48</t>
  </si>
  <si>
    <t>Темиржанов Алий Мустафаевич</t>
  </si>
  <si>
    <t>56.334138,43.85082</t>
  </si>
  <si>
    <t>ОБЩЕСТВО С ОГРАНИЧЕННОЙ ОТВЕТСТВЕННОСТЬЮ "САДКОМПЛЕКТ"</t>
  </si>
  <si>
    <t>"САДКОМПЛЕКТ"</t>
  </si>
  <si>
    <t>0725028229</t>
  </si>
  <si>
    <t>360904, КАБАРДИНО-БАЛКАРСКАЯ РЕСПУБЛИКА, Г НАЛЬЧИК, С КЕНЖЕ, УЛ КАТХАНОВА, Д 18, КОРП А</t>
  </si>
  <si>
    <t>Саншоков Заурбек Хасетович</t>
  </si>
  <si>
    <t>56.359704,43.851045</t>
  </si>
  <si>
    <t>ОБЩЕСТВО С ОГРАНИЧЕННОЙ ОТВЕТСТВЕННОСТЬЮ "Компания "Завод железобетонных изделий - 2"</t>
  </si>
  <si>
    <t>"Компания "Завод железобетонных изделий - 2"</t>
  </si>
  <si>
    <t>0725001474</t>
  </si>
  <si>
    <t>360000, КАБАРДИНО-БАЛКАРСКАЯ РЕСПУБЛИКА, ГОРОД НАЛЬЧИК, ПЕРЕУЛОК МОНТАЖНИКОВ, 5, А</t>
  </si>
  <si>
    <t>56.222946,43.861753</t>
  </si>
  <si>
    <t>ОБЩЕСТВО С ОГРАНИЧЕННОЙ ОТВЕТСТВЕННОСТЬЮ "ПРОМЫШЛЕННО-СТРОИТЕЛЬНАЯ КОМПАНИЯ "ОКСИ ТМ"</t>
  </si>
  <si>
    <t>"ПРОМЫШЛЕННО-СТРОИТЕЛЬНАЯ КОМПАНИЯ "ОКСИ ТМ"</t>
  </si>
  <si>
    <t>0725015660</t>
  </si>
  <si>
    <t>360030, КАБАРДИНО-БАЛКАРСКАЯ РЕСПУБЛИКА, ГОРОД НАЛЬЧИК, ПРОСПЕКТ КУЛИЕВА, ДОМ 10, ОФИС 102 А</t>
  </si>
  <si>
    <t>Таумурзаев Мухарбий Далхатович</t>
  </si>
  <si>
    <t>56.236856,43.879279</t>
  </si>
  <si>
    <t>ОБЩЕСТВО С ОГРАНИЧЕННОЙ ОТВЕТСТВЕННОСТЬЮ "ЗЖБИ-2-строй"</t>
  </si>
  <si>
    <t>"ЗЖБИ-2-строй"</t>
  </si>
  <si>
    <t>0725001450</t>
  </si>
  <si>
    <t>360000, КАБАРДИНО-БАЛКАРСКАЯ РЕСПУБЛИКА, ГОРОД НАЛЬЧИК, УЛИЦА ГОЛОВКО, 168</t>
  </si>
  <si>
    <t>56.264217,43.882333</t>
  </si>
  <si>
    <t>ОБЩЕСТВО С ОГРАНИЧЕННОЙ ОТВЕТСТВЕННОСТЬЮ "СМУ-21"</t>
  </si>
  <si>
    <t>"СМУ-21"</t>
  </si>
  <si>
    <t>2318031741</t>
  </si>
  <si>
    <t>КРАСНОДАРСКИЙ КРАЙ,Г СОЧИ,УЛ ГОРЬКОГО, Д 23,..</t>
  </si>
  <si>
    <t>Фоменко Андрей Васильевич</t>
  </si>
  <si>
    <t>+7 (918) 902-94-36'</t>
  </si>
  <si>
    <t>ОБЩЕСТВО С ОГРАНИЧЕННОЙ ОТВЕТСТВЕННОСТЬЮ "СМУ-12"</t>
  </si>
  <si>
    <t>"СМУ-12"</t>
  </si>
  <si>
    <t>2320131172</t>
  </si>
  <si>
    <t>Жидков Аркадий Геннадьевич</t>
  </si>
  <si>
    <t>56.354148,43.887328</t>
  </si>
  <si>
    <t>ОБЩЕСТВО С ОГРАНИЧЕННОЙ ОТВЕТСТВЕННОСТЬЮ "ИНТЭК"</t>
  </si>
  <si>
    <t>"ИНТЭК"</t>
  </si>
  <si>
    <t>2320075457</t>
  </si>
  <si>
    <t>КРАСНОДАРСКИЙ КРАЙ,Г СОЧИ,УЛ НАВАГИНСКАЯ, Д 14, К 7</t>
  </si>
  <si>
    <t>Миракян Самвел Гагикович</t>
  </si>
  <si>
    <t>56.315775,43.890831</t>
  </si>
  <si>
    <t>ОБЩЕСТВО С ОГРАНИЧЕННОЙ ОТВЕТСТВЕННОСТЬЮ "КОНСОННИ БЕТОН ФОРМ"</t>
  </si>
  <si>
    <t>"КОНСОННИ БЕТОН ФОРМ"</t>
  </si>
  <si>
    <t>5249161189</t>
  </si>
  <si>
    <t>606000, НИЖЕГОРОДСКАЯ ОБЛАСТЬ, ГОРОД ДЗЕРЖИНСК, ШОССЕ АВТОЗАВОДСКОЕ, ДОМ 73, ОФИС 16</t>
  </si>
  <si>
    <t>Щетков Анатолий Александрович</t>
  </si>
  <si>
    <t>+7 (930) 703-78-88'</t>
  </si>
  <si>
    <t>44.403075,43.894883</t>
  </si>
  <si>
    <t>ОБЩЕСТВО С ОГРАНИЧЕННОЙ ОТВЕТСТВЕННОСТЬЮ "ЛУННЫЙ СВЕТ"</t>
  </si>
  <si>
    <t>"ЛУННЫЙ СВЕТ"</t>
  </si>
  <si>
    <t>2320082020</t>
  </si>
  <si>
    <t>КРАСНОДАРСКИЙ КРАЙ,Г СОЧИ,УЛ КРАСНОАРМЕЙСКАЯ, Д 22</t>
  </si>
  <si>
    <t>Кочумян Сурен Леварсович</t>
  </si>
  <si>
    <t>56.259288,43.902707</t>
  </si>
  <si>
    <t>ОБЩЕСТВО С ОГРАНИЧЕННОЙ ОТВЕТСТВЕННОСТЬЮ "КОМПАС"</t>
  </si>
  <si>
    <t>"КОМПАС"</t>
  </si>
  <si>
    <t>2320146299</t>
  </si>
  <si>
    <t>Арленинов Артем Алексеевич</t>
  </si>
  <si>
    <t>+7 (918) 207-22-81'</t>
  </si>
  <si>
    <t>54.109892,43.911681</t>
  </si>
  <si>
    <t>ОБЩЕСТВО С ОГРАНИЧЕННОЙ ОТВЕТСТВЕННОСТЬЮ "НАИП"</t>
  </si>
  <si>
    <t>"НАИП"</t>
  </si>
  <si>
    <t>0706003613</t>
  </si>
  <si>
    <t>КАБАРДИНО-БАЛКАРСКАЯ РЕСПУБЛИКА,РП КАШХАТАУ,УЛ ЗУКАЕВА,19</t>
  </si>
  <si>
    <t>Туменов Жамал Курманбиевич</t>
  </si>
  <si>
    <t>56.237737,43.915212</t>
  </si>
  <si>
    <t>ОБЩЕСТВО С ОГРАНИЧЕННОЙ ОТВЕТСТВЕННОСТЬЮ "НОСТАЛЬЖИ"</t>
  </si>
  <si>
    <t>"НОСТАЛЬЖИ"</t>
  </si>
  <si>
    <t>0725017280</t>
  </si>
  <si>
    <t>http://nostalzhi.com</t>
  </si>
  <si>
    <t>360051, КАБАРДИНО-БАЛКАРСКАЯ РЕСПУБЛИКА, ГОРОД НАЛЬЧИК, УЛИЦА ПАЧЕВА, ДОМ 47</t>
  </si>
  <si>
    <t>Маркарян Армен Вазгенович</t>
  </si>
  <si>
    <t>+7 (963) 391-11-02', '+7 (928) 711-82-52'</t>
  </si>
  <si>
    <t>bidova77@mail.ru'</t>
  </si>
  <si>
    <t>56.351355,43.919551</t>
  </si>
  <si>
    <t>ОБЩЕСТВО С ОГРАНИЧЕННОЙ ОТВЕТСТВЕННОСТЬЮ "НТС БЕТОН"</t>
  </si>
  <si>
    <t>"НТС БЕТОН"</t>
  </si>
  <si>
    <t>0700000711</t>
  </si>
  <si>
    <t>360051, КАБАРДИНО-БАЛКАРСКАЯ РЕСП., Г. Нальчик, ПР-КТ ЛЕНИНА, Д. 26,..</t>
  </si>
  <si>
    <t>Двуреченский Анатолий Владимирович</t>
  </si>
  <si>
    <t>NTC_BETON@LIST.RU'</t>
  </si>
  <si>
    <t>56.270146,43.926548</t>
  </si>
  <si>
    <t>Общество с ограниченной ответственностью "ШЭРЫУЭ"</t>
  </si>
  <si>
    <t>"ШЭРЫУЭ"</t>
  </si>
  <si>
    <t>0711044439</t>
  </si>
  <si>
    <t>360022, КАБАРДИНО-БАЛКАРСКАЯ РЕСП., Г. Нальчик, УЛ. ТОЛСТОГО, Д. 98,..</t>
  </si>
  <si>
    <t>Шериев Руслан Музакирович</t>
  </si>
  <si>
    <t>56.260758,43.928839</t>
  </si>
  <si>
    <t>ОБЩЕСТВО С ОГРАНИЧЕННОЙ ОТВЕТСТВЕННОСТЬЮ "Исполин"</t>
  </si>
  <si>
    <t>"Исполин"</t>
  </si>
  <si>
    <t>0721063938</t>
  </si>
  <si>
    <t>360051, КАБАРДИНО-БАЛКАРСКАЯ РЕСПУБЛИКА, Г НАЛЬЧИК, ПРОСПЕКТ ШОГЕНЦУКОВА, Д 24,..</t>
  </si>
  <si>
    <t>Абаноков Амир Заурбиевич</t>
  </si>
  <si>
    <t>+7 (962) 652-77-99'</t>
  </si>
  <si>
    <t>56.336274,43.931525</t>
  </si>
  <si>
    <t>ОБЩЕСТВО С ОГРАНИЧЕННОЙ ОТВЕТСТВЕННОСТЬЮ "ПРАЙМИНДЕСТРИ"</t>
  </si>
  <si>
    <t>"ПРАЙМИНДЕСТРИ"</t>
  </si>
  <si>
    <t>0725025468</t>
  </si>
  <si>
    <t>360051, КАБАРДИНО-БАЛКАРСКАЯ РЕСПУБЛИКА, ГОРОД НАЛЬЧИК, УЛИЦА ПУШКИНА, ДОМ 101, ОФИС 301</t>
  </si>
  <si>
    <t>Соловьев Владимир Николаевич</t>
  </si>
  <si>
    <t>56.343922,43.937894</t>
  </si>
  <si>
    <t>ОБЩЕСТВО С ОГРАНИЧЕННОЙ ОТВЕТСТВЕННОСТЬЮ "САД ПОД КЛЮЧ"</t>
  </si>
  <si>
    <t>"САД ПОД КЛЮЧ"</t>
  </si>
  <si>
    <t>0700000888</t>
  </si>
  <si>
    <t>360019, КАБАРДИНО-БАЛКАРСКАЯ РЕСП., Г. Нальчик, УЛ. МАЛЬБАХОВА, Д. 28В,..</t>
  </si>
  <si>
    <t>OOOCKM@INBOX.RU'</t>
  </si>
  <si>
    <t>55.443098,43.941937</t>
  </si>
  <si>
    <t>ОБЩЕСТВО С ОГРАНИЧЕННОЙ ОТВЕТСТВЕННОСТЬЮ "СТРОЙКОМПЛЕКТМОНТАЖ"</t>
  </si>
  <si>
    <t>"СТРОЙКОМПЛЕКТМОНТАЖ"</t>
  </si>
  <si>
    <t>0726017653</t>
  </si>
  <si>
    <t>360019, КАБАРДИНО-БАЛКАРСКАЯ РЕСПУБЛИКА, Г НАЛЬЧИК, ПЕРЕУЛОК КООПЕРАТИВНЫЙ, Д 5,..</t>
  </si>
  <si>
    <t>Кушхова Ляна Руслановна</t>
  </si>
  <si>
    <t>+7 (960) 429-93-36', '+7 (928) 704-18-18'</t>
  </si>
  <si>
    <t>56.288246,43.949941</t>
  </si>
  <si>
    <t>ОБЩЕСТВО С ОГРАНИЧЕННОЙ ОТВЕТСТВЕННОСТЬЮ "ПУЛЬС"</t>
  </si>
  <si>
    <t>"ПУЛЬС"</t>
  </si>
  <si>
    <t>0708000287</t>
  </si>
  <si>
    <t>Г НАЛЬЧИК,УЛ ГАГАРИНА,129,ТЕР-Я АО КТБ "ТЕХНОПРИБОР"</t>
  </si>
  <si>
    <t>Шогенов Албир Владимирович</t>
  </si>
  <si>
    <t>56.328289,43.951782</t>
  </si>
  <si>
    <t>ОТКРЫТОЕ АКЦИОНЕРНОЕ ОБЩЕСТВО "КОМБИНАТ ПРОМЫШЛЕННЫХ ПРЕДПРИЯТИЙ  "КИРОВСКИЙ"</t>
  </si>
  <si>
    <t>ОТКРЫТОЕ "КОМБИНАТ ПРОМЫШЛЕННЫХ ПРЕДПРИЯТИЙ  "КИРОВСКИЙ"</t>
  </si>
  <si>
    <t>2609000314</t>
  </si>
  <si>
    <t>http://kpp-kirovskiy.ucoz.ru</t>
  </si>
  <si>
    <t>СТАВРОПОЛЬСКИЙ КРАЙ,Г НОВОПАВЛОВСК,ПРОМЗОНА</t>
  </si>
  <si>
    <t>Рябко Наталья Васильевна</t>
  </si>
  <si>
    <t>56.287472,43.955869</t>
  </si>
  <si>
    <t>ОБЩЕСТВО С ОГРАНИЧЕННОЙ ОТВЕТСТВЕННОСТЬЮ  " МАЙСКИЙ ЗАВОД ЖЕЛЕЗОБЕТОННЫХ ИЗДЕЛИЙ"</t>
  </si>
  <si>
    <t xml:space="preserve"> " МАЙСКИЙ ЗАВОД ЖЕЛЕЗОБЕТОННЫХ ИЗДЕЛИЙ"</t>
  </si>
  <si>
    <t>0703005845</t>
  </si>
  <si>
    <t>КАБАРДИНО-БАЛКАРСКАЯ РЕСПУБЛИКА,Г МАЙСКИЙ,УЛ 9 МАЯ,7</t>
  </si>
  <si>
    <t>Кабардов Аслангери Михайлович</t>
  </si>
  <si>
    <t>56.32804,43.95631</t>
  </si>
  <si>
    <t>ОБЩЕСТВО С ОГРАНИЧЕННОЙ ОТВЕТСТВЕННОСТЬЮ "ЖБИ-7"</t>
  </si>
  <si>
    <t>"ЖБИ-7"</t>
  </si>
  <si>
    <t>5249139948</t>
  </si>
  <si>
    <t>606000, НИЖЕГОРОДСКАЯ ОБЛАСТЬ, ГОРОД ДЗЕРЖИНСК, ШОССЕ ВОСТОЧНОЕ, ДОМ 110</t>
  </si>
  <si>
    <t>Чернорусова Наталья Александровна</t>
  </si>
  <si>
    <t>+7 (831) 216-32-12', '+7 (831) 216-32-13', '+7 (831) 216-32-14', '+7 (831) 216-32-15', '+7 (953) 415-45-09'</t>
  </si>
  <si>
    <t>lesta92@mail.ru', 'buh_gbi@bk.ru'</t>
  </si>
  <si>
    <t>56.24545,43.967377</t>
  </si>
  <si>
    <t>ОТКРЫТОЕ АКЦИОНЕРНОЕ ОБЩЕСТВО "ТЕРЕХОВСКИЙ ЗАВОД БЕТОННЫХ ИЗДЕЛИЙ"</t>
  </si>
  <si>
    <t>ОТКРЫТОЕ "ТЕРЕХОВСКИЙ ЗАВОД БЕТОННЫХ ИЗДЕЛИЙ"</t>
  </si>
  <si>
    <t>2521000927</t>
  </si>
  <si>
    <t>http://terehovka.com</t>
  </si>
  <si>
    <t>ПРИМОРСКИЙ КРАЙ,НАДЕЖДИНСКИЙ Р-Н,С ТЕРЕХОВКА,СЕЛО ТЕРЕХОВКА</t>
  </si>
  <si>
    <t>Свищов Андрей Маркович</t>
  </si>
  <si>
    <t>+7 (423) 230-12-19'</t>
  </si>
  <si>
    <t>terehovka@mail.ru'</t>
  </si>
  <si>
    <t>53.177457,43.972057</t>
  </si>
  <si>
    <t>ОБЩЕСТВО С ОГРАНИЧЕННОЙ ОТВЕТСТВЕННОСТЬЮ "ИНТЕРТЕХ"</t>
  </si>
  <si>
    <t>"ИНТЕРТЕХ"</t>
  </si>
  <si>
    <t>2320058050</t>
  </si>
  <si>
    <t>КРАСНОДАРСКИЙ КРАЙ,Г СОЧИ,УЛ КРАСНОДОНСКАЯ, 40</t>
  </si>
  <si>
    <t>+7 (918) 205-84-19', '+7 (918) 104-13-94'</t>
  </si>
  <si>
    <t>56.327975,43.987239</t>
  </si>
  <si>
    <t>ОБЩЕСТВО С ОГРАНИЧЕННОЙ ОТВЕТСТВЕННОСТЬЮ "НАЛЬЧИКСКИЙ ЗАВОД СТРОИТЕЛЬНЫХ МАТЕРИАЛОВ"</t>
  </si>
  <si>
    <t>"НАЛЬЧИКСКИЙ ЗАВОД СТРОИТЕЛЬНЫХ МАТЕРИАЛОВ"</t>
  </si>
  <si>
    <t>0726003957</t>
  </si>
  <si>
    <t>Г НАЛЬЧИК,3-Й ПРОМЫШЛЕННЫЙ ПРОЕЗД,Б/Н</t>
  </si>
  <si>
    <t>Гемуев Калет Юсуфович</t>
  </si>
  <si>
    <t>NZSM@POCHTA.RU'</t>
  </si>
  <si>
    <t>56.314781,43.990149</t>
  </si>
  <si>
    <t>ОБЩЕСТВО С ОГРАНИЧЕННОЙ ОТВЕТСТВЕННОСТЬЮ "МОНОЛИТ-1"</t>
  </si>
  <si>
    <t>"МОНОЛИТ-1"</t>
  </si>
  <si>
    <t>0726015374</t>
  </si>
  <si>
    <t>360000, КАБАРДИНО-БАЛКАРСКАЯ РЕСПУБЛИКА, Г НАЛЬЧИК, УЛ 2-Я НАДРЕЧНАЯ, Д 122</t>
  </si>
  <si>
    <t>Дзамихов Рустам Муратович</t>
  </si>
  <si>
    <t>56.309129,44.003723</t>
  </si>
  <si>
    <t>ОБЩЕСТВО С ОГРАНИЧЕННОЙ ОТВЕТСТВЕННОСТЬЮ "ЧЕГЕМСКОЕ ДОРОЖНОЕ РЕМОНТНО-СТРОИТЕЛЬНОЕ УПРАВЛЕНИЕ "</t>
  </si>
  <si>
    <t>"ЧЕГЕМСКОЕ ДОРОЖНОЕ РЕМОНТНО-СТРОИТЕЛЬНОЕ УПРАВЛЕНИЕ "</t>
  </si>
  <si>
    <t>0708003601</t>
  </si>
  <si>
    <t>КАБАРДИНО-БАЛКАРСКАЯ РЕСПУБЛИКА,Г ЧЕГЕМ,УЛ НАБЕРЕЖНАЯ,10 А</t>
  </si>
  <si>
    <t>Архестов Владимир Сафарбиевич</t>
  </si>
  <si>
    <t>56.24464,44.005232</t>
  </si>
  <si>
    <t>ОБЩЕСТВО С ОГРАНИЧЕННОЙ ОТВЕТСТВЕННОСТЬЮ "ТЕРМОПЛАСТБЕТОН"</t>
  </si>
  <si>
    <t>"ТЕРМОПЛАСТБЕТОН"</t>
  </si>
  <si>
    <t>0721010340</t>
  </si>
  <si>
    <t>Г НАЛЬЧИК,6-Й ПРОМЫШЛЕННЫЙ ПРОЕЗД,Б/Н</t>
  </si>
  <si>
    <t>Карданов Тахир Мухамедович</t>
  </si>
  <si>
    <t>ОБЩЕСТВО С ОГРАНИЧЕННОЙ ОТВЕТСТВЕННОСТЬЮ "ПЛИТМАСТЕР"</t>
  </si>
  <si>
    <t>"ПЛИТМАСТЕР"</t>
  </si>
  <si>
    <t>0700003737</t>
  </si>
  <si>
    <t>369000, КАБАРДИНО-БАЛКАРСКАЯ РЕСПУБЛИКА, Г НАЛЬЧИК, ПРОЕЗД 8-Й ПРОМЫШЛЕННЫЙ, Д 1</t>
  </si>
  <si>
    <t>Каргинова Галина Евгеньевна</t>
  </si>
  <si>
    <t>56.326797,44.006516</t>
  </si>
  <si>
    <t>ОБЩЕСТВО С ОГРАНИЧЕННОЙ ОТВЕТСТВЕННОСТЬЮ "ГАРАНТ-СТРОЙ"</t>
  </si>
  <si>
    <t>"ГАРАНТ-СТРОЙ"</t>
  </si>
  <si>
    <t>0726023128</t>
  </si>
  <si>
    <t>360000, КАБАРДИНО-БАЛКАРСКАЯ РЕСПУБЛИКА, Г НАЛЬЧИК, ПРОЕЗД 8-Й ПРОМЫШЛЕННЫЙ, Б/Н, ОФИС 1</t>
  </si>
  <si>
    <t>Тхазаплижев Амир Хаутиевич</t>
  </si>
  <si>
    <t>k@rambler.ru'</t>
  </si>
  <si>
    <t>56.238607,44.006714</t>
  </si>
  <si>
    <t>ОБЩЕСТВО С ОГРАНИЧЕННОЙ ОТВЕТСТВЕННОСТЬЮ "ДРОБСТРОЙ-НН"</t>
  </si>
  <si>
    <t>"ДРОБСТРОЙ-НН"</t>
  </si>
  <si>
    <t>5249169124</t>
  </si>
  <si>
    <t>606042, НИЖЕГОРОДСКАЯ ОБЛАСТЬ, ГОРОД ДЗЕРЖИНСК, ПОСЕЛОК ГОРБАТОВКА, УЛИЦА ВЕСЕННЯЯ, ДОМ 60,..</t>
  </si>
  <si>
    <t>Долгополова Людмила Владимировна</t>
  </si>
  <si>
    <t>56.2452,44.007406</t>
  </si>
  <si>
    <t>ОБЩЕСТВО С ОГРАНИЧЕННОЙ ОТВЕТСТВЕННОСТЬЮ " МОНИТОР "</t>
  </si>
  <si>
    <t>" МОНИТОР "</t>
  </si>
  <si>
    <t>0704002766</t>
  </si>
  <si>
    <t>КАБАРДИНО-БАЛКАРСКАЯ РЕСПУБЛИКА,Г ПРОХЛАДНЫЙ,УЛ ОСТАПЕНКО,3</t>
  </si>
  <si>
    <t>Жамбеков Анзор Адамович</t>
  </si>
  <si>
    <t>56.325125,44.008286</t>
  </si>
  <si>
    <t>ОБЩЕСТВО С ОГРАНИЧЕННОЙ ОТВЕТСТВЕННОСТЬЮ "АГРОПРОМСТРОЙКОРПОРАЦИЯ"</t>
  </si>
  <si>
    <t>"АГРОПРОМСТРОЙКОРПОРАЦИЯ"</t>
  </si>
  <si>
    <t>2619010470</t>
  </si>
  <si>
    <t>СТАВРОПОЛЬСКИЙ КРАЙ,СОВЕТСКИЙ Р-Н,С СОЛДАТО-АЛЕКСАНДРОВСКОЕ,УЛ ЭЛЕВАТОРНАЯ, Д 1</t>
  </si>
  <si>
    <t>Савельев Виталий Васильевич</t>
  </si>
  <si>
    <t>56.304735,44.010649</t>
  </si>
  <si>
    <t>ОБЩЕСТВО С ОГРАНИЧЕННОЙ ОТВЕТСТВЕННОСТЬЮ "Солдато-Александровский Строительный Комбинат"</t>
  </si>
  <si>
    <t>"Солдато-Александровский Строительный Комбинат"</t>
  </si>
  <si>
    <t>2619800052</t>
  </si>
  <si>
    <t>357920, СТАВРОПОЛЬСКИЙ КРАЙ, СОВЕТСКИЙ Р-Н, С СОЛДАТО-АЛЕКСАНДРОВСКОЕ, УЛ ЭЛЕВАТОРНАЯ, Д 1</t>
  </si>
  <si>
    <t>Надуев Ахмед Лом-Алиевич</t>
  </si>
  <si>
    <t>43.766455,44.01267</t>
  </si>
  <si>
    <t>2511045647</t>
  </si>
  <si>
    <t>ПРИМОРСКИЙ КРАЙ,Г УССУРИЙСК,УЛ ШТАБСКОГО, 10</t>
  </si>
  <si>
    <t>Страшко Сергей Иванович</t>
  </si>
  <si>
    <t>56.309739,44.019874</t>
  </si>
  <si>
    <t>ОБЩЕСТВО С ОГРАНИЧЕННОЙ ОТВЕТСТВЕННОСТЬЮ "ЭКВАТОР"</t>
  </si>
  <si>
    <t>"ЭКВАТОР"</t>
  </si>
  <si>
    <t>5245026365</t>
  </si>
  <si>
    <t>607612, НИЖЕГОРОДСКАЯ ОБЛАСТЬ, РАЙОН БОГОРОДСКИЙ, СЕЛЬСКИЙ ПОСЕЛОК БУРЕВЕСТНИК, УЛИЦА ГАРАЖНАЯ, ДОМ 1</t>
  </si>
  <si>
    <t>Ященко Надежда Анатольевна</t>
  </si>
  <si>
    <t>+7 (910) 381-73-32'</t>
  </si>
  <si>
    <t>56.310687,44.032397</t>
  </si>
  <si>
    <t>ОБЩЕСТВО С ОГРАНИЧЕННОЙ ОТВЕТСТВЕННОСТЬЮ "ШТАЙН"</t>
  </si>
  <si>
    <t>"ШТАЙН"</t>
  </si>
  <si>
    <t>5206005315</t>
  </si>
  <si>
    <t>607221, НИЖЕГОРОДСКАЯ ОБЛАСТЬ, Г. АРЗАМАС, УЛ. СТАНЦИОННАЯ, Д. 47Б</t>
  </si>
  <si>
    <t>Дерксен Валерий Викторович</t>
  </si>
  <si>
    <t>+7 (920) 018-22-44'</t>
  </si>
  <si>
    <t>56.276374,44.035343</t>
  </si>
  <si>
    <t>ОБЩЕСТВО С ОГРАНИЧЕННОЙ ОТВЕТСТВЕННОСТЬЮ "НЗБК"</t>
  </si>
  <si>
    <t>"НЗБК"</t>
  </si>
  <si>
    <t>5256159310</t>
  </si>
  <si>
    <t>603069, НИЖЕГОРОДСКАЯ ОБЛАСТЬ, ГОРОД НИЖНИЙ НОВГОРОД, МОСТООТРЯД ПОСЕЛОК, ДОМ 26,..</t>
  </si>
  <si>
    <t>Сазонов Евгений Витальевич</t>
  </si>
  <si>
    <t>nzbk@list.ru', 'sazonov@mail.ru'</t>
  </si>
  <si>
    <t>43.754091,44.039</t>
  </si>
  <si>
    <t>ОБЩЕСТВО С ОГРАНИЧЕННОЙ ОТВЕТСТВЕННОСТЬЮ "Строй Дом Комплект"</t>
  </si>
  <si>
    <t>"Строй Дом Комплект"</t>
  </si>
  <si>
    <t>5256093878</t>
  </si>
  <si>
    <t>603069, НИЖЕГОРОДСКАЯ ОБЛАСТЬ, ГОРОД НИЖНИЙ НОВГОРОД, УЛИЦА ОРЕХОВСКАЯ, ДОМ 80, КАБИНЕТ 6 ЭТАЖ 3</t>
  </si>
  <si>
    <t>Утин Сергей Александрович</t>
  </si>
  <si>
    <t>+7 (831) 269-16-96', '+7 (831) 413-46-93', '+7 (831) 413-46-39'</t>
  </si>
  <si>
    <t>ОБЩЕСТВО С ОГРАНИЧЕННОЙ ОТВЕТСТВЕННОСТЬЮ "Сложные железобетонные конструкции"</t>
  </si>
  <si>
    <t>"Сложные железобетонные конструкции"</t>
  </si>
  <si>
    <t>5256097840</t>
  </si>
  <si>
    <t>603069, НИЖЕГОРОДСКАЯ ОБЛАСТЬ, Г. НИЖНИЙ НОВГОРОД, УЛ. ОРЕХОВСКАЯ, Д. 80, КАБИНЕТ 317</t>
  </si>
  <si>
    <t>Прошин Евгений Васильевич</t>
  </si>
  <si>
    <t>+7 (831) 269-21-10', '+7 (831) 269-15-70'</t>
  </si>
  <si>
    <t>ОБЩЕСТВО С ОГРАНИЧЕННОЙ ОТВЕТСТВЕННОСТЬЮ ПРОИЗВОДСТВЕННАЯ СТРОИТЕЛЬНАЯ КОМПАНИЯ "СТРОЙ ДОМ КОМПЛЕКТ"</t>
  </si>
  <si>
    <t>ПРОИЗВОДСТВЕННАЯ СТРОИТЕЛЬНАЯ КОМПАНИЯ "СТРОЙ ДОМ КОМПЛЕКТ"</t>
  </si>
  <si>
    <t>5256143600</t>
  </si>
  <si>
    <t>603069, НИЖЕГОРОДСКАЯ ОБЛАСТЬ, ГОРОД НИЖНИЙ НОВГОРОД, УЛИЦА ОРЕХОВСКАЯ, ДОМ 80, ОФИС 21</t>
  </si>
  <si>
    <t>Вилков Руслан Анатольевич</t>
  </si>
  <si>
    <t>+7 (920) 253-46-92'</t>
  </si>
  <si>
    <t>ОБЩЕСТВО С ОГРАНИЧЕННОЙ ОТВЕТСТВЕННОСТЬЮ "ПРОМСПЕЦБЕТОН"</t>
  </si>
  <si>
    <t>"ПРОМСПЕЦБЕТОН"</t>
  </si>
  <si>
    <t>5256181637</t>
  </si>
  <si>
    <t>603069, НИЖЕГОРОДСКАЯ ОБЛАСТЬ, ГОРОД НИЖНИЙ НОВГОРОД, УЛИЦА ОРЕХОВСКАЯ, ДОМ 80, КАБИНЕТ 304</t>
  </si>
  <si>
    <t>56.292543,44.040895</t>
  </si>
  <si>
    <t>ОБЩЕСТВО С ОГРАНИЧЕННОЙ ОТВЕТСТВЕННОСТЬЮ "ДИМАРТ"</t>
  </si>
  <si>
    <t>"ДИМАРТ"</t>
  </si>
  <si>
    <t>5243039601</t>
  </si>
  <si>
    <t>607232, НИЖЕГОРОДСКАЯ ОБЛАСТЬ, ГОРОД АРЗАМАС, УЛИЦА МОЛОКОЗАВОДСКАЯ, ДОМ 76А,..</t>
  </si>
  <si>
    <t>Молодкин Дмитрий Вадимович</t>
  </si>
  <si>
    <t>56.301773,44.046752</t>
  </si>
  <si>
    <t>ОБЩЕСТВО С ОГРАНИЧЕННОЙ ОТВЕТСТВЕННОСТЬЮ "ШАНС"</t>
  </si>
  <si>
    <t>"ШАНС"</t>
  </si>
  <si>
    <t>0901051667</t>
  </si>
  <si>
    <t>КАРАЧАЕВО-ЧЕРКЕССКАЯ РЕСПУБЛИКА,КАРАЧАЕВСКИЙ Р-Н,РП НОВЫЙ КАРАЧАЙ,УЛ ЛАЙПАНОВА, Д 15</t>
  </si>
  <si>
    <t>Коркмазов Магомет Ахматович</t>
  </si>
  <si>
    <t>+7 (928) 385-87-44', '+7 (928) 393-43-64', '+7 (928) 391-39-18'</t>
  </si>
  <si>
    <t>56.38299,44.04712</t>
  </si>
  <si>
    <t>5263141628</t>
  </si>
  <si>
    <t>603037, НИЖЕГОРОДСКАЯ ОБЛАСТЬ, ГОРОД НИЖНИЙ НОВГОРОД, УЛИЦА ФЕДОСЕЕНКО, ДОМ 44А, ОФИС 6</t>
  </si>
  <si>
    <t>Гарбуз Константин Константинович</t>
  </si>
  <si>
    <t>43.764229,44.048081</t>
  </si>
  <si>
    <t>ОБЩЕСТВО С ОГРАНИЧЕННОЙ ОТВЕТСТВЕННОСТЬЮ "ЗАВОД БЕТОННЫХ КОНСТРУКЦИЙ"</t>
  </si>
  <si>
    <t>"ЗАВОД БЕТОННЫХ КОНСТРУКЦИЙ"</t>
  </si>
  <si>
    <t>5257149770</t>
  </si>
  <si>
    <t>603124, НИЖЕГОРОДСКАЯ ОБЛАСТЬ, Г. НИЖНИЙ НОВГОРОД, Ш. МОСКОВСКОЕ, Д. 302/2, ПОМЕЩ. 8</t>
  </si>
  <si>
    <t>Мосунов Сергей Александрович</t>
  </si>
  <si>
    <t>+7 (987) 393-39-33'</t>
  </si>
  <si>
    <t>43.762178,44.049339</t>
  </si>
  <si>
    <t>ОБЩЕСТВО С ОГРАНИЧЕННОЙ ОТВЕТСТВЕННОСТЬЮ "АРТВЭЙ-СТРОЙ НН"</t>
  </si>
  <si>
    <t>"АРТВЭЙ-СТРОЙ НН"</t>
  </si>
  <si>
    <t>5259135621</t>
  </si>
  <si>
    <t>603148, НИЖЕГОРОДСКАЯ ОБЛАСТЬ, ГОРОД НИЖНИЙ НОВГОРОД, УЛИЦА ДЕПУТАТОВ, ДОМ 6</t>
  </si>
  <si>
    <t>Тулынкин Дмитрий Владимирович</t>
  </si>
  <si>
    <t>tdv2706@yandex.ru'</t>
  </si>
  <si>
    <t>56.280801,44.051172</t>
  </si>
  <si>
    <t>0716010225</t>
  </si>
  <si>
    <t>361023, КАБАРДИНО-БАЛКАРСКАЯ РЕСПУБЛИКА, ПРОХЛАДНЕНСКИЙ Р-Н, СТ-ЦА СОЛДАТСКАЯ, УЛ ШАХРАЙ, Д 4</t>
  </si>
  <si>
    <t>Хараев Анзор Хабидович</t>
  </si>
  <si>
    <t>+7 (928) 703-04-26', '+7 (928) 702-54-61'</t>
  </si>
  <si>
    <t>56.357739,44.058457</t>
  </si>
  <si>
    <t>ОБЩЕСТВО С ОГРАНИЧЕННОЙ ОТВЕТСТВЕННОСТЬЮ "ЭКОМИР НН"</t>
  </si>
  <si>
    <t>"ЭКОМИР НН"</t>
  </si>
  <si>
    <t>5256200632</t>
  </si>
  <si>
    <t>603142, Нижегородская область, ГОРОД НИЖНИЙ НОВГОРОД, Г НИЖНИЙ НОВГОРОД, УЛ МОНЧЕГОРСКАЯ, Д. 12, К. 4</t>
  </si>
  <si>
    <t>Андронов Евгений Владимирович</t>
  </si>
  <si>
    <t>56.297977,44.076262</t>
  </si>
  <si>
    <t>ОБЩЕСТВО С ОГРАНИЧЕННОЙ ОТВЕТСТВЕННОСТЬЮ "ЭКОМИР"</t>
  </si>
  <si>
    <t>"ЭКОМИР"</t>
  </si>
  <si>
    <t>5256182302</t>
  </si>
  <si>
    <t>603142, НИЖЕГОРОДСКАЯ ОБЛАСТЬ, ГОРОД НИЖНИЙ НОВГОРОД, УЛИЦА ДЕГТЯРЕВА, ДОМ 29, ОФИС 104</t>
  </si>
  <si>
    <t>info@gost52.ru'</t>
  </si>
  <si>
    <t>56.303352,44.076486</t>
  </si>
  <si>
    <t>5259148571</t>
  </si>
  <si>
    <t>603041, НИЖЕГОРОДСКАЯ ОБЛАСТЬ, Г. НИЖНИЙ НОВГОРОД, УЛ. ДЕГТЯРЕВА, Д. 29, ЭТ/ОФ 1/111</t>
  </si>
  <si>
    <t>Уколов Дмитрий Викторович</t>
  </si>
  <si>
    <t>48.676992,44.080906</t>
  </si>
  <si>
    <t>0517008863</t>
  </si>
  <si>
    <t>РЕСПУБЛИКА ДАГЕСТАН,Г КИЗЛЯР,КИЗЛЯРСКОЕ,УЛ ГРОЗНЕНСКАЯ Д 114"М"..</t>
  </si>
  <si>
    <t>Миразимов Ануар Мирхалиевич</t>
  </si>
  <si>
    <t>ОБЩЕСТВО С ОГРАНИЧЕННОЙ ОТВЕТСТВЕННОСТЬЮ "БЕТОН-ЦЕНТР НН"</t>
  </si>
  <si>
    <t>"БЕТОН-ЦЕНТР НН"</t>
  </si>
  <si>
    <t>5263133722</t>
  </si>
  <si>
    <t>603096, НИЖЕГОРОДСКАЯ ОБЛАСТЬ, ГОРОД НИЖНИЙ НОВГОРОД, УЛИЦА СТАНИСЛАВСКОГО, ДОМ 34,..</t>
  </si>
  <si>
    <t>Белов Павел Евгеньевич</t>
  </si>
  <si>
    <t>+7 (831) 213-63-68'</t>
  </si>
  <si>
    <t>56.36642,44.087266</t>
  </si>
  <si>
    <t>ОБЩЕСТВО С ОГРАНИЧЕННОЙ ОТВЕТСТВЕННОСТЬЮ "ДЕК-КАМ"</t>
  </si>
  <si>
    <t>"ДЕК-КАМ"</t>
  </si>
  <si>
    <t>5243029466</t>
  </si>
  <si>
    <t>607233, НИЖЕГОРОДСКАЯ ОБЛАСТЬ, Г. АРЗАМАС, МКР СОСНОВЫЙ, Д.34</t>
  </si>
  <si>
    <t>Сутырин Дмитрий Семенович</t>
  </si>
  <si>
    <t>56.293807,44.104837</t>
  </si>
  <si>
    <t>ОБЩЕСТВО С ОГРАНИЧЕННОЙ ОТВЕТСТВЕННОСТЬЮ "ПРОИЗВОДСТВЕННО-КОММЕРЧЕСКАЯ ФИРМА "ДЕК-КАМ"</t>
  </si>
  <si>
    <t>"ПРОИЗВОДСТВЕННО-КОММЕРЧЕСКАЯ ФИРМА "ДЕК-КАМ"</t>
  </si>
  <si>
    <t>5243035558</t>
  </si>
  <si>
    <t>http://dek-kamen.ru</t>
  </si>
  <si>
    <t>607220, Нижегородская область, г Арзамас, мкр Сосновый, ул Светлая, д 34</t>
  </si>
  <si>
    <t>56.296014,44.108888</t>
  </si>
  <si>
    <t>5256189442</t>
  </si>
  <si>
    <t>603101, НИЖЕГОРОДСКАЯ ОБЛАСТЬ, ГОРОД НИЖНИЙ НОВГОРОД, ПРОСПЕКТ ИЛЬИЧА, ДОМ 38,..</t>
  </si>
  <si>
    <t>Яшенькин Илья Викторович</t>
  </si>
  <si>
    <t>56.2899,44.115428</t>
  </si>
  <si>
    <t>ОБЩЕСТВО С ОГРАНИЧЕННОЙ ОТВЕТСТВЕННОСТЬЮ "КЕРТ"</t>
  </si>
  <si>
    <t>"КЕРТ"</t>
  </si>
  <si>
    <t>0724003119</t>
  </si>
  <si>
    <t>361304, КАБАРДИНО-БАЛКАРСКАЯ РЕСПУБЛИКА, РАЙОН УРВАНСКИЙ, СЕЛО КАХУН, УЛИЦА РУСЛАНА КЕРТИЕВА, ДОМ 1</t>
  </si>
  <si>
    <t>Кертиев Сражудин Замудинович</t>
  </si>
  <si>
    <t>+7 (928) 719-87-73'</t>
  </si>
  <si>
    <t>kbntp@mail.ru'</t>
  </si>
  <si>
    <t>56.212414,44.136233</t>
  </si>
  <si>
    <t>ОБЩЕСТВО С ОГРАНИЧЕННОЙ ОТВЕТСТВЕННОСТЬЮ "ГРАНД-БЕТОН"</t>
  </si>
  <si>
    <t>"ГРАНД-БЕТОН"</t>
  </si>
  <si>
    <t>5258148402</t>
  </si>
  <si>
    <t>603095, НИЖЕГОРОДСКАЯ ОБЛАСТЬ, ГОРОД НИЖНИЙ НОВГОРОД, УЛИЦА ШУВАЛОВСКИЙ КАНАЛ, ДОМ 11, ОФИС 1</t>
  </si>
  <si>
    <t>Давтян Давид Эмильевич</t>
  </si>
  <si>
    <t>56.120834,44.139602</t>
  </si>
  <si>
    <t>ОБЩЕСТВО С ОГРАНИЧЕННОЙ ОТВЕТСТВЕННОСТЬЮ "ДЕКОРАТИВНЫЙ КАМЕНЬ"</t>
  </si>
  <si>
    <t>"ДЕКОРАТИВНЫЙ КАМЕНЬ"</t>
  </si>
  <si>
    <t>5243034868</t>
  </si>
  <si>
    <t>607224, НИЖЕГОРОДСКАЯ ОБЛАСТЬ, ГОРОД АРЗАМАС, УЛИЦА МИРА, ДОМ 21, КОРПУС 3,..</t>
  </si>
  <si>
    <t>Сутырина Татьяна Петровна</t>
  </si>
  <si>
    <t>43.490648,44.142575</t>
  </si>
  <si>
    <t>ОБЩЕСТВО С ОГРАНИЧЕННОЙ ОТВЕТСТВЕННОСТЬЮ "ТЕПЛОХАУС"</t>
  </si>
  <si>
    <t>"ТЕПЛОХАУС"</t>
  </si>
  <si>
    <t>5256163821</t>
  </si>
  <si>
    <t>603138, НИЖЕГОРОДСКАЯ ОБЛАСТЬ, ГОРОД НИЖНИЙ НОВГОРОД, УЛИЦА КРАСНОДОНЦЕВ, ДОМ 21, КОРПУС 3,..</t>
  </si>
  <si>
    <t>Марков Александр Юрьевич</t>
  </si>
  <si>
    <t>+7 (904) 900-09-44'</t>
  </si>
  <si>
    <t>56.147566,44.183278</t>
  </si>
  <si>
    <t>5259134201</t>
  </si>
  <si>
    <t>603035, НИЖЕГОРОДСКАЯ ОБЛАСТЬ, ГОРОД НИЖНИЙ НОВГОРОД, УЛИЦА ЯРОШЕНКО, ДОМ 17,..</t>
  </si>
  <si>
    <t>Ширяев Александр Александрович</t>
  </si>
  <si>
    <t>+7 (908) 158-32-85'</t>
  </si>
  <si>
    <t>43.036927,44.200014</t>
  </si>
  <si>
    <t>ОБЩЕСТВО С ОГРАНИЧЕННОЙ ОТВЕТСТВЕННОСТЬЮ "СТРОИТЕЛЬНАЯ ПРОИЗВОДСТВЕННАЯ КОМПАНИЯ"</t>
  </si>
  <si>
    <t>"СТРОИТЕЛЬНАЯ ПРОИЗВОДСТВЕННАЯ КОМПАНИЯ"</t>
  </si>
  <si>
    <t>5263146714</t>
  </si>
  <si>
    <t>603040, НИЖЕГОРОДСКАЯ ОБЛ., Г. Нижний Новгород, УЛ. НОГИНА, Д. 4,..</t>
  </si>
  <si>
    <t>Тихонов Игорь Александрович</t>
  </si>
  <si>
    <t>46.316458,44.215168</t>
  </si>
  <si>
    <t>ОБЩЕСТВО С ОГРАНИЧЕННОЙ ОТВЕТСТВЕННОСТЬЮ "КОЛЬЦ-МАН"</t>
  </si>
  <si>
    <t>"КОЛЬЦ-МАН"</t>
  </si>
  <si>
    <t>1839006301</t>
  </si>
  <si>
    <t>УДМУРТСКАЯ РЕСПУБЛИКА,PП УВА,УЛ КАЛИНИНА,19</t>
  </si>
  <si>
    <t>Дьяконов Алексей Сергеевич</t>
  </si>
  <si>
    <t>+7 (922) 505-81-68'</t>
  </si>
  <si>
    <t>43.048141,44.228535</t>
  </si>
  <si>
    <t>ОБЩЕСТВО С ОГРАНИЧЕННОЙ ОТВЕТСТВЕННОСТЬЮ "ЛогистикГрупп"</t>
  </si>
  <si>
    <t>"ЛогистикГрупп"</t>
  </si>
  <si>
    <t>5256108980</t>
  </si>
  <si>
    <t>603123, НИЖЕГОРОДСКАЯ ОБЛАСТЬ, ГОРОД НИЖНИЙ НОВГОРОД, ШОССЕ ЮЖНОЕ, ДОМ 16"В", ОФИС 114</t>
  </si>
  <si>
    <t>Савин Никита Максимович</t>
  </si>
  <si>
    <t>+7 (920) 253-06-77'</t>
  </si>
  <si>
    <t>46.307438,44.235668</t>
  </si>
  <si>
    <t>ОБЩЕСТВО С ОГРАНИЧЕННОЙ ОТВЕТСТВЕННОСТЬЮ "ТОРГОВО-ПРОИЗВОДСТВЕННАЯ КОМПАНИЯ "БЕТОНИТ"</t>
  </si>
  <si>
    <t>"ТОРГОВО-ПРОИЗВОДСТВЕННАЯ КОМПАНИЯ "БЕТОНИТ"</t>
  </si>
  <si>
    <t>5256123699</t>
  </si>
  <si>
    <t>603016, НИЖЕГОРОДСКАЯ ОБЛАСТЬ, ГОРОД НИЖНИЙ НОВГОРОД, УЛИЦА МОНАСТЫРКА, ДОМ 20, СТРОЕНИЕ ЗВД, ОФИС 15</t>
  </si>
  <si>
    <t>Корнилов Алексей Александрович</t>
  </si>
  <si>
    <t>+7 (902) 301-50-18'</t>
  </si>
  <si>
    <t>zao_si@mail.ru'</t>
  </si>
  <si>
    <t>46.314049,44.236171</t>
  </si>
  <si>
    <t>ОБЩЕСТВО С ОГРАНИЧЕННОЙ ОТВЕТСТВЕННОСТЬЮ "ОНБЕТОН"</t>
  </si>
  <si>
    <t>"ОНБЕТОН"</t>
  </si>
  <si>
    <t>5256196464</t>
  </si>
  <si>
    <t>603065, НИЖЕГОРОДСКАЯ ОБЛ., Г. Нижний Новгород, УЛ. БУРДЕНКО, Д. 16,..</t>
  </si>
  <si>
    <t>Гороховский Семен Львович</t>
  </si>
  <si>
    <t>SEMENDRUG@MAIL.RU'</t>
  </si>
  <si>
    <t>46.353922,44.252969</t>
  </si>
  <si>
    <t>ОБЩЕСТВО С ОГРАНИЧЕННОЙ ОТВЕТСТВЕННОСТЬЮ "ОНБЕТОН НН"</t>
  </si>
  <si>
    <t>"ОНБЕТОН НН"</t>
  </si>
  <si>
    <t>5256197700</t>
  </si>
  <si>
    <t>INFO@ONBETON52.RU'</t>
  </si>
  <si>
    <t>46.316806,44.256967</t>
  </si>
  <si>
    <t>ОБЩЕСТВО С ОГРАНИЧЕННОЙ ОТВЕТСТВЕННОСТЬЮ " АРМОКАМЕНЬ"</t>
  </si>
  <si>
    <t>" АРМОКАМЕНЬ"</t>
  </si>
  <si>
    <t>5263135720</t>
  </si>
  <si>
    <t>603003, НИЖЕГОРОДСКАЯ ОБЛАСТЬ, ГОРОД НИЖНИЙ НОВГОРОД, УЛИЦА ЩЕРБАКОВА, ДОМ 45, ПОМЕЩЕНИЕ 24</t>
  </si>
  <si>
    <t>Соболев Александр Сергеевич</t>
  </si>
  <si>
    <t>+7 (910) 135-57-77', '+7 (831) 213-51-11'</t>
  </si>
  <si>
    <t>46.296343,44.257721</t>
  </si>
  <si>
    <t>ОБЩЕСТВО С ОГРАНИЧЕННОЙ ОТВЕТСТВЕННОСТЬЮ "БЕРЕЗОВСКИЙ БЕТОННЫЙ ЗАВОД"</t>
  </si>
  <si>
    <t>"БЕРЕЗОВСКИЙ БЕТОННЫЙ ЗАВОД"</t>
  </si>
  <si>
    <t>5259153638</t>
  </si>
  <si>
    <t>603079, Нижегородская область, городской округ ГОРОД НИЖНИЙ НОВГОРОД, Город НИЖНИЙ НОВГОРОД, Ш МОСКОВСКОЕ, Д. 167, К. 3,..</t>
  </si>
  <si>
    <t>Умаров Мурад Халидинович</t>
  </si>
  <si>
    <t>46.360253,44.259473</t>
  </si>
  <si>
    <t>ОБЩЕСТВО С ОГРАНИЧЕННОЙ ОТВЕТСТВЕННОСТЬЮ "ТЕРХОМЕТ"</t>
  </si>
  <si>
    <t>"ТЕРХОМЕТ"</t>
  </si>
  <si>
    <t>2619007799</t>
  </si>
  <si>
    <t>СТАВРОПОЛЬСКИЙ КРАЙ,Г ЗЕЛЕНОКУМСК,УЛ ЗАВОДСКАЯ, Д 2</t>
  </si>
  <si>
    <t>Колесников Артур Александрович</t>
  </si>
  <si>
    <t>46.368574,44.259832</t>
  </si>
  <si>
    <t>ОБЩЕСТВО С ОГРАНИЧЕННОЙ ОТВЕТСТВЕННОСТЬЮ "МИКСПРОМ"</t>
  </si>
  <si>
    <t>"МИКСПРОМ"</t>
  </si>
  <si>
    <t>5256159053</t>
  </si>
  <si>
    <t>603053, НИЖЕГОРОДСКАЯ ОБЛАСТЬ, Г. НИЖНИЙ НОВГОРОД, ПР-КТ БУСЫГИНА, Д. 2А, ОФИС 305</t>
  </si>
  <si>
    <t>Елагин Олег Валерьевич</t>
  </si>
  <si>
    <t>+7 (920) 298-78-03'</t>
  </si>
  <si>
    <t>46.416261,44.261584</t>
  </si>
  <si>
    <t>ОБЩЕСТВО С ОГРАНИЧЕННОЙ ОТВЕТСТВЕННОСТЬЮ "КОВЫЛКИНСКИЙ ЗАВОД СТРОИТЕЛЬНЫХ МАТЕРИАЛОВ"</t>
  </si>
  <si>
    <t>"КОВЫЛКИНСКИЙ ЗАВОД СТРОИТЕЛЬНЫХ МАТЕРИАЛОВ"</t>
  </si>
  <si>
    <t>1323000602</t>
  </si>
  <si>
    <t>13-Республика Мордовия</t>
  </si>
  <si>
    <t>431308, МОРДОВИЯ РЕСПУБЛИКА, Р-Н КОВЫЛКИНСКИЙ, П СИЛИКАТНЫЙ, УЛ. ЗАВОДСКАЯ, Д. 14, ПОМЕЩ. 1</t>
  </si>
  <si>
    <t>Зуйков Владимир Александрович</t>
  </si>
  <si>
    <t>+7 (960) 331-99-99', '+7 (905) 378-66-99'</t>
  </si>
  <si>
    <t>46.309922,44.2625</t>
  </si>
  <si>
    <t>ОБЩЕСТВО С ОГРАНИЧЕННОЙ ОТВЕТСТВЕННОСТЬЮ "ОБЪЕДИНЕННЫЕ ЗАВОДЫ СТРОИТЕЛЬНЫХ КОНСТРУКЦИЙ"</t>
  </si>
  <si>
    <t>"ОБЪЕДИНЕННЫЕ ЗАВОДЫ СТРОИТЕЛЬНЫХ КОНСТРУКЦИЙ"</t>
  </si>
  <si>
    <t>5256137275</t>
  </si>
  <si>
    <t>603016, НИЖЕГОРОДСКАЯ ОБЛАСТЬ, Г. НИЖНИЙ НОВГОРОД, УЛ. МОНАСТЫРКА, Д. 1</t>
  </si>
  <si>
    <t>Вишняков Владимир Иванович</t>
  </si>
  <si>
    <t>+7 (831) 257-77-59', '+7 (920) 111-79-22', '+7 (831) 258-52-33'</t>
  </si>
  <si>
    <t>43.178576,44.277314</t>
  </si>
  <si>
    <t>ОБЩЕСТВО С ОГРАНИЧЕННОЙ ОТВЕТСТВЕННОСТЬЮ "АСР ВОЛГА"</t>
  </si>
  <si>
    <t>"АСР ВОЛГА"</t>
  </si>
  <si>
    <t>5257199210</t>
  </si>
  <si>
    <t>603074, Нижегородская область, городской округ ГОРОД НИЖНИЙ НОВГОРОД, Город НИЖНИЙ НОВГОРОД, УЛ БУРНАКОВСКАЯ, Д. 12, ОФИС 11</t>
  </si>
  <si>
    <t>43.172185,44.295576</t>
  </si>
  <si>
    <t>ОБЩЕСТВО С ОГРАНИЧЕННОЙ ОТВЕТСТВЕННОСТЬЮ "РУСАЛТРОТУАР"</t>
  </si>
  <si>
    <t>"РУСАЛТРОТУАР"</t>
  </si>
  <si>
    <t>5258141502</t>
  </si>
  <si>
    <t>603073, НИЖЕГОРОДСКАЯ ОБЛАСТЬ, ГОРОД НИЖНИЙ НОВГОРОД, УЛИЦА ДИЗЕЛЕСТРОИТЕЛЬНАЯ, ДОМ 35</t>
  </si>
  <si>
    <t>Гаспарян Гамлет Юрикович</t>
  </si>
  <si>
    <t>+7 (920) 022-00-88'</t>
  </si>
  <si>
    <t>48.67914,44.345918</t>
  </si>
  <si>
    <t>ОБЩЕСТВО С ОГРАНИЧЕННОЙ ОТВЕТСТВЕННОСТЬЮ "БЗДСМ-НН"</t>
  </si>
  <si>
    <t>"БЗДСМ-НН"</t>
  </si>
  <si>
    <t>5258116418</t>
  </si>
  <si>
    <t>603058, НИЖЕГОРОДСКАЯ ОБЛАСТЬ, Г. НИЖНИЙ НОВГОРОД, ПЕР. ГРЕКОВА, Д.2, ПОМЕЩЕНИЕ П 5</t>
  </si>
  <si>
    <t>Бичин Олег Константинович</t>
  </si>
  <si>
    <t>+7 (951) 903-09-02', '+7 (831) 230-11-41'</t>
  </si>
  <si>
    <t>bzdsm@mail.ru'</t>
  </si>
  <si>
    <t>ОБЩЕСТВО С ОГРАНИЧЕННОЙ ОТВЕТСТВЕННОСТЬЮ "ПРИЗМА-СНАБ"</t>
  </si>
  <si>
    <t>"ПРИЗМА-СНАБ"</t>
  </si>
  <si>
    <t>5257202696</t>
  </si>
  <si>
    <t>603070, НИЖЕГОРОДСКАЯ ОБЛ., Г. Нижний Новгород, УЛ. СЕРГЕЯ ЕСЕНИНА, Д. 42,..</t>
  </si>
  <si>
    <t>Исхаков Руслан Халитович</t>
  </si>
  <si>
    <t>NYMIR525@GMAIL.COM'</t>
  </si>
  <si>
    <t>48.769788,44.4118</t>
  </si>
  <si>
    <t>ОБЩЕСТВО С ОГРАНИЧЕННОЙ ОТВЕТСТВЕННОСТЬЮ "БЛОКСТОМ"</t>
  </si>
  <si>
    <t>"БЛОКСТОМ"</t>
  </si>
  <si>
    <t>5257206813</t>
  </si>
  <si>
    <t>603159, Нижегородская область, городской округ ГОРОД НИЖНИЙ НОВГОРОД, Город НИЖНИЙ НОВГОРОД, УЛ КАРЛА МАРКСА, Д. 24,..</t>
  </si>
  <si>
    <t>Джиоев Роман Робертович</t>
  </si>
  <si>
    <t>48.617365,44.416112</t>
  </si>
  <si>
    <t>АКЦИОНЕРНОЕ ОБЩЕСТВО "ЗАВОД ЖЕЛЕЗОБЕТОННЫХ КОНСТРУКЦИЙ"</t>
  </si>
  <si>
    <t>"ЗАВОД ЖЕЛЕЗОБЕТОННЫХ КОНСТРУКЦИЙ"</t>
  </si>
  <si>
    <t>5243000643</t>
  </si>
  <si>
    <t>НИЖЕГОРОДСКАЯ ОБЛ.,АРЗАМАССКИЙ Р-Н,С МОРОЗОВКА,ЮГО-ЗАПАДНЕЕ С МОРОЗОВКА ПРОМЗОНА ТЕР</t>
  </si>
  <si>
    <t>Рыбин Андрей Михайлович</t>
  </si>
  <si>
    <t>TDGBK@MTS-NN', 'oaogbk@yandex.ru', 'PEO@yandex.ru'</t>
  </si>
  <si>
    <t>48.676802,44.431375</t>
  </si>
  <si>
    <t>Общество с ограниченной ответственностью ПК "ЛОБАС"</t>
  </si>
  <si>
    <t>ПК "ЛОБАС"</t>
  </si>
  <si>
    <t>5256119220</t>
  </si>
  <si>
    <t>603132, НИЖЕГОРОДСКАЯ ОБЛ., Г. Нижний Новгород, УЛ. ГОЛУБЕВА, Д. 3, К. 2,..</t>
  </si>
  <si>
    <t>Лукьянов Олег Александрович</t>
  </si>
  <si>
    <t>+7 (950) 616-84-14'</t>
  </si>
  <si>
    <t>48.562837,44.450446</t>
  </si>
  <si>
    <t>ОБЩЕСТВО С ОГРАНИЧЕННОЙ ОТВЕТСТВЕННОСТЬЮ "ГРУППА КОМПАНИЙ НОВЫЙ НИЖНИЙ"</t>
  </si>
  <si>
    <t>"ГРУППА КОМПАНИЙ НОВЫЙ НИЖНИЙ"</t>
  </si>
  <si>
    <t>5257196019</t>
  </si>
  <si>
    <t>603086, НИЖЕГОРОДСКАЯ ОБЛАСТЬ, ГОРОД НИЖНИЙ НОВГОРОД, БУЛЬВАР МИРА, ДОМ 10, ПОМЕЩЕНИЕ 5</t>
  </si>
  <si>
    <t>Серебренникова Екатерина Александровна</t>
  </si>
  <si>
    <t>48.683928,44.453446</t>
  </si>
  <si>
    <t>ОБЩЕСТВО С ОГРАНИЧЕННОЙ ОТВЕТСТВЕННОСТЬЮ "ЛОБАС-НН"</t>
  </si>
  <si>
    <t>"ЛОБАС-НН"</t>
  </si>
  <si>
    <t>5258127473</t>
  </si>
  <si>
    <t>603132, НИЖЕГОРОДСКАЯ ОБЛАСТЬ, ГОРОД НИЖНИЙ НОВГОРОД, УЛИЦА ПРАВДИНСКАЯ, ДОМ 16</t>
  </si>
  <si>
    <t>+7 (950) 616-84-14', '+7 (831) 260-10-11'</t>
  </si>
  <si>
    <t>48.557775,44.461854</t>
  </si>
  <si>
    <t>ОБЩЕСТВО С ОГРАНИЧЕННОЙ ОТВЕТСТВЕННОСТЬЮ "СТЕЙНБАУ"</t>
  </si>
  <si>
    <t>"СТЕЙНБАУ"</t>
  </si>
  <si>
    <t>5257026056</t>
  </si>
  <si>
    <t>603086, НИЖЕГОРОДСКАЯ ОБЛАСТЬ, ГОРОД НИЖНИЙ НОВГОРОД, БУЛЬВАР МИРА, ДОМ 7, ПОМЕЩЕНИЕ 26</t>
  </si>
  <si>
    <t>Потебня Максим Алексеевич</t>
  </si>
  <si>
    <t>+7 (906) 367-09-19'</t>
  </si>
  <si>
    <t>48.771284,44.469275</t>
  </si>
  <si>
    <t>ОБЩЕСТВО С ОГРАНИЧЕННОЙ ОТВЕТСТВЕННОСТЬЮ "КМ ПРЕКАСТЪ"</t>
  </si>
  <si>
    <t>"КМ ПРЕКАСТЪ"</t>
  </si>
  <si>
    <t>5261112300</t>
  </si>
  <si>
    <t>603009, НИЖЕГОРОДСКАЯ ОБЛАСТЬ, ГОРОД НИЖНИЙ НОВГОРОД, ПРОСПЕКТ ГАГАРИНА, ДОМ 178, КОРПУС КВЦ, ПОМЕЩЕНИЕ 51</t>
  </si>
  <si>
    <t>Байбеков Довлетбий Хасанович</t>
  </si>
  <si>
    <t>+7 (831) 223-39-99', '+7 (831) 223-40-00'</t>
  </si>
  <si>
    <t>Производственный кооператив "Базис"</t>
  </si>
  <si>
    <t>5802009536</t>
  </si>
  <si>
    <t>58-Пензенская область</t>
  </si>
  <si>
    <t>442240, ПЕНЗЕНСКАЯ ОБЛАСТЬ, РАЙОН КАМЕНСКИЙ, ГОРОД КАМЕНКА, ШОССЕ БЕЛИНСКОЕ, 14</t>
  </si>
  <si>
    <t>Шереметьев Максим Михайлович</t>
  </si>
  <si>
    <t>+7 (927) 380-88-83'</t>
  </si>
  <si>
    <t>48.807053,44.475293</t>
  </si>
  <si>
    <t>ОБЩЕСТВО С ОГРАНИЧЕННОЙ ОТВЕТСТВЕННОСТЬЮ "ИНВЕСТКОМ"</t>
  </si>
  <si>
    <t>"ИНВЕСТКОМ"</t>
  </si>
  <si>
    <t>5260365274</t>
  </si>
  <si>
    <t>603001, Нижегородская область, г Нижний Новгород, Нижегородский, ул Рождественская, д 26/1-3, офис 2</t>
  </si>
  <si>
    <t>Волков Дмитрий Васильевич</t>
  </si>
  <si>
    <t>+7 (831) 430-04-13'</t>
  </si>
  <si>
    <t>48.803784,44.477135</t>
  </si>
  <si>
    <t>ОБЩЕСТВО С ОГРАНИЧЕННОЙ ОТВЕТСТВЕННОСТЬЮ ПРОИЗВОДСТВЕННАЯ КОМПАНИЯ "СВС"</t>
  </si>
  <si>
    <t>ПРОИЗВОДСТВЕННАЯ КОМПАНИЯ "СВС"</t>
  </si>
  <si>
    <t>5260192286</t>
  </si>
  <si>
    <t>http://boravtobeton.ru</t>
  </si>
  <si>
    <t>Г НИЖНИЙ НОВГОРОД,УЛ МАСЛЯКОВА Д 4/2</t>
  </si>
  <si>
    <t>Сысорин Алексей Викторович</t>
  </si>
  <si>
    <t>48.703238,44.483971</t>
  </si>
  <si>
    <t>ОБЩЕСТВО С ОГРАНИЧЕННОЙ ОТВЕТСТВЕННОСТЬЮ "ЛОБАС"</t>
  </si>
  <si>
    <t>"ЛОБАС"</t>
  </si>
  <si>
    <t>5262362399</t>
  </si>
  <si>
    <t>603105, НИЖЕГОРОДСКАЯ ОБЛАСТЬ, ГОРОД НИЖНИЙ НОВГОРОД, УЛИЦА ТИМИРЯЗЕВА, ДОМ 41,..</t>
  </si>
  <si>
    <t>Лукьянов Александр Александрович</t>
  </si>
  <si>
    <t>48.705188,44.484932</t>
  </si>
  <si>
    <t>ОБЩЕСТВО С ОГРАНИЧЕННОЙ ОТВЕТСТВЕННОСТЬЮ "ФИГУРНЫЕ ЭЛЕМЕНТЫ МОЩЕНИЯ"</t>
  </si>
  <si>
    <t>"ФИГУРНЫЕ ЭЛЕМЕНТЫ МОЩЕНИЯ"</t>
  </si>
  <si>
    <t>5261039121</t>
  </si>
  <si>
    <t>603141, НИЖЕГОРОДСКАЯ ОБЛАСТЬ, Г. НИЖНИЙ НОВГОРОД, П ЧЕРЕПИЧНЫЙ, Д. 14, ОФИС 208</t>
  </si>
  <si>
    <t>Пирютко Надежда Авдеевна</t>
  </si>
  <si>
    <t>+7 (831) 466-23-88', '+7 (831) 466-47-70'</t>
  </si>
  <si>
    <t>48.787201,44.490726</t>
  </si>
  <si>
    <t>ОБЩЕСТВО С ОГРАНИЧЕННОЙ ОТВЕТСТВЕННОСТЬЮ "Фигурные Элементы Мощения НН"</t>
  </si>
  <si>
    <t>"Фигурные Элементы Мощения НН"</t>
  </si>
  <si>
    <t>5261068690</t>
  </si>
  <si>
    <t>+7 (831) 466-23-88'</t>
  </si>
  <si>
    <t>48.786738,44.49184</t>
  </si>
  <si>
    <t>ОБЩЕСТВО С ОГРАНИЧЕННОЙ ОТВЕТСТВЕННОСТЬЮ "ДСК152"</t>
  </si>
  <si>
    <t>"ДСК152"</t>
  </si>
  <si>
    <t>5257199595</t>
  </si>
  <si>
    <t>603010, НИЖЕГОРОДСКАЯ ОБЛАСТЬ, ГОРОД НИЖНИЙ НОВГОРОД, ПЕРЕУЛОК КОСТРОМСКОЙ, ДОМ 1, ПОМЕЩЕНИЕ П13 ОФИС №2</t>
  </si>
  <si>
    <t>Шахбазян Сергей Камоевич</t>
  </si>
  <si>
    <t>ОБЩЕСТВО С ОГРАНИЧЕННОЙ ОТВЕТСТВЕННОСТЬЮ "МИР ЖЕЛЕЗОБЕТОНА"</t>
  </si>
  <si>
    <t>"МИР ЖЕЛЕЗОБЕТОНА"</t>
  </si>
  <si>
    <t>5261124881</t>
  </si>
  <si>
    <t>603152, НИЖЕГОРОДСКАЯ ОБЛАСТЬ, ГОРОД НИЖНИЙ НОВГОРОД, УЛИЦА ЛАРИНА, ДОМ 26, ПОМЕЩЕНИЕ 12</t>
  </si>
  <si>
    <t>Карпов Александр Николаевич</t>
  </si>
  <si>
    <t>48.769076,44.49228</t>
  </si>
  <si>
    <t>ОБЩЕСТВО С ОГРАНИЧЕННОЙ ОТВЕТСТВЕННОСТЬЮ "ТОРГМАКСИ НН"</t>
  </si>
  <si>
    <t>"ТОРГМАКСИ НН"</t>
  </si>
  <si>
    <t>5263114825</t>
  </si>
  <si>
    <t>603141, НИЖЕГОРОДСКАЯ ОБЛАСТЬ, ГОРОД НИЖНИЙ НОВГОРОД, ПОСЕЛОК ЧЕРЕПИЧНЫЙ, ДОМ 14 В, ОФИС 220</t>
  </si>
  <si>
    <t>Гордеев Алексей Владимирович</t>
  </si>
  <si>
    <t>+7 (908) 155-97-22'</t>
  </si>
  <si>
    <t>48.748383,44.500572</t>
  </si>
  <si>
    <t>ОБЩЕСТВО С ОГРАНИЧЕННОЙ ОТВЕТСТВЕННОСТЬЮ "ПРОИЗВОДСТВЕННАЯ КОМПАНИЯ "БЕТОН"</t>
  </si>
  <si>
    <t>"ПРОИЗВОДСТВЕННАЯ КОМПАНИЯ "БЕТОН"</t>
  </si>
  <si>
    <t>5249151695</t>
  </si>
  <si>
    <t>603000, Нижегородская область, городской округ ГОРОД НИЖНИЙ НОВГОРОД, Город НИЖНИЙ НОВГОРОД, УЛ ВАРВАРСКАЯ, Д. 6,..</t>
  </si>
  <si>
    <t>Стариков Андрей Геннадьевич</t>
  </si>
  <si>
    <t>+7 (905) 669-03-71'</t>
  </si>
  <si>
    <t>48.778754,44.503276</t>
  </si>
  <si>
    <t>ОБЩЕСТВО С ОГРАНИЧЕННОЙ ОТВЕТСТВЕННОСТЬЮ "Строительные ресурсы"</t>
  </si>
  <si>
    <t>"Строительные ресурсы"</t>
  </si>
  <si>
    <t>5262256055</t>
  </si>
  <si>
    <t>603105, НИЖЕГОРОДСКАЯ ОБЛАСТЬ, Г. НИЖНИЙ НОВГОРОД, УЛ. ЧАЧИНОЙ, Д.39А, ПОМЕЩЕНИЕ 25</t>
  </si>
  <si>
    <t>Тюрьмина Марина Ивановна</t>
  </si>
  <si>
    <t>48.765596,44.506564</t>
  </si>
  <si>
    <t>ОБЩЕСТВО С ОГРАНИЧЕННОЙ ОТВЕТСТВЕННОСТЬЮ "КАББАЛКЭНЕРГОРЕСУРС"</t>
  </si>
  <si>
    <t>"КАББАЛКЭНЕРГОРЕСУРС"</t>
  </si>
  <si>
    <t>0725022731</t>
  </si>
  <si>
    <t>361048, КАБАРДИНО-БАЛКАРСКАЯ РЕСПУБЛИКА, ГОРОД ПРОХЛАДНЫЙ, УЛИЦА БОРОНТОВА, ДОМ 315</t>
  </si>
  <si>
    <t>Тё Эдуард Алексеевич</t>
  </si>
  <si>
    <t>9283602664@mail.ru'</t>
  </si>
  <si>
    <t>43.464311,44.540484</t>
  </si>
  <si>
    <t>ОБЩЕСТВО С ОГРАНИЧЕННОЙ ОТВЕТСТВЕННОСТЬЮ ГРУППА КОМПАНИЙ "НОВТЕХНОСТРОЙ"</t>
  </si>
  <si>
    <t>ГРУППА КОМПАНИЙ "НОВТЕХНОСТРОЙ"</t>
  </si>
  <si>
    <t>5262328239</t>
  </si>
  <si>
    <t>603105, НИЖЕГОРОДСКАЯ ОБЛАСТЬ, ГОРОД НИЖНИЙ НОВГОРОД, УЛИЦА ОШАРСКАЯ, ДОМ 88, КОРПУС 1,..</t>
  </si>
  <si>
    <t>Шашкин Владимир Сергеевич</t>
  </si>
  <si>
    <t>+7 (920) 016-77-61'</t>
  </si>
  <si>
    <t>43.190783,44.541607</t>
  </si>
  <si>
    <t>ОБЩЕСТВО С ОГРАНИЧЕННОЙ ОТВЕТСТВЕННОСТЬЮ "НОВЫЙ ГОРОД"</t>
  </si>
  <si>
    <t>"НОВЫЙ ГОРОД"</t>
  </si>
  <si>
    <t>5262351703</t>
  </si>
  <si>
    <t>603089, НИЖЕГОРОДСКАЯ ОБЛАСТЬ, ГОРОД НИЖНИЙ НОВГОРОД, УЛИЦА БОРИСА ПАНИНА, ДОМ 15,..</t>
  </si>
  <si>
    <t>Калюжная Мария Ивановна</t>
  </si>
  <si>
    <t>+7 (953) 415-87-36'</t>
  </si>
  <si>
    <t>48.518444,44.546054</t>
  </si>
  <si>
    <t>ОБЩЕСТВО С ОГРАНИЧЕННОЙ ОТВЕТСТВЕННОСТЬЮ "ШТЕЙН"</t>
  </si>
  <si>
    <t>"ШТЕЙН"</t>
  </si>
  <si>
    <t>5262363811</t>
  </si>
  <si>
    <t>603162, НИЖЕГОРОДСКАЯ ОБЛАСТЬ, ГОРОД НИЖНИЙ НОВГОРОД, ДЕРЕВНЯ КУЗНЕЧИХА, ДОМ 118А, ОФИС 4</t>
  </si>
  <si>
    <t>48.746512,44.549368</t>
  </si>
  <si>
    <t>ОБЩЕСТВО С ОГРАНИЧЕННОЙ ОТВЕТСТВЕННОСТЬЮ "ЗИККУРАТ"</t>
  </si>
  <si>
    <t>"ЗИККУРАТ"</t>
  </si>
  <si>
    <t>2632079560</t>
  </si>
  <si>
    <t>СТАВРОПОЛЬСКИЙ КРАЙ,Г ПЯТИГОРСК,ЛЕРМОНТОВСКИЙ РАЗ'ЕЗД</t>
  </si>
  <si>
    <t>Беликов Константин Валерьевич</t>
  </si>
  <si>
    <t>48.838811,44.564756</t>
  </si>
  <si>
    <t>ОТКРЫТОЕ АКЦИОНЕРНОЕ ОБЩЕСТВО "ПРОХЛАДНЕНСКИЙ ЗАВОД ЖЕЛЕЗОБЕТОННЫХ ИЗДЕЛИЙ"</t>
  </si>
  <si>
    <t>ОТКРЫТОЕ "ПРОХЛАДНЕНСКИЙ ЗАВОД ЖЕЛЕЗОБЕТОННЫХ ИЗДЕЛИЙ"</t>
  </si>
  <si>
    <t>0709003393</t>
  </si>
  <si>
    <t>КАБАРДИНО-БАЛКАРСКАЯ РЕСПУБЛИКА,Г ПРОХЛАДНЫЙ,УЛ ГОЛОВКО,74</t>
  </si>
  <si>
    <t>Марцуль Татьяна Викторовна</t>
  </si>
  <si>
    <t>+7 (928) 702-99-44'</t>
  </si>
  <si>
    <t>43.510351,44.576318</t>
  </si>
  <si>
    <t>ОБЩЕСТВО С ОГРАНИЧЕННОЙ ОТВЕТСТВЕННОСТЬЮ "ПРОХЛАДНЕНСКИЙ ЗАВОД ЖЕЛЕЗОБЕТОННЫХ ИЗДЕЛИЙ"</t>
  </si>
  <si>
    <t>"ПРОХЛАДНЕНСКИЙ ЗАВОД ЖЕЛЕЗОБЕТОННЫХ ИЗДЕЛИЙ"</t>
  </si>
  <si>
    <t>0716003450</t>
  </si>
  <si>
    <t>Волков Дмитрий Александрович</t>
  </si>
  <si>
    <t>+7 (866) 313-12-46'</t>
  </si>
  <si>
    <t>43.514738,44.576417</t>
  </si>
  <si>
    <t>ОБЩЕСТВО С ОГРАНИЧЕННОЙ ОТВЕТСТВЕННОСТЬЮ "ПРОХЛАДНЕНСКИЙ ЗАВОД ЖЕЛЕЗОБЕТОННЫХ ИЗДЕЛИЙ-1"</t>
  </si>
  <si>
    <t>"ПРОХЛАДНЕНСКИЙ ЗАВОД ЖЕЛЕЗОБЕТОННЫХ ИЗДЕЛИЙ-1"</t>
  </si>
  <si>
    <t>0716006620</t>
  </si>
  <si>
    <t>361041, КАБАРДИНО-БАЛКАРСКАЯ РЕСПУБЛИКА, Г ПРОХЛАДНЫЙ, УЛ ГОЛОВКО, Д 74</t>
  </si>
  <si>
    <t>Кибишев Володя Хусенович</t>
  </si>
  <si>
    <t>43.512711,44.584483</t>
  </si>
  <si>
    <t>ОБЩЕСТВО С ОГРАНИЧЕННОЙ ОТВЕТСТВЕННОСТЬЮ "БЕТОН И СТАЛЬ"</t>
  </si>
  <si>
    <t>"БЕТОН И СТАЛЬ"</t>
  </si>
  <si>
    <t>0716012342</t>
  </si>
  <si>
    <t>361041, КАБАРДИНО-БАЛКАРСКАЯ РЕСПУБЛИКА, ГОРОД ПРОХЛАДНЫЙ, УЛИЦА ГОЛОВКО, ДОМ 74, ОФИС 1</t>
  </si>
  <si>
    <t>Марцуль Олег Николаевич</t>
  </si>
  <si>
    <t>ANUFRIEVA2014@YANDEX.RU'</t>
  </si>
  <si>
    <t>48.788881,44.588795</t>
  </si>
  <si>
    <t>ОБЩЕСТВО С ОГРАНИЧЕННОЙ ОТВЕТСТВЕННОСТЬЮ "БЕТОННЫЙ ЗАВОД Б52"</t>
  </si>
  <si>
    <t>"БЕТОННЫЙ ЗАВОД Б52"</t>
  </si>
  <si>
    <t>5261102694</t>
  </si>
  <si>
    <t>Г НИЖНИЙ НОВГОРОД,УЛ БОГОРОДСКОГО Д 5 А</t>
  </si>
  <si>
    <t>Кондратьева Наталья Алексеевна</t>
  </si>
  <si>
    <t>+7 (920) 000-50-32'</t>
  </si>
  <si>
    <t>48.782268,44.596036</t>
  </si>
  <si>
    <t>ОБЩЕСТВО С ОГРАНИЧЕННОЙ ОТВЕТСТВЕННОСТЬЮ "ГОРБЕТОН"</t>
  </si>
  <si>
    <t>"ГОРБЕТОН"</t>
  </si>
  <si>
    <t>5262358635</t>
  </si>
  <si>
    <t>603106, НИЖЕГОРОДСКАЯ ОБЛАСТЬ, Г. НИЖНИЙ НОВГОРОД, УЛ. ИМЕНИ ГЕНЕРАЛА ИВЛИЕВА И.Д., Д. 4,..</t>
  </si>
  <si>
    <t>Дасаева Эльвира Маратовна</t>
  </si>
  <si>
    <t>43.488313,44.596674</t>
  </si>
  <si>
    <t>ОБЩЕСТВО С ОГРАНИЧЕННОЙ ОТВЕТСТВЕННОСТЬЮ "БСК"</t>
  </si>
  <si>
    <t>"БСК"</t>
  </si>
  <si>
    <t>5246047858</t>
  </si>
  <si>
    <t>606446, НИЖЕГОРОДСКАЯ ОБЛАСТЬ, ГОРОД БОР, УЛИЦА ЛИПОВАЯ, ДОМ 15А</t>
  </si>
  <si>
    <t>Бурзилов Алексей Александрович</t>
  </si>
  <si>
    <t>+7 (904) 394-29-12'</t>
  </si>
  <si>
    <t>48.49397,44.597752</t>
  </si>
  <si>
    <t>ОБЩЕСТВО С ОГРАНИЧЕННОЙ ОТВЕТСТВЕННОСТЬЮ  "ЮГСТРОЙ-АРТ"</t>
  </si>
  <si>
    <t xml:space="preserve"> "ЮГСТРОЙ-АРТ"</t>
  </si>
  <si>
    <t>0716006966</t>
  </si>
  <si>
    <t>http://yugstroiart.ru</t>
  </si>
  <si>
    <t>361045, КАБАРДИНО-БАЛКАРСКАЯ РЕСПУБЛИКА, Г ПРОХЛАДНЫЙ, УЛ ПРОМЫШЛЕННАЯ, Д 90/1</t>
  </si>
  <si>
    <t>Питаев Станислав Георгиевич</t>
  </si>
  <si>
    <t>48.839855,44.601911</t>
  </si>
  <si>
    <t>ОБЩЕСТВО С ОГРАНИЧЕННОЙ ОТВЕТСТВЕННОСТЬЮ "179"</t>
  </si>
  <si>
    <t>"179"</t>
  </si>
  <si>
    <t>0725017308</t>
  </si>
  <si>
    <t>360000, КАБАРДИНО-БАЛКАРСКАЯ РЕСПУБЛИКА, Г ПРОХЛАДНЫЙ, УЛ ПРОМЫШЛЕННАЯ, Д 82/4</t>
  </si>
  <si>
    <t>Журтов Ахмедхан Юрьевич</t>
  </si>
  <si>
    <t>ksenia@yandex.ru'</t>
  </si>
  <si>
    <t>43.094091,44.618548</t>
  </si>
  <si>
    <t>ОБЩЕСТВО С ОГРАНИЧЕННОЙ ОТВЕТСТВЕННОСТЬЮ "СТЕЙНБАУ НН"</t>
  </si>
  <si>
    <t>"СТЕЙНБАУ НН"</t>
  </si>
  <si>
    <t>5262375711</t>
  </si>
  <si>
    <t>603162, НИЖЕГОРОДСКАЯ ОБЛ., Г. Нижний Новгород, УЛ ИМЕНИ МАРШАЛА МАЛИНОВСКОГО Р.Я., Д. 2, ПОМЕЩ. П1</t>
  </si>
  <si>
    <t>Потебня Наталья Андреевна</t>
  </si>
  <si>
    <t>43.514195,44.623659</t>
  </si>
  <si>
    <t>ОБЩЕСТВО С ОГРАНИЧЕННОЙ ОТВЕТСТВЕННОСТЬЮ "НОРД-ГРУПП"</t>
  </si>
  <si>
    <t>"НОРД-ГРУПП"</t>
  </si>
  <si>
    <t>2618017931</t>
  </si>
  <si>
    <t>СТАВРОПОЛЬСКИЙ КРАЙ,ПРЕДГОРНЫЙ Р-Н,С ЮЦА,УЛ ЕССЕНТУКСКАЯ, Д 18 А</t>
  </si>
  <si>
    <t>+7 (905) 410-87-83', '+7 (962) 427-37-50'</t>
  </si>
  <si>
    <t>43.044136,44.629669</t>
  </si>
  <si>
    <t>ОБЩЕСТВО С ОГРАНИЧЕННОЙ ОТВЕТСТВЕННОСТЬЮ "БОРСКИЙ КАМЕНЬ-САМОСВЕТ"</t>
  </si>
  <si>
    <t>"БОРСКИЙ КАМЕНЬ-САМОСВЕТ"</t>
  </si>
  <si>
    <t>5246045145</t>
  </si>
  <si>
    <t>606440, НИЖЕГОРОДСКАЯ ОБЛАСТЬ, ГОРОД БОР, УЛИЦА ЛЕНИНА, ДОМ 157, ОФИС 402</t>
  </si>
  <si>
    <t>Гараничев Вадим Николаевич</t>
  </si>
  <si>
    <t>+7 (910) 105-23-47'</t>
  </si>
  <si>
    <t>borkamsam@bk.ru', 'epavlenko81@mail.ru'</t>
  </si>
  <si>
    <t>43.046468,44.636783</t>
  </si>
  <si>
    <t>ЗАКРЫТОЕ АКЦИОНЕРНОЕ ОБЩЕСТВО "СТРОЙДЕТАЛЬ-2"</t>
  </si>
  <si>
    <t>ЗАКРЫТОЕ "СТРОЙДЕТАЛЬ-2"</t>
  </si>
  <si>
    <t>2632015284</t>
  </si>
  <si>
    <t>СТАВРОПОЛЬСКИЙ КРАЙ,Г ПЯТИГОРСК,ЧЕРКЕССКОЕ ШОССЕ, Д 2</t>
  </si>
  <si>
    <t>Ганин Михаил Алексеевич</t>
  </si>
  <si>
    <t>43.024874,44.638086</t>
  </si>
  <si>
    <t>ОБЩЕСТВО С ОГРАНИЧЕННОЙ ОТВЕТСТВЕННОСТЬЮ "Форма. ру"</t>
  </si>
  <si>
    <t>"Форма. ру"</t>
  </si>
  <si>
    <t>5260263963</t>
  </si>
  <si>
    <t>603163, НИЖЕГОРОДСКАЯ ОБЛ, НИЖНИЙ НОВГОРОД Г, КАЗАНСКОЕ Ш, 1, 133</t>
  </si>
  <si>
    <t>Яценко Александр Александрович</t>
  </si>
  <si>
    <t>+7 (831) 462-52-55'</t>
  </si>
  <si>
    <t>48.702168,44.639137</t>
  </si>
  <si>
    <t>ОБЩЕСТВО С ОГРАНИЧЕННОЙ ОТВЕТСТВЕННОСТЬЮ "ТЕХПРОМ-М"</t>
  </si>
  <si>
    <t>"ТЕХПРОМ-М"</t>
  </si>
  <si>
    <t>5260481048</t>
  </si>
  <si>
    <t>603163, Нижегородская область, ГОРОД НИЖНИЙ НОВГОРОД, Г НИЖНИЙ НОВГОРОД, УЛ РОДИОНОВА, Д. 193, К. 2</t>
  </si>
  <si>
    <t>Горинова Светлана Александровна</t>
  </si>
  <si>
    <t>43.059617,44.653276</t>
  </si>
  <si>
    <t>ОБЩЕСТВО С ОГРАНИЧЕННОЙ ОТВЕТСТВЕННОСТЬЮ "Стройкомплекс"</t>
  </si>
  <si>
    <t>"Стройкомплекс"</t>
  </si>
  <si>
    <t>3403025980</t>
  </si>
  <si>
    <t>403021, Волгоградская область, Городищенский район, рп Новый Рогачик, ул Промышленная,7</t>
  </si>
  <si>
    <t>Коняшова Екатерина Сергеевна</t>
  </si>
  <si>
    <t>+7 (927) 522-66-49'</t>
  </si>
  <si>
    <t>43.02289,44.65722</t>
  </si>
  <si>
    <t>ОБЩЕСТВО С ОГРАНИЧЕННОЙ ОТВЕТСТВЕННОСТЬЮ "Комбинат железобетонных изделий"</t>
  </si>
  <si>
    <t>"Комбинат железобетонных изделий"</t>
  </si>
  <si>
    <t>3455050836</t>
  </si>
  <si>
    <t>403020, ВОЛГОГРАДСКАЯ ОБЛ, ГОРОДИЩЕНСКИЙ Р-Н, НОВЫЙ РОГАЧИК РП, ПРОМЫШЛЕННАЯ УЛ, ДОМ 7</t>
  </si>
  <si>
    <t>Клочков Владимир Иванович</t>
  </si>
  <si>
    <t>+7 (902) 363-62-03'</t>
  </si>
  <si>
    <t>kzhi34@mail.ru', 'buhzobd@mail.ru'</t>
  </si>
  <si>
    <t>43.095809,44.65846</t>
  </si>
  <si>
    <t>5246056796</t>
  </si>
  <si>
    <t>606441, Нижегородская область, ГОРОД БОР, Г БОР, УЛ ИНТЕРНАЦИОНАЛЬНАЯ, Д. 136Б</t>
  </si>
  <si>
    <t>Земцов Дмитрий Игоревич</t>
  </si>
  <si>
    <t>43.021123,44.669904</t>
  </si>
  <si>
    <t>ОТКРЫТОЕ АКЦИОНЕРНОЕ ОБЩЕСТВО "ТУАПСИНСКИЙ ЗАВОД ЖЕЛЕЗОБЕТОННЫХ ИЗДЕЛИЙ"</t>
  </si>
  <si>
    <t>ОТКРЫТОЕ "ТУАПСИНСКИЙ ЗАВОД ЖЕЛЕЗОБЕТОННЫХ ИЗДЕЛИЙ"</t>
  </si>
  <si>
    <t>2322021016</t>
  </si>
  <si>
    <t>http://tuapse-bzavod.ru</t>
  </si>
  <si>
    <t>КРАСНОДАРСКИЙ КРАЙ,Г ТУАПСЕ,УЛ НАБЕРЕЖНАЯ, Д 6</t>
  </si>
  <si>
    <t>Чернышев Дмитрий Борисович</t>
  </si>
  <si>
    <t>tuapse_34@mail.ru'</t>
  </si>
  <si>
    <t>43.015356,44.674387</t>
  </si>
  <si>
    <t>ОБЩЕСТВО С ОГРАНИЧЕННОЙ ОТВЕТСТВЕННОСТЬЮ "СТРОИТЕЛЬНАЯ КОМПАНИЯ ПРОМЫШЛЕННЫЕ ГРАЖДАНСКИЕ ЗДАНИЯ"</t>
  </si>
  <si>
    <t>"СТРОИТЕЛЬНАЯ КОМПАНИЯ ПРОМЫШЛЕННЫЕ ГРАЖДАНСКИЕ ЗДАНИЯ"</t>
  </si>
  <si>
    <t>5263136988</t>
  </si>
  <si>
    <t>603163, НИЖЕГОРОДСКАЯ ОБЛ., Г. Нижний Новгород, НАБ. ГРЕБНОГО КАНАЛА, Д. 7, ОФИС 1</t>
  </si>
  <si>
    <t>Хачатрян Артем Гегамович</t>
  </si>
  <si>
    <t>43.05886,44.676588</t>
  </si>
  <si>
    <t>АКЦИОНЕРНОЕ ОБЩЕСТВО "СПЕЦПРОМСТРОЙ"</t>
  </si>
  <si>
    <t>"СПЕЦПРОМСТРОЙ"</t>
  </si>
  <si>
    <t>5260073120</t>
  </si>
  <si>
    <t>Г НИЖНИЙ НОВГОРОД,ГСП-1245,НАБ ГРЕБНОГО КАНАЛА Д 2</t>
  </si>
  <si>
    <t>Муртазин Ильдар Нургадаевич</t>
  </si>
  <si>
    <t>+7 (831) 431-30-48', '+7 (831) 432-88-78', '+7 (831) 432-80-43', '+7 (831) 296-18-55', '+7 (831) 296-18-56', '+7 (831) 296-18-57', '+7 (831) 431-38-48', '+7 (831) 431-38-45', '+7 (831) 432-88-78'</t>
  </si>
  <si>
    <t>mistyurevich@lotus.nnov', 'mail@spsnn.ru', 'LOBOVA@SPSNN.RU', 'LOBOVA@SPSNN.RU'</t>
  </si>
  <si>
    <t>43.024386,44.680864</t>
  </si>
  <si>
    <t>ОБЩЕСТВО С ОГРАНИЧЕННОЙ ОТВЕТСТВЕННОСТЬЮ "МИР БЕТОНА"</t>
  </si>
  <si>
    <t>5262313137</t>
  </si>
  <si>
    <t>607680, НИЖЕГОРОДСКАЯ ОБЛАСТЬ, РАЙОН КСТОВСКИЙ, ДЕРЕВНЯ КУЗЬМИНКА, НАБЕРЕЖНАЯ ГРЕБНОГО КАНАЛА, СТРОЕНИЕ 7, ОФИС 1</t>
  </si>
  <si>
    <t>Князян Роман Каджикович</t>
  </si>
  <si>
    <t>43.063411,44.689308</t>
  </si>
  <si>
    <t>ОБЩЕСТВО С ОГРАНИЧЕННОЙ ОТВЕТСТВЕННОСТЬЮ "КНИЛЕ"</t>
  </si>
  <si>
    <t>"КНИЛЕ"</t>
  </si>
  <si>
    <t>5250042323</t>
  </si>
  <si>
    <t>607684, НИЖЕГОРОДСКАЯ ОБЛ., Р-Н Кстовский, Д. Малая Ельня, УЛ. ПРОМЗОНА, СТР. 3</t>
  </si>
  <si>
    <t>Басов Андрей Сергеевич</t>
  </si>
  <si>
    <t>+7 (920) 253-76-93'</t>
  </si>
  <si>
    <t>43.354502,44.690907</t>
  </si>
  <si>
    <t>ОБЩЕСТВО С ОГРАНИЧЕННОЙ ОТВЕТСТВЕННОСТЬЮ "РИНГС НН"</t>
  </si>
  <si>
    <t>"РИНГС НН"</t>
  </si>
  <si>
    <t>5256169686</t>
  </si>
  <si>
    <t>607650, НИЖЕГОРОДСКАЯ ОБЛАСТЬ, РАЙОН КСТОВСКИЙ, ГОРОД КСТОВО, ШОССЕ БОЛЬШЕМОКРИНСКОЕ (ПРОМЫШЛЕННЫЙ Р-Н), ДОМ 8, ПОМЕЩЕНИЕ 1</t>
  </si>
  <si>
    <t>Гончаров Константин Рашидович</t>
  </si>
  <si>
    <t>+7 (920) 030-85-89'</t>
  </si>
  <si>
    <t>43.075352,44.692209</t>
  </si>
  <si>
    <t>0705007380</t>
  </si>
  <si>
    <t>361202, КАБАРДИНО-БАЛКАРСКАЯ РЕСПУБЛИКА, ТЕРСКИЙ Р-Н, Г ТЕРЕК, УЛ ПАНАГОВА, Д 138, КОРП А</t>
  </si>
  <si>
    <t>Шухов Хачим Олегович</t>
  </si>
  <si>
    <t>43.059505,44.697159</t>
  </si>
  <si>
    <t>ОБЩЕСТВО С ОГРАНИЧЕННОЙ ОТВЕТСТВЕННОСТЬЮ "КОМПЛЕКССТРОЙ"</t>
  </si>
  <si>
    <t>"КОМПЛЕКССТРОЙ"</t>
  </si>
  <si>
    <t>5250075181</t>
  </si>
  <si>
    <t>607663, НИЖЕГОРОДСКАЯ ОБЛ., Р-Н Кстовский, Г. Кстово, МКР. 3-Й, Д. 3, ПОМЕЩ. 11 КОМ.1</t>
  </si>
  <si>
    <t>Афанасьев Павел Олегович</t>
  </si>
  <si>
    <t>ОБЩЕСТВО С ОГРАНИЧЕННОЙ ОТВЕТСТВЕННОСТЬЮ "АЛДЗАН"</t>
  </si>
  <si>
    <t>"АЛДЗАН"</t>
  </si>
  <si>
    <t>1513036766</t>
  </si>
  <si>
    <t>363242, РЕСПУБЛИКА СЕВЕРНАЯ ОСЕТИЯ - АЛАНИЯ, АЛАГИРСКИЙ Р-Н, Г АЛАГИР, УЛ ЦАЛИКОВА, Д 4, ЭТАЖ 1</t>
  </si>
  <si>
    <t>Гадзиева Оксана Руслановна</t>
  </si>
  <si>
    <t>+7 (919) 424-50-02'</t>
  </si>
  <si>
    <t>43.056389,44.699216</t>
  </si>
  <si>
    <t>ОБЩЕСТВО С ОГРАНИЧЕННОЙ ОТВЕТСТВЕННОСТЬЮ ПРОИЗВОДСТВЕННО-СТРОИТЕЛЬНАЯ ФИРМА "АБА"</t>
  </si>
  <si>
    <t>ПРОИЗВОДСТВЕННО-СТРОИТЕЛЬНАЯ ФИРМА "АБА"</t>
  </si>
  <si>
    <t>0901043433</t>
  </si>
  <si>
    <t>Г ЧЕРКЕССК,ГЛАВПОЧТАМТ,УЛ ШОССЕЙНАЯ, Д 15</t>
  </si>
  <si>
    <t>Джазаев Руслан Мудалифович</t>
  </si>
  <si>
    <t>43.048596,44.701741</t>
  </si>
  <si>
    <t>ОБЩЕСТВО С ОГРАНИЧЕННОЙ ОТВЕТСТВЕННОСТЬЮ "ВИКЕР"</t>
  </si>
  <si>
    <t>"ВИКЕР"</t>
  </si>
  <si>
    <t>0816026300</t>
  </si>
  <si>
    <t>08-Республика Калмыкия</t>
  </si>
  <si>
    <t>358000, КАЛМЫКИЯ РЕСПУБЛИКА, ГОРОД ЭЛИСТА, УЛИЦА В.И.ЛЕНИНА, 7В</t>
  </si>
  <si>
    <t>Эрднеева Виктория Андреевна</t>
  </si>
  <si>
    <t>+7 (905) 400-42-37', '+7 (905) 409-39-59'</t>
  </si>
  <si>
    <t>43.188002,44.723147</t>
  </si>
  <si>
    <t>ОБЩЕСТВО С ОГРАНИЧЕННОЙ ОТВЕТСТВЕННОСТЬЮ "Строй-Альянс"</t>
  </si>
  <si>
    <t>"Строй-Альянс"</t>
  </si>
  <si>
    <t>1514011235</t>
  </si>
  <si>
    <t>363240, РЕСПУБЛИКА СЕВЕРНАЯ ОСЕТИЯ - АЛАНИЯ, АЛАГИРСКИЙ Р-Н, Г АЛАГИР, УЛ КИРОВА, Д 216</t>
  </si>
  <si>
    <t>Гутнов Казбек Солтанбекович</t>
  </si>
  <si>
    <t>gutnov@mail.ru'</t>
  </si>
  <si>
    <t>48.809213,44.73222</t>
  </si>
  <si>
    <t>0917024669</t>
  </si>
  <si>
    <t>Г ЧЕРКЕССК,ГЛАВПОЧТАМТ,ПЛ КИРОВА, Д 1</t>
  </si>
  <si>
    <t>Коджаков Сегидул Ахматович</t>
  </si>
  <si>
    <t>+7 (963) 288-44-88'</t>
  </si>
  <si>
    <t>43.223559,44.749127</t>
  </si>
  <si>
    <t>ОБЩЕСТВО С ОГРАНИЧЕННОЙ ОТВЕТСТВЕННОСТЬЮ "ОРНАМЕНТ"</t>
  </si>
  <si>
    <t>"ОРНАМЕНТ"</t>
  </si>
  <si>
    <t>0816040142</t>
  </si>
  <si>
    <t>358011, КАЛМЫКИЯ РЕСПУБЛИКА, Г. ЭЛИСТА, УЛ. РОДНИКОВАЯ, Д. 18Б</t>
  </si>
  <si>
    <t>Басхамджиев Дорджи Баирович</t>
  </si>
  <si>
    <t>43.234569,44.74989</t>
  </si>
  <si>
    <t>ОБЩЕСТВО С ОГРАНИЧЕННОЙ ОТВЕТСТВЕННОСТЬЮ " СТРОЙТОРГ"</t>
  </si>
  <si>
    <t>" СТРОЙТОРГ"</t>
  </si>
  <si>
    <t>0816024951</t>
  </si>
  <si>
    <t>358001, КАЛМЫКИЯ РЕСПУБЛИКА, ГОРОД ЭЛИСТА, ПЕРЕУЛОК И.ГЕРМАШЕВА, ДОМ 38</t>
  </si>
  <si>
    <t>Омадыкова Альман Геннадьевна</t>
  </si>
  <si>
    <t>+7 (906) 437-66-84'</t>
  </si>
  <si>
    <t>Stroykomplekt2006@yandex.ru'</t>
  </si>
  <si>
    <t>48.793172,44.75219</t>
  </si>
  <si>
    <t>ОБЩЕСТВО С ОГРАНИЧЕННОЙ ОТВЕТСТВЕННОСТЬЮ "КМЕСТ"</t>
  </si>
  <si>
    <t>"КМЕСТ"</t>
  </si>
  <si>
    <t>0816007280</t>
  </si>
  <si>
    <t>358015, КАЛМЫКИЯ РЕСПУБЛИКА, ГОРОД ЭЛИСТА, Территория СЕВЕРНАЯ ПРОМЗОНА</t>
  </si>
  <si>
    <t>Мутыров Николай Борисович</t>
  </si>
  <si>
    <t>43.226562,44.753142</t>
  </si>
  <si>
    <t>ОБЩЕСТВО С ОГРАНИЧЕННОЙ ОТВЕТСТВЕННОСТЬЮ "БАЯР"</t>
  </si>
  <si>
    <t>"БАЯР"</t>
  </si>
  <si>
    <t>0800002896</t>
  </si>
  <si>
    <t>358007, Республика Калмыкия, ГОРОД ЭЛИСТА, Г ЭЛИСТА, УЛ ДЖАНГАРА, Д. 36, ПОМЕЩ. 4</t>
  </si>
  <si>
    <t>Мингазов Инсаф Масхутович</t>
  </si>
  <si>
    <t>43.196514,44.755163</t>
  </si>
  <si>
    <t>ОБЩЕСТВО С ОГРАНИЧЕННОЙ ОТВЕТСТВЕННОСТЬЮ "ЛАКШМИ"</t>
  </si>
  <si>
    <t>"ЛАКШМИ"</t>
  </si>
  <si>
    <t>0800003603</t>
  </si>
  <si>
    <t>358000, Республика Калмыкия, ГОРОД ЭЛИСТА, Г ЭЛИСТА, УЛ ИМ МАЯКОВСКОГО, Д. 91</t>
  </si>
  <si>
    <t>Шарманджиев Эренцен Сергеевич</t>
  </si>
  <si>
    <t>SHARMANDZHIEV@GMAIL.COM'</t>
  </si>
  <si>
    <t>43.063879,44.757769</t>
  </si>
  <si>
    <t>ОБЩЕСТВО С ОГРАНИЧЕННОЙ ОТВЕТСТВЕННОСТЬЮ "АЙС ГРУПП"</t>
  </si>
  <si>
    <t>"АЙС ГРУПП"</t>
  </si>
  <si>
    <t>0800001116</t>
  </si>
  <si>
    <t>358007, КАЛМЫКИЯ РЕСП., Г. Элиста, ТЕР. СЕВЕРНАЯ ПРОМЫШЛЕННАЯ ЗОНА-1, Д. 89, ОФИС 1</t>
  </si>
  <si>
    <t>Сухотаев Айс Лиджиевич</t>
  </si>
  <si>
    <t>SUKHOTAEV81@GMAIL.COM'</t>
  </si>
  <si>
    <t>43.238746,44.765063</t>
  </si>
  <si>
    <t>ОБЩЕСТВО С ОГРАНИЧЕННОЙ ОТВЕТСТВЕННОСТЬЮ "СЕВЕР-ПРОМ"</t>
  </si>
  <si>
    <t>"СЕВЕР-ПРОМ"</t>
  </si>
  <si>
    <t>0816034050</t>
  </si>
  <si>
    <t>358000, КАЛМЫКИЯ РЕСПУБЛИКА, Г. ЭЛИСТА, ТЕР СЕВЕРНАЯ ПРОМЫШЛЕННАЯ ЗОНА-1, Д. 119, СТР. 1</t>
  </si>
  <si>
    <t>Класова Вера Владимировна</t>
  </si>
  <si>
    <t>+7 (847) 224-26-64'</t>
  </si>
  <si>
    <t>48.810091,44.76535</t>
  </si>
  <si>
    <t>Общество с ограниченной ответственностью "Завод ЖБИ-Конструкции"</t>
  </si>
  <si>
    <t>"Завод ЖБИ-Конструкции"</t>
  </si>
  <si>
    <t>0817000520</t>
  </si>
  <si>
    <t>359180, КАЛМЫКИЯ РЕСПУБЛИКА, РАЙОН ЦЕЛИННЫЙ, СЕЛО ТРОИЦКОЕ, УЛИЦА А.А.МУЧКАЕВА, 15</t>
  </si>
  <si>
    <t>Евлоев Рустам Русланович</t>
  </si>
  <si>
    <t>43.223921,44.766662</t>
  </si>
  <si>
    <t>ОБЩЕСТВО С ОГРАНИЧЕННОЙ ОТВЕТСТВЕННОСТЬЮ "ТЕГ-МОНОЛИТ"</t>
  </si>
  <si>
    <t>"ТЕГ-МОНОЛИТ"</t>
  </si>
  <si>
    <t>0800000793</t>
  </si>
  <si>
    <t>358000, КАЛМЫКИЯ РЕСП., Г. Элиста, УЛ. РЕСПУБЛИКАНСКАЯ, Д. 41, ПОМЕЩ. 57</t>
  </si>
  <si>
    <t>Бурулова Ольга Евгеньевна</t>
  </si>
  <si>
    <t>43.482204,44.766841</t>
  </si>
  <si>
    <t>ОБЩЕСТВО С ОГРАНИЧЕННОЙ ОТВЕТСТВЕННОСТЬЮ "РОДИНА"</t>
  </si>
  <si>
    <t>"РОДИНА"</t>
  </si>
  <si>
    <t>1514016057</t>
  </si>
  <si>
    <t>363334, РЕСПУБЛИКА СЕВЕРНАЯ ОСЕТИЯ - АЛАНИЯ, АРДОНСКИЙ Р-Н, Г АРДОН, УЛ АЛАГИРСКАЯ, Д 47</t>
  </si>
  <si>
    <t>Плиев Владимир Романович</t>
  </si>
  <si>
    <t>1518@mail.ru'</t>
  </si>
  <si>
    <t>43.225681,44.767129</t>
  </si>
  <si>
    <t>ЗАКРЫТОЕ АКЦИОНЕРНОЕ ОБЩЕСТВО "АГАТ"</t>
  </si>
  <si>
    <t>ЗАКРЫТОЕ "АГАТ"</t>
  </si>
  <si>
    <t>1506004259</t>
  </si>
  <si>
    <t>363330, РЕСПУБЛИКА СЕВЕРНАЯ ОСЕТИЯ - АЛАНИЯ, АРДОНСКИЙ Р-Н, Г АРДОН, УЛ ЛЕНИНА, Д 59</t>
  </si>
  <si>
    <t>Шехинаев Майран Харунович</t>
  </si>
  <si>
    <t>48.789902,44.767201</t>
  </si>
  <si>
    <t>ОБЩЕСТВО С ОГРАНИЧЕННОЙ ОТВЕТСТВЕННОСТЬЮ "Волгоградский домостроительный комбинат"</t>
  </si>
  <si>
    <t>"Волгоградский домостроительный комбинат"</t>
  </si>
  <si>
    <t>3460007931</t>
  </si>
  <si>
    <t>400038, ВОЛГОГРАДСКАЯ ОБЛАСТЬ, ГОРОД ВОЛГОГРАД, УЛИЦА ВОКЗАЛЬНАЯ (РАБОЧИЙ ПОСЕЛОК ГОРЬКОВСКИЙ, 29</t>
  </si>
  <si>
    <t>Крапивин Андрей Алексеевич</t>
  </si>
  <si>
    <t>+7 (909) 381-83-15'</t>
  </si>
  <si>
    <t>43.415663,44.769186</t>
  </si>
  <si>
    <t>ОБЩЕСТВО С ОГРАНИЧЕННОЙ ОТВЕТСТВЕННОСТЬЮ "ВБЗ"</t>
  </si>
  <si>
    <t>"ВБЗ"</t>
  </si>
  <si>
    <t>3460075995</t>
  </si>
  <si>
    <t>400038, ВОЛГОГРАДСКАЯ ОБЛАСТЬ, ГОРОД ВОЛГОГРАД, УЛИЦА ВОКЗАЛЬНАЯ (РАБОЧИЙ ПОСЕЛОК ГОРЬКОВСКИЙ, ДОМ 29, ОФИС 1</t>
  </si>
  <si>
    <t>Елисеев Сергей Алексеевич</t>
  </si>
  <si>
    <t>50.972191,44.774109</t>
  </si>
  <si>
    <t>ОБЩЕСТВО С ОГРАНИЧЕННОЙ ОТВЕТСТВЕННОСТЬЮ  "СТРОЙМАТЕРИАЛЫ"</t>
  </si>
  <si>
    <t xml:space="preserve"> "СТРОЙМАТЕРИАЛЫ"</t>
  </si>
  <si>
    <t>2342014962</t>
  </si>
  <si>
    <t>КРАСНОДАРСКИЙ КРАЙ,РП МОСТОВСКОЙ,УЛ СТРОИТЕЛЬНАЯ, Д 9</t>
  </si>
  <si>
    <t>Потапов Юрий Сергеевич</t>
  </si>
  <si>
    <t>+7 (988) 366-70-77'</t>
  </si>
  <si>
    <t>43.206681,44.783676</t>
  </si>
  <si>
    <t>ОБЩЕСТВО С ОГРАНИЧЕННОЙ ОТВЕТСТВЕННОСТЬЮ "Завод инновационных технологий"</t>
  </si>
  <si>
    <t>"Завод инновационных технологий"</t>
  </si>
  <si>
    <t>3443121433</t>
  </si>
  <si>
    <t>400075, ВОЛГОГРАДСКАЯ ОБЛАСТЬ, ГОРОД ВОЛГОГРАД, ПРОЕЗД ТАЙМЫРСКИЙ (РАБОЧИЙ ПОСЕЛОК ГУМРАК ТЕР.), ДОМ 4</t>
  </si>
  <si>
    <t>Гуров Геннадий Викторович</t>
  </si>
  <si>
    <t>accounting@001k.ru'</t>
  </si>
  <si>
    <t>43.484003,44.787682</t>
  </si>
  <si>
    <t>ОБЩЕСТВО С ОГРАНИЧЕННОЙ ОТВЕТСТВЕННОСТЬЮ "СПЕЦИАЛИЗИРОВАННЫЕ БЕТОННЫЕ КОНСТРУКЦИИ"</t>
  </si>
  <si>
    <t>"СПЕЦИАЛИЗИРОВАННЫЕ БЕТОННЫЕ КОНСТРУКЦИИ"</t>
  </si>
  <si>
    <t>3461063343</t>
  </si>
  <si>
    <t>400079, ВОЛГОГРАДСКАЯ ОБЛ., Г. Волгоград, УЛ. ИМ. СТРЕЛЬЦА, Д. 167</t>
  </si>
  <si>
    <t>Бабичев Алексей Александрович</t>
  </si>
  <si>
    <t>48.781354,44.78991</t>
  </si>
  <si>
    <t>ОБЩЕСТВО С ОГРАНИЧЕННОЙ ОТВЕТСТВЕННОСТЬЮ "ПРОИЗВОДСТВЕННАЯ КОМПАНИЯ СИСТЕМА"</t>
  </si>
  <si>
    <t>"ПРОИЗВОДСТВЕННАЯ КОМПАНИЯ СИСТЕМА"</t>
  </si>
  <si>
    <t>3443131209</t>
  </si>
  <si>
    <t>400002, ВОЛГОГРАДСКАЯ ОБЛАСТЬ, Г. ВОЛГОГРАД, УЛ. ИМ. БАБИЧА, Д. 12, ПОМЕЩ. 13</t>
  </si>
  <si>
    <t>Корнилов Кирилл Васильевич</t>
  </si>
  <si>
    <t>48.802632,44.793225</t>
  </si>
  <si>
    <t>ОБЩЕСТВО С ОГРАНИЧЕННОЙ ОТВЕТСТВЕННОСТЬЮ "ВОЛГОГРАДСКИЙ ЗАВОД СТРОИТЕЛЬНЫХ МАТЕРИАЛОВ"</t>
  </si>
  <si>
    <t>"ВОЛГОГРАДСКИЙ ЗАВОД СТРОИТЕЛЬНЫХ МАТЕРИАЛОВ"</t>
  </si>
  <si>
    <t>3403015238</t>
  </si>
  <si>
    <t>http://vzsmvlg.ru</t>
  </si>
  <si>
    <t>Г ВОЛГОГРАД,УЛ ГЕНЕРАЛА ШУМИЛОВА,2Г</t>
  </si>
  <si>
    <t>Еманов Владимир Викторович</t>
  </si>
  <si>
    <t>VZSM@VLGMAIL.RU'</t>
  </si>
  <si>
    <t>43.217042,44.793441</t>
  </si>
  <si>
    <t>ОБЩЕСТВО С ОГРАНИЧЕННОЙ ОТВЕТСТВЕННОСТЬЮ "ПСК-ЮГ"</t>
  </si>
  <si>
    <t>"ПСК-ЮГ"</t>
  </si>
  <si>
    <t>3460077505</t>
  </si>
  <si>
    <t>400002, ВОЛГОГРАДСКАЯ ОБЛ, ВОЛГОГРАД Г, КАБАРДИНСКАЯ УЛ, ДОМ 60/1, ОФИС 5</t>
  </si>
  <si>
    <t>Кудрявцева Елена Юрьевна</t>
  </si>
  <si>
    <t>53.221382,44.794501</t>
  </si>
  <si>
    <t>ОБЩЕСТВО С ОГРАНИЧЕННОЙ ОТВЕТСТВЕННОСТЬЮ "АГРО-СЕРВИС"</t>
  </si>
  <si>
    <t>"АГРО-СЕРВИС"</t>
  </si>
  <si>
    <t>2631025917</t>
  </si>
  <si>
    <t>СТАВРОПОЛЬСКИЙ КРАЙ,АНДРОПОВСКИЙ Р-Н,С КУРСАВКА,УЛ ОКТЯБРЬСКАЯ, Д 138 А</t>
  </si>
  <si>
    <t>Кубеков Расул Ханафиевич</t>
  </si>
  <si>
    <t>+7 (928) 014-89-99', '+7 (928) 377-00-44'</t>
  </si>
  <si>
    <t>48.7574,44.807445</t>
  </si>
  <si>
    <t>ОТКРЫТОЕ АКЦИОНЕРНОЕ ОБЩЕСТВО "ФИРМА ЖБИ-6"</t>
  </si>
  <si>
    <t>ОТКРЫТОЕ "ФИРМА ЖБИ-6"</t>
  </si>
  <si>
    <t>3447003416</t>
  </si>
  <si>
    <t>http://zhbi-6.ru</t>
  </si>
  <si>
    <t>Г ВОЛГОГРАД,УЛ ПРОМЫСЛОВАЯ,27</t>
  </si>
  <si>
    <t>Крахмалёв Василий Сергеевич</t>
  </si>
  <si>
    <t>+7 (937) 715-33-69'</t>
  </si>
  <si>
    <t>secret@vistcom.ru', '265950a@mail.ru', 'buh@mail.ru', 'peo@mail.ru', '3447003416_344701001@eo.tensor'</t>
  </si>
  <si>
    <t>43.4786,44.808478</t>
  </si>
  <si>
    <t>ОБЩЕСТВО С ОГРАНИЧЕННОЙ ОТВЕТСТВЕННОСТЬЮ "ПРОБЕТОН"</t>
  </si>
  <si>
    <t>"ПРОБЕТОН"</t>
  </si>
  <si>
    <t>3443147350</t>
  </si>
  <si>
    <t>400075, ВОЛГОГРАДСКАЯ ОБЛ., Г. Волгоград, УЛ. 51-Й ГВАРДЕЙСКОЙ, Д. 1Б, ОФИС 301</t>
  </si>
  <si>
    <t>Савин Тимофей Васильевич</t>
  </si>
  <si>
    <t>43.197309,44.816366</t>
  </si>
  <si>
    <t>ОБЩЕСТВО С ОГРАНИЧЕННОЙ ОТВЕТСТВЕННОСТЬЮ "Строительный элемент"</t>
  </si>
  <si>
    <t>"Строительный элемент"</t>
  </si>
  <si>
    <t>3443928121</t>
  </si>
  <si>
    <t>400075, ВОЛГОГРАДСКАЯ ОБЛАСТЬ, ГОРОД ВОЛГОГРАД, УЛИЦА 51-Й ГВАРДЕЙСКОЙ, ДОМ 1Б, ОФИС 506</t>
  </si>
  <si>
    <t>Балашов Евгений Сергеевич</t>
  </si>
  <si>
    <t>+7 (987) 648-88-88'</t>
  </si>
  <si>
    <t>odo@peresvet.ru', 'ok@peresvet-ug'</t>
  </si>
  <si>
    <t>48.755244,44.817587</t>
  </si>
  <si>
    <t>ОБЩЕСТВО С ОГРАНИЧЕННОЙ ОТВЕТСТВЕННОСТЬЮ "ТОРГОВЫЙ ДОМ "ПРОМСТРОЙКОНТРАКТ"</t>
  </si>
  <si>
    <t>""ПРОМСТРОЙКОНТРАКТ"</t>
  </si>
  <si>
    <t>3403023285</t>
  </si>
  <si>
    <t>403003, ВОЛГОГРАДСКАЯ ОБЛ, ГОРОДИЩЕНСКИЙ Р-Н, ГОРОДИЩЕ РП, МАРШАЛА ЧУЙКОВА УЛ, ДОМ 3, ОФИС 1</t>
  </si>
  <si>
    <t>Никитин Михаил Викторович</t>
  </si>
  <si>
    <t>48.773939,44.821773</t>
  </si>
  <si>
    <t>ОБЩЕСТВО С ОГРАНИЧЕННОЙ ОТВЕТСТВЕННОСТЬЮ " СТРОЙМАТЕРИАЛЫ - I "</t>
  </si>
  <si>
    <t>" СТРОЙМАТЕРИАЛЫ - I "</t>
  </si>
  <si>
    <t>3403017387</t>
  </si>
  <si>
    <t>ВОЛГОГРАДСКАЯ ОБЛ.,РП ГОРОДИЩЕ,ПЕР СОВЕТСКИЙ,5</t>
  </si>
  <si>
    <t>Левин Вячеслав Валерьевич</t>
  </si>
  <si>
    <t>+7 (902) 380-11-65'</t>
  </si>
  <si>
    <t>48.7838,44.825007</t>
  </si>
  <si>
    <t>ОБЩЕСТВО С ОГРАНИЧЕННОЙ ОТВЕТСТВЕННОСТЬЮ "НОВЫЕ СТРОЙМАТЕРИАЛЫ ЮГ"</t>
  </si>
  <si>
    <t>"НОВЫЕ СТРОЙМАТЕРИАЛЫ ЮГ"</t>
  </si>
  <si>
    <t>3460082287</t>
  </si>
  <si>
    <t>400120, ВОЛГОГРАДСКАЯ ОБЛ., Г. Волгоград, УЛ. МОЗДОКСКАЯ, Д. 9, ОФИС 26</t>
  </si>
  <si>
    <t>Дроботова Ольга Олеговна</t>
  </si>
  <si>
    <t>48.811924,44.829921</t>
  </si>
  <si>
    <t>ОБЩЕСТВО С ОГРАНИЧЕННОЙ ОТВЕТСТВЕННОСТЬЮ "ЛИБХЕРМОНОЛИТКОМПЛЕКТ"</t>
  </si>
  <si>
    <t>"ЛИБХЕРМОНОЛИТКОМПЛЕКТ"</t>
  </si>
  <si>
    <t>3460073050</t>
  </si>
  <si>
    <t>400120, ВОЛГОГРАДСКАЯ ОБЛ, ВОЛГОГРАД Г, ЧЕРЕПОВЕЦКАЯ УЛ, ДОМ 3А, ОФИС 1</t>
  </si>
  <si>
    <t>Манукян Арсен Ваганович</t>
  </si>
  <si>
    <t>43.207633,44.831251</t>
  </si>
  <si>
    <t>ОБЩЕСТВО С ОГРАНИЧЕННОЙ ОТВЕТСТВЕННОСТЬЮ "ПРОМСТРОЙСЕРВИС"</t>
  </si>
  <si>
    <t>"ПРОМСТРОЙСЕРВИС"</t>
  </si>
  <si>
    <t>3443078629</t>
  </si>
  <si>
    <t>400075, ВОЛГОГРАДСКАЯ ОБЛ, ВОЛГОГРАД Г, КРАСНОПОЛЯНСКАЯ УЛ, ДОМ 55, ОФИС 5</t>
  </si>
  <si>
    <t>Катулько Марина Юрьевна</t>
  </si>
  <si>
    <t>+7 (826) 839-64-83'</t>
  </si>
  <si>
    <t>ОБЩЕСТВО С ОГРАНИЧЕННОЙ ОТВЕТСТВЕННОСТЬЮ "СТРОИТЕЛЬНАЯ КОМПАНИЯ АРМАТУРНО СИЛИКАТНЫХ ИЗДЕЛИЙ"</t>
  </si>
  <si>
    <t>"СТРОИТЕЛЬНАЯ КОМПАНИЯ АРМАТУРНО СИЛИКАТНЫХ ИЗДЕЛИЙ"</t>
  </si>
  <si>
    <t>3443139695</t>
  </si>
  <si>
    <t>400075, ВОЛГОГРАДСКАЯ ОБЛАСТЬ, ГОРОД ВОЛГОГРАД, УЛИЦА КРАСНОПОЛЯНСКАЯ, ДОМ 55А, ОФИС 4</t>
  </si>
  <si>
    <t>Дмитриев Константин Дмитриевич</t>
  </si>
  <si>
    <t>48.810945,44.834601</t>
  </si>
  <si>
    <t>ОБЩЕСТВО С ОГРАНИЧЕННОЙ ОТВЕТСТВЕННОСТЬЮ "ЖБИПРОМЭНЕРГО"</t>
  </si>
  <si>
    <t>"ЖБИПРОМЭНЕРГО"</t>
  </si>
  <si>
    <t>3443143966</t>
  </si>
  <si>
    <t>400075, ВОЛГОГРАДСКАЯ ОБЛАСТЬ, ГОРОД ВОЛГОГРАД, УЛИЦА КРАСНОПОЛЯНСКАЯ, ДОМ 55А, ОФИС 1</t>
  </si>
  <si>
    <t>Чаусов Алексей Валерьевич</t>
  </si>
  <si>
    <t>+7 (905) 337-13-87'</t>
  </si>
  <si>
    <t>vegapro@inbox.ru'</t>
  </si>
  <si>
    <t>43.28545,44.835859</t>
  </si>
  <si>
    <t>ОБЩЕСТВО С ОГРАНИЧЕННОЙ ОТВЕТСТВЕННОСТЬЮ "ТЕХНОСТРОЙ 21"</t>
  </si>
  <si>
    <t>"ТЕХНОСТРОЙ 21"</t>
  </si>
  <si>
    <t>3443144208</t>
  </si>
  <si>
    <t>400094, ВОЛГОГРАДСКАЯ ОБЛАСТЬ, ГОРОД ВОЛГОГРАД, УЛИЦА КУТУЗОВСКАЯ, ДОМ 1, ОФИС 11</t>
  </si>
  <si>
    <t>Горяинов Алексей Николаевич</t>
  </si>
  <si>
    <t>+7 (937) 711-60-60'</t>
  </si>
  <si>
    <t>43.219316,44.838249</t>
  </si>
  <si>
    <t>ОБЩЕСТВО С ОГРАНИЧЕННОЙ ОТВЕТСТВЕННОСТЬЮ "КРАСИВЫЙ ГОРОД"</t>
  </si>
  <si>
    <t>"КРАСИВЫЙ ГОРОД"</t>
  </si>
  <si>
    <t>3443148700</t>
  </si>
  <si>
    <t>400137, Волгоградская область, ГОРОД-ГЕРОЙ ВОЛГОГРАД, Г ВОЛГОГРАД, Б-Р 30-ЛЕТИЯ ПОБЕДЫ, Д. 60</t>
  </si>
  <si>
    <t>Умарпашаев Расим Паша Оглы</t>
  </si>
  <si>
    <t>43.287196,44.842138</t>
  </si>
  <si>
    <t>ОБЩЕСТВО С ОГРАНИЧЕННОЙ ОТВЕТСТВЕННОСТЬЮ "ПРОМАЛЬЯНС"</t>
  </si>
  <si>
    <t>"ПРОМАЛЬЯНС"</t>
  </si>
  <si>
    <t>3443140757</t>
  </si>
  <si>
    <t>400075, ВОЛГОГРАДСКАЯ ОБЛ, ВОЛГОГРАД Г, ДОРОЖНИКОВ ПР, ДОМ 10, ОФИС 9</t>
  </si>
  <si>
    <t>Филин Виталий Юрьевич</t>
  </si>
  <si>
    <t>11@Yandex.ru'</t>
  </si>
  <si>
    <t>48.811295,44.84981</t>
  </si>
  <si>
    <t>ОБЩЕСТВО С ОГРАНИЧЕННОЙ ОТВЕТСТВЕННОСТЬЮ "Тайм-Строй"</t>
  </si>
  <si>
    <t>"Тайм-Строй"</t>
  </si>
  <si>
    <t>3455001557</t>
  </si>
  <si>
    <t>http://tms34.ru</t>
  </si>
  <si>
    <t>400094, ВОЛГОГРАДСКАЯ ОБЛАСТЬ, ГОРОД ВОЛГОГРАД, УЛИЦА КОСМОНАВТОВ, ДОМ 36А, ОФИС 4</t>
  </si>
  <si>
    <t>Скляр Андрей Николаевич</t>
  </si>
  <si>
    <t>+7 (961) 666-66-33'</t>
  </si>
  <si>
    <t>stroy34@bk.ru'</t>
  </si>
  <si>
    <t>48.721477,44.856556</t>
  </si>
  <si>
    <t>0601028191</t>
  </si>
  <si>
    <t>06-Республика Ингушетия</t>
  </si>
  <si>
    <t>386333, РЕСПУБЛИКА ИНГУШЕТИЯ, МАЛГОБЕКСКИЙ Р-Н, С ИНАРКИ, УЛ ФРУНЗЕ, Д 12</t>
  </si>
  <si>
    <t>Горбаков Апти Иссаевич</t>
  </si>
  <si>
    <t>43.139078,44.85794</t>
  </si>
  <si>
    <t>ОБЩЕСТВО С ОГРАНИЧЕННОЙ ОТВЕТСТВЕННОСТЬЮ "СТРОЙ-ИЗДЕЛИЯ"</t>
  </si>
  <si>
    <t>"СТРОЙ-ИЗДЕЛИЯ"</t>
  </si>
  <si>
    <t>1511017126</t>
  </si>
  <si>
    <t>363026, РЕСПУБЛИКА СЕВЕРНАЯ ОСЕТИЯ - АЛАНИЯ, ПРАВОБЕРЕЖНЫЙ Р-Н, Г БЕСЛАН, УЛ НАДТЕРЕЧНАЯ, Д 1</t>
  </si>
  <si>
    <t>Кусаев Тамерлан Викторович</t>
  </si>
  <si>
    <t>ooosi@mail.ru'</t>
  </si>
  <si>
    <t>43.298764,44.873984</t>
  </si>
  <si>
    <t>ОБЩЕСТВО С ОГРАНИЧЕННОЙ ОТВЕТСТВЕННОСТЬЮ "Полимер"</t>
  </si>
  <si>
    <t>"Полимер"</t>
  </si>
  <si>
    <t>3448048459</t>
  </si>
  <si>
    <t>400112, ВОЛГОГРАДСКАЯ ОБЛАСТЬ, ГОРОД ВОЛГОГРАД, БУЛЬВАР ИМ. ЭНГЕЛЬСА, 9, 93</t>
  </si>
  <si>
    <t>Лавров Сергей Александрович</t>
  </si>
  <si>
    <t>53.226654,44.876679</t>
  </si>
  <si>
    <t>3459068440</t>
  </si>
  <si>
    <t>400078, ВОЛГОГРАДСКАЯ ОБЛАСТЬ, ГОРОД ВОЛГОГРАД, ПРОСПЕКТ ИМ. В.И. ЛЕНИНА, ДОМ 94, ОФИС 309</t>
  </si>
  <si>
    <t>Егунов Евгений Васильевич</t>
  </si>
  <si>
    <t>volgassm@mail.ru'</t>
  </si>
  <si>
    <t>43.182027,44.889992</t>
  </si>
  <si>
    <t>ОБЩЕСТВО С ОГРАНИЧЕННОЙ ОТВЕТСТВЕННОСТЬЮ "СТРОЙ МАТ ДВ"</t>
  </si>
  <si>
    <t>"СТРОЙ МАТ ДВ"</t>
  </si>
  <si>
    <t>2536280931</t>
  </si>
  <si>
    <t>ПРИМОРСКИЙ КРАЙ,Г ДАЛЬНЕГОРСК,УЛ 50 ЛЕТ ОКТЯБРЯ</t>
  </si>
  <si>
    <t>Иванов Алексей Валерьевич</t>
  </si>
  <si>
    <t>+7 (908) 443-41-10', '+7 (950) 282-04-74'</t>
  </si>
  <si>
    <t>53.224428,44.895911</t>
  </si>
  <si>
    <t>ОБЩЕСТВО С ОГРАНИЧЕННОЙ ОТВЕТСТВЕННОСТЬЮ" ДО ВОДСТРОЙ"</t>
  </si>
  <si>
    <t>" ДО ВОДСТРОЙ"</t>
  </si>
  <si>
    <t>3441042761</t>
  </si>
  <si>
    <t>400058, ВОЛГОГРАДСКАЯ ОБЛАСТЬ, ГОРОД ВОЛГОГРАД, УЛИЦА ИМ КОСТЮЧЕНКО (РАБОЧИЙ ПОСЕЛОК ВОДСТРОЙ, 8</t>
  </si>
  <si>
    <t>Стецык Максим Владимирович</t>
  </si>
  <si>
    <t>43.18298,44.897016</t>
  </si>
  <si>
    <t>ОБЩЕСТВО С ОГРАНИЧЕННОЙ ОТВЕТСТВЕННОСТЬЮ "ВИБРОПРЕСС"</t>
  </si>
  <si>
    <t>"ВИБРОПРЕСС"</t>
  </si>
  <si>
    <t>0601008808</t>
  </si>
  <si>
    <t>386302, РЕСПУБЛИКА ИНГУШЕТИЯ, Г МАЛГОБЕК, УЛ МАЯКОВСКОГО, Д 12</t>
  </si>
  <si>
    <t>Яндиев Ибрагим Макшарипович</t>
  </si>
  <si>
    <t>43.323993,44.902595</t>
  </si>
  <si>
    <t>ОБЩЕСТВО С ОГРАНИЧЕННОЙ ОТВЕТСТВЕННОСТЬЮ "ФИНСТРОЙ"</t>
  </si>
  <si>
    <t>"ФИНСТРОЙ"</t>
  </si>
  <si>
    <t>0601030803</t>
  </si>
  <si>
    <t>386302, ИНГУШЕТИЯ РЕСП., Г. Малгобек, УЛ. ПОКРЫШКИНА, ДВЛД. 2</t>
  </si>
  <si>
    <t>Цечоев Адам Ахметович</t>
  </si>
  <si>
    <t>54.054098,44.907679</t>
  </si>
  <si>
    <t>ОБЩЕСТВО С ОГРАНИЧЕННОЙ ОТВЕТСТВЕННОСТЬЮ "БЛОЧНЫЙ ЦЕХ"</t>
  </si>
  <si>
    <t>"БЛОЧНЫЙ ЦЕХ"</t>
  </si>
  <si>
    <t>0601031067</t>
  </si>
  <si>
    <t>386302, РЕСПУБЛИКА ИНГУШЕТИЯ, Г МАЛГОБЕК, УЛ АЛЕРОЕВА, Д 87</t>
  </si>
  <si>
    <t>Мужахоева Танзила Алаудиновна</t>
  </si>
  <si>
    <t>53.221268,44.916654</t>
  </si>
  <si>
    <t>Общество с ограниченной ответственностью "Производственная Компания "СтройКонструкция"</t>
  </si>
  <si>
    <t>"Производственная Компания "СтройКонструкция"</t>
  </si>
  <si>
    <t>3459066315</t>
  </si>
  <si>
    <t>400065, ВОЛГОГРАДСКАЯ ОБЛАСТЬ, ГОРОД ВОЛГОГРАД, ПРОСПЕКТ ИМ. В.И. ЛЕНИНА, ДОМ 189, ОФИС 2</t>
  </si>
  <si>
    <t>Абрамов Алексей Леонидович</t>
  </si>
  <si>
    <t>43.204624,44.917004</t>
  </si>
  <si>
    <t>Общество с ограниченной ответственностью "Завод ЖБИ-3"</t>
  </si>
  <si>
    <t>"Завод ЖБИ-3"</t>
  </si>
  <si>
    <t>3443128005</t>
  </si>
  <si>
    <t>400016, ВОЛГОГРАДСКАЯ ОБЛАСТЬ, ГОРОД ВОЛГОГРАД, ПРОСПЕКТ ВОЛЖСКИЙ, СТРОЕНИЕ 24, ОФИС 1</t>
  </si>
  <si>
    <t>Осипов Сергей Юрьевич</t>
  </si>
  <si>
    <t>+7 (927) 684-48-77'</t>
  </si>
  <si>
    <t>3@yandex.ru'</t>
  </si>
  <si>
    <t>53.272575,44.924298</t>
  </si>
  <si>
    <t>ОБЩЕСТВО С ОГРАНИЧЕННОЙ ОТВЕТСТВЕННОСТЬЮ "ЭСХМ"</t>
  </si>
  <si>
    <t>"ЭСХМ"</t>
  </si>
  <si>
    <t>0608033578</t>
  </si>
  <si>
    <t>386340, РЕСПУБЛИКА ИНГУШЕТИЯ, МАЛГОБЕКСКИЙ Р-Н, С САГОПШИ, УЛ МАЛГОБЕКСКАЯ, Д 32</t>
  </si>
  <si>
    <t>Цечоев Башир Османович</t>
  </si>
  <si>
    <t>+7 (928) 792-89-09'</t>
  </si>
  <si>
    <t>54.048918,44.928215</t>
  </si>
  <si>
    <t>ОБЩЕСТВО С ОГРАНИЧЕННОЙ ОТВЕТСТВЕННОСТЬЮ "Асфальтобетон"</t>
  </si>
  <si>
    <t>"Асфальтобетон"</t>
  </si>
  <si>
    <t>3448047871</t>
  </si>
  <si>
    <t>400080, ВОЛГОГРАДСКАЯ ОБЛАСТЬ, ГОРОД ВОЛГОГРАД, УЛИЦА 40 ЛЕТ ВЛКСМ, 76</t>
  </si>
  <si>
    <t>Гончаренко Сергей Николаевич</t>
  </si>
  <si>
    <t>54.058274,44.94911</t>
  </si>
  <si>
    <t>ОБЩЕСТВО С ОГРАНИЧЕННОЙ ОТВЕТСТВЕННОСТЬЮ "СМИ ПРО"</t>
  </si>
  <si>
    <t>"СМИ ПРО"</t>
  </si>
  <si>
    <t>3459060916</t>
  </si>
  <si>
    <t>400006, ВОЛГОГРАДСКАЯ ОБЛАСТЬ, ГОРОД ВОЛГОГРАД, УЛИЦА ИМ. ШКИРЯТОВА, ДОМ 23, ОФИС 11</t>
  </si>
  <si>
    <t>Бабайцев Вячеслав Александрович</t>
  </si>
  <si>
    <t>+7 (917) 849-46-83'</t>
  </si>
  <si>
    <t>54.075631,44.954032</t>
  </si>
  <si>
    <t>ОБЩЕСТВО С ОГРАНИЧЕННОЙ ОТВЕТСТВЕННОСТЬЮ "ИРСТРОЙ"</t>
  </si>
  <si>
    <t>"ИРСТРОЙ"</t>
  </si>
  <si>
    <t>1512021069</t>
  </si>
  <si>
    <t>363121, РЕСПУБЛИКА СЕВЕРНАЯ ОСЕТИЯ - АЛАНИЯ, ПРИГОРОДНЫЙ Р-Н, С НОГИР, УЛ ЧКАЛОВА, Д 2В, ОФИС 2</t>
  </si>
  <si>
    <t>Дзасохов Давид Вахтангович</t>
  </si>
  <si>
    <t>53.172302,44.957967</t>
  </si>
  <si>
    <t>ОБЩЕСТВО С ОГРАНИЧЕННОЙ ОТВЕТСТВЕННОСТЬЮ "КАВКАЗ"</t>
  </si>
  <si>
    <t>"КАВКАЗ"</t>
  </si>
  <si>
    <t>0601030296</t>
  </si>
  <si>
    <t>386302, РЕСПУБЛИКА ИНГУШЕТИЯ, Г МАЛГОБЕК, УЛ ЛОЛОГОЕВА, Д 43</t>
  </si>
  <si>
    <t>Чербижева Залина Магометовна</t>
  </si>
  <si>
    <t>53.232557,44.961479</t>
  </si>
  <si>
    <t>СЕЛЬСКОХОЗЯЙСТВЕННЫЙ ПРОИЗВОДСТВЕННЫЙ КООПЕРАТИВ "ВИС"</t>
  </si>
  <si>
    <t>1512004867</t>
  </si>
  <si>
    <t>Г ВЛАДИКАВКАЗ,УЛ АСТАНА КЕСАЕВА, 27, КОРП 1,..</t>
  </si>
  <si>
    <t>Качмазов Валерий Исмаилович</t>
  </si>
  <si>
    <t>ОБЩЕСТВО С ОГРАНИЧЕННОЙ ОТВЕТСТВЕННОСТЬЮ "БСЦ-ГРУПП"</t>
  </si>
  <si>
    <t>"БСЦ-ГРУПП"</t>
  </si>
  <si>
    <t>1513085330</t>
  </si>
  <si>
    <t>362043, РЕСПУБЛИКА СЕВЕРНАЯ ОСЕТИЯ - АЛАНИЯ, Г ВЛАДИКАВКАЗ, УЛ ВЛАДИКАВКАЗСКАЯ, Д 12,..</t>
  </si>
  <si>
    <t>Басиев Давид Валерьевич</t>
  </si>
  <si>
    <t>53.13112,44.962611</t>
  </si>
  <si>
    <t>Производственный кооператив "Услуга"</t>
  </si>
  <si>
    <t>1504027130</t>
  </si>
  <si>
    <t>Г ВЛАДИКАВКАЗ,ГИЗЕЛЬСКОЕ ШОССЕ, 5 КМ</t>
  </si>
  <si>
    <t>Пагиева Аида Хазбатровна</t>
  </si>
  <si>
    <t>+7 (903) 483-39-92'</t>
  </si>
  <si>
    <t>53.235079,44.978044</t>
  </si>
  <si>
    <t>ОБЩЕСТВО С ОГРАНИЧЕННОЙ ОТВЕТСТВЕННОСТЬЮ "ПРОИЗВОДСТВЕННО-ТОРГОВАЯ КОМПАНИЯ "АСПЕКТ-МЕТАЛЛ"</t>
  </si>
  <si>
    <t>"ПРОИЗВОДСТВЕННО-ТОРГОВАЯ КОМПАНИЯ "АСПЕКТ-МЕТАЛЛ"</t>
  </si>
  <si>
    <t>3454003978</t>
  </si>
  <si>
    <t>404159, ВОЛГОГРАДСКАЯ ОБЛАСТЬ, РАЙОН СРЕДНЕАХТУБИНСКИЙ, ХУТОР ГОСПИТОМНИК, ПЕРЕУЛОК ПАРКОВСКИЙ, ДОМ 8, ОФИС 2</t>
  </si>
  <si>
    <t>Костюшкина Оксана Витальевна</t>
  </si>
  <si>
    <t>+7 (906) 166-32-26'</t>
  </si>
  <si>
    <t>53.143907,44.979661</t>
  </si>
  <si>
    <t>ОБЩЕСТВО С ОГРАНИЧЕННОЙ ОТВЕТСТВЕННОСТЬЮ "ВЛАДБРУСЧАТКА"</t>
  </si>
  <si>
    <t>"ВЛАДБРУСЧАТКА"</t>
  </si>
  <si>
    <t>1513079142</t>
  </si>
  <si>
    <t>362001, СЕВЕРНАЯ ОСЕТИЯ - АЛАНИЯ РЕСПУБЛИКА, ГОРОД ВЛАДИКАВКАЗ, УЛИЦА МОСКОВСКАЯ, ДОМ 4 "Б", ОФИС 2</t>
  </si>
  <si>
    <t>Хасиев Артур Хетагович</t>
  </si>
  <si>
    <t>53.160399,44.993684</t>
  </si>
  <si>
    <t>ОБЩЕСТВО С ОГРАНИЧЕННОЙ ОТВЕТСТВЕННОСТЬЮ "ГАРАНТ-1"</t>
  </si>
  <si>
    <t>"ГАРАНТ-1"</t>
  </si>
  <si>
    <t>2305009033</t>
  </si>
  <si>
    <t>КРАСНОДАРСКИЙ КРАЙ,Г ГОРЯЧИЙ КЛЮЧ,УЛ ЯРОСЛАВСКОГО, Д 129</t>
  </si>
  <si>
    <t>Крюков Владимир Михайлович</t>
  </si>
  <si>
    <t>53.205345,44.994097</t>
  </si>
  <si>
    <t>ОБЩЕСТВО С ОГРАНИЧЕННОЙ ОТВЕТСТВЕННОСТЬЮ "ПАРЛАМЕНТ-СЕРВИС"</t>
  </si>
  <si>
    <t>"ПАРЛАМЕНТ-СЕРВИС"</t>
  </si>
  <si>
    <t>1513042985</t>
  </si>
  <si>
    <t>362000, РЕСПУБЛИКА СЕВЕРНАЯ ОСЕТИЯ - АЛАНИЯ, Г ВЛАДИКАВКАЗ, ПРОСПЕКТ ДОВАТОРА, Д 20 Б</t>
  </si>
  <si>
    <t>Сикаев Темиркан Владимирович</t>
  </si>
  <si>
    <t>gran@mail.ru'</t>
  </si>
  <si>
    <t>53.21042,45.00043</t>
  </si>
  <si>
    <t>ОБЩЕСТВО С ОГРАНИЧЕННОЙ ОТВЕТСТВЕННОСТЬЮ "ДОРЖЕЛЕЗОБЕТОН"</t>
  </si>
  <si>
    <t>"ДОРЖЕЛЕЗОБЕТОН"</t>
  </si>
  <si>
    <t>1513079199</t>
  </si>
  <si>
    <t>362911, РЕСПУБЛИКА СЕВЕРНАЯ ОСЕТИЯ - АЛАНИЯ, Г ВЛАДИКАВКАЗ, П ЗАВОДСКОЙ, ТЕРРИТОРИЯ СНО "АГРАРНИК", Д 114</t>
  </si>
  <si>
    <t>Макиев Алик Александрович</t>
  </si>
  <si>
    <t>43.185307,45.00061</t>
  </si>
  <si>
    <t>ОБЩЕСТВО С ОГРАНИЧЕННОЙ ОТВЕТСТВЕННОСТЬЮ "ЗАВОД СТРОИТЕЛЬНЫХ КОНСТРУКЦИЙ №1"</t>
  </si>
  <si>
    <t>"ЗАВОД СТРОИТЕЛЬНЫХ КОНСТРУКЦИЙ №1"</t>
  </si>
  <si>
    <t>1513079329</t>
  </si>
  <si>
    <t>362003, РЕСПУБЛИКА СЕВЕРНАЯ ОСЕТИЯ - АЛАНИЯ, Г ВЛАДИКАВКАЗ, УЛ ДЗЕРЖИНСКОГО, Д 48</t>
  </si>
  <si>
    <t>Гадзацев Хасан Батарбекович</t>
  </si>
  <si>
    <t>53.201213,45.000754</t>
  </si>
  <si>
    <t>ОТКРЫТОЕ АКЦИОНЕРНОЕ ОБЩЕСТВО "КОМБИНАТ ПРОИЗВОДСТВЕННЫХ ПРЕДПРИЯТИЙ "КОЧУБЕЕВСКИЙ"</t>
  </si>
  <si>
    <t>ОТКРЫТОЕ "КОМБИНАТ ПРОИЗВОДСТВЕННЫХ ПРЕДПРИЯТИЙ "КОЧУБЕЕВСКИЙ"</t>
  </si>
  <si>
    <t>2610003285</t>
  </si>
  <si>
    <t>СТАВРОПОЛЬСКИЙ КРАЙ,КОЧУБЕЕВСКИЙ Р-Н,С КОЧУБЕЕВСКОЕ,УЛ ТОРГОВАЯ, Д 27</t>
  </si>
  <si>
    <t>Захаров Игорь Дмитриевич</t>
  </si>
  <si>
    <t>+7 (928) 368-14-02', '+7 (928) 632-87-86'</t>
  </si>
  <si>
    <t>kppkochubeevskii@yandex.ru'</t>
  </si>
  <si>
    <t>53.234686,45.007608</t>
  </si>
  <si>
    <t>ОБЩЕСТВО С ОГРАНИЧЕННОЙ ОТВЕТСТВЕННОСТЬЮ "СК ИНЖИНИРИНГ"</t>
  </si>
  <si>
    <t>"СК ИНЖИНИРИНГ"</t>
  </si>
  <si>
    <t>1513081261</t>
  </si>
  <si>
    <t>362015, РЕСПУБЛИКА СЕВЕРНАЯ ОСЕТИЯ - АЛАНИЯ, Г ВЛАДИКАВКАЗ, УЛ АРДОНСКАЯ, Д 21</t>
  </si>
  <si>
    <t>Дзантиев Вячеслав Константинович</t>
  </si>
  <si>
    <t>53.165447,45.009126</t>
  </si>
  <si>
    <t>АКЦИОНЕРНОЕ ОБЩЕСТВО "ВЛАДИКАВКАЗСКИЙ ЗАВОД СИЛИКАТНОГО КИРПИЧА"</t>
  </si>
  <si>
    <t>"ВЛАДИКАВКАЗСКИЙ ЗАВОД СИЛИКАТНОГО КИРПИЧА"</t>
  </si>
  <si>
    <t>1503008456</t>
  </si>
  <si>
    <t>362001, РЕСПУБЛИКА СЕВЕРНАЯ ОСЕТИЯ - АЛАНИЯ, ГОРОД ВЛАДИКАВКАЗ, УЛИЦА ПОЖАРСКОГО, 19</t>
  </si>
  <si>
    <t>Кудзоев Фидар Георгиевич</t>
  </si>
  <si>
    <t>53.19933,45.010608</t>
  </si>
  <si>
    <t>ОБЩЕСТВО С ОГРАНИЧЕННОЙ ОТВЕТСТВЕННОСТЬЮ "ОБЪЕДИНЕННАЯ СТРОИТЕЛЬНАЯ КОМПАНИЯ 21 ВЕК"</t>
  </si>
  <si>
    <t>"ОБЪЕДИНЕННАЯ СТРОИТЕЛЬНАЯ КОМПАНИЯ 21 ВЕК"</t>
  </si>
  <si>
    <t>1513075525</t>
  </si>
  <si>
    <t>362040, СЕВЕРНАЯ ОСЕТИЯ - АЛАНИЯ РЕСПУБЛИКА, ГОРОД ВЛАДИКАВКАЗ, ПРОСПЕКТ МИРА, ДОМ 1, ОФИС 59</t>
  </si>
  <si>
    <t>Тотиков Артур Таймуразович</t>
  </si>
  <si>
    <t>53.189258,45.011947</t>
  </si>
  <si>
    <t>ОБЩЕСТВО С ОГРАНИЧЕННОЙ ОТВЕТСТВЕННОСТЬЮ "ЮГСТРОЙМОНОЛИТ"</t>
  </si>
  <si>
    <t>"ЮГСТРОЙМОНОЛИТ"</t>
  </si>
  <si>
    <t>1513046147</t>
  </si>
  <si>
    <t>362013, РЕСПУБЛИКА СЕВЕРНАЯ ОСЕТИЯ - АЛАНИЯ, Г ВЛАДИКАВКАЗ, УЛ 1-Я ПРОМЫШЛЕННАЯ, Д 1</t>
  </si>
  <si>
    <t>Котаев Рубин Константинович</t>
  </si>
  <si>
    <t>+7 (918) 828-31-38'</t>
  </si>
  <si>
    <t>53.18792,45.012225</t>
  </si>
  <si>
    <t>0601025360</t>
  </si>
  <si>
    <t>386338, РЕСПУБЛИКА ИНГУШЕТИЯ, МАЛГОБЕКСКИЙ Р-Н, С ВЕРХНИЕ АЧАЛУКИ, УЛ ПУШКИНА, Д 18</t>
  </si>
  <si>
    <t>Беков Руслан Саварбекович</t>
  </si>
  <si>
    <t>53.200194,45.015549</t>
  </si>
  <si>
    <t>ОБЩЕСТВО С ОГРАНИЧЕННОЙ ОТВЕТСТВЕННОСТЬЮ  "КИСЛОРОД "</t>
  </si>
  <si>
    <t xml:space="preserve"> "КИСЛОРОД "</t>
  </si>
  <si>
    <t>1501024928</t>
  </si>
  <si>
    <t>Г ВЛАДИКАВКАЗ,УЛ 6-Я ПРОМЫШЛЕННАЯ, 1</t>
  </si>
  <si>
    <t>Тотрова Жанна Хаджумаровна</t>
  </si>
  <si>
    <t>53.190693,45.018019</t>
  </si>
  <si>
    <t>АКЦИОНЕРНОЕ ОБЩЕСТВО "ГУЛЬКЕВИЧСКИЙ ЗАВОД БЕТОННЫХ БЛОКОВ "БЛОК"</t>
  </si>
  <si>
    <t>"ГУЛЬКЕВИЧСКИЙ ЗАВОД БЕТОННЫХ БЛОКОВ "БЛОК"</t>
  </si>
  <si>
    <t>2329004997</t>
  </si>
  <si>
    <t>КРАСНОДАРСКИЙ КРАЙ,ГУЛЬКЕВИЧСКИЙ Р-Н,PП КРАСНОСЕЛЬСКИЙ,УЛ ПРОМЫШЛЕННАЯ, Д 2</t>
  </si>
  <si>
    <t>Шульга Владимир Викторович</t>
  </si>
  <si>
    <t>RECEPTION@BLOK-GBI'</t>
  </si>
  <si>
    <t>53.227312,45.023382</t>
  </si>
  <si>
    <t>ОБЩЕСТВО С ОГРАНИЧЕННОЙ ОТВЕТСТВЕННОСТЬЮ "НОВАЦИЯ"</t>
  </si>
  <si>
    <t>"НОВАЦИЯ"</t>
  </si>
  <si>
    <t>2365022455</t>
  </si>
  <si>
    <t xml:space="preserve"> КРАСНОДАРСКИЙ КРАЙ, ЦЕНТРАЛЬНЫЙ РАЙОН Г.СОЧИ, УЛ.ВИНОГРАДНАЯ, 14</t>
  </si>
  <si>
    <t>Комова Анастасия Александровна</t>
  </si>
  <si>
    <t>+7 (988) 088-99-22'</t>
  </si>
  <si>
    <t>43.328801,45.035096</t>
  </si>
  <si>
    <t>ОБЩЕСТВО С ОГРАНИЧЕННОЙ ОТВЕТСТВЕННОСТЬЮ "ОТТО"</t>
  </si>
  <si>
    <t>"ОТТО"</t>
  </si>
  <si>
    <t>1501022134</t>
  </si>
  <si>
    <t>Г ВЛАДИКАВКАЗ,УЛ ПОЖАРСКОГО, 21</t>
  </si>
  <si>
    <t>Хозиев Вадим Аузбиевич</t>
  </si>
  <si>
    <t>43.308113,45.037324</t>
  </si>
  <si>
    <t>ОБЩЕСТВО С ОГРАНИЧЕННОЙ ОТВЕТСТВЕННОСТЬЮ ЗАВОД "СТРОЙДЕТАЛЬ"</t>
  </si>
  <si>
    <t>ЗАВОД "СТРОЙДЕТАЛЬ"</t>
  </si>
  <si>
    <t>1513046757</t>
  </si>
  <si>
    <t>Гагкаев Аврам Камболатович</t>
  </si>
  <si>
    <t>+7 (906) 495-47-45'</t>
  </si>
  <si>
    <t>53.268401,45.039983</t>
  </si>
  <si>
    <t>1513074874</t>
  </si>
  <si>
    <t>362001, СЕВЕРНАЯ ОСЕТИЯ - АЛАНИЯ РЕСПУБЛИКА, ГОРОД ВЛАДИКАВКАЗ, УЛИЦА ПОЖАРСКОГО, ДОМ 42, ПОМЕЩЕНИЕ 3</t>
  </si>
  <si>
    <t>Дзукаева Зарина Валентиновна</t>
  </si>
  <si>
    <t>43.309156,45.044071</t>
  </si>
  <si>
    <t>ОБЩЕСТВО С ОГРАНИЧЕННОЙ ОТВЕТСТВЕННОСТЬЮ "МОНОЛИТ-БЕТОН"</t>
  </si>
  <si>
    <t>"МОНОЛИТ-БЕТОН"</t>
  </si>
  <si>
    <t>1513076825</t>
  </si>
  <si>
    <t>362002, РЕСПУБЛИКА СЕВЕРНАЯ ОСЕТИЯ - АЛАНИЯ, Г ВЛАДИКАВКАЗ, УЛ НЕИЗВЕСТНОГО СОЛДАТА, Д 6, КАБ 5,6</t>
  </si>
  <si>
    <t>Муриев Марат Владимирович</t>
  </si>
  <si>
    <t>monolitbeton019@mail.ru'</t>
  </si>
  <si>
    <t>43.330906,45.045777</t>
  </si>
  <si>
    <t>ОБЩЕСТВО С ОГРАНИЧЕННОЙ ОТВЕТСТВЕННОСТЬЮ СТРОИТЕЛЬНО-ИНЖИНИРИНГОВАЯ КОМПАНИЯ "ВЫБОР - С"</t>
  </si>
  <si>
    <t>СТРОИТЕЛЬНО-ИНЖИНИРИНГОВАЯ КОМПАНИЯ "ВЫБОР - С"</t>
  </si>
  <si>
    <t>2315085509</t>
  </si>
  <si>
    <t>КРАСНОДАРСКИЙ КРАЙ,Г НОВОРОССИЙСК,УЛ РЕВОЛЮЦИИ 1905 ГОДА, Д 51</t>
  </si>
  <si>
    <t>+7 (861) 726-95-05'</t>
  </si>
  <si>
    <t>viborsbuh@rambler.ru', 'AD@vibors.ru'</t>
  </si>
  <si>
    <t>43.318445,45.05256</t>
  </si>
  <si>
    <t>ОБЩЕСТВО С ОГРАНИЧЕННОЙ ОТВЕТСТВЕННОСТЬЮ "СТРОИТЕЛЬНОЕ МОНТАЖНОЕ ПРЕДПРИЯТИЕ"</t>
  </si>
  <si>
    <t>"СТРОИТЕЛЬНОЕ МОНТАЖНОЕ ПРЕДПРИЯТИЕ"</t>
  </si>
  <si>
    <t>2624020957</t>
  </si>
  <si>
    <t>СТАВРОПОЛЬСКИЙ КРАЙ,БУДЕННОВСКИЙ Р-Н,С ПРАСКОВЕЯ,УЛ ЮЖНАЯ, Д 35</t>
  </si>
  <si>
    <t>Катрич Франц Евгеньевич</t>
  </si>
  <si>
    <t>53.186819,45.064822</t>
  </si>
  <si>
    <t>ОБЩЕСТВО С ОГРАНИЧЕННОЙ ОТВЕТСТВЕННОСТЬЮ "Майское тарное предприятие"</t>
  </si>
  <si>
    <t>"Майское тарное предприятие"</t>
  </si>
  <si>
    <t>1512015072</t>
  </si>
  <si>
    <t>363103, РЕСПУБЛИКА СЕВЕРНАЯ ОСЕТИЯ - АЛАНИЯ, ПРИГОРОДНЫЙ Р-Н, С МАЙСКОЕ, УЛ ТРАНСПОРТНАЯ, Д 1</t>
  </si>
  <si>
    <t>Валиева Фатима Абдула-Садуловна</t>
  </si>
  <si>
    <t>+7 (919) 427-45-19'</t>
  </si>
  <si>
    <t>53.183495,45.070697</t>
  </si>
  <si>
    <t>ОБЩЕСТВО С ОГРАНИЧЕННОЙ ОТВЕТСТВЕННОСТЬЮ "ЭЛЕКТРОМОНТАЖСЕРВИС"</t>
  </si>
  <si>
    <t>"ЭЛЕКТРОМОНТАЖСЕРВИС"</t>
  </si>
  <si>
    <t>2315003626</t>
  </si>
  <si>
    <t>КРАСНОДАРСКИЙ КРАЙ,Г НОВОРОССИЙСК,УЛ ЛУНАЧАРСКОГО, Д 27</t>
  </si>
  <si>
    <t>Клюсевич Юлия Николаевна</t>
  </si>
  <si>
    <t>+7 (918) 253-99-87'</t>
  </si>
  <si>
    <t>54.125022,45.109216</t>
  </si>
  <si>
    <t>ОБЩЕСТВО С ОГРАНИЧЕННОЙ ОТВЕТСТВЕННОСТЬЮ "Италбетон"</t>
  </si>
  <si>
    <t>"Италбетон"</t>
  </si>
  <si>
    <t>3435310660</t>
  </si>
  <si>
    <t>404130, ВОЛГОГРАДСКАЯ ОБЛ., Г. Волжский, ПР-КТ ИМ ЛЕНИНА, Д. 2, ПОМЕЩ. 27</t>
  </si>
  <si>
    <t>Камоирано Джакомо</t>
  </si>
  <si>
    <t>+7 (903) 467-97-97', '+7 (937) 701-64-44'</t>
  </si>
  <si>
    <t>ltd@mail.ru'</t>
  </si>
  <si>
    <t>54.291511,45.121523</t>
  </si>
  <si>
    <t>ОБЩЕСТВО С ОГРАНИЧЕННОЙ ОТВЕТСТВЕННОСТЬЮ "ЗАВОД ЖЕЛЕЗОБЕТОННЫХ ИЗДЕЛИЙ № 7"</t>
  </si>
  <si>
    <t>"ЗАВОД ЖЕЛЕЗОБЕТОННЫХ ИЗДЕЛИЙ № 7"</t>
  </si>
  <si>
    <t>2303021268</t>
  </si>
  <si>
    <t>КРАСНОДАРСКИЙ КРАЙ,Г БЕЛОРЕЧЕНСК,УЛ МАЙКОПСКОЕ ШОССЕ, Д 4</t>
  </si>
  <si>
    <t>Перваков Сергей Григорьевич</t>
  </si>
  <si>
    <t>53.203937,45.139786</t>
  </si>
  <si>
    <t>ОБЩЕСТВО С ОГРАНИЧЕННОЙ ОТВЕТСТВЕННОСТЬЮ "КОМБИНАТ СТРОИТЕЛЬНЫХ МАТЕРИАЛОВ № 7  БЕЛОРЕЧЕНСКИЙ"</t>
  </si>
  <si>
    <t>"КОМБИНАТ СТРОИТЕЛЬНЫХ МАТЕРИАЛОВ № 7  БЕЛОРЕЧЕНСКИЙ"</t>
  </si>
  <si>
    <t>2303021998</t>
  </si>
  <si>
    <t>КРАСНОДАРСКИЙ КРАЙ,Г БЕЛОРЕЧЕНСК,УЛ ШОССЕ МАЙКОПСКОЕ, Д 4</t>
  </si>
  <si>
    <t>Кудрявцева Зинаида Валерьевна</t>
  </si>
  <si>
    <t>+7 (918) 121-26-63'</t>
  </si>
  <si>
    <t>53.201704,45.140765</t>
  </si>
  <si>
    <t>ОБЩЕСТВО С ОГРАНИЧЕННОЙ ОТВЕТСТВЕННОСТЬЮ "ДЕБР"</t>
  </si>
  <si>
    <t>"ДЕБР"</t>
  </si>
  <si>
    <t>0608025376</t>
  </si>
  <si>
    <t>386101, РЕСПУБЛИКА ИНГУШЕТИЯ, Г НАЗРАНЬ, УЛ Д.КАРТОЕВА, Д 154, ОФИС 4</t>
  </si>
  <si>
    <t>Гантемирова Диана Асламбековна</t>
  </si>
  <si>
    <t>53.093646,45.150826</t>
  </si>
  <si>
    <t>ОБЩЕСТВО С ОГРАНИЧЕННОЙ ОТВЕТСТВЕННОСТЬЮ "ЭКОНОМ"</t>
  </si>
  <si>
    <t>"ЭКОНОМ"</t>
  </si>
  <si>
    <t>0608030785</t>
  </si>
  <si>
    <t>386101, РЕСПУБЛИКА ИНГУШЕТИЯ, Г НАЗРАНЬ, ПРОСПЕКТ И.БАЗОРКИНА, Д 30 А</t>
  </si>
  <si>
    <t>Мальсагов Мурад Мажитович</t>
  </si>
  <si>
    <t>+7 (928) 096-53-76'</t>
  </si>
  <si>
    <t>spektr_ing@mail.ru'</t>
  </si>
  <si>
    <t>53.182065,45.1568</t>
  </si>
  <si>
    <t>Общество с ограниченной ответственностью "АЛЬФА ПРОМ"</t>
  </si>
  <si>
    <t>"АЛЬФА ПРОМ"</t>
  </si>
  <si>
    <t>3435124335</t>
  </si>
  <si>
    <t>404110, ВОЛГОГРАДСКАЯ ОБЛАСТЬ, Г. ВОЛЖСКИЙ, УЛ. МОЛОДЕЖНАЯ, Д. 17, ОФИС 2</t>
  </si>
  <si>
    <t>Баранников Константин Владимирович</t>
  </si>
  <si>
    <t>group207@yandex.ru'</t>
  </si>
  <si>
    <t>54.183607,45.172772</t>
  </si>
  <si>
    <t>ОБЩЕСТВО С ОГРАНИЧЕННОЙ ОТВЕТСТВЕННОСТЬЮ "УРС"</t>
  </si>
  <si>
    <t>"УРС"</t>
  </si>
  <si>
    <t>0608027430</t>
  </si>
  <si>
    <t>386101, РЕСПУБЛИКА ИНГУШЕТИЯ, Г НАЗРАНЬ, УЛ Д.КАРТОЕВА, Д 140</t>
  </si>
  <si>
    <t>Цицкиев Измаил Ахметович</t>
  </si>
  <si>
    <t>+7 (928) 793-41-08'</t>
  </si>
  <si>
    <t>54.189951,45.178566</t>
  </si>
  <si>
    <t>ОБЩЕСТВО С ОГРАНИЧЕННОЙ ОТВЕТСТВЕННОСТЬЮ "ЛОРС"</t>
  </si>
  <si>
    <t>"ЛОРС"</t>
  </si>
  <si>
    <t>0608033850</t>
  </si>
  <si>
    <t>386140, РЕСПУБЛИКА ИНГУШЕТИЯ, Г НАЗРАНЬ, УЛ ХАУТИЕВА, Д 73</t>
  </si>
  <si>
    <t>Боков Анзор Бембулатович</t>
  </si>
  <si>
    <t>+7 (928) 729-20-69'</t>
  </si>
  <si>
    <t>53.221204,45.179195</t>
  </si>
  <si>
    <t>ОБЩЕСТВО С ОГРАНИЧЕННОЙ ОТВЕТСТВЕННОСТЬЮ "Баркад"</t>
  </si>
  <si>
    <t>"Баркад"</t>
  </si>
  <si>
    <t>1512017305</t>
  </si>
  <si>
    <t>363100, РЕСПУБЛИКА СЕВЕРНАЯ ОСЕТИЯ - АЛАНИЯ, ПРИГОРОДНЫЙ Р-Н, С КАМБИЛЕЕВСКОЕ, УЛ ЛЕНИНА, Д 76</t>
  </si>
  <si>
    <t>Дзасохов Алан Емзарович</t>
  </si>
  <si>
    <t>+7 (928) 068-66-49', '+7 (919) 116-63-31'</t>
  </si>
  <si>
    <t>ОБЩЕСТВО С ОГРАНИЧЕННОЙ ОТВЕТСТВЕННОСТЬЮ "ДМБ"</t>
  </si>
  <si>
    <t>"ДМБ"</t>
  </si>
  <si>
    <t>3123357782</t>
  </si>
  <si>
    <t>БЕЛГОРОДСКАЯ ОБЛ.,ВОЛОКОНОВСКИЙ Р-Н,PП ПЯТНИЦКОЕ,УЛ ПЕРВОМАЙСКАЯ, Д 1</t>
  </si>
  <si>
    <t>Шарков Сергей Николаевич</t>
  </si>
  <si>
    <t>+7 (903) 642-04-21'</t>
  </si>
  <si>
    <t>54.206484,45.18021</t>
  </si>
  <si>
    <t>ОБЩЕСТВО С ОГРАНИЧЕННОЙ ОТВЕТСТВЕННОСТЬЮ "КОСМОС"</t>
  </si>
  <si>
    <t>"КОСМОС"</t>
  </si>
  <si>
    <t>2303021620</t>
  </si>
  <si>
    <t>КРАСНОДАРСКИЙ КРАЙ,Г БЕЛОРЕЧЕНСК,УЛ ЛЕНИНА, Д 72</t>
  </si>
  <si>
    <t>Оснач Николай Александрович</t>
  </si>
  <si>
    <t>54.173142,45.18198</t>
  </si>
  <si>
    <t>ОБЩЕСТВО С ОГРАНИЧЕННОЙ ОТВЕТСТВЕННОСТЬЮ "ОРИГИНАЛ"</t>
  </si>
  <si>
    <t>"ОРИГИНАЛ"</t>
  </si>
  <si>
    <t>0608035575</t>
  </si>
  <si>
    <t>386101, РЕСПУБЛИКА ИНГУШЕТИЯ, Г НАЗРАНЬ, УЛ ГИКАЛО, Д 2</t>
  </si>
  <si>
    <t>Тимурзиев Мухмад Хакешевич</t>
  </si>
  <si>
    <t>+7 (963) 398-45-96'</t>
  </si>
  <si>
    <t>53.217138,45.182267</t>
  </si>
  <si>
    <t>Общество с ограниченной ответственностью "МЕРИДИАН"</t>
  </si>
  <si>
    <t>3435123885</t>
  </si>
  <si>
    <t>404130, ВОЛГОГРАДСКАЯ ОБЛАСТЬ, ГОРОД ВОЛЖСКИЙ, УЛИЦА 6-Я АВТОДОРОГА, СТРОЕНИЕ 18 А, ОФИС 1</t>
  </si>
  <si>
    <t>Краснов Сергей Александрович</t>
  </si>
  <si>
    <t>54.23649,45.191511</t>
  </si>
  <si>
    <t>ОБЩЕСТВО С ОГРАНИЧЕННОЙ ОТВЕТСТВЕННОСТЬЮ "МИКХАД"</t>
  </si>
  <si>
    <t>"МИКХАД"</t>
  </si>
  <si>
    <t>0608029701</t>
  </si>
  <si>
    <t>386102, РЕСПУБЛИКА ИНГУШЕТИЯ, Г НАЗРАНЬ, УЛ МОСКОВСКАЯ, Д 5 Б, ОФИС 35</t>
  </si>
  <si>
    <t>Картоев Дауд Мусаевич</t>
  </si>
  <si>
    <t>ОБЩЕСТВО С ОГРАНИЧЕННОЙ ОТВЕТСТВЕННОСТЬЮ "ФОРТУНА"</t>
  </si>
  <si>
    <t>"ФОРТУНА"</t>
  </si>
  <si>
    <t>0608024076</t>
  </si>
  <si>
    <t>386322, РЕСПУБЛИКА ИНГУШЕТИЯ, МАЛГОБЕКСКИЙ Р-Н, С ЗЯЗИКОВ-ЮРТ, УЛ КАВКАЗСКАЯ, Д 29</t>
  </si>
  <si>
    <t>Патиев Абдул-Джафар Ахметович</t>
  </si>
  <si>
    <t>+7 (928) 920-77-70'</t>
  </si>
  <si>
    <t>53.181019,45.195697</t>
  </si>
  <si>
    <t>ОБЩЕСТВО С ОГРАНИЧЕННОЙ ОТВЕТСТВЕННОСТЬЮ "ГЕРКУЛЕС"</t>
  </si>
  <si>
    <t>"ГЕРКУЛЕС"</t>
  </si>
  <si>
    <t>0608024037</t>
  </si>
  <si>
    <t>386102, РЕСПУБЛИКА ИНГУШЕТИЯ, Г НАЗРАНЬ, УЛ М.А.ПАРЧИЕВА, Д 71</t>
  </si>
  <si>
    <t>Оздоев Темирлан Беланович</t>
  </si>
  <si>
    <t>+7 (928) 798-32-35'</t>
  </si>
  <si>
    <t>54.221448,45.199255</t>
  </si>
  <si>
    <t>ОБЩЕСТВО С ОГРАНИЧЕННОЙ ОТВЕТСТВЕННОСТЬЮ "АНДРЕИЧ"</t>
  </si>
  <si>
    <t>"АНДРЕИЧ"</t>
  </si>
  <si>
    <t>3435019475</t>
  </si>
  <si>
    <t>ВОЛГОГРАДСКАЯ ОБЛ.,Г ВОЛЖСКИЙ,УЛ ЭНГЕЛЬСА,39..</t>
  </si>
  <si>
    <t xml:space="preserve"> Директор Пурыкин Андрей Александрович</t>
  </si>
  <si>
    <t>54.224827,45.203935</t>
  </si>
  <si>
    <t>ОБЩЕСТВО С ОГРАНИЧЕННОЙ ОТВЕТСТВЕННОСТЬЮ "СТРОЙБЕК"</t>
  </si>
  <si>
    <t>"СТРОЙБЕК"</t>
  </si>
  <si>
    <t>0601026571</t>
  </si>
  <si>
    <t>386323, РЕСПУБЛИКА ИНГУШЕТИЯ, МАЛГОБЕКСКИЙ Р-Н, С НИЖНИЕ АЧАЛУКИ, УЛ ДРУЖБЫ, Д 9</t>
  </si>
  <si>
    <t>Арапиев Бекхан Бесланович</t>
  </si>
  <si>
    <t>54.222037,45.207941</t>
  </si>
  <si>
    <t>ОБЩЕСТВО С ОГРАНИЧЕННОЙ ОТВЕТСТВЕННОСТЬЮ "НОВО-ОНИКС"</t>
  </si>
  <si>
    <t>"НОВО-ОНИКС"</t>
  </si>
  <si>
    <t>2315076007</t>
  </si>
  <si>
    <t>КРАСНОДАРСКИЙ КРАЙ,Г НОВОРОССИЙСК,С ЦЕМДОЛИНА,УЛ ЗОЛОТАЯ РЫБКА, Д 7</t>
  </si>
  <si>
    <t>Зинченко Александр Степанович</t>
  </si>
  <si>
    <t>54.230848,45.208238</t>
  </si>
  <si>
    <t>ОБЩЕСТВО С ОГРАНИЧЕННОЙ ОТВЕТСТВЕННОСТЬЮ "РАСТУ"</t>
  </si>
  <si>
    <t>"РАСТУ"</t>
  </si>
  <si>
    <t>3407111359</t>
  </si>
  <si>
    <t>403793, ВОЛГОГРАДСКАЯ ОБЛ., Р-Н Жирновский, Г. Жирновск, УЛ. РЕЧНАЯ, ЗД. 21</t>
  </si>
  <si>
    <t>Тулаев Анатолий Михайлович</t>
  </si>
  <si>
    <t>+7 (902) 389-42-09'</t>
  </si>
  <si>
    <t>ОБЩЕСТВО С ОГРАНИЧЕННОЙ ОТВЕТСТВЕННОСТЬЮ "БЕТОН-26"</t>
  </si>
  <si>
    <t>"БЕТОН-26"</t>
  </si>
  <si>
    <t>0608035663</t>
  </si>
  <si>
    <t>386140, РЕСПУБЛИКА ИНГУШЕТИЯ, Г НАЗРАНЬ, УЛ САДОВАЯ, Д 32</t>
  </si>
  <si>
    <t>Махтыева Хеда Сулеймановна</t>
  </si>
  <si>
    <t>+7 (928) 748-75-18'</t>
  </si>
  <si>
    <t>54.239184,45.21608</t>
  </si>
  <si>
    <t>ОБЩЕСТВО С ОГРАНИЧЕННОЙ ОТВЕТСТВЕННОСТЬЮ "ЛЬЯНОВ"</t>
  </si>
  <si>
    <t>"ЛЬЯНОВ"</t>
  </si>
  <si>
    <t>0601030264</t>
  </si>
  <si>
    <t>386322, РЕСПУБЛИКА ИНГУШЕТИЯ, МАЛГОБЕКСКИЙ Р-Н, С ЗЯЗИКОВ-ЮРТ, УЛ ЦЕНТРАЛЬНАЯ, Д 98</t>
  </si>
  <si>
    <t>Льянов Рамазан Саид-Ахмедович</t>
  </si>
  <si>
    <t>54.189487,45.235142</t>
  </si>
  <si>
    <t>ОБЩЕСТВО С ОГРАНИЧЕННОЙ ОТВЕТСТВЕННОСТЬЮ "СИНСТРОМ-СК"</t>
  </si>
  <si>
    <t>"СИНСТРОМ-СК"</t>
  </si>
  <si>
    <t>2624019729</t>
  </si>
  <si>
    <t>СТАВРОПОЛЬСКИЙ КРАЙ,Г БУДЕННОВСК,УЛ ПРИКУМСКАЯ, Д 1 Б</t>
  </si>
  <si>
    <t>Мадатов Валерий Владимирович</t>
  </si>
  <si>
    <t>54.434328,45.335089</t>
  </si>
  <si>
    <t>ОБЩЕСТВО С ОГРАНИЧЕННОЙ ОТВЕТСТВЕННОСТЬЮ "ВОЛЖСКИЙ ЖБИ"</t>
  </si>
  <si>
    <t>"ВОЛЖСКИЙ ЖБИ"</t>
  </si>
  <si>
    <t>3435141242</t>
  </si>
  <si>
    <t>404104, ВОЛГОГРАДСКАЯ ОБЛ., Г. Волжский, УЛ. ПИОНЕРСКАЯ, Д. 21, ПОМЕЩ. 1 КАБИНЕТ 1</t>
  </si>
  <si>
    <t>Домнина Кристина Александровна</t>
  </si>
  <si>
    <t>KRISTINADOMNINAVLZ@GMAIL.COM'</t>
  </si>
  <si>
    <t>52.290959,45.373061</t>
  </si>
  <si>
    <t>ОБЩЕСТВО С ОГРАНИЧЕННОЙ ОТВЕТСТВЕННОСТЬЮ "ВИГРАМ"</t>
  </si>
  <si>
    <t>"ВИГРАМ"</t>
  </si>
  <si>
    <t>3435006451</t>
  </si>
  <si>
    <t>ВОЛГОГРАДСКАЯ ОБЛ.,Г ВОЛЖСКИЙ,УЛ 7-Я АВТОДОРОГА,6Б</t>
  </si>
  <si>
    <t>Дмитренко Игорь Васильевич</t>
  </si>
  <si>
    <t>+7 (905) 396-38-44', '+7 (905) 396-38-44'</t>
  </si>
  <si>
    <t>50.108055,45.407071</t>
  </si>
  <si>
    <t>ОБЩЕСТВО С ОГРАНИЧЕННОЙ ОТВЕТСТВЕННОСТЬЮ "АНГУШТ"</t>
  </si>
  <si>
    <t>"АНГУШТ"</t>
  </si>
  <si>
    <t>0608035399</t>
  </si>
  <si>
    <t>386101, РЕСПУБЛИКА ИНГУШЕТИЯ, Г НАЗРАНЬ, УЛ ПИОНЕРСКАЯ, Д 15</t>
  </si>
  <si>
    <t>Оздоев Магомед Асхабович</t>
  </si>
  <si>
    <t>+7 (928) 094-95-44'</t>
  </si>
  <si>
    <t>43.376713,45.594441</t>
  </si>
  <si>
    <t>ОБЩЕСТВО С ОГРАНИЧЕННОЙ ОТВЕТСТВЕННОСТЬЮ "ПЕНЗЕНСКИЙ ЗАВОД СТРОИТЕЛЬНЫХ МАТЕРИАЛОВ"</t>
  </si>
  <si>
    <t>"ПЕНЗЕНСКИЙ ЗАВОД СТРОИТЕЛЬНЫХ МАТЕРИАЛОВ"</t>
  </si>
  <si>
    <t>5829003563</t>
  </si>
  <si>
    <t>440528, ПЕНЗЕНСКАЯ ОБЛАСТЬ, ПЕНЗЕНСКИЙ РАЙОН, С БОГОСЛОВКА, УЛ АВТОМОБИЛИСТОВ, 29</t>
  </si>
  <si>
    <t>Мишин Денис Владимирович</t>
  </si>
  <si>
    <t>+7 (927) 095-00-11'</t>
  </si>
  <si>
    <t>43.360342,45.618462</t>
  </si>
  <si>
    <t>ОБЩЕСТВО С ОГРАНИЧЕННОЙ ОТВЕТСТВЕННОСТЬЮ "ТРАНССТРОЙ"</t>
  </si>
  <si>
    <t>"ТРАНССТРОЙ"</t>
  </si>
  <si>
    <t>3435138144</t>
  </si>
  <si>
    <t>404133, ВОЛГОГРАДСКАЯ ОБЛАСТЬ, ГОРОД ВОЛЖСКИЙ, ПРОСПЕКТ ДРУЖБЫ, ДОМ 74, ОФИС 24</t>
  </si>
  <si>
    <t>Кулименко Дмитрий Вячеславович</t>
  </si>
  <si>
    <t>43.32764,45.668813</t>
  </si>
  <si>
    <t>ОБЩЕСТВО С ОГРАНИЧЕННОЙ ОТВЕТСТВЕННОСТЬЮ "БЕРЕКЕТ"</t>
  </si>
  <si>
    <t>"БЕРЕКЕТ"</t>
  </si>
  <si>
    <t>0601025867</t>
  </si>
  <si>
    <t>386339, РЕСПУБЛИКА ИНГУШЕТИЯ, МАЛГОБЕКСКИЙ Р-Н, С НОВЫЙ РЕДАНТ, УЛ М.ГУЛИЕВА, Д 18</t>
  </si>
  <si>
    <t>Гулиев Ислам Висангиреевич</t>
  </si>
  <si>
    <t>+7 (928) 713-40-00'</t>
  </si>
  <si>
    <t>43.331286,45.669469</t>
  </si>
  <si>
    <t>ОБЩЕСТВО С ОГРАНИЧЕННОЙ ОТВЕТСТВЕННОСТЬЮ "КВАДРАТ"</t>
  </si>
  <si>
    <t>"КВАДРАТ"</t>
  </si>
  <si>
    <t>0608023989</t>
  </si>
  <si>
    <t>386151, РЕСПУБЛИКА ИНГУШЕТИЯ, НАЗРАНОВСКИЙ Р-Н, С ЭКАЖЕВО, УЛ ИНГУШСКАЯ, Д 97</t>
  </si>
  <si>
    <t>Сапралиев Адам Магомедович</t>
  </si>
  <si>
    <t>+7 (928) 697-71-77'</t>
  </si>
  <si>
    <t>43.316097,45.682162</t>
  </si>
  <si>
    <t>ОБЩЕСТВО С ОГРАНИЧЕННОЙ ОТВЕТСТВЕННОСТЬЮ ГРУППА КОМПАНИЙ "СТРОЙ-ЛИДЕР"</t>
  </si>
  <si>
    <t>ГРУППА КОМПАНИЙ "СТРОЙ-ЛИДЕР"</t>
  </si>
  <si>
    <t>3435130868</t>
  </si>
  <si>
    <t>404118, ВОЛГОГРАДСКАЯ ОБЛ, ВОЛЖСКИЙ Г, 87-Й ГВАРДЕЙСКОЙ УЛ, ДОМ 47Б, ОФИС 7</t>
  </si>
  <si>
    <t>Ковалёв Алексей Андреевич</t>
  </si>
  <si>
    <t>ryabova23@mail.ru'</t>
  </si>
  <si>
    <t>43.318366,45.692421</t>
  </si>
  <si>
    <t>ОБЩЕСТВО С ОГРАНИЧЕННОЙ ОТВЕТСТВЕННОСТЬЮ "БЕТОНТОРГ"</t>
  </si>
  <si>
    <t>"БЕТОНТОРГ"</t>
  </si>
  <si>
    <t>3435130762</t>
  </si>
  <si>
    <t>404112, ВОЛГОГРАДСКАЯ ОБЛ., Г. Волжский, УЛ. ПУШКИНА, Д. 87, КАБИНЕТ 1</t>
  </si>
  <si>
    <t>Щекатур Роман Петрович</t>
  </si>
  <si>
    <t>Betontorg34@mail.ru'</t>
  </si>
  <si>
    <t>53.264303,45.693858</t>
  </si>
  <si>
    <t>ОБЩЕСТВО С ОГРАНИЧЕННОЙ ОТВЕТСТВЕННОСТЬЮ "ЖБИ-134"</t>
  </si>
  <si>
    <t>"ЖБИ-134"</t>
  </si>
  <si>
    <t>3435137084</t>
  </si>
  <si>
    <t>404131, ВОЛГОГРАДСКАЯ ОБЛ., Г. Волжский, УЛ. АЛЕКСАНДРОВА, Д. 48В</t>
  </si>
  <si>
    <t>Спорыхин Николай Валериевич</t>
  </si>
  <si>
    <t>34@mail.ru'</t>
  </si>
  <si>
    <t>43.133052,45.774482</t>
  </si>
  <si>
    <t>Общество с ограниченной ответственностью "Мастер"</t>
  </si>
  <si>
    <t>"Мастер"</t>
  </si>
  <si>
    <t>3435123652</t>
  </si>
  <si>
    <t>404130, ВОЛГОГРАДСКАЯ ОБЛАСТЬ, ГОРОД ВОЛЖСКИЙ, УЛИЦА 7-Я АВТОДОРОГА, ДОМ 22А, КОМНАТА 1</t>
  </si>
  <si>
    <t>Маскаев Валерий Алексеевич</t>
  </si>
  <si>
    <t>+7 (961) 686-73-33'</t>
  </si>
  <si>
    <t>aton@yandex.ru'</t>
  </si>
  <si>
    <t>51.446083,45.848665</t>
  </si>
  <si>
    <t>ОБЩЕСТВО С ОГРАНИЧЕННОЙ ОТВЕТСТВЕННОСТЬЮ "ДЖИГИТ-ЖБИ"</t>
  </si>
  <si>
    <t>"ДЖИГИТ-ЖБИ"</t>
  </si>
  <si>
    <t>0600004230</t>
  </si>
  <si>
    <t>386150, Республика Ингушетия, НАЗРАНОВСКИЙ, 2 ЭКАЖЕВО, С ЭКАЖЕВО, УЛ ИТАЗОВА, Д. 4</t>
  </si>
  <si>
    <t>Боров Исса Израилович</t>
  </si>
  <si>
    <t>43.292544,45.864394</t>
  </si>
  <si>
    <t>ОБЩЕСТВО С ОГРАНИЧЕННОЙ ОТВЕТСТВЕННОСТЬЮ "МАЛИК"</t>
  </si>
  <si>
    <t>"МАЛИК"</t>
  </si>
  <si>
    <t>0608028049</t>
  </si>
  <si>
    <t>386150, РЕСПУБЛИКА ИНГУШЕТИЯ, НАЗРАНОВСКИЙ Р-Н, С ЭКАЖЕВО, УЛ ИТАЗОВА, Д 23</t>
  </si>
  <si>
    <t>Ефремов Дмитрий Александрович</t>
  </si>
  <si>
    <t>51.43591,45.866649</t>
  </si>
  <si>
    <t>ОБЩЕСТВО С ОГРАНИЧЕННОЙ ОТВЕТСТВЕННОСТЬЮ "ВОЛЖСКИЙ КИРПИЧ"</t>
  </si>
  <si>
    <t>"ВОЛЖСКИЙ КИРПИЧ"</t>
  </si>
  <si>
    <t>3435305028</t>
  </si>
  <si>
    <t>404130, ВОЛГОГРАДСКАЯ ОБЛАСТЬ, ГОРОД ВОЛЖСКИЙ, УЛИЦА 7-Я АВТОДОРОГА, 30</t>
  </si>
  <si>
    <t>Арзамасцева Оксана Сергеевна</t>
  </si>
  <si>
    <t>chikarkova2011@mail.ru'</t>
  </si>
  <si>
    <t>51.620487,45.874572</t>
  </si>
  <si>
    <t>ОБЩЕСТВО С ОГРАНИЧЕННОЙ ОТВЕТСТВЕННОСТЬЮ "АКВАМАРИН"</t>
  </si>
  <si>
    <t>"АКВАМАРИН"</t>
  </si>
  <si>
    <t>0608029067</t>
  </si>
  <si>
    <t>386124, РЕСПУБЛИКА ИНГУШЕТИЯ, НАЗРАНОВСКИЙ Р-Н, С ПЛИЕВО, УЛ ОДЕССКАЯ, Д 31</t>
  </si>
  <si>
    <t>Кодзоев Умалат Суламбекович</t>
  </si>
  <si>
    <t>+7 (928) 743-42-95'</t>
  </si>
  <si>
    <t>51.605577,45.877806</t>
  </si>
  <si>
    <t>ОБЩЕСТВО С ОГРАНИЧЕННОЙ ОТВЕТСТВЕННОСТЬЮ "РАДОН"</t>
  </si>
  <si>
    <t>"РАДОН"</t>
  </si>
  <si>
    <t>0608047637</t>
  </si>
  <si>
    <t>386150, РЕСПУБЛИКА ИНГУШЕТИЯ, НАЗРАНОВСКИЙ Р-Н, С ЭКАЖЕВО, УЛ ЛУГОВАЯ, Д 38</t>
  </si>
  <si>
    <t>Шутаев Анди Абдул-Шаидович</t>
  </si>
  <si>
    <t>+7 (928) 056-73-08'</t>
  </si>
  <si>
    <t>51.710381,45.880321</t>
  </si>
  <si>
    <t>ОБЩЕСТВО С ОГРАНИЧЕННОЙ ОТВЕТСТВЕННОСТЬЮ "ФАСМА"</t>
  </si>
  <si>
    <t>"ФАСМА"</t>
  </si>
  <si>
    <t>0608032581</t>
  </si>
  <si>
    <t>386124, РЕСПУБЛИКА ИНГУШЕТИЯ, НАЗРАНОВСКИЙ Р-Н, С ПЛИЕВО, УЛ ГАРДАНОВА, Д 26</t>
  </si>
  <si>
    <t>Гиреев Магомет Азаматгиреевич</t>
  </si>
  <si>
    <t>+7 (928) 697-61-22'</t>
  </si>
  <si>
    <t>43.283547,45.881678</t>
  </si>
  <si>
    <t>ОБЩЕСТВО С ОГРАНИЧЕННОЙ ОТВЕТСТВЕННОСТЬЮ "Трубопроводные покрытия и технологии"</t>
  </si>
  <si>
    <t>"Трубопроводные покрытия и технологии"</t>
  </si>
  <si>
    <t>3435308501</t>
  </si>
  <si>
    <t>404103, ВОЛГОГРАДСКАЯ ОБЛАСТЬ, Г. ВОЛЖСКИЙ, УЛ. АЛЕКСАНДРОВА, Д.63</t>
  </si>
  <si>
    <t>Рындовский Андрей Эрикович</t>
  </si>
  <si>
    <t>+7 (499) 705-18-58', '+7 (937) 089-88-62'</t>
  </si>
  <si>
    <t>info@concpipe.ru', 'e@concpipe.ru'</t>
  </si>
  <si>
    <t>53.140023,45.885927</t>
  </si>
  <si>
    <t>ОБЩЕСТВО С ОГРАНИЧЕННОЙ ОТВЕТСТВЕННОСТЬЮ "СРЕДНЕАХТУБИНСКИЙ КОМБИНАТ СТРОИТЕЛЬНЫХ МАТЕРИАЛОВ И КОНСТРУКЦИЙ"</t>
  </si>
  <si>
    <t>"СРЕДНЕАХТУБИНСКИЙ КОМБИНАТ СТРОИТЕЛЬНЫХ МАТЕРИАЛОВ И КОНСТРУКЦИЙ"</t>
  </si>
  <si>
    <t>3428989063</t>
  </si>
  <si>
    <t>404143, ВОЛГОГРАДСКАЯ ОБЛАСТЬ, РАЙОН СРЕДНЕАХТУБИНСКИЙ, РАБОЧИЙ ПОСЕЛОК СРЕДНЯЯ АХТУБА, УЛИЦА КУЗНЕЦКАЯ, 28</t>
  </si>
  <si>
    <t>Решетников Николай Алексеевич</t>
  </si>
  <si>
    <t>+7 (927) 520-75-08', '+7 (902) 362-44-21'</t>
  </si>
  <si>
    <t>51.605185,45.9132</t>
  </si>
  <si>
    <t>ОБЩЕСТВО С ОГРАНИЧЕННОЙ ОТВЕТСТВЕННОСТЬЮ "МЕГАТОРГ"</t>
  </si>
  <si>
    <t>"МЕГАТОРГ"</t>
  </si>
  <si>
    <t>0608047700</t>
  </si>
  <si>
    <t>386125, РЕСПУБЛИКА ИНГУШЕТИЯ, НАЗРАНОВСКИЙ Р-Н, С АЛИ-ЮРТ, ПЕРЕУЛОК ИМ ШОВХАЛА ГАНИЖЕВА, Д 41</t>
  </si>
  <si>
    <t>Арсагова Евгения Анатольевна</t>
  </si>
  <si>
    <t>+7 (964) 056-73-08'</t>
  </si>
  <si>
    <t>АКЦИОНЕРНОЕ ОБЩЕСТВО "ЗАВОД ПО ПРОИЗВОДСТВУ СБОРНО-МОНОЛИТНОГО БЕТОНА"</t>
  </si>
  <si>
    <t>"ЗАВОД ПО ПРОИЗВОДСТВУ СБОРНО-МОНОЛИТНОГО БЕТОНА"</t>
  </si>
  <si>
    <t>0603022879</t>
  </si>
  <si>
    <t>386230, РЕСПУБЛИКА ИНГУШЕТИЯ, Г КАРАБУЛАК, УЛ ОСКАНОВА, Д 1</t>
  </si>
  <si>
    <t>Даурбеков Руслан Мухарбекович</t>
  </si>
  <si>
    <t>ОБЩЕСТВО С ОГРАНИЧЕННОЙ ОТВЕТСТВЕННОСТЬЮ "МВ-Строй"</t>
  </si>
  <si>
    <t>"МВ-Строй"</t>
  </si>
  <si>
    <t>5836638437</t>
  </si>
  <si>
    <t>440045, ПЕНЗЕНСКАЯ ОБЛАСТЬ, Г. ПЕНЗА, УЛ. ЛАДОЖСКАЯ, Д. 110, ПОМЕЩ. 4</t>
  </si>
  <si>
    <t>Балалаев Николай Александрович</t>
  </si>
  <si>
    <t>+7 (903) 323-33-73'</t>
  </si>
  <si>
    <t>43.248977,45.919227</t>
  </si>
  <si>
    <t>ОБЩЕСТВО С ОГРАНИЧЕННОЙ ОТВЕТСТВЕННОСТЬЮ "ЮГТОРГ"</t>
  </si>
  <si>
    <t>"ЮГТОРГ"</t>
  </si>
  <si>
    <t>2310188250</t>
  </si>
  <si>
    <t>КРАСНОДАРСКИЙ КРАЙ,Г АНАПА,УЛ ЛЕРМОНТОВА, Д 121</t>
  </si>
  <si>
    <t>Шехтман Олег Максович</t>
  </si>
  <si>
    <t>+7 (928) 848-88-35'</t>
  </si>
  <si>
    <t>51.602796,45.941416</t>
  </si>
  <si>
    <t>ОБЩЕСТВО С ОГРАНИЧЕННОЙ ОТВЕТСТВЕННОСТЬЮ "БЛОК-24"</t>
  </si>
  <si>
    <t>"БЛОК-24"</t>
  </si>
  <si>
    <t>0608026348</t>
  </si>
  <si>
    <t>386147, РЕСПУБЛИКА ИНГУШЕТИЯ, НАЗРАНОВСКИЙ Р-Н, С СУРХАХИ, УЛ ЮЖНАЯ, Д 35</t>
  </si>
  <si>
    <t>Евлоев Магомед Адамович</t>
  </si>
  <si>
    <t>51.584987,45.954369</t>
  </si>
  <si>
    <t>ОБЩЕСТВО С ОГРАНИЧЕННОЙ ОТВЕТСТВЕННОСТЬЮ "Строй Пром Обеспечение"</t>
  </si>
  <si>
    <t>"Строй Пром Обеспечение"</t>
  </si>
  <si>
    <t>5835096196</t>
  </si>
  <si>
    <t>440071, ПЕНЗЕНСКАЯ ОБЛАСТЬ, ГОРОД ПЕНЗА, УЛИЦА ЛЯДОВА, ДОМ 16,..</t>
  </si>
  <si>
    <t>Казаков Александр Викторович</t>
  </si>
  <si>
    <t>+7 (927) 381-27-77', '+7 (963) 109-92-68'</t>
  </si>
  <si>
    <t>51.566449,45.978929</t>
  </si>
  <si>
    <t>0608047757</t>
  </si>
  <si>
    <t>386147, РЕСПУБЛИКА ИНГУШЕТИЯ, НАЗРАНОВСКИЙ Р-Н, С СУРХАХИ, УЛ ГОРНАЯ, Д 47 А</t>
  </si>
  <si>
    <t>Костоева Патимат Умаровна</t>
  </si>
  <si>
    <t>+7 (928) 797-82-78'</t>
  </si>
  <si>
    <t>51.515479,45.980915</t>
  </si>
  <si>
    <t>2312229569</t>
  </si>
  <si>
    <t>КРАСНОДАРСКИЙ КРАЙ,Г АНАПА,УЛ НОВОРОССИЙСКАЯ 264..</t>
  </si>
  <si>
    <t>Малхасян Армен Багратович</t>
  </si>
  <si>
    <t>+7 (903) 519-09-09'</t>
  </si>
  <si>
    <t>43.167484,45.98785</t>
  </si>
  <si>
    <t>ОБЩЕСТВО С ОГРАНИЧЕННОЙ ОТВЕТСТВЕННОСТЬЮ "ЭЛЕОС"</t>
  </si>
  <si>
    <t>"ЭЛЕОС"</t>
  </si>
  <si>
    <t>0608038720</t>
  </si>
  <si>
    <t>386230, РЕСПУБЛИКА ИНГУШЕТИЯ, Г КАРАБУЛАК, УЛ ПРОМЫШЛЕННАЯ, Д 7, ЭТАЖ 1 ОФИС 1</t>
  </si>
  <si>
    <t>Мальсагов Ваха Юнусович</t>
  </si>
  <si>
    <t>+7 (928) 096-93-96'</t>
  </si>
  <si>
    <t>51.513652,45.998486</t>
  </si>
  <si>
    <t>ОБЩЕСТВО С ОГРАНИЧЕННОЙ ОТВЕТСТВЕННОСТЬЮ "Производственно-коммерческая фирма "СТРОЙКОМПЛЕКТАЦИЯ"</t>
  </si>
  <si>
    <t>"Производственно-коммерческая фирма "СТРОЙКОМПЛЕКТАЦИЯ"</t>
  </si>
  <si>
    <t>7203336376</t>
  </si>
  <si>
    <t>72-Тюменская область</t>
  </si>
  <si>
    <t>ТЮМЕНСКАЯ ОБЛ.,ВАГАЙСКИЙ Р-Н,П КОМСОМОЛЬСКИЙ,УЛ ЦЕНТРАЛЬНАЯ,Д 25</t>
  </si>
  <si>
    <t>Зарубина Галина Сергеевна</t>
  </si>
  <si>
    <t>51.611718,45.998926</t>
  </si>
  <si>
    <t>ОБЩЕСТВО С ОГРАНИЧЕННОЙ ОТВЕТСТВЕННОСТЬЮ "ДСК РУЗАЕВСКИЙ"</t>
  </si>
  <si>
    <t>"ДСК РУЗАЕВСКИЙ"</t>
  </si>
  <si>
    <t>1324003155</t>
  </si>
  <si>
    <t>431441, МОРДОВИЯ РЕСПУБЛИКА, Г. РУЗАЕВКА, УЛ. МИРА, Д. 21, ОФИС 401</t>
  </si>
  <si>
    <t>Кусайкин Андрей Вячеславович</t>
  </si>
  <si>
    <t>ОБЩЕСТВО С ОГРАНИЧЕННОЙ ОТВЕТСТВЕННОСТЬЮ "ВЕГА"</t>
  </si>
  <si>
    <t>"ВЕГА"</t>
  </si>
  <si>
    <t>2339016494</t>
  </si>
  <si>
    <t>КРАСНОДАРСКИЙ КРАЙ,Г КУРГАНИНСК,АРМАВИРСКОЕ ШОССЕ, Д 1</t>
  </si>
  <si>
    <t>Ельчанинов Сергей Владимирович</t>
  </si>
  <si>
    <t>+7 (918) 391-10-01'</t>
  </si>
  <si>
    <t>51.533562,46.034266</t>
  </si>
  <si>
    <t>ОБЩЕСТВО С ОГРАНИЧЕННОЙ ОТВЕТСТВЕННОСТЬЮ "ЭКОСТРОМ"</t>
  </si>
  <si>
    <t>"ЭКОСТРОМ"</t>
  </si>
  <si>
    <t>5835039046</t>
  </si>
  <si>
    <t>Г ПЕНЗА,ПРОСПЕКТ СТРОИТЕЛЕЙ,68-69</t>
  </si>
  <si>
    <t>Алымов Сергей Валерьевич</t>
  </si>
  <si>
    <t>ОБЩЕСТВО С ОГРАНИЧЕННОЙ ОТВЕТСТВЕННОСТЬЮ "ИНГСТРОМ"</t>
  </si>
  <si>
    <t>"ИНГСТРОМ"</t>
  </si>
  <si>
    <t>0608030538</t>
  </si>
  <si>
    <t>386147, РЕСПУБЛИКА ИНГУШЕТИЯ, НАЗРАНОВСКИЙ Р-Н, С СУРХАХИ, УЛ СОВХОЗНАЯ, Б/Н</t>
  </si>
  <si>
    <t>Манкиев Адам Юнузович</t>
  </si>
  <si>
    <t>+7 (906) 488-46-09', '+7 (928) 743-40-86'</t>
  </si>
  <si>
    <t>51.532711,46.045225</t>
  </si>
  <si>
    <t>0106011130</t>
  </si>
  <si>
    <t>РЕСПУБЛИКА АДЫГЕЯ (АДЫГЕЯ),ТАХТАМУКАЙСКИЙ Р-Н,РП ЭНЕМ</t>
  </si>
  <si>
    <t>Тарасенко Михаил Игоревич</t>
  </si>
  <si>
    <t>+7 (918) 448-17-78'</t>
  </si>
  <si>
    <t>51.556561,46.065662</t>
  </si>
  <si>
    <t>ОБЩЕСТВО С ОГРАНИЧЕННОЙ ОТВЕТСТВЕННОСТЬЮ "ПАРНАС"</t>
  </si>
  <si>
    <t>"ПАРНАС"</t>
  </si>
  <si>
    <t>5835135430</t>
  </si>
  <si>
    <t>440040, ПЕНЗЕНСКАЯ ОБЛАСТЬ, Г. ПЕНЗА, УЛ. ЮБИЛЕЙНАЯ, Д. 16, ПОМЕЩ. 2</t>
  </si>
  <si>
    <t>51.529943,46.065967</t>
  </si>
  <si>
    <t>2339000913</t>
  </si>
  <si>
    <t>КРАСНОДАРСКИЙ КРАЙ,Г КУРГАНИНСК,МИХАЙЛОВСКОЕ ШОССЕ, Д 1</t>
  </si>
  <si>
    <t>Расулов Бакир Османович</t>
  </si>
  <si>
    <t>kurgmonolit@mail.ru'</t>
  </si>
  <si>
    <t>43.216004,46.072758</t>
  </si>
  <si>
    <t>1324003130</t>
  </si>
  <si>
    <t>431444, МОРДОВИЯ РЕСПУБЛИКА, ГОРОД РУЗАЕВКА, УЛИЦА СТРОИТЕЛЬНАЯ, ДОМ 2, ОФИС 102</t>
  </si>
  <si>
    <t>Коронцевич Елена Николаевна</t>
  </si>
  <si>
    <t>51.494781,46.074187</t>
  </si>
  <si>
    <t>ОБЩЕСТВО С ОГРАНИЧЕННОЙ ОТВЕТСТВЕННОСТЬЮ "ОРБИТА"</t>
  </si>
  <si>
    <t>"ОРБИТА"</t>
  </si>
  <si>
    <t>2337027437</t>
  </si>
  <si>
    <t>КРАСНОДАРСКИЙ КРАЙ,Г КРЫМСК,УЛ ШЕВЧЕНКО, Д 179</t>
  </si>
  <si>
    <t>Гулиев Александр Шахларович</t>
  </si>
  <si>
    <t>51.500775,46.091479</t>
  </si>
  <si>
    <t>ОБЩЕСТВО С ОГРАНИЧЕННОЙ ОТВЕТСТВЕННОСТЬЮ "ПРОИЗВОДСТВЕННО-СТРОИТЕЛЬНАЯ КОМПАНИЯ "ДОМ"</t>
  </si>
  <si>
    <t>"ПРОИЗВОДСТВЕННО-СТРОИТЕЛЬНАЯ КОМПАНИЯ "ДОМ"</t>
  </si>
  <si>
    <t>1324003860</t>
  </si>
  <si>
    <t>431444, Республика Мордовия, муниципальный район РУЗАЕВСКИЙ, Город РУЗАЕВКА, городское поселение РУЗАЕВКА, УЛ ПЕТРОВА, Д. 23, ЭТАЖ/ПОМЕЩ. 4/7</t>
  </si>
  <si>
    <t>Гатауллин Рамиль Назимович</t>
  </si>
  <si>
    <t>RAM_75@MAIL.RU'</t>
  </si>
  <si>
    <t>54.266137,46.093348</t>
  </si>
  <si>
    <t>ОБЩЕСТВО С ОГРАНИЧЕННОЙ ОТВЕТСТВЕННОСТЬЮ "Я-БЛОК"</t>
  </si>
  <si>
    <t>"Я-БЛОК"</t>
  </si>
  <si>
    <t>1324003821</t>
  </si>
  <si>
    <t>431444, Республика Мордовия, муниципальный район РУЗАЕВСКИЙ, Город РУЗАЕВКА, городское поселение РУЗАЕВКА, УЛ ПЕТРОВА, Д. 23, ЭТАЖ 4, ПОМЕЩ. 25</t>
  </si>
  <si>
    <t>Еникеев Матвей Константинович</t>
  </si>
  <si>
    <t>BLOK@MAIL.RU'</t>
  </si>
  <si>
    <t>51.5035,46.108727</t>
  </si>
  <si>
    <t>ОБЩЕСТВО С ОГРАНИЧЕННОЙ ОТВЕТСТВЕННОСТЬЮ "ЗД-БЕТОН"</t>
  </si>
  <si>
    <t>"ЗД-БЕТОН"</t>
  </si>
  <si>
    <t>5837081082</t>
  </si>
  <si>
    <t>440031, ПЕНЗЕНСКАЯ ОБЛ., Г. Пенза, УЛ. ПОДОЛЬСКАЯ, СТР. 68, ПОМЕЩ. 1</t>
  </si>
  <si>
    <t>Марушкина Любовь Валерьевна</t>
  </si>
  <si>
    <t>3DBETON@MAIL.RU'</t>
  </si>
  <si>
    <t>51.495841,46.116686</t>
  </si>
  <si>
    <t>ОБЩЕСТВО С ОГРАНИЧЕННОЙ ОТВЕТСТВЕННОСТЬЮ "БЕТОНИУМ"</t>
  </si>
  <si>
    <t>"БЕТОНИУМ"</t>
  </si>
  <si>
    <t>5835115265</t>
  </si>
  <si>
    <t>440028, ПЕНЗЕНСКАЯ ОБЛАСТЬ, ГОРОД ПЕНЗА, УЛИЦА СТРОИТЕЛЕЙ, ДОМ 1Б</t>
  </si>
  <si>
    <t>Кирюхин Иван Геннадьевич</t>
  </si>
  <si>
    <t>+7 (927) 289-38-82'</t>
  </si>
  <si>
    <t>mlarionova@trzh.ru'</t>
  </si>
  <si>
    <t>51.456214,46.128957</t>
  </si>
  <si>
    <t>ОБЩЕСТВО С ОГРАНИЧЕННОЙ ОТВЕТСТВЕННОСТЬЮ "СМЦ"</t>
  </si>
  <si>
    <t>"СМЦ"</t>
  </si>
  <si>
    <t>5837038545</t>
  </si>
  <si>
    <t>Галкин Андрей Сергеевич</t>
  </si>
  <si>
    <t>mlarionova@trzh.ru', 'mkondrashina@trzh.ru', 'mlarionova@trzh.ru'</t>
  </si>
  <si>
    <t>51.493716,46.15764</t>
  </si>
  <si>
    <t>ОБЩЕСТВО С ОГРАНИЧЕННОЙ ОТВЕТСТВЕННОСТЬЮ "Мосстройкомплект"</t>
  </si>
  <si>
    <t>"Мосстройкомплект"</t>
  </si>
  <si>
    <t>5837045888</t>
  </si>
  <si>
    <t>440058, ПЕНЗЕНСКАЯ ОБЛАСТЬ, ГОРОД ПЕНЗА, УЛИЦА БИЙСКАЯ, 1К</t>
  </si>
  <si>
    <t>Полтораченко Петр Петрович</t>
  </si>
  <si>
    <t>ОБЩЕСТВО С ОГРАНИЧЕННОЙ ОТВЕТСТВЕННОСТЬЮ "ПРОЕКТ +"</t>
  </si>
  <si>
    <t>"ПРОЕКТ +"</t>
  </si>
  <si>
    <t>5835077041</t>
  </si>
  <si>
    <t>440028, ПЕНЗЕНСКАЯ ОБЛАСТЬ, ГОРОД ПЕНЗА, УЛИЦА СТРОИТЕЛЕЙ, 5В</t>
  </si>
  <si>
    <t>Жданов Никита Николаевич</t>
  </si>
  <si>
    <t>54.429484,46.312159</t>
  </si>
  <si>
    <t>ОБЩЕСТВО С ОГРАНИЧЕННОЙ ОТВЕТСТВЕННОСТЬЮ "АРБЕКО"</t>
  </si>
  <si>
    <t>"АРБЕКО"</t>
  </si>
  <si>
    <t>5837068050</t>
  </si>
  <si>
    <t>440031, ПЕНЗЕНСКАЯ ОБЛАСТЬ, ГОРОД ПЕНЗА, УЛИЦА ИЖЕВСКАЯ, ДОМ 1А</t>
  </si>
  <si>
    <t>Морозов Алексей Владимирович</t>
  </si>
  <si>
    <t>+7 (906) 158-58-68'</t>
  </si>
  <si>
    <t>43.508043,46.336108</t>
  </si>
  <si>
    <t>ОБЩЕСТВО С ОГРАНИЧЕННОЙ ОТВЕТСТВЕННОСТЬЮ "ПЖЗ-ЮГ"</t>
  </si>
  <si>
    <t>"ПЖЗ-ЮГ"</t>
  </si>
  <si>
    <t>2373008831</t>
  </si>
  <si>
    <t>КРАСНОДАРСКИЙ КРАЙ,Г АРМАВИР,УЛ ХАЛТУРИНА, Д 229</t>
  </si>
  <si>
    <t>Михно Алексей Александрович</t>
  </si>
  <si>
    <t>42.597644,46.341355</t>
  </si>
  <si>
    <t>ОБЩЕСТВО С ОГРАНИЧЕННОЙ ОТВЕТСТВЕННОСТЬЮ "ЮГО-ЗАПАД"</t>
  </si>
  <si>
    <t>"ЮГО-ЗАПАД"</t>
  </si>
  <si>
    <t>2635079374</t>
  </si>
  <si>
    <t>Г СТАВРОПОЛЬ,ПРОЕЗД 3-Й ЮГО-ЗАПАДНЫЙ, Д 11</t>
  </si>
  <si>
    <t>+7 (928) 010-06-76'</t>
  </si>
  <si>
    <t>56.201134,46.529381</t>
  </si>
  <si>
    <t>ОБЩЕСТВО С ОГРАНИЧЕННОЙ ОТВЕТСТВЕННОСТЬЮ "ТЕРИС"</t>
  </si>
  <si>
    <t>"ТЕРИС"</t>
  </si>
  <si>
    <t>5837081318</t>
  </si>
  <si>
    <t>440034, ПЕНЗЕНСКАЯ ОБЛ., Г. Пенза, УЛ. КАЛИНИНА, ВЛД. 133</t>
  </si>
  <si>
    <t>Макаров Анатолий Иванович</t>
  </si>
  <si>
    <t>NELSON1918M@GMAIL.COM'</t>
  </si>
  <si>
    <t>43.204374,46.532983</t>
  </si>
  <si>
    <t>ОБЩЕСТВО С ОГРАНИЧЕННОЙ ОТВЕТСТВЕННОСТЬЮ  "СТРОЙ-МОНОЛИТ"</t>
  </si>
  <si>
    <t xml:space="preserve"> "СТРОЙ-МОНОЛИТ"</t>
  </si>
  <si>
    <t>5836309753</t>
  </si>
  <si>
    <t>Г ПЕНЗА,УЛ ВОРОШИЛОВА,12 А -80</t>
  </si>
  <si>
    <t>Зорин Роман Николаевич</t>
  </si>
  <si>
    <t>53.127749,46.572482</t>
  </si>
  <si>
    <t>ОБЩЕСТВО С ОГРАНИЧЕННОЙ ОТВЕТСТВЕННОСТЬЮ " ПЛИТКАПРОФФ"</t>
  </si>
  <si>
    <t>" ПЛИТКАПРОФФ"</t>
  </si>
  <si>
    <t>2311163509</t>
  </si>
  <si>
    <t>Г КРАСНОДАР,УЛ КУБАНО-НАБЕРЕЖНАЯ 128</t>
  </si>
  <si>
    <t>Чеучев Руслан Владимирович</t>
  </si>
  <si>
    <t>+7 (918) 924-60-70'</t>
  </si>
  <si>
    <t>43.088462,46.573731</t>
  </si>
  <si>
    <t>ОБЩЕСТВО С ОГРАНИЧЕННОЙ ОТВЕТСТВЕННОСТЬЮ " МОНОЛИТ"</t>
  </si>
  <si>
    <t>" МОНОЛИТ"</t>
  </si>
  <si>
    <t>2352031910</t>
  </si>
  <si>
    <t>КРАСНОДАРСКИЙ КРАЙ,Г ТЕМРЮК,УЛ БЕРЕГОВАЯ 1</t>
  </si>
  <si>
    <t>Савватеев Александр Юрьевич</t>
  </si>
  <si>
    <t>43.259719,46.58134</t>
  </si>
  <si>
    <t>5834121241</t>
  </si>
  <si>
    <t>440061, ПЕНЗЕНСКАЯ ОБЛАСТЬ, ГОРОД ПЕНЗА, УЛИЦА ЛУНАЧАРСКОГО, ДОМ 53,..</t>
  </si>
  <si>
    <t>Моторкин Сергей Викторович</t>
  </si>
  <si>
    <t>kitanina77@mail.ru', 'buhgalter@mail.ru'</t>
  </si>
  <si>
    <t>54.846597,46.594778</t>
  </si>
  <si>
    <t>ОБЩЕСТВО С ОГРАНИЧЕННОЙ ОТВЕТСТВЕННОСТЬЮ "ТЕХНОСТРОЙ"</t>
  </si>
  <si>
    <t>"ТЕХНОСТРОЙ"</t>
  </si>
  <si>
    <t>0603022082</t>
  </si>
  <si>
    <t>386241, РЕСПУБЛИКА ИНГУШЕТИЯ, СУНЖЕНСКИЙ Р-Н, С АЛХАСТЫ, УЛ НАБЕРЕЖНАЯ, Д 31</t>
  </si>
  <si>
    <t>Хамхоева Луиза Алихановна</t>
  </si>
  <si>
    <t>43.257658,46.60837</t>
  </si>
  <si>
    <t>ОБЩЕСТВО С ОГРАНИЧЕННОЙ ОТВЕТСТВЕННОСТЬЮ "АРТЗАВОД"</t>
  </si>
  <si>
    <t>"АРТЗАВОД"</t>
  </si>
  <si>
    <t>5834126539</t>
  </si>
  <si>
    <t>440008, ПЕНЗЕНСКАЯ ОБЛАСТЬ, ГОРОД ПЕНЗА, УЛИЦА БАКУНИНА, ДОМ 132А,..</t>
  </si>
  <si>
    <t>Кулёва Ольга Витальевна</t>
  </si>
  <si>
    <t>+7 (902) 354-93-79'</t>
  </si>
  <si>
    <t>43.257113,46.609403</t>
  </si>
  <si>
    <t>ОБЩЕСТВО С ОГРАНИЧЕННОЙ ОТВЕТСТВЕННОСТЬЮ СТРОИТЕЛЬНАЯ КОМПАНИЯ "АРСГРУПП"</t>
  </si>
  <si>
    <t>СТРОИТЕЛЬНАЯ КОМПАНИЯ "АРСГРУПП"</t>
  </si>
  <si>
    <t>5835126108</t>
  </si>
  <si>
    <t>440015, ПЕНЗЕНСКАЯ ОБЛАСТЬ, ГОРОД ПЕНЗА, УЛИЦА БАЙДУКОВА, ДОМ 67, ЛИТЕР Д, ОФИС 2</t>
  </si>
  <si>
    <t>Суровцова Ольга Александровна</t>
  </si>
  <si>
    <t>+7 (927) 375-25-06'</t>
  </si>
  <si>
    <t>ОБЩЕСТВО С ОГРАНИЧЕННОЙ ОТВЕТСТВЕННОСТЬЮ "РОСТ"</t>
  </si>
  <si>
    <t>"РОСТ"</t>
  </si>
  <si>
    <t>5829901165</t>
  </si>
  <si>
    <t>440034, ПЕНЗЕНСКАЯ ОБЛАСТЬ, ГОРОД ПЕНЗА, УЛИЦА КАЛИНИНА, СТР 108Б</t>
  </si>
  <si>
    <t>Терешкина Елена Анатольевна</t>
  </si>
  <si>
    <t>53.119778,46.639784</t>
  </si>
  <si>
    <t>ОБЩЕСТВО С ОГРАНИЧЕННОЙ ОТВЕТСТВЕННОСТЬЮ "БЕТРА"</t>
  </si>
  <si>
    <t>"БЕТРА"</t>
  </si>
  <si>
    <t>5836625396</t>
  </si>
  <si>
    <t>Г ПЕНЗА,УЛ ПЛЕХАНОВА,26</t>
  </si>
  <si>
    <t>Каравайкин Дмитрий Николаевич</t>
  </si>
  <si>
    <t>43.354312,46.644213</t>
  </si>
  <si>
    <t>ОБЩЕСТВО С ОГРАНИЧЕННОЙ ОТВЕТСТВЕННОСТЬЮ "СТРОИТЕЛЬНЫЕ ТЕХНОЛОГИИ БУДУЩЕГО"</t>
  </si>
  <si>
    <t>"СТРОИТЕЛЬНЫЕ ТЕХНОЛОГИИ БУДУЩЕГО"</t>
  </si>
  <si>
    <t>5836660908</t>
  </si>
  <si>
    <t>440020, ПЕНЗЕНСКАЯ ОБЛАСТЬ, Г. ПЕНЗА, УЛ. ВОЛОДАРСКОГО, Д.22А,..</t>
  </si>
  <si>
    <t>Гришин Дмитрий Владимирович</t>
  </si>
  <si>
    <t>+7 (927) 392-07-09'</t>
  </si>
  <si>
    <t>53.045513,46.648426</t>
  </si>
  <si>
    <t>ОБЩЕСТВО С ОГРАНИЧЕННОЙ ОТВЕТСТВЕННОСТЬЮ "БЕТОННЫЙ ЗАВОД ТЕРНОВСКИЙ"</t>
  </si>
  <si>
    <t>"БЕТОННЫЙ ЗАВОД ТЕРНОВСКИЙ"</t>
  </si>
  <si>
    <t>5836673350</t>
  </si>
  <si>
    <t>440026, ПЕНЗЕНСКАЯ ОБЛАСТЬ, Г. ПЕНЗА, УЛ. ВОЛОДАРСКОГО, ВЛД 9, ОФИС 115</t>
  </si>
  <si>
    <t>Понаморев Игорь Вячеславович</t>
  </si>
  <si>
    <t>43.830038,46.69062</t>
  </si>
  <si>
    <t>ОБЩЕСТВО С ОГРАНИЧЕННОЙ ОТВЕТСТВЕННОСТЬЮ "ПРОМ-ЖБИ"</t>
  </si>
  <si>
    <t>"ПРОМ-ЖБИ"</t>
  </si>
  <si>
    <t>5834126440</t>
  </si>
  <si>
    <t>440000, ПЕНЗЕНСКАЯ ОБЛАСТЬ, Г. ПЕНЗА, УЛ. ВОЛОДАРСКОГО, ВЛД 86А, ЭТАЖ/ОФИС 2/21</t>
  </si>
  <si>
    <t>Иванова Вера Александровна</t>
  </si>
  <si>
    <t>51.695383,46.735553</t>
  </si>
  <si>
    <t>5836897093</t>
  </si>
  <si>
    <t>440026, ПЕНЗЕНСКАЯ ОБЛ., Г. Пенза, УЛ. КИРОВА, СТР. 42, ОФИС 305</t>
  </si>
  <si>
    <t>Никулин Максим Александрович</t>
  </si>
  <si>
    <t>DGBI21@MAIL.RU'</t>
  </si>
  <si>
    <t>43.193221,46.770255</t>
  </si>
  <si>
    <t>ОБЩЕСТВО С ОГРАНИЧЕННОЙ ОТВЕТСТВЕННОСТЬЮ "СТРОЙМАТЕРИАЛЫ"</t>
  </si>
  <si>
    <t>"СТРОЙМАТЕРИАЛЫ"</t>
  </si>
  <si>
    <t>2310179810</t>
  </si>
  <si>
    <t>Г КРАСНОДАР,УЛ ГОГОЛЯ, Д 165</t>
  </si>
  <si>
    <t>Гладченко Виктор Дмитриевич</t>
  </si>
  <si>
    <t>+7 (861) 228-10-81', '+7 (861) 221-47-30', '+7 (861) 228-10-83', '+7 (861) 228-10-85'</t>
  </si>
  <si>
    <t>zaocm@mail.ru', 'zaocm@mail.ru'</t>
  </si>
  <si>
    <t>43.193458,46.810275</t>
  </si>
  <si>
    <t>ОБЩЕСТВО С ОГРАНИЧЕННОЙ ОТВЕТСТВЕННОСТЬЮ "РБСУ-1"</t>
  </si>
  <si>
    <t>"РБСУ-1"</t>
  </si>
  <si>
    <t>5834121795</t>
  </si>
  <si>
    <t>440015, ПЕНЗЕНСКАЯ ОБЛАСТЬ, ГОРОД ПЕНЗА, УЛИЦА ЕГОРОВА, ДОМ 3, ОФИС 5</t>
  </si>
  <si>
    <t>Москаева Анастасия Сергеевна</t>
  </si>
  <si>
    <t>rbsu@inbox.ru'</t>
  </si>
  <si>
    <t>43.166077,46.834081</t>
  </si>
  <si>
    <t>ОБЩЕСТВО С ОГРАНИЧЕННОЙ ОТВЕТСТВЕННОСТЬЮ "ГОСТ-БЕТОН"</t>
  </si>
  <si>
    <t>"ГОСТ-БЕТОН"</t>
  </si>
  <si>
    <t>2312216680</t>
  </si>
  <si>
    <t>http://gost-beton.ru</t>
  </si>
  <si>
    <t>Г КРАСНОДАР,УЛ РАШПИЛЕВСКАЯ, Д 36, К 711</t>
  </si>
  <si>
    <t>Соловьев Алексей Романович</t>
  </si>
  <si>
    <t>+7 (918) 219-90-09'</t>
  </si>
  <si>
    <t>43.196159,46.864875</t>
  </si>
  <si>
    <t>ОБЩЕСТВО С ОГРАНИЧЕННОЙ ОТВЕТСТВЕННОСТЬЮ "ТЕРМИНАЛСТРОЙКОМПЛЕКС"</t>
  </si>
  <si>
    <t>"ТЕРМИНАЛСТРОЙКОМПЛЕКС"</t>
  </si>
  <si>
    <t>2310052531</t>
  </si>
  <si>
    <t>Г КРАСНОДАР,УЛ КРАСНАЯ, 72</t>
  </si>
  <si>
    <t>Колесников Алексей Сергеевич</t>
  </si>
  <si>
    <t>+7 (861) 255-26-34', '+7 (965) 480-30-52'</t>
  </si>
  <si>
    <t>genja999@mail.ru'</t>
  </si>
  <si>
    <t>42.518635,46.88382</t>
  </si>
  <si>
    <t>ОБЩЕСТВО С ОГРАНИЧЕННОЙ ОТВЕТСТВЕННОСТЬЮ "АТОС"</t>
  </si>
  <si>
    <t>"АТОС"</t>
  </si>
  <si>
    <t>2312111912</t>
  </si>
  <si>
    <t>Г КРАСНОДАР,УЛ ЦВЕТОЧНАЯ, 29</t>
  </si>
  <si>
    <t>Шкарупа Андрей Петрович</t>
  </si>
  <si>
    <t>52.15252,46.963995</t>
  </si>
  <si>
    <t>ОБЩЕСТВО С ОГРАНИЧЕННОЙ ОТВЕТСТВЕННОСТЬЮ "СТРОИТЕЛЬНЫЕ КОНСТРУКЦИИ"</t>
  </si>
  <si>
    <t>"СТРОИТЕЛЬНЫЕ КОНСТРУКЦИИ"</t>
  </si>
  <si>
    <t>2634067190</t>
  </si>
  <si>
    <t>Г СТАВРОПОЛЬ,УЛ ПАРТИЗАНСКАЯ, Д 2</t>
  </si>
  <si>
    <t>Карибова Елена Васильевна</t>
  </si>
  <si>
    <t>+7 (918) 740-30-00'</t>
  </si>
  <si>
    <t>42.598202,46.965423</t>
  </si>
  <si>
    <t>ОБЩЕСТВО С ОГРАНИЧЕННОЙ ОТВЕТСТВЕННОСТЬЮ "СТРОЙКОРПОРАЦИЯ"</t>
  </si>
  <si>
    <t>"СТРОЙКОРПОРАЦИЯ"</t>
  </si>
  <si>
    <t>0603014733</t>
  </si>
  <si>
    <t>386204, РЕСПУБЛИКА ИНГУШЕТИЯ, Г СУНЖА, УЛ ГАРДАНОВА, Д 73 А</t>
  </si>
  <si>
    <t>Парижев Багаудин Магомед-Баширович</t>
  </si>
  <si>
    <t>+7 (928) 793-62-09', '+7 (928) 743-15-13'</t>
  </si>
  <si>
    <t>42.458033,47.005668</t>
  </si>
  <si>
    <t>ОБЩЕСТВО С ОГРАНИЧЕННОЙ ОТВЕТСТВЕННОСТЬЮ "СУНЖА БЕТОН"</t>
  </si>
  <si>
    <t>"СУНЖА БЕТОН"</t>
  </si>
  <si>
    <t>0603014934</t>
  </si>
  <si>
    <t>386202, РЕСПУБЛИКА ИНГУШЕТИЯ, Г СУНЖА, ул Менделеева, д 14</t>
  </si>
  <si>
    <t>Оздоева Дина Михайловна</t>
  </si>
  <si>
    <t>60.356274,47.083803</t>
  </si>
  <si>
    <t>ОБЩЕСТВО С ОГРАНИЧЕННОЙ ОТВЕТСТВЕННОСТЬЮ "СТРОИТЕЛЬНЫЕ ТЕХНОЛОГИИ И МАТЕРИАЛЫ"</t>
  </si>
  <si>
    <t>"СТРОИТЕЛЬНЫЕ ТЕХНОЛОГИИ И МАТЕРИАЛЫ"</t>
  </si>
  <si>
    <t>2632102321</t>
  </si>
  <si>
    <t>Г СТАВРОПОЛЬ,УЛ ЛЕНИНА, Д 415, КОМ 613</t>
  </si>
  <si>
    <t>Порублев Александр Сергеевич</t>
  </si>
  <si>
    <t>52.6967,47.129572</t>
  </si>
  <si>
    <t>ОБЩЕСТВО С ОГРАНИЧЕННОЙ ОТВЕТСТВЕННОСТЬЮ "Интервал"</t>
  </si>
  <si>
    <t>"Интервал"</t>
  </si>
  <si>
    <t>5835081016</t>
  </si>
  <si>
    <t>440015, ПЕНЗЕНСКАЯ ОБЛАСТЬ, ГОРОД ПЕНЗА, ПРОЕЗД АУСТРИНА, 3</t>
  </si>
  <si>
    <t>Пиманов Алексей Николаевич</t>
  </si>
  <si>
    <t>+7 (987) 519-33-44'</t>
  </si>
  <si>
    <t>42.817093,47.132204</t>
  </si>
  <si>
    <t>АКЦИОНЕРНОЕ ОБЩЕСТВО "КРАСНОДАРСКИЙ ЗАВОД ЖЕЛЕЗОБЕТОННЫХ ИЗДЕЛИЙ И КОНСТРУКЦИЙ"</t>
  </si>
  <si>
    <t>"КРАСНОДАРСКИЙ ЗАВОД ЖЕЛЕЗОБЕТОННЫХ ИЗДЕЛИЙ И КОНСТРУКЦИЙ"</t>
  </si>
  <si>
    <t>2312031047</t>
  </si>
  <si>
    <t>Г КРАСНОДАР,УЛ НОВОРОССИЙСКАЯ, Д 41</t>
  </si>
  <si>
    <t>Глушенков Константин Александрович</t>
  </si>
  <si>
    <t>+7 (861) 231-44-25'</t>
  </si>
  <si>
    <t>61.309868,47.134414</t>
  </si>
  <si>
    <t>ОТКРЫТОЕ АКЦИОНЕРНОЕ ОБЩЕСТВО "ОПЫТНЫЙ ЗАВОД ЖЕЛЕЗОБЕТОННЫХ ИЗДЕЛИЙ"</t>
  </si>
  <si>
    <t>ОТКРЫТОЕ "ОПЫТНЫЙ ЗАВОД ЖЕЛЕЗОБЕТОННЫХ ИЗДЕЛИЙ"</t>
  </si>
  <si>
    <t>2312017229</t>
  </si>
  <si>
    <t>Г КРАСНОДАР,УЛ НОВОРОССИЙСКАЯ, 43</t>
  </si>
  <si>
    <t>Дехтяренко Наталья Юриевна</t>
  </si>
  <si>
    <t>+7 (861) 231-58-96'</t>
  </si>
  <si>
    <t>ozgbi@mail.ru', 'ozgbi@mail.ru'</t>
  </si>
  <si>
    <t>ОБЩЕСТВО С ОГРАНИЧЕННОЙ ОТВЕТСТВЕННОСТЬЮ "ДЕМОС-ЮГ"</t>
  </si>
  <si>
    <t>"ДЕМОС-ЮГ"</t>
  </si>
  <si>
    <t>2310058371</t>
  </si>
  <si>
    <t>Г КРАСНОДАР,УЛ ИППОДРОМНАЯ, 51</t>
  </si>
  <si>
    <t>Горина Анастасия Михайловна</t>
  </si>
  <si>
    <t>+7 (861) 274-11-47', '+7 (988) 242-86-21'</t>
  </si>
  <si>
    <t>61.305781,47.160492</t>
  </si>
  <si>
    <t>ОБЩЕСТВО С ОГРАНИЧЕННОЙ ОТВЕТСТВЕННОСТЬЮ "СТРОЙДОМ"</t>
  </si>
  <si>
    <t>"СТРОЙДОМ"</t>
  </si>
  <si>
    <t>2368006620</t>
  </si>
  <si>
    <t>http://stroydom-tver.ru</t>
  </si>
  <si>
    <t>Г КРАСНОДАР,УЛ КОТОВСКОГО, Д 42</t>
  </si>
  <si>
    <t>Урман Софья Борисовна</t>
  </si>
  <si>
    <t>+7 (918) 451-05-88'</t>
  </si>
  <si>
    <t>56.128807,47.162271</t>
  </si>
  <si>
    <t>0603014613</t>
  </si>
  <si>
    <t>386203, РЕСПУБЛИКА ИНГУШЕТИЯ, Г СУНЖА, ул Комсомольская, д 137</t>
  </si>
  <si>
    <t>Толдиев Хас-Магомед Алаудинович</t>
  </si>
  <si>
    <t>+7 (963) 433-00-44'</t>
  </si>
  <si>
    <t>56.119117,47.199398</t>
  </si>
  <si>
    <t>ЗАКРЫТОЕ АКЦИОНЕРНОЕ ОБЩЕСТВО "ОБД"</t>
  </si>
  <si>
    <t>ЗАКРЫТОЕ "ОБД"</t>
  </si>
  <si>
    <t>2312016730</t>
  </si>
  <si>
    <t>Г КРАСНОДАР,УЛ ТИХОРЕЦКАЯ, Д 20</t>
  </si>
  <si>
    <t>Залуцкий Александр Леонидович</t>
  </si>
  <si>
    <t>+7 (861) 231-55-82', '+7 (861) 263-78-14'</t>
  </si>
  <si>
    <t>mariyakotegova@mail.ru'</t>
  </si>
  <si>
    <t>56.081602,47.215047</t>
  </si>
  <si>
    <t>0603018424</t>
  </si>
  <si>
    <t>386204, РЕСПУБЛИКА ИНГУШЕТИЯ, Г СУНЖА, ул Шерипова, д 21</t>
  </si>
  <si>
    <t>Оздоев Абубашир Суламбекович</t>
  </si>
  <si>
    <t>+7 (928) 731-58-74'</t>
  </si>
  <si>
    <t>56.141974,47.226977</t>
  </si>
  <si>
    <t>ОБЩЕСТВО С ОГРАНИЧЕННОЙ ОТВЕТСТВЕННОСТЬЮ  ФИРМА "ВЫСЬ"</t>
  </si>
  <si>
    <t xml:space="preserve"> ФИРМА "ВЫСЬ"</t>
  </si>
  <si>
    <t>2635051467</t>
  </si>
  <si>
    <t>http://firma-vis.ru</t>
  </si>
  <si>
    <t>Г СТАВРОПОЛЬ,УЛ СОВЕТСКАЯ, Д 5 Б</t>
  </si>
  <si>
    <t>Шевченко Сергей Иванович</t>
  </si>
  <si>
    <t>56.076323,47.22739</t>
  </si>
  <si>
    <t>ОБЩЕСТВО С ОГРАНИЧЕННОЙ ОТВЕТСТВЕННОСТЬЮ "ТЕРМИНАЛСТРОЙ"</t>
  </si>
  <si>
    <t>"ТЕРМИНАЛСТРОЙ"</t>
  </si>
  <si>
    <t>2312067205</t>
  </si>
  <si>
    <t>Г КРАСНОДАР,УЛ КРАСНАЯ, 155</t>
  </si>
  <si>
    <t>Ефименко Анатолий Васильевич</t>
  </si>
  <si>
    <t>+7 (861) 262-80-49', '+7 (861) 255-26-34'</t>
  </si>
  <si>
    <t>56.071565,47.237424</t>
  </si>
  <si>
    <t>ОБЩЕСТВО С ОГРАНИЧЕННОЙ ОТВЕТСТВЕННОСТЬЮ "СУНЖА-БЕТОН"</t>
  </si>
  <si>
    <t>"СУНЖА-БЕТОН"</t>
  </si>
  <si>
    <t>0603024121</t>
  </si>
  <si>
    <t>386203, РЕСПУБЛИКА ИНГУШЕТИЯ, Г СУНЖА, УЛ КАЛИНИНА, Д 38</t>
  </si>
  <si>
    <t>Евлоев Бауддин Хамзатович</t>
  </si>
  <si>
    <t>+7 (928) 746-10-48'</t>
  </si>
  <si>
    <t>56.103025,47.238125</t>
  </si>
  <si>
    <t>2308109237</t>
  </si>
  <si>
    <t>Г КРАСНОДАР,УЛ МОНТАЖНИКОВ, Д 12</t>
  </si>
  <si>
    <t>Башмаков Игорь Васильевич</t>
  </si>
  <si>
    <t>+7 (861) 299-09-29', '+7 (988) 477-00-18'</t>
  </si>
  <si>
    <t>ecoblock@linky.ru'</t>
  </si>
  <si>
    <t>56.130813,47.243937</t>
  </si>
  <si>
    <t>ОБЩЕСТВО С ОГРАНИЧЕННОЙ ОТВЕТСТВЕННОСТЬЮ  СТАВРОПОЛЬСКИЙ БЕТОННО-КАМЕННЫЙ ЗАВОД  ФИРМА "СБКЗ"</t>
  </si>
  <si>
    <t xml:space="preserve"> СТАВРОПОЛЬСКИЙ БЕТОННО-КАМЕННЫЙ ЗАВОД  ФИРМА "СБКЗ"</t>
  </si>
  <si>
    <t>2635034616</t>
  </si>
  <si>
    <t>http://profill-group.com</t>
  </si>
  <si>
    <t>Г СТАВРОПОЛЬ,УЛ 4 ПРОМЫШЛЕННАЯ, Д 7</t>
  </si>
  <si>
    <t>Мирзаев Гаджи Гаджимирзаевич</t>
  </si>
  <si>
    <t>sbkz@yandex.ru'</t>
  </si>
  <si>
    <t>56.058448,47.245635</t>
  </si>
  <si>
    <t>ОБЩЕСТВО С ОГРАНИЧЕННОЙ ОТВЕТСТВЕННОСТЬЮ  "ПЕНЗЕНСКОЕ УПРАВЛЕНИЕ СТРОИТЕЛЬСТВА"</t>
  </si>
  <si>
    <t xml:space="preserve"> "ПЕНЗЕНСКОЕ УПРАВЛЕНИЕ СТРОИТЕЛЬСТВА"</t>
  </si>
  <si>
    <t>5834032094</t>
  </si>
  <si>
    <t>Г ПЕНЗА,УЛ АНТОНОВА,1 А</t>
  </si>
  <si>
    <t>Ибрагимов Ренат Рафикович</t>
  </si>
  <si>
    <t>ОБЩЕСТВО С ОГРАНИЧЕННОЙ ОТВЕТСТВЕННОСТЬЮ ПРОИЗВОДСТВЕННО-КОММЕРЧЕСКАЯ ФИРМА "ВИМА"</t>
  </si>
  <si>
    <t>ПРОИЗВОДСТВЕННО-КОММЕРЧЕСКАЯ ФИРМА "ВИМА"</t>
  </si>
  <si>
    <t>2311003086</t>
  </si>
  <si>
    <t>Г КРАСНОДАР,УЛ КРАСНЫХ ПАРТИЗАН, Д 67</t>
  </si>
  <si>
    <t>Ковтун Владимир Павлович</t>
  </si>
  <si>
    <t>+7 (861) 222-47-18', '+7 (861) 220-09-20', '+7 (861) 222-41-68'</t>
  </si>
  <si>
    <t>56.140851,47.245913</t>
  </si>
  <si>
    <t>5834125101</t>
  </si>
  <si>
    <t>440072, ПЕНЗЕНСКАЯ ОБЛАСТЬ, ГОРОД ПЕНЗА, УЛИЦА АНТОНОВА, ДОМ 24,..</t>
  </si>
  <si>
    <t>Рафикова Оксана Юрьевна</t>
  </si>
  <si>
    <t>+7 (903) 323-62-24'</t>
  </si>
  <si>
    <t>56.139918,47.247728</t>
  </si>
  <si>
    <t>ОБЩЕСТВО С ОГРАНИЧЕННОЙ ОТВЕТСТВЕННОСТЬЮ "КУБАНЬ СТРОЙ ЛИДЕР"</t>
  </si>
  <si>
    <t>"КУБАНЬ СТРОЙ ЛИДЕР"</t>
  </si>
  <si>
    <t>2312139347</t>
  </si>
  <si>
    <t>Г КРАСНОДАР,УЛ РОСТОВСКОЕ ШОССЕ, Д 24</t>
  </si>
  <si>
    <t>Нагоев Нурдин Рамазанович</t>
  </si>
  <si>
    <t>+7 (861) 244-74-47', '+7 (861) 231-99-23'</t>
  </si>
  <si>
    <t>56.106369,47.248186</t>
  </si>
  <si>
    <t>ОБЩЕСТВО С ОГРАНИЧЕННОЙ ОТВЕТСТВЕННОСТЬЮ "ВИМАРКО"</t>
  </si>
  <si>
    <t>"ВИМАРКО"</t>
  </si>
  <si>
    <t>5903125546</t>
  </si>
  <si>
    <t>59-Пермский край</t>
  </si>
  <si>
    <t>КРАСНОДАРСКИЙ КРАЙ,Г НОВОКУБАНСК,УЛ ПУШКИНА, Д 67</t>
  </si>
  <si>
    <t>Стишилин Сергей Владимирович</t>
  </si>
  <si>
    <t>56.143774,47.250782</t>
  </si>
  <si>
    <t>1324002592</t>
  </si>
  <si>
    <t>430904, МОРДОВИЯ РЕСПУБЛИКА, Г. САРАНСК, РП ЯЛГА, УЛ. РОССИЙСКАЯ, Д. 10</t>
  </si>
  <si>
    <t>Блинова Татьяна Николаевна</t>
  </si>
  <si>
    <t>56.10056,47.262397</t>
  </si>
  <si>
    <t>ЗАКРЫТОЕ АКЦИОНЕРНОЕ ОБЩЕСТВО "ЗАВОД СТЕНОВЫХ МАТЕРИАЛОВ И КЕРАМЗИТА"</t>
  </si>
  <si>
    <t>ЗАКРЫТОЕ "ЗАВОД СТЕНОВЫХ МАТЕРИАЛОВ И КЕРАМЗИТА"</t>
  </si>
  <si>
    <t>2623000323</t>
  </si>
  <si>
    <t>http://zsmik.ru</t>
  </si>
  <si>
    <t>СТАВРОПОЛЬСКИЙ КРАЙ,ШПАКОВСКИЙ Р-Н,С ВЕРХНЕРУССКОЕ,УЛ БАТАЙСКАЯ, Д 11</t>
  </si>
  <si>
    <t>+7 (865) 294-85-13'</t>
  </si>
  <si>
    <t>56.140314,47.264715</t>
  </si>
  <si>
    <t>АКЦИОНЕРНОЕ ОБЩЕСТВО "СТРОЙКОН-2"</t>
  </si>
  <si>
    <t>"СТРОЙКОН-2"</t>
  </si>
  <si>
    <t>2623000891</t>
  </si>
  <si>
    <t>СТАВРОПОЛЬСКИЙ КРАЙ,Г МИХАЙЛОВСК,УЛ ГАГАРИНА, Д 3 А</t>
  </si>
  <si>
    <t>Жиренкин Игорь Васильевич</t>
  </si>
  <si>
    <t>stroikon2b@mail.ru'</t>
  </si>
  <si>
    <t>56.064489,47.265487</t>
  </si>
  <si>
    <t>ОБЩЕСТВО С ОГРАНИЧЕННОЙ ОТВЕТСТВЕННОСТЬЮ "ИЗДЕЛИЯ ИЗ БЕТОНА"</t>
  </si>
  <si>
    <t>"ИЗДЕЛИЯ ИЗ БЕТОНА"</t>
  </si>
  <si>
    <t>1315000969</t>
  </si>
  <si>
    <t>431510, МОРДОВИЯ РЕСП, ЛЯМБИРСКИЙ Р-Н, ЛЯМБИРЬ С, ПОЛЕВАЯ УЛ, ДОМ 9Б</t>
  </si>
  <si>
    <t>Нугаев Радик Юнирович</t>
  </si>
  <si>
    <t>+7 (905) 378-08-23'</t>
  </si>
  <si>
    <t>43.049255,47.282807</t>
  </si>
  <si>
    <t>ОБЩЕСТВО С ОГРАНИЧЕННОЙ ОТВЕТСТВЕННОСТЬЮ СЕЛЬСКОХОЗЯЙСТВЕННОЕ ПРЕДПРИЯТИЕ "ПИК"</t>
  </si>
  <si>
    <t>СЕЛЬСКОХОЗЯЙСТВЕННОЕ ПРЕДПРИЯТИЕ "ПИК"</t>
  </si>
  <si>
    <t>2623015626</t>
  </si>
  <si>
    <t>СТАВРОПОЛЬСКИЙ КРАЙ,Г МИХАЙЛОВСК,СТ. ПАЛАГИАДА? ТЕРРИТОРИЯ АООТ ПО АХО "ШПАКОВСКОЕ"</t>
  </si>
  <si>
    <t>Быстров Василий Петрович</t>
  </si>
  <si>
    <t>+7 (918) 743-64-39'</t>
  </si>
  <si>
    <t>56.134982,47.294521</t>
  </si>
  <si>
    <t>ОБЩЕСТВО С ОГРАНИЧЕННОЙ ОТВЕТСТВЕННОСТЬЮ "СТРОЙКАПИТАЛ"</t>
  </si>
  <si>
    <t>"СТРОЙКАПИТАЛ"</t>
  </si>
  <si>
    <t>5826006679</t>
  </si>
  <si>
    <t>442965, ПЕНЗЕНСКАЯ ОБЛАСТЬ, ГОРОД ЗАРЕЧНЫЙ, ПРОЕЗД ФАБРИЧНЫЙ, СТРОЕНИЕ 40</t>
  </si>
  <si>
    <t>+7 (927) 375-25-04'</t>
  </si>
  <si>
    <t>tenderpus@yandex.ru'</t>
  </si>
  <si>
    <t>56.083732,47.297108</t>
  </si>
  <si>
    <t>ОБЩЕСТВО С ОГРАНИЧЕННОЙ ОТВЕТСТВЕННОСТЬЮ "ЗАРЕЧЕНСКИЙ ЗАВОД ЖЕЛЕЗОБЕТОННЫХ ИЗДЕЛИЙ"</t>
  </si>
  <si>
    <t>"ЗАРЕЧЕНСКИЙ ЗАВОД ЖЕЛЕЗОБЕТОННЫХ ИЗДЕЛИЙ"</t>
  </si>
  <si>
    <t>5838011610</t>
  </si>
  <si>
    <t>442960, ПЕНЗЕНСКАЯ ОБЛАСТЬ, ГОРОД ЗАРЕЧНЫЙ, ПРОЕЗД ПРОИЗВОДСТВЕННЫЙ, СТРОЕНИЕ 13</t>
  </si>
  <si>
    <t>Морозов Сергей Александрович</t>
  </si>
  <si>
    <t>+7 (927) 375-10-55'</t>
  </si>
  <si>
    <t>43.049189,47.307816</t>
  </si>
  <si>
    <t>ОБЩЕСТВО С ОГРАНИЧЕННОЙ ОТВЕТСТВЕННОСТЬЮ "СТРОЙПОСТАВКА"</t>
  </si>
  <si>
    <t>"СТРОЙПОСТАВКА"</t>
  </si>
  <si>
    <t>5837058630</t>
  </si>
  <si>
    <t>440000, Пензенская область, муниципальный район ПЕНЗЕНСКИЙ, П МУРАВЬЕВКА, УЛ СУРСКАЯ, Д. 5,</t>
  </si>
  <si>
    <t>Рубцов Василий Николаевич</t>
  </si>
  <si>
    <t>+7 (903) 323-97-25'</t>
  </si>
  <si>
    <t>43.036565,47.316</t>
  </si>
  <si>
    <t>ОБЩЕСТВО С ОГРАНИЧЕННОЙ ОТВЕТСТВЕННОСТЬЮ "ПРОФТЕХМАШ"</t>
  </si>
  <si>
    <t>"ПРОФТЕХМАШ"</t>
  </si>
  <si>
    <t>5838015460</t>
  </si>
  <si>
    <t>442963, Пензенская область, городской округ ЗАТО ГОРОД ЗАРЕЧНЫЙ, Город ЗАРЕЧНЫЙ, УЛ ОЗЕРСКАЯ, Д. 4,..</t>
  </si>
  <si>
    <t>Зюбенко Наталья Альбертовна</t>
  </si>
  <si>
    <t>42.967915,47.344872</t>
  </si>
  <si>
    <t>ОБЩЕСТВО С ОГРАНИЧЕННОЙ ОТВЕТСТВЕННОСТЬЮ "ПЕНОБЕТОНСЕРВИС"</t>
  </si>
  <si>
    <t>"ПЕНОБЕТОНСЕРВИС"</t>
  </si>
  <si>
    <t>2308078116</t>
  </si>
  <si>
    <t>Г КРАСНОДАР,УЛ ЕЙСКОЕ ШОССЕ, 2</t>
  </si>
  <si>
    <t>Водопьянов Владимир Васильевич</t>
  </si>
  <si>
    <t>52.065554,47.354753</t>
  </si>
  <si>
    <t>ОБЩЕСТВО С ОГРАНИЧЕННОЙ ОТВЕТСТВЕННОСТЬЮ "БЛОК-МАСТЕР"</t>
  </si>
  <si>
    <t>"БЛОК-МАСТЕР"</t>
  </si>
  <si>
    <t>1326205439</t>
  </si>
  <si>
    <t>430005, МОРДОВИЯ РЕСПУБЛИКА, Г. САРАНСК, УЛ. БОТЕВГРАДСКАЯ, Д.27,..</t>
  </si>
  <si>
    <t>Липенкин Виталий Сергеевич</t>
  </si>
  <si>
    <t>+7 (927) 185-88-63'</t>
  </si>
  <si>
    <t>52.05011,47.374354</t>
  </si>
  <si>
    <t>ОБЩЕСТВО С ОГРАНИЧЕННОЙ ОТВЕТСТВЕННОСТЬЮ "ТОРГОВО-СКЛАДСКОЙ КОМПЛЕКС"</t>
  </si>
  <si>
    <t>"ТОРГОВО-СКЛАДСКОЙ КОМПЛЕКС"</t>
  </si>
  <si>
    <t>1326228387</t>
  </si>
  <si>
    <t>Г САРАНСК,УЛ ПОЛЕЖАЕВА Д 105..</t>
  </si>
  <si>
    <t>Ширманкин Денис Николаевич</t>
  </si>
  <si>
    <t>+7 (834) 229-36-94'</t>
  </si>
  <si>
    <t>56.127066,47.387173</t>
  </si>
  <si>
    <t>ОБЩЕСТВО С ОГРАНИЧЕННОЙ ОТВЕТСТВЕННОСТЬЮ "ПЕНЗЕНСКИЙ ЖЕЛЕЗОБЕТОННЫЙ ЗАВОД № 3"</t>
  </si>
  <si>
    <t>"ПЕНЗЕНСКИЙ ЖЕЛЕЗОБЕТОННЫЙ ЗАВОД № 3"</t>
  </si>
  <si>
    <t>5834051139</t>
  </si>
  <si>
    <t>440032, ПЕНЗЕНСКАЯ ОБЛАСТЬ, Г. ПЕНЗА, ПР-Д СИБИРСКИЙ, Д.10</t>
  </si>
  <si>
    <t>Батраков Василий Анатольевич</t>
  </si>
  <si>
    <t>+7 (927) 098-70-69', '+7 (927) 099-04-66'</t>
  </si>
  <si>
    <t>55.723278,47.439446</t>
  </si>
  <si>
    <t>5834124588</t>
  </si>
  <si>
    <t>440032, ПЕНЗЕНСКАЯ ОБЛАСТЬ, Г. ПЕНЗА, ПР-Д СИБИРСКИЙ, Д. 10, ЛИТЕР Б</t>
  </si>
  <si>
    <t>Деев Антон Владимирович</t>
  </si>
  <si>
    <t>a78@mail.ru', 'kitanina77@mail.ru', 'buhgalter@mail.ru'</t>
  </si>
  <si>
    <t>42.991798,47.460557</t>
  </si>
  <si>
    <t>ОБЩЕСТВО С ОГРАНИЧЕННОЙ ОТВЕТСТВЕННОСТЬЮ "БЕТОН ЭКСПРЕСС"</t>
  </si>
  <si>
    <t>"БЕТОН ЭКСПРЕСС"</t>
  </si>
  <si>
    <t>1327032080</t>
  </si>
  <si>
    <t>430001, Республика Мордовия, городской округ САРАНСК, Город САРАНСК, УЛ СТРОИТЕЛЬНАЯ, Д. 1А, ОФИС 301, ПРОСТРАНСТВО БЕКО</t>
  </si>
  <si>
    <t xml:space="preserve"> Директор Пономарев Анатолий Иванович</t>
  </si>
  <si>
    <t>56.105922,47.483239</t>
  </si>
  <si>
    <t>ОБЩЕСТВО С ОГРАНИЧЕННОЙ ОТВЕТСТВЕННОСТЬЮ "ТОРГОВО-ПРОИЗВОДСТВЕННЫЙ КОМПЛЕКС"</t>
  </si>
  <si>
    <t>"ТОРГОВО-ПРОИЗВОДСТВЕННЫЙ КОМПЛЕКС"</t>
  </si>
  <si>
    <t>1326250311</t>
  </si>
  <si>
    <t>430004, МОРДОВИЯ РЕСПУБЛИКА, Г. САРАНСК, УЛ. КРАСНОАРМЕЙСКАЯ, Д. 28, ПОМЕЩ. 5</t>
  </si>
  <si>
    <t>Сыщиков Алексей Владимирович</t>
  </si>
  <si>
    <t>42.969439,47.483769</t>
  </si>
  <si>
    <t>ОБЩЕСТВО С ОГРАНИЧЕННОЙ ОТВЕТСТВЕННОСТЬЮ "МОСТОВЫЕ КОНСТРУКЦИИ"</t>
  </si>
  <si>
    <t>"МОСТОВЫЕ КОНСТРУКЦИИ"</t>
  </si>
  <si>
    <t>5834124771</t>
  </si>
  <si>
    <t>440023, ПЕНЗЕНСКАЯ ОБЛАСТЬ, ГОРОД ПЕНЗА, ПОСЕЛОК МОНТАЖНЫЙ, ДОМ 8, ПОМЕЩЕНИЕ 3</t>
  </si>
  <si>
    <t>Домаев Олег Юрьевич</t>
  </si>
  <si>
    <t>fpspo58@gmail.com', 'oldmv@mail.ru'</t>
  </si>
  <si>
    <t>42.966879,47.488602</t>
  </si>
  <si>
    <t>1327019273</t>
  </si>
  <si>
    <t>430006, МОРДОВИЯ РЕСПУБЛИКА, Г. САРАНСК, УЛ. ПРОМЫШЛЕННАЯ 2-Я, Д.9</t>
  </si>
  <si>
    <t>Мещеряков Юрий Николаевич</t>
  </si>
  <si>
    <t>+7 (903) 325-80-72'</t>
  </si>
  <si>
    <t>42.986681,47.493911</t>
  </si>
  <si>
    <t>ОБЩЕСТВО С ОГРАНИЧЕННОЙ ОТВЕТСТВЕННОСТЬЮ "ПЕНОБЕТОН 13"</t>
  </si>
  <si>
    <t>"ПЕНОБЕТОН 13"</t>
  </si>
  <si>
    <t>1327038727</t>
  </si>
  <si>
    <t>430006, Республика Мордовия, городской округ САРАНСК, Город САРАНСК, УЛ ПРОМЫШЛЕННАЯ 2-Я, Д. 9, ОФИС 204</t>
  </si>
  <si>
    <t>56.095042,47.500244</t>
  </si>
  <si>
    <t>ОБЩЕСТВО С ОГРАНИЧЕННОЙ ОТВЕТСТВЕННОСТЬЮ "СТАНДАРТСТРОЙ"</t>
  </si>
  <si>
    <t>"СТАНДАРТСТРОЙ"</t>
  </si>
  <si>
    <t>5838013984</t>
  </si>
  <si>
    <t>442961, ПЕНЗЕНСКАЯ ОБЛАСТЬ, ГОРОД ЗАРЕЧНЫЙ, УЛИЦА ТРАНСПОРТНАЯ, ЗДАНИЕ 31, КОРПУС 2, ПОМЕЩЕНИЕ 25</t>
  </si>
  <si>
    <t>42.98302,47.501152</t>
  </si>
  <si>
    <t>ОБЩЕСТВО С ОГРАНИЧЕННОЙ ОТВЕТСТВЕННОСТЬЮ "ТОРГОВЫЙ ДОМ "ЖЕЛЕЗОБЕТОННЫЕ КОНСТРУКЦИИ"</t>
  </si>
  <si>
    <t>""ЖЕЛЕЗОБЕТОННЫЕ КОНСТРУКЦИИ"</t>
  </si>
  <si>
    <t>1328020730</t>
  </si>
  <si>
    <t>430006, Республика Мордовия, САРАНСК, Г САРАНСК, УЛ ГАЙДАРА, Д. 2</t>
  </si>
  <si>
    <t>Бабуров Сергей Александрович</t>
  </si>
  <si>
    <t>56.088067,47.503092</t>
  </si>
  <si>
    <t>ОБЩЕСТВО С ОГРАНИЧЕННОЙ ОТВЕТСТВЕННОСТЬЮ "Промышленный Альянс"</t>
  </si>
  <si>
    <t>"Промышленный Альянс"</t>
  </si>
  <si>
    <t>1327021402</t>
  </si>
  <si>
    <t>430006, МОРДОВИЯ РЕСПУБЛИКА, Г. САРАНСК, УЛ. ЛОДЫГИНА, Д. 17Д, ОФИС 1</t>
  </si>
  <si>
    <t>Щукин Евгений Николаевич</t>
  </si>
  <si>
    <t>+7 (987) 995-70-05', '+7 (927) 276-82-77'</t>
  </si>
  <si>
    <t>315500@rambler.ru'</t>
  </si>
  <si>
    <t>ОБЩЕСТВО С ОГРАНИЧЕННОЙ ОТВЕТСТВЕННОСТЬЮ " ГИЛЬДИЯ "</t>
  </si>
  <si>
    <t>" ГИЛЬДИЯ "</t>
  </si>
  <si>
    <t>2352012604</t>
  </si>
  <si>
    <t>КРАСНОДАРСКИЙ КРАЙ,ТЕМРЮКСКИЙ Р-Н,СТ-ЦА ТАМАНЬ,УЛ ПЕРВОМАЙСКАЯ, Д 44</t>
  </si>
  <si>
    <t>Чернышев Борис Васильевич</t>
  </si>
  <si>
    <t>+7 (861) 483-11-04'</t>
  </si>
  <si>
    <t>56.09699,47.503757</t>
  </si>
  <si>
    <t>1327034828</t>
  </si>
  <si>
    <t>430006, МОРДОВИЯ РЕСПУБЛИКА, Г. САРАНСК, Ш. АЛЕКСАНДРОВСКОЕ, Д. 6</t>
  </si>
  <si>
    <t>Данейкин Юрий Викторович</t>
  </si>
  <si>
    <t>aogb@yandex.ru'</t>
  </si>
  <si>
    <t>56.092376,47.503972</t>
  </si>
  <si>
    <t>ОБЩЕСТВО С ОГРАНИЧЕННОЙ ОТВЕТСТВЕННОСТЬЮ "СТРОЙ-ГРУПП"</t>
  </si>
  <si>
    <t>"СТРОЙ-ГРУПП"</t>
  </si>
  <si>
    <t>1327037931</t>
  </si>
  <si>
    <t>430006, МОРДОВИЯ РЕСП., Г. Саранск, Ш. АЛЕКСАНДРОВСКОЕ, Д. 16, ОФИС 203</t>
  </si>
  <si>
    <t>Панфилов Виталий Александрович</t>
  </si>
  <si>
    <t>SYSTEM@MAIL.RU'</t>
  </si>
  <si>
    <t>56.091251,47.504269</t>
  </si>
  <si>
    <t>1327038090</t>
  </si>
  <si>
    <t>430006, Республика Мордовия, САРАНСК, Г САРАНСК, Ш АЛЕКСАНДРОВСКОЕ, Д. 16</t>
  </si>
  <si>
    <t>Рузанов Андрей Владимирович</t>
  </si>
  <si>
    <t>42.946695,47.506344</t>
  </si>
  <si>
    <t>ОБЩЕСТВО С ОГРАНИЧЕННОЙ ОТВЕТСТВЕННОСТЬЮ "ФИРМА ГРАН-1"</t>
  </si>
  <si>
    <t>"ФИРМА ГРАН-1"</t>
  </si>
  <si>
    <t>2330024331</t>
  </si>
  <si>
    <t>КРАСНОДАРСКИЙ КРАЙ,ДИНСКОЙ Р-Н,СТ-ЦА ДИНСКАЯ,УЛ КРАСНОДАРСКАЯ (МЕЖВЕДОМСТВЕННАЯ БАЗА)</t>
  </si>
  <si>
    <t>Аржанов Юрий Анатольевич</t>
  </si>
  <si>
    <t>42.985764,47.507062</t>
  </si>
  <si>
    <t>ГИРЕЙСКОЕ ЗАКРЫТОЕ АКЦИОНЕРНОЕ ОБЩЕСТВО "ЖЕЛЕЗОБЕТОН"</t>
  </si>
  <si>
    <t>ГИРЕЙСКОЕ ЗАКРЫТОЕ "ЖЕЛЕЗОБЕТОН"</t>
  </si>
  <si>
    <t>2329000209</t>
  </si>
  <si>
    <t>КРАСНОДАРСКИЙ КРАЙ,ГУЛЬКЕВИЧСКИЙ Р-Н,PП КРАСНОСЕЛЬСКИЙ,УЛ СТРОИТЕЛЕЙ, Д 10</t>
  </si>
  <si>
    <t>Шевелев Николай Николаевич</t>
  </si>
  <si>
    <t>buh@gireyskoe-zao', 'MAIL@GIREYSKOE-ZAO', 'mail@hj.ru', 'gbi@nm.ru'</t>
  </si>
  <si>
    <t>56.085922,47.508419</t>
  </si>
  <si>
    <t>ОБЩЕСТВО С ОГРАНИЧЕННОЙ ОТВЕТСТВЕННОСТЬЮ СТРОИТЕЛЬНО-ПРОИЗВОДСТВЕННАЯ КОМПАНИЯ "БЕТОН"</t>
  </si>
  <si>
    <t>СТРОИТЕЛЬНО-ПРОИЗВОДСТВЕННАЯ КОМПАНИЯ "БЕТОН"</t>
  </si>
  <si>
    <t>1327035645</t>
  </si>
  <si>
    <t>430006, МОРДОВИЯ РЕСПУБЛИКА, ГОРОД САРАНСК, ШОССЕ АЛЕКСАНДРОВСКОЕ, ДОМ 30В, ОФИС 1</t>
  </si>
  <si>
    <t>Китаев Евгений Александрович</t>
  </si>
  <si>
    <t>56.088448,47.509991</t>
  </si>
  <si>
    <t>ОБЩЕСТВО С ОГРАНИЧЕННОЙ ОТВЕТСТВЕННОСТЬЮ "ВИБРОПРЕСС М"</t>
  </si>
  <si>
    <t>"ВИБРОПРЕСС М"</t>
  </si>
  <si>
    <t>1328019808</t>
  </si>
  <si>
    <t>430033, МОРДОВИЯ РЕСП., Г. Саранск, УЛ. КОСАРЕВА, Д. 5А, ОФИС 2</t>
  </si>
  <si>
    <t>Царьков Сергей Владимирович</t>
  </si>
  <si>
    <t>42.929812,47.519199</t>
  </si>
  <si>
    <t>ЗАКРЫТОЕ АКЦИОНЕРНОЕ ОБЩЕСТВО  СЛАВЯНСКИЙ ЗАВОД "СТРОЙМАТЕРИАЛЫ"</t>
  </si>
  <si>
    <t>ЗАКРЫТОЕ  СЛАВЯНСКИЙ ЗАВОД "СТРОЙМАТЕРИАЛЫ"</t>
  </si>
  <si>
    <t>2349009263</t>
  </si>
  <si>
    <t>http://szsm.ctk-tm.ru</t>
  </si>
  <si>
    <t>КРАСНОДАРСКИЙ КРАЙ,Г СЛАВЯНСК-НА-КУБАНИ,УЛ ЗЕЛЕНСКОГО, 1 А</t>
  </si>
  <si>
    <t>Бурцева Ольга Викторовна</t>
  </si>
  <si>
    <t>+7 (918) 442-20-70'</t>
  </si>
  <si>
    <t>szsm@ctk-tm'</t>
  </si>
  <si>
    <t>52.075961,47.519549</t>
  </si>
  <si>
    <t>ОБЩЕСТВО С ОГРАНИЧЕННОЙ ОТВЕТСТВЕННОСТЬЮ "МРАМОР"</t>
  </si>
  <si>
    <t>"МРАМОР"</t>
  </si>
  <si>
    <t>2352014150</t>
  </si>
  <si>
    <t>КРАСНОДАРСКИЙ КРАЙ,Г ТЕМРЮК,УЛ ТРУДА, 112</t>
  </si>
  <si>
    <t>Мальченко Николай Авенирович</t>
  </si>
  <si>
    <t>56.119986,47.520627</t>
  </si>
  <si>
    <t>ОБЩЕСТВО С ОГРАНИЧЕННОЙ ОТВЕТСТВЕННОСТЬЮ "ДЕЛОВОЙ ДВОР"</t>
  </si>
  <si>
    <t>"ДЕЛОВОЙ ДВОР"</t>
  </si>
  <si>
    <t>2352011720</t>
  </si>
  <si>
    <t>КРАСНОДАРСКИЙ КРАЙ,Г ТЕМРЮК,УЛ МОРОЗА, Д 18</t>
  </si>
  <si>
    <t>Вагиас Татьяна Григорьевна</t>
  </si>
  <si>
    <t>42.905469,47.526026</t>
  </si>
  <si>
    <t>1316000288</t>
  </si>
  <si>
    <t>431600, МОРДОВИЯ РЕСПУБЛИКА, Р-Н РОМОДАНОВСКИЙ, П РОМОДАНОВО, УЛ. ЛАЗУРНАЯ, Д. 19,..</t>
  </si>
  <si>
    <t>Васин Андрей Геннадьевич</t>
  </si>
  <si>
    <t>+7 (927) 978-84-85', '+7 (987) 574-69-13'</t>
  </si>
  <si>
    <t>42.925,47.531631</t>
  </si>
  <si>
    <t>АКЦИОНЕРНОЕ ОБЩЕСТВО "СИЛИКАТ"</t>
  </si>
  <si>
    <t>"СИЛИКАТ"</t>
  </si>
  <si>
    <t>2329003270</t>
  </si>
  <si>
    <t>http://oaosilikat.ru</t>
  </si>
  <si>
    <t>КРАСНОДАРСКИЙ КРАЙ,Г ГУЛЬКЕВИЧИ,ПРОМЗОНА</t>
  </si>
  <si>
    <t>Лашин Григорий Васильевич</t>
  </si>
  <si>
    <t>OAO_SILIKAT@MAIL.KUBAN', 'tsarik_an@v-k'</t>
  </si>
  <si>
    <t>54.888988,47.538548</t>
  </si>
  <si>
    <t>ОБЩЕСТВО С ОГРАНИЧЕННОЙ ОТВЕТСТВЕННОСТЬЮ "ДАН-БЕТОН ПЛЮС"</t>
  </si>
  <si>
    <t>"ДАН-БЕТОН ПЛЮС"</t>
  </si>
  <si>
    <t>2329020928</t>
  </si>
  <si>
    <t>http://danbetonplus.ru</t>
  </si>
  <si>
    <t>КРАСНОДАРСКИЙ КРАЙ,Г ГУЛЬКЕВИЧИ,УЛ СОДРУЖЕСТВО, Д 4</t>
  </si>
  <si>
    <t>Рязанцев Константин Александрович</t>
  </si>
  <si>
    <t>56.114686,47.54746</t>
  </si>
  <si>
    <t>ОТКРЫТОЕ АКЦИОНЕРНОЕ ОБЩЕСТВО "АГРОПРОМЫШЛЕННЫЙ СТРОИТЕЛЬНЫЙ КОМБИНАТ ГУЛЬКЕВИЧСКИЙ"</t>
  </si>
  <si>
    <t>ОТКРЫТОЕ "АГРОПРОМЫШЛЕННЫЙ СТРОИТЕЛЬНЫЙ КОМБИНАТ ГУЛЬКЕВИЧСКИЙ"</t>
  </si>
  <si>
    <t>2329007878</t>
  </si>
  <si>
    <t>http://apskg.ru</t>
  </si>
  <si>
    <t>КРАСНОДАРСКИЙ КРАЙ,Г ГУЛЬКЕВИЧИ,УЛ ЭНЕРГЕТИКОВ, Д 29</t>
  </si>
  <si>
    <t>chi4erina2014@yandex.ru', 'oaoapskg@mail.ru'</t>
  </si>
  <si>
    <t>56.831521,47.559057</t>
  </si>
  <si>
    <t>6444006830</t>
  </si>
  <si>
    <t>САРАТОВСКАЯ ОБЛ.,Г ПЕТРОВСК,УЛ ЖЕЛЕЗНОДОРОЖНАЯ, Д 7</t>
  </si>
  <si>
    <t>Шахян Аргам Аркадьевич</t>
  </si>
  <si>
    <t>42.904987,47.610162</t>
  </si>
  <si>
    <t>ОБЩЕСТВО С ОГРАНИЧЕННОЙ ОТВЕТСТВЕННОСТЬЮ "СтройСервис Плюс"</t>
  </si>
  <si>
    <t>"СтройСервис Плюс"</t>
  </si>
  <si>
    <t>3453001495</t>
  </si>
  <si>
    <t>403874, ВОЛГОГРАДСКАЯ ОБЛ, КАМЫШИН Г, ЛЕНИНА УЛ, ДОМ 5</t>
  </si>
  <si>
    <t>Макаров Сергей Петрович</t>
  </si>
  <si>
    <t>+7 (961) 070-31-73', '+7 (927) 251-40-20'</t>
  </si>
  <si>
    <t>42.885635,47.615848</t>
  </si>
  <si>
    <t>АКЦИОНЕРНОЕ ОБЩЕСТВО "КРОПОТКИНСКИЙ ЗАВОД ЖЕЛЕЗОБЕТОННЫХ ИЗДЕЛИЙ"</t>
  </si>
  <si>
    <t>"КРОПОТКИНСКИЙ ЗАВОД ЖЕЛЕЗОБЕТОННЫХ ИЗДЕЛИЙ"</t>
  </si>
  <si>
    <t>2313014407</t>
  </si>
  <si>
    <t>КРАСНОДАРСКИЙ КРАЙ,Г КРОПОТКИН,УЛ МАШИНОСТРОИТЕЛЬНАЯ, Д 3</t>
  </si>
  <si>
    <t>Архангельская Белла Рамазановна</t>
  </si>
  <si>
    <t>kops23@mail.ru', 'KOPS23@MAIL.RU'</t>
  </si>
  <si>
    <t>Общество с ограниченной ответственностью "КАВКАЗ-С"</t>
  </si>
  <si>
    <t>"КАВКАЗ-С"</t>
  </si>
  <si>
    <t>2004005081</t>
  </si>
  <si>
    <t>364052, ЧЕЧЕНСКАЯ РЕСПУБЛИКА, ГОРОД ГРОЗНЫЙ, УЛИЦА ИМ. Х.Г. ЯНГУЛБАЕВА, 243, ---, ---</t>
  </si>
  <si>
    <t>Салтаев Руслан Мовлдыевич</t>
  </si>
  <si>
    <t>ОБЩЕСТВО С ОГРАНИЧЕННОЙ ОТВЕТСТВЕННОСТЬЮ "ЭЛИТТРАНС"</t>
  </si>
  <si>
    <t>"ЭЛИТТРАНС"</t>
  </si>
  <si>
    <t>2016006033</t>
  </si>
  <si>
    <t>364043, Чеченская Республика, городской округ ГОРОД ГРОЗНЫЙ, Город ГРОЗНЫЙ, УЛ ХАСАНА КААЕВА, Д. 42А,</t>
  </si>
  <si>
    <t>Додов Тимур Заиндиевич</t>
  </si>
  <si>
    <t>ELITTRANS_GROZ@MAIL.RU'</t>
  </si>
  <si>
    <t>42.882424,47.618606</t>
  </si>
  <si>
    <t>ОТКРЫТОЕ АКЦИОНЕРНОЕ ОБЩЕСТВО "ТИМАШЕВСКИЙ КОМБИНАТ СТРОИТЕЛЬНЫХ МАТЕРИАЛОВ"</t>
  </si>
  <si>
    <t>ОТКРЫТОЕ "ТИМАШЕВСКИЙ КОМБИНАТ СТРОИТЕЛЬНЫХ МАТЕРИАЛОВ"</t>
  </si>
  <si>
    <t>2353002599</t>
  </si>
  <si>
    <t>КРАСНОДАРСКИЙ КРАЙ,Г ТИМАШЕВСК,МКР САХАРНОГО ЗАВОДА</t>
  </si>
  <si>
    <t>ksm2009@gmail.com', 'ksm2009@yandex.ru', 'ksm2009@yandex.ru'</t>
  </si>
  <si>
    <t>42.868563,47.637426</t>
  </si>
  <si>
    <t>ГОСУДАРСТВЕННОЕ УНИТАРНОЕ ПРЕДПРИЯТИЕ "ГРОЗНЕНСКИЙ ЗАВОД ЖЕЛЕЗОБЕТОННЫХ КОНСТРУКЦИЙ "</t>
  </si>
  <si>
    <t>2013432629</t>
  </si>
  <si>
    <t>364024, ЧЕЧЕНСКАЯ РЕСПУБЛИКА, ГОРОД ГРОЗНЫЙ, УЛИЦА Э.Э.ИСМАИЛОВА, 17, -, -</t>
  </si>
  <si>
    <t>Муслимов Яраги Ризванович</t>
  </si>
  <si>
    <t>+7 (928) 087-32-35'</t>
  </si>
  <si>
    <t>53.152353,47.722191</t>
  </si>
  <si>
    <t>ГОСУДАРСТВЕННОЕ УНИТАРНОЕ ПРЕДПРИЯТИЕ "ГРОЗНЕНСКИЙ ЗАВОД ЖЕЛЕЗОБЕТОННЫХ ИЗДЕЛИЙ"</t>
  </si>
  <si>
    <t>2013433527</t>
  </si>
  <si>
    <t>364022, ЧЕЧЕНСКАЯ РЕСПУБЛИКА, Г. ГРОЗНЫЙ, УЛ. Э.Э.ИСМАИЛОВА, Д. 23</t>
  </si>
  <si>
    <t>Алханов Расул Ширванович</t>
  </si>
  <si>
    <t>+7 (928) 887-89-07'</t>
  </si>
  <si>
    <t>ОБЩЕСТВО С ОГРАНИЧЕННОЙ ОТВЕТСТВЕННОСТЬЮ "АЛАСУ"</t>
  </si>
  <si>
    <t>"АЛАСУ"</t>
  </si>
  <si>
    <t>2013004920</t>
  </si>
  <si>
    <t>364051, ЧЕЧЕНСКАЯ РЕСПУБЛИКА, ГОРОД ГРОЗНЫЙ, УЛИЦА НИКИТИНА, ДОМ 41</t>
  </si>
  <si>
    <t>Хадукаев Султан Джунидович</t>
  </si>
  <si>
    <t>+7 (928) 000-94-28', '+7 (938) 000-75-19'</t>
  </si>
  <si>
    <t>53.15663,47.753111</t>
  </si>
  <si>
    <t>ОБЩЕСТВО С ОГРАНИЧЕННОЙ ОТВЕТСТВЕННОСТЬЮ "ГРОЗНЕНСКИЙ ЗАВОД ЖЕЛЕЗОБЕТОННЫХ КОНСТРУКЦИЙ"</t>
  </si>
  <si>
    <t>"ГРОЗНЕНСКИЙ ЗАВОД ЖЕЛЕЗОБЕТОННЫХ КОНСТРУКЦИЙ"</t>
  </si>
  <si>
    <t>2014031860</t>
  </si>
  <si>
    <t>366034, ЧЕЧЕНСКАЯ РЕСП., Г. Грозный, УЛ. ДЭГИ ИМРАНОВИЧА БАГАЕВА, Д. 17, РАБ.УЧ. 0/11</t>
  </si>
  <si>
    <t>Хатаев Супьян Абусупьянович</t>
  </si>
  <si>
    <t>52.005935,47.779557</t>
  </si>
  <si>
    <t>ОБЩЕСТВО С ОГРАНИЧЕННОЙ ОТВЕТСТВЕННОСТЬЮ "СПЕЦ БЕТОН КОНСТРУКЦИИ"</t>
  </si>
  <si>
    <t>"СПЕЦ БЕТОН КОНСТРУКЦИИ"</t>
  </si>
  <si>
    <t>5809003974</t>
  </si>
  <si>
    <t>442310, ПЕНЗЕНСКАЯ ОБЛАСТЬ, РАЙОН ГОРОДИЩЕНСКИЙ, ГОРОД ГОРОДИЩЕ, УЛИЦА МОСКОВСКАЯ, ДОМ 11</t>
  </si>
  <si>
    <t>Алексеев Константин Александрович</t>
  </si>
  <si>
    <t>+7 (903) 323-06-66'</t>
  </si>
  <si>
    <t>56.627327,47.790193</t>
  </si>
  <si>
    <t>ОБЩЕСТВО С ОГРАНИЧЕННОЙ ОТВЕТСТВЕННОСТЬЮ "Элина"</t>
  </si>
  <si>
    <t>"Элина"</t>
  </si>
  <si>
    <t>2012004229</t>
  </si>
  <si>
    <t>366302, ЧЕЧЕНСКАЯ РЕСП, ШАЛИНСКИЙ Р-Н, НОВЫЕ-АТАГИ С, ПРОДОЛЬНАЯ УЛ, ДОМ 98</t>
  </si>
  <si>
    <t>Сибсуев Абдуллах Эмиевич</t>
  </si>
  <si>
    <t>52.043652,47.809795</t>
  </si>
  <si>
    <t>ОБЩЕСТВО С ОГРАНИЧЕННОЙ ОТВЕТСТВЕННОСТЬЮ "ДСК "ГРАС - САРАТОВ"</t>
  </si>
  <si>
    <t>"ДСК "ГРАС - САРАТОВ"</t>
  </si>
  <si>
    <t>6432005430</t>
  </si>
  <si>
    <t>410511, САРАТОВСКАЯ ОБЛАСТЬ, Г. САРАТОВ, С АЛЕКСАНДРОВКА, УЛ. ЗАВОДСКАЯ, Д. 1</t>
  </si>
  <si>
    <t>Филиппов Андрей Анатольевич</t>
  </si>
  <si>
    <t>+7 (927) 222-40-33', '+7 (845) 239-04-25'</t>
  </si>
  <si>
    <t>56.628025,47.816191</t>
  </si>
  <si>
    <t>ОБЩЕСТВО С ОГРАНИЧЕННОЙ ОТВЕТСТВЕННОСТЬЮ " КРЫМСКИЙ ЗАВОД ЖБИ"</t>
  </si>
  <si>
    <t>" КРЫМСКИЙ ЗАВОД ЖБИ"</t>
  </si>
  <si>
    <t>2337043894</t>
  </si>
  <si>
    <t>КРАСНОДАРСКИЙ КРАЙ,Г ТИХОРЕЦК,УЛ ЭНГЕЛЬСА, Д 155</t>
  </si>
  <si>
    <t>Акименко Евгений Александрович</t>
  </si>
  <si>
    <t>+7 (988) 334-42-09'</t>
  </si>
  <si>
    <t>56.618829,47.827743</t>
  </si>
  <si>
    <t>ОБЩЕСТВО С ОГРАНИЧЕННОЙ ОТВЕТСТВЕННОСТЬЮ "БЕТОН СК"</t>
  </si>
  <si>
    <t>"БЕТОН СК"</t>
  </si>
  <si>
    <t>2001003199</t>
  </si>
  <si>
    <t>366284, ЧЕЧЕНСКАЯ РЕСП., Г. Аргун, УЛ. МЕЛЬНИЧНАЯ, ДВЛД. 9</t>
  </si>
  <si>
    <t>Садулаев Беслан Исаевич</t>
  </si>
  <si>
    <t>AHMED@BK.RU'</t>
  </si>
  <si>
    <t>56.625351,47.840508</t>
  </si>
  <si>
    <t>ОБЩЕСТВО С ОГРАНИЧЕННОЙ ОТВЕТСТВЕННОСТЬЮ "ЗАВОД СИЛИКАТНЫХ МАТЕРИАЛОВ"</t>
  </si>
  <si>
    <t>"ЗАВОД СИЛИКАТНЫХ МАТЕРИАЛОВ"</t>
  </si>
  <si>
    <t>6451001248</t>
  </si>
  <si>
    <t>410022, САРАТОВСКАЯ ОБЛАСТЬ, Г. САРАТОВ, ПР-Д ВЕРХНИЙ АЛЕКСАНДРОВСКИЙ, Д. 2</t>
  </si>
  <si>
    <t>Прозоров Геннадий Степанович</t>
  </si>
  <si>
    <t>silikat@narat.ru'</t>
  </si>
  <si>
    <t>ОБЩЕСТВО С ОГРАНИЧЕННОЙ ОТВЕТСТВЕННОСТЬЮ "СВ-СТРОЙ"</t>
  </si>
  <si>
    <t>"СВ-СТРОЙ"</t>
  </si>
  <si>
    <t>6453169574</t>
  </si>
  <si>
    <t>410086, Саратовская область, ГОРОД САРАТОВ, Г САРАТОВ, Ш МОСКОВСКОЕ, ЗД. 158Б</t>
  </si>
  <si>
    <t>Атоян Самвел Валериевич</t>
  </si>
  <si>
    <t>PROSTO1978@MAIL.RU'</t>
  </si>
  <si>
    <t>57.310403,47.863622</t>
  </si>
  <si>
    <t>ОБЩЕСТВО С ОГРАНИЧЕННОЙ ОТВЕТСТВЕННОСТЬЮ "САРАТОВСКИЙ КОМБИНАТ БЕТОННЫХ ИЗДЕЛИЙ"</t>
  </si>
  <si>
    <t>"САРАТОВСКИЙ КОМБИНАТ БЕТОННЫХ ИЗДЕЛИЙ"</t>
  </si>
  <si>
    <t>6453144763</t>
  </si>
  <si>
    <t>410086, САРАТОВСКАЯ ОБЛАСТЬ, ГОРОД САРАТОВ, УЛИЦА ПЕСЧАНО-УМЕТСКАЯ, ДОМ 24Б</t>
  </si>
  <si>
    <t>Ульянич Сергей Владимирович</t>
  </si>
  <si>
    <t>+7 (987) 370-06-70'</t>
  </si>
  <si>
    <t>skbi64@mail.ru'</t>
  </si>
  <si>
    <t>56.6316,47.886178</t>
  </si>
  <si>
    <t>ОБЩЕСТВО С ОГРАНИЧЕННОЙ ОТВЕТСТВЕННОСТЬЮ "БЕТОНГРУПП"</t>
  </si>
  <si>
    <t>"БЕТОНГРУПП"</t>
  </si>
  <si>
    <t>6432020686</t>
  </si>
  <si>
    <t>410080, САРАТОВСКАЯ ОБЛАСТЬ, Г. САРАТОВ, Х МАЛАЯ СКАТОВКА, УЛ. ЦЕНТРАЛЬНАЯ, СТР. 13В</t>
  </si>
  <si>
    <t>Аракелян Сипан Грагатович</t>
  </si>
  <si>
    <t>betongrupp64@mail.ru'</t>
  </si>
  <si>
    <t>56.615525,47.888802</t>
  </si>
  <si>
    <t>ОБЩЕСТВО С ОГРАНИЧЕННОЙ ОТВЕТСТВЕННОСТЬЮ "АРГУНСКИЙ КОМБИНАТ СТРОЙМАТЕРИАЛОВ И СТРОЙИНДУСТРИИ"</t>
  </si>
  <si>
    <t>"АРГУНСКИЙ КОМБИНАТ СТРОЙМАТЕРИАЛОВ И СТРОЙИНДУСТРИИ"</t>
  </si>
  <si>
    <t>2001002220</t>
  </si>
  <si>
    <t>366283, ЧЕЧЕНСКАЯ РЕСПУБЛИКА, Г. АРГУН, УЛ. С.АКСАКТЕМИРОВА, Д. 51</t>
  </si>
  <si>
    <t>Уциева Сацита Хамирзаевна</t>
  </si>
  <si>
    <t>EL@MAIL.RU'</t>
  </si>
  <si>
    <t>56.637095,47.89332</t>
  </si>
  <si>
    <t>ОБЩЕСТВО С ОГРАНИЧЕННОЙ ОТВЕТСТВЕННОСТЬЮ "ЧААДАЕВСКИЙ ПЕНОБЕТОН"</t>
  </si>
  <si>
    <t>"ЧААДАЕВСКИЙ ПЕНОБЕТОН"</t>
  </si>
  <si>
    <t>5812340465</t>
  </si>
  <si>
    <t>442325, ПЕНЗЕНСКАЯ ОБЛАСТЬ, РАЙОН ГОРОДИЩЕНСКИЙ, РАБОЧИЙ ПОСЕЛОК ЧААДАЕВКА, УЛИЦА ЗАВОДСКАЯ, 8</t>
  </si>
  <si>
    <t>Курышкин Александр Викторович</t>
  </si>
  <si>
    <t>+7 (908) 534-16-82'</t>
  </si>
  <si>
    <t>56.613767,47.893652</t>
  </si>
  <si>
    <t>ЗАКРЫТОЕ АКЦИОНЕРНОЕ ОБЩЕСТВО "СТРОЙДЕТАЛЬ"</t>
  </si>
  <si>
    <t>ЗАКРЫТОЕ "СТРОЙДЕТАЛЬ"</t>
  </si>
  <si>
    <t>6453029584</t>
  </si>
  <si>
    <t>Г САРАТОВ,МОСКОВСКОЕ ШОССЕ, Д 39</t>
  </si>
  <si>
    <t>Абызов Александр Васильевич</t>
  </si>
  <si>
    <t>stroydetal@mail.ru'</t>
  </si>
  <si>
    <t>52.060798,47.920476</t>
  </si>
  <si>
    <t>ОБЩЕСТВО С ОГРАНИЧЕННОЙ ОТВЕТСТВЕННОСТЬЮ "ЖБИ-ФИН"</t>
  </si>
  <si>
    <t>"ЖБИ-ФИН"</t>
  </si>
  <si>
    <t>6453064331</t>
  </si>
  <si>
    <t>Князевский Эдуард Викторович</t>
  </si>
  <si>
    <t>56.627936,47.924887</t>
  </si>
  <si>
    <t>ОБЩЕСТВО С ОГРАНИЧЕННОЙ ОТВЕТСТВЕННОСТЬЮ "БЕТОН-МАРКЕТ"</t>
  </si>
  <si>
    <t>"БЕТОН-МАРКЕТ"</t>
  </si>
  <si>
    <t>6453078052</t>
  </si>
  <si>
    <t>46.32995,47.972021</t>
  </si>
  <si>
    <t>ФИРМА "СТРОИТЕЛЬ" ОБЩЕСТВО С ОГРАНИЧЕННОЙ ОТВЕТСТВЕННОСТЬЮ</t>
  </si>
  <si>
    <t xml:space="preserve">ФИРМА "СТРОИТЕЛЬ" </t>
  </si>
  <si>
    <t>2012001588</t>
  </si>
  <si>
    <t>366311, ЧЕЧЕНСКАЯ РЕСПУБЛИКА, РАЙОН ШАЛИНСКИЙ, СЕЛО МЕСКЕР-ЮРТ, УЛИЦА АЛИ-МИТАЕВА, ДОМ 23</t>
  </si>
  <si>
    <t>Мулаев Муса Джамалайлаевич</t>
  </si>
  <si>
    <t>+7 (929) 897-44-41'</t>
  </si>
  <si>
    <t>56.637387,47.978992</t>
  </si>
  <si>
    <t>ОБЩЕСТВО С ОГРАНИЧЕННОЙ ОТВЕТСТВЕННОСТЬЮ "Фин-Сар"</t>
  </si>
  <si>
    <t>"Фин-Сар"</t>
  </si>
  <si>
    <t>6453118266</t>
  </si>
  <si>
    <t>410062, САРАТОВСКАЯ ОБЛАСТЬ, ГОРОД САРАТОВ, УЛИЦА ТРОФИМОВСКАЯ, ДОМ 21, СТРОЕНИЕ 1</t>
  </si>
  <si>
    <t>Сергеева Алена Геннадьевна</t>
  </si>
  <si>
    <t>ОБЩЕСТВО С ОГРАНИЧЕННОЙ ОТВЕТСТВЕННОСТЬЮ "ЖБИ САРАТОВ"</t>
  </si>
  <si>
    <t>"ЖБИ САРАТОВ"</t>
  </si>
  <si>
    <t>6453167217</t>
  </si>
  <si>
    <t>410033, САРАТОВСКАЯ ОБЛ., Г. Саратов, ПР-Д МОЛОДЕЖНЫЙ, Д. 5, ЭТАЖ 3 ПОМЕЩ. 29</t>
  </si>
  <si>
    <t>Филиппов Дмитрий Викторович</t>
  </si>
  <si>
    <t>46.407338,48.010353</t>
  </si>
  <si>
    <t>ОБЩЕСТВО С ОГРАНИЧЕННОЙ ОТВЕТСТВЕННОСТЬЮ "ПРОФСПЕЦСТРОЙ"</t>
  </si>
  <si>
    <t>"ПРОФСПЕЦСТРОЙ"</t>
  </si>
  <si>
    <t>6452057476</t>
  </si>
  <si>
    <t>Г САРАТОВ,УЛ КУРДЮМСКАЯ, Д 92/1,..</t>
  </si>
  <si>
    <t>Хахалин Юрий Алексеевич</t>
  </si>
  <si>
    <t>+7 (927) 224-59-39', '+7 (906) 313-62-85'</t>
  </si>
  <si>
    <t>PSSLanina@mail.ru'</t>
  </si>
  <si>
    <t>55.974539,48.011844</t>
  </si>
  <si>
    <t>АКЦИОНЕРНОЕ ОБЩЕСТВО "ЗАВОД СИЛИКАТНОГО КИРПИЧА"</t>
  </si>
  <si>
    <t>"ЗАВОД СИЛИКАТНОГО КИРПИЧА"</t>
  </si>
  <si>
    <t>6451107156</t>
  </si>
  <si>
    <t>Г САРАТОВ,НОВО-АСТРАХАНСКОЕ ШОССЕ, Д 1</t>
  </si>
  <si>
    <t>Афанасьев Александр Петрович</t>
  </si>
  <si>
    <t>SILIKATNYIZAVOD@SAN.RU'</t>
  </si>
  <si>
    <t>46.333939,48.017809</t>
  </si>
  <si>
    <t>ОБЩЕСТВО С ОГРАНИЧЕННОЙ ОТВЕТСТВЕННОСТЬЮ "ХАС-СТРОЙ-ПЛИТКА"</t>
  </si>
  <si>
    <t>"ХАС-СТРОЙ-ПЛИТКА"</t>
  </si>
  <si>
    <t>2012009153</t>
  </si>
  <si>
    <t>366308, ЧЕЧЕНСКАЯ РЕСП, ШАЛИНСКИЙ Р-Н, АВТУРЫ С, ДЕНИ-ШЕЙХА АРСАНОВА УЛ, ДОМ 45</t>
  </si>
  <si>
    <t>Зухайраев Хасейн Мисирпашаевич</t>
  </si>
  <si>
    <t>+7 (989) 900-57-03'</t>
  </si>
  <si>
    <t>46.381687,48.01974</t>
  </si>
  <si>
    <t>ОБЩЕСТВО С ОГРАНИЧЕННОЙ ОТВЕТСТВЕННОСТЬЮ "САРАТОВСКИЙ ЗАВОД СТРОИТЕЛЬНЫХ МАТЕРИАЛОВ"</t>
  </si>
  <si>
    <t>"САРАТОВСКИЙ ЗАВОД СТРОИТЕЛЬНЫХ МАТЕРИАЛОВ"</t>
  </si>
  <si>
    <t>6454124030</t>
  </si>
  <si>
    <t>410004, САРАТОВСКАЯ ОБЛАСТЬ, ГОРОД САРАТОВ, УЛИЦА ИМ ЧЕРНЫШЕВСКОГО Н.Г., ДОМ 60/62А, ОФИС 505</t>
  </si>
  <si>
    <t>Гафанович Владимир Львович</t>
  </si>
  <si>
    <t>szms2019@mail.ru'</t>
  </si>
  <si>
    <t>46.32326,48.034275</t>
  </si>
  <si>
    <t>ОБЩЕСТВО С ОГРАНИЧЕННОЙ ОТВЕТСТВЕННОСТЬЮ "КАДИС"</t>
  </si>
  <si>
    <t>"КАДИС"</t>
  </si>
  <si>
    <t>6453128232</t>
  </si>
  <si>
    <t>410035, САРАТОВСКАЯ ОБЛАСТЬ, ГОРОД САРАТОВ, УЛИЦА ИМ УФИМЦЕВА К.Г., 10, 140</t>
  </si>
  <si>
    <t>Черепанова Екатерина Владимировна</t>
  </si>
  <si>
    <t>+7 (905) 384-66-96', '+7 (963) 114-75-70'</t>
  </si>
  <si>
    <t>46.322551,48.035146</t>
  </si>
  <si>
    <t>ОБЩЕСТВО С ОГРАНИЧЕННОЙ ОТВЕТСТВЕННОСТЬЮ " КАДИС"</t>
  </si>
  <si>
    <t>" КАДИС"</t>
  </si>
  <si>
    <t>6453146496</t>
  </si>
  <si>
    <t>410035, САРАТОВСКАЯ ОБЛАСТЬ, ГОРОД САРАТОВ, УЛИЦА ИМ УФИМЦЕВА К.Г., ДОМ 10,..</t>
  </si>
  <si>
    <t>+7 (917) 211-00-74'</t>
  </si>
  <si>
    <t>46.344012,48.041677</t>
  </si>
  <si>
    <t>6452127726</t>
  </si>
  <si>
    <t>410010, САРАТОВСКАЯ ОБЛ, САРАТОВ Г, ТЕХНИЧЕСКАЯ УЛ, ДОМ 16А, ПОМЕЩЕНИЕ 1,2,3</t>
  </si>
  <si>
    <t>ДИРЕКТОР Лежнева Екатерина Викторовна</t>
  </si>
  <si>
    <t>46.368444,48.045108</t>
  </si>
  <si>
    <t>ОБЩЕСТВО С ОГРАНИЧЕННОЙ ОТВЕТСТВЕННОСТЬЮ "ДЭКОРА"</t>
  </si>
  <si>
    <t>"ДЭКОРА"</t>
  </si>
  <si>
    <t>6454108937</t>
  </si>
  <si>
    <t>410017, САРАТОВСКАЯ ОБЛАСТЬ, Г. САРАТОВ, УЛ. ИМ ЧЕРНЫШЕВСКОГО Н.Г., Д. 94, СТР. ЛИТЕР В2, ОФИС 13</t>
  </si>
  <si>
    <t>Дворцов Владимир Викторович</t>
  </si>
  <si>
    <t>+7 (962) 622-22-14', '+7 (906) 304-09-58'</t>
  </si>
  <si>
    <t>46.374177,48.111314</t>
  </si>
  <si>
    <t>ОБЩЕСТВО С ОГРАНИЧЕННОЙ ОТВЕТСТВЕННОСТЬЮ "ГОФРОТАРА"</t>
  </si>
  <si>
    <t>"ГОФРОТАРА"</t>
  </si>
  <si>
    <t>6453097714</t>
  </si>
  <si>
    <t>410031, САРАТОВСКАЯ ОБЛАСТЬ, ГОРОД САРАТОВ, УЛИЦА КОМСОМОЛЬСКАЯ, ДОМ 52, ОФИС 120</t>
  </si>
  <si>
    <t>Тимофеев Сергей Владимирович</t>
  </si>
  <si>
    <t>46.363587,48.150211</t>
  </si>
  <si>
    <t>ОБЩЕСТВО С ОГРАНИЧЕННОЙ ОТВЕТСТВЕННОСТЬЮ "АРССТРОЙ"</t>
  </si>
  <si>
    <t>"АРССТРОЙ"</t>
  </si>
  <si>
    <t>6452947334</t>
  </si>
  <si>
    <t>410038, САРАТОВСКАЯ ОБЛАСТЬ, ГОРОД САРАТОВ, ТЕРРИТОРИЯ СОКОЛОВАЯ ГОРА, ДОМ Б/Н</t>
  </si>
  <si>
    <t>Меграбян Арсен Айказович</t>
  </si>
  <si>
    <t>+7 (917) 210-25-64'</t>
  </si>
  <si>
    <t>42.114988,48.187653</t>
  </si>
  <si>
    <t>ОБЩЕСТВО С ОГРАНИЧЕННОЙ ОТВЕТСТВЕННОСТЬЮ "ГудМоторс"</t>
  </si>
  <si>
    <t>"ГудМоторс"</t>
  </si>
  <si>
    <t>6454101096</t>
  </si>
  <si>
    <t>410031, САРАТОВСКАЯ ОБЛАСТЬ, ГОРОД САРАТОВ, УЛИЦА БОЛЬШАЯ ЗАТОНСКАЯ, ДОМ 23, ОФИС 2А</t>
  </si>
  <si>
    <t>Литневский Павел Артурович</t>
  </si>
  <si>
    <t>46.340497,48.188327</t>
  </si>
  <si>
    <t>2012004885</t>
  </si>
  <si>
    <t>366329, Чеченская Республика, муниципальный район КУРЧАЛОЕВСКИЙ, Г. КУРЧАЛОЙ, городское поселение КУРЧАЛОЙСКОЕ, УЛ М-А. ХАСИЕВА, Д. 24,</t>
  </si>
  <si>
    <t>Усумова Жарадат Юсуповна</t>
  </si>
  <si>
    <t>+7 (928) 017-74-17', '+7 (929) 000-00-11'</t>
  </si>
  <si>
    <t>42.115189,48.193923</t>
  </si>
  <si>
    <t>ОБЩЕСТВО С ОГРАНИЧЕННОЙ ОТВЕТСТВЕННОСТЬЮ "КРАФТ"</t>
  </si>
  <si>
    <t>"КРАФТ"</t>
  </si>
  <si>
    <t>6449098828</t>
  </si>
  <si>
    <t>413107, САРАТОВСКАЯ ОБЛАСТЬ, ГОРОД ЭНГЕЛЬС, УЛИЦА ТУРГЕНЕВА, ДОМ 28,..</t>
  </si>
  <si>
    <t>Еделькина Людмила Андреевна</t>
  </si>
  <si>
    <t>42.108607,48.198612</t>
  </si>
  <si>
    <t>ОБЩЕСТВО С ОГРАНИЧЕННОЙ ОТВЕТСТВЕННОСТЬЮ "ДЕЛЬФИН"</t>
  </si>
  <si>
    <t>"ДЕЛЬФИН"</t>
  </si>
  <si>
    <t>6449084430</t>
  </si>
  <si>
    <t>413100, САРАТОВСКАЯ ОБЛАСТЬ, ГОРОД ЭНГЕЛЬС, УЛИЦА ШУРОВА ГОРА, ДОМ 7/3,..</t>
  </si>
  <si>
    <t>Пряхина Юлия Сергеевна</t>
  </si>
  <si>
    <t>ОБЩЕСТВО С ОГРАНИЧЕННОЙ ОТВЕТСТВЕННОСТЬЮ "СТРОЙЦЕНТР М"</t>
  </si>
  <si>
    <t>"СТРОЙЦЕНТР М"</t>
  </si>
  <si>
    <t>1327023640</t>
  </si>
  <si>
    <t>РЕСПУБЛИКА МОРДОВИЯ,БОЛЬШЕБЕРЕЗНИКОВСКИЙ Р-Н,С ШУГУРОВО</t>
  </si>
  <si>
    <t>Мальцев Сергей Сергеевич</t>
  </si>
  <si>
    <t>+7 (927) 194-76-42'</t>
  </si>
  <si>
    <t>56.715653,48.219328</t>
  </si>
  <si>
    <t>ОБЩЕСТВО С ОГРАНИЧЕННОЙ ОТВЕТСТВЕННОСТЬЮ "ПОКРОВСКИЙ БЕТОННЫЙ ЗАВОД"</t>
  </si>
  <si>
    <t>"ПОКРОВСКИЙ БЕТОННЫЙ ЗАВОД"</t>
  </si>
  <si>
    <t>6449075154</t>
  </si>
  <si>
    <t>413100, САРАТОВСКАЯ ОБЛАСТЬ, ГОРОД ЭНГЕЛЬС, УЛИЦА ПРОЛЕТАРСКАЯ, 1</t>
  </si>
  <si>
    <t>Капицын Юрий Викторович</t>
  </si>
  <si>
    <t>+7 (903) 382-25-99', '+7 (927) 227-54-74'</t>
  </si>
  <si>
    <t>rozhckova77@yandex'</t>
  </si>
  <si>
    <t>ОБЩЕСТВО С ОГРАНИЧЕННОЙ ОТВЕТСТВЕННОСТЬЮ "АРМАЛИТ"</t>
  </si>
  <si>
    <t>"АРМАЛИТ"</t>
  </si>
  <si>
    <t>6449072481</t>
  </si>
  <si>
    <t>413100, САРАТОВСКАЯ ОБЛАСТЬ, ГОРОД ЭНГЕЛЬС, УЛИЦА ТЕЛЬМАНА, ДОМ 3 В</t>
  </si>
  <si>
    <t>Адовсков Виталий Игоревич</t>
  </si>
  <si>
    <t>+7 (987) 319-80-41', '+7 (937) 227-23-73'</t>
  </si>
  <si>
    <t>fedora1508@mail.ru'</t>
  </si>
  <si>
    <t>41.98329,48.222624</t>
  </si>
  <si>
    <t>ОБЩЕСТВО С ОГРАНИЧЕННОЙ ОТВЕТСТВЕННОСТЬЮ "НОВЫЙ ВЕК-ЖЕЛЕЗОБЕТОННЫЕ КОНСТРУКЦИИ"</t>
  </si>
  <si>
    <t>"НОВЫЙ ВЕК-ЖЕЛЕЗОБЕТОННЫЕ КОНСТРУКЦИИ"</t>
  </si>
  <si>
    <t>6449084920</t>
  </si>
  <si>
    <t>413121, САРАТОВСКАЯ ОБЛАСТЬ, ГОРОД ЭНГЕЛЬС, ПРОЕЗД ТЕХНОЛОГИЧЕСКИЙ, ДОМ 7, ОФИС 301</t>
  </si>
  <si>
    <t>Ванин Сергей Николаевич</t>
  </si>
  <si>
    <t>+7 (845) 379-56-00'</t>
  </si>
  <si>
    <t>54.959258,48.261153</t>
  </si>
  <si>
    <t>ОБЩЕСТВО С ОГРАНИЧЕННОЙ ОТВЕТСТВЕННОСТЬЮ "Евразия-М"</t>
  </si>
  <si>
    <t>"Евразия-М"</t>
  </si>
  <si>
    <t>6449064681</t>
  </si>
  <si>
    <t>413124, САРАТОВСКАЯ ОБЛАСТЬ, ГОРОД ЭНГЕЛЬС, ПРОЕЗД 1-Й СТУДЕНЧЕСКИЙ, 2 А, ОФИС 4</t>
  </si>
  <si>
    <t>Эмеев Магомед Магомедхабибович</t>
  </si>
  <si>
    <t>54.256629,48.270523</t>
  </si>
  <si>
    <t>ОБЩЕСТВО С ОГРАНИЧЕННОЙ ОТВЕТСТВЕННОСТЬЮ "КЕРАМЗИТОБЕТОН-164"</t>
  </si>
  <si>
    <t>"КЕРАМЗИТОБЕТОН-164"</t>
  </si>
  <si>
    <t>6449086340</t>
  </si>
  <si>
    <t>413124, САРАТОВСКАЯ ОБЛАСТЬ, ГОРОД ЭНГЕЛЬС, ПРОЕЗД 1-Й СТУДЕНЧЕСКИЙ, ДОМ 2А</t>
  </si>
  <si>
    <t>Айдимеров Ташдимер Рурахмаевич</t>
  </si>
  <si>
    <t>+7 (988) 452-23-15', '+7 (927) 623-43-15'</t>
  </si>
  <si>
    <t>0814089262</t>
  </si>
  <si>
    <t>Г ЭЛИСТА,УЛ ЛЕНИНА, Д 301,..</t>
  </si>
  <si>
    <t>Каранадзе Заира Рамазановна</t>
  </si>
  <si>
    <t>54.257938,48.273128</t>
  </si>
  <si>
    <t>ОБЩЕСТВО С ОГРАНИЧЕННОЙ ОТВЕТСТВЕННОСТЬЮ "ПартнерИнвест"</t>
  </si>
  <si>
    <t>"ПартнерИнвест"</t>
  </si>
  <si>
    <t>1306000049</t>
  </si>
  <si>
    <t>431770, МОРДОВИЯ РЕСПУБЛИКА, Р-Н ДУБЕНСКИЙ, С ДУБЕНКИ, УЛ. БРОВЦЕВА, Д.142</t>
  </si>
  <si>
    <t>Пиянзин Сергей Семенович</t>
  </si>
  <si>
    <t>54.305966,48.276218</t>
  </si>
  <si>
    <t>Закрытое акционерное общество "Завод железобетонных конструкций - 2"</t>
  </si>
  <si>
    <t>Закрытое "Завод железобетонных конструкций - 2"</t>
  </si>
  <si>
    <t>3017000011</t>
  </si>
  <si>
    <t>30-Астраханская область</t>
  </si>
  <si>
    <t>Г АСТРАХАНЬ,УЛ БОЕВАЯ,119</t>
  </si>
  <si>
    <t>Красновская Елена Николаевна</t>
  </si>
  <si>
    <t>+7 (927) 557-16-57'</t>
  </si>
  <si>
    <t>scompany@mail.ru'</t>
  </si>
  <si>
    <t>54.29221,48.277682</t>
  </si>
  <si>
    <t>ОБЩЕСТВО С ОГРАНИЧЕННОЙ ОТВЕТСТВЕННОСТЬЮ "Производственное объединение "Железобетон"</t>
  </si>
  <si>
    <t>"Производственное объединение "Железобетон"</t>
  </si>
  <si>
    <t>3015060093</t>
  </si>
  <si>
    <t>Г АСТРАХАНЬ,ФУНТОВСКОЕ ШОССЕ, Д 2</t>
  </si>
  <si>
    <t>Вязовой Сергей Николаевич</t>
  </si>
  <si>
    <t>ОБЩЕСТВО С ОГРАНИЧЕННОЙ ОТВЕТСТВЕННОСТЬЮ "АстПлитка"</t>
  </si>
  <si>
    <t>"АстПлитка"</t>
  </si>
  <si>
    <t>3015101825</t>
  </si>
  <si>
    <t>Г АСТРАХАНЬ,УЛ КОСМОНАВТОВ,Д 2..</t>
  </si>
  <si>
    <t>Ефимов Илья Сергеевич</t>
  </si>
  <si>
    <t>+7 (988) 171-74-16'</t>
  </si>
  <si>
    <t>54.296388,48.278536</t>
  </si>
  <si>
    <t>ОБЩЕСТВО С ОГРАНИЧЕННОЙ ОТВЕТСТВЕННОСТЬЮ "ИНДУСТРИЯ-2017"</t>
  </si>
  <si>
    <t>"ИНДУСТРИЯ-2017"</t>
  </si>
  <si>
    <t>0263026270</t>
  </si>
  <si>
    <t>02-Республика Башкортостан</t>
  </si>
  <si>
    <t>366108, ЧЕЧЕНСКАЯ РЕСП., Р-Н Шелковской, СТ-ЦА Шелковская, УЛ. ИМ Р.МАЖАТОВА, Д. 1Б,..</t>
  </si>
  <si>
    <t>Посадский Александр Васильевич</t>
  </si>
  <si>
    <t>+7 (922) 863-10-26'</t>
  </si>
  <si>
    <t>54.294029,48.285444</t>
  </si>
  <si>
    <t>ОБЩЕСТВО С ОГРАНИЧЕННОЙ ОТВЕТСТВЕННОСТЬЮ «ВОСХОД»</t>
  </si>
  <si>
    <t>«ВОСХОД»</t>
  </si>
  <si>
    <t>0503012122</t>
  </si>
  <si>
    <t>368990, ДАГЕСТАН РЕСП., Р-Н Ахвахский, С. Карата, УЛ. БОКОХИНСКАЯ, Д. 155</t>
  </si>
  <si>
    <t>Шуайбов Мусабег Магомедович</t>
  </si>
  <si>
    <t>ОБЩЕСТВО С ОГРАНИЧЕННОЙ ОТВЕТСТВЕННОСТЬЮ "НАРОДНЫЙ БЕТОН"</t>
  </si>
  <si>
    <t>"НАРОДНЫЙ БЕТОН"</t>
  </si>
  <si>
    <t>1215186597</t>
  </si>
  <si>
    <t>12-Республика Марий Эл</t>
  </si>
  <si>
    <t>РЕСПУБЛИКА МАРИЙ ЭЛ,ГОРНОМАРИЙСКИЙ Р-Н,Д МУРЗАНАЕВО,Д МУРЗАНАЕВО</t>
  </si>
  <si>
    <t>Закиров Тагир Салихович</t>
  </si>
  <si>
    <t>54.302525,48.286701</t>
  </si>
  <si>
    <t>ОБЩЕСТВО С ОГРАНИЧЕННОЙ ОТВЕТСТВЕННОСТЬЮ "ЭНЕРГО ТРАНС"</t>
  </si>
  <si>
    <t>"ЭНЕРГО ТРАНС"</t>
  </si>
  <si>
    <t>0524009240</t>
  </si>
  <si>
    <t>368166, ДАГЕСТАН РЕСПУБЛИКА, Р-Н НОВОЛАКСКИЙ, С НОВОЧУРТАХ, УЛ. Р. ГАМЗАТОВА, Д. 5</t>
  </si>
  <si>
    <t>Гадачиев Магомед-Мирза Исакович</t>
  </si>
  <si>
    <t>54.270875,48.287357</t>
  </si>
  <si>
    <t>ОБЩЕСТВО С ОГРАНИЧЕННОЙ ОТВЕТСТВЕННОСТЬЮ "Куздорсервис"</t>
  </si>
  <si>
    <t>"Куздорсервис"</t>
  </si>
  <si>
    <t>5803020606</t>
  </si>
  <si>
    <t>442539, Пензенская Область, Город Кузнецк, Улица Асфальтная, 1А</t>
  </si>
  <si>
    <t>Нарбеков Руслан Маратович</t>
  </si>
  <si>
    <t>54.303539,48.300059</t>
  </si>
  <si>
    <t>ЗАКРЫТОЕ АКЦИОНЕРНОЕ ОБЩЕСТВО "ЖЕЛЕЗОБЕТОННЫЙ КОМБИНАТ"</t>
  </si>
  <si>
    <t>ЗАКРЫТОЕ "ЖЕЛЕЗОБЕТОННЫЙ КОМБИНАТ"</t>
  </si>
  <si>
    <t>0513000091</t>
  </si>
  <si>
    <t>368000, Республика Дагестан, Казбековский район, с Ленинаул</t>
  </si>
  <si>
    <t xml:space="preserve"> Директор Джантуев Маматшаир Джумаханович</t>
  </si>
  <si>
    <t>54.304106,48.30164</t>
  </si>
  <si>
    <t>ОБЩЕСТВО С ОГРАНИЧЕННОЙ ОТВЕТСТВЕННОСТЬЮ "ХАДИС"</t>
  </si>
  <si>
    <t>"ХАДИС"</t>
  </si>
  <si>
    <t>0534029006</t>
  </si>
  <si>
    <t>РЕСПУБЛИКА ДАГЕСТАН,Г ХАСАВЮРТ,УЛ НАБЕРЕЖНАЯ Д 4..</t>
  </si>
  <si>
    <t>Хадисов Нурмагомед Исаевич</t>
  </si>
  <si>
    <t>54.257312,48.314199</t>
  </si>
  <si>
    <t>ОБЩЕСТВО С ОГРАНИЧЕННОЙ ОТВЕТСТВЕННОСТЬЮ "Алатырский продукт"</t>
  </si>
  <si>
    <t>"Алатырский продукт"</t>
  </si>
  <si>
    <t>2122006420</t>
  </si>
  <si>
    <t>429826, ЧУВАШСКАЯ РЕСПУБЛИКА - ЧУВАШИЯ, Г. АЛАТЫРЬ, УЛ. СТРЕЛЕЦКАЯ, Д.48</t>
  </si>
  <si>
    <t>Орлов Станислав Валериевич</t>
  </si>
  <si>
    <t>+7 (926) 017-37-77'</t>
  </si>
  <si>
    <t>54.249654,48.315528</t>
  </si>
  <si>
    <t>ОБЩЕСТВО С ОГРАНИЧЕННОЙ ОТВЕТСТВЕННОСТЬЮ "СПЕЦИАЛИЗИРОВАННЫЙ ЗАСТРОЙЩИК "АСТДОМСТРОЙ-ИНВЕСТ"</t>
  </si>
  <si>
    <t>"СПЕЦИАЛИЗИРОВАННЫЙ ЗАСТРОЙЩИК "АСТДОМСТРОЙ-ИНВЕСТ"</t>
  </si>
  <si>
    <t>3006007350</t>
  </si>
  <si>
    <t>368001, ДАГЕСТАН РЕСПУБЛИКА, Г. ХАСАВЮРТ, УЛ. ЭКСКАВАТОРНАЯ, Д. 2В, ПОМЕЩ. 5</t>
  </si>
  <si>
    <t>Омаров Заур Залимович</t>
  </si>
  <si>
    <t>54.30792,48.322948</t>
  </si>
  <si>
    <t>ОБЩЕСТВО С ОГРАНИЧЕННОЙ ОТВЕТСТВЕННОСТЬЮ "ХАСАВЮРТОВСКИЙ ЗАВОД ЖБИ И МК"</t>
  </si>
  <si>
    <t>"ХАСАВЮРТОВСКИЙ ЗАВОД ЖБИ И МК"</t>
  </si>
  <si>
    <t>0544012996</t>
  </si>
  <si>
    <t>368006, ДАГЕСТАН РЕСПУБЛИКА, Г. ХАСАВЮРТ, УЛ. ЭКСКАВАТОРНАЯ, Д. 1</t>
  </si>
  <si>
    <t>Закриев Али Алавудинович</t>
  </si>
  <si>
    <t>55.859398,48.344948</t>
  </si>
  <si>
    <t>ОБЩЕСТВО С ОГРАНИЧЕННОЙ ОТВЕТСТВЕННОСТЬЮ "САХАБ"</t>
  </si>
  <si>
    <t>"САХАБ"</t>
  </si>
  <si>
    <t>0544013005</t>
  </si>
  <si>
    <t>368006, ДАГЕСТАН РЕСПУБЛИКА, Г. ХАСАВЮРТ, УЛ. ЭКСКАВАТОРНАЯ, Д. 3</t>
  </si>
  <si>
    <t>Максудов Шамиль Гаджимурадович</t>
  </si>
  <si>
    <t>OLAMVI@YANDEX.RU'</t>
  </si>
  <si>
    <t>55.862095,48.351479</t>
  </si>
  <si>
    <t>ОБЩЕСТВО С ОГРАНИЧЕННОЙ ОТВЕТСТВЕННОСТЬЮ "Вердис"</t>
  </si>
  <si>
    <t>"Вердис"</t>
  </si>
  <si>
    <t>5803019551</t>
  </si>
  <si>
    <t>442533, Пензенская Область, Город Кузнецк, Улица Осипова, 9А</t>
  </si>
  <si>
    <t>Кочкарева Ольга Шефкетовна</t>
  </si>
  <si>
    <t>55.863353,48.352368</t>
  </si>
  <si>
    <t>0534036300</t>
  </si>
  <si>
    <t>368025, ДАГЕСТАН РЕСП, ХАСАВЮРТОВСКИЙ Р-Н, САДОВАЯ С, ВЕРХНЯЯ УЛ, ДОМ 10</t>
  </si>
  <si>
    <t>Газимагомедов Магомедгаджи Магомедович</t>
  </si>
  <si>
    <t>ooogarant05@bk.ru'</t>
  </si>
  <si>
    <t>54.158293,48.355584</t>
  </si>
  <si>
    <t>АКЦИОНЕРНОЕ ОБЩЕСТВО "ЯСНОПОЛЯНСКИЕ СТРОИТЕЛЬНЫЕ МАТЕРИАЛЫ"</t>
  </si>
  <si>
    <t>"ЯСНОПОЛЯНСКИЕ СТРОИТЕЛЬНЫЕ МАТЕРИАЛЫ"</t>
  </si>
  <si>
    <t>5836619770</t>
  </si>
  <si>
    <t>http://rostum.ru</t>
  </si>
  <si>
    <t>ПЕНЗЕНСКАЯ ОБЛ.,КУЗНЕЦКИЙ Р-Н,С ЯСНАЯ ПОЛЯНА,УЛ ПОЛЕВАЯ,2</t>
  </si>
  <si>
    <t>Асташкин Алексей Федорович</t>
  </si>
  <si>
    <t>silikat@sura.ru', 'bannikova@rostum.ru', '8157681@gmail.com'</t>
  </si>
  <si>
    <t>55.865682,48.358881</t>
  </si>
  <si>
    <t>2306018440</t>
  </si>
  <si>
    <t>КРАСНОДАРСКИЙ КРАЙ,Г ЕЙСК,УЛ КРАСНАЯ, 74/2</t>
  </si>
  <si>
    <t>Волик Юрий Геннадьевич</t>
  </si>
  <si>
    <t>+7 (905) 477-59-59'</t>
  </si>
  <si>
    <t>auvolik@mail.ru'</t>
  </si>
  <si>
    <t>54.335852,48.361639</t>
  </si>
  <si>
    <t>ОБЩЕСТВО С ОГРАНИЧЕННОЙ ОТВЕТСТВЕННОСТЬЮ "ТРОТУАРУС"</t>
  </si>
  <si>
    <t>"ТРОТУАРУС"</t>
  </si>
  <si>
    <t>0547012560</t>
  </si>
  <si>
    <t>368833, Республика Дагестан, ГОРОД КИЗЛЯР, Г КИЗЛЯР, УЛ КОЧУБЕЯ, Д. 72</t>
  </si>
  <si>
    <t>Рябышев Юрий Борисович</t>
  </si>
  <si>
    <t>SHAHRUDINOV@BK.RU'</t>
  </si>
  <si>
    <t>55.863121,48.361989</t>
  </si>
  <si>
    <t>ОБЩЕСТВО С ОГРАНИЧЕННОЙ ОТВЕТСТВЕННОСТЬЮ "БИЛ"</t>
  </si>
  <si>
    <t>"БИЛ"</t>
  </si>
  <si>
    <t>2306001245</t>
  </si>
  <si>
    <t>КРАСНОДАРСКИЙ КРАЙ,Г ЕЙСК,УЛ СВЕРДЛОВА, Д 85</t>
  </si>
  <si>
    <t>Бабенко Виктор Васильевич</t>
  </si>
  <si>
    <t>ooobil@mail.ru', 'ooobil@mail.ru', 'ooobil@mail.ru'</t>
  </si>
  <si>
    <t>54.352032,48.367523</t>
  </si>
  <si>
    <t>ОБЩЕСТВО С ОГРАНИЧЕННОЙ ОТВЕТСТВЕННОСТЬЮ "АЛЬФА-РЕКОРД ЖБК МАРКС"</t>
  </si>
  <si>
    <t>"АЛЬФА-РЕКОРД ЖБК МАРКС"</t>
  </si>
  <si>
    <t>6443022195</t>
  </si>
  <si>
    <t>413092, САРАТОВСКАЯ ОБЛАСТЬ, ГОРОД МАРКС, УЛИЦА МАМИНА, ДОМ 13Б</t>
  </si>
  <si>
    <t>Мустафаев Эльдар Орудж Оглы</t>
  </si>
  <si>
    <t>55.86405,48.372778</t>
  </si>
  <si>
    <t>ОБЩЕСТВО С ОГРАНИЧЕННОЙ ОТВЕТСТВЕННОСТЬЮ "ЦЕР"</t>
  </si>
  <si>
    <t>"ЦЕР"</t>
  </si>
  <si>
    <t>0516009705</t>
  </si>
  <si>
    <t>368115, ДАГЕСТАН РЕСПУБЛИКА, РАЙОН КИЗИЛЮРТОВСКИЙ, СЕЛО НОВОЕ ГАДАРИ, Д</t>
  </si>
  <si>
    <t>Рапигулиев Рапигули Гаджиевич</t>
  </si>
  <si>
    <t>54.366203,48.379246</t>
  </si>
  <si>
    <t>Производственный кооператив "МИАТЛИ"</t>
  </si>
  <si>
    <t>0516000460</t>
  </si>
  <si>
    <t>368115, ДАГЕСТАН РЕСПУБЛИКА, Р-Н КИЗИЛЮРТОВСКИЙ, С ЗУБУТЛИ-МИАТЛИ, УЛ. М.ГАДЖИЕВА, Д.24</t>
  </si>
  <si>
    <t>Бисултанов Иманали Амиралиевич</t>
  </si>
  <si>
    <t>54.341253,48.382022</t>
  </si>
  <si>
    <t>ОБЩЕСТВО С ОГРАНИЧЕННОЙ ОТВЕТСТВЕННОСТЬЮ "АРМОБЕТОН"</t>
  </si>
  <si>
    <t>"АРМОБЕТОН"</t>
  </si>
  <si>
    <t>0546022580</t>
  </si>
  <si>
    <t>368101, ДАГЕСТАН РЕСПУБЛИКА, Г. КИЗИЛЮРТ, ПГТ БАВТУГАЙ, ТЕРРИТОРИЯ ЖБИ Б/Н</t>
  </si>
  <si>
    <t>Эмендадаева Раисат Усмановна</t>
  </si>
  <si>
    <t>53.183943,48.382731</t>
  </si>
  <si>
    <t>ОБЩЕСТВО С ОГРАНИЧЕННОЙ ОТВЕТСТВЕННОСТЬЮ "АМС ГРУПП"</t>
  </si>
  <si>
    <t>"АМС ГРУПП"</t>
  </si>
  <si>
    <t>0546026948</t>
  </si>
  <si>
    <t>368121, ДАГЕСТАН РЕСП., Г. Кизилюрт, ПР-КТ ИМ ШАМИЛЯ, ДВЛД. 25</t>
  </si>
  <si>
    <t>Гаджиев Магомед Османович</t>
  </si>
  <si>
    <t>54.316035,48.386756</t>
  </si>
  <si>
    <t>ОБЩЕСТВО С ОГРАНИЧЕННОЙ ОТВЕТСТВЕННОСТЬЮ "ПРОГРЕСС М"</t>
  </si>
  <si>
    <t>"ПРОГРЕСС М"</t>
  </si>
  <si>
    <t>0536014100</t>
  </si>
  <si>
    <t>368262, ДАГЕСТАН РЕСПУБЛИКА, РАЙОН ХУНЗАХСКИЙ, СЕЛО ГОЦАТЛЬ БОЛЬШОЙ, УЛИЦА ИМАМА ШАМИЛЯ, ДОМ 41</t>
  </si>
  <si>
    <t>Магомедов Магомед Насрудинович</t>
  </si>
  <si>
    <t>54.331079,48.392352</t>
  </si>
  <si>
    <t>ОБЩЕСТВО С ОГРАНИЧЕННОЙ ОТВЕТСТВЕННОСТЬЮ "СпецБетон Мордовия"</t>
  </si>
  <si>
    <t>"СпецБетон Мордовия"</t>
  </si>
  <si>
    <t>1326230795</t>
  </si>
  <si>
    <t>РЕСПУБЛИКА МОРДОВИЯ,СТАРОШАЙГОВСКИЙ Р-Н,С НОВОТРОИЦКОЕ</t>
  </si>
  <si>
    <t>+7 (927) 171-13-34'</t>
  </si>
  <si>
    <t>54.348921,48.39237</t>
  </si>
  <si>
    <t>ОБЩЕСТВО С ОГРАНИЧЕННОЙ ОТВЕТСТВЕННОСТЬЮ "АЗОВСТРОЙ"</t>
  </si>
  <si>
    <t>"АЗОВСТРОЙ"</t>
  </si>
  <si>
    <t>6101021135</t>
  </si>
  <si>
    <t>РОСТОВСКАЯ ОБЛ.,АЗОВСКИЙ Р-Н,С САМАРСКОЕ,ПЕР ЖДАНОВА, 125</t>
  </si>
  <si>
    <t>ДИРЕКТОР Зурри Би Тра Лери</t>
  </si>
  <si>
    <t>+7 (863) 299-93-93'</t>
  </si>
  <si>
    <t>54.314192,48.403132</t>
  </si>
  <si>
    <t>ОБЩЕСТВО С ОГРАНИЧЕННОЙ ОТВЕТСТВЕННОСТЬЮ "Колизей"</t>
  </si>
  <si>
    <t>"Колизей"</t>
  </si>
  <si>
    <t>6441020805</t>
  </si>
  <si>
    <t>412975, САРАТОВСКАЯ ОБЛАСТЬ, РАЙОН ВОЛЬСКИЙ, РАБОЧИЙ ПОСЕЛОК СЕННОЙ, УЛИЦА ЗЕЛЕНАЯ, 20</t>
  </si>
  <si>
    <t>Шейко Сергей Иванович</t>
  </si>
  <si>
    <t>ОБЩЕСТВО С ОГРАНИЧЕННОЙ ОТВЕТСТВЕННОСТЬЮ "ЮГ СЕРВИС-ТРАФФИК"</t>
  </si>
  <si>
    <t>"ЮГ СЕРВИС-ТРАФФИК"</t>
  </si>
  <si>
    <t>0533018523</t>
  </si>
  <si>
    <t>368944, ДАГЕСТАН РЕСП., Р-Н Унцукульский, С. Майданское, УЛ. МАХМУДА ИЗ КАХАБРОСО, ДВЛД. 3</t>
  </si>
  <si>
    <t>Абдулгамидов Абдулгамид Магомедович</t>
  </si>
  <si>
    <t>53.148978,48.464631</t>
  </si>
  <si>
    <t>ОБЩЕСТВО С ОГРАНИЧЕННОЙ ОТВЕТСТВЕННОСТЬЮ "ТЕРРА ЛАЙН"</t>
  </si>
  <si>
    <t>"ТЕРРА ЛАЙН"</t>
  </si>
  <si>
    <t>6501162927</t>
  </si>
  <si>
    <t>Г ЮЖНО-САХАЛИНСК,УЛ САДОВАЯ, 15</t>
  </si>
  <si>
    <t>Че Алексей Мампович</t>
  </si>
  <si>
    <t>55.844369,48.495847</t>
  </si>
  <si>
    <t>ОБЩЕСТВО С ОГРАНИЧЕННОЙ ОТВЕТСТВЕННОСТЬЮ "КУПОЛ"</t>
  </si>
  <si>
    <t>"КУПОЛ"</t>
  </si>
  <si>
    <t>6501164265</t>
  </si>
  <si>
    <t>Г ЮЖНО-САХАЛИНСК,ПЕРЕУЛОК АНГАРСКИЙ, 1</t>
  </si>
  <si>
    <t>Симоненко Владимир Николаевич</t>
  </si>
  <si>
    <t>55.852213,48.51234</t>
  </si>
  <si>
    <t>ОБЩЕСТВО С ОГРАНИЧЕННОЙ ОТВЕТСТВЕННОСТЬЮ "ЛЕКА"</t>
  </si>
  <si>
    <t>"ЛЕКА"</t>
  </si>
  <si>
    <t>6501107370</t>
  </si>
  <si>
    <t>Г ЮЖНО-САХАЛИНСК,УЛ ХОЛМСКАЯ, 5</t>
  </si>
  <si>
    <t>О Ган Чыл</t>
  </si>
  <si>
    <t>54.35432,48.538796</t>
  </si>
  <si>
    <t>ОБЩЕСТВО С ОГРАНИЧЕННОЙ ОТВЕТСТВЕННОСТЬЮ "ОС-ТАТ"</t>
  </si>
  <si>
    <t>"ОС-ТАТ"</t>
  </si>
  <si>
    <t>6501170950</t>
  </si>
  <si>
    <t>Г ЮЖНО-САХАЛИНСК,УЛ ШЛАКОБЛОЧНАЯ, 24-А</t>
  </si>
  <si>
    <t>Щетинин Олег Владимирович</t>
  </si>
  <si>
    <t>55.758377,48.542901</t>
  </si>
  <si>
    <t>ОБЩЕСТВО С ОГРАНИЧЕННОЙ ОТВЕТСТВЕННОСТЬЮ "ШАМИЛЬ"</t>
  </si>
  <si>
    <t>"ШАМИЛЬ"</t>
  </si>
  <si>
    <t>0508012542</t>
  </si>
  <si>
    <t>368258, ДАГЕСТАН РЕСП, ГЕРГЕБИЛЬСКИЙ Р-Н, ХВАРТИКУНИ С, Д</t>
  </si>
  <si>
    <t>Омарилов Шамиль Магомедович</t>
  </si>
  <si>
    <t>55.865384,48.546359</t>
  </si>
  <si>
    <t>ОБЩЕСТВО С ОГРАНИЧЕННОЙ ОТВЕТСТВЕННОСТЬЮ "ПОДОСИНОВСКИЙ ЗАВОД  ЖБИ"</t>
  </si>
  <si>
    <t>"ПОДОСИНОВСКИЙ ЗАВОД  ЖБИ"</t>
  </si>
  <si>
    <t>4326003660</t>
  </si>
  <si>
    <t>43-Кировская область</t>
  </si>
  <si>
    <t>613911, КИРОВСКАЯ ОБЛ, ПОДОСИНОВСКИЙ Р-Н, ДЕМЬЯНОВО ПГТ</t>
  </si>
  <si>
    <t>Реснянский Сергей Станиславович</t>
  </si>
  <si>
    <t>+7 (922) 917-94-31'</t>
  </si>
  <si>
    <t>53.179292,48.547922</t>
  </si>
  <si>
    <t>ОБЩЕСТВО С ОГРАНИЧЕННОЙ ОТВЕТСТВЕННОСТЬЮ "ДЕСНА-ПЛЮС"</t>
  </si>
  <si>
    <t>"ДЕСНА-ПЛЮС"</t>
  </si>
  <si>
    <t>6102016120</t>
  </si>
  <si>
    <t>РОСТОВСКАЯ ОБЛ.,Г АЗОВ,Ш КАГАЛЬНИЦКОЕ, 18А</t>
  </si>
  <si>
    <t>Анастасенко Владимир Иванович</t>
  </si>
  <si>
    <t>53.174224,48.559816</t>
  </si>
  <si>
    <t>ОБЩЕСТВО С ОГРАНИЧЕННОЙ ОТВЕТСТВЕННОСТЬЮ "АРТМРАМОР"</t>
  </si>
  <si>
    <t>"АРТМРАМОР"</t>
  </si>
  <si>
    <t>7313013392</t>
  </si>
  <si>
    <t>73-Ульяновская область</t>
  </si>
  <si>
    <t>433970, УЛЬЯНОВСКАЯ ОБЛАСТЬ, Р-Н ПАВЛОВСКИЙ, РП ПАВЛОВКА, УЛ. ПАНФЕРОВА, Д. 3</t>
  </si>
  <si>
    <t>Жуков Александр Анатольевич</t>
  </si>
  <si>
    <t>54.343552,48.573632</t>
  </si>
  <si>
    <t>ОБЩЕСТВО С ОГРАНИЧЕННОЙ ОТВЕТСТВЕННОСТЬЮ"СТИМУЛ"</t>
  </si>
  <si>
    <t>"СТИМУЛ"</t>
  </si>
  <si>
    <t>0543018603</t>
  </si>
  <si>
    <t>368222, ДАГЕСТАН РЕСПУБЛИКА, ГОРОД БУЙНАКСК, МИКРОРАЙОН ДРУЖБА, ДОМ 48,..</t>
  </si>
  <si>
    <t>Мирзаев Азамат Сапиюлаевич</t>
  </si>
  <si>
    <t>ОБЩЕСТВО С ОГРАНИЧЕННОЙ ОТВЕТСТВЕННОСТЬЮ "СТРОЙ-БАЗИС"</t>
  </si>
  <si>
    <t>"СТРОЙ-БАЗИС"</t>
  </si>
  <si>
    <t>2905008923</t>
  </si>
  <si>
    <t>АРХАНГЕЛЬСКАЯ ОБЛ.,Г КОРЯЖМА,УЛ ДЫБЦЫНА, Д 24</t>
  </si>
  <si>
    <t>Орлов Анатолий Александрович</t>
  </si>
  <si>
    <t>54.347351,48.577504</t>
  </si>
  <si>
    <t>ОБЩЕСТВО С ОГРАНИЧЕННОЙ ОТВЕТСТВЕННОСТЬЮ "КОРЯЖЕМСКИЙ БЕТОННЫЙ ЗАВОД"</t>
  </si>
  <si>
    <t>"КОРЯЖЕМСКИЙ БЕТОННЫЙ ЗАВОД"</t>
  </si>
  <si>
    <t>2905014211</t>
  </si>
  <si>
    <t>165650, АРХАНГЕЛЬСКАЯ ОБЛАСТЬ, ГОРОД КОРЯЖМА, УЛИЦА ИМЕНИ ДЫБЦЫНА, ДОМ 24, ПОМЕЩЕНИЕ 33</t>
  </si>
  <si>
    <t>Тараканов Александр Валерьевич</t>
  </si>
  <si>
    <t>+7 (911) 562-62-02'</t>
  </si>
  <si>
    <t>54.365458,48.57807</t>
  </si>
  <si>
    <t>ОБЩЕСТВО С ОГРАНИЧЕННОЙ ОТВЕТСТВЕННОСТЬЮ "ПЕРВЫЙ БЕТОННЫЙ ЗАВОД"</t>
  </si>
  <si>
    <t>"ПЕРВЫЙ БЕТОННЫЙ ЗАВОД"</t>
  </si>
  <si>
    <t>2905012550</t>
  </si>
  <si>
    <t>165651, АРХАНГЕЛЬСКАЯ ОБЛАСТЬ, Г. КОРЯЖМА, УЛ. ЧАПАЕВА, Д.1, К.5</t>
  </si>
  <si>
    <t>Карев Тимур Николаевич</t>
  </si>
  <si>
    <t>+7 (953) 262-55-66'</t>
  </si>
  <si>
    <t>54.345683,48.58646</t>
  </si>
  <si>
    <t>ОБЩЕСТВО С ОГРАНИЧЕННОЙ ОТВЕТСТВЕННОСТЬЮ "ДОМОСТРОИТЕЛЬНЫЙ КОМБИНАТ "СУОР"</t>
  </si>
  <si>
    <t>"ДОМОСТРОИТЕЛЬНЫЙ КОМБИНАТ "СУОР"</t>
  </si>
  <si>
    <t>2130215561</t>
  </si>
  <si>
    <t>428034, ЧУВАШСКАЯ РЕСПУБЛИКА - ЧУВАШИЯ, Г. ЧЕБОКСАРЫ, Ш. ЯДРИНСКОЕ, Д. 3А, КАБИНЕТ 5</t>
  </si>
  <si>
    <t>Ермолаев Сергей Геннадьевич</t>
  </si>
  <si>
    <t>i@gc-kontur'</t>
  </si>
  <si>
    <t>54.361671,48.589434</t>
  </si>
  <si>
    <t>ОБЩЕСТВО С ОГРАНИЧЕННОЙ ОТВЕТСТВЕННОСТЬЮ "ПОЛИСТИРОЛБЕТОНСТРОЙ"</t>
  </si>
  <si>
    <t>"ПОЛИСТИРОЛБЕТОНСТРОЙ"</t>
  </si>
  <si>
    <t>2130224830</t>
  </si>
  <si>
    <t>428038, ЧУВАШСКАЯ РЕСПУБЛИКА - ЧУВАШИЯ, Г. Чебоксары, УЛ. АКАДЕМИКА КОРОЛЕВА, Д. 3, ПОМЕЩ. 1</t>
  </si>
  <si>
    <t>Сымкин Роман Сергеевич</t>
  </si>
  <si>
    <t>ROMASYMKIN@GMAIL.COM'</t>
  </si>
  <si>
    <t>54.377967,48.591625</t>
  </si>
  <si>
    <t>ОБЩЕСТВО С ОГРАНИЧЕННОЙ ОТВЕТСТВЕННОСТЬЮ "МОНОЛИТ-ДОН"</t>
  </si>
  <si>
    <t>"МОНОЛИТ-ДОН"</t>
  </si>
  <si>
    <t>6164228044</t>
  </si>
  <si>
    <t>http://kcc-ug.ru</t>
  </si>
  <si>
    <t>Г РОСТОВ-НА-ДОНУ,УЛ ПОЙМЕННАЯ, 3</t>
  </si>
  <si>
    <t>Дякин Анатолий Анатольевич</t>
  </si>
  <si>
    <t>+7 (928) 226-46-49'</t>
  </si>
  <si>
    <t>ОБЩЕСТВО С ОГРАНИЧЕННОЙ ОТВЕТСТВЕННОСТЬЮ "СК ВОЛГОРЕМСТРОЙ"</t>
  </si>
  <si>
    <t>"СК ВОЛГОРЕМСТРОЙ"</t>
  </si>
  <si>
    <t>2130144247</t>
  </si>
  <si>
    <t>428003, ЧУВАШСКАЯ РЕСПУБЛИКА - ЧУВАШИЯ, Г. Чебоксары, ПР-Д ИШЛЕЙСКИЙ, ЗД. 1</t>
  </si>
  <si>
    <t>Карпов Юрий Михайлович</t>
  </si>
  <si>
    <t>+7 (919) 674-74-70'</t>
  </si>
  <si>
    <t>PLOTNIKOVA1930@MAIL.RU', 'stroitgarant@yandex.ru'</t>
  </si>
  <si>
    <t>52.865245,48.610041</t>
  </si>
  <si>
    <t>6164266917</t>
  </si>
  <si>
    <t>Г РОСТОВ-НА-ДОНУ,УЛ СЕРАФИМОВИЧА, 14</t>
  </si>
  <si>
    <t>Тарасян Георгий Тигранович</t>
  </si>
  <si>
    <t>+7 (918) 633-34-56'</t>
  </si>
  <si>
    <t>54.356508,48.62118</t>
  </si>
  <si>
    <t>2130146734</t>
  </si>
  <si>
    <t>428000, ЧУВАШСКАЯ РЕСПУБЛИКА - ЧУВАШИЯ, ГОРОД ЧЕБОКСАРЫ, УЛИЦА ПИРОГОВА, ДОМ 4, КОРПУС 2, ПОМЕЩЕНИЕ 55</t>
  </si>
  <si>
    <t>+7 (967) 470-23-46', '+7 (835) 267-09-18'</t>
  </si>
  <si>
    <t>SSERVIS21@INBOX.RU', 'cheb@mail.ru'</t>
  </si>
  <si>
    <t>52.024531,48.785006</t>
  </si>
  <si>
    <t>ОБЩЕСТВО С ОГРАНИЧЕННОЙ ОТВЕТСТВЕННОСТЬЮ "ПРОЕКТНО-ПРОИЗВОДСТВЕННАЯ ФИРМА "ПРОФИЛЬ"</t>
  </si>
  <si>
    <t>"ПРОЕКТНО-ПРОИЗВОДСТВЕННАЯ ФИРМА "ПРОФИЛЬ"</t>
  </si>
  <si>
    <t>2130200460</t>
  </si>
  <si>
    <t>428903, ЧУВАШСКАЯ РЕСПУБЛИКА - ЧУВАШИЯ, ГОРОД ЧЕБОКСАРЫ, ШОССЕ ИШЛЕЙСКОЕ, ДОМ 8, ОФИС 28</t>
  </si>
  <si>
    <t>Молякова Елена Викторовна</t>
  </si>
  <si>
    <t>55.857028,48.832787</t>
  </si>
  <si>
    <t>ОБЩЕСТВО С ОГРАНИЧЕННОЙ ОТВЕТСТВЕННОСТЬЮ "МАРИЯ"</t>
  </si>
  <si>
    <t>"МАРИЯ"</t>
  </si>
  <si>
    <t>6165075739</t>
  </si>
  <si>
    <t>Г РОСТОВ-НА-ДОНУ,УЛ ЛЕРМОНТОВСКАЯ, 90</t>
  </si>
  <si>
    <t>Петунц Аркадий Завенович</t>
  </si>
  <si>
    <t>+7 (863) 232-74-68', '+7 (988) 555-06-55', '+7 (863) 237-23-03', '+7 (863) 237-23-00', '+7 (908) 191-54-40'</t>
  </si>
  <si>
    <t>55.877152,48.889911</t>
  </si>
  <si>
    <t>ОБЩЕСТВО С ОГРАНИЧЕННОЙ ОТВЕТСТВЕННОСТЬЮ "ДЕНЬ"</t>
  </si>
  <si>
    <t>"ДЕНЬ"</t>
  </si>
  <si>
    <t>2130185324</t>
  </si>
  <si>
    <t>428903, ЧУВАШСКАЯ РЕСПУБЛИКА - ЧУВАШИЯ, ГОРОД ЧЕБОКСАРЫ, ПРОЕЗД ЛАПСАРСКИЙ, ДОМ 47</t>
  </si>
  <si>
    <t>Маслов Денис Владимирович</t>
  </si>
  <si>
    <t>55.811619,48.924038</t>
  </si>
  <si>
    <t>ОБЩЕСТВО С ОГРАНИЧЕННОЙ ОТВЕТСТВЕННОСТЬЮ "ППТК "ЭНЕРГОСТРОЙ"</t>
  </si>
  <si>
    <t>"ППТК "ЭНЕРГОСТРОЙ"</t>
  </si>
  <si>
    <t>6167065408</t>
  </si>
  <si>
    <t>http://pptk-energostroy.ru</t>
  </si>
  <si>
    <t>Г РОСТОВ-НА-ДОНУ,УЛ 30 ЛИНИЯ, 55</t>
  </si>
  <si>
    <t>Джанинян Артур Вазгенович</t>
  </si>
  <si>
    <t>+7 (863) 248-44-32', '+7 (863) 252-47-63'</t>
  </si>
  <si>
    <t>55.862075,49.016816</t>
  </si>
  <si>
    <t>ОБЩЕСТВО С ОГРАНИЧЕННОЙ ОТВЕТСТВЕННОСТЬЮ "Автомобильный Дом"</t>
  </si>
  <si>
    <t>"Автомобильный Дом"</t>
  </si>
  <si>
    <t>2130116306</t>
  </si>
  <si>
    <t>428020, ЧУВАШСКАЯ РЕСПУБЛИКА - ЧУВАШИЯ, Г. ЧЕБОКСАРЫ, ПР-Д БАЗОВЫЙ, Д.27</t>
  </si>
  <si>
    <t>Медяков Станислав Владимирович</t>
  </si>
  <si>
    <t>YAROSLAVA_KOPYLOVA@MAIL.RU', 'autodom21@yandex.ru'</t>
  </si>
  <si>
    <t>55.864227,49.030839</t>
  </si>
  <si>
    <t>ОБЩЕСТВО С ОГРАНИЧЕННОЙ ОТВЕТСТВЕННОСТЬЮ "Асфальтобетонный завод"</t>
  </si>
  <si>
    <t>"Асфальтобетонный завод"</t>
  </si>
  <si>
    <t>2130071341</t>
  </si>
  <si>
    <t>428003, ЧУВАШСКАЯ РЕСПУБЛИКА - ЧУВАШИЯ, ГОРОД ЧЕБОКСАРЫ, БУЛЬВАР ПРЕЗИДЕНТСКИЙ, ДОМ 33, ПОМЕЩЕНИЕ 12</t>
  </si>
  <si>
    <t>Рахматуллин Марат Хабибуллович</t>
  </si>
  <si>
    <t>OOO_ABZ@MAIL.RU', 'ooo_abz@mail.ru'</t>
  </si>
  <si>
    <t>55.798804,49.030947</t>
  </si>
  <si>
    <t>ОБЩЕСТВО С ОГРАНИЧЕННОЙ ОТВЕТСТВЕННОСТЬЮ "ЧЕБОКСАРСКИЙ ЗАВОД ТЕПЛОБЛОКОВ"</t>
  </si>
  <si>
    <t>"ЧЕБОКСАРСКИЙ ЗАВОД ТЕПЛОБЛОКОВ"</t>
  </si>
  <si>
    <t>2116004657</t>
  </si>
  <si>
    <t>428903, Чувашская Республика - Чувашия, муниципальный район ЧЕБОКСАРСКИЙ, Д СЯТРАКАСЫ (ЛАПСАРСКОГО С/П), сельское поселение ЛАПСАРСКОЕ, УЛ ПРИДОРОЖНАЯ, ВЛД. 7,</t>
  </si>
  <si>
    <t>Камышев Станислав Вячеславович</t>
  </si>
  <si>
    <t>55.803676,49.043694</t>
  </si>
  <si>
    <t>ОБЩЕСТВО С ОГРАНИЧЕННОЙ ОТВЕТСТВЕННОСТЬЮ "ПОЛИБЛОК-СТРОЙ"</t>
  </si>
  <si>
    <t>"ПОЛИБЛОК-СТРОЙ"</t>
  </si>
  <si>
    <t>2116498269</t>
  </si>
  <si>
    <t>428903, ЧУВАШСКАЯ РЕСПУБЛИКА - ЧУВАШИЯ, РАЙОН ЧЕБОКСАРСКИЙ, ДЕРЕВНЯ СЯТРАКАСЫ (ЛАПСАРСКОГО С/П), УЛИЦА ПРИДОРОЖНАЯ, 7</t>
  </si>
  <si>
    <t>ОБЩЕСТВО С ОГРАНИЧЕННОЙ ОТВЕТСТВЕННОСТЬЮ "ЗАВОД ОБЪЕМНО-БЛОЧНОГО ДОМОСТРОЕНИЯ"</t>
  </si>
  <si>
    <t>"ЗАВОД ОБЪЕМНО-БЛОЧНОГО ДОМОСТРОЕНИЯ"</t>
  </si>
  <si>
    <t>2130138074</t>
  </si>
  <si>
    <t>428003, ЧУВАШСКАЯ РЕСПУБЛИКА - ЧУВАШИЯ, ГОРОД ЧЕБОКСАРЫ, ПРОЕЗД КАБЕЛЬНЫЙ, ДОМ 7, ЛИТЕР 9,9А, КАБИНЕТ 3</t>
  </si>
  <si>
    <t>Шолудяков Виталий Геннадьевич</t>
  </si>
  <si>
    <t>+7 (937) 376-87-97'</t>
  </si>
  <si>
    <t>21@MAIL.RU'</t>
  </si>
  <si>
    <t>55.832945,49.044852</t>
  </si>
  <si>
    <t>ОБЩЕСТВО С ОГРАНИЧЕННОЙ ОТВЕТСТВЕННОСТЬЮ "ИНЖЕНЕРНЫЕ СЕТИ"</t>
  </si>
  <si>
    <t>"ИНЖЕНЕРНЫЕ СЕТИ"</t>
  </si>
  <si>
    <t>2129030502</t>
  </si>
  <si>
    <t>Г ЧЕБОКСАРЫ,А/Я 120</t>
  </si>
  <si>
    <t>Андреев Андрей Витальевич</t>
  </si>
  <si>
    <t>+7 (903) 345-55-24', '+7 (906) 130-36-53'</t>
  </si>
  <si>
    <t>55.797159,49.050943</t>
  </si>
  <si>
    <t>ОБЩЕСТВО С ОГРАНИЧЕННОЙ ОТВЕТСТВЕННОСТЬЮ "СТРОЙ - АЛЬЯНС"</t>
  </si>
  <si>
    <t>"СТРОЙ - АЛЬЯНС"</t>
  </si>
  <si>
    <t>2130026099</t>
  </si>
  <si>
    <t>428020, ЧУВАШСКАЯ РЕСПУБЛИКА - ЧУВАШИЯ, Г. ЧЕБОКСАРЫ, ПР-Д БАЗОВЫЙ, Д. 4 Б</t>
  </si>
  <si>
    <t>Царькова Галина Петровна</t>
  </si>
  <si>
    <t>55.847083,49.051069</t>
  </si>
  <si>
    <t>АКЦИОНЕРНОЕ ОБЩЕСТВО "КОМБИНАТ КРУПНОПАНЕЛЬНОГО ДОМОСТРОЕНИЯ"</t>
  </si>
  <si>
    <t>"КОМБИНАТ КРУПНОПАНЕЛЬНОГО ДОМОСТРОЕНИЯ"</t>
  </si>
  <si>
    <t>6168000805</t>
  </si>
  <si>
    <t>Г РОСТОВ-НА-ДОНУ,ПЕР МАШИНОСТРОИТЕЛЬНЫЙ 1-Й, 5</t>
  </si>
  <si>
    <t>Яценко Дмитрий Геннадьевич</t>
  </si>
  <si>
    <t>+7 (863) 222-64-12', '+7 (863) 201-69-83', '+7 (863) 222-36-71'</t>
  </si>
  <si>
    <t>55.884671,49.054015</t>
  </si>
  <si>
    <t>ОБЩЕСТВО С ОГРАНИЧЕННОЙ ОТВЕТСТВЕННОСТЬЮ  СМК "АЛЬФАТЕПЛОСТРОЙ"</t>
  </si>
  <si>
    <t xml:space="preserve"> СМК "АЛЬФАТЕПЛОСТРОЙ"</t>
  </si>
  <si>
    <t>2130123335</t>
  </si>
  <si>
    <t>428032, ЧУВАШСКАЯ РЕСПУБЛИКА - ЧУВАШИЯ, Г. ЧЕБОКСАРЫ, УЛ. КОМПОЗИТОРОВ ВОРОБЬЕВЫХ, Д.14</t>
  </si>
  <si>
    <t>Колдуркаев Руслан Юрьевич</t>
  </si>
  <si>
    <t>+7 (919) 650-62-46', '+7 (927) 445-61-30'</t>
  </si>
  <si>
    <t>ATS2152@MAIL.RU'</t>
  </si>
  <si>
    <t>55.831393,49.055417</t>
  </si>
  <si>
    <t>ОБЩЕСТВО С ОГРАНИЧЕННОЙ ОТВЕТСТВЕННОСТЬЮ "ДОМОСТРОИТЕЛЬНЫЙ КОМБИНАТ РАЗВИТИЕ"</t>
  </si>
  <si>
    <t>"ДОМОСТРОИТЕЛЬНЫЙ КОМБИНАТ РАЗВИТИЕ"</t>
  </si>
  <si>
    <t>2130231130</t>
  </si>
  <si>
    <t>428903, Чувашская Республика - Чувашия, ГОРОД ЧЕБОКСАРЫ, Г ЧЕБОКСАРЫ, ПР-КТ И.Я.ЯКОВЛЕВА, Д. 19</t>
  </si>
  <si>
    <t>Петров Артем Владимирович</t>
  </si>
  <si>
    <t>PROFI1981@YANDEX.RU'</t>
  </si>
  <si>
    <t>55.797685,49.05707</t>
  </si>
  <si>
    <t>ОБЩЕСТВО С ОГРАНИЧЕННОЙ ОТВЕТСТВЕННОСТЬЮ "ТРИБЛ"</t>
  </si>
  <si>
    <t>"ТРИБЛ"</t>
  </si>
  <si>
    <t>2130230111</t>
  </si>
  <si>
    <t>428013, Чувашская Республика - Чувашия, ГОРОД ЧЕБОКСАРЫ, Г ЧЕБОКСАРЫ, УЛ КАЛИНИНА, Д. 66</t>
  </si>
  <si>
    <t>Коновалова Татьяна Васильевна</t>
  </si>
  <si>
    <t>OOOTRIBL@MAIL.RU'</t>
  </si>
  <si>
    <t>55.805022,49.059154</t>
  </si>
  <si>
    <t>Общество с ограниченной ответственностью "Завод "ЖБИ №1"</t>
  </si>
  <si>
    <t>"Завод "ЖБИ №1"</t>
  </si>
  <si>
    <t>2128701412</t>
  </si>
  <si>
    <t>Г ЧЕБОКСАРЫ,ЛАПСАРСКИЙ ПРОЕЗД, Д 9, Б</t>
  </si>
  <si>
    <t>Разин Дмитрий Владимирович</t>
  </si>
  <si>
    <t>55.799851,49.064166</t>
  </si>
  <si>
    <t>АКЦИОНЕРНОЕ ОБЩЕСТВО "КОМБИНАТ СТРОИТЕЛЬНЫХ МАТЕРИАЛОВ № 10"</t>
  </si>
  <si>
    <t>"КОМБИНАТ СТРОИТЕЛЬНЫХ МАТЕРИАЛОВ № 10"</t>
  </si>
  <si>
    <t>6166001634</t>
  </si>
  <si>
    <t>Г РОСТОВ-НА-ДОНУ,УЛ МЕХАНИЗАТОРОВ, 3/12</t>
  </si>
  <si>
    <t>Пивоваров Олег Александрович</t>
  </si>
  <si>
    <t>+7 (863) 252-99-00', '+7 (863) 252-08-73', '+7 (863) 254-00-33', '+7 (863) 254-70-22'</t>
  </si>
  <si>
    <t>chikunova@sbc-group'</t>
  </si>
  <si>
    <t>55.809601,49.067086</t>
  </si>
  <si>
    <t>ОБЩЕСТВО С ОГРАНИЧЕННОЙ ОТВЕТСТВЕННОСТЬЮ "Опытно-научное производственное предприятие"</t>
  </si>
  <si>
    <t>"Опытно-научное производственное предприятие"</t>
  </si>
  <si>
    <t>0552005833</t>
  </si>
  <si>
    <t>368085, Республика Дагестан, Кумторкалинский район, рп Тюбе, мкр-1 д 2..</t>
  </si>
  <si>
    <t>Тотурбиев Батырбий Джакаевич</t>
  </si>
  <si>
    <t>55.823383,49.069358</t>
  </si>
  <si>
    <t>ОБЩЕСТВО С ОГРАНИЧЕННОЙ ОТВЕТСТВЕННОСТЬЮ "Мир камней"</t>
  </si>
  <si>
    <t>"Мир камней"</t>
  </si>
  <si>
    <t>2130101927</t>
  </si>
  <si>
    <t>428022, ЧУВАШСКАЯ РЕСПУБЛИКА - ЧУВАШИЯ, Г. ЧЕБОКСАРЫ, ПР-Д СКЛАДСКОЙ, Д. 6, ОФИС 206</t>
  </si>
  <si>
    <t>Бармакова Ольга Владимировна</t>
  </si>
  <si>
    <t>55.845062,49.082079</t>
  </si>
  <si>
    <t>ОБЩЕСТВО С ОГРАНИЧЕННОЙ ОТВЕТСТВЕННОСТЬЮ "БЛОКСТРОЙ-СВ"</t>
  </si>
  <si>
    <t>"БЛОКСТРОЙ-СВ"</t>
  </si>
  <si>
    <t>2130171392</t>
  </si>
  <si>
    <t>428014, ЧУВАШСКАЯ РЕСПУБЛИКА - ЧУВАШИЯ, ЧЕБОКСАРЫ Г, КРУПСКОЙ УЛ, ДОМ 35</t>
  </si>
  <si>
    <t>Андреев Станислав Анатольевич</t>
  </si>
  <si>
    <t>+7 (937) 391-48-34', '+7 (905) 346-38-49'</t>
  </si>
  <si>
    <t>rosa@mail.ru', 'blokstroycv21@mail.ru'</t>
  </si>
  <si>
    <t>55.858412,49.082663</t>
  </si>
  <si>
    <t>ОБЩЕСТВО С ОГРАНИЧЕННОЙ ОТВЕТСТВЕННОСТЬЮ "ТЕПЛЫЙ ДОМ ЮГ СТРОЙ СЕРВИС"</t>
  </si>
  <si>
    <t>"ТЕПЛЫЙ ДОМ ЮГ СТРОЙ СЕРВИС"</t>
  </si>
  <si>
    <t>0552006322</t>
  </si>
  <si>
    <t>368085, ДАГЕСТАН РЕСПУБЛИКА, РАЙОН КУМТОРКАЛИНСКИЙ, ПОСЕЛОК ГОРОДСКОГО ТИПА ТЮБЕ, УЛИЦА Ф.ЭНГЕЛЬСА, ДОМ 20</t>
  </si>
  <si>
    <t>Мамаев Рустам Ахмедбекович</t>
  </si>
  <si>
    <t>55.869162,49.082797</t>
  </si>
  <si>
    <t>ОБЩЕСТВО С ОГРАНИЧЕННОЙ ОТВЕТСТВЕННОСТЬЮ "Новые строительные технологии"</t>
  </si>
  <si>
    <t>"Новые строительные технологии"</t>
  </si>
  <si>
    <t>0573004630</t>
  </si>
  <si>
    <t>367913, ДАГЕСТАН РЕСПУБЛИКА, Г. МАХАЧКАЛА, С ШАМХАЛ-ТЕРМЕН, УЛ. МИЧУРИНА, Д.8</t>
  </si>
  <si>
    <t>Шангереев Наби Магомедович</t>
  </si>
  <si>
    <t>55.814659,49.087756</t>
  </si>
  <si>
    <t>ОБЩЕСТВО С ОГРАНИЧЕННОЙ ОТВЕТСТВЕННОСТЬЮ ЗАВОД ЖЕЛЕЗОБЕТОННЫХ ИЗДЕЛИЙ "ОПОРА"</t>
  </si>
  <si>
    <t>ЗАВОД ЖЕЛЕЗОБЕТОННЫХ ИЗДЕЛИЙ "ОПОРА"</t>
  </si>
  <si>
    <t>0573014892</t>
  </si>
  <si>
    <t>367901, Республика Дагестан, городской округ ГОРОД МАХАЧКАЛА, ПГТ ЛЕНИНКЕНТ, внутригородской район городского округа КИРОВСКИЙ РАЙОН, УЛ ГАГАРИНА, ДВЛД. 124,</t>
  </si>
  <si>
    <t>Нурмагомедов Шамиль Магомедович</t>
  </si>
  <si>
    <t>55.733077,49.092526</t>
  </si>
  <si>
    <t>ОБЩЕСТВО С ОГРАНИЧЕННОЙ ОТВЕТСТВЕННОСТЬЮ "СВЯТОГОР"</t>
  </si>
  <si>
    <t>"СВЯТОГОР"</t>
  </si>
  <si>
    <t>6441024729</t>
  </si>
  <si>
    <t>412904, САРАТОВСКАЯ ОБЛ., Г. Вольск, УЛ. ТИХАЯ, Д. 4,..</t>
  </si>
  <si>
    <t>Гущихин Александр Николаевич</t>
  </si>
  <si>
    <t>ALEXANDER85_85@MAIL.RU'</t>
  </si>
  <si>
    <t>55.867086,49.095481</t>
  </si>
  <si>
    <t>ОБЩЕСТВО С ОГРАНИЧЕННОЙ ОТВЕТСТВЕННОСТЬЮ "ИНКОМ СТРОЙ"</t>
  </si>
  <si>
    <t>"ИНКОМ СТРОЙ"</t>
  </si>
  <si>
    <t>6441022263</t>
  </si>
  <si>
    <t>412913, САРАТОВСКАЯ ОБЛАСТЬ, ГОРОД ВОЛЬСК, УЛИЦА ТОКИНА, 1</t>
  </si>
  <si>
    <t>Егоров Олег Сергеевич</t>
  </si>
  <si>
    <t>+7 (937) 228-22-32', '+7 (891) 718-60-39', '+7 (927) 101-77-70'</t>
  </si>
  <si>
    <t>glavbuh2046@mail.ru'</t>
  </si>
  <si>
    <t>55.856508,49.098958</t>
  </si>
  <si>
    <t>ОБЩЕСТВО С ОГРАНИЧЕННОЙ ОТВЕТСТВЕННОСТЬЮ "ЧЕБОКСАРСКИЙ ЖБК"</t>
  </si>
  <si>
    <t>"ЧЕБОКСАРСКИЙ ЖБК"</t>
  </si>
  <si>
    <t>2130201167</t>
  </si>
  <si>
    <t>428030, Чувашская Республика - Чувашия, городской округ ГОРОД ЧЕБОКСАРЫ, Город ЧЕБОКСАРЫ, УЛ СТАРТОВАЯ, Д. 8, ПОМЕЩ. 2</t>
  </si>
  <si>
    <t>Егорова Олеся Александровна</t>
  </si>
  <si>
    <t>+7 (919) 676-90-82'</t>
  </si>
  <si>
    <t>chebzbk@mail.ru'</t>
  </si>
  <si>
    <t>ОБЩЕСТВО С ОГРАНИЧЕННОЙ ОТВЕТСТВЕННОСТЬЮ "ДОНСКОЙ ГАЗОБЕТОН"</t>
  </si>
  <si>
    <t>"ДОНСКОЙ ГАЗОБЕТОН"</t>
  </si>
  <si>
    <t>6150037096</t>
  </si>
  <si>
    <t>РОСТОВСКАЯ ОБЛ.,Г НОВОЧЕРКАССК,ПРОСП БАКЛАНОВСКИЙ, 154/2,..</t>
  </si>
  <si>
    <t>Прудников Владимир Викторович</t>
  </si>
  <si>
    <t>+7 (928) 772-20-70', '+7 (863) 522-22-19', '+7 (863) 303-05-05'</t>
  </si>
  <si>
    <t>АКЦИОНЕРНОЕ ОБЩЕСТВО "ЧУРАЧИКСКИЙ ЗАВОД ЖЕЛЕЗОБЕТОННЫХ ИЗДЕЛИЙ"</t>
  </si>
  <si>
    <t>"ЧУРАЧИКСКИЙ ЗАВОД ЖЕЛЕЗОБЕТОННЫХ ИЗДЕЛИЙ"</t>
  </si>
  <si>
    <t>2115000177</t>
  </si>
  <si>
    <t>ЧУВАШСКАЯ РЕСПУБЛИКА - ЧУВАШИЯ,ЦИВИЛЬСКИЙ Р-Н,С ЧУРАЧИКИ,УЛ ЗАВОДСКАЯ</t>
  </si>
  <si>
    <t>Никифорова Альбина Ивановна</t>
  </si>
  <si>
    <t>zavod_dbi@cbx.ru'</t>
  </si>
  <si>
    <t>ОБЩЕСТВО С ОГРАНИЧЕННОЙ ОТВЕТСТВЕННОСТЬЮ "СОВРЕМЕННЫЕ ТЕХНОЛОГИИ"</t>
  </si>
  <si>
    <t>"СОВРЕМЕННЫЕ ТЕХНОЛОГИИ"</t>
  </si>
  <si>
    <t>0560036715</t>
  </si>
  <si>
    <t>367027, ДАГЕСТАН РЕСП, МАХАЧКАЛА Г, СЕЛИВАНТЬЕВА УЛ, 2, ---, ---</t>
  </si>
  <si>
    <t>Булаев Ибадулах Махмудович</t>
  </si>
  <si>
    <t>55.733523,49.099578</t>
  </si>
  <si>
    <t>ОБЩЕСТВО С ОГРАНИЧЕННОЙ ОТВЕТСТВЕННОСТЬЮ "ОЛИМПСНАБ"</t>
  </si>
  <si>
    <t>"ОЛИМПСНАБ"</t>
  </si>
  <si>
    <t>2124044389</t>
  </si>
  <si>
    <t>429955, ЧУВАШСКАЯ РЕСПУБЛИКА - ЧУВАШИЯ, ГОРОД НОВОЧЕБОКСАРСК, УЛИЦА ВОСТОЧНАЯ, ДОМ 1, КОРПУС 1,..</t>
  </si>
  <si>
    <t>Федорова Ольга Георгиевна</t>
  </si>
  <si>
    <t>+7 (906) 388-72-85'</t>
  </si>
  <si>
    <t>olimpsnab21@yandex.ru'</t>
  </si>
  <si>
    <t>55.840083,49.10027</t>
  </si>
  <si>
    <t>ОБЩЕСТВО С ОГРАНИЧЕННОЙ ОТВЕТСТВЕННОСТЬЮ "ЮГСТРОЙРЕСУРС"</t>
  </si>
  <si>
    <t>"ЮГСТРОЙРЕСУРС"</t>
  </si>
  <si>
    <t>0562065662</t>
  </si>
  <si>
    <t>Г МАХАЧКАЛА,УЛ ЭНГЕЛЬСА Д 31..</t>
  </si>
  <si>
    <t>Никаев Гаджииса Магомедович</t>
  </si>
  <si>
    <t>+7 (928) 573-30-31'</t>
  </si>
  <si>
    <t>55.828809,49.101788</t>
  </si>
  <si>
    <t>ОБЩЕСТВО С ОГРАНИЧЕННОЙ ОТВЕТСТВЕННОСТЬЮ "СТРОЙАВТОТЕХ"</t>
  </si>
  <si>
    <t>"СТРОЙАВТОТЕХ"</t>
  </si>
  <si>
    <t>0522021570</t>
  </si>
  <si>
    <t>367000, ДАГЕСТАН РЕСПУБЛИКА, Г. МАХАЧКАЛА, УЛ. АЗИЗА АЛИЕВА, Д. 1,..</t>
  </si>
  <si>
    <t>Магомедов Гамид Гусенович</t>
  </si>
  <si>
    <t>+7 (967) 404-80-00'</t>
  </si>
  <si>
    <t>55.768248,49.103755</t>
  </si>
  <si>
    <t>ОБЩЕСТВО С ОГРАНИЧЕННОЙ ОТВЕТСТВЕННОСТЬЮ "АЛЬФА-СМ"</t>
  </si>
  <si>
    <t>"АЛЬФА-СМ"</t>
  </si>
  <si>
    <t>0560038818</t>
  </si>
  <si>
    <t>367000, ДАГЕСТАН РЕСПУБЛИКА, ГОРОД МАХАЧКАЛА, УЛИЦА МАГОМЕТА ГАДЖИЕВА, 74, А</t>
  </si>
  <si>
    <t>Муртазалиев Шамхалмагомед Магомедович</t>
  </si>
  <si>
    <t>+7 (963) 797-26-72'</t>
  </si>
  <si>
    <t>55.749294,49.104258</t>
  </si>
  <si>
    <t>ОБЩЕСТВО С ОГРАНИЧЕННОЙ ОТВЕТСТВЕННОСТЬЮ "ДСК"</t>
  </si>
  <si>
    <t>"ДСК"</t>
  </si>
  <si>
    <t>2124044607</t>
  </si>
  <si>
    <t>429965, ЧУВАШСКАЯ РЕСПУБЛИКА - ЧУВАШИЯ, Г. НОВОЧЕБОКСАРСК, УЛ. ПРОМЫШЛЕННАЯ, Д. 73, ОФИС 1</t>
  </si>
  <si>
    <t>Александров Николай Олегович</t>
  </si>
  <si>
    <t>ОБЩЕСТВО С ОГРАНИЧЕННОЙ ОТВЕТСТВЕННОСТЬЮ "ГАЗОБЛОК"</t>
  </si>
  <si>
    <t>"ГАЗОБЛОК"</t>
  </si>
  <si>
    <t>0562069850</t>
  </si>
  <si>
    <t>367000, ДАГЕСТАН РЕСПУБЛИКА, Г. МАХАЧКАЛА, УЛ. ДЗЕРЖИНСКОГО, Д.1</t>
  </si>
  <si>
    <t>Алимов Марат Алимович</t>
  </si>
  <si>
    <t>55.745002,49.104429</t>
  </si>
  <si>
    <t>ОТКРЫТОЕ АКЦИОНЕРНОЕ ОБЩЕСТВО "Железобетон"</t>
  </si>
  <si>
    <t>ОТКРЫТОЕ "Железобетон"</t>
  </si>
  <si>
    <t>2124001561</t>
  </si>
  <si>
    <t>ЧУВАШСКАЯ РЕСПУБЛИКА - ЧУВАШИЯ,Г НОВОЧЕБОКСАРСК,УЛ ПРОМЫШЛЕННАЯ, Д 83</t>
  </si>
  <si>
    <t>Александров Сергей Ильич</t>
  </si>
  <si>
    <t>ELIZAGORLOVA@YANDEX.RU', 'andrex81@inbox.ru'</t>
  </si>
  <si>
    <t>55.763787,49.10627</t>
  </si>
  <si>
    <t>ОБЩЕСТВО С ОГРАНИЧЕННОЙ ОТВЕТСТВЕННОСТЬЮ "ЖЕЛЕЗОБЕТОННЫЕ КОНСТРУКЦИИ №2 ПЛЮС"</t>
  </si>
  <si>
    <t>"ЖЕЛЕЗОБЕТОННЫЕ КОНСТРУКЦИИ №2 ПЛЮС"</t>
  </si>
  <si>
    <t>2124041966</t>
  </si>
  <si>
    <t>429955, ЧУВАШСКАЯ РЕСПУБЛИКА - ЧУВАШИЯ, Г. НОВОЧЕБОКСАРСК, УЛ. ПРОМЫШЛЕННАЯ, Д. 83</t>
  </si>
  <si>
    <t>Рогожников Николай Валентинович</t>
  </si>
  <si>
    <t>+7 (903) 345-72-70', '+7 (903) 345-51-29'</t>
  </si>
  <si>
    <t>55.796127,49.106414</t>
  </si>
  <si>
    <t>ПРОИЗВОДСТВЕННЫЙ КООПЕРАТИВ "МЕЛЬНИЦА"</t>
  </si>
  <si>
    <t>2124044653</t>
  </si>
  <si>
    <t>429950, ЧУВАШСКАЯ РЕСПУБЛИКА - ЧУВАШИЯ, ГОРОД НОВОЧЕБОКСАРСК, УЛИЦА ПРОМЫШЛЕННАЯ, СТРОЕНИЕ 73У, ПОМЕЩЕНИЕ 1</t>
  </si>
  <si>
    <t>Кузнецов Юрий Владимирович</t>
  </si>
  <si>
    <t>+7 (917) 066-36-80'</t>
  </si>
  <si>
    <t>buhtdb21@mail.ru'</t>
  </si>
  <si>
    <t>2124044220</t>
  </si>
  <si>
    <t>429965, Чувашская Республика - Чувашия, городской округ ГОРОД НОВОЧЕБОКСАРСК, Город НОВОЧЕБОКСАРСК, УЛ ПРОМЫШЛЕННАЯ, Д. 73, К. 1, ОФИС 406</t>
  </si>
  <si>
    <t>Зубков Алексей Николаевич</t>
  </si>
  <si>
    <t>+7 (960) 312-90-75'</t>
  </si>
  <si>
    <t>DSK@PWORK.RU', 'ialekseeva@dsk21.ru'</t>
  </si>
  <si>
    <t>ОБЩЕСТВО С ОГРАНИЧЕННОЙ ОТВЕТСТВЕННОСТЬЮ "ЗАВОД СТРОЙМАТЕРИАЛЫ - ЧЕРНОВ НИКОЛАЙ ПЕТРОВИЧ"</t>
  </si>
  <si>
    <t>"ЗАВОД СТРОЙМАТЕРИАЛЫ - ЧЕРНОВ НИКОЛАЙ ПЕТРОВИЧ"</t>
  </si>
  <si>
    <t>2124029158</t>
  </si>
  <si>
    <t>429950, ЧУВАШСКАЯ РЕСПУБЛИКА - ЧУВАШИЯ, Г НОВОЧЕБОКСАРСК, УЛ ПРОМЫШЛЕННАЯ, Д 77</t>
  </si>
  <si>
    <t>Чернов Николай Петрович</t>
  </si>
  <si>
    <t>+7 (905) 340-98-09'</t>
  </si>
  <si>
    <t>АКЦИОНЕРНОЕ ОБЩЕСТВО "ЗАВОД ЖЕЛЕЗОБЕТОННЫХ ИЗДЕЛИЙ"</t>
  </si>
  <si>
    <t>0541002069</t>
  </si>
  <si>
    <t>Г МАХАЧКАЛА,ПР АМЕТ-ХАНА СУЛТАНА Д 10</t>
  </si>
  <si>
    <t>Рагимов Нурмагомед Физулиевич</t>
  </si>
  <si>
    <t>gaziev1886@mail.ru'</t>
  </si>
  <si>
    <t>ОБЩЕСТВО С ОГРАНИЧЕННОЙ ОТВЕТСТВЕННОСТЬЮ "ТЁПЛЫЙ ДОМ ТЕРМО ПОЛИФАСАД"</t>
  </si>
  <si>
    <t>"ТЁПЛЫЙ ДОМ ТЕРМО ПОЛИФАСАД"</t>
  </si>
  <si>
    <t>0573013560</t>
  </si>
  <si>
    <t>367000, ДАГЕСТАН РЕСПУБЛИКА, Г. МАХАЧКАЛА, УЛ. ЭМИРОВА, Д. 2/4,..</t>
  </si>
  <si>
    <t>Муратханова Афисат Каибовна</t>
  </si>
  <si>
    <t>ОБЩЕСТВО С ОГРАНИЧЕННОЙ ОТВЕТСТВЕННОСТЬЮ "СМУ58-КОНТРАКТ"</t>
  </si>
  <si>
    <t>"СМУ58-КОНТРАКТ"</t>
  </si>
  <si>
    <t>2130155640</t>
  </si>
  <si>
    <t>429965, ЧУВАШСКАЯ РЕСПУБЛИКА - ЧУВАШИЯ, ГОРОД НОВОЧЕБОКСАРСК, УЛИЦА ПРОМЫШЛЕННАЯ, ДОМ 87</t>
  </si>
  <si>
    <t>Кузнецов Петр Ефимович</t>
  </si>
  <si>
    <t>+7 (835) 238-03-58'</t>
  </si>
  <si>
    <t>OOOSMU58@YANDEX.RU', 'buh@mail.ru', '4@mail.ru'</t>
  </si>
  <si>
    <t>55.744161,49.108714</t>
  </si>
  <si>
    <t>ОБЩЕСТВО С ОГРАНИЧЕННОЙ ОТВЕТСТВЕННОСТЬЮ "ДОМОСТРОИТЕЛЬНЫЙ КОМБИНАТ РАФФ+"</t>
  </si>
  <si>
    <t>"ДОМОСТРОИТЕЛЬНЫЙ КОМБИНАТ РАФФ+"</t>
  </si>
  <si>
    <t>2124048552</t>
  </si>
  <si>
    <t>429965, ЧУВАШСКАЯ РЕСПУБЛИКА - ЧУВАШИЯ, Г. Новочебоксарск, УЛ. ПРОМЫШЛЕННАЯ, ЗД. 89, К. 4, ПОМЕЩ. 26</t>
  </si>
  <si>
    <t>Николаев Валерий Петрович</t>
  </si>
  <si>
    <t>55.786273,49.111463</t>
  </si>
  <si>
    <t>ОБЩЕСТВО С ОГРАНИЧЕННОЙ ОТВЕТСТВЕННОСТЬЮ "КУБ КОНСТРАКШН"</t>
  </si>
  <si>
    <t>"КУБ КОНСТРАКШН"</t>
  </si>
  <si>
    <t>6168073056</t>
  </si>
  <si>
    <t>РОСТОВСКАЯ ОБЛ.,ВОЛГОДОНСКОЙ Р-Н,Х СЕМЕНКИН,Г ВОЛГОДОНСК, УЛ СТРОИТЕЛЕЙ, 27,..</t>
  </si>
  <si>
    <t>Кнышев Виктор Геннадьевич</t>
  </si>
  <si>
    <t>+7 (918) 520-22-45'</t>
  </si>
  <si>
    <t>55.774102,49.11449</t>
  </si>
  <si>
    <t>ОБЩЕСТВО С ОГРАНИЧЕННОЙ ОТВЕТСТВЕННОСТЬЮ " АБВ "</t>
  </si>
  <si>
    <t>" АБВ "</t>
  </si>
  <si>
    <t>0561050550</t>
  </si>
  <si>
    <t>Г МАХАЧКАЛА,ПР АМЕТ-ХАНА СУЛТАНА ЗАО "КЕРАМЗИТ"</t>
  </si>
  <si>
    <t>Велимурадов Багафенди Абдулмеджидович</t>
  </si>
  <si>
    <t>55.77956,49.11493</t>
  </si>
  <si>
    <t>ОБЩЕСТВО С ОГРАНИЧЕННОЙ ОТВЕТСТВЕННОСТЬЮ "Железобетон"</t>
  </si>
  <si>
    <t>"Железобетон"</t>
  </si>
  <si>
    <t>6441019310</t>
  </si>
  <si>
    <t>412932, САРАТОВСКАЯ ОБЛАСТЬ, РАЙОН ВОЛЬСКИЙ, СЕЛО ТЕРСА, УЛИЦА ПРОЛЕТАРСКАЯ, 50</t>
  </si>
  <si>
    <t>Шаров Кирилл Сергеевич</t>
  </si>
  <si>
    <t>+7 (903) 020-64-58'</t>
  </si>
  <si>
    <t>55.79061,49.115541</t>
  </si>
  <si>
    <t>ОБЩЕСТВО С ОГРАНИЧЕННОЙ ОТВЕТСТВЕННОСТЬЮ "АТАЛ"</t>
  </si>
  <si>
    <t>"АТАЛ"</t>
  </si>
  <si>
    <t>2124046033</t>
  </si>
  <si>
    <t>429965, ЧУВАШСКАЯ РЕСПУБЛИКА - ЧУВАШИЯ, ГОРОД НОВОЧЕБОКСАРСК, УЛИЦА ПРОМЫШЛЕННАЯ, ДОМ 28</t>
  </si>
  <si>
    <t>Иванов Максим Александрович</t>
  </si>
  <si>
    <t>stroycheb@mail.ru'</t>
  </si>
  <si>
    <t>55.785488,49.115936</t>
  </si>
  <si>
    <t>ЗАКРЫТОЕ АКЦИОНЕРНОЕ ОБЩЕСТВО " АГРАРНИК "</t>
  </si>
  <si>
    <t>ЗАКРЫТОЕ " АГРАРНИК "</t>
  </si>
  <si>
    <t>0541000022</t>
  </si>
  <si>
    <t>367000, Республика Дагестан, городской округ ГОРОД МАХАЧКАЛА, Город МАХАЧКАЛА, внутригородской район городского округа ЛЕНИНСКИЙ РАЙОН, УЛ ЮГО-ВОСТОЧНАЯ, Д. 76,</t>
  </si>
  <si>
    <t>Магомедов Абдула Залумханович</t>
  </si>
  <si>
    <t>+7 (988) 200-11-71'</t>
  </si>
  <si>
    <t>55.81781,49.11838</t>
  </si>
  <si>
    <t>ОБЩЕСТВО С ОГРАНИЧЕННОЙ ОТВЕТСТВЕННОСТЬЮ "ГИДРОТЕХМОНТАЖ-АМ"</t>
  </si>
  <si>
    <t>"ГИДРОТЕХМОНТАЖ-АМ"</t>
  </si>
  <si>
    <t>0571015650</t>
  </si>
  <si>
    <t>367000, ДАГЕСТАН РЕСПУБЛИКА, ГОРОД МАХАЧКАЛА, КВАРТАЛ ЮЖАНКА, УЛИЦА ПРОИЗВОДСТВЕННАЯ, ДОМ 65, КОРПУС А</t>
  </si>
  <si>
    <t>Дибиров Абдулкерим Гаджиевич</t>
  </si>
  <si>
    <t>55.828359,49.126006</t>
  </si>
  <si>
    <t>ОБЩЕСТВО С ОГРАНИЧЕННОЙ ОТВЕТСТВЕННОСТЬЮ "Лига-С"</t>
  </si>
  <si>
    <t>"Лига-С"</t>
  </si>
  <si>
    <t>2130101162</t>
  </si>
  <si>
    <t>429170, ЧУВАШСКАЯ РЕСПУБЛИКА - ЧУВАШИЯ, РАЙОН ШЕМУРШИНСКИЙ, СЕЛО ШЕМУРША, УЛИЦА ВОСТОЧНАЯ, ДОМ 19, КАБИНЕТ 2</t>
  </si>
  <si>
    <t>Шайхутдинов Ферит Незметдинович</t>
  </si>
  <si>
    <t>+7 (919) 656-92-44'</t>
  </si>
  <si>
    <t>55.785655,49.130785</t>
  </si>
  <si>
    <t>ОБЩЕСТВО С ОГРАНИЧЕННОЙ ОТВЕТСТВЕННОСТЬЮ "ВИБРОПРЕССОВАННЫЙ БЕТОН"</t>
  </si>
  <si>
    <t>"ВИБРОПРЕССОВАННЫЙ БЕТОН"</t>
  </si>
  <si>
    <t>2124046837</t>
  </si>
  <si>
    <t>429965, ЧУВАШСКАЯ РЕСПУБЛИКА - ЧУВАШИЯ, ГОРОД НОВОЧЕБОКСАРСК, УЛИЦА ПРОМЫШЛЕННАЯ, ВЛАДЕНИЕ 4А, ОФИС 4</t>
  </si>
  <si>
    <t>Богатов Сергей Юрьевич</t>
  </si>
  <si>
    <t>55.796572,49.131055</t>
  </si>
  <si>
    <t>ОБЩЕСТВО С ОГРАНИЧЕННОЙ ОТВЕТСТВЕННОСТЬЮ "БЕТОНСИТИСТРОЙ"</t>
  </si>
  <si>
    <t>"БЕТОНСИТИСТРОЙ"</t>
  </si>
  <si>
    <t>1218001734</t>
  </si>
  <si>
    <t>425205, МАРИЙ ЭЛ РЕСПУБЛИКА, РАЙОН МЕДВЕДЕВСКИЙ, ДЕРЕВНЯ ЛЮЛЬПАНЫ, УЛИЦА МЕХАНИЗАТОРОВ, ДОМ 1</t>
  </si>
  <si>
    <t>Симукова Мария Владимировна</t>
  </si>
  <si>
    <t>+7 (917) 713-36-56'</t>
  </si>
  <si>
    <t>55.738039,49.134585</t>
  </si>
  <si>
    <t>ОБЩЕСТВО С ОГРАНИЧЕННОЙ ОТВЕТСТВЕННОСТЬЮ "ПРОГРЕСС БЕТОН"</t>
  </si>
  <si>
    <t>"ПРОГРЕСС БЕТОН"</t>
  </si>
  <si>
    <t>0554001150</t>
  </si>
  <si>
    <t>368300, ДАГЕСТАН РЕСПУБЛИКА, Г. КАСПИЙСК, ПР-КТ М.ОМАРОВА, Д. 100</t>
  </si>
  <si>
    <t>Багандов Магомедрасул Ахмедович</t>
  </si>
  <si>
    <t>55.833531,49.135061</t>
  </si>
  <si>
    <t>ОБЩЕСТВО С ОГРАНИЧЕННОЙ ОТВЕТСТВЕННОСТЬЮ "ОЛИМПИЯ"</t>
  </si>
  <si>
    <t>"ОЛИМПИЯ"</t>
  </si>
  <si>
    <t>0545022179</t>
  </si>
  <si>
    <t>368304, ДАГЕСТАН РЕСП, КАСПИЙСК Г, КИРПИЧНОЕ Ш, ДОМ 1</t>
  </si>
  <si>
    <t>Раджабов Зумрудин Шабанович</t>
  </si>
  <si>
    <t>55.830108,49.136346</t>
  </si>
  <si>
    <t>ОБЩЕСТВО С ОГРАНИЧЕННОЙ ОТВЕТСТВЕННОСТЬЮ "ХЕСС КАСПИЙСК"</t>
  </si>
  <si>
    <t>"ХЕСС КАСПИЙСК"</t>
  </si>
  <si>
    <t>0554003976</t>
  </si>
  <si>
    <t>368303, ДАГЕСТАН РЕСП, КАСПИЙСК Г, КИРПИЧНЫЙ ПГТ, КИРПИЧНОЕ ШОССЕ УЛ, ДОМ 1, КАБИНЕТ 10</t>
  </si>
  <si>
    <t>Гусейнов Тамерлан Валерьевич</t>
  </si>
  <si>
    <t>55.79014,49.136633</t>
  </si>
  <si>
    <t>ОБЩЕСТВО С ОГРАНИЧЕННОЙ ОТВЕТСТВЕННОСТЬЮ "ХЕСС КАСПИЙСК ГРУПП"</t>
  </si>
  <si>
    <t>"ХЕСС КАСПИЙСК ГРУПП"</t>
  </si>
  <si>
    <t>0554005973</t>
  </si>
  <si>
    <t>Гусейнова Саят Валеревна</t>
  </si>
  <si>
    <t>55.624845,49.140451</t>
  </si>
  <si>
    <t>ОБЩЕСТВО С ОГРАНИЧЕННОЙ ОТВЕТСТВЕННОСТЬЮ "ХЕСС КАСПИЙСК ГРУПП ИНТЕРНЭШНЛ"</t>
  </si>
  <si>
    <t>"ХЕСС КАСПИЙСК ГРУПП ИНТЕРНЭШНЛ"</t>
  </si>
  <si>
    <t>0554007804</t>
  </si>
  <si>
    <t>368303, ДАГЕСТАН РЕСП., Г. Каспийск, ПГТ. Кирпичный, УЛ. КИРПИЧНОЕ ШОССЕ, Д. 1, К. А/5, ОФИС 1</t>
  </si>
  <si>
    <t>Дануков Расул Гаджиевич</t>
  </si>
  <si>
    <t>55.770471,49.144377</t>
  </si>
  <si>
    <t>ОБЩЕСТВО С ОГРАНИЧЕННОЙ ОТВЕТСТВЕННОСТЬЮ "ИННТЕХСТРОЙ"</t>
  </si>
  <si>
    <t>"ИННТЕХСТРОЙ"</t>
  </si>
  <si>
    <t>0545023172</t>
  </si>
  <si>
    <t>368304, ДАГЕСТАН РЕСП, КАСПИЙСК Г, КАЗБЕКОВА УЛ, ДОМ 34, КОРПУС А</t>
  </si>
  <si>
    <t>Исаков Астемир Ибрагимхалилович</t>
  </si>
  <si>
    <t>55.769904,49.146039</t>
  </si>
  <si>
    <t>ОБЩЕСТВО С ОГРАНИЧЕННОЙ ОТВЕТСТВЕННОСТЬЮ "СИЛИКАТ"</t>
  </si>
  <si>
    <t>7313003676</t>
  </si>
  <si>
    <t>УЛЬЯНОВСКАЯ ОБЛ.,РП НОВОСПАССКОЕ,УЛ ЗАВОДСКАЯ, Д 57</t>
  </si>
  <si>
    <t>Солдатов Александр Иванович</t>
  </si>
  <si>
    <t>55.783539,49.148446</t>
  </si>
  <si>
    <t>ОБЩЕСТВО С ОГРАНИЧЕННОЙ ОТВЕТСТВЕННОСТЬЮ "ТЕПЛОДОМ"</t>
  </si>
  <si>
    <t>"ТЕПЛОДОМ"</t>
  </si>
  <si>
    <t>7313011123</t>
  </si>
  <si>
    <t>433870, УЛЬЯНОВСКАЯ ОБЛ, НОВОСПАССКИЙ Р-Н, НОВОСПАССКОЕ РП, ЗАВОДСКАЯ УЛ, ДОМ 57</t>
  </si>
  <si>
    <t>+7 (842) 382-15-43'</t>
  </si>
  <si>
    <t>53.518465,49.158876</t>
  </si>
  <si>
    <t>ОБЩЕСТВО С ОГРАНИЧЕННОЙ ОТВЕТСТВЕННОСТЬЮ "Декор-Ландшафт"</t>
  </si>
  <si>
    <t>"Декор-Ландшафт"</t>
  </si>
  <si>
    <t>7313007656</t>
  </si>
  <si>
    <t>433870, УЛЬЯНОВСКАЯ ОБЛАСТЬ, Р-Н НОВОСПАССКИЙ, РП НОВОСПАССКОЕ, УЛ. ПРОМЫШЛЕННАЯ, Д.5, К.1</t>
  </si>
  <si>
    <t>Суркова Наталья Вительевна</t>
  </si>
  <si>
    <t>+7 (927) 630-60-60'</t>
  </si>
  <si>
    <t>55.149841,49.163592</t>
  </si>
  <si>
    <t>6151004174</t>
  </si>
  <si>
    <t>РОСТОВСКАЯ ОБЛ.,Г НОВОШАХТИНСК,УЛ ГАЗОПРОВОДНАЯ, 11</t>
  </si>
  <si>
    <t>Залесский Алексей Леонидович</t>
  </si>
  <si>
    <t>55.775282,49.173168</t>
  </si>
  <si>
    <t>ОБЩЕСТВО С ОГРАНИЧЕННОЙ ОТВЕТСТВЕННОСТЬЮ "БЛОК-2003"</t>
  </si>
  <si>
    <t>"БЛОК-2003"</t>
  </si>
  <si>
    <t>6439054194</t>
  </si>
  <si>
    <t>САРАТОВСКАЯ ОБЛ.,Г БАЛАКОВО,УЛ ПРОМЫШЛЕННАЯ, Д 15</t>
  </si>
  <si>
    <t>Чалык Андрей Викторович</t>
  </si>
  <si>
    <t>55.800732,49.176312</t>
  </si>
  <si>
    <t>ОБЩЕСТВО С ОГРАНИЧЕННОЙ ОТВЕТСТВЕННОСТЬЮ "СТРАТУМ"</t>
  </si>
  <si>
    <t>"СТРАТУМ"</t>
  </si>
  <si>
    <t>1218002657</t>
  </si>
  <si>
    <t>425200, МАРИЙ ЭЛ РЕСПУБЛИКА, РАЙОН МЕДВЕДЕВСКИЙ, ПОСЕЛОК ГОРОДСКОГО ТИПА МЕДВЕДЕВО, УЛИЦА ЖЕЛЕЗНОДОРОЖНАЯ, ДОМ 13, КАБИНЕТ 2</t>
  </si>
  <si>
    <t>Масленников Антон Владимирович</t>
  </si>
  <si>
    <t>55.783595,49.177785</t>
  </si>
  <si>
    <t>ОБЩЕСТВО С ОГРАНИЧЕННОЙ ОТВЕТСТВЕННОСТЬЮ "КЕРАМБЛОК+"</t>
  </si>
  <si>
    <t>"КЕРАМБЛОК+"</t>
  </si>
  <si>
    <t>6439083082</t>
  </si>
  <si>
    <t>http://keramblok.ru</t>
  </si>
  <si>
    <t>413850, САРАТОВСКАЯ ОБЛАСТЬ, ГОРОД БАЛАКОВО, УЛИЦА КОММУНАРНАЯ, 12/1</t>
  </si>
  <si>
    <t>Артемчук Ольга Николаевна</t>
  </si>
  <si>
    <t>+7 (927) 149-34-07'</t>
  </si>
  <si>
    <t>55.772406,49.180372</t>
  </si>
  <si>
    <t>ОБЩЕСТВО С ОГРАНИЧЕННОЙ ОТВЕТСТВЕННОСТЬЮ "БЛАГОУСТ.12"</t>
  </si>
  <si>
    <t>"БЛАГОУСТ.12"</t>
  </si>
  <si>
    <t>1215224309</t>
  </si>
  <si>
    <t>425200, МАРИЙ ЭЛ РЕСПУБЛИКА, РАЙОН МЕДВЕДЕВСКИЙ, ПОСЕЛОК ГОРОДСКОГО ТИПА МЕДВЕДЕВО, УЛИЦА МИРА, ДОМ 2,..</t>
  </si>
  <si>
    <t>Уразаев Владимир Вячеславович</t>
  </si>
  <si>
    <t>+7 (906) 137-11-97'</t>
  </si>
  <si>
    <t>12@mail.ru'</t>
  </si>
  <si>
    <t>55.807531,49.181765</t>
  </si>
  <si>
    <t>ОБЩЕСТВО С ОГРАНИЧЕННОЙ ОТВЕТСТВЕННОСТЬЮ "МОНОБЛОК"</t>
  </si>
  <si>
    <t>"МОНОБЛОК"</t>
  </si>
  <si>
    <t>1215217083</t>
  </si>
  <si>
    <t>424000, МАРИЙ ЭЛ РЕСПУБЛИКА, ГОРОД ЙОШКАР-ОЛА, УЛИЦА АЛЕНКИНО, ДОМ 4, ОФИС 1</t>
  </si>
  <si>
    <t>Матвеев Николай Анатольевич</t>
  </si>
  <si>
    <t>+7 (906) 139-66-02'</t>
  </si>
  <si>
    <t>Общество с ограниченной ответственностью "Железобетонные конструкции"</t>
  </si>
  <si>
    <t>"Железобетонные конструкции"</t>
  </si>
  <si>
    <t>1215166093</t>
  </si>
  <si>
    <t>Г ЙОШКАР-ОЛА,УЛ МАШИНОСТРОИТЕЛЕЙ, Д 109</t>
  </si>
  <si>
    <t>Гневашев Андрей Васильевич</t>
  </si>
  <si>
    <t>55.839876,49.187235</t>
  </si>
  <si>
    <t>ОБЩЕСТВО С ОГРАНИЧЕННОЙ ОТВЕТСТВЕННОСТЬЮ "ТЮБИНГ-ЖБИ"</t>
  </si>
  <si>
    <t>"ТЮБИНГ-ЖБИ"</t>
  </si>
  <si>
    <t>1215182754</t>
  </si>
  <si>
    <t>424007, МАРИЙ ЭЛ РЕСПУБЛИКА, ГОРОД ЙОШКАР-ОЛА, УЛИЦА МАШИНОСТРОИТЕЛЕЙ, 109</t>
  </si>
  <si>
    <t>Толстоухов Владимир Леонидович</t>
  </si>
  <si>
    <t>vladimir@mail.ru', 'jbi@mail.ru', 'marssk@mail.ru'</t>
  </si>
  <si>
    <t>55.782086,49.188242</t>
  </si>
  <si>
    <t>ОБЩЕСТВО С ОГРАНИЧЕННОЙ ОТВЕТСТВЕННОСТЬЮ "ПЛИТСТРОЙ"</t>
  </si>
  <si>
    <t>"ПЛИТСТРОЙ"</t>
  </si>
  <si>
    <t>4339010707</t>
  </si>
  <si>
    <t>612261, КИРОВСКАЯ ОБЛАСТЬ, Р-Н ЯРАНСКИЙ, Г. ЯРАНСК, УЛ. МИЧУРИНА, Д. 20,..</t>
  </si>
  <si>
    <t>Кренев Андрей Вячеславович</t>
  </si>
  <si>
    <t>55.828698,49.190784</t>
  </si>
  <si>
    <t>ОБЩЕСТВО С ОГРАНИЧЕННОЙ ОТВЕТСТВЕННОСТЬЮ "МБИ"</t>
  </si>
  <si>
    <t>"МБИ"</t>
  </si>
  <si>
    <t>1200004692</t>
  </si>
  <si>
    <t>424028, МАРИЙ ЭЛ РЕСП., Г. Йошкар-Ола, УЛ. СТРОИТЕЛЕЙ, Д. 31, ПОМЕЩ. 4Д</t>
  </si>
  <si>
    <t>Саргсян Фрунзик Гургенович</t>
  </si>
  <si>
    <t>MBI@MAIL.RU'</t>
  </si>
  <si>
    <t>55.749152,49.192553</t>
  </si>
  <si>
    <t>ОБЩЕСТВО С ОГРАНИЧЕННОЙ ОТВЕТСТВЕННОСТЬЮ "ЛЕГО ДОМ"</t>
  </si>
  <si>
    <t>"ЛЕГО ДОМ"</t>
  </si>
  <si>
    <t>1215209491</t>
  </si>
  <si>
    <t>424006, МАРИЙ ЭЛ РЕСПУБЛИКА, ГОРОД ЙОШКАР-ОЛА, УЛИЦА ГОНЧАРОВА, ДОМ 4, ЭТАЖ 1</t>
  </si>
  <si>
    <t>Щипков Иван Александрович</t>
  </si>
  <si>
    <t>+7 (927) 872-38-98'</t>
  </si>
  <si>
    <t>55.837338,49.193542</t>
  </si>
  <si>
    <t>ОБЩЕСТВО С ОГРАНИЧЕННОЙ ОТВЕТСТВЕННОСТЬЮ "Эверест"</t>
  </si>
  <si>
    <t>"Эверест"</t>
  </si>
  <si>
    <t>1215147446</t>
  </si>
  <si>
    <t>424002, МАРИЙ ЭЛ РЕСПУБЛИКА, ГОРОД ЙОШКАР-ОЛА, УЛИЦА КОМСОМОЛЬСКАЯ, ДОМ 120,..</t>
  </si>
  <si>
    <t>Еремкин Эдуард Григорьевич</t>
  </si>
  <si>
    <t>55.800317,49.193757</t>
  </si>
  <si>
    <t>ОБЩЕСТВО С ОГРАНИЧЕННОЙ ОТВЕТСТВЕННОСТЬЮ "КОРВЕТЖБИ"</t>
  </si>
  <si>
    <t>"КОРВЕТЖБИ"</t>
  </si>
  <si>
    <t>1215209886</t>
  </si>
  <si>
    <t>424006, МАРИЙ ЭЛ РЕСПУБЛИКА, ГОРОД ЙОШКАР-ОЛА, УЛИЦА ГОНЧАРОВА, ДОМ 1Б, ОФИС 2</t>
  </si>
  <si>
    <t>ДИРЕКТОР Хованнисян Анжела Рафаэловна</t>
  </si>
  <si>
    <t>+7 (917) 700-06-30'</t>
  </si>
  <si>
    <t>55.831969,49.195653</t>
  </si>
  <si>
    <t>ОБЩЕСТВО С ОГРАНИЧЕННОЙ ОТВЕТСТВЕННОСТЬЮ "УСАДЬБА"</t>
  </si>
  <si>
    <t>"УСАДЬБА"</t>
  </si>
  <si>
    <t>6439096571</t>
  </si>
  <si>
    <t>413801, САРАТОВСКАЯ ОБЛ, БАЛАКОВСКИЙ Р-Н, НАТАЛЬИНО С, ЧАПАЕВА УЛ, ДОМ 33</t>
  </si>
  <si>
    <t>Вязовский Олег Александрович</t>
  </si>
  <si>
    <t>55.743198,49.201608</t>
  </si>
  <si>
    <t>ОБЩЕСТВО С ОГРАНИЧЕННОЙ ОТВЕТСТВЕННОСТЬЮ "СТРОЙТЕРМИНАЛ"</t>
  </si>
  <si>
    <t>"СТРОЙТЕРМИНАЛ"</t>
  </si>
  <si>
    <t>1215115532</t>
  </si>
  <si>
    <t>Г ЙОШКАР-ОЛА,УЛ КИРОВА, Д 3, А</t>
  </si>
  <si>
    <t>Игнатьев Сергей Анатольевич</t>
  </si>
  <si>
    <t>+7 (927) 876-73-33'</t>
  </si>
  <si>
    <t>55.654569,49.208175</t>
  </si>
  <si>
    <t>ОБЩЕСТВО С ОГРАНИЧЕННОЙ ОТВЕТСТВЕННОСТЬЮ "ЭКОКЕРАМЗИТДОМ"</t>
  </si>
  <si>
    <t>"ЭКОКЕРАМЗИТДОМ"</t>
  </si>
  <si>
    <t>3023021820</t>
  </si>
  <si>
    <t>416101, АСТРАХАНСКАЯ ОБЛАСТЬ, НАРИМАНОВСКИЙ РАЙОН, СЕЛО СТАРОКУЧЕРГАНОВКА, УЛИЦА ПОБЕДЫ, ДОМ 141</t>
  </si>
  <si>
    <t>Шахметов Камиль Шамильевич</t>
  </si>
  <si>
    <t>55.76999,49.209783</t>
  </si>
  <si>
    <t>ОБЩЕСТВО С ОГРАНИЧЕННОЙ ОТВЕТСТВЕННОСТЬЮ "СТРОЙ-СНАБ 12"</t>
  </si>
  <si>
    <t>"СТРОЙ-СНАБ 12"</t>
  </si>
  <si>
    <t>1207019200</t>
  </si>
  <si>
    <t>425221, МАРИЙ ЭЛ РЕСПУБЛИКА, РАЙОН МЕДВЕДЕВСКИЙ, ПОСЕЛОК ЗНАМЕНСКИЙ, УЛИЦА ЮЖНАЯ, 23</t>
  </si>
  <si>
    <t>Леонидов Алексей Сергеевич</t>
  </si>
  <si>
    <t>stroysnab12@inbox.ru'</t>
  </si>
  <si>
    <t>55.68027,49.212451</t>
  </si>
  <si>
    <t>ОБЩЕСТВО С ОГРАНИЧЕННОЙ ОТВЕТСТВЕННОСТЬЮ "СТРОЙСНАБ"</t>
  </si>
  <si>
    <t>"СТРОЙСНАБ"</t>
  </si>
  <si>
    <t>1207020566</t>
  </si>
  <si>
    <t>425221, МАРИЙ ЭЛ РЕСПУБЛИКА, РАЙОН МЕДВЕДЕВСКИЙ, ПОСЕЛОК ЗНАМЕНСКИЙ, УЛИЦА ЮЖНАЯ, ДОМ 23</t>
  </si>
  <si>
    <t>Кочергин Антон Александрович</t>
  </si>
  <si>
    <t>+7 (927) 872-99-39'</t>
  </si>
  <si>
    <t>55.779722,49.22289</t>
  </si>
  <si>
    <t>ОБЩЕСТВО С ОГРАНИЧЕННОЙ ОТВЕТСТВЕННОСТЬЮ "МАБИКОМ"</t>
  </si>
  <si>
    <t>"МАБИКОМ"</t>
  </si>
  <si>
    <t>3018014867</t>
  </si>
  <si>
    <t>Г АСТРАХАНЬ,УЛ ГАГАРИНА,Д 6 А</t>
  </si>
  <si>
    <t>Хаджиев Бислан Захарович</t>
  </si>
  <si>
    <t>55.752516,49.227246</t>
  </si>
  <si>
    <t>ОБЩЕСТВО С ОГРАНИЧЕННОЙ ОТВЕТСТВЕННОСТЬЮ "ЗВЕНИГОВСКИЙ ЖБК"</t>
  </si>
  <si>
    <t>"ЗВЕНИГОВСКИЙ ЖБК"</t>
  </si>
  <si>
    <t>1225000450</t>
  </si>
  <si>
    <t>РЕСПУБЛИКА МАРИЙ ЭЛ,Г ЗВЕНИГОВО,УЛ ЛЕНИНА, Д 28</t>
  </si>
  <si>
    <t>Земсков Сергей Владимирович</t>
  </si>
  <si>
    <t>+7 (917) 718-37-07'</t>
  </si>
  <si>
    <t>55.640401,49.22925</t>
  </si>
  <si>
    <t>ОБЩЕСТВО С ОГРАНИЧЕННОЙ ОТВЕТСТВЕННОСТЬЮ "ДонаторПлюс"</t>
  </si>
  <si>
    <t>"ДонаторПлюс"</t>
  </si>
  <si>
    <t>3025007557</t>
  </si>
  <si>
    <t>414024, АСТРАХАНСКАЯ ОБЛАСТЬ, Г. АСТРАХАНЬ, УЛ. ГЕНЕРАЛА ЕПИШЕВА, Д. 26,..</t>
  </si>
  <si>
    <t>Магомедов Руслан Хаджиевич</t>
  </si>
  <si>
    <t>+7 (929) 740-22-20'</t>
  </si>
  <si>
    <t>55.769545,49.229986</t>
  </si>
  <si>
    <t>3023007150</t>
  </si>
  <si>
    <t>http://astra-beton.ru</t>
  </si>
  <si>
    <t>414006, АСТРАХАНСКАЯ ОБЛАСТЬ, Г. АСТРАХАНЬ, УЛ. ПУШКИНА, ВЛАДЕНИЕ 56</t>
  </si>
  <si>
    <t>Сергеев Виталий Игоревич</t>
  </si>
  <si>
    <t>55.880571,49.230633</t>
  </si>
  <si>
    <t>ОБЩЕСТВО С ОГРАНИЧЕННОЙ ОТВЕТСТВЕННОСТЬЮ "АстраБрик"</t>
  </si>
  <si>
    <t>"АстраБрик"</t>
  </si>
  <si>
    <t>3017063935</t>
  </si>
  <si>
    <t>414057, Астраханская область, г Астрахань, ул. Краснодарская, д. 43,..</t>
  </si>
  <si>
    <t>Сигаев Алексей Владимирович</t>
  </si>
  <si>
    <t>+7 (917) 182-53-91', '+7 (908) 618-88-01'</t>
  </si>
  <si>
    <t>55.760535,49.232618</t>
  </si>
  <si>
    <t>ОБЩЕСТВО С ОГРАНИЧЕННОЙ ОТВЕТСТВЕННОСТЬЮ "ЖБИНДУСТРИЯ"</t>
  </si>
  <si>
    <t>"ЖБИНДУСТРИЯ"</t>
  </si>
  <si>
    <t>3025033589</t>
  </si>
  <si>
    <t>414057, АСТРАХАНСКАЯ ОБЛАСТЬ, Г. АСТРАХАНЬ, УЛ. КРАСНОДАРСКАЯ, Д. 45,..</t>
  </si>
  <si>
    <t>Пырьева Виктория Шамилевна</t>
  </si>
  <si>
    <t>55.754593,49.233562</t>
  </si>
  <si>
    <t>ОБЩЕСТВО С ОГРАНИЧЕННОЙ ОТВЕТСТВЕННОСТЬЮ "АСТ-МОНОЛИТ"</t>
  </si>
  <si>
    <t>"АСТ-МОНОЛИТ"</t>
  </si>
  <si>
    <t>3015116324</t>
  </si>
  <si>
    <t>414000, АСТРАХАНСКАЯ ОБЛАСТЬ, Г. АСТРАХАНЬ, УЛ. КАЗАНСКАЯ, Д. 100,..</t>
  </si>
  <si>
    <t>55.769687,49.233678</t>
  </si>
  <si>
    <t>ОБЩЕСТВО С ОГРАНИЧЕННОЙ ОТВЕТСТВЕННОСТЬЮ ПРОИЗВОДСТВЕННАЯ КОМПАНИЯ "РУССКАМЕНЬ"</t>
  </si>
  <si>
    <t>ПРОИЗВОДСТВЕННАЯ КОМПАНИЯ "РУССКАМЕНЬ"</t>
  </si>
  <si>
    <t>3019029023</t>
  </si>
  <si>
    <t>414056, Астраханская область, городской округ ГОРОД АСТРАХАНЬ, Город АСТРАХАНЬ, УЛ БАХТЕМИРСКАЯ, Д. 9/16, ОФИС 3</t>
  </si>
  <si>
    <t>Мамонтов Владимир Алексеевич</t>
  </si>
  <si>
    <t>55.763361,49.234963</t>
  </si>
  <si>
    <t>Общество с ограниченной ответственностью Строй Блок</t>
  </si>
  <si>
    <t>Строй Блок</t>
  </si>
  <si>
    <t>3019009034</t>
  </si>
  <si>
    <t>http://stroibloc.ru</t>
  </si>
  <si>
    <t>414009, АСТРАХАНСКАЯ ОБЛАСТЬ, Г. АСТРАХАНЬ, УЛ. КАВКАЗСКАЯ, Д.142</t>
  </si>
  <si>
    <t>Зинченко Алексей Станиславович</t>
  </si>
  <si>
    <t>+7 (927) 281-77-19'</t>
  </si>
  <si>
    <t>53.51718,49.263673</t>
  </si>
  <si>
    <t>ОБЩЕСТВО С ОГРАНИЧЕННОЙ ОТВЕТСТВЕННОСТЬЮ «АСТРАХАНСКИЙ АВТОКЛАВНЫЙ ГАЗОБЕТОН»</t>
  </si>
  <si>
    <t>«АСТРАХАНСКИЙ АВТОКЛАВНЫЙ ГАЗОБЕТОН»</t>
  </si>
  <si>
    <t>3019029552</t>
  </si>
  <si>
    <t>414011, АСТРАХАНСКАЯ ОБЛ., Приволжский Р-Н, П. Садовый, УЛ. НОВАЯ, Д. 13</t>
  </si>
  <si>
    <t>Кочергин Алексей Николаевич</t>
  </si>
  <si>
    <t>53.515044,49.270186</t>
  </si>
  <si>
    <t>ОБЩЕСТВО С ОГРАНИЧЕННОЙ ОТВЕТСТВЕННОСТЬЮ "ДАГОГНИНСКИЙ ЗАВОД СТРОИТЕЛЬНЫХ МАТЕРИАЛОВ"</t>
  </si>
  <si>
    <t>"ДАГОГНИНСКИЙ ЗАВОД СТРОИТЕЛЬНЫХ МАТЕРИАЛОВ"</t>
  </si>
  <si>
    <t>0550007465</t>
  </si>
  <si>
    <t>368670, ДАГЕСТАН РЕСПУБЛИКА, ГОРОД ДАГЕСТАНСКИЕ ОГНИ, УЛИЦА АЛЕКСАНДРА СЕРГЕЕВИЧА ПУШКИНА, ДОМ 2 "В"</t>
  </si>
  <si>
    <t>Раджабов Сиражудин Сулейманович</t>
  </si>
  <si>
    <t>53.521195,49.273321</t>
  </si>
  <si>
    <t>ОБЩЕСТВО С ОГРАНИЧЕННОЙ ОТВЕТСТВЕННОСТЬЮ " Столица-Плюс"</t>
  </si>
  <si>
    <t>" Столица-Плюс"</t>
  </si>
  <si>
    <t>3019012164</t>
  </si>
  <si>
    <t>416450, АСТРАХАНСКАЯ ОБЛАСТЬ, С НАЧАЛОВО, УЛ. ОРДЖОНИКИДЗЕ, Д.27Б</t>
  </si>
  <si>
    <t>Абдуллаев Арслан Алыпкачевич</t>
  </si>
  <si>
    <t>+7 (903) 348-10-72'</t>
  </si>
  <si>
    <t>9710741@mail.ru'</t>
  </si>
  <si>
    <t>55.964483,49.275531</t>
  </si>
  <si>
    <t>ОБЩЕСТВО С ОГРАНИЧЕННОЙ ОТВЕТСТВЕННОСТЬЮ "СОЮЗ-ИНВЕСТ"</t>
  </si>
  <si>
    <t>"СОЮЗ-ИНВЕСТ"</t>
  </si>
  <si>
    <t>0550007786</t>
  </si>
  <si>
    <t>368670, Республика Дагестан, городской округ ГОРОД ДАГЕСТАНСКИЕ ОГНИ, Город ДАГЕСТАНСКИЕ ОГНИ, УЛ АНАТОЛИЯ ВАСИЛЬЕВИЧА ЛУНАЧАРСКОГО, Д. 2А,..</t>
  </si>
  <si>
    <t>Юзбеков Суфян Хидирбекович</t>
  </si>
  <si>
    <t>ОБЩЕСТВО С ОГРАНИЧЕННОЙ ОТВЕТСТВЕННОСТЬЮ "СЕМИРАМИДА"</t>
  </si>
  <si>
    <t>"СЕМИРАМИДА"</t>
  </si>
  <si>
    <t>0550006775</t>
  </si>
  <si>
    <t>368670, ДАГЕСТАН РЕСПУБЛИКА, Г. ДАГЕСТАНСКИЕ ОГНИ, УЛ. НИКОЛАЯ ГАВРИЛОВИЧА ЧЕРНЫШЕВСКОГО, Д. 14</t>
  </si>
  <si>
    <t>Ханмагомедов Бахрам Гасанбекович</t>
  </si>
  <si>
    <t>53.535882,49.283876</t>
  </si>
  <si>
    <t>ОБЩЕСТВО С ОГРАНИЧЕННОЙ ОТВЕТСТВЕННОСТЬЮ "ОГНИГАЗОБЛОК"</t>
  </si>
  <si>
    <t>"ОГНИГАЗОБЛОК"</t>
  </si>
  <si>
    <t>0550007458</t>
  </si>
  <si>
    <t>Эюбов Талиб Рагифович</t>
  </si>
  <si>
    <t>53.522373,49.289769</t>
  </si>
  <si>
    <t>ОБЩЕСТВО С ОГРАНИЧЕННОЙ ОТВЕТСТВЕННОСТЬЮ "ЛАНДШАФТ"</t>
  </si>
  <si>
    <t>"ЛАНДШАФТ"</t>
  </si>
  <si>
    <t>6134009408</t>
  </si>
  <si>
    <t>РОСТОВСКАЯ ОБЛ.,ТАЦИНСКИЙ Р-Н,РП ЖИРНОВ,УЛ ЛЕРМОНТОВА, 1</t>
  </si>
  <si>
    <t>Гордеева Вера Алексеевна</t>
  </si>
  <si>
    <t>53.537135,49.29241</t>
  </si>
  <si>
    <t>ОБЩЕСТВО С ОГРАНИЧЕННОЙ ОТВЕТСТВЕННОСТЬЮ "ДАЛЬАВТОТРАНС"</t>
  </si>
  <si>
    <t>"ДАЛЬАВТОТРАНС"</t>
  </si>
  <si>
    <t>2720029511</t>
  </si>
  <si>
    <t>ХАБАРОВСКИЙ КРАЙ,ХАБАРОВСКИЙ Р-Н,РП КОРФОВСКИЙ,УЛ ПРОМЫШЛЕННАЯ, Д 4</t>
  </si>
  <si>
    <t>+7 (924) 206-10-04'</t>
  </si>
  <si>
    <t>55.919044,49.303415</t>
  </si>
  <si>
    <t>ОБЩЕСТВО С ОГРАНИЧЕННОЙ ОТВЕТСТВЕННОСТЬЮ "СТРОЙИНЖИНИРИНГ"</t>
  </si>
  <si>
    <t>"СТРОЙИНЖИНИРИНГ"</t>
  </si>
  <si>
    <t>1207019602</t>
  </si>
  <si>
    <t>425225, Республика Марий Эл, Медведевский район, с Азаново, ул Октябрьская, д 20</t>
  </si>
  <si>
    <t>Таныгин Евгений Александрович</t>
  </si>
  <si>
    <t>+7 (937) 932-69-07'</t>
  </si>
  <si>
    <t>akvamaster12@mail.ru'</t>
  </si>
  <si>
    <t>ОБЩЕСТВО С ОГРАНИЧЕННОЙ ОТВЕТСТВЕННОСТЬЮ "ПРОИЗВОДСТВЕННО-СТРОИТЕЛЬНАЯ КОМПАНИЯ "СИП"</t>
  </si>
  <si>
    <t>"ПРОИЗВОДСТВЕННО-СТРОИТЕЛЬНАЯ КОМПАНИЯ "СИП"</t>
  </si>
  <si>
    <t>1207020654</t>
  </si>
  <si>
    <t>425225, МАРИЙ ЭЛ РЕСП, МЕДВЕДЕВСКИЙ Р-Н, АЗАНОВО С, ОКТЯБРЬСКАЯ УЛ, ДОМ 20</t>
  </si>
  <si>
    <t>Суворов Петр Григорьевич</t>
  </si>
  <si>
    <t>+7 (937) 932-69-07', '+7 (937) 931-50-52', '+7 (962) 588-05-30'</t>
  </si>
  <si>
    <t>ooopsksip@mail.ru'</t>
  </si>
  <si>
    <t>ОБЩЕСТВО С ОГРАНИЧЕННОЙ ОТВЕТСТВЕННОСТЬЮ "Имамат"</t>
  </si>
  <si>
    <t>"Имамат"</t>
  </si>
  <si>
    <t>0512086949</t>
  </si>
  <si>
    <t>368626, ДАГЕСТАН РЕСПУБЛИКА, РАЙОН ДЕРБЕНТСКИЙ, СЕЛО РУКЕЛЬ, УЛИЦА НИЗАМИ ГЕНЖЕВИ, ДОМ 14</t>
  </si>
  <si>
    <t>Ибрагимов Абсалам Алимарданович</t>
  </si>
  <si>
    <t>ОБЩЕСТВО С ОГРАНИЧЕННОЙ ОТВЕТСТВЕННОСТЬЮ ПРОИЗВОДСТВЕННО - ТОРГОВАЯ КОМПАНИЯ "БЕТОНИКА"</t>
  </si>
  <si>
    <t>ПРОИЗВОДСТВЕННО - ТОРГОВАЯ КОМПАНИЯ "БЕТОНИКА"</t>
  </si>
  <si>
    <t>1658156520</t>
  </si>
  <si>
    <t>РЕСПУБЛИКА ТАТАРСТАН (ТАТАРСТАН),Г БУИНСК,УЛ СОВЕТСКАЯ Д 26</t>
  </si>
  <si>
    <t>Шайдуллин Ринат Риадович</t>
  </si>
  <si>
    <t>53.551041,49.312074</t>
  </si>
  <si>
    <t>ОБЩЕСТВО С ОГРАНИЧЕННОЙ ОТВЕТСТВЕННОСТЬЮ "СТРОЙСТАНДАРТ"</t>
  </si>
  <si>
    <t>"СТРОЙСТАНДАРТ"</t>
  </si>
  <si>
    <t>7327007670</t>
  </si>
  <si>
    <t>432018, УЛЬЯНОВСКАЯ ОБЛАСТЬ, Г. УЛЬЯНОВСК, УЛ. ХВАТКОВА, Д. 16 Б, ПОМЕЩ. 7</t>
  </si>
  <si>
    <t>Бровкин Борис Владимирович</t>
  </si>
  <si>
    <t>+7 (927) 811-00-65'</t>
  </si>
  <si>
    <t>standart73@yandex.ru'</t>
  </si>
  <si>
    <t>ОБЩЕСТВО С ОГРАНИЧЕННОЙ ОТВЕТСТВЕННОСТЬЮ "ЖБИ "СТРОЙСТАНДАРТ"</t>
  </si>
  <si>
    <t>"ЖБИ "СТРОЙСТАНДАРТ"</t>
  </si>
  <si>
    <t>7327096110</t>
  </si>
  <si>
    <t>432018, УЛЬЯНОВСКАЯ ОБЛАСТЬ, ГОРОД УЛЬЯНОВСК, УЛИЦА ХВАТКОВА, ДОМ 16Б, ПОМЕЩЕНИЕ 7</t>
  </si>
  <si>
    <t>55.936832,49.313116</t>
  </si>
  <si>
    <t>ОБЩЕСТВО С ОГРАНИЧЕННОЙ ОТВЕТСТВЕННОСТЬЮ "КРЕАТИВ ЛАЙН"</t>
  </si>
  <si>
    <t>"КРЕАТИВ ЛАЙН"</t>
  </si>
  <si>
    <t>7327094320</t>
  </si>
  <si>
    <t>432018, УЛЬЯНОВСКАЯ ОБЛАСТЬ, ГОРОД УЛЬЯНОВСК, УЛИЦА ХВАТКОВА, ДОМ 16, ОФИС 1</t>
  </si>
  <si>
    <t>Лагунов Леонид Геннадьевич</t>
  </si>
  <si>
    <t>53.521955,49.318964</t>
  </si>
  <si>
    <t>7327085220</t>
  </si>
  <si>
    <t>432045, УЛЬЯНОВСКАЯ ОБЛАСТЬ, Г. УЛЬЯНОВСК, Ш. МОСКОВСКОЕ, ЗД 24, ЛИТЕРА А2, ЭТАЖ 1</t>
  </si>
  <si>
    <t>Ушмаров Никита Владимирович</t>
  </si>
  <si>
    <t>+7 (927) 270-01-33'</t>
  </si>
  <si>
    <t>53.559193,49.324543</t>
  </si>
  <si>
    <t>ОБЩЕСТВО С ОГРАНИЧЕННОЙ ОТВЕТСТВЕННОСТЬЮ "УЛЬЯНОВСКИЙ БЕТОННЫЙ ЗАВОД"</t>
  </si>
  <si>
    <t>"УЛЬЯНОВСКИЙ БЕТОННЫЙ ЗАВОД"</t>
  </si>
  <si>
    <t>7327007800</t>
  </si>
  <si>
    <t>http://betonulyanovsk.ru</t>
  </si>
  <si>
    <t>432045, УЛЬЯНОВСКАЯ ОБЛАСТЬ, Г. УЛЬЯНОВСК, Ш. МОСКОВСКОЕ, Д. 3, ОФИС 327</t>
  </si>
  <si>
    <t>Заббаров Руслан Рафаильевич</t>
  </si>
  <si>
    <t>+7 (951) 099-16-30'</t>
  </si>
  <si>
    <t>ubz73@mail.ru'</t>
  </si>
  <si>
    <t>53.546397,49.345896</t>
  </si>
  <si>
    <t>ОБЩЕСТВО С ОГРАНИЧЕННОЙ ОТВЕТСТВЕННОСТЬЮ "РИК"</t>
  </si>
  <si>
    <t>"РИК"</t>
  </si>
  <si>
    <t>7327077935</t>
  </si>
  <si>
    <t>Феклин Константин Викторович</t>
  </si>
  <si>
    <t>+7 (951) 099-32-32'</t>
  </si>
  <si>
    <t>53.535716,49.354035</t>
  </si>
  <si>
    <t>ОБЩЕСТВО С ОГРАНИЧЕННОЙ ОТВЕТСТВЕННОСТЬЮ "ТОРГОВЫЙ ДОМ КПД-1"</t>
  </si>
  <si>
    <t>"КПД-1"</t>
  </si>
  <si>
    <t>7327068218</t>
  </si>
  <si>
    <t>432034, УЛЬЯНОВСКАЯ ОБЛАСТЬ, ГОРОД УЛЬЯНОВСК, ШОССЕ МОСКОВСКОЕ, 26</t>
  </si>
  <si>
    <t>Саховский Андрей Владимирович</t>
  </si>
  <si>
    <t>kpd1@mv.ru'</t>
  </si>
  <si>
    <t>53.572776,49.396516</t>
  </si>
  <si>
    <t>ОБЩЕСТВО С ОГРАНИЧЕННОЙ ОТВЕТСТВЕННОСТЬЮ "ОПТ-СТГ"</t>
  </si>
  <si>
    <t>"ОПТ-СТГ"</t>
  </si>
  <si>
    <t>7313008106</t>
  </si>
  <si>
    <t>432045, Ульяновская область, городской округ ГОРОД УЛЬЯНОВСК, Город УЛЬЯНОВСК, УЛ ПРОМЫШЛЕННАЯ, Д. 2А, ОФИС 304</t>
  </si>
  <si>
    <t>Никонов Максим Андреевич</t>
  </si>
  <si>
    <t>+7 (937) 272-76-62'</t>
  </si>
  <si>
    <t>classica@mail.ri', 'classica@mail.ru'</t>
  </si>
  <si>
    <t>ОБЩЕСТВО С ОГРАНИЧЕННОЙ ОТВЕТСТВЕННОСТЬЮ "ВИБРОЛИТ"</t>
  </si>
  <si>
    <t>"ВИБРОЛИТ"</t>
  </si>
  <si>
    <t>7327097385</t>
  </si>
  <si>
    <t>432045, Ульяновская область, городской округ ГОРОД УЛЬЯНОВСК, Город УЛЬЯНОВСК, УЛ ПРОМЫШЛЕННАЯ, Д. 2А, ОФИС 420</t>
  </si>
  <si>
    <t>Гурьянов Денис Владимирович</t>
  </si>
  <si>
    <t>53.569177,49.397019</t>
  </si>
  <si>
    <t>ОБЩЕСТВО С ОГРАНИЧЕННОЙ ОТВЕТСТВЕННОСТЬЮ "СПЕЦВОЛГАБЕТОН"</t>
  </si>
  <si>
    <t>"СПЕЦВОЛГАБЕТОН"</t>
  </si>
  <si>
    <t>7321014992</t>
  </si>
  <si>
    <t>432045, Ульяновская область, городской округ ГОРОД УЛЬЯНОВСК, Город УЛЬЯНОВСК, Ш МОСКОВСКОЕ, Д. 38, ПОМЕЩ. 9</t>
  </si>
  <si>
    <t>Сыромятников Сергей Николаевич</t>
  </si>
  <si>
    <t>53.528497,49.398645</t>
  </si>
  <si>
    <t>ОБЩЕСТВО С ОГРАНИЧЕННОЙ ОТВЕТСТВЕННОСТЬЮ "Как в сказке"</t>
  </si>
  <si>
    <t>"Как в сказке"</t>
  </si>
  <si>
    <t>7327059630</t>
  </si>
  <si>
    <t>432073, УЛЬЯНОВСКАЯ ОБЛАСТЬ, ГОРОД УЛЬЯНОВСК, УЛИЦА РЯБИКОВА, ДОМ 77/48,..</t>
  </si>
  <si>
    <t>Загидуллин Айдар Радикович</t>
  </si>
  <si>
    <t>+7 (905) 349-26-75'</t>
  </si>
  <si>
    <t>53.540474,49.40046</t>
  </si>
  <si>
    <t>7327097995</t>
  </si>
  <si>
    <t>432045, УЛЬЯНОВСКАЯ ОБЛ., Г. Ульяновск, Ш. МОСКОВСКОЕ, Д. 64Б, ПОМЕЩ. 2</t>
  </si>
  <si>
    <t>Шагвалеев Марат Закирзянович</t>
  </si>
  <si>
    <t>STROIKOMPLEKT73@GMAIL.COM'</t>
  </si>
  <si>
    <t>53.512104,49.41848</t>
  </si>
  <si>
    <t>7327095910</t>
  </si>
  <si>
    <t>432045, УЛЬЯНОВСКАЯ ОБЛАСТЬ, ГОРОД УЛЬЯНОВСК, ШОССЕ МОСКОВСКОЕ, ДОМ 64А, ОФИС 100</t>
  </si>
  <si>
    <t>Татаренко Ольга Григорьевна</t>
  </si>
  <si>
    <t>53.507852,49.420411</t>
  </si>
  <si>
    <t>ОБЩЕСТВО С ОГРАНИЧЕННОЙ ОТВЕТСТВЕННОСТЬЮ "ФАРАДЕЙ"</t>
  </si>
  <si>
    <t>"ФАРАДЕЙ"</t>
  </si>
  <si>
    <t>7321008131</t>
  </si>
  <si>
    <t>432035, УЛЬЯНОВСКАЯ ОБЛАСТЬ, ГОРОД УЛЬЯНОВСК, ПРОЕЗД ОБУВЩИКОВ, ДОМ 8, ОФИС 2</t>
  </si>
  <si>
    <t>Куприянов Денис Александрович</t>
  </si>
  <si>
    <t>73@mail.ru'</t>
  </si>
  <si>
    <t>53.684266,49.424552</t>
  </si>
  <si>
    <t>ОБЩЕСТВО С ОГРАНИЧЕННОЙ ОТВЕТСТВЕННОСТЬЮ "ЖБИ № 3"</t>
  </si>
  <si>
    <t>"ЖБИ № 3"</t>
  </si>
  <si>
    <t>7321014872</t>
  </si>
  <si>
    <t>432035, Ульяновская область, городской округ ГОРОД УЛЬЯНОВСК, Город УЛЬЯНОВСК, ПР-КТ ГАЯ, Д. 69Л, ПОМЕЩ. 7</t>
  </si>
  <si>
    <t>Гузь Алексей Юрьевич</t>
  </si>
  <si>
    <t>53.522903,49.426439</t>
  </si>
  <si>
    <t>ОБЩЕСТВО С ОГРАНИЧЕННОЙ ОТВЕТСТВЕННОСТЬЮ "ЖБИ СТРОЙ"</t>
  </si>
  <si>
    <t>"ЖБИ СТРОЙ"</t>
  </si>
  <si>
    <t>7327087210</t>
  </si>
  <si>
    <t>432008, УЛЬЯНОВСКАЯ ОБЛАСТЬ, Г. УЛЬЯНОВСК, Ш. МОСКОВСКОЕ, Д. 86А, ОФИС 112(4)</t>
  </si>
  <si>
    <t>Тихонов Александр Григорьевич</t>
  </si>
  <si>
    <t>avstroy@mail.ru', 'avstrou@mail.ru'</t>
  </si>
  <si>
    <t>53.518802,49.430311</t>
  </si>
  <si>
    <t>ОБЩЕСТВО С ОГРАНИЧЕННОЙ ОТВЕТСТВЕННОСТЬЮ "КОРА"</t>
  </si>
  <si>
    <t>"КОРА"</t>
  </si>
  <si>
    <t>1200003018</t>
  </si>
  <si>
    <t>425001, МАРИЙ ЭЛ РЕСП., Г. Волжск, УЛ. МОЛОДЕЖНАЯ, Д. 1, ОФИС 312</t>
  </si>
  <si>
    <t>Морсков Константин Алексеевич</t>
  </si>
  <si>
    <t>GBI@MAIL.RU'</t>
  </si>
  <si>
    <t>52.984398,49.433212</t>
  </si>
  <si>
    <t>1216024863</t>
  </si>
  <si>
    <t>425000, Республика Марий Эл, г Волжск, ул Молодежная, дом 1А</t>
  </si>
  <si>
    <t>Глушков Александр Юрьевич</t>
  </si>
  <si>
    <t>+7 (960) 045-03-47'</t>
  </si>
  <si>
    <t>vnib@mail.ru', 'chonah@rambler.ru'</t>
  </si>
  <si>
    <t>53.566151,49.456083</t>
  </si>
  <si>
    <t>ОБЩЕСТВО С ОГРАНИЧЕННОЙ ОТВЕТСТВЕННОСТЬЮ "ЧОНАШ"</t>
  </si>
  <si>
    <t>"ЧОНАШ"</t>
  </si>
  <si>
    <t>1216016037</t>
  </si>
  <si>
    <t>425000, МАРИЙ ЭЛ РЕСПУБЛИКА, ГОРОД ВОЛЖСК, УЛИЦА СТРОИТЕЛЬНАЯ, 19</t>
  </si>
  <si>
    <t>53.533228,49.461859</t>
  </si>
  <si>
    <t>ОБЩЕСТВО С ОГРАНИЧЕННОЙ ОТВЕТСТВЕННОСТЬЮ "БЛОК-ПОСТ73"</t>
  </si>
  <si>
    <t>"БЛОК-ПОСТ73"</t>
  </si>
  <si>
    <t>7321319602</t>
  </si>
  <si>
    <t>433300, УЛЬЯНОВСКАЯ ОБЛАСТЬ, Г. НОВОУЛЬЯНОВСК, ПР-Д ПРОМЫШЛЕННЫЙ, Д.5, К.58</t>
  </si>
  <si>
    <t>Косицкий Сергей Николаевич</t>
  </si>
  <si>
    <t>+7 (909) 359-35-67'</t>
  </si>
  <si>
    <t>profbuh73@mail.ru'</t>
  </si>
  <si>
    <t>ОБЩЕСТВО С ОГРАНИЧЕННОЙ ОТВЕТСТВЕННОСТЬЮ "КОМПАНИЯ ДЕНТАЛ-С"</t>
  </si>
  <si>
    <t>"КОМПАНИЯ ДЕНТАЛ-С"</t>
  </si>
  <si>
    <t>1216012850</t>
  </si>
  <si>
    <t>РЕСПУБЛИКА МАРИЙ ЭЛ,Г ВОЛЖСК,УЛ ЛЕНИНА, Д 60А</t>
  </si>
  <si>
    <t>Симонов Константин Евгеньевич</t>
  </si>
  <si>
    <t>53.367508,49.467088</t>
  </si>
  <si>
    <t>ОБЩЕСТВО С ОГРАНИЧЕННОЙ ОТВЕТСТВЕННОСТЬЮ "РБК"</t>
  </si>
  <si>
    <t>"РБК"</t>
  </si>
  <si>
    <t>7325156123</t>
  </si>
  <si>
    <t>432071, УЛЬЯНОВСКАЯ ОБЛАСТЬ, Г. УЛЬЯНОВСК, УЛ. ЭНТУЗИАСТОВ, Д. 9, ОФИС 3</t>
  </si>
  <si>
    <t>Казеев Николай Андреевич</t>
  </si>
  <si>
    <t>+7 (908) 479-77-65'</t>
  </si>
  <si>
    <t>53.484942,49.468453</t>
  </si>
  <si>
    <t>ОБЩЕСТВО С ОГРАНИЧЕННОЙ ОТВЕТСТВЕННОСТЬЮ "ВОЛЖСКИЙ БЕТОН"</t>
  </si>
  <si>
    <t>"ВОЛЖСКИЙ БЕТОН"</t>
  </si>
  <si>
    <t>1224006480</t>
  </si>
  <si>
    <t>425000, МАРИЙ ЭЛ РЕСПУБЛИКА, ГОРОД ВОЛЖСК, УЛИЦА ВОКЗАЛЬНАЯ, ДОМ 1Б, ПОМЕЩЕНИЕ 1 СТРОЕНИЕ ЛИТЕР К</t>
  </si>
  <si>
    <t>+7 (836) 316-25-20'</t>
  </si>
  <si>
    <t>konsaud@bk.ru'</t>
  </si>
  <si>
    <t>56.768931,49.472495</t>
  </si>
  <si>
    <t>ОБЩЕСТВО С ОГРАНИЧЕННОЙ ОТВЕТСТВЕННОСТЬЮ "ДЕККАМ 73"</t>
  </si>
  <si>
    <t>"ДЕККАМ 73"</t>
  </si>
  <si>
    <t>7300000646</t>
  </si>
  <si>
    <t>432030, УЛЬЯНОВСКАЯ ОБЛ., Г. Ульяновск, УЛ. ОРДЖОНИКИДЗЕ, Д. 4,..</t>
  </si>
  <si>
    <t>Фильченков Антон Андреевич</t>
  </si>
  <si>
    <t>53.560669,49.473061</t>
  </si>
  <si>
    <t>ОБЩЕСТВО С ОГРАНИЧЕННОЙ ОТВЕТСТВЕННОСТЬЮ ВОЛЖСКАЯ СТРОИТЕЛЬНАЯ КОМПАНИЯ "ВОЛГА"</t>
  </si>
  <si>
    <t>ВОЛЖСКАЯ СТРОИТЕЛЬНАЯ КОМПАНИЯ "ВОЛГА"</t>
  </si>
  <si>
    <t>1224007149</t>
  </si>
  <si>
    <t>425000, МАРИЙ ЭЛ РЕСПУБЛИКА, Г. ВОЛЖСК, УЛ. МАТЮШЕНКО, Д. 4А, ОФИС 110</t>
  </si>
  <si>
    <t>Труков Александр Леонидович</t>
  </si>
  <si>
    <t>53.524016,49.473286</t>
  </si>
  <si>
    <t>ОБЩЕСТВО С ОГРАНИЧЕННОЙ ОТВЕТСТВЕННОСТЬЮ "УЛВИБ"</t>
  </si>
  <si>
    <t>"УЛВИБ"</t>
  </si>
  <si>
    <t>7325139167</t>
  </si>
  <si>
    <t>432030, УЛЬЯНОВСКАЯ ОБЛАСТЬ, Г. УЛЬЯНОВСК, УЛ. УЮТНАЯ, Д. 14</t>
  </si>
  <si>
    <t>Тимошкин Владимир Владимирович</t>
  </si>
  <si>
    <t>+7 (937) 275-65-92'</t>
  </si>
  <si>
    <t>53.384993,49.480733</t>
  </si>
  <si>
    <t>ОБЩЕСТВО С ОГРАНИЧЕННОЙ ОТВЕТСТВЕННОСТЬЮ "ГАЗЭКОНОМСТРОЙ"</t>
  </si>
  <si>
    <t>"ГАЗЭКОНОМСТРОЙ"</t>
  </si>
  <si>
    <t>7325065003</t>
  </si>
  <si>
    <t>Г УЛЬЯНОВСК,УЛ КАЗАНСКАЯ, Д 1А</t>
  </si>
  <si>
    <t>Пчелкин Владимир Александрович</t>
  </si>
  <si>
    <t>53.481904,49.491082</t>
  </si>
  <si>
    <t>ОБЩЕСТВО С ОГРАНИЧЕННОЙ ОТВЕТСТВЕННОСТЬЮ "МОНОЛИТ СЫЗРАНЬ - БЕТОН"</t>
  </si>
  <si>
    <t>"МОНОЛИТ СЫЗРАНЬ - БЕТОН"</t>
  </si>
  <si>
    <t>6325076194</t>
  </si>
  <si>
    <t>63-Самарская область</t>
  </si>
  <si>
    <t>446012, САМАРСКАЯ ОБЛАСТЬ, ГОРОД СЫЗРАНЬ, УЛИЦА ХВАЛЫНСКАЯ, ДОМ 95</t>
  </si>
  <si>
    <t>Котанджян Эдгар Егорович</t>
  </si>
  <si>
    <t>aleynik@mail.ru'</t>
  </si>
  <si>
    <t>ОБЩЕСТВО С ОГРАНИЧЕННОЙ ОТВЕТСТВЕННОСТЬЮ "УЛЬЯНОВСКИЙ АСФАЛЬТОБЕТОННЫЙ ЗАВОД"</t>
  </si>
  <si>
    <t>"УЛЬЯНОВСКИЙ АСФАЛЬТОБЕТОННЫЙ ЗАВОД"</t>
  </si>
  <si>
    <t>7325132066</t>
  </si>
  <si>
    <t>432000, УЛЬЯНОВСКАЯ ОБЛАСТЬ, Г. УЛЬЯНОВСК, ПЕР. КОМСОМОЛЬСКИЙ, Д.15</t>
  </si>
  <si>
    <t>Макаров Кирилл Андреевич</t>
  </si>
  <si>
    <t>+7 (951) 095-47-29', '+7 (937) 277-98-58', '+7 (960) 372-25-54'</t>
  </si>
  <si>
    <t>ooouabz@mail.ru'</t>
  </si>
  <si>
    <t>58.555567,49.511842</t>
  </si>
  <si>
    <t>ОБЩЕСТВО С ОГРАНИЧЕННОЙ ОТВЕТСТВЕННОСТЬЮ "ТОРГОВАЯ ФИРМА КАМЕЛОТ"</t>
  </si>
  <si>
    <t>"ТОРГОВАЯ ФИРМА КАМЕЛОТ"</t>
  </si>
  <si>
    <t>7328046305</t>
  </si>
  <si>
    <t>Г УЛЬЯНОВСК,УЛ ОСТРОВСКОГО, Д 19..</t>
  </si>
  <si>
    <t xml:space="preserve"> Директор Татаренко Ольга Григорьевна</t>
  </si>
  <si>
    <t>+7 (951) 097-65-64'</t>
  </si>
  <si>
    <t>53.541993,49.51769</t>
  </si>
  <si>
    <t>ОБЩЕСТВО С ОГРАНИЧЕННОЙ ОТВЕТСТВЕННОСТЬЮ "АРИАДА"</t>
  </si>
  <si>
    <t>"АРИАДА"</t>
  </si>
  <si>
    <t>7325155426</t>
  </si>
  <si>
    <t>432027, УЛЬЯНОВСКАЯ ОБЛ, УЛЬЯНОВСК Г, СЕВЕРНЫЙ ВЕНЕЦ УЛ, ДОМ 28,..</t>
  </si>
  <si>
    <t>Алякин Юрий Борисович</t>
  </si>
  <si>
    <t>+7 (903) 320-40-96'</t>
  </si>
  <si>
    <t>53.406267,49.527338</t>
  </si>
  <si>
    <t>АКЦИОНЕРНОЕ ОБЩЕСТВО "ХАБАРОВСК АВТОМОСТ"</t>
  </si>
  <si>
    <t>"ХАБАРОВСК АВТОМОСТ"</t>
  </si>
  <si>
    <t>2723907563</t>
  </si>
  <si>
    <t>Г ХАБАРОВСК,УЛ СИДОРЕНКО, 1 А</t>
  </si>
  <si>
    <t>Левин Дмитрий Владимирович</t>
  </si>
  <si>
    <t>habavt_plan@mail.ru', 'mostzao@mail.ru'</t>
  </si>
  <si>
    <t>53.462577,49.548646</t>
  </si>
  <si>
    <t>ОБЩЕСТВО С ОГРАНИЧЕННОЙ ОТВЕТСТВЕННОСТЬЮ "СТРОЙДИАЛОГ"</t>
  </si>
  <si>
    <t>"СТРОЙДИАЛОГ"</t>
  </si>
  <si>
    <t>7327031056</t>
  </si>
  <si>
    <t>Г УЛЬЯНОВСК,УЛ МОСКОВСКОЕ ШОССЕ, Д 22А</t>
  </si>
  <si>
    <t>Батюшкин Константин Вячеславович</t>
  </si>
  <si>
    <t>+7 (951) 096-85-75'</t>
  </si>
  <si>
    <t>53.463724,49.550029</t>
  </si>
  <si>
    <t>ОБЩЕСТВО С ОГРАНИЧЕННОЙ ОТВЕТСТВЕННОСТЬЮ "ЗАВОД ЖЕЛЕЗОБЕТОННЫХ КОНСТРУКЦИЙ"</t>
  </si>
  <si>
    <t>7328506288</t>
  </si>
  <si>
    <t>Г УЛЬЯНОВСК,УЛ МОСКОВСКОЕ ШОССЕ, Д 44</t>
  </si>
  <si>
    <t>Калмыков Александр Иванович</t>
  </si>
  <si>
    <t>АКЦИОНЕРНОЕ ОБЩЕСТВО "ЖЕЛЕЗОБЕТОН-5"</t>
  </si>
  <si>
    <t>"ЖЕЛЕЗОБЕТОН-5"</t>
  </si>
  <si>
    <t>2724006226</t>
  </si>
  <si>
    <t>http://gbi-5.ru</t>
  </si>
  <si>
    <t>Г ХАБАРОВСК,УЛ ЦЕЛИННАЯ, Д 2 В</t>
  </si>
  <si>
    <t>Фан Виталий Субогиевич</t>
  </si>
  <si>
    <t>gbi5@mail.ru'</t>
  </si>
  <si>
    <t>54.230469,49.557234</t>
  </si>
  <si>
    <t>ОБЩЕСТВО С ОГРАНИЧЕННОЙ ОТВЕТСТВЕННОСТЬЮ  "ХАБАРОВСКАЯ ПРОИЗВОДСТВЕННАЯ КОМПАНИЯ"</t>
  </si>
  <si>
    <t xml:space="preserve"> "ХАБАРОВСКАЯ ПРОИЗВОДСТВЕННАЯ КОМПАНИЯ"</t>
  </si>
  <si>
    <t>2723182691</t>
  </si>
  <si>
    <t>Г ХАБАРОВСК,УЛ ИНДУСТРИАЛЬНАЯ, 4 А, ОФИС 10</t>
  </si>
  <si>
    <t>Лачугин Дмитрий Владимирович</t>
  </si>
  <si>
    <t>+7 (914) 548-10-46'</t>
  </si>
  <si>
    <t>54.190014,49.564546</t>
  </si>
  <si>
    <t>ОБЩЕСТВО С ОГРАНИЧЕННОЙ ОТВЕТСТВЕННОСТЬЮ "ТОРГОВЫЙ ДОМ "СТРОЙДЕТАЛЬ"</t>
  </si>
  <si>
    <t>""СТРОЙДЕТАЛЬ"</t>
  </si>
  <si>
    <t>2724076600</t>
  </si>
  <si>
    <t>Г ХАБАРОВСК,УЛ ПРОМЫВОЧНАЯ, Д 1 А</t>
  </si>
  <si>
    <t>Кручинина Екатерина Васильевна</t>
  </si>
  <si>
    <t>56.015103,49.566441</t>
  </si>
  <si>
    <t>ОБЩЕСТВО С ОГРАНИЧЕННОЙ ОТВЕТСТВЕННОСТЬЮ "ТЕХНО-СТРОЙ"</t>
  </si>
  <si>
    <t>"ТЕХНО-СТРОЙ"</t>
  </si>
  <si>
    <t>6325065731</t>
  </si>
  <si>
    <t>446001, САМАРСКАЯ ОБЛАСТЬ, Г. СЫЗРАНЬ, УЛ. СТЕПАНА РАЗИНА, Д. 30,..</t>
  </si>
  <si>
    <t>Андреев Алексей Федорович</t>
  </si>
  <si>
    <t>53.592437,49.579745</t>
  </si>
  <si>
    <t>ОБЩЕСТВО С ОГРАНИЧЕННОЙ ОТВЕТСТВЕННОСТЬЮ "САИБЛОК"</t>
  </si>
  <si>
    <t>"САИБЛОК"</t>
  </si>
  <si>
    <t>2724191917</t>
  </si>
  <si>
    <t>Г ХАБАРОВСК,УЛ КОМСОМОЛЬСКАЯ, Д 28, ОФИС 4</t>
  </si>
  <si>
    <t>Залстер Елена Юрьевна</t>
  </si>
  <si>
    <t>+7 (914) 770-21-78'</t>
  </si>
  <si>
    <t>54.216052,49.590947</t>
  </si>
  <si>
    <t>ОБЩЕСТВО С ОГРАНИЧЕННОЙ ОТВЕТСТВЕННОСТЬЮ "БЕЛЫЙ КАМЕНЬ-ДВ"</t>
  </si>
  <si>
    <t>"БЕЛЫЙ КАМЕНЬ-ДВ"</t>
  </si>
  <si>
    <t>2724195735</t>
  </si>
  <si>
    <t>Г ХАБАРОВСК,УЛ КАЛИНИНА,10..</t>
  </si>
  <si>
    <t>Лутай Мария Игоревна</t>
  </si>
  <si>
    <t>+7 (924) 107-38-27'</t>
  </si>
  <si>
    <t>54.252531,49.592241</t>
  </si>
  <si>
    <t>ОБЩЕСТВО С ОГРАНИЧЕННОЙ ОТВЕТСТВЕННОСТЬЮ "ВОЗРОЖДЕНИЕ - М"</t>
  </si>
  <si>
    <t>"ВОЗРОЖДЕНИЕ - М"</t>
  </si>
  <si>
    <t>3448019472</t>
  </si>
  <si>
    <t>Г ВОЛГОГРАД,УЛ ДОВЖЕНКО,34</t>
  </si>
  <si>
    <t>Бондаренко Анатолий Пантелеевич</t>
  </si>
  <si>
    <t>АКЦИОНЕРНОЕ ОБЩЕСТВО "ПРОМСТРОЙКОНСТРУКЦИЯ"</t>
  </si>
  <si>
    <t>"ПРОМСТРОЙКОНСТРУКЦИЯ"</t>
  </si>
  <si>
    <t>3448009820</t>
  </si>
  <si>
    <t>Г ВОЛГОГРАД,УЛ 40 ЛЕТ ВЛКСМ,76</t>
  </si>
  <si>
    <t>VOLGOGRAD@MAIL.RU', 'feo@mail.ru', '3448009820_344801001@eo.tensor', 'AOPSK@MAIL.RU'</t>
  </si>
  <si>
    <t>58.589086,49.594424</t>
  </si>
  <si>
    <t>ОБЩЕСТВО С ОГРАНИЧЕННОЙ ОТВЕТСТВЕННОСТЬЮ "ПРОМСТРОЙКОНСТРУКЦИЯ"</t>
  </si>
  <si>
    <t>3448036809</t>
  </si>
  <si>
    <t>Ковалева Елена Борисовна</t>
  </si>
  <si>
    <t>58.643218,49.606147</t>
  </si>
  <si>
    <t>ОБЩЕСТВО С ОГРАНИЧЕННОЙ ОТВЕТСТВЕННОСТЬЮ "ЗЕЛЕНОДОЛЬСКИЙ ЗАВОД СИЛИКАТНОГО КИРПИЧА"</t>
  </si>
  <si>
    <t>"ЗЕЛЕНОДОЛЬСКИЙ ЗАВОД СИЛИКАТНОГО КИРПИЧА"</t>
  </si>
  <si>
    <t>1648041231</t>
  </si>
  <si>
    <t>422550, ТАТАРСТАН РЕСПУБЛИКА, РАЙОН ЗЕЛЕНОДОЛЬСКИЙ, ГОРОД ЗЕЛЕНОДОЛЬСК, УЛИЦА ШУСТОВА, ДОМ 4А, ОФИС 16</t>
  </si>
  <si>
    <t>Шутко Никита Витальевич</t>
  </si>
  <si>
    <t>58.582524,49.607458</t>
  </si>
  <si>
    <t>ОБЩЕСТВО С ОГРАНИЧЕННОЙ ОТВЕТСТВЕННОСТЬЮ "ЗАВОД ЖЕЛЕЗОБЕТОННЫХ СБОРНЫХ КОНСТРУКЦИЙ"</t>
  </si>
  <si>
    <t>"ЗАВОД ЖЕЛЕЗОБЕТОННЫХ СБОРНЫХ КОНСТРУКЦИЙ"</t>
  </si>
  <si>
    <t>2312246589</t>
  </si>
  <si>
    <t>Г ВОЛГОГРАД,УЛ ПЯТИМОРСКАЯ,35</t>
  </si>
  <si>
    <t>Степаненко Юрий Николаевич</t>
  </si>
  <si>
    <t>+7 (961) 535-66-66'</t>
  </si>
  <si>
    <t>58.579156,49.607665</t>
  </si>
  <si>
    <t>ОБЩЕСТВО С ОГРАНИЧЕННОЙ ОТВЕТСТВЕННОСТЬЮ "АКТИВА ГРУПП"</t>
  </si>
  <si>
    <t>"АКТИВА ГРУПП"</t>
  </si>
  <si>
    <t>1648051744</t>
  </si>
  <si>
    <t>422550, ТАТАРСТАН РЕСПУБЛИКА, ЗЕЛЕНОДОЛЬСКИЙ РАЙОН, ГОРОД ЗЕЛЕНОДОЛЬСК, УЛИЦА ГОГОЛЯ, ДОМ 39,..</t>
  </si>
  <si>
    <t>Прокопенков Леонид Игоревич</t>
  </si>
  <si>
    <t>58.574689,49.609156</t>
  </si>
  <si>
    <t>ОБЩЕСТВО С ОГРАНИЧЕННОЙ ОТВЕТСТВЕННОСТЬЮ "ПОИСК"</t>
  </si>
  <si>
    <t>"ПОИСК"</t>
  </si>
  <si>
    <t>2723000060</t>
  </si>
  <si>
    <t>Г ХАБАРОВСК,УЛ ТРЕХГОРНАЯ, ДОМ 59, ОФИС 2</t>
  </si>
  <si>
    <t>Ванюков Владимир Павлович</t>
  </si>
  <si>
    <t>58.64319,49.624014</t>
  </si>
  <si>
    <t>ОБЩЕСТВО С ОГРАНИЧЕННОЙ ОТВЕТСТВЕННОСТЬЮ "М-СТРОЙ"</t>
  </si>
  <si>
    <t>"М-СТРОЙ"</t>
  </si>
  <si>
    <t>7328100175</t>
  </si>
  <si>
    <t>432057, УЛЬЯНОВСКАЯ ОБЛАСТЬ, Г. УЛЬЯНОВСК, УЛ. ВРАЧА МИХАЙЛОВА, Д. 36,..</t>
  </si>
  <si>
    <t>Хамдеева Сирине Небиулловна</t>
  </si>
  <si>
    <t>58.632009,49.630841</t>
  </si>
  <si>
    <t>ОБЩЕСТВО С ОГРАНИЧЕННОЙ ОТВЕТСТВЕННОСТЬЮ "СТРОИТЕЛЬНО-МОНТАЖНАЯ КОМПАНИЯ"</t>
  </si>
  <si>
    <t>"СТРОИТЕЛЬНО-МОНТАЖНАЯ КОМПАНИЯ"</t>
  </si>
  <si>
    <t>1660341778</t>
  </si>
  <si>
    <t>422500, Республика Татарстан (Татарстан), муниципальный район ЗЕЛЕНОДОЛЬСКИЙ, Село МИЗИНОВО, Муниципальный район ПОСЕЛОК ГОРОДСКОГО ТИПА НИЖНИЕ ВЯЗОВЫЕ, УЛ ШКОЛЬНАЯ, Д. 32, ЭТАЖ 2</t>
  </si>
  <si>
    <t>Швецов Владимир Владимирович</t>
  </si>
  <si>
    <t>58.588655,49.634875</t>
  </si>
  <si>
    <t>ОБЩЕСТВО С ОГРАНИЧЕННОЙ ОТВЕТСТВЕННОСТЬЮ "ВЫБОР-ПОВОЛЖЬЕ"</t>
  </si>
  <si>
    <t>"ВЫБОР-ПОВОЛЖЬЕ"</t>
  </si>
  <si>
    <t>1648052748</t>
  </si>
  <si>
    <t>422545, ТАТАРСТАН РЕСПУБЛИКА, Р-Н ЗЕЛЕНОДОЛЬСКИЙ, Г. ЗЕЛЕНОДОЛЬСК, УЛ. КОРОЛЕВА, ЗД 26А, ОФИС 22</t>
  </si>
  <si>
    <t>Новиков Артем Борисович</t>
  </si>
  <si>
    <t>6325049602</t>
  </si>
  <si>
    <t>446014, САМАРСКАЯ ОБЛ, СЫЗРАНЬ Г, НЕФТЕБАЗНАЯ УЛ, 15</t>
  </si>
  <si>
    <t>Зотов Дмитрий Александрович</t>
  </si>
  <si>
    <t>58.616673,49.635845</t>
  </si>
  <si>
    <t>ОБЩЕСТВО С ОГРАНИЧЕННОЙ ОТВЕТСТВЕННОСТЬЮ "РОТОР"</t>
  </si>
  <si>
    <t>"РОТОР"</t>
  </si>
  <si>
    <t>3447017708</t>
  </si>
  <si>
    <t>Г ВОЛГОГРАД,ПР ХИМЗАВОДСКОЙ,21</t>
  </si>
  <si>
    <t>Головина Марина Владимировна</t>
  </si>
  <si>
    <t>58.612526,49.636609</t>
  </si>
  <si>
    <t>НЕПУБЛИЧНОЕ АКЦИОНЕРНОЕ ОБЩЕСТВО "ХАБАРОВСКИЙ ЗАВОД ЖЕЛЕЗОБЕТОННЫХ ИЗДЕЛИЙ № 4 ИМЕНИ ВИТАЛИЯ ИГНАТЬЕВИЧА КОНОВАЛОВА"</t>
  </si>
  <si>
    <t>НЕПУБЛИЧНОЕ "ХАБАРОВСКИЙ ЗАВОД ЖЕЛЕЗОБЕТОННЫХ ИЗДЕЛИЙ № 4 ИМЕНИ ВИТАЛИЯ ИГНАТЬЕВИЧА КОНОВАЛОВА"</t>
  </si>
  <si>
    <t>2725005144</t>
  </si>
  <si>
    <t>https://www.beton4.ru</t>
  </si>
  <si>
    <t>Г ХАБАРОВСК,Ш ВОРОНЕЖСКОЕ, Д 174</t>
  </si>
  <si>
    <t>Александров Александр Валериевич</t>
  </si>
  <si>
    <t>zavod@beton4.ru'</t>
  </si>
  <si>
    <t>58.586164,49.643562</t>
  </si>
  <si>
    <t>ОБЩЕСТВО С ОГРАНИЧЕННОЙ ОТВЕТСТВЕННОСТЬЮ "СЫЗРАНСКИЙ ЖБК"</t>
  </si>
  <si>
    <t>"СЫЗРАНСКИЙ ЖБК"</t>
  </si>
  <si>
    <t>6325075497</t>
  </si>
  <si>
    <t>446014, САМАРСКАЯ ОБЛАСТЬ, ГОРОД СЫЗРАНЬ, ПРОЕЗД БОРОДИНСКИЙ, ДОМ 1, ОФИС 1</t>
  </si>
  <si>
    <t>Овакимян Агван Сурикович</t>
  </si>
  <si>
    <t>58.622691,49.647173</t>
  </si>
  <si>
    <t>ОБЩЕСТВО С ОГРАНИЧЕННОЙ ОТВЕТСТВЕННОСТЬЮ "ЗАВОД КПД-2"</t>
  </si>
  <si>
    <t>"ЗАВОД КПД-2"</t>
  </si>
  <si>
    <t>7328108110</t>
  </si>
  <si>
    <t>432072, УЛЬЯНОВСКАЯ ОБЛ., Г. Ульяновск, ПР-Д ИНЖЕНЕРНЫЙ 6-Й, Д. 2, КАБИНЕТ 302</t>
  </si>
  <si>
    <t>Исаев Роман Валерьевич</t>
  </si>
  <si>
    <t>58.601861,49.647335</t>
  </si>
  <si>
    <t>ЗАКРЫТОЕ АКЦИОНЕРНОЕ ОБЩЕСТВО  "ЗАВОД ГАЗОСИЛИКАТНЫХ ИЗДЕЛИЙ"</t>
  </si>
  <si>
    <t>ЗАКРЫТОЕ  "ЗАВОД ГАЗОСИЛИКАТНЫХ ИЗДЕЛИЙ"</t>
  </si>
  <si>
    <t>7328511351</t>
  </si>
  <si>
    <t>432072, УЛЬЯНОВСКАЯ ОБЛАСТЬ, Г. УЛЬЯНОВСК, ПР-Д ИНЖЕНЕРНЫЙ 6-Й, Д.1</t>
  </si>
  <si>
    <t>Клюшенков Николай Николаевич</t>
  </si>
  <si>
    <t>58.630285,49.649257</t>
  </si>
  <si>
    <t>АКЦИОНЕРНОЕ ОБЩЕСТВО "ЗАВОД ЖЕЛЕЗОБЕТОННЫХ ИЗДЕЛИЙ-4"</t>
  </si>
  <si>
    <t>"ЗАВОД ЖЕЛЕЗОБЕТОННЫХ ИЗДЕЛИЙ-4"</t>
  </si>
  <si>
    <t>7328036730</t>
  </si>
  <si>
    <t>Г УЛЬЯНОВСК,ПР 9-Й ИНЖЕНЕРНЫЙ, Д 12</t>
  </si>
  <si>
    <t>Мелкумян Тигран Грантович</t>
  </si>
  <si>
    <t>58.497773,49.656947</t>
  </si>
  <si>
    <t>ОБЩЕСТВО С ОГРАНИЧЕННОЙ ОТВЕТСТВЕННОСТЬЮ "Строительная площадка "КЕДР"</t>
  </si>
  <si>
    <t>"Строительная площадка "КЕДР"</t>
  </si>
  <si>
    <t>7328071647</t>
  </si>
  <si>
    <t>432072, УЛЬЯНОВСКАЯ ОБЛАСТЬ, Г. УЛЬЯНОВСК, ПР-КТ ТУПОЛЕВА, Д. 3А</t>
  </si>
  <si>
    <t>Попов Алексей Валерьевич</t>
  </si>
  <si>
    <t>+7 (927) 270-96-69'</t>
  </si>
  <si>
    <t>546752@mail.ru', 'nalogrechenie@inbox.ru'</t>
  </si>
  <si>
    <t>58.631358,49.6601</t>
  </si>
  <si>
    <t>ОБЩЕСТВО С ОГРАНИЧЕННОЙ ОТВЕТСТВЕННОСТЬЮ "УЛЬЯНОВСКИЙ ЗАВОД БЕТОННЫХ ИЗДЕЛИЙ"</t>
  </si>
  <si>
    <t>"УЛЬЯНОВСКИЙ ЗАВОД БЕТОННЫХ ИЗДЕЛИЙ"</t>
  </si>
  <si>
    <t>7328092083</t>
  </si>
  <si>
    <t>432072, УЛЬЯНОВСКАЯ ОБЛАСТЬ, Г. УЛЬЯНОВСК, ПР-Д ИНЖЕНЕРНЫЙ 18-Й, Д. 8, КАБИНЕТ 2</t>
  </si>
  <si>
    <t>Самбиев Алхазур Хусейнович</t>
  </si>
  <si>
    <t>ul@mail.ru', 'ul@mail.ru'</t>
  </si>
  <si>
    <t>58.508794,49.662435</t>
  </si>
  <si>
    <t>ОБЩЕСТВО С ОГРАНИЧЕННОЙ ОТВЕТСТВЕННОСТЬЮ "ПРОМИНВЕСТИЦИИ"</t>
  </si>
  <si>
    <t>"ПРОМИНВЕСТИЦИИ"</t>
  </si>
  <si>
    <t>7328077991</t>
  </si>
  <si>
    <t>432072, УЛЬЯНОВСКАЯ ОБЛАСТЬ, Г. УЛЬЯНОВСК, ПР-Д ИНЖЕНЕРНЫЙ 10-Й, К.13</t>
  </si>
  <si>
    <t>Алимов Руслан Наилевич</t>
  </si>
  <si>
    <t>+7 (937) 275-14-80'</t>
  </si>
  <si>
    <t>velikanovaiv@bk.ru'</t>
  </si>
  <si>
    <t>58.603595,49.668023</t>
  </si>
  <si>
    <t>ОБЩЕСТВО С ОГРАНИЧЕННОЙ ОТВЕТСТВЕННОСТЬЮ "КИРПИЧСТРОЙ"</t>
  </si>
  <si>
    <t>"КИРПИЧСТРОЙ"</t>
  </si>
  <si>
    <t>7328074912</t>
  </si>
  <si>
    <t>http://ks173.ru</t>
  </si>
  <si>
    <t>432072, УЛЬЯНОВСКАЯ ОБЛАСТЬ, Г. УЛЬЯНОВСК, ПР-КТ ГЕНЕРАЛА ТЮЛЕНЕВА, Д.13,..</t>
  </si>
  <si>
    <t>Шабаева Ирина Алексеевна</t>
  </si>
  <si>
    <t>+7 (905) 349-23-39'</t>
  </si>
  <si>
    <t>tx73@yandex.ru', 'ks173@list.ru'</t>
  </si>
  <si>
    <t>58.591277,49.669658</t>
  </si>
  <si>
    <t>ОБЩЕСТВО С ОГРАНИЧЕННОЙ ОТВЕТСТВЕННОСТЬЮ "ЗАВОД КИРПИЧСТРОЙ"</t>
  </si>
  <si>
    <t>"ЗАВОД КИРПИЧСТРОЙ"</t>
  </si>
  <si>
    <t>7328098751</t>
  </si>
  <si>
    <t>432059, УЛЬЯНОВСКАЯ ОБЛАСТЬ, Г. УЛЬЯНОВСК, ПР-КТ ГЕНЕРАЛА ТЮЛЕНЕВА, Д. 13,..</t>
  </si>
  <si>
    <t>58.595868,49.669963</t>
  </si>
  <si>
    <t>6330062817</t>
  </si>
  <si>
    <t>445560, САМАРСКАЯ ОБЛАСТЬ, Р-Н ПРИВОЛЖСКИЙ, С ПРИВОЛЖЬЕ, УЛ. КОСМОНАВТОВ, Д.38,..</t>
  </si>
  <si>
    <t>Чубукин Владимир Анатольевич</t>
  </si>
  <si>
    <t>+7 (927) 655-19-37', '+7 (927) 908-75-67'</t>
  </si>
  <si>
    <t>58.596243,49.670852</t>
  </si>
  <si>
    <t>3430007116</t>
  </si>
  <si>
    <t>ВОЛГОГРАДСКАЯ ОБЛ.,Г СУРОВИКИНО,УЛ ОРДЖОНИКИДЗЕ,36</t>
  </si>
  <si>
    <t>Згоник Любовь Александровна</t>
  </si>
  <si>
    <t>58.608743,49.675946</t>
  </si>
  <si>
    <t>ОБЩЕСТВО С ОГРАНИЧЕННОЙ ОТВЕТСТВЕННОСТЬЮ домостроительный комбинат "ЭТАЛОН"</t>
  </si>
  <si>
    <t>домостроительный комбинат "ЭТАЛОН"</t>
  </si>
  <si>
    <t>7328068732</t>
  </si>
  <si>
    <t>http://dsk-etalon.ru</t>
  </si>
  <si>
    <t>432072, УЛЬЯНОВСКАЯ ОБЛАСТЬ, Г. УЛЬЯНОВСК, ПР-Д ИНЖЕНЕРНЫЙ 7-Й, Д. 3</t>
  </si>
  <si>
    <t>Соломатин Владимир Иванович</t>
  </si>
  <si>
    <t>58.608199,49.680096</t>
  </si>
  <si>
    <t>ОТКРЫТОЕ АКЦИОНЕРНОЕ ОБЩЕСТВО "ЗАВОД ЖЕЛЕЗОБЕТОННЫХ ИЗДЕЛИЙ И КОНСТРУКЦИЙ"</t>
  </si>
  <si>
    <t>ОТКРЫТОЕ "ЗАВОД ЖЕЛЕЗОБЕТОННЫХ ИЗДЕЛИЙ И КОНСТРУКЦИЙ"</t>
  </si>
  <si>
    <t>3446002628</t>
  </si>
  <si>
    <t>http://zjbik.com</t>
  </si>
  <si>
    <t>Г ВОЛГОГРАД,УЛ ИНСТРУМЕНТАЛЬНАЯ,14</t>
  </si>
  <si>
    <t>Ломаева Ольга Мерсиавовна</t>
  </si>
  <si>
    <t>inbox@zjbik.com', '3446002628_344601001@eo.tensor', 'arbitrag@udm.ru'</t>
  </si>
  <si>
    <t>58.598522,49.680958</t>
  </si>
  <si>
    <t>ОБЩЕСТВО С ОГРАНИЧЕННОЙ ОТВЕТСТВЕННОСТЬЮ "СЕЛЬСТРОЙКОНСТРУКЦИЯ"</t>
  </si>
  <si>
    <t>"СЕЛЬСТРОЙКОНСТРУКЦИЯ"</t>
  </si>
  <si>
    <t>3446018071</t>
  </si>
  <si>
    <t>Г ВОЛГОГРАД,УЛ 25 ЛЕТ ОКТЯБРЯ,1</t>
  </si>
  <si>
    <t>Смирнов Евгений Олегович</t>
  </si>
  <si>
    <t>58.615619,49.68236</t>
  </si>
  <si>
    <t>ОБЩЕСТВО С ОГРАНИЧЕННОЙ ОТВЕТСТВЕННОСТЬЮ "ДОМОСТРОИТЕЛЬНЫЙ КОМБИНАТ"-1"</t>
  </si>
  <si>
    <t>"ДОМОСТРОИТЕЛЬНЫЙ КОМБИНАТ"-1"</t>
  </si>
  <si>
    <t>3403021200</t>
  </si>
  <si>
    <t>ВОЛГОГРАДСКАЯ ОБЛ.,ГОРОДИЩЕНСКИЙ Р-Н,РП НОВЫЙ РОГАЧИК</t>
  </si>
  <si>
    <t>58.574848,49.686618</t>
  </si>
  <si>
    <t>ОБЩЕСТВО С ОГРАНИЧЕННОЙ ОТВЕТСТВЕННОСТЬЮ "ГАРО"</t>
  </si>
  <si>
    <t>"ГАРО"</t>
  </si>
  <si>
    <t>3444092626</t>
  </si>
  <si>
    <t>Г ВОЛГОГРАД,УЛ КОММУНИСТИЧЕСКАЯ,31</t>
  </si>
  <si>
    <t>Степанян Рустом Сергеевич</t>
  </si>
  <si>
    <t>+7 (927) 251-11-93', '+7 (917) 833-16-30', '+7 (905) 393-21-54'</t>
  </si>
  <si>
    <t>52.95827,49.695781</t>
  </si>
  <si>
    <t>ОБЩЕСТВО С ОГРАНИЧЕННОЙ ОТВЕТСТВЕННОСТЬЮ "Синтез"</t>
  </si>
  <si>
    <t>"Синтез"</t>
  </si>
  <si>
    <t>7901544464</t>
  </si>
  <si>
    <t>Г БИРОБИДЖАН,УЛ 9-ОЙ ПЯТИЛЕТКИ, 3</t>
  </si>
  <si>
    <t>Данилин Владимир Александрович</t>
  </si>
  <si>
    <t>+7 (426) 224-83-62'</t>
  </si>
  <si>
    <t>sin164@yandex.ru'</t>
  </si>
  <si>
    <t>52.986762,49.703686</t>
  </si>
  <si>
    <t>ОБЩЕСТВО С ОГРАНИЧЕННОЙ ОТВЕТСТВЕННОСТЬЮ "Биорезерв"</t>
  </si>
  <si>
    <t>"Биорезерв"</t>
  </si>
  <si>
    <t>6445011248</t>
  </si>
  <si>
    <t>413721, САРАТОВСКАЯ ОБЛАСТЬ, ГОРОД ПУГАЧЕВ, УЛИЦА ОРЕНБУРГСКАЯ, 158/1</t>
  </si>
  <si>
    <t>Шварц Наталья Александровна</t>
  </si>
  <si>
    <t>+7 (927) 146-67-27'</t>
  </si>
  <si>
    <t>52.989282,49.704566</t>
  </si>
  <si>
    <t>Закрытое акционерное общество "Производственное объединение Завод силикатного кирпича"</t>
  </si>
  <si>
    <t>Закрытое "Производственное объединение Завод силикатного кирпича"</t>
  </si>
  <si>
    <t>3443046698</t>
  </si>
  <si>
    <t>http://zsk34.ru</t>
  </si>
  <si>
    <t>Г ВОЛГОГРАД,УЛ КРАСНОПОЛЯНСКАЯ,55</t>
  </si>
  <si>
    <t>Жиров Владимир Аркадьевич</t>
  </si>
  <si>
    <t>zsk@mail.ru'</t>
  </si>
  <si>
    <t>58.506528,49.707818</t>
  </si>
  <si>
    <t>ОБЩЕСТВО С ОГРАНИЧЕННОЙ ОТВЕТСТВЕННОСТЬЮ "ВОЛГОГРАДСКИЙ ЗАВОД ОБЛИЦОВОЧНОГО КИРПИЧА"</t>
  </si>
  <si>
    <t>"ВОЛГОГРАДСКИЙ ЗАВОД ОБЛИЦОВОЧНОГО КИРПИЧА"</t>
  </si>
  <si>
    <t>3443062354</t>
  </si>
  <si>
    <t>Квасников Денис Владимирович</t>
  </si>
  <si>
    <t>58.648111,49.710477</t>
  </si>
  <si>
    <t>Открытое акционерное общество "Комбинат объёмного домостроения"</t>
  </si>
  <si>
    <t>Открытое "Комбинат объёмного домостроения"</t>
  </si>
  <si>
    <t>3441018840</t>
  </si>
  <si>
    <t>http://kzhi.ru</t>
  </si>
  <si>
    <t>ВОЛГОГРАДСКАЯ ОБЛ.,Г ВОЛЖСКИЙ,УЛ ПУШКИНА,35А</t>
  </si>
  <si>
    <t>Носаев Александр Васильевич</t>
  </si>
  <si>
    <t>OAO_KOD@MAIL.RU'</t>
  </si>
  <si>
    <t>51.20828,49.716613</t>
  </si>
  <si>
    <t>ОБЩЕСТВО С ОГРАНИЧЕННОЙ ОТВЕТСТВЕННОСТЬЮ  "ЭНЕРГОПРОМСТРОЙ"</t>
  </si>
  <si>
    <t xml:space="preserve"> "ЭНЕРГОПРОМСТРОЙ"</t>
  </si>
  <si>
    <t>3435036047</t>
  </si>
  <si>
    <t>ВОЛГОГРАДСКАЯ ОБЛ.,Г ВОЛЖСКИЙ,УЛ 19 ПАРТС'ЕЗДА,70</t>
  </si>
  <si>
    <t>Садовский Алексей Дмитриевич</t>
  </si>
  <si>
    <t>54.147626,49.776485</t>
  </si>
  <si>
    <t>ОБЩЕСТВО С ОГРАНИЧЕННОЙ ОТВЕТСТВЕННОСТЬЮ "КОГЕН КАЗАНЬ"</t>
  </si>
  <si>
    <t>"КОГЕН КАЗАНЬ"</t>
  </si>
  <si>
    <t>1648052201</t>
  </si>
  <si>
    <t>422540, ТАТАРСТАН РЕСПУБЛИКА, Р-Н ЗЕЛЕНОДОЛЬСКИЙ, Г. ЗЕЛЕНОДОЛЬСК, ПРОМЗОНА ТЕХНОПОЛИС НОВАЯ ТУРА, ПАВ. 3, ПОМЕЩ. 14-13</t>
  </si>
  <si>
    <t>Газиев Сергей</t>
  </si>
  <si>
    <t>56.038539,49.800578</t>
  </si>
  <si>
    <t>1648053212</t>
  </si>
  <si>
    <t>422527, ТАТАРСТАН РЕСП, Р-Н Зеленодольский, С. Осиново, УЛ. ЦЕНТРАЛЬНАЯ, Д. 1А, ПОМЕЩ. 1</t>
  </si>
  <si>
    <t>Булатов Рамиль Наилевич</t>
  </si>
  <si>
    <t>54.895398,49.929603</t>
  </si>
  <si>
    <t>ОБЩЕСТВО С ОГРАНИЧЕННОЙ ОТВЕТСТВЕННОСТЬЮ "ПЛАНТ"</t>
  </si>
  <si>
    <t>"ПЛАНТ"</t>
  </si>
  <si>
    <t>1656102343</t>
  </si>
  <si>
    <t>420079, ТАТАРСТАН РЕСПУБЛИКА, ГОРОД КАЗАНЬ, УЛИЦА ПРИРЕЛЬСОВАЯ, ДОМ 12, ОФИС 203</t>
  </si>
  <si>
    <t>Биккинин Карим Ирекович</t>
  </si>
  <si>
    <t>oooartalyans@yandex.ru'</t>
  </si>
  <si>
    <t>59.1227,49.965428</t>
  </si>
  <si>
    <t>ОБЩЕСТВО С ОГРАНИЧЕННОЙ ОТВЕТСТВЕННОСТЬЮ "ПСК-7"</t>
  </si>
  <si>
    <t>"ПСК-7"</t>
  </si>
  <si>
    <t>1661066429</t>
  </si>
  <si>
    <t>420085, ТАТАРСТАН РЕСПУБЛИКА, ГОРОД КАЗАНЬ, УЛИЦА ОБНОРСКОГО, ДОМ 3, ОФИС 4</t>
  </si>
  <si>
    <t>Ахметов Тимур Ильдарович</t>
  </si>
  <si>
    <t>58.53427,49.973351</t>
  </si>
  <si>
    <t>ОБЩЕСТВО С ОГРАНИЧЕННОЙ ОТВЕТСТВЕННОСТЬЮ "ИнтехКранСервис"</t>
  </si>
  <si>
    <t>"ИнтехКранСервис"</t>
  </si>
  <si>
    <t>1661033720</t>
  </si>
  <si>
    <t>420085, Республика Татарстан (Татарстан), городской округ ГОРОД КАЗАНЬ, Город КАЗАНЬ, УЛ ОБНОРСКОГО, ЗД. 30А, ОФИС 5</t>
  </si>
  <si>
    <t>Ибнеев Рустем Шамилевич</t>
  </si>
  <si>
    <t>+7 (927) 409-60-91'</t>
  </si>
  <si>
    <t>2901628@mail.ru'</t>
  </si>
  <si>
    <t>58.557943,49.989736</t>
  </si>
  <si>
    <t>ОБЩЕСТВО С ОГРАНИЧЕННОЙ ОТВЕТСТВЕННОСТЬЮ "ТК-ОБК"</t>
  </si>
  <si>
    <t>"ТК-ОБК"</t>
  </si>
  <si>
    <t>1656114966</t>
  </si>
  <si>
    <t>420030, ТАТАРСТАН РЕСПУБЛИКА, ГОРОД КАЗАНЬ, УЛИЦА АРАКЧИНСКАЯ, ДОМ 33,..</t>
  </si>
  <si>
    <t>Калабашкин Александр Сергеевич</t>
  </si>
  <si>
    <t>53.125922,50.052852</t>
  </si>
  <si>
    <t>ОБЩЕСТВО С ОГРАНИЧЕННОЙ ОТВЕТСТВЕННОСТЬЮ "Цементоптторг-СтройСервис"</t>
  </si>
  <si>
    <t>"Цементоптторг-СтройСервис"</t>
  </si>
  <si>
    <t>1656056785</t>
  </si>
  <si>
    <t>420030, ТАТАРСТАН РЕСПУБЛИКА, Г. КАЗАНЬ, УЛ. НАБЕРЕЖНАЯ, Д. 31А</t>
  </si>
  <si>
    <t>Шишикин Андрей Викторович</t>
  </si>
  <si>
    <t>+7 (843) 590-38-44', '+7 (904) 713-35-50'</t>
  </si>
  <si>
    <t>53.130218,50.055691</t>
  </si>
  <si>
    <t>ОБЩЕСТВО С ОГРАНИЧЕННОЙ ОТВЕТСТВЕННОСТЬЮ "Ташкояр"</t>
  </si>
  <si>
    <t>"Ташкояр"</t>
  </si>
  <si>
    <t>1656065035</t>
  </si>
  <si>
    <t>420030, ТАТАРСТАН РЕСПУБЛИКА, ГОРОД КАЗАНЬ, УЛИЦА НАБЕРЕЖНАЯ (КИРОВСКИЙ Р-Н), 31, А</t>
  </si>
  <si>
    <t>Васильев Роман Владимирович</t>
  </si>
  <si>
    <t>+7 (843) 512-90-88'</t>
  </si>
  <si>
    <t>53.12891,50.05923</t>
  </si>
  <si>
    <t>ОБЩЕСТВО С ОГРАНИЧЕННОЙ ОТВЕТСТВЕННОСТЬЮ "Стройжилинвест"</t>
  </si>
  <si>
    <t>"Стройжилинвест"</t>
  </si>
  <si>
    <t>1658119159</t>
  </si>
  <si>
    <t>420095, ТАТАРСТАН РЕСПУБЛИКА, ГОРОД КАЗАНЬ, УЛИЦА ВОССТАНИЯ, 100, 85</t>
  </si>
  <si>
    <t>Юнусова Гюзель Рифкатовна</t>
  </si>
  <si>
    <t>1656106933</t>
  </si>
  <si>
    <t>420030, ТАТАРСТАН РЕСПУБЛИКА, Г. КАЗАНЬ, УЛ. БОЛЬШАЯ, Д. 106, ОФИС 18</t>
  </si>
  <si>
    <t>Андреев Алексей Сергеевич</t>
  </si>
  <si>
    <t>53.116768,50.062329</t>
  </si>
  <si>
    <t>ОБЩЕСТВО С ОГРАНИЧЕННОЙ ОТВЕТСТВЕННОСТЬЮ "АРТЕМИДА"</t>
  </si>
  <si>
    <t>"АРТЕМИДА"</t>
  </si>
  <si>
    <t>1658218801</t>
  </si>
  <si>
    <t>420006, ТАТАРСТАН РЕСПУБЛИКА, ГОРОД КАЗАНЬ, УЛИЦА ХЛЕБОЗАВОДСКАЯ, ДОМ 1, ОФИС 17</t>
  </si>
  <si>
    <t>Мухаметшина Лилия Талгатовна</t>
  </si>
  <si>
    <t>53.180813,50.077322</t>
  </si>
  <si>
    <t>ОБЩЕСТВО С ОГРАНИЧЕННОЙ ОТВЕТСТВЕННОСТЬЮ "МАНСУРАВТО"</t>
  </si>
  <si>
    <t>"МАНСУРАВТО"</t>
  </si>
  <si>
    <t>1661040357</t>
  </si>
  <si>
    <t>420047, Республика Татарстан (Татарстан), г Казань, Авиастроительный район, ул Кутузова Д 125</t>
  </si>
  <si>
    <t>Гилметдинова Гульнора Габидуллаевна</t>
  </si>
  <si>
    <t>mansurauto2@mail.ru'</t>
  </si>
  <si>
    <t>53.15717,50.078391</t>
  </si>
  <si>
    <t>ОБЩЕСТВО С ОГРАНИЧЕННОЙ ОТВЕТСТВЕННОСТЬЮ "БАЙСАР энд Ко"</t>
  </si>
  <si>
    <t>"БАЙСАР энд Ко"</t>
  </si>
  <si>
    <t>1658107690</t>
  </si>
  <si>
    <t>420095, ТАТАРСТАН РЕСПУБЛИКА, ГОРОД КАЗАНЬ, УЛИЦА ВОССТАНИЯ, 101, ПОМ. 2 (23,33)</t>
  </si>
  <si>
    <t>Хабибуллина Минслу Яфасовна</t>
  </si>
  <si>
    <t>+7 (843) 524-20-86'</t>
  </si>
  <si>
    <t>53.180986,50.083934</t>
  </si>
  <si>
    <t>ОБЩЕСТВО С ОГРАНИЧЕННОЙ ОТВЕТСТВЕННОСТЬЮ "ЭСТЕТ И КО"</t>
  </si>
  <si>
    <t>"ЭСТЕТ И КО"</t>
  </si>
  <si>
    <t>1656117526</t>
  </si>
  <si>
    <t>420030, ТАТАРСТАН РЕСП., Г. Казань, УЛ. КЛАРЫ ЦЕТКИН, ЗД. 19, ОФИС 27</t>
  </si>
  <si>
    <t>Кашапов Олег Викторович</t>
  </si>
  <si>
    <t>53.179605,50.084212</t>
  </si>
  <si>
    <t>ОБЩЕСТВО С ОГРАНИЧЕННОЙ ОТВЕТСТВЕННОСТЬЮ "КАЗАНЬТОРГ СЕРВИС"</t>
  </si>
  <si>
    <t>"КАЗАНЬТОРГ СЕРВИС"</t>
  </si>
  <si>
    <t>1656099394</t>
  </si>
  <si>
    <t>420030, ТАТАРСТАН РЕСП., Г. Казань, УЛ. АРХАНГЕЛЬСКАЯ, ЗД. 14, К. 1, ОФИС 202</t>
  </si>
  <si>
    <t>Черненький Иван Иванович</t>
  </si>
  <si>
    <t>53.172977,50.09421</t>
  </si>
  <si>
    <t>ОБЩЕСТВО С ОГРАНИЧЕННОЙ ОТВЕТСТВЕННОСТЬЮ "ЗАВОД СТРОИТЕЛЬНЫХ МАТЕРИАЛОВ"ВОЛГА БЛОК"</t>
  </si>
  <si>
    <t>"ЗАВОД СТРОИТЕЛЬНЫХ МАТЕРИАЛОВ"ВОЛГА БЛОК"</t>
  </si>
  <si>
    <t>1656109412</t>
  </si>
  <si>
    <t>420030, ТАТАРСТАН РЕСПУБЛИКА, ГОРОД КАЗАНЬ, УЛИЦА КЛАРЫ ЦЕТКИН, ЗДАНИЕ 10, ПОМЕЩЕНИЕ 24</t>
  </si>
  <si>
    <t>Разбитнов Андрей Викторович</t>
  </si>
  <si>
    <t>53.125004,50.098702</t>
  </si>
  <si>
    <t>ОБЩЕСТВО С ОГРАНИЧЕННОЙ ОТВЕТСТВЕННОСТЬЮ "СЕРВАС"</t>
  </si>
  <si>
    <t>"СЕРВАС"</t>
  </si>
  <si>
    <t>1656106725</t>
  </si>
  <si>
    <t>420032, ТАТАРСТАН РЕСПУБЛИКА, ГОРОД КАЗАНЬ, УЛИЦА ГЛАДИЛОВА, ДОМ 53, СТРОЕНИЕ 2, ЭТАЖ/ПОМ 1/6</t>
  </si>
  <si>
    <t>Васильев Сергей Юрьевич</t>
  </si>
  <si>
    <t>53.195878,50.100202</t>
  </si>
  <si>
    <t>1660294937</t>
  </si>
  <si>
    <t>420102, ТАТАРСТАН РЕСПУБЛИКА, Г. КАЗАНЬ, УЛ. ГАЛИМДЖАНА БАРУДИ, Д. 20, ПОМЕЩ. 1045</t>
  </si>
  <si>
    <t>Нуриев Руслан Фирдусович</t>
  </si>
  <si>
    <t>7@bk.ru'</t>
  </si>
  <si>
    <t>53.201677,50.100355</t>
  </si>
  <si>
    <t>ОБЩЕСТВО С ОГРАНИЧЕННОЙ ОТВЕТСТВЕННОСТЬЮ "КОЛЬЦО"</t>
  </si>
  <si>
    <t>"КОЛЬЦО"</t>
  </si>
  <si>
    <t>1661066027</t>
  </si>
  <si>
    <t>420036, ТАТАРСТАН РЕСПУБЛИКА, Г. КАЗАНЬ, УЛ. ЛЕВАНЕВСКОГО, Д. 2А, ОФИС 23</t>
  </si>
  <si>
    <t>Брыкалина Анна Александровна</t>
  </si>
  <si>
    <t>55.31369,50.103562</t>
  </si>
  <si>
    <t>ОБЩЕСТВО С ОГРАНИЧЕННОЙ ОТВЕТСТВЕННОСТЬЮ "ДОМСИТИ"</t>
  </si>
  <si>
    <t>"ДОМСИТИ"</t>
  </si>
  <si>
    <t>1661068962</t>
  </si>
  <si>
    <t>420036, ТАТАРСТАН РЕСП., Г. Казань, УЛ. ПОБЕЖИМОВА, Д. 39,..</t>
  </si>
  <si>
    <t>Мухаметшин Ильнур Талгатович</t>
  </si>
  <si>
    <t>53.198915,50.103957</t>
  </si>
  <si>
    <t>1661038421</t>
  </si>
  <si>
    <t>420037, ТАТАРСТАН РЕСПУБЛИКА, Г. КАЗАНЬ, УЛ. АЙДАРОВА, Д. 16А</t>
  </si>
  <si>
    <t>Кинтаев Алибек Баймуратович</t>
  </si>
  <si>
    <t>53.124312,50.10649</t>
  </si>
  <si>
    <t>ОБЩЕСТВО С ОГРАНИЧЕННОЙ ОТВЕТСТВЕННОСТЬЮ "СТК"</t>
  </si>
  <si>
    <t>"СТК"</t>
  </si>
  <si>
    <t>1656087688</t>
  </si>
  <si>
    <t>420124, Республика Татарстан (Татарстан), г Казань, Кировский район, УЛ МУЛЛАНУРА ВАХИТОВА Д 8 ПОМ 31</t>
  </si>
  <si>
    <t>Мальцев Сергей Анатольевич</t>
  </si>
  <si>
    <t>ОБЩЕСТВО С ОГРАНИЧЕННОЙ ОТВЕТСТВЕННОСТЬЮ "КАЗАНСКИЙ БЕТОН"</t>
  </si>
  <si>
    <t>"КАЗАНСКИЙ БЕТОН"</t>
  </si>
  <si>
    <t>1684001450</t>
  </si>
  <si>
    <t>420005, Республика Татарстан (Татарстан), ГОРОД КАЗАНЬ, Г КАЗАНЬ, УЛ МАГИСТРАЛЬНАЯ, ЗД. 77А</t>
  </si>
  <si>
    <t>Хабибуллин Рустем Фаритович</t>
  </si>
  <si>
    <t>53.194421,50.108449</t>
  </si>
  <si>
    <t>ОБЩЕСТВО С ОГРАНИЧЕННОЙ ОТВЕТСТВЕННОСТЬЮ ПРОИЗВОДСТВЕННО-СТРОИТЕЛЬНАЯ КОМПАНИЯ "СТРОЙСЕРВИС"</t>
  </si>
  <si>
    <t>ПРОИЗВОДСТВЕННО-СТРОИТЕЛЬНАЯ КОМПАНИЯ "СТРОЙСЕРВИС"</t>
  </si>
  <si>
    <t>1661062181</t>
  </si>
  <si>
    <t>420037, ТАТАРСТАН РЕСПУБЛИКА, ГОРОД КАЗАНЬ, УЛИЦА ЛУКИНА, ДОМ 48Ж, ПОМЕЩЕНИЕ 1008</t>
  </si>
  <si>
    <t>Гатиятуллин Нияз Филарисович</t>
  </si>
  <si>
    <t>53.19536,50.114342</t>
  </si>
  <si>
    <t>ОБЩЕСТВО С ОГРАНИЧЕННОЙ ОТВЕТСТВЕННОСТЬЮ "КАЗАНЬСЕРВИСАВТО"</t>
  </si>
  <si>
    <t>"КАЗАНЬСЕРВИСАВТО"</t>
  </si>
  <si>
    <t>1661052391</t>
  </si>
  <si>
    <t>420127, ТАТАРСТАН РЕСПУБЛИКА, Г. КАЗАНЬ, УЛ. ДЕМЕНТЬЕВА, Д. 1, ОФИС 4</t>
  </si>
  <si>
    <t>Рахимзянов Рустем Зинурович</t>
  </si>
  <si>
    <t>2016@list.ru'</t>
  </si>
  <si>
    <t>53.196034,50.114827</t>
  </si>
  <si>
    <t>ОБЩЕСТВО С ОГРАНИЧЕННОЙ ОТВЕТСТВЕННОСТЬЮ "ПРОФСНАБ КОНТИНЕНТ"</t>
  </si>
  <si>
    <t>"ПРОФСНАБ КОНТИНЕНТ"</t>
  </si>
  <si>
    <t>1661054494</t>
  </si>
  <si>
    <t>420127, ТАТАРСТАН РЕСПУБЛИКА, Г. КАЗАНЬ, УЛ. ДЕМЕНТЬЕВА, Д. 1, ОФИС 61</t>
  </si>
  <si>
    <t>Прохоров Никита Валерьевич</t>
  </si>
  <si>
    <t>+7 (965) 598-84-49'</t>
  </si>
  <si>
    <t>53.198813,50.123208</t>
  </si>
  <si>
    <t>ОБЩЕСТВО С ОГРАНИЧЕННОЙ ОТВЕТСТВЕННОСТЬЮ "КАЗАНЬГРАД"</t>
  </si>
  <si>
    <t>"КАЗАНЬГРАД"</t>
  </si>
  <si>
    <t>1661056244</t>
  </si>
  <si>
    <t>420127, ТАТАРСТАН РЕСПУБЛИКА, ГОРОД КАЗАНЬ, УЛИЦА ДЕМЕНТЬЕВА, ДОМ 1, КОМНАТА 6</t>
  </si>
  <si>
    <t>Пирогов Вадим Витальевич</t>
  </si>
  <si>
    <t>+7 (986) 916-16-16'</t>
  </si>
  <si>
    <t>53.192932,50.123981</t>
  </si>
  <si>
    <t>ОБЩЕСТВО С ОГРАНИЧЕННОЙ ОТВЕТСТВЕННОСТЬЮ "АЛТИС"</t>
  </si>
  <si>
    <t>"АЛТИС"</t>
  </si>
  <si>
    <t>1661063442</t>
  </si>
  <si>
    <t>420127, ТАТАРСТАН РЕСП., Г. Казань, УЛ. ДЕМЕНТЬЕВА, Д. 1, ОФИС 12</t>
  </si>
  <si>
    <t>Плотницкий Геннадий Александрович</t>
  </si>
  <si>
    <t>ОБЩЕСТВО С ОГРАНИЧЕННОЙ ОТВЕТСТВЕННОСТЬЮ "МИРЖБИ"</t>
  </si>
  <si>
    <t>"МИРЖБИ"</t>
  </si>
  <si>
    <t>1659199703</t>
  </si>
  <si>
    <t>420005, ТАТАРСТАН РЕСПУБЛИКА, Г. КАЗАНЬ, УЛ. МАГИСТРАЛЬНАЯ, Д. 77, ОФИС 217 (КАБ.17)</t>
  </si>
  <si>
    <t>Мухаматьянов Ильнар Радикович</t>
  </si>
  <si>
    <t>53.192263,50.125418</t>
  </si>
  <si>
    <t>ОБЩЕСТВО С ОГРАНИЧЕННОЙ ОТВЕТСТВЕННОСТЬЮ "ПРОИЗВОДСТВЕННО-СТРОИТЕЛЬНАЯ КОМПАНИЯ КАПИТАЛ"</t>
  </si>
  <si>
    <t>"ПРОИЗВОДСТВЕННО-СТРОИТЕЛЬНАЯ КОМПАНИЯ КАПИТАЛ"</t>
  </si>
  <si>
    <t>1651071807</t>
  </si>
  <si>
    <t>Г КАЗАНЬ,УЛ КОРОЛЕНКО Д 91</t>
  </si>
  <si>
    <t>Жеглов Антон Николаевич</t>
  </si>
  <si>
    <t>+7 (917) 245-60-65'</t>
  </si>
  <si>
    <t>53.186345,50.134877</t>
  </si>
  <si>
    <t>ОБЩЕСТВО С ОГРАНИЧЕННОЙ ОТВЕТСТВЕННОСТЬЮ "КОКОН"</t>
  </si>
  <si>
    <t>"КОКОН"</t>
  </si>
  <si>
    <t>1657263801</t>
  </si>
  <si>
    <t>420044, ТАТАРСТАН РЕСПУБЛИКА, Г. КАЗАНЬ, ПР-КТ ЯМАШЕВА, Д. 36В, ЭТАЖ 4 ОФИС 75</t>
  </si>
  <si>
    <t>Николаев Руслан Петрович</t>
  </si>
  <si>
    <t>53.209762,50.142971</t>
  </si>
  <si>
    <t>ОБЩЕСТВО С ОГРАНИЧЕННОЙ ОТВЕТСТВЕННОСТЬЮ "ПК ЖБИСТРОЙ"</t>
  </si>
  <si>
    <t>"ПК ЖБИСТРОЙ"</t>
  </si>
  <si>
    <t>1655380108</t>
  </si>
  <si>
    <t>420108, ТАТАРСТАН РЕСПУБЛИКА, Г. КАЗАНЬ, УЛ. МАЗИТА ГАФУРИ, Д. 48, ОФИС 308</t>
  </si>
  <si>
    <t>Никитин Владимир Михайлович</t>
  </si>
  <si>
    <t>53.181828,50.149681</t>
  </si>
  <si>
    <t>ОБЩЕСТВО С ОГРАНИЧЕННОЙ ОТВЕТСТВЕННОСТЬЮ "ИДЕАЛСТРОЙДВОР"</t>
  </si>
  <si>
    <t>"ИДЕАЛСТРОЙДВОР"</t>
  </si>
  <si>
    <t>1659179552</t>
  </si>
  <si>
    <t>420108, Республика Татарстан (Татарстан), городской округ ГОРОД КАЗАНЬ, Город КАЗАНЬ, УЛ МАГИСТРАЛЬНАЯ, ЗД. 86, ПОМЕЩ. 4</t>
  </si>
  <si>
    <t>Насыбуллин Айдар Анасович</t>
  </si>
  <si>
    <t>+7 (917) 886-78-50'</t>
  </si>
  <si>
    <t>53.217219,50.158054</t>
  </si>
  <si>
    <t>ОБЩЕСТВО С ОГРАНИЧЕННОЙ ОТВЕТСТВЕННОСТЬЮ "СК КАЗБИЛДИНГ"</t>
  </si>
  <si>
    <t>"СК КАЗБИЛДИНГ"</t>
  </si>
  <si>
    <t>1659215673</t>
  </si>
  <si>
    <t>420108, ТАТАРСТАН РЕСП., Г. Казань, УЛ. МАГИСТРАЛЬНАЯ, ЗД. 86, ПОМЕЩ. 28</t>
  </si>
  <si>
    <t>Латыпов Ришат Нилевич</t>
  </si>
  <si>
    <t>53.200237,50.165618</t>
  </si>
  <si>
    <t>ОБЩЕСТВО С ОГРАНИЧЕННОЙ ОТВЕТСТВЕННОСТЬЮ "ПК-ПРОФСНАБ"</t>
  </si>
  <si>
    <t>"ПК-ПРОФСНАБ"</t>
  </si>
  <si>
    <t>1659206823</t>
  </si>
  <si>
    <t>420108, ТАТАРСТАН РЕСПУБЛИКА, ГОРОД КАЗАНЬ, УЛИЦА МАГИСТРАЛЬНАЯ, ЗД 35, ПОМЕЩЕНИЕ 2</t>
  </si>
  <si>
    <t>Мухаматьянов Динар Радикович</t>
  </si>
  <si>
    <t>53.191681,50.170271</t>
  </si>
  <si>
    <t>ОБЩЕСТВО С ОГРАНИЧЕННОЙ ОТВЕТСТВЕННОСТЬЮ "ЖБИ-ИНВЕСТ"</t>
  </si>
  <si>
    <t>"ЖБИ-ИНВЕСТ"</t>
  </si>
  <si>
    <t>1655348369</t>
  </si>
  <si>
    <t>420108, ТАТАРСТАН РЕСПУБЛИКА, ГОРОД КАЗАНЬ, УЛИЦА МАЗИТА ГАФУРИ, ЗД 71, ОФИС 1</t>
  </si>
  <si>
    <t>Хусаинов Нияз Ирекович</t>
  </si>
  <si>
    <t>ОБЩЕСТВО С ОГРАНИЧЕННОЙ ОТВЕТСТВЕННОСТЬЮ "КАМГЭС-РБЗ"</t>
  </si>
  <si>
    <t>"КАМГЭС-РБЗ"</t>
  </si>
  <si>
    <t>1650311703</t>
  </si>
  <si>
    <t>Г КАЗАНЬ,А/Я 28</t>
  </si>
  <si>
    <t>Кадыров Ришат Рафаилевич</t>
  </si>
  <si>
    <t>+7 (843) 511-48-24', '+7 (960) 069-62-88'</t>
  </si>
  <si>
    <t>53.207777,50.177376</t>
  </si>
  <si>
    <t>ОБЩЕСТВО С ОГРАНИЧЕННОЙ ОТВЕТСТВЕННОСТЬЮ "СК ТЕХСТРОЙ"</t>
  </si>
  <si>
    <t>"СК ТЕХСТРОЙ"</t>
  </si>
  <si>
    <t>1657266810</t>
  </si>
  <si>
    <t>420044, ТАТАРСТАН РЕСП., Г. Казань, УЛ. ВОЛГОГРАДСКАЯ, Д. 49, ПОМЕЩ. 18 (ЭТАЖ 3)</t>
  </si>
  <si>
    <t>Бикбов Рамис Халимович</t>
  </si>
  <si>
    <t>53.183485,50.177421</t>
  </si>
  <si>
    <t>ОБЩЕСТВО С ОГРАНИЧЕННОЙ ОТВЕТСТВЕННОСТЬЮ "УЮТДВОР+"</t>
  </si>
  <si>
    <t>"УЮТДВОР+"</t>
  </si>
  <si>
    <t>1658207052</t>
  </si>
  <si>
    <t>420095, ТАТАРСТАН РЕСПУБЛИКА, ГОРОД КАЗАНЬ, УЛИЦА ВОССТАНИЯ, ДОМ 100, КОРПУС/ЛИТЕР 213/А7 ПОМЕЩЕНИЕ 4</t>
  </si>
  <si>
    <t>Мустафаева Асмер Ниязи Кызы</t>
  </si>
  <si>
    <t>+7 (905) 313-81-77'</t>
  </si>
  <si>
    <t>53.213278,50.184329</t>
  </si>
  <si>
    <t>ОБЩЕСТВО С ОГРАНИЧЕННОЙ ОТВЕТСТВЕННОСТЬЮ "ОПТ-КАМЕНЬ"</t>
  </si>
  <si>
    <t>"ОПТ-КАМЕНЬ"</t>
  </si>
  <si>
    <t>1659192105</t>
  </si>
  <si>
    <t>420108, ТАТАРСТАН РЕСПУБЛИКА, ГОРОД КАЗАНЬ, УЛИЦА ЯШЬ КЫЧ, ДОМ 6, ПОМЕЩЕНИЕ 70/1-1</t>
  </si>
  <si>
    <t>Еременко Виталий Вячеславович</t>
  </si>
  <si>
    <t>53.239763,50.184635</t>
  </si>
  <si>
    <t>ОБЩЕСТВО С ОГРАНИЧЕННОЙ ОТВЕТСТВЕННОСТЬЮ "ЖБИ ЦЕНТР"</t>
  </si>
  <si>
    <t>"ЖБИ ЦЕНТР"</t>
  </si>
  <si>
    <t>1660348212</t>
  </si>
  <si>
    <t>420073, ТАТАРСТАН РЕСПУБЛИКА, Г. КАЗАНЬ, УЛ. ГВАРДЕЙСКАЯ, Д. 46А, ОФИС АК-2-18</t>
  </si>
  <si>
    <t>Багаутдинов Дазмир Зуфарович</t>
  </si>
  <si>
    <t>53.217861,50.189971</t>
  </si>
  <si>
    <t>ОБЩЕСТВО С ОГРАНИЧЕННОЙ ОТВЕТСТВЕННОСТЬЮ "ЗОЛОТОЙ КВАДРАТ"</t>
  </si>
  <si>
    <t>"ЗОЛОТОЙ КВАДРАТ"</t>
  </si>
  <si>
    <t>1661045468</t>
  </si>
  <si>
    <t>420127, ТАТАРСТАН РЕСПУБЛИКА, Г. КАЗАНЬ, УЛ. ДЕМЕНТЬЕВА, Д. 16, ОФИС 2-4</t>
  </si>
  <si>
    <t>Халилова Гульнара Ринатовна</t>
  </si>
  <si>
    <t>+7 (962) 559-29-18'</t>
  </si>
  <si>
    <t>k@bk.ru'</t>
  </si>
  <si>
    <t>53.197658,50.191112</t>
  </si>
  <si>
    <t>1659191750</t>
  </si>
  <si>
    <t>420054, ТАТАРСТАН РЕСПУБЛИКА, Г. КАЗАНЬ, УЛ. 2-Я ГАРАЖНАЯ, Д. 4, ЛИТЕР Б</t>
  </si>
  <si>
    <t>Андранян Эдгар Беникович</t>
  </si>
  <si>
    <t>+7 (843) 512-82-93'</t>
  </si>
  <si>
    <t>53.213634,50.192935</t>
  </si>
  <si>
    <t>ОБЩЕСТВО С ОГРАНИЧЕННОЙ ОТВЕТСТВЕННОСТЬЮ "НОВАЯ ПРОИЗВОДСТВЕННАЯ КОМПАНИЯ"</t>
  </si>
  <si>
    <t>"НОВАЯ ПРОИЗВОДСТВЕННАЯ КОМПАНИЯ"</t>
  </si>
  <si>
    <t>1655358046</t>
  </si>
  <si>
    <t>420021, ТАТАРСТАН РЕСПУБЛИКА, Г. КАЗАНЬ, УЛ. МОСКОВСКАЯ, Д. 53/6,..</t>
  </si>
  <si>
    <t>Сабирзянов Марсель Ренадович</t>
  </si>
  <si>
    <t>+7 (965) 606-24-91', '+7 (960) 048-14-72'</t>
  </si>
  <si>
    <t>53.201742,50.19599</t>
  </si>
  <si>
    <t>ОБЩЕСТВО С ОГРАНИЧЕННОЙ ОТВЕТСТВЕННОСТЬЮ "ВОЛЖСКИЙ ЗАВОД СТРОИТЕЛЬНЫХ МАТЕРИАЛОВ"</t>
  </si>
  <si>
    <t>"ВОЛЖСКИЙ ЗАВОД СТРОИТЕЛЬНЫХ МАТЕРИАЛОВ"</t>
  </si>
  <si>
    <t>1216015989</t>
  </si>
  <si>
    <t>http://bikton.ru</t>
  </si>
  <si>
    <t>420021, ТАТАРСТАН РЕСПУБЛИКА, Г. КАЗАНЬ, УЛ. АХТЯМОВА, ЗД 19, ОФИС 400</t>
  </si>
  <si>
    <t>Каджардузов Владимир Александрович</t>
  </si>
  <si>
    <t>+7 (843) 292-81-54', '+7 (917) 237-06-05'</t>
  </si>
  <si>
    <t>53.179119,50.206958</t>
  </si>
  <si>
    <t>ОБЩЕСТВО С ОГРАНИЧЕННОЙ ОТВЕТСТВЕННОСТЬЮ "КУЛМАКС-СБ"</t>
  </si>
  <si>
    <t>"КУЛМАКС-СБ"</t>
  </si>
  <si>
    <t>1655382970</t>
  </si>
  <si>
    <t>420108, ТАТАРСТАН РЕСП, КАЗАНЬ Г, ЗАЙНИ СУЛТАНА УЛ, ДОМ 17 А, ОФИС 4 А</t>
  </si>
  <si>
    <t>Цыганов Максим Валерьевич</t>
  </si>
  <si>
    <t>+7 (965) 605-72-14'</t>
  </si>
  <si>
    <t>53.235419,50.20765</t>
  </si>
  <si>
    <t>ОБЩЕСТВО С ОГРАНИЧЕННОЙ ОТВЕТСТВЕННОСТЬЮ "Альянс М"</t>
  </si>
  <si>
    <t>"Альянс М"</t>
  </si>
  <si>
    <t>1655227886</t>
  </si>
  <si>
    <t>420111, ТАТАРСТАН РЕСПУБЛИКА, Г. КАЗАНЬ, УЛ. БАУМАНА, Д.21</t>
  </si>
  <si>
    <t>Максимова Татьяна Юрьевна</t>
  </si>
  <si>
    <t>53.179308,50.208755</t>
  </si>
  <si>
    <t>1655419813</t>
  </si>
  <si>
    <t>420021, ТАТАРСТАН РЕСПУБЛИКА, ГОРОД КАЗАНЬ, УЛИЦА ЛЕВО-БУЛАЧНАЯ, ДОМ 56, ОФИС 27</t>
  </si>
  <si>
    <t>Гилязев Гадел Ахиярович</t>
  </si>
  <si>
    <t>53.262461,50.211575</t>
  </si>
  <si>
    <t>ОБЩЕСТВО С ОГРАНИЧЕННОЙ ОТВЕТСТВЕННОСТЬЮ "Растворно-бетонный узел"</t>
  </si>
  <si>
    <t>"Растворно-бетонный узел"</t>
  </si>
  <si>
    <t>1657096318</t>
  </si>
  <si>
    <t>420124, Республика Татарстан (Татарстан), г Казань, Ново-Савиновский район, ул Чистопольская д 34..</t>
  </si>
  <si>
    <t>Кузнецов Алексей Владимирович</t>
  </si>
  <si>
    <t>53.267804,50.218861</t>
  </si>
  <si>
    <t>ОБЩЕСТВО С ОГРАНИЧЕННОЙ ОТВЕТСТВЕННОСТЬЮ "БАЙСАР"</t>
  </si>
  <si>
    <t>"БАЙСАР"</t>
  </si>
  <si>
    <t>1657200368</t>
  </si>
  <si>
    <t>420103, ТАТАРСТАН РЕСПУБЛИКА, ГОРОД КАЗАНЬ, ПРОСПЕКТ ЯМАШЕВА, ДОМ 56,..</t>
  </si>
  <si>
    <t>Хабибуллин Руслан Камилевич</t>
  </si>
  <si>
    <t>53.259509,50.220451</t>
  </si>
  <si>
    <t>1655452200</t>
  </si>
  <si>
    <t>420012, ТАТАРСТАН РЕСП., Г. Казань, ПЕР. ЩЕРБАКОВСКИЙ, Д. 7, ПОМЕЩ. 261</t>
  </si>
  <si>
    <t>Сиразетдинов Радик Рафаэлевич</t>
  </si>
  <si>
    <t>56.342141,50.224628</t>
  </si>
  <si>
    <t>ОБЩЕСТВО С ОГРАНИЧЕННОЙ ОТВЕТСТВЕННОСТЬЮ "СЭД"</t>
  </si>
  <si>
    <t>"СЭД"</t>
  </si>
  <si>
    <t>1655439577</t>
  </si>
  <si>
    <t>420015, ТАТАРСТАН РЕСПУБЛИКА, ГОРОД КАЗАНЬ, УЛИЦА БОЛЬШАЯ КРАСНАЯ, ДОМ 50, ПОМЕЩЕНИЕ 15</t>
  </si>
  <si>
    <t>Семенов Эдуард Евдокимович</t>
  </si>
  <si>
    <t>53.21847,50.225625</t>
  </si>
  <si>
    <t>ОБЩЕСТВО С ОГРАНИЧЕННОЙ ОТВЕТСТВЕННОСТЬЮ "ЦСС"</t>
  </si>
  <si>
    <t>"ЦСС"</t>
  </si>
  <si>
    <t>1659173279</t>
  </si>
  <si>
    <t>420054, ТАТАРСТАН РЕСПУБЛИКА, Г. КАЗАНЬ, УЛ. ТЕХНИЧЕСКАЯ, Д. 52, ОФИС 209</t>
  </si>
  <si>
    <t>Шарипов Марат Мансурович</t>
  </si>
  <si>
    <t>+7 (927) 676-74-72'</t>
  </si>
  <si>
    <t>53.261313,50.225832</t>
  </si>
  <si>
    <t>ОБЩЕСТВО С ОГРАНИЧЕННОЙ ОТВЕТСТВЕННОСТЬЮ "Производственная коммерческая фирма "Гранит"</t>
  </si>
  <si>
    <t>"Производственная коммерческая фирма "Гранит"</t>
  </si>
  <si>
    <t>1624012961</t>
  </si>
  <si>
    <t>420126, Республика Татарстан (Татарстан), г Казань, просп ФАТЫХА АМИРХАНА д 14А..</t>
  </si>
  <si>
    <t>Пролеев Василий Иванович</t>
  </si>
  <si>
    <t>53.256686,50.226703</t>
  </si>
  <si>
    <t>ОБЩЕСТВО С ОГРАНИЧЕННОЙ ОТВЕТСТВЕННОСТЬЮ "ПРОИЗВОДСТВЕННО-СТРОИТЕЛЬНАЯ КОМПАНИЯ "ИНТРА"</t>
  </si>
  <si>
    <t>"ПРОИЗВОДСТВЕННО-СТРОИТЕЛЬНАЯ КОМПАНИЯ "ИНТРА"</t>
  </si>
  <si>
    <t>1657252341</t>
  </si>
  <si>
    <t>420126, ТАТАРСТАН РЕСПУБЛИКА, ГОРОД КАЗАНЬ, УЛИЦА ФАТЫХА АМИРХАНА, ДОМ 8 А,..</t>
  </si>
  <si>
    <t>Сергеев Сергей Андреевич</t>
  </si>
  <si>
    <t>53.131833,50.240753</t>
  </si>
  <si>
    <t>ОБЩЕСТВО С ОГРАНИЧЕННОЙ ОТВЕТСТВЕННОСТЬЮ "СТРОЙМЕТАЛЛИНДУСТРИЯ-С"</t>
  </si>
  <si>
    <t>"СТРОЙМЕТАЛЛИНДУСТРИЯ-С"</t>
  </si>
  <si>
    <t>1655380740</t>
  </si>
  <si>
    <t>420012, ТАТАРСТАН РЕСП, КАЗАНЬ Г, МУШТАРИ УЛ, ДОМ 12А, ПОМЕЩЕНИЕ 9</t>
  </si>
  <si>
    <t>Крайков Сергей Юрьевич</t>
  </si>
  <si>
    <t>+7 (917) 899-42-98'</t>
  </si>
  <si>
    <t>53.238173,50.245523</t>
  </si>
  <si>
    <t>1624017180</t>
  </si>
  <si>
    <t>422625, ТАТАРСТАН РЕСПУБЛИКА, РАЙОН ЛАИШЕВСКИЙ, СЕЛО ПЕСЧАНЫЕ КОВАЛИ, УЛИЦА ОКТЯБРЬСКАЯ, ДОМ 23А, ОФИС 1</t>
  </si>
  <si>
    <t>Дзюбов Игорь Дмитриевич</t>
  </si>
  <si>
    <t>evroblok@dk.ru'</t>
  </si>
  <si>
    <t>53.235715,50.250724</t>
  </si>
  <si>
    <t>ОБЩЕСТВО С ОГРАНИЧЕННОЙ ОТВЕТСТВЕННОСТЬЮ "ЗДСТРОЙ"</t>
  </si>
  <si>
    <t>"ЗДСТРОЙ"</t>
  </si>
  <si>
    <t>1659211830</t>
  </si>
  <si>
    <t>420059, ТАТАРСТАН РЕСПУБЛИКА, ГОРОД КАЗАНЬ, УЛИЦА ПАВЛЮХИНА, ДОМ 85, ОФИС 1</t>
  </si>
  <si>
    <t>Зиганшина Наиля Рафаилевна</t>
  </si>
  <si>
    <t>53.186453,50.257488</t>
  </si>
  <si>
    <t>1659216797</t>
  </si>
  <si>
    <t>420049, ТАТАРСТАН РЕСП., Г. Казань, УЛ. ГАЗОВАЯ, Д. 24, ПОМЕЩЕНИЕ 22</t>
  </si>
  <si>
    <t>Николаев Денис Валерьевич</t>
  </si>
  <si>
    <t>53.185918,50.258099</t>
  </si>
  <si>
    <t>ОБЩЕСТВО С ОГРАНИЧЕННОЙ ОТВЕТСТВЕННОСТЬЮ "КЗН-БЕТОН"</t>
  </si>
  <si>
    <t>"КЗН-БЕТОН"</t>
  </si>
  <si>
    <t>1655422421</t>
  </si>
  <si>
    <t>420043, ТАТАРСТАН РЕСПУБЛИКА, ГОРОД КАЗАНЬ, УЛИЦА КАЛИНИНА, ДОМ 69, ОФИС 21</t>
  </si>
  <si>
    <t>Шайхутдинов Алмаз Равгатович</t>
  </si>
  <si>
    <t>53.19967,50.261782</t>
  </si>
  <si>
    <t>ОБЩЕСТВО С ОГРАНИЧЕННОЙ ОТВЕТСТВЕННОСТЬЮ ПРОИЗВОДСТВЕННАЯ КОМПАНИЯ "ЗАВОД ЖЕЛЕЗОБЕТОННЫХ КОНСТРУКЦИЙ"</t>
  </si>
  <si>
    <t>ПРОИЗВОДСТВЕННАЯ КОМПАНИЯ "ЗАВОД ЖЕЛЕЗОБЕТОННЫХ КОНСТРУКЦИЙ"</t>
  </si>
  <si>
    <t>6321375764</t>
  </si>
  <si>
    <t>445143, САМАРСКАЯ ОБЛАСТЬ, Р-Н СТАВРОПОЛЬСКИЙ, С ПОДСТЕПКИ, УЛ. СОВЕТСКАЯ, Д. 154</t>
  </si>
  <si>
    <t>Кахнович Анатолий Евстафьевич</t>
  </si>
  <si>
    <t>+7 (927) 210-99-43'</t>
  </si>
  <si>
    <t>zzhbk@mail.ru'</t>
  </si>
  <si>
    <t>53.195209,50.264567</t>
  </si>
  <si>
    <t>ОБЩЕСТВО С ОГРАНИЧЕННОЙ ОТВЕТСТВЕННОСТЬЮ "СОТНЯ"</t>
  </si>
  <si>
    <t>"СОТНЯ"</t>
  </si>
  <si>
    <t>1683000446</t>
  </si>
  <si>
    <t>422826, ТАТАРСТАН РЕСП., Р-Н Камско-Устьинский, ПГТ. Куйбышевский Затон, УЛ. ГОРЬКОГО, Д. 32</t>
  </si>
  <si>
    <t>Макаров Александр Николаевич</t>
  </si>
  <si>
    <t>53.230444,50.266624</t>
  </si>
  <si>
    <t>ОБЩЕСТВО С ОГРАНИЧЕННОЙ ОТВЕТСТВЕННОСТЬЮ "ЖБИ КУЛОНСТРОЙ"</t>
  </si>
  <si>
    <t>"ЖБИ КУЛОНСТРОЙ"</t>
  </si>
  <si>
    <t>1660278445</t>
  </si>
  <si>
    <t>420087, ТАТАРСТАН РЕСП, Г. Казань, УЛ. ГВАРДЕЙСКАЯ, ЗД. 53, К. 3, ОФИС 305</t>
  </si>
  <si>
    <t>Абдулкин Булат Рудольфович</t>
  </si>
  <si>
    <t>kulonagro@mail.ru'</t>
  </si>
  <si>
    <t>53.221306,50.268798</t>
  </si>
  <si>
    <t>ОБЩЕСТВО С ОГРАНИЧЕННОЙ ОТВЕТСТВЕННОСТЬЮ "ЦВЕТ КАМНЯ"</t>
  </si>
  <si>
    <t>"ЦВЕТ КАМНЯ"</t>
  </si>
  <si>
    <t>1624447377</t>
  </si>
  <si>
    <t>Г КАЗАНЬ,УЛ Н ЕРШОВА Д 55В</t>
  </si>
  <si>
    <t>Родионов Вадим Анатольевич</t>
  </si>
  <si>
    <t>+7 (903) 342-68-42'</t>
  </si>
  <si>
    <t>53.233575,50.274889</t>
  </si>
  <si>
    <t>ОБЩЕСТВО С ОГРАНИЧЕННОЙ ОТВЕТСТВЕННОСТЬЮ "ПРОИЗВОДСТВО ЖБИ"</t>
  </si>
  <si>
    <t>"ПРОИЗВОДСТВО ЖБИ"</t>
  </si>
  <si>
    <t>1660346180</t>
  </si>
  <si>
    <t>420073, ТАТАРСТАН РЕСПУБЛИКА, ГОРОД КАЗАНЬ, УЛИЦА СЕДОВА, ДОМ 2, ЭТАЖ 3 ПОМЕЩЕНИЕ 24</t>
  </si>
  <si>
    <t>Денисов Дмитрий Евгеньевич</t>
  </si>
  <si>
    <t>55.866404,50.284626</t>
  </si>
  <si>
    <t>ОБЩЕСТВО С ОГРАНИЧЕННОЙ ОТВЕТСТВЕННОСТЬЮ "Завод ЖБИ "Кулонстрой"</t>
  </si>
  <si>
    <t>"Завод ЖБИ "Кулонстрой"</t>
  </si>
  <si>
    <t>1660180577</t>
  </si>
  <si>
    <t>420073, ТАТАРСТАН РЕСПУБЛИКА, ГОРОД КАЗАНЬ, УЛИЦА ГВАРДЕЙСКАЯ, 53</t>
  </si>
  <si>
    <t>Илалов Марат Мухамматович</t>
  </si>
  <si>
    <t>+7 (843) 295-57-27'</t>
  </si>
  <si>
    <t>53.204438,50.286782</t>
  </si>
  <si>
    <t>1660270936</t>
  </si>
  <si>
    <t>420029, ТАТАРСТАН РЕСПУБЛИКА, Г. КАЗАНЬ, УЛ. СИБИРСКИЙ ТРАКТ, Д. 13, ПОМЕЩ. 16</t>
  </si>
  <si>
    <t>Филимонов Александр Николаевич</t>
  </si>
  <si>
    <t>53.298076,50.287357</t>
  </si>
  <si>
    <t>ОБЩЕСТВО С ОГРАНИЧЕННОЙ ОТВЕТСТВЕННОСТЬЮ "ПРОИЗВОДСТВЕННАЯ КОМПАНИЯ СКАЛА"</t>
  </si>
  <si>
    <t>"ПРОИЗВОДСТВЕННАЯ КОМПАНИЯ СКАЛА"</t>
  </si>
  <si>
    <t>1660316919</t>
  </si>
  <si>
    <t>420029, ТАТАРСТАН РЕСПУБЛИКА, Г. КАЗАНЬ, УЛ. СИБИРСКИЙ ТРАКТ, Д. 13, ПОМЕЩ. 18</t>
  </si>
  <si>
    <t>pkskala@yandex.ru'</t>
  </si>
  <si>
    <t>53.250135,50.295739</t>
  </si>
  <si>
    <t>ОБЩЕСТВО С ОГРАНИЧЕННОЙ ОТВЕТСТВЕННОСТЬЮ "ПБР ПАРТНЕР"</t>
  </si>
  <si>
    <t>"ПБР ПАРТНЕР"</t>
  </si>
  <si>
    <t>1660363108</t>
  </si>
  <si>
    <t>420053, ТАТАРСТАН РЕСП., Г. Казань, УЛ. ВОЗВЫШЕННАЯ, Д. 21А</t>
  </si>
  <si>
    <t>Сепперов Салават Загитович</t>
  </si>
  <si>
    <t>2011@MAIL.RU'</t>
  </si>
  <si>
    <t>53.188174,50.298245</t>
  </si>
  <si>
    <t>1660347064</t>
  </si>
  <si>
    <t>420073, ТАТАРСТАН РЕСПУБЛИКА, ГОРОД КАЗАНЬ, УЛИЦА АДЕЛЯ КУТУЯ, ЗД 106Б, ПОМ 8</t>
  </si>
  <si>
    <t>Сунгатуллин Ленар Назипович</t>
  </si>
  <si>
    <t>53.236427,50.29997</t>
  </si>
  <si>
    <t>Общество с ограниченной ответственностью "Компания Хелп"</t>
  </si>
  <si>
    <t>"Компания Хелп"</t>
  </si>
  <si>
    <t>1660046878</t>
  </si>
  <si>
    <t>Г КАЗАНЬ,УЛ СИБИРСКИЙ ТРАКТ 2-Й ПЕРЕЕЗД</t>
  </si>
  <si>
    <t>Фазлиахметов Динар Фарисович</t>
  </si>
  <si>
    <t>+7 (843) 230-03-00'</t>
  </si>
  <si>
    <t>53.24347,50.308009</t>
  </si>
  <si>
    <t>ОБЩЕСТВО С ОГРАНИЧЕННОЙ ОТВЕТСТВЕННОСТЬЮ "Кристалл"</t>
  </si>
  <si>
    <t>"Кристалл"</t>
  </si>
  <si>
    <t>1659098504</t>
  </si>
  <si>
    <t>420110, Республика Татарстан (Татарстан), г Казань, Приволжский район, ул Хусаина Мавлютова д 23..</t>
  </si>
  <si>
    <t>Ризванов Тимур Фаритович</t>
  </si>
  <si>
    <t>ОБЩЕСТВО С ОГРАНИЧЕННОЙ ОТВЕТСТВЕННОСТЬЮ "ФАБРИКА ДЕКОРА"</t>
  </si>
  <si>
    <t>"ФАБРИКА ДЕКОРА"</t>
  </si>
  <si>
    <t>1660341658</t>
  </si>
  <si>
    <t>420053, ТАТАРСТАН РЕСПУБЛИКА, Г. КАЗАНЬ, УЛ. СИБИРСКИЙ ТРАКТ, Д. 49А, ОФИС 7</t>
  </si>
  <si>
    <t>Мальгин Константин Владимирович</t>
  </si>
  <si>
    <t>53.315278,50.308728</t>
  </si>
  <si>
    <t>ОБЩЕСТВО С ОГРАНИЧЕННОЙ ОТВЕТСТВЕННОСТЬЮ "БАСТИОН"</t>
  </si>
  <si>
    <t>"БАСТИОН"</t>
  </si>
  <si>
    <t>1660278678</t>
  </si>
  <si>
    <t>420061, ТАТАРСТАН РЕСПУБЛИКА, Г. КАЗАНЬ, УЛ. КОСМОНАВТОВ, Д. 39А, ПОМЕЩ. 18А</t>
  </si>
  <si>
    <t>Кузнецов Александр Юрьевич</t>
  </si>
  <si>
    <t>+7 (953) 897-77-77'</t>
  </si>
  <si>
    <t>53.241751,50.310228</t>
  </si>
  <si>
    <t>ОБЩЕСТВО С ОГРАНИЧЕННОЙ ОТВЕТСТВЕННОСТЬЮ "ПК "БЕТОНДОРСТРОЙ-КАЗАНЬ"</t>
  </si>
  <si>
    <t>"ПК "БЕТОНДОРСТРОЙ-КАЗАНЬ"</t>
  </si>
  <si>
    <t>1660357263</t>
  </si>
  <si>
    <t>420053, ТАТАРСТАН РЕСП., Г. Казань, УЛ. ЖУРНАЛИСТОВ, ЗД. 62, ОФИС 314</t>
  </si>
  <si>
    <t>Шайхиев Наиль Вакилевич</t>
  </si>
  <si>
    <t>53.261728,50.350491</t>
  </si>
  <si>
    <t>ОБЩЕСТВО С ОГРАНИЧЕННОЙ ОТВЕТСТВЕННОСТЬЮ "БЕРКАНА"</t>
  </si>
  <si>
    <t>"БЕРКАНА"</t>
  </si>
  <si>
    <t>1659182820</t>
  </si>
  <si>
    <t>420138, ТАТАРСТАН РЕСПУБЛИКА, Г. КАЗАНЬ, УЛ. ЮЛИУСА ФУЧИКА, Д. 2,..</t>
  </si>
  <si>
    <t>Фатихова Екатерина Сергеевна</t>
  </si>
  <si>
    <t>53.371956,50.356177</t>
  </si>
  <si>
    <t>ОБЩЕСТВО С ОГРАНИЧЕННОЙ ОТВЕТСТВЕННОСТЬЮ "ПОЛИМЕРЖБИКОМПЛЕКТ"</t>
  </si>
  <si>
    <t>"ПОЛИМЕРЖБИКОМПЛЕКТ"</t>
  </si>
  <si>
    <t>1624015070</t>
  </si>
  <si>
    <t>422624, ТАТАРСТАН РЕСПУБЛИКА, Р-Н ЛАИШЕВСКИЙ, С СТОЛБИЩЕ, УЛ. ОБЪЕЗДНАЯ, Д. 1А, ОФИС 2</t>
  </si>
  <si>
    <t>Зарипова Фарида Гильмеевна</t>
  </si>
  <si>
    <t>52.912646,50.373937</t>
  </si>
  <si>
    <t>ОБЩЕСТВО С ОГРАНИЧЕННОЙ ОТВЕТСТВЕННОСТЬЮ "СТРОИТЕЛЬНАЯ КОМПАНИЯ "ТАЛЬВЕГ"</t>
  </si>
  <si>
    <t>"СТРОИТЕЛЬНАЯ КОМПАНИЯ "ТАЛЬВЕГ"</t>
  </si>
  <si>
    <t>1660210863</t>
  </si>
  <si>
    <t>420140, Республика Татарстан (Татарстан), городской округ ГОРОД КАЗАНЬ, Город КАЗАНЬ, УЛ РОДИНЫ, ЗД. 41, ЛИТЕР 3, ПОМЕЩ. 16/3</t>
  </si>
  <si>
    <t>56.098928,50.411046</t>
  </si>
  <si>
    <t>ОБЩЕСТВО С ОГРАНИЧЕННОЙ ОТВЕТСТВЕННОСТЬЮ "ВБС"</t>
  </si>
  <si>
    <t>"ВБС"</t>
  </si>
  <si>
    <t>1624017600</t>
  </si>
  <si>
    <t>422616, ТАТАРСТАН РЕСПУБЛИКА, РАЙОН ЛАИШЕВСКИЙ, СЕЛО УСАДЫ, УЛИЦА ДСУ, ДОМ 2Б, ПОМЕЩЕНИЕ 1</t>
  </si>
  <si>
    <t>Трофимов Алексей Сергеевич</t>
  </si>
  <si>
    <t>53.497221,50.417272</t>
  </si>
  <si>
    <t>ОБЩЕСТВО С ОГРАНИЧЕННОЙ ОТВЕТСТВЕННОСТЬЮ "ЭМАКС"</t>
  </si>
  <si>
    <t>"ЭМАКС"</t>
  </si>
  <si>
    <t>1660322430</t>
  </si>
  <si>
    <t>420098, ТАТАРСТАН РЕСПУБЛИКА, ГОРОД КАЗАНЬ, ПРОСПЕКТ ПОБЕДЫ, ДОМ 142, ПОМ 1002, ОФИС 3</t>
  </si>
  <si>
    <t>Шадрин Максим Михайлович</t>
  </si>
  <si>
    <t>56.008269,50.443484</t>
  </si>
  <si>
    <t>ОБЩЕСТВО С ОГРАНИЧЕННОЙ ОТВЕТСТВЕННОСТЬЮ СТРОИТЕЛЬНО-БЕТОННАЯ КОМПАНИЯ "ЗОЛОТОЙ КВАДРАТ"</t>
  </si>
  <si>
    <t>СТРОИТЕЛЬНО-БЕТОННАЯ КОМПАНИЯ "ЗОЛОТОЙ КВАДРАТ"</t>
  </si>
  <si>
    <t>1659203558</t>
  </si>
  <si>
    <t>420141, ТАТАРСТАН РЕСПУБЛИКА, ГОРОД КАЗАНЬ, УЛИЦА КУЛ ГАЛИ, ДОМ 9/95,..</t>
  </si>
  <si>
    <t>+7 (962) 559-36-66'</t>
  </si>
  <si>
    <t>53.051884,50.498677</t>
  </si>
  <si>
    <t>ОБЩЕСТВО С ОГРАНИЧЕННОЙ ОТВЕТСТВЕННОСТЬЮ "СТРОЙ ЖБИ"</t>
  </si>
  <si>
    <t>"СТРОЙ ЖБИ"</t>
  </si>
  <si>
    <t>1624018321</t>
  </si>
  <si>
    <t>422624, ТАТАРСТАН РЕСПУБЛИКА, РАЙОН ЛАИШЕВСКИЙ, СЕЛО СТОЛБИЩЕ, УЛИЦА 9 МАЯ, ДОМ 20</t>
  </si>
  <si>
    <t>Саргандеев Василий Петрович</t>
  </si>
  <si>
    <t>53.262525,50.518305</t>
  </si>
  <si>
    <t>ОБЩЕСТВО С ОГРАНИЧЕННОЙ ОТВЕТСТВЕННОСТЬЮ "ВОЛГАБЕТОНСТРОЙ +"</t>
  </si>
  <si>
    <t>"ВОЛГАБЕТОНСТРОЙ +"</t>
  </si>
  <si>
    <t>1660274730</t>
  </si>
  <si>
    <t>420140, ТАТАРСТАН РЕСП, КАЗАНЬ Г, ЮЛИУСА ФУЧИКА УЛ, ДОМ 141,..</t>
  </si>
  <si>
    <t>Карымов Семен Борисович</t>
  </si>
  <si>
    <t>53.399067,50.568063</t>
  </si>
  <si>
    <t>ОБЩЕСТВО С ОГРАНИЧЕННОЙ ОТВЕТСТВЕННОСТЬЮ "ТОРГОВЫЙ ДОМ ЖБИ БРИЗ"</t>
  </si>
  <si>
    <t>"ЖБИ БРИЗ"</t>
  </si>
  <si>
    <t>1660301165</t>
  </si>
  <si>
    <t>420075, ТАТАРСТАН РЕСПУБЛИКА, Г. КАЗАНЬ, УЛ. ЛИПАТОВА, Д. 33, ПОМЕЩ. 1</t>
  </si>
  <si>
    <t>Ахтямов Марсель Мансурович</t>
  </si>
  <si>
    <t>+7 (919) 696-23-20'</t>
  </si>
  <si>
    <t>53.238501,50.614622</t>
  </si>
  <si>
    <t>ОБЩЕСТВО С ОГРАНИЧЕННОЙ ОТВЕТСТВЕННОСТЬЮ "УютСтрой"</t>
  </si>
  <si>
    <t>"УютСтрой"</t>
  </si>
  <si>
    <t>1656062771</t>
  </si>
  <si>
    <t>420141, ТАТАРСТАН РЕСПУБЛИКА, ГОРОД КАЗАНЬ, УЛИЦА ЮЛИУСА ФУЧИКА, ДОМ 82, ПОМЕЩЕНИНЕ 2</t>
  </si>
  <si>
    <t>Мустафаев Айдын Сабир Оглы</t>
  </si>
  <si>
    <t>+7 (843) 296-54-81', '+7 (843) 212-51-39'</t>
  </si>
  <si>
    <t>53.221047,50.635733</t>
  </si>
  <si>
    <t>ОБЩЕСТВО С ОГРАНИЧЕННОЙ ОТВЕТСТВЕННОСТЬЮ "БЕТОН СТОЛИЦА"</t>
  </si>
  <si>
    <t>"БЕТОН СТОЛИЦА"</t>
  </si>
  <si>
    <t>1659171095</t>
  </si>
  <si>
    <t>420141, ТАТАРСТАН РЕСПУБЛИКА, ГОРОД КАЗАНЬ, УЛИЦА ЮЛИУСА ФУЧИКА, ДОМ 62,..</t>
  </si>
  <si>
    <t>Ключникова Наталья Александровна</t>
  </si>
  <si>
    <t>+7 (843) 571-86-59'</t>
  </si>
  <si>
    <t>55.37105,50.638967</t>
  </si>
  <si>
    <t>ОБЩЕСТВО С ОГРАНИЧЕННОЙ ОТВЕТСТВЕННОСТЬЮ "ЛАИШЕВСКАЯ ПРОИЗВОДСТВЕННАЯ КОМПАНИЯ"</t>
  </si>
  <si>
    <t>"ЛАИШЕВСКАЯ ПРОИЗВОДСТВЕННАЯ КОМПАНИЯ"</t>
  </si>
  <si>
    <t>1655293688</t>
  </si>
  <si>
    <t>420140, ТАТАРСТАН РЕСПУБЛИКА, ГОРОД КАЗАНЬ, УЛИЦА ЮЛИУСА ФУЧИКА, ДОМ 98,..</t>
  </si>
  <si>
    <t>+7 (950) 666-16-66'</t>
  </si>
  <si>
    <t>ilida700@mail.ru'</t>
  </si>
  <si>
    <t>53.216378,50.640665</t>
  </si>
  <si>
    <t>1660248708</t>
  </si>
  <si>
    <t>420140, ТАТАРСТАН РЕСПУБЛИКА, ГОРОД КАЗАНЬ, УЛИЦА ЮЛИУСА ФУЧИКА, ДОМ 90 А, ПОМЕЩЕНИЕ 232</t>
  </si>
  <si>
    <t>Камалиев Рустем Кадырович</t>
  </si>
  <si>
    <t>+7 (906) 327-77-72'</t>
  </si>
  <si>
    <t>vikusec@mail.ru'</t>
  </si>
  <si>
    <t>55.376861,50.648651</t>
  </si>
  <si>
    <t>ОБЩЕСТВО С ОГРАНИЧЕННОЙ ОТВЕТСТВЕННОСТЬЮ "ПОЛИФАСАД"</t>
  </si>
  <si>
    <t>"ПОЛИФАСАД"</t>
  </si>
  <si>
    <t>6321379590</t>
  </si>
  <si>
    <t>445028, Самарская область, г Тольятти, ул Фрунзе, д 20,..</t>
  </si>
  <si>
    <t>Курочкин Олег Сергеевич</t>
  </si>
  <si>
    <t>56.522734,50.715683</t>
  </si>
  <si>
    <t>6321380267</t>
  </si>
  <si>
    <t>445028, Самарская область, г Тольятти, ул Фрунзе, д 35,..</t>
  </si>
  <si>
    <t>Веруш Евгений Владимирович</t>
  </si>
  <si>
    <t>+7 (960) 837-75-63', '+7 (929) 716-26-77'</t>
  </si>
  <si>
    <t>61.76945,50.746935</t>
  </si>
  <si>
    <t>Общество с ограниченной ответственностью "ПАЛЛАДА"</t>
  </si>
  <si>
    <t>"ПАЛЛАДА"</t>
  </si>
  <si>
    <t>6321317890</t>
  </si>
  <si>
    <t>САМАРСКАЯ ОБЛ.,Г ТОЛЬЯТТИ,УЛ РЕВОЛЮЦИОННАЯ, Д 52</t>
  </si>
  <si>
    <t>Буданов Андрей Константинович</t>
  </si>
  <si>
    <t>61.722538,50.776122</t>
  </si>
  <si>
    <t>ОБЩЕСТВО С ОГРАНИЧЕННОЙ ОТВЕТСТВЕННОСТЬЮ "ПК ЭЛИТ-ЖБИ"</t>
  </si>
  <si>
    <t>"ПК ЭЛИТ-ЖБИ"</t>
  </si>
  <si>
    <t>1616032308</t>
  </si>
  <si>
    <t>422710, ТАТАРСТАН РЕСПУБЛИКА, Р-Н ВЫСОКОГОРСКИЙ, Д ЧЕРНЫШЕВКА, УЛ. ЯХИНА, Д. 3,..</t>
  </si>
  <si>
    <t xml:space="preserve"> Директор Юмангулова Наталья Викторовна</t>
  </si>
  <si>
    <t>m4kh@yandex.ru'</t>
  </si>
  <si>
    <t>61.660099,50.801553</t>
  </si>
  <si>
    <t>ОБЩЕСТВО С ОГРАНИЧЕННОЙ ОТВЕТСТВЕННОСТЬЮ "ПК ЭЛИТЖБИ"</t>
  </si>
  <si>
    <t>"ПК ЭЛИТЖБИ"</t>
  </si>
  <si>
    <t>1683004803</t>
  </si>
  <si>
    <t>422710, Республика Татарстан (Татарстан), ВЫСОКОГОРСКИЙ, 2 ЧЕРНЫШЕВСКОЕ, Д ЧЕРНЫШЕВКА, УЛ ЯХИНА, Д. 3</t>
  </si>
  <si>
    <t>Юмангулова Наталья Викторовна</t>
  </si>
  <si>
    <t>61.656746,50.821316</t>
  </si>
  <si>
    <t>ОБЩЕСТВО С ОГРАНИЧЕННОЙ ОТВЕТСТВЕННОСТЬЮ "ПАРТНЕРПЛЮС"</t>
  </si>
  <si>
    <t>"ПАРТНЕРПЛЮС"</t>
  </si>
  <si>
    <t>6320041208</t>
  </si>
  <si>
    <t>445036, САМАРСКАЯ ОБЛАСТЬ, Г. ТОЛЬЯТТИ, УЛ. ЮБИЛЕЙНАЯ, Д. 1А, ОФИС 312</t>
  </si>
  <si>
    <t>Орликова Марина Владимировна</t>
  </si>
  <si>
    <t>61.666564,50.852703</t>
  </si>
  <si>
    <t>ОБЩЕСТВО С ОГРАНИЧЕННОЙ ОТВЕТСТВЕННОСТЬЮ "СТРОЙСИНДИКАТ"</t>
  </si>
  <si>
    <t>"СТРОЙСИНДИКАТ"</t>
  </si>
  <si>
    <t>6320048838</t>
  </si>
  <si>
    <t>445037, САМАРСКАЯ ОБЛАСТЬ, ГОРОД ТОЛЬЯТТИ, БУЛЬВАР ОРДЖОНИКИДЗЕ, ДОМ 7,..</t>
  </si>
  <si>
    <t>Степаненко Александр Николаевич</t>
  </si>
  <si>
    <t>56.18672,50.89222</t>
  </si>
  <si>
    <t>ОБЩЕСТВО С ОГРАНИЧЕННОЙ ОТВЕТСТВЕННОСТЬЮ "АВТОСТРОЙСЕРВИС"</t>
  </si>
  <si>
    <t>"АВТОСТРОЙСЕРВИС"</t>
  </si>
  <si>
    <t>6320049599</t>
  </si>
  <si>
    <t>445036, САМАРСКАЯ ОБЛАСТЬ, ГОРОД ТОЛЬЯТТИ, УЛИЦА ДЗЕРЖИНСКОГО, ДОМ 70, КОМ/ЭТАЖ 13/1</t>
  </si>
  <si>
    <t>Тяминов Рафаиль Рахимжанович</t>
  </si>
  <si>
    <t>56.167473,50.896604</t>
  </si>
  <si>
    <t>ОБЩЕСТВО С ОГРАНИЧЕННОЙ ОТВЕТСТВЕННОСТЬЮ "КУБАГРО СЕРВИС"</t>
  </si>
  <si>
    <t>"КУБАГРО СЕРВИС"</t>
  </si>
  <si>
    <t>1616024353</t>
  </si>
  <si>
    <t>422701, ТАТАРСТАН РЕСПУБЛИКА, РАЙОН ВЫСОКОГОРСКИЙ, СЕЛО ВЫСОКАЯ ГОРА, УЛИЦА ПОЛКОВАЯ, ДОМ 4, ОФИС 4</t>
  </si>
  <si>
    <t>Шарафиев Ранис Рамилевич</t>
  </si>
  <si>
    <t>+7 (843) 225-99-97'</t>
  </si>
  <si>
    <t>gbimarket@bk.ru'</t>
  </si>
  <si>
    <t>56.190592,50.914768</t>
  </si>
  <si>
    <t>ОБЩЕСТВО С ОГРАНИЧЕННОЙ ОТВЕТСТВЕННОСТЬЮ ПК "ЖБИ-МАРКЕТ"</t>
  </si>
  <si>
    <t>ПК "ЖБИ-МАРКЕТ"</t>
  </si>
  <si>
    <t>1616028372</t>
  </si>
  <si>
    <t>422701, РЕСПУБЛИКА ТАТАРСТАН (ТАТАРСТАН), ВЫСОКОГОРСКИЙ РАЙОН, С ВЫСОКАЯ ГОРА, УЛ ПОЛКОВАЯ Д 4 ОФ 4</t>
  </si>
  <si>
    <t>Каримов Рустем Хакимович</t>
  </si>
  <si>
    <t>+7 (987) 297-72-52'</t>
  </si>
  <si>
    <t>buhgbimarket@bk.ru'</t>
  </si>
  <si>
    <t>56.217115,51.033794</t>
  </si>
  <si>
    <t>ОБЩЕСТВО С ОГРАНИЧЕННОЙ ОТВЕТСТВЕННОСТЬЮ "КУБ"</t>
  </si>
  <si>
    <t>"КУБ"</t>
  </si>
  <si>
    <t>1616028929</t>
  </si>
  <si>
    <t>422701, ТАТАРСТАН РЕСПУБЛИКА, Р-Н ВЫСОКОГОРСКИЙ, С ВЫСОКАЯ ГОРА, УЛ. ПОЛКОВАЯ, Д. 4, ОФИС 9</t>
  </si>
  <si>
    <t>Хабибрахманов Ильнур Ибрагимович</t>
  </si>
  <si>
    <t>+7 (917) 931-06-40', '+7 (987) 062-10-53'</t>
  </si>
  <si>
    <t>mokinag@bk.ru'</t>
  </si>
  <si>
    <t>53.377978,51.353828</t>
  </si>
  <si>
    <t>ОБЩЕСТВО С ОГРАНИЧЕННОЙ ОТВЕТСТВЕННОСТЬЮ "ЖБИ-МАРКЕТ"</t>
  </si>
  <si>
    <t>"ЖБИ-МАРКЕТ"</t>
  </si>
  <si>
    <t>1616033855</t>
  </si>
  <si>
    <t>422701, ТАТАРСТАН РЕСП, Р-Н Высокогорский, С. Высокая Гора, УЛ. ПОЛКОВАЯ, Д. 4, ОФИС 4</t>
  </si>
  <si>
    <t>55.683889,51.387856</t>
  </si>
  <si>
    <t>ОБЩЕСТВО С ОГРАНИЧЕННОЙ ОТВЕТСТВЕННОСТЬЮ "БЕТОН ГРАНИТ"</t>
  </si>
  <si>
    <t>"БЕТОН ГРАНИТ"</t>
  </si>
  <si>
    <t>6321418457</t>
  </si>
  <si>
    <t>445043, САМАРСКАЯ ОБЛ., Г. Тольятти, Ш. ЮЖНОЕ, ЗД. 103А, ОФИС 4 КОМ. 3</t>
  </si>
  <si>
    <t>Мозин Дмитрий Вячеславович</t>
  </si>
  <si>
    <t>55.696844,51.393228</t>
  </si>
  <si>
    <t>ОБЩЕСТВО С ОГРАНИЧЕННОЙ ОТВЕТСТВЕННОСТЬЮ "БЕТОН ГРАНИТ КАЗАНЬ"</t>
  </si>
  <si>
    <t>"БЕТОН ГРАНИТ КАЗАНЬ"</t>
  </si>
  <si>
    <t>6324081579</t>
  </si>
  <si>
    <t>445043, Самарская область, городской округ ТОЛЬЯТТИ, Город ТОЛЬЯТТИ, Ш ЮЖНОЕ, ЗД. 103А, ОФИС 4, КОМ. 5</t>
  </si>
  <si>
    <t>+7 (927) 891-80-80', '+7 (917) 125-56-48'</t>
  </si>
  <si>
    <t>55.727328,51.399777</t>
  </si>
  <si>
    <t>ОБЩЕСТВО С ОГРАНИЧЕННОЙ ОТВЕТСТВЕННОСТЬЮ "ДОМ БРУСЧАТКИ"</t>
  </si>
  <si>
    <t>"ДОМ БРУСЧАТКИ"</t>
  </si>
  <si>
    <t>1616031209</t>
  </si>
  <si>
    <t>422700, ТАТАРСТАН РЕСПУБЛИКА, РАЙОН ВЫСОКОГОРСКИЙ, ПОСЕЛОК Ж/Д СТАНЦИИ ВЫСОКАЯ ГОРА, УЛИЦА ГАГАРИНА, ДОМ 38,..</t>
  </si>
  <si>
    <t>Абдулисламов Фанис Анисович</t>
  </si>
  <si>
    <t>+7 (987) 225-66-00'</t>
  </si>
  <si>
    <t>61.843977,51.684067</t>
  </si>
  <si>
    <t>ОБЩЕСТВО С ОГРАНИЧЕННОЙ ОТВЕТСТВЕННОСТЬЮ "СТРОЙАВТО"</t>
  </si>
  <si>
    <t>"СТРОЙАВТО"</t>
  </si>
  <si>
    <t>6382052834</t>
  </si>
  <si>
    <t>САМАРСКАЯ ОБЛ.,Г ТОЛЬЯТТИ,УЛ 40 ЛЕТ ПОБЕДЫ, Д 108,..</t>
  </si>
  <si>
    <t>Горбунов Виктор Александрович</t>
  </si>
  <si>
    <t>55.597876,51.777707</t>
  </si>
  <si>
    <t>ОБЩЕСТВО С ОГРАНИЧЕННОЙ ОТВЕТСТВЕННОСТЬЮ "ЗАВОД ЖБК"</t>
  </si>
  <si>
    <t>"ЗАВОД ЖБК"</t>
  </si>
  <si>
    <t>6324097603</t>
  </si>
  <si>
    <t>445043, САМАРСКАЯ ОБЛАСТЬ, ГОРОД ТОЛЬЯТТИ, УЛИЦА КОММУНАЛЬНАЯ, ДОМ 18, ЗДАНИЕ РСУ, ОФИС 1</t>
  </si>
  <si>
    <t>Головихин Владимир Николаевич</t>
  </si>
  <si>
    <t>buh@z-zhbk'</t>
  </si>
  <si>
    <t>55.633922,51.807316</t>
  </si>
  <si>
    <t>ОБЩЕСТВО С ОГРАНИЧЕННОЙ ОТВЕТСТВЕННОСТЬЮ "СТАРМ"</t>
  </si>
  <si>
    <t>"СТАРМ"</t>
  </si>
  <si>
    <t>6320066298</t>
  </si>
  <si>
    <t>445031, Самарская область, ТОЛЬЯТТИ, Г ТОЛЬЯТТИ, УЛ ТОПОЛИНАЯ, ВЛД. 4А</t>
  </si>
  <si>
    <t>Майоров Дмитрий Федорович</t>
  </si>
  <si>
    <t>STARM@TAKTILKA63.RU'</t>
  </si>
  <si>
    <t>55.628083,51.826441</t>
  </si>
  <si>
    <t>ОБЩЕСТВО С ОГРАНИЧЕННОЙ ОТВЕТСТВЕННОСТЬЮ "ЭЛКОМ СТРОЙ"</t>
  </si>
  <si>
    <t>"ЭЛКОМ СТРОЙ"</t>
  </si>
  <si>
    <t>6321237725</t>
  </si>
  <si>
    <t>445030, САМАРСКАЯ ОБЛАСТЬ, ГОРОД ТОЛЬЯТТИ, УЛИЦА 40 ЛЕТ ПОБЕДЫ, ДОМ 19-Б, ПОМЕЩЕНИЕ 1002</t>
  </si>
  <si>
    <t>Бакин Роман Викторович</t>
  </si>
  <si>
    <t>55.597958,51.842952</t>
  </si>
  <si>
    <t>ОБЩЕСТВО С ОГРАНИЧЕННОЙ ОТВЕТСТВЕННОСТЬЮ "СЕДЬМАЯ ПЛАНЕТА"</t>
  </si>
  <si>
    <t>"СЕДЬМАЯ ПЛАНЕТА"</t>
  </si>
  <si>
    <t>6382046573</t>
  </si>
  <si>
    <t>445140, САМАРСКАЯ ОБЛАСТЬ, РАЙОН СТАВРОПОЛЬСКИЙ, СЕЛО ТИМОФЕЕВКА, УЛИЦА СТРОИТЕЛЕЙ, 7, В</t>
  </si>
  <si>
    <t>Сацукевич Игорь Анатольевич</t>
  </si>
  <si>
    <t>55.599087,51.846231</t>
  </si>
  <si>
    <t>ОБЩЕСТВО С ОГРАНИЧЕННОЙ ОТВЕТСТВЕННОСТЬЮ "БЛОКИ"</t>
  </si>
  <si>
    <t>"БЛОКИ"</t>
  </si>
  <si>
    <t>6382077162</t>
  </si>
  <si>
    <t>445140, САМАРСКАЯ ОБЛАСТЬ, РАЙОН СТАВРОПОЛЬСКИЙ, СЕЛО ТИМОФЕЕВКА, УЛИЦА СТРОИТЕЛЕЙ, ДОМ 7В</t>
  </si>
  <si>
    <t>tofy@inbox.ru'</t>
  </si>
  <si>
    <t>54.060398,51.861421</t>
  </si>
  <si>
    <t>Общество с ограниченной ответственностью "Регион Техно Трейд"</t>
  </si>
  <si>
    <t>"Регион Техно Трейд"</t>
  </si>
  <si>
    <t>6321207801</t>
  </si>
  <si>
    <t>445140, САМАРСКАЯ ОБЛАСТЬ, РАЙОН СТАВРОПОЛЬСКИЙ, СЕЛО ТИМОФЕЕВКА, УЛИЦА МИРА, 2</t>
  </si>
  <si>
    <t>Лукошкин Евгений Васильевич</t>
  </si>
  <si>
    <t>rtt63@yandex.ru'</t>
  </si>
  <si>
    <t>55.761821,51.994156</t>
  </si>
  <si>
    <t>ОБЩЕСТВО С ОГРАНИЧЕННОЙ ОТВЕТСТВЕННОСТЬЮ "САНАР"</t>
  </si>
  <si>
    <t>"САНАР"</t>
  </si>
  <si>
    <t>6324071429</t>
  </si>
  <si>
    <t>445004, САМАРСКАЯ ОБЛ, ТОЛЬЯТТИ Г, 50 ЛЕТ ОКТЯБРЯ Б-Р, ДОМ 5,..</t>
  </si>
  <si>
    <t>Чистов Евгений Иванович</t>
  </si>
  <si>
    <t>55.328192,51.996519</t>
  </si>
  <si>
    <t>ОБЩЕСТВО С ОГРАНИЧЕННОЙ ОТВЕТСТВЕННОСТЬЮ "МАШТОРГ"</t>
  </si>
  <si>
    <t>"МАШТОРГ"</t>
  </si>
  <si>
    <t>6324092718</t>
  </si>
  <si>
    <t>445004, САМАРСКАЯ ОБЛАСТЬ, Г. ТОЛЬЯТТИ, УЛ. ТОЛСТОГО, Д. 20 "Б",..</t>
  </si>
  <si>
    <t>Анисимова Алина Леонидовна</t>
  </si>
  <si>
    <t>oksana@yandex.ru'</t>
  </si>
  <si>
    <t>55.278231,51.999609</t>
  </si>
  <si>
    <t>ОБЩЕСТВО С ОГРАНИЧЕННОЙ ОТВЕТСТВЕННОСТЬЮ "РЕНТАЛ"</t>
  </si>
  <si>
    <t>"РЕНТАЛ"</t>
  </si>
  <si>
    <t>6324087771</t>
  </si>
  <si>
    <t>445017, САМАРСКАЯ ОБЛАСТЬ, Г. ТОЛЬЯТТИ, УЛ. ЛЕНИНА, Д. 118, КОМ. 39,40</t>
  </si>
  <si>
    <t>geliosplus@yandex.ru'</t>
  </si>
  <si>
    <t>55.767367,52.006481</t>
  </si>
  <si>
    <t>ОБЩЕСТВО С ОГРАНИЧЕННОЙ ОТВЕТСТВЕННОСТЬЮ "ПРОМ-ГРУПП"</t>
  </si>
  <si>
    <t>"ПРОМ-ГРУПП"</t>
  </si>
  <si>
    <t>6320052087</t>
  </si>
  <si>
    <t>445036, Самарская область, городской округ ТОЛЬЯТТИ, Город ТОЛЬЯТТИ, УЛ ЮБИЛЕЙНАЯ, ВЛД. 1А, ЭТ/ПОМ/ОФ 3/29/319/5</t>
  </si>
  <si>
    <t>Царькова Марина Валерьевна</t>
  </si>
  <si>
    <t>55.751477,52.0079</t>
  </si>
  <si>
    <t>ОБЩЕСТВО С ОГРАНИЧЕННОЙ ОТВЕТСТВЕННОСТЬЮ "ВЛАДИСЛАВ"</t>
  </si>
  <si>
    <t>"ВЛАДИСЛАВ"</t>
  </si>
  <si>
    <t>6382038830</t>
  </si>
  <si>
    <t>445134, САМАРСКАЯ ОБЛАСТЬ, РАЙОН СТАВРОПОЛЬСКИЙ, СЕЛО НИЖНЕЕ САНЧЕЛЕЕВО, УЛИЦА СОВЕТСКАЯ, 93</t>
  </si>
  <si>
    <t>Арефьев Владимир Александрович</t>
  </si>
  <si>
    <t>55.76019,52.013928</t>
  </si>
  <si>
    <t>ОБЩЕСТВО С ОГРАНИЧЕННОЙ ОТВЕТСТВЕННОСТЬЮ "ГОРУС"</t>
  </si>
  <si>
    <t>"ГОРУС"</t>
  </si>
  <si>
    <t>6382091382</t>
  </si>
  <si>
    <t>445009, Самарская область, городской округ ТОЛЬЯТТИ, Город ТОЛЬЯТТИ, УЛ ЧАПАЕВА, Д. 149,..</t>
  </si>
  <si>
    <t>Гужов Сергей Геннадьевич</t>
  </si>
  <si>
    <t>55.754269,52.013955</t>
  </si>
  <si>
    <t>6323108891</t>
  </si>
  <si>
    <t>445009, САМАРСКАЯ ОБЛАСТЬ, Г. ТОЛЬЯТТИ, УЛ. НОВОПРОМЫШЛЕННАЯ, Д. 20А, ОФ/КОМНАТА 10/4</t>
  </si>
  <si>
    <t>Гардян Акоп Генрикович</t>
  </si>
  <si>
    <t>+7 (937) 233-87-28'</t>
  </si>
  <si>
    <t>55.757496,52.053939</t>
  </si>
  <si>
    <t>6330095146</t>
  </si>
  <si>
    <t>446250, Самарская область, муниципальный район БЕЗЕНЧУКСКИЙ, ПГТ БЕЗЕНЧУК, городское поселение БЕЗЕНЧУК, ЗОНА ВОСТОЧНАЯ ПРОМЗОНА, Д. 6, ОФИС 1</t>
  </si>
  <si>
    <t>55.766253,52.098612</t>
  </si>
  <si>
    <t>ОБЩЕСТВО С ОГРАНИЧЕННОЙ ОТВЕТСТВЕННОСТЬЮ "ЭКОРЕСУРС"</t>
  </si>
  <si>
    <t>"ЭКОРЕСУРС"</t>
  </si>
  <si>
    <t>6323007029</t>
  </si>
  <si>
    <t>САМАРСКАЯ ОБЛ.,Г ТОЛЬЯТТИ,УЛ НОВОЗАВОДСКАЯ, Д 7</t>
  </si>
  <si>
    <t>Малахов Александр Александрович</t>
  </si>
  <si>
    <t>+7 (846) 229-75-30'</t>
  </si>
  <si>
    <t>58.241535,52.111512</t>
  </si>
  <si>
    <t>ОБЩЕСТВО С ОГРАНИЧЕННОЙ ОТВЕТСТВЕННОСТЬЮ "Тольяттинский завод железобетонных изделий"</t>
  </si>
  <si>
    <t>"Тольяттинский завод железобетонных изделий"</t>
  </si>
  <si>
    <t>6324028776</t>
  </si>
  <si>
    <t>445610, САМАРСКАЯ ОБЛАСТЬ, Г. ТОЛЬЯТТИ, УЛ. ЛАРИНА, Д.136</t>
  </si>
  <si>
    <t xml:space="preserve"> Генеральный Директор Макаров Виктор Константинович</t>
  </si>
  <si>
    <t>tzzbi@mail.ru'</t>
  </si>
  <si>
    <t>55.673727,52.12116</t>
  </si>
  <si>
    <t>ОБЩЕСТВО С ОГРАНИЧЕННОЙ ОТВЕТСТВЕННОСТЬЮ "ТОЛЬЯТТИНСКИЙ КПД"</t>
  </si>
  <si>
    <t>"ТОЛЬЯТТИНСКИЙ КПД"</t>
  </si>
  <si>
    <t>6324104473</t>
  </si>
  <si>
    <t>445007, САМАРСКАЯ ОБЛАСТЬ, ГОРОД ТОЛЬЯТТИ, УЛИЦА ЛАРИНА, ДОМ 136</t>
  </si>
  <si>
    <t xml:space="preserve"> Общество С Ограниченной Ответственностью "Управляющая Компания Курс"</t>
  </si>
  <si>
    <t>52.808028,52.203877</t>
  </si>
  <si>
    <t>ОБЩЕСТВО С ОГРАНИЧЕННОЙ ОТВЕТСТВЕННОСТЬЮ "МОНОМАХ"</t>
  </si>
  <si>
    <t>"МОНОМАХ"</t>
  </si>
  <si>
    <t>6345013883</t>
  </si>
  <si>
    <t>445350, САМАРСКАЯ ОБЛАСТЬ, ГОРОД ЖИГУЛЕВСК, ШОССЕ МОСКОВСКОЕ, 53</t>
  </si>
  <si>
    <t>Голынский Павел Иосифович</t>
  </si>
  <si>
    <t>52.783454,52.226541</t>
  </si>
  <si>
    <t>ОБЩЕСТВО С ОГРАНИЧЕННОЙ ОТВЕТСТВЕННОСТЬЮ "СОЮЗ БЕТОН"</t>
  </si>
  <si>
    <t>"СОЮЗ БЕТОН"</t>
  </si>
  <si>
    <t>6382089256</t>
  </si>
  <si>
    <t>445046, Самарская область, ТОЛЬЯТТИ, Г ТОЛЬЯТТИ, УЛ ГРОМОВОЙ, Д. 6</t>
  </si>
  <si>
    <t>Чернов Дмитрий Сергеевич</t>
  </si>
  <si>
    <t>CHERNOV@MAIL.RU'</t>
  </si>
  <si>
    <t>56.438069,52.243277</t>
  </si>
  <si>
    <t>ОБЩЕСТВО С ОГРАНИЧЕННОЙ ОТВЕТСТВЕННОСТЬЮ "СТРОЙ-СНАБ"</t>
  </si>
  <si>
    <t>"СТРОЙ-СНАБ"</t>
  </si>
  <si>
    <t>1207016785</t>
  </si>
  <si>
    <t>425573, МАРИЙ ЭЛ РЕСПУБЛИКА, РАЙОН ПАРАНЬГИНСКИЙ, ДЕРЕВНЯ КУЯНКОВО, УЛИЦА ШКОЛЬНАЯ, ДОМ 7</t>
  </si>
  <si>
    <t>Вафин Альберт Хатифович</t>
  </si>
  <si>
    <t>52.770489,52.248577</t>
  </si>
  <si>
    <t>ОБЩЕСТВО С ОГРАНИЧЕННОЙ ОТВЕТСТВЕННОСТЬЮ "ТКК-СТРОЙ"</t>
  </si>
  <si>
    <t>"ТКК-СТРОЙ"</t>
  </si>
  <si>
    <t>6324062022</t>
  </si>
  <si>
    <t>445007, Самарская область, г Тольятти, ул Новозаводская, д 2 а, стр 119</t>
  </si>
  <si>
    <t>Бушлякова Наталья Валерьевна</t>
  </si>
  <si>
    <t>tkk@yandex.ru'</t>
  </si>
  <si>
    <t>52.772717,52.249089</t>
  </si>
  <si>
    <t>ОБЩЕСТВО С ОГРАНИЧЕННОЙ ОТВЕТСТВЕННОСТЬЮ "РИГЕЛЬ"</t>
  </si>
  <si>
    <t>"РИГЕЛЬ"</t>
  </si>
  <si>
    <t>6382089400</t>
  </si>
  <si>
    <t>445004, Самарская область, городской округ ТОЛЬЯТТИ, Город ТОЛЬЯТТИ, УЛ БАЗОВАЯ, ВЛД. 4, СТР. 2, ПОМЕЩ. 23</t>
  </si>
  <si>
    <t>Кузнецов Павел Анатольевич</t>
  </si>
  <si>
    <t>54.890427,52.266759</t>
  </si>
  <si>
    <t>6345011195</t>
  </si>
  <si>
    <t>САМАРСКАЯ ОБЛ.,Г ЖИГУЛЕВСК,УЛ ТКАЧЕВА, Д 135</t>
  </si>
  <si>
    <t>Мельников Дмитрий Геннадьевич</t>
  </si>
  <si>
    <t>+7 (927) 213-57-30'</t>
  </si>
  <si>
    <t>54.939672,52.268717</t>
  </si>
  <si>
    <t>ОБЩЕСТВО С ОГРАНИЧЕННОЙ ОТВЕТСТВЕННОСТЬЮ "4ГРАНИ"</t>
  </si>
  <si>
    <t>"4ГРАНИ"</t>
  </si>
  <si>
    <t>6324089546</t>
  </si>
  <si>
    <t>445045, САМАРСКАЯ ОБЛАСТЬ, ГОРОД ТОЛЬЯТТИ, УЛИЦА ЯРОСЛАВСКАЯ, ДОМ 12, СТРОЕНИЕ 18, КОМНАТА 1</t>
  </si>
  <si>
    <t>Попцов Владимир Иванович</t>
  </si>
  <si>
    <t>+7 (903) 331-27-80'</t>
  </si>
  <si>
    <t>54.902485,52.281581</t>
  </si>
  <si>
    <t>ОБЩЕСТВО С ОГРАНИЧЕННОЙ ОТВЕТСТВЕННОСТЬЮ "ТОРГОВЫЙ ДОМ "4ГРАНИ"</t>
  </si>
  <si>
    <t>""4ГРАНИ"</t>
  </si>
  <si>
    <t>6324094049</t>
  </si>
  <si>
    <t>445045, САМАРСКАЯ ОБЛАСТЬ, ГОРОД ТОЛЬЯТТИ, УЛИЦА ЯРОСЛАВСКАЯ, ДОМ 12, СТРОЕНИЕ  18, КОМНАТА  7</t>
  </si>
  <si>
    <t>Шалюпин Григорий Михайлович</t>
  </si>
  <si>
    <t>natalya@gmail.com'</t>
  </si>
  <si>
    <t>55.68463,52.289334</t>
  </si>
  <si>
    <t>ОБЩЕСТВО С ОГРАНИЧЕННОЙ ОТВЕТСТВЕННОСТЬЮ "КОНСТАНТА"</t>
  </si>
  <si>
    <t>"КОНСТАНТА"</t>
  </si>
  <si>
    <t>4345464681</t>
  </si>
  <si>
    <t>610912, КИРОВСКАЯ ОБЛАСТЬ, ГОРОД КИРОВ, ПОСЕЛОК ДОРОНИЧИ, УЛИЦА 10-Я УЛИЦА, ДОМ 3</t>
  </si>
  <si>
    <t>Петелин Денис Валерьевич</t>
  </si>
  <si>
    <t>buh@konstanta.ltd'</t>
  </si>
  <si>
    <t>55.652959,52.300706</t>
  </si>
  <si>
    <t>ОБЩЕСТВО С ОГРАНИЧЕННОЙ ОТВЕТСТВЕННОСТЬЮ "ИЗБА"</t>
  </si>
  <si>
    <t>"ИЗБА"</t>
  </si>
  <si>
    <t>6382071139</t>
  </si>
  <si>
    <t>445130, САМАРСКАЯ ОБЛАСТЬ, Р-Н СТАВРОПОЛЬСКИЙ, С ВАСИЛЬЕВКА, УЛ. ШОССЕЙНАЯ, Д. 22</t>
  </si>
  <si>
    <t>Коуров Петр Алексеевич</t>
  </si>
  <si>
    <t>54.890003,52.301829</t>
  </si>
  <si>
    <t>ОБЩЕСТВО С ОГРАНИЧЕННОЙ ОТВЕТСТВЕННОСТЬЮ "ЖБК ЗАВОД ПЕРЕМЫЧЕК"</t>
  </si>
  <si>
    <t>"ЖБК ЗАВОД ПЕРЕМЫЧЕК"</t>
  </si>
  <si>
    <t>6382082290</t>
  </si>
  <si>
    <t>445359, САМАРСКАЯ ОБЛАСТЬ, ГОРОД ЖИГУЛЕВСК, МИКРОРАЙОН В-1, ДОМ 7,..</t>
  </si>
  <si>
    <t>Ботарева Светлана Анатольевна</t>
  </si>
  <si>
    <t>55.686645,52.304551</t>
  </si>
  <si>
    <t>ОБЩЕСТВО С ОГРАНИЧЕННОЙ ОТВЕТСТВЕННОСТЬЮ "ЗАВОД СТРОИТЕЛЬНЫХ МАТЕРИАЛОВ И КОНСТРУКЦИЙ"</t>
  </si>
  <si>
    <t>"ЗАВОД СТРОИТЕЛЬНЫХ МАТЕРИАЛОВ И КОНСТРУКЦИЙ"</t>
  </si>
  <si>
    <t>2352048128</t>
  </si>
  <si>
    <t>445015, САМАРСКАЯ ОБЛАСТЬ, Г. ТОЛЬЯТТИ, УЛ. НИКОНОВА, Д. 52, СТР. 4, ПОМЕЩ. 1</t>
  </si>
  <si>
    <t>Масалова Валентина Васильевна</t>
  </si>
  <si>
    <t>+7 (918) 689-55-79', '+7 (960) 849-57-33'</t>
  </si>
  <si>
    <t>oooymp@mail.ru'</t>
  </si>
  <si>
    <t>55.881657,52.306123</t>
  </si>
  <si>
    <t>6321249167</t>
  </si>
  <si>
    <t>445015, САМАРСКАЯ ОБЛАСТЬ, Г. ТОЛЬЯТТИ, УЛ. НИКОНОВА, Д.52</t>
  </si>
  <si>
    <t>Банокин Александр Сергеевич</t>
  </si>
  <si>
    <t>+7 (960) 849-57-51'</t>
  </si>
  <si>
    <t>55.894768,52.307767</t>
  </si>
  <si>
    <t>ОБЩЕСТВО С ОГРАНИЧЕННОЙ ОТВЕТСТВЕННОСТЬЮ "ЗАВОД КПД"</t>
  </si>
  <si>
    <t>"ЗАВОД КПД"</t>
  </si>
  <si>
    <t>6324076748</t>
  </si>
  <si>
    <t>445015, САМАРСКАЯ ОБЛАСТЬ, ГОРОД ТОЛЬЯТТИ, УЛИЦА НИКОНОВА, ДОМ 52, ОФИС 17</t>
  </si>
  <si>
    <t>Пожидаев Роман Юрьевич</t>
  </si>
  <si>
    <t>+7 (919) 811-40-18'</t>
  </si>
  <si>
    <t>54.910959,52.308315</t>
  </si>
  <si>
    <t>7329035970</t>
  </si>
  <si>
    <t>433512, Ульяновская область, городской округ ГОРОД ДИМИТРОВГРАД, Город ДИМИТРОВГРАД, УЛ ТЕРЕШКОВОЙ, Д. 6,..</t>
  </si>
  <si>
    <t>Салиманов Евгений Яковлевич</t>
  </si>
  <si>
    <t>KO@MAIL.RU'</t>
  </si>
  <si>
    <t>54.900182,52.3088</t>
  </si>
  <si>
    <t>ОБЩЕСТВО С ОГРАНИЧЕННОЙ ОТВЕТСТВЕННОСТЬЮ "ДИМИТРОВГРАДСКИЕ СТРОИТЕЛЬНЫЕ СИСТЕМЫ"</t>
  </si>
  <si>
    <t>"ДИМИТРОВГРАДСКИЕ СТРОИТЕЛЬНЫЕ СИСТЕМЫ"</t>
  </si>
  <si>
    <t>7329026502</t>
  </si>
  <si>
    <t>433504, УЛЬЯНОВСКАЯ ОБЛАСТЬ, Г. ДИМИТРОВГРАД, УЛ. ПРОМЫШЛЕННАЯ, Д. 5, ОФИС 3</t>
  </si>
  <si>
    <t>Скворцов Олег Владимирович</t>
  </si>
  <si>
    <t>+7 (902) 244-15-74'</t>
  </si>
  <si>
    <t>55.689136,52.313247</t>
  </si>
  <si>
    <t>ОБЩЕСТВО С ОГРАНИЧЕННОЙ ОТВЕТСТВЕННОСТЬЮ "АСМАНТ"</t>
  </si>
  <si>
    <t>"АСМАНТ"</t>
  </si>
  <si>
    <t>1616029351</t>
  </si>
  <si>
    <t>422730, ТАТАРСТАН РЕСПУБЛИКА, Р-Н ВЫСОКОГОРСКИЙ, П Ж/Д РАЗЪЕЗДА КУРКАЧИ, УЛ. ГОРЬКОГО, Д. 2, ЛИТЕР Г, ОФИС 1</t>
  </si>
  <si>
    <t xml:space="preserve"> Директор Сафин Рафис Эдуардович</t>
  </si>
  <si>
    <t>+7 (905) 313-06-53', '+7 (965) 588-91-69'</t>
  </si>
  <si>
    <t>55.893869,52.318349</t>
  </si>
  <si>
    <t>6382086262</t>
  </si>
  <si>
    <t>445130, САМАРСКАЯ ОБЛ., Р-Н Ставропольский, П. Рассвет, УЛ. РОДНИКОВАЯ, Д. 2</t>
  </si>
  <si>
    <t>Панков Сергей Анатольевич</t>
  </si>
  <si>
    <t>55.894202,52.321341</t>
  </si>
  <si>
    <t>ОБЩЕСТВО С ОГРАНИЧЕННОЙ ОТВЕТСТВЕННОСТЬЮ "Каменный Цветок"</t>
  </si>
  <si>
    <t>"Каменный Цветок"</t>
  </si>
  <si>
    <t>7329000102</t>
  </si>
  <si>
    <t>433505, УЛЬЯНОВСКАЯ ОБЛАСТЬ, Г. ДИМИТРОВГРАД, УЛ. ОКТЯБРЬСКАЯ, Д. 65, ОФИС 1</t>
  </si>
  <si>
    <t>Чертухин Александр Васильевич</t>
  </si>
  <si>
    <t>55.647341,52.324107</t>
  </si>
  <si>
    <t>ОБЩЕСТВО С ОГРАНИЧЕННОЙ ОТВЕТСТВЕННОСТЬЮ "Аледар"</t>
  </si>
  <si>
    <t>"Аледар"</t>
  </si>
  <si>
    <t>7329006545</t>
  </si>
  <si>
    <t>433511, УЛЬЯНОВСКАЯ ОБЛАСТЬ, Г. ДИМИТРОВГРАД, УЛ. КУЙБЫШЕВА, Д.346, К.А</t>
  </si>
  <si>
    <t>Елистратов Олег Владимирович</t>
  </si>
  <si>
    <t>+7 (904) 199-58-85'</t>
  </si>
  <si>
    <t>55.679991,52.325141</t>
  </si>
  <si>
    <t>ОБЩЕСТВО С ОГРАНИЧЕННОЙ ОТВЕТСТВЕННОСТЬЮ "АЛФЕД"</t>
  </si>
  <si>
    <t>"АЛФЕД"</t>
  </si>
  <si>
    <t>7329032545</t>
  </si>
  <si>
    <t>433511, УЛЬЯНОВСКАЯ ОБЛАСТЬ, ГОРОД ДИМИТРОВГРАД, УЛИЦА КУЙБЫШЕВА, ДОМ 346А, ОФИС 1</t>
  </si>
  <si>
    <t>Осипов Александр Сергеевич</t>
  </si>
  <si>
    <t>elena_7310@mail.ru', 'elena_7310@mail.ru'</t>
  </si>
  <si>
    <t>55.686152,52.32992</t>
  </si>
  <si>
    <t>4345379940</t>
  </si>
  <si>
    <t>610050, Кировская область, г Киров, Ленинский район, просп Строителей, д 50 к 36</t>
  </si>
  <si>
    <t>Кузьмин Александр Михайлович</t>
  </si>
  <si>
    <t>+7 (912) 825-06-70'</t>
  </si>
  <si>
    <t>89195054282@mail.ru', 'Gena1987@gmail.com'</t>
  </si>
  <si>
    <t>55.704707,52.331734</t>
  </si>
  <si>
    <t>ОБЩЕСТВО С ОГРАНИЧЕННОЙ ОТВЕТСТВЕННОСТЬЮ "ЦЕХ ЖБИ ВМП "АВИТЕК"</t>
  </si>
  <si>
    <t>"ЦЕХ ЖБИ ВМП "АВИТЕК"</t>
  </si>
  <si>
    <t>4345065246</t>
  </si>
  <si>
    <t>610047, КИРОВСКАЯ ОБЛАСТЬ, ГОРОД КИРОВ, УЛИЦА НОВАТОРОВ, 13, А</t>
  </si>
  <si>
    <t>Брагин Дмитрий Юрьевич</t>
  </si>
  <si>
    <t>55.717132,52.336163</t>
  </si>
  <si>
    <t>ОБЩЕСТВО С ОГРАНИЧЕННОЙ ОТВЕТСТВЕННОСТЬЮ "ЗАВОД ЖЕЛЕЗОБЕТОННЫХ ИЗДЕЛИЙ И КОНСТРУКЦИЙ"</t>
  </si>
  <si>
    <t>"ЗАВОД ЖЕЛЕЗОБЕТОННЫХ ИЗДЕЛИЙ И КОНСТРУКЦИЙ"</t>
  </si>
  <si>
    <t>4345472410</t>
  </si>
  <si>
    <t>610014, КИРОВСКАЯ ОБЛАСТЬ, Г. КИРОВ, УЛ. ПРОИЗВОДСТВЕННАЯ, Д. 21, ОФИС 204/2</t>
  </si>
  <si>
    <t>Кочуров Сергей Иванович</t>
  </si>
  <si>
    <t>55.695144,52.340304</t>
  </si>
  <si>
    <t>ОБЩЕСТВО С ОГРАНИЧЕННОЙ ОТВЕТСТВЕННОСТЬЮ СК КОНТУР"</t>
  </si>
  <si>
    <t>СК КОНТУР"</t>
  </si>
  <si>
    <t>4345501608</t>
  </si>
  <si>
    <t>610035, КИРОВСКАЯ ОБЛАСТЬ, ГОРОД КИРОВ, УЛИЦА ЩОРСА, ДОМ 71, КОРПУС ПОМ 1017</t>
  </si>
  <si>
    <t>Мезенцев Павел Александрович</t>
  </si>
  <si>
    <t>55.695905,52.351506</t>
  </si>
  <si>
    <t>ОБЩЕСТВО С ОГРАНИЧЕННОЙ ОТВЕТСТВЕННОСТЬЮ "ЖБИ ГРУПП"</t>
  </si>
  <si>
    <t>"ЖБИ ГРУПП"</t>
  </si>
  <si>
    <t>4345502104</t>
  </si>
  <si>
    <t>610014, КИРОВСКАЯ ОБЛАСТЬ, ГОРОД КИРОВ, УЛИЦА ПРОИЗВОДСТВЕННАЯ, ДОМ 29, ПОМ 1016</t>
  </si>
  <si>
    <t>Лобанов Андрей Львович</t>
  </si>
  <si>
    <t>54.909375,52.354057</t>
  </si>
  <si>
    <t>ОБЩЕСТВО С ОГРАНИЧЕННОЙ ОТВЕТСТВЕННОСТЬЮ "АС ПРОМ"</t>
  </si>
  <si>
    <t>"АС ПРОМ"</t>
  </si>
  <si>
    <t>6623106038</t>
  </si>
  <si>
    <t>66-Свердловская область</t>
  </si>
  <si>
    <t>610047, КИРОВСКАЯ ОБЛАСТЬ, Г. КИРОВ, УЛ. СЕВЕРНАЯ НАБЕРЕЖНАЯ, Д. 19,..</t>
  </si>
  <si>
    <t>Сычев Сергей Александрович</t>
  </si>
  <si>
    <t>55.713867,52.356357</t>
  </si>
  <si>
    <t>ОБЩЕСТВО С ОГРАНИЧЕННОЙ ОТВЕТСТВЕННОСТЬЮ "АРБОЛИТ"</t>
  </si>
  <si>
    <t>"АРБОЛИТ"</t>
  </si>
  <si>
    <t>6139004996</t>
  </si>
  <si>
    <t>РОСТОВСКАЯ ОБЛ.,ШОЛОХОВСКИЙ Р-Н,СТ-ЦА ВЕШЕНСКАЯ,УЛ СОВЕТСКАЯ, 195</t>
  </si>
  <si>
    <t>Васько Владимир Николаевич</t>
  </si>
  <si>
    <t>+7 (989) 729-27-00', '+7 (863) 532-40-33'</t>
  </si>
  <si>
    <t>ОБЩЕСТВО С ОГРАНИЧЕННОЙ ОТВЕТСТВЕННОСТЬЮ "ВЕРНЫЙ ВЫБОР"</t>
  </si>
  <si>
    <t>"ВЕРНЫЙ ВЫБОР"</t>
  </si>
  <si>
    <t>4345466150</t>
  </si>
  <si>
    <t>610047, КИРОВСКАЯ ОБЛ, КИРОВ Г, МЕТАЛЛУРГОВ УЛ, ДОМ 12..</t>
  </si>
  <si>
    <t>Решетников Сергей Николаевич</t>
  </si>
  <si>
    <t>wear@mail.ru'</t>
  </si>
  <si>
    <t>55.713704,52.3641</t>
  </si>
  <si>
    <t>ОБЩЕСТВО С ОГРАНИЧЕННОЙ ОТВЕТСТВЕННОСТЬЮ "ИНТЕР"</t>
  </si>
  <si>
    <t>"ИНТЕР"</t>
  </si>
  <si>
    <t>4345465050</t>
  </si>
  <si>
    <t>610035, КИРОВСКАЯ ОБЛАСТЬ, Г. КИРОВ, УЛ. СУРИКОВА, Д. 15,..</t>
  </si>
  <si>
    <t>mezik43@gmail.com'</t>
  </si>
  <si>
    <t>55.730203,52.364999</t>
  </si>
  <si>
    <t>4345492569</t>
  </si>
  <si>
    <t>610035, КИРОВСКАЯ ОБЛ, КИРОВ Г, СУРИКОВА УЛ, ДОМ 15,..</t>
  </si>
  <si>
    <t>55.725235,52.367811</t>
  </si>
  <si>
    <t>АКЦИОНЕРНОЕ ОБЩЕСТВО "КИРОВСКИЙ ЗАВОД БЕТОННЫХ ИЗДЕЛИЙ"</t>
  </si>
  <si>
    <t>"КИРОВСКИЙ ЗАВОД БЕТОННЫХ ИЗДЕЛИЙ"</t>
  </si>
  <si>
    <t>4345473728</t>
  </si>
  <si>
    <t>610046, КИРОВСКАЯ ОБЛАСТЬ, Г. КИРОВ, УЛ. РОМАНА ЕРДЯКОВА, Д. 42, ПОМЕЩ. 14</t>
  </si>
  <si>
    <t>Котюргин Роман Васильевич</t>
  </si>
  <si>
    <t>kirov@mail.ru'</t>
  </si>
  <si>
    <t>55.720722,52.368502</t>
  </si>
  <si>
    <t>ОБЩЕСТВО С ОГРАНИЧЕННОЙ ОТВЕТСТВЕННОСТЬЮ "ПРОСМА ПЛЮС К"</t>
  </si>
  <si>
    <t>"ПРОСМА ПЛЮС К"</t>
  </si>
  <si>
    <t>4345271055</t>
  </si>
  <si>
    <t>610046, КИРОВСКАЯ ОБЛ, КИРОВ Г, РОМАНА ЕРДЯКОВА УЛ, 21</t>
  </si>
  <si>
    <t>Окатьев Алексей Александрович</t>
  </si>
  <si>
    <t>55.731308,52.371871</t>
  </si>
  <si>
    <t>ОБЩЕСТВО С ОГРАНИЧЕННОЙ ОТВЕТСТВЕННОСТЬЮ  "ЖЕЛЕЗОБЕТОННЫЙ КОМБИНАТ-8"</t>
  </si>
  <si>
    <t xml:space="preserve"> "ЖЕЛЕЗОБЕТОННЫЙ КОМБИНАТ-8"</t>
  </si>
  <si>
    <t>4345492463</t>
  </si>
  <si>
    <t>610000, КИРОВСКАЯ ОБЛАСТЬ, ГОРОД КИРОВ, УЛИЦА ЧАПАЕВА, ДОМ 51А,..</t>
  </si>
  <si>
    <t>Михеев Сергей Владимирович</t>
  </si>
  <si>
    <t>55.73333,52.378941</t>
  </si>
  <si>
    <t>ОБЩЕСТВО С ОГРАНИЧЕННОЙ ОТВЕТСТВЕННОСТЬЮ ТОРГОВЫЙ ДОМ "ЖЕЛЕЗОБЕТОННЫЕ КОНСТРУКЦИИ ЛЕПСЕ"</t>
  </si>
  <si>
    <t>"ЖЕЛЕЗОБЕТОННЫЕ КОНСТРУКЦИИ ЛЕПСЕ"</t>
  </si>
  <si>
    <t>4345418131</t>
  </si>
  <si>
    <t>http://жбикиров.рф</t>
  </si>
  <si>
    <t>610006, КИРОВСКАЯ ОБЛАСТЬ, Г. КИРОВ, ПР-КТ ОКТЯБРЬСКИЙ, Д. 67</t>
  </si>
  <si>
    <t>Погорелый Виктор Михайлович</t>
  </si>
  <si>
    <t>+7 (964) 256-73-75', '+7 (952) 046-59-12'</t>
  </si>
  <si>
    <t>55.741272,52.382381</t>
  </si>
  <si>
    <t>общество с ограниченной ответственностью "Вектор"</t>
  </si>
  <si>
    <t>"Вектор"</t>
  </si>
  <si>
    <t>4329012550</t>
  </si>
  <si>
    <t>610046, КИРОВСКАЯ ОБЛ., Г. Киров, УЛ. МОСКОВСКАЯ, Д. 78/1, ПОМЕЩ. 1002</t>
  </si>
  <si>
    <t>Праздников Николай Леонидович</t>
  </si>
  <si>
    <t>+7 (909) 130-20-70'</t>
  </si>
  <si>
    <t>55.723166,52.382705</t>
  </si>
  <si>
    <t>ОБЩЕСТВО С ОГРАНИЧЕННОЙ ОТВЕТСТВЕННОСТЬЮ "БС-СЕРВИС"</t>
  </si>
  <si>
    <t>"БС-СЕРВИС"</t>
  </si>
  <si>
    <t>4345453930</t>
  </si>
  <si>
    <t>610006, КИРОВСКАЯ ОБЛАСТЬ, ГОРОД КИРОВ, ПРОСПЕКТ ОКТЯБРЬСКИЙ, ДОМ 24, КОРПУС 12 ОФИС 3</t>
  </si>
  <si>
    <t>Вахитов Роман Наильевич</t>
  </si>
  <si>
    <t>ОБЩЕСТВО С ОГРАНИЧЕННОЙ ОТВЕТСТВЕННОСТЬЮ " Радужнинский завод ЖБИ"</t>
  </si>
  <si>
    <t>" Радужнинский завод ЖБИ"</t>
  </si>
  <si>
    <t>4345259058</t>
  </si>
  <si>
    <t>610010, КИРОВСКАЯ ОБЛ., Г. Киров, УЛ. ИНДУСТРИАЛЬНАЯ (РАДУЖНЫЙ МКР.), Д. 11, ОФИС 312</t>
  </si>
  <si>
    <t>Эсаулова Евгения Борисовна</t>
  </si>
  <si>
    <t>55.733619,52.383953</t>
  </si>
  <si>
    <t>4345137821</t>
  </si>
  <si>
    <t>610006, КИРОВСКАЯ ОБЛ., Г. Киров, ПР-Д БОЛЬНИЧНЫЙ, Д. 9, ПОМЕЩ. 1</t>
  </si>
  <si>
    <t>Баев Александр Николаевич</t>
  </si>
  <si>
    <t>55.733371,52.38531</t>
  </si>
  <si>
    <t>ОБЩЕСТВО С ОГРАНИЧЕННОЙ ОТВЕТСТВЕННОСТЬЮ "ЖБИ СТРОЙКОМПЛЕКТ"</t>
  </si>
  <si>
    <t>"ЖБИ СТРОЙКОМПЛЕКТ"</t>
  </si>
  <si>
    <t>4345311903</t>
  </si>
  <si>
    <t>610010, КИРОВСКАЯ ОБЛАСТЬ, ГОРОД КИРОВ, УЛИЦА АЛЕКСЕЕВСКАЯ (РАДУЖНЫЙ МКР.), ДОМ 11</t>
  </si>
  <si>
    <t>Атаев Атаназар Бердиевич</t>
  </si>
  <si>
    <t>55.733026,52.392011</t>
  </si>
  <si>
    <t>ОБЩЕСТВО С ОГРАНИЧЕННОЙ ОТВЕТСТВЕННОСТЬЮ "СТРОЙСНАБРЕСУРС"</t>
  </si>
  <si>
    <t>"СТРОЙСНАБРЕСУРС"</t>
  </si>
  <si>
    <t>4345446146</t>
  </si>
  <si>
    <t>610047, КИРОВСКАЯ ОБЛ, КИРОВ Г, ОКТЯБРЬСКИЙ ПРОСП, ДОМ 18 ОФИС 107 ЖБ</t>
  </si>
  <si>
    <t>Новоселов Юрий Владимирович</t>
  </si>
  <si>
    <t>basiki3@yandex.ru', 'oooccp16@gmail.com'</t>
  </si>
  <si>
    <t>55.751335,52.3975</t>
  </si>
  <si>
    <t>ОБЩЕСТВО С ОГРАНИЧЕННОЙ ОТВЕТСТВЕННОСТЬЮ "АСПЕКТ"</t>
  </si>
  <si>
    <t>"АСПЕКТ"</t>
  </si>
  <si>
    <t>4345517421</t>
  </si>
  <si>
    <t>610027, Кировская область, ГОРОД КИРОВ, Г КИРОВ, УЛ КАРЛА МАРКСА, Д. 118</t>
  </si>
  <si>
    <t>Рохина Татьяна Евгеньевна</t>
  </si>
  <si>
    <t>00737199@MAIL.RU'</t>
  </si>
  <si>
    <t>55.745407,52.398919</t>
  </si>
  <si>
    <t>4345508593</t>
  </si>
  <si>
    <t>610002, КИРОВСКАЯ ОБЛ., Г. Киров, УЛ. ОРЛОВСКАЯ, Д. 52, ПОМЕЩ. 1002 КАБИНЕТ 5</t>
  </si>
  <si>
    <t>Карпов Алексей Михайлович</t>
  </si>
  <si>
    <t>55.748346,52.39944</t>
  </si>
  <si>
    <t>ОБЩЕСТВО С ОГРАНИЧЕННОЙ ОТВЕТСТВЕННОСТЬЮ "СМ-СТРОЙ"</t>
  </si>
  <si>
    <t>"СМ-СТРОЙ"</t>
  </si>
  <si>
    <t>4345106301</t>
  </si>
  <si>
    <t>610002, КИРОВСКАЯ ОБЛ, КИРОВ Г, ОРЛОВСКАЯ УЛ, 55</t>
  </si>
  <si>
    <t>Перескоков Александр Александрович</t>
  </si>
  <si>
    <t>55.713623,52.403096</t>
  </si>
  <si>
    <t>ОБЩЕСТВО С ОГРАНИЧЕННОЙ ОТВЕТСТВЕННОСТЬЮ Производственно-техническая компания "МОДО"</t>
  </si>
  <si>
    <t>Производственно-техническая компания "МОДО"</t>
  </si>
  <si>
    <t>4345329940</t>
  </si>
  <si>
    <t>610020, КИРОВСКАЯ ОБЛАСТЬ, Г. КИРОВ, УЛ. ТРУДА, Д.37,..</t>
  </si>
  <si>
    <t>Блинцова Наталья Александровна</t>
  </si>
  <si>
    <t>55.736371,52.403159</t>
  </si>
  <si>
    <t>ОБЩЕСТВО С ОГРАНИЧЕННОЙ ОТВЕТСТВЕННОСТЬЮ ПРОИЗВОДСТВЕННО-КОММЕРЧЕСКАЯ ФИРМА "РИВЕТ"</t>
  </si>
  <si>
    <t>ПРОИЗВОДСТВЕННО-КОММЕРЧЕСКАЯ ФИРМА "РИВЕТ"</t>
  </si>
  <si>
    <t>4346046662</t>
  </si>
  <si>
    <t>610004, КИРОВСКАЯ ОБЛАСТЬ, Г. КИРОВ, УЛ. ЛЕНИНА, Д. 45,..</t>
  </si>
  <si>
    <t>Лейбович Алевтина Геннадьевна</t>
  </si>
  <si>
    <t>+7 (833) 240-09-84'</t>
  </si>
  <si>
    <t>55.741272,52.403662</t>
  </si>
  <si>
    <t>ОБЩЕСТВО С ОГРАНИЧЕННОЙ ОТВЕТСТВЕННОСТЬЮ "Теплостен-Вятка"</t>
  </si>
  <si>
    <t>"Теплостен-Вятка"</t>
  </si>
  <si>
    <t>4345322060</t>
  </si>
  <si>
    <t>610002, КИРОВСКАЯ ОБЛАСТЬ, ГОРОД КИРОВ, УЛИЦА ЛЕНИНА, ДОМ 85, ОФИС 3</t>
  </si>
  <si>
    <t>Загороднова Ольга Михайловна</t>
  </si>
  <si>
    <t>info@teplosten43.ru'</t>
  </si>
  <si>
    <t>55.757911,52.405288</t>
  </si>
  <si>
    <t>ОБЩЕСТВО С ОГРАНИЧЕННОЙ ОТВЕТСТВЕННОСТЬЮ "КИРОВСТРОЙКОНСТРУКЦИЯ"</t>
  </si>
  <si>
    <t>"КИРОВСТРОЙКОНСТРУКЦИЯ"</t>
  </si>
  <si>
    <t>4345452421</t>
  </si>
  <si>
    <t>610004, КИРОВСКАЯ ОБЛ, КИРОВ Г, ПРОФСОЮЗНАЯ УЛ, ДОМ 7, ОФИС 24 (ЭТАЖ МАНСАРДА)</t>
  </si>
  <si>
    <t>Братухин Александр Сергеевич</t>
  </si>
  <si>
    <t>Perspectiva@mail.ru'</t>
  </si>
  <si>
    <t>55.74861,52.408199</t>
  </si>
  <si>
    <t>4345511980</t>
  </si>
  <si>
    <t>610007, КИРОВСКАЯ ОБЛ., Г. Киров, УЛ. ЛЕНИНА, Д. 176,..</t>
  </si>
  <si>
    <t>Лучинина Кристина Михайловна</t>
  </si>
  <si>
    <t>LESOPITOMNIKI43@YANDEX.RU'</t>
  </si>
  <si>
    <t>6330067660</t>
  </si>
  <si>
    <t>446100, САМАРСКАЯ ОБЛАСТЬ, Г. ЧАПАЕВСК, УЛ. ЛЕНИНА, Д. 97</t>
  </si>
  <si>
    <t>Аллашов Озоджон Гулуматович</t>
  </si>
  <si>
    <t>+7 (927) 657-69-80'</t>
  </si>
  <si>
    <t>53.586291,52.416095</t>
  </si>
  <si>
    <t>ОБЩЕСТВО С ОГРАНИЧЕННОЙ ОТВЕТСТВЕННОСТЬЮ "ЭНЕРГОБЕТОН"</t>
  </si>
  <si>
    <t>"ЭНЕРГОБЕТОН"</t>
  </si>
  <si>
    <t>6318041507</t>
  </si>
  <si>
    <t>446116, САМАРСКАЯ ОБЛАСТЬ, Г. ЧАПАЕВСК, УЛ. ОРДЖОНИКИДЗЕ, Д. 17, КОМ. 20</t>
  </si>
  <si>
    <t>Терентьев Михаил Юрьевич</t>
  </si>
  <si>
    <t>fpv@energo-beton'</t>
  </si>
  <si>
    <t>55.759897,52.417406</t>
  </si>
  <si>
    <t>ОБЩЕСТВО С ОГРАНИЧЕННОЙ ОТВЕТСТВЕННОСТЬЮ "ЧАПАЕВСК СТРОЙДОМ"</t>
  </si>
  <si>
    <t>"ЧАПАЕВСК СТРОЙДОМ"</t>
  </si>
  <si>
    <t>6330081665</t>
  </si>
  <si>
    <t>446116, САМАРСКАЯ ОБЛАСТЬ, ГОРОД ЧАПАЕВСК, УЛИЦА СТРОИТЕЛЬНАЯ, ДОМ 7Г, КАБИНЕТ 4</t>
  </si>
  <si>
    <t>Жуплатова Екатерина Александровна</t>
  </si>
  <si>
    <t>+7 (927) 906-90-93'</t>
  </si>
  <si>
    <t>55.748777,52.418197</t>
  </si>
  <si>
    <t>ОБЩЕСТВО С ОГРАНИЧЕННОЙ ОТВЕТСТВЕННОСТЬЮ "КИРОВСКИЙ ЗАВОД ВИБРОПРЕССОВАННЫХ ИЗДЕЛИЙ"</t>
  </si>
  <si>
    <t>"КИРОВСКИЙ ЗАВОД ВИБРОПРЕССОВАННЫХ ИЗДЕЛИЙ"</t>
  </si>
  <si>
    <t>4345446940</t>
  </si>
  <si>
    <t>610008, КИРОВСКАЯ ОБЛ, КИРОВ Г, СОВЕТСКАЯ УЛ, ДОМ 40</t>
  </si>
  <si>
    <t>Платунов Александр Юрьевич</t>
  </si>
  <si>
    <t>+7 (922) 995-79-23'</t>
  </si>
  <si>
    <t>55.756528,52.423443</t>
  </si>
  <si>
    <t>4345138350</t>
  </si>
  <si>
    <t>610030, КИРОВСКАЯ ОБЛАСТЬ, Г. КИРОВ, УЛ. ФИЛАТОВА, Д.12, К.1</t>
  </si>
  <si>
    <t>Трапицын Геннадий Витальевич</t>
  </si>
  <si>
    <t>53.664135,52.424836</t>
  </si>
  <si>
    <t>ОБЩЕСТВО С ОГРАНИЧЕННОЙ ОТВЕТСТВЕННОСТЬЮ "БАЛКАМ"</t>
  </si>
  <si>
    <t>"БАЛКАМ"</t>
  </si>
  <si>
    <t>6439085788</t>
  </si>
  <si>
    <t>САРАТОВСКАЯ ОБЛ.,PП ОЗИНКИ,УЛ КУЙБЫШЕВА Д 17..</t>
  </si>
  <si>
    <t>Шамин Максим Николаевич</t>
  </si>
  <si>
    <t>+7 (927) 102-31-27'</t>
  </si>
  <si>
    <t>55.747236,52.428025</t>
  </si>
  <si>
    <t>ОБЩЕСТВО С ОГРАНИЧЕННОЙ ОТВЕТСТВЕННОСТЬЮ "МАЙНСКИЙ КИРПИЧНЫЙ ЗАВОД"</t>
  </si>
  <si>
    <t>"МАЙНСКИЙ КИРПИЧНЫЙ ЗАВОД"</t>
  </si>
  <si>
    <t>7329019488</t>
  </si>
  <si>
    <t>433555, Ульяновская область, Мелекесский район, рп Новая Майна, пер. Тепличный, д. 4а</t>
  </si>
  <si>
    <t>Малиновский Евгений Валерьевич</t>
  </si>
  <si>
    <t>+7 (927) 828-18-58'</t>
  </si>
  <si>
    <t>maffad3@yandex.ru', 'maffad3@yandex.ru'</t>
  </si>
  <si>
    <t>53.602948,52.428878</t>
  </si>
  <si>
    <t>ОБЩЕСТВО С ОГРАНИЧЕННОЙ ОТВЕТСТВЕННОСТЬЮ "БАРКО"</t>
  </si>
  <si>
    <t>"БАРКО"</t>
  </si>
  <si>
    <t>1609029897</t>
  </si>
  <si>
    <t>422013, ТАТАРСТАН РЕСПУБЛИКА, РАЙОН АРСКИЙ, СЕЛО ЧУЛПАНОВО, УЛИЦА М.ДЖАЛИЛЯ, ДОМ 11</t>
  </si>
  <si>
    <t>Мусина Надима Вагизовна</t>
  </si>
  <si>
    <t>55.679275,52.443206</t>
  </si>
  <si>
    <t>ОБЩЕСТВО С ОГРАНИЧЕННОЙ ОТВЕТСТВЕННОСТЬЮ "СТРОЙИЗДЕЛИЯ"</t>
  </si>
  <si>
    <t>"СТРОЙИЗДЕЛИЯ"</t>
  </si>
  <si>
    <t>1606006718</t>
  </si>
  <si>
    <t>422870, ТАТАРСТАН РЕСП, АЛЬКЕЕВСКИЙ Р-Н, БАЗАРНЫЕ МАТАКИ С, ЮЖНАЯ УЛ, 9</t>
  </si>
  <si>
    <t>Сафин Искэндер Марсильевич</t>
  </si>
  <si>
    <t>55.693723,52.45519</t>
  </si>
  <si>
    <t>9701071359</t>
  </si>
  <si>
    <t>613145, КИРОВСКАЯ ОБЛ, СЛОБОДСКОЙ Р-Н, ПЕРЕКОП Д, ДОМ 14</t>
  </si>
  <si>
    <t>Зязев Михаил Юрьевич</t>
  </si>
  <si>
    <t>+7 (912) 709-45-55'</t>
  </si>
  <si>
    <t>ОБЩЕСТВО С ОГРАНИЧЕННОЙ ОТВЕТСТВЕННОСТЬЮ ПРОИЗВОДСТВЕННО-КОММЕРЧЕСКАЯ ФИРМА "ЭНЕРГОКОМПЛЕКТ"</t>
  </si>
  <si>
    <t>ПРОИЗВОДСТВЕННО-КОММЕРЧЕСКАЯ ФИРМА "ЭНЕРГОКОМПЛЕКТ"</t>
  </si>
  <si>
    <t>4312155053</t>
  </si>
  <si>
    <t>613048, КИРОВСКАЯ ОБЛАСТЬ, ГОРОД КИРОВО-ЧЕПЕЦК, УЛИЦА ПРОИЗВОДСТВЕННАЯ, ДОМ 6, ЭТАЖ 2, КАБИНЕТ 1</t>
  </si>
  <si>
    <t>Перминова Юлия Александровна</t>
  </si>
  <si>
    <t>ОБЩЕСТВО С ОГРАНИЧЕННОЙ ОТВЕТСТВЕННОСТЬЮ "ИЛЛЮМИНАРТ"</t>
  </si>
  <si>
    <t>"ИЛЛЮМИНАРТ"</t>
  </si>
  <si>
    <t>4312150802</t>
  </si>
  <si>
    <t>http://prozrachny-beton.com</t>
  </si>
  <si>
    <t>613040, Кировская область, г Кирово-Чепецк, переулок Рабочий, д 2</t>
  </si>
  <si>
    <t>Дюкин Станислав Альфритович</t>
  </si>
  <si>
    <t>+7 (912) 734-43-31'</t>
  </si>
  <si>
    <t>katyaklek@yandex.ru', 'illuminart@mail.ru'</t>
  </si>
  <si>
    <t>55.688872,52.455513</t>
  </si>
  <si>
    <t>ОБЩЕСТВО С ОГРАНИЧЕННОЙ ОТВЕТСТВЕННОСТЬЮ "ПОЛИКРАФТ"</t>
  </si>
  <si>
    <t>"ПОЛИКРАФТ"</t>
  </si>
  <si>
    <t>6314048808</t>
  </si>
  <si>
    <t>443065, Самарская область, САМАРА, 4 КУЙБЫШЕВСКИЙ, Г САМАРА, УЛ ВОЛОГОДСКАЯ, Д. 14Б, ПОМЕЩ. 109</t>
  </si>
  <si>
    <t>Гейко Антон Викторович</t>
  </si>
  <si>
    <t>PC163@INBOX.RU'</t>
  </si>
  <si>
    <t>53.673668,52.460247</t>
  </si>
  <si>
    <t>6314033390</t>
  </si>
  <si>
    <t>http://samara-intek.ru</t>
  </si>
  <si>
    <t>443065, Самарская область, г Самара, ул Боровая, д 30, литера Т</t>
  </si>
  <si>
    <t>Штурмин Александр Николаевич</t>
  </si>
  <si>
    <t>+7 (846) 271-17-57'</t>
  </si>
  <si>
    <t>55.813799,52.541446</t>
  </si>
  <si>
    <t>ОБЩЕСТВО С ОГРАНИЧЕННОЙ ОТВЕТСТВЕННОСТЬЮ "ВОЛГОТРАНСЖЕЛЕЗОБЕТОН"</t>
  </si>
  <si>
    <t>"ВОЛГОТРАНСЖЕЛЕЗОБЕТОН"</t>
  </si>
  <si>
    <t>6314040319</t>
  </si>
  <si>
    <t>Г САМАРА,УЛ БОРОВАЯ, Д 30</t>
  </si>
  <si>
    <t>Платонова Оксана Николаевна</t>
  </si>
  <si>
    <t>+7 (846) 330-31-31', '+7 (846) 330-31-31'</t>
  </si>
  <si>
    <t>58.110846,52.656242</t>
  </si>
  <si>
    <t>ОБЩЕСТВО С ОГРАНИЧЕННОЙ ОТВЕТСТВЕННОСТЬЮ "ЧАПАЕВСКИЙ СИЛИКАТНЫЙ КИРПИЧ"</t>
  </si>
  <si>
    <t>"ЧАПАЕВСКИЙ СИЛИКАТНЫЙ КИРПИЧ"</t>
  </si>
  <si>
    <t>6330092064</t>
  </si>
  <si>
    <t>443065, Самарская область, городской округ САМАРА, Город САМАРА, внутригородской район городского округа КУЙБЫШЕВСКИЙ, УЛ БОРОВАЯ, Д. 30, КОМ. 25</t>
  </si>
  <si>
    <t>Шиахметов Рамис Рафаельевич</t>
  </si>
  <si>
    <t>58.135926,52.670974</t>
  </si>
  <si>
    <t>6314048886</t>
  </si>
  <si>
    <t>443004, Самарская область, городской округ САМАРА, Город САМАРА, внутригородской район городского округа КУЙБЫШЕВСКИЙ, УЛ ГРОЗНЕНСКАЯ, Д. 1, ПОМЕЩ. 11</t>
  </si>
  <si>
    <t>Журавлев Михаил Сергеевич</t>
  </si>
  <si>
    <t>52.514368,52.771558</t>
  </si>
  <si>
    <t>ОБЩЕСТВО С ОГРАНИЧЕННОЙ ОТВЕТСТВЕННОСТЬЮ "АЛМАЗ"</t>
  </si>
  <si>
    <t>"АЛМАЗ"</t>
  </si>
  <si>
    <t>6317131620</t>
  </si>
  <si>
    <t>443099, САМАРСКАЯ ОБЛАСТЬ, ГОРОД САМАРА, УЛИЦА ВОДНИКОВ, ДОМ 25, КОМНАТА 1</t>
  </si>
  <si>
    <t>Медведев Евгений Сергеевич</t>
  </si>
  <si>
    <t>56.532266,52.997547</t>
  </si>
  <si>
    <t>ОБЩЕСТВО С ОГРАНИЧЕННОЙ ОТВЕТСТВЕННОСТЬЮ "ДСК ГЕФЕСТ"</t>
  </si>
  <si>
    <t>"ДСК ГЕФЕСТ"</t>
  </si>
  <si>
    <t>6317154586</t>
  </si>
  <si>
    <t>443099, САМАРСКАЯ ОБЛ., Г. Самара, УЛ. КОМСОМОЛЬСКАЯ, Д. 37, ОФИС 1 "В"</t>
  </si>
  <si>
    <t>Ряднов Аркадий Викторович</t>
  </si>
  <si>
    <t>55.714561,53.075818</t>
  </si>
  <si>
    <t>Общество с ограниченной ответственностью "ФАРБШТАЙН"</t>
  </si>
  <si>
    <t>"ФАРБШТАЙН"</t>
  </si>
  <si>
    <t>6318167588</t>
  </si>
  <si>
    <t>http://farbstein-group.ru</t>
  </si>
  <si>
    <t>443099, САМАРСКАЯ ОБЛАСТЬ, Г. САМАРА, УЛ. КУЙБЫШЕВА, Д.15, СТРОЕНИЕ 1, ПОМЕЩЕНИЕ 30</t>
  </si>
  <si>
    <t>Шлыкова Юлия Витальевна</t>
  </si>
  <si>
    <t>+7 (927) 016-96-39', '+7 (846) 200-90-09'</t>
  </si>
  <si>
    <t>ОБЩЕСТВО С ОГРАНИЧЕННОЙ ОТВЕТСТВЕННОСТЬЮ "Михайловский завод силикатного кирпича"</t>
  </si>
  <si>
    <t>"Михайловский завод силикатного кирпича"</t>
  </si>
  <si>
    <t>3456001687</t>
  </si>
  <si>
    <t>ВОЛГОГРАДСКАЯ ОБЛ.,Г МИХАЙЛОВКА,УЛ ПРОМЫШЛЕННАЯ,14</t>
  </si>
  <si>
    <t>Сергеев Роман Анатольевич</t>
  </si>
  <si>
    <t>+7 (909) 382-34-70'</t>
  </si>
  <si>
    <t>info@mzsk.ru', 'mzsk@list.ru', 'buh@mzsk.ru'</t>
  </si>
  <si>
    <t>56.836037,53.136355</t>
  </si>
  <si>
    <t>6314040252</t>
  </si>
  <si>
    <t>443015, САМАРСКАЯ ОБЛАСТЬ, Г. САМАРА, ПЕР. РОСТОВСКИЙ, Д. 10, ЭТАЖ 2, ЛИТЕРА Б</t>
  </si>
  <si>
    <t>Анисимов Дмитрий Александрович</t>
  </si>
  <si>
    <t>56.840276,53.143712</t>
  </si>
  <si>
    <t>ОБЩЕСТВО С ОГРАНИЧЕННОЙ ОТВЕТСТВЕННОСТЬЮ "ПЛИТКОМ"</t>
  </si>
  <si>
    <t>"ПЛИТКОМ"</t>
  </si>
  <si>
    <t>3436011486</t>
  </si>
  <si>
    <t>ВОЛГОГРАДСКАЯ ОБЛ.,Г КАМЫШИН,УЛ НИЖНЯЯ,112</t>
  </si>
  <si>
    <t>Суворов Игорь Александрович</t>
  </si>
  <si>
    <t>56.776685,53.165155</t>
  </si>
  <si>
    <t>6314045557</t>
  </si>
  <si>
    <t>443101, САМАРСКАЯ ОБЛАСТЬ, ГОРОД САМАРА, УЛИЦА ХАСАНОВСКАЯ, ДОМ 45, СТРОЕНИЕ 2, КОМНАТА 12</t>
  </si>
  <si>
    <t>Титов Дмитрий Анатольевич</t>
  </si>
  <si>
    <t>mvs2011@yandex.ru'</t>
  </si>
  <si>
    <t>56.864812,53.180319</t>
  </si>
  <si>
    <t>ОБЩЕСТВО С ОГРАНИЧЕННОЙ ОТВЕТСТВЕННОСТЬЮ "РЕСУРС-ЖБИ"</t>
  </si>
  <si>
    <t>"РЕСУРС-ЖБИ"</t>
  </si>
  <si>
    <t>6312212918</t>
  </si>
  <si>
    <t>443092, Самарская область, городской округ САМАРА, Город САМАРА, внутригородской район городского округа КИРОВСКИЙ, УЛ ПОБЕДЫ, ВЛД. 121А, ОФИС 206/1</t>
  </si>
  <si>
    <t>Черников Александр Александрович</t>
  </si>
  <si>
    <t>55.30976,53.183364</t>
  </si>
  <si>
    <t>ОБЩЕСТВО С ОГРАНИЧЕННОЙ ОТВЕТСТВЕННОСТЬЮ "БАРС"</t>
  </si>
  <si>
    <t>"БАРС"</t>
  </si>
  <si>
    <t>6317131606</t>
  </si>
  <si>
    <t>446001, САМАРСКАЯ ОБЛАСТЬ, ГОРОД САМАРА, УЛИЦА УЛЬЯНОВСКАЯ, ДОМ 2А, ЭТАЖ 4, КОМНАТА 15</t>
  </si>
  <si>
    <t>56.786444,53.196075</t>
  </si>
  <si>
    <t>ОБЩЕСТВО С ОГРАНИЧЕННОЙ ОТВЕТСТВЕННОСТЬЮ "АК-БЕТОНКОМПЛЕКТ"</t>
  </si>
  <si>
    <t>"АК-БЕТОНКОМПЛЕКТ"</t>
  </si>
  <si>
    <t>1605008543</t>
  </si>
  <si>
    <t>422900, ТАТАРСТАН РЕСПУБЛИКА, РАЙОН АЛЕКСЕЕВСКИЙ, ПОСЕЛОК ГОРОДСКОГО ТИПА АЛЕКСЕЕВСКОЕ, УЛИЦА ШКОЛЬНАЯ, ДВЛД 13,..</t>
  </si>
  <si>
    <t>Пилишкин Сергей Николаевич</t>
  </si>
  <si>
    <t>56.861978,53.199839</t>
  </si>
  <si>
    <t>ОБЩЕСТВО С ОГРАНИЧЕННОЙ ОТВЕТСТВЕННОСТЬЮ"АВИС"</t>
  </si>
  <si>
    <t>"АВИС"</t>
  </si>
  <si>
    <t>6317131677</t>
  </si>
  <si>
    <t>443010, САМАРСКАЯ ОБЛАСТЬ, ГОРОД САМАРА, УЛИЦА МОЛОДОГВАРДЕЙСКАЯ, Д 172, ПОМ 16</t>
  </si>
  <si>
    <t>Фадеев Артём Дмитриевич</t>
  </si>
  <si>
    <t>56.852676,53.2069</t>
  </si>
  <si>
    <t>Общество с ограниченной ответственностью "СТРОЙ С НАМИ"</t>
  </si>
  <si>
    <t>"СТРОЙ С НАМИ"</t>
  </si>
  <si>
    <t>6314038197</t>
  </si>
  <si>
    <t>443101, САМАРСКАЯ ОБЛАСТЬ, ГОРОД САМАРА, УЛИЦА КАМЫШИНСКАЯ, ДОМ 28, СТРОЕНИЕ 1</t>
  </si>
  <si>
    <t>Гурцкаия Хатия Мамукаевна</t>
  </si>
  <si>
    <t>+7 (846) 330-48-36'</t>
  </si>
  <si>
    <t>ОБЩЕСТВО С ОГРАНИЧЕННОЙ ОТВЕТСТВЕННОСТЬЮ "ЖЕЛЕЗОБЕТОННЫЕ ИЗДЕЛИЯ - 63"</t>
  </si>
  <si>
    <t>"ЖЕЛЕЗОБЕТОННЫЕ ИЗДЕЛИЯ - 63"</t>
  </si>
  <si>
    <t>6318064046</t>
  </si>
  <si>
    <t>443101, САМАРСКАЯ ОБЛ., Г. Самара, УЛ. КАМЫШИНСКАЯ, ЗД. 28, СТР. 1, ПОМЕЩ. 2,8</t>
  </si>
  <si>
    <t>Самойлов Александр Максимович</t>
  </si>
  <si>
    <t>63@MAIL.RU'</t>
  </si>
  <si>
    <t>56.817774,53.209406</t>
  </si>
  <si>
    <t>ОБЩЕСТВО С ОГРАНИЧЕННОЙ ОТВЕТСТВЕННОСТЬЮ "СТРОИТЕЛЬНАЯ РЕМОНТНАЯ КОМПАНИЯ-ПРЕСТИЖ"</t>
  </si>
  <si>
    <t>"СТРОИТЕЛЬНАЯ РЕМОНТНАЯ КОМПАНИЯ-ПРЕСТИЖ"</t>
  </si>
  <si>
    <t>6316240017</t>
  </si>
  <si>
    <t>443041, САМАРСКАЯ ОБЛАСТЬ, ГОРОД САМАРА, УЛИЦА САДОВАЯ, ДОМ 156,..</t>
  </si>
  <si>
    <t>Тедикова Ирина Владимировна</t>
  </si>
  <si>
    <t>samara@yandex.ru'</t>
  </si>
  <si>
    <t>56.876166,53.210349</t>
  </si>
  <si>
    <t>ОБЩЕСТВО С ОГРАНИЧЕННОЙ ОТВЕТСТВЕННОСТЬЮ "ЭЛИУС"</t>
  </si>
  <si>
    <t>"ЭЛИУС"</t>
  </si>
  <si>
    <t>6319216968</t>
  </si>
  <si>
    <t>443001, САМАРСКАЯ ОБЛАСТЬ, ГОРОД САМАРА, УЛИЦА БРАТЬЕВ КОРОСТЕЛЕВЫХ, ДОМ 152, ПОМЕЩЕНИЕ №Н4</t>
  </si>
  <si>
    <t>Шульга Оксана Петровна</t>
  </si>
  <si>
    <t>ОБЩЕСТВО С ОГРАНИЧЕННОЙ ОТВЕТСТВЕННОСТЬЮ "АМИТЕГ"</t>
  </si>
  <si>
    <t>"АМИТЕГ"</t>
  </si>
  <si>
    <t>6315018309</t>
  </si>
  <si>
    <t>443041, САМАРСКАЯ ОБЛАСТЬ, Г. САМАРА, УЛ. БРАТЬЕВ КОРОСТЕЛЕВЫХ, Д. 154,..</t>
  </si>
  <si>
    <t>Медведева Ольга Петровна</t>
  </si>
  <si>
    <t>56.845598,53.21043</t>
  </si>
  <si>
    <t>ОБЩЕСТВО С ОГРАНИЧЕННОЙ ОТВЕТСТВЕННОСТЬЮ "ЗАВОД КЕРАМЗИТОБЕТОННЫХ БЛОКОВ №1"</t>
  </si>
  <si>
    <t>"ЗАВОД КЕРАМЗИТОБЕТОННЫХ БЛОКОВ №1"</t>
  </si>
  <si>
    <t>6315016069</t>
  </si>
  <si>
    <t>443001, Самарская область, городской округ САМАРА, Город САМАРА, внутригородской район городского округа ЛЕНИНСКИЙ, УЛ АРЦЫБУШЕВСКАЯ, Д. 145, КОМ. 203</t>
  </si>
  <si>
    <t>Максимов Максим Александрович</t>
  </si>
  <si>
    <t>+7 (960) 824-55-55'</t>
  </si>
  <si>
    <t>56.843506,53.213404</t>
  </si>
  <si>
    <t>6315014858</t>
  </si>
  <si>
    <t>443030, САМАРСКАЯ ОБЛАСТЬ, ГОРОД САМАРА, УЛИЦА ВИЛОНОВСКАЯ, ДОМ 138, ЭТАЖ 3, КОМНАТА 47</t>
  </si>
  <si>
    <t xml:space="preserve"> Общество С Ограниченной Ответственностью "Менеджмент Групп"</t>
  </si>
  <si>
    <t>info@gbi3.ru'</t>
  </si>
  <si>
    <t>56.831152,53.214895</t>
  </si>
  <si>
    <t>ОБЩЕСТВО С ОГРАНИЧЕННОЙ ОТВЕТСТВЕННОСТЬЮ "Завод ЖБИ-3"</t>
  </si>
  <si>
    <t>6318231949</t>
  </si>
  <si>
    <t>443041, САМАРСКАЯ ОБЛАСТЬ, ГОРОД САМАРА, УЛИЦА ВИЛОНОВСКАЯ, ДОМ 138, ЭТАЖ 3, КОМНАТА 28</t>
  </si>
  <si>
    <t>Диженина Елена Юрьевна</t>
  </si>
  <si>
    <t>+7 (846) 228-20-02'</t>
  </si>
  <si>
    <t>56.873431,53.215128</t>
  </si>
  <si>
    <t>ОБЩЕСТВО С ОГРАНИЧЕННОЙ ОТВЕТСТВЕННОСТЬЮ "ЖБИ-ВОЛГА"</t>
  </si>
  <si>
    <t>"ЖБИ-ВОЛГА"</t>
  </si>
  <si>
    <t>6311179866</t>
  </si>
  <si>
    <t>443030, САМАРСКАЯ ОБЛАСТЬ, ГОРОД САМАРА, УЛИЦА ЧЕРНОРЕЧЕНСКАЯ, ДОМ 2/1,..</t>
  </si>
  <si>
    <t>Плохотников Андрей Валерьевич</t>
  </si>
  <si>
    <t>Plokhotnikov2011@yandex.ru'</t>
  </si>
  <si>
    <t>56.873136,53.217868</t>
  </si>
  <si>
    <t>ОБЩЕСТВО С ОГРАНИЧЕННОЙ ОТВЕТСТВЕННОСТЬЮ "ЛСВ"</t>
  </si>
  <si>
    <t>"ЛСВ"</t>
  </si>
  <si>
    <t>6311189896</t>
  </si>
  <si>
    <t>443030, САМАРСКАЯ ОБЛ., Г. Самара, УЛ. МЕЧНИКОВА, Д. 5,..</t>
  </si>
  <si>
    <t>Логвинов Сергей Викторович</t>
  </si>
  <si>
    <t>56.845918,53.219126</t>
  </si>
  <si>
    <t>ОБЩЕСТВО С ОГРАНИЧЕННОЙ ОТВЕТСТВЕННОСТЬЮ "ВОЛГАБЕТОНСТРОЙ"</t>
  </si>
  <si>
    <t>"ВОЛГАБЕТОНСТРОЙ"</t>
  </si>
  <si>
    <t>6316232224</t>
  </si>
  <si>
    <t>443110, САМАРСКАЯ ОБЛАСТЬ, ГОРОД САМАРА, УЛИЦА ЧЕЛЮСКИНЦЕВ, ДОМ 10,..</t>
  </si>
  <si>
    <t>Борзов Владислав Александрович</t>
  </si>
  <si>
    <t>+7 (927) 298-04-23'</t>
  </si>
  <si>
    <t>56.849728,53.222423</t>
  </si>
  <si>
    <t>ОБЩЕСТВО С ОГРАНИЧЕННОЙ ОТВЕТСТВЕННОСТЬЮ "ПРАВОБЕРЕЖНЫЙ ЗАВОД СТРОЙКОНСТРУКЦИЙ"</t>
  </si>
  <si>
    <t>"ПРАВОБЕРЕЖНЫЙ ЗАВОД СТРОЙКОНСТРУКЦИЙ"</t>
  </si>
  <si>
    <t>6345025906</t>
  </si>
  <si>
    <t>443030, САМАРСКАЯ ОБЛАСТЬ, ГОРОД САМАРА, УЛИЦА ЮЗОВСКАЯ, ДОМ 3А, ОФИС 2</t>
  </si>
  <si>
    <t>Кокрин Денис Олегович</t>
  </si>
  <si>
    <t>pzsk@zaopzsk.ru'</t>
  </si>
  <si>
    <t>56.853676,53.223052</t>
  </si>
  <si>
    <t>ОБЩЕСТВО С ОГРАНИЧЕННОЙ ОТВЕТСТВЕННОСТЬЮ Производственно-строительная компания "Атлант"</t>
  </si>
  <si>
    <t>Производственно-строительная компания "Атлант"</t>
  </si>
  <si>
    <t>6316165031</t>
  </si>
  <si>
    <t>443086, САМАРСКАЯ ОБЛ., Г. Самара, УЛ. ЕРОШЕВСКОГО, Д. 3А, ОФИС 206</t>
  </si>
  <si>
    <t>Горин Михаил Владимирович</t>
  </si>
  <si>
    <t>+7 (846) 263-71-06', '+7 (846) 279-02-76', '+7 (846) 263-71-06'</t>
  </si>
  <si>
    <t>56.836283,53.227328</t>
  </si>
  <si>
    <t>ОБЩЕСТВО С ОГРАНИЧЕННОЙ ОТВЕТСТВЕННОСТЬЮ "ЭКОПОР"</t>
  </si>
  <si>
    <t>"ЭКОПОР"</t>
  </si>
  <si>
    <t>6316252252</t>
  </si>
  <si>
    <t>443079, САМАРСКАЯ ОБЛАСТЬ, Г. САМАРА, УЛ. ГАГАРИНА, Д. 12,..</t>
  </si>
  <si>
    <t>Сидоров Сергей Дмитриевич</t>
  </si>
  <si>
    <t>56.88404,53.227813</t>
  </si>
  <si>
    <t>ОБЩЕСТВО С ОГРАНИЧЕННОЙ ОТВЕТСТВЕННОСТЬЮ "ЖБИ КОЛЬЦО"</t>
  </si>
  <si>
    <t>"ЖБИ КОЛЬЦО"</t>
  </si>
  <si>
    <t>6311189014</t>
  </si>
  <si>
    <t>443093, САМАРСКАЯ ОБЛАСТЬ, ГОРОД САМАРА, УЛИЦА ПАРТИЗАНСКАЯ, ДОМ 82А, ОФИС 316</t>
  </si>
  <si>
    <t>Карасев Павел Андреевич</t>
  </si>
  <si>
    <t>56.84387,53.228271</t>
  </si>
  <si>
    <t>ОБЩЕСТВО С ОГРАНИЧЕННОЙ ОТВЕТСТВЕННОСТЬЮ ПРОИЗВОДСТВЕННАЯ КОМПАНИЯ "КУБ"</t>
  </si>
  <si>
    <t>ПРОИЗВОДСТВЕННАЯ КОМПАНИЯ "КУБ"</t>
  </si>
  <si>
    <t>6311189906</t>
  </si>
  <si>
    <t>443093, САМАРСКАЯ ОБЛ., Г. Самара, УЛ. ПАРТИЗАНСКАЯ, СТР. 82А, ОФИС 505</t>
  </si>
  <si>
    <t>Титов Артём Германович</t>
  </si>
  <si>
    <t>56.848355,53.237676</t>
  </si>
  <si>
    <t>ОБЩЕСТВО С ОГРАНИЧЕННОЙ ОТВЕТСТВЕННОСТЬЮ "МС ПЛЮС"</t>
  </si>
  <si>
    <t>"МС ПЛЮС"</t>
  </si>
  <si>
    <t>6316065291</t>
  </si>
  <si>
    <t>443080, САМАРСКАЯ ОБЛАСТЬ, ГОРОД САМАРА, УЛИЦА ГАРАЖНАЯ, ДОМ 10, КОМНАТА 22</t>
  </si>
  <si>
    <t>+7 (846) 375-24-25'</t>
  </si>
  <si>
    <t>nalogaudit63@mail.ru'</t>
  </si>
  <si>
    <t>56.836047,53.247378</t>
  </si>
  <si>
    <t>ОБЩЕСТВО С ОГРАНИЧЕННОЙ ОТВЕТСТВЕННОСТЬЮ  "АНКОР ЖБИ"</t>
  </si>
  <si>
    <t xml:space="preserve"> "АНКОР ЖБИ"</t>
  </si>
  <si>
    <t>6311194215</t>
  </si>
  <si>
    <t>443070, Самарская область, САМАРА, 4 ЖЕЛЕЗНОДОРОЖНЫЙ, Г САМАРА, УЛ ВЕРХНЕ-КАРЬЕРНАЯ, Д. 3А, К. 5</t>
  </si>
  <si>
    <t>Белый Андрей Дмитриевич</t>
  </si>
  <si>
    <t>56.835584,53.250971</t>
  </si>
  <si>
    <t>ОБЩЕСТВО С ОГРАНИЧЕННОЙ ОТВЕТСТВЕННОСТЬЮ "ТД СБЛОК"</t>
  </si>
  <si>
    <t>"ТД СБЛОК"</t>
  </si>
  <si>
    <t>6316208824</t>
  </si>
  <si>
    <t>443080, САМАРСКАЯ ОБЛАСТЬ, Г. САМАРА, ПР-КТ КАРЛА МАРКСА, Д. 192, ОФИС 317</t>
  </si>
  <si>
    <t>Филатов Владислав Геннадьевич</t>
  </si>
  <si>
    <t>56.833796,53.25549</t>
  </si>
  <si>
    <t>ОБЩЕСТВО С ОГРАНИЧЕННОЙ ОТВЕТСТВЕННОСТЬЮ "ЗАВОД ЖБИ-3"</t>
  </si>
  <si>
    <t>6316160114</t>
  </si>
  <si>
    <t>443011, САМАРСКАЯ ОБЛАСТЬ, Г. САМАРА, УЛ. СОВЕТСКОЙ АРМИИ, Д.251, К.А, ОФИС 306 А</t>
  </si>
  <si>
    <t>Дергунова Наталья Владимировна</t>
  </si>
  <si>
    <t>+7 (846) 228-20-02', '+7 (927) 757-33-59'</t>
  </si>
  <si>
    <t>56.746292,53.260664</t>
  </si>
  <si>
    <t>ОБЩЕСТВО С ОГРАНИЧЕННОЙ ОТВЕТСТВЕННОСТЬЮ "ТОРГОВО-ПРОИЗВОДСТВЕННАЯ КОМПАНИЯ "ВЕГА"</t>
  </si>
  <si>
    <t>"ТОРГОВО-ПРОИЗВОДСТВЕННАЯ КОМПАНИЯ "ВЕГА"</t>
  </si>
  <si>
    <t>6316265220</t>
  </si>
  <si>
    <t>443080, САМАРСКАЯ ОБЛАСТЬ, ГОРОД САМАРА, ШОССЕ МОСКОВСКОЕ, ДОМ 27,..</t>
  </si>
  <si>
    <t>Иванов Станислав Олегович</t>
  </si>
  <si>
    <t>56.919907,53.261473</t>
  </si>
  <si>
    <t>ОБЩЕСТВО С ОГРАНИЧЕННОЙ ОТВЕТСТВЕННОСТЬЮ "ИНКЛЮЗИВНЫЙ СТРОЙРЕСУРС"</t>
  </si>
  <si>
    <t>"ИНКЛЮЗИВНЫЙ СТРОЙРЕСУРС"</t>
  </si>
  <si>
    <t>6318066484</t>
  </si>
  <si>
    <t>443067, САМАРСКАЯ ОБЛ., Г. Самара, УЛ. АВРОРЫ, Д. 137, ОФИС 3 ЭТАЖ</t>
  </si>
  <si>
    <t>Скрыльник Алексей Александрович</t>
  </si>
  <si>
    <t>INC@YANDEX.RU'</t>
  </si>
  <si>
    <t>54.459808,53.273034</t>
  </si>
  <si>
    <t>ОБЩЕСТВО С ОГРАНИЧЕННОЙ ОТВЕТСТВЕННОСТЬЮ "БЛОК-СНАБ"</t>
  </si>
  <si>
    <t>"БЛОК-СНАБ"</t>
  </si>
  <si>
    <t>6318025657</t>
  </si>
  <si>
    <t>443080, САМАРСКАЯ ОБЛАСТЬ, Г. САМАРА, УЛ. ИВАНА БУЛКИНА, Д. 84, ЭТАЖ 4, ОФИС 21</t>
  </si>
  <si>
    <t>Файзуллина Татьяна Геннадьевна</t>
  </si>
  <si>
    <t>+7 (917) 906-60-70'</t>
  </si>
  <si>
    <t>56.876609,53.274534</t>
  </si>
  <si>
    <t>6318045029</t>
  </si>
  <si>
    <t>443045, САМАРСКАЯ ОБЛАСТЬ, ГОРОД САМАРА, УЛИЦА УССУРИЙСКАЯ, ДОМ 2А, ЭТАЖ  1, КОМНАТА  20</t>
  </si>
  <si>
    <t>Хударов Виктор Александрович</t>
  </si>
  <si>
    <t>evrobeton2015@mail.ru'</t>
  </si>
  <si>
    <t>56.870366,53.296417</t>
  </si>
  <si>
    <t>ОБЩЕСТВО С ОГРАНИЧЕННОЙ ОТВЕТСТВЕННОСТЬЮ "ПОДРЯДСТРОЙПРОМ"</t>
  </si>
  <si>
    <t>"ПОДРЯДСТРОЙПРОМ"</t>
  </si>
  <si>
    <t>6318243180</t>
  </si>
  <si>
    <t>443017, САМАРСКАЯ ОБЛАСТЬ, ГОРОД САМАРА, ШОССЕ ЗАВОДСКОЕ, 5</t>
  </si>
  <si>
    <t>Деменков Игорь Васильевич</t>
  </si>
  <si>
    <t>+7 (846) 261-62-66', '+7 (902) 371-30-71'</t>
  </si>
  <si>
    <t>besser63@mail.ru'</t>
  </si>
  <si>
    <t>56.859758,53.303774</t>
  </si>
  <si>
    <t>ОБЩЕСТВО С ОГРАНИЧЕННОЙ ОТВЕТСТВЕННОСТЬЮ "СКОБЯНАЯ ЛАВКА"</t>
  </si>
  <si>
    <t>"СКОБЯНАЯ ЛАВКА"</t>
  </si>
  <si>
    <t>6319073149</t>
  </si>
  <si>
    <t>Г САМАРА,УЛ ФАДЕЕВА, Д 44,..</t>
  </si>
  <si>
    <t>Лапушкин Юрий Викторович</t>
  </si>
  <si>
    <t>56.904492,53.312605</t>
  </si>
  <si>
    <t>ОБЩЕСТВО С ОГРАНИЧЕННОЙ ОТВЕТСТВЕННОСТЬЮ "Б-БЛОК"</t>
  </si>
  <si>
    <t>"Б-БЛОК"</t>
  </si>
  <si>
    <t>6318027975</t>
  </si>
  <si>
    <t>443017, САМАРСКАЯ ОБЛАСТЬ, ГОРОД САМАРА, ШОССЕ ЗАВОДСКОЕ, ДОМ 5, КОРПУС 1</t>
  </si>
  <si>
    <t>Кирсанова Екатерина Викторовна</t>
  </si>
  <si>
    <t>+7 (902) 371-30-71'</t>
  </si>
  <si>
    <t>56.890014,53.313647</t>
  </si>
  <si>
    <t>ОБЩЕСТВО С ОГРАНИЧЕННОЙ ОТВЕТСТВЕННОСТЬЮ "КРЕАТИВ-БЕТОН"</t>
  </si>
  <si>
    <t>"КРЕАТИВ-БЕТОН"</t>
  </si>
  <si>
    <t>6319216012</t>
  </si>
  <si>
    <t>443031, САМАРСКАЯ ОБЛАСТЬ, Г. САМАРА, ПР-КТ КИРОВА, Д. 435А, ОФИС 508</t>
  </si>
  <si>
    <t>Савинов Сергей Анатольевич</t>
  </si>
  <si>
    <t>+7 (846) 200-14-86'</t>
  </si>
  <si>
    <t>ОБЩЕСТВО С ОГРАНИЧЕННОЙ ОТВЕТСТВЕННОСТЬЮ "БАЙКАЛ"</t>
  </si>
  <si>
    <t>"БАЙКАЛ"</t>
  </si>
  <si>
    <t>6312064233</t>
  </si>
  <si>
    <t>443031, САМАРСКАЯ ОБЛАСТЬ, ГОРОД САМАРА, УЛИЦА ДЕМОКРАТИЧЕСКАЯ, ДОМ 30, ПОМЕЩЕНИЕ 12</t>
  </si>
  <si>
    <t>Елисеев Александр Аркадьевич</t>
  </si>
  <si>
    <t>+7 (846) 712-79-18', '+7 (846) 246-07-07'</t>
  </si>
  <si>
    <t>56.855974,53.342977</t>
  </si>
  <si>
    <t>ОБЩЕСТВО С ОГРАНИЧЕННОЙ ОТВЕТСТВЕННОСТЬЮ "СТРОЙ ПЛЮС"</t>
  </si>
  <si>
    <t>"СТРОЙ ПЛЮС"</t>
  </si>
  <si>
    <t>6319153235</t>
  </si>
  <si>
    <t>443031, САМАРСКАЯ ОБЛАСТЬ, ГОРОД САМАРА, УЛИЦА МОЛОДЕЖНАЯ, 8, 19</t>
  </si>
  <si>
    <t>Дерюгин Дмитрий Владимирович</t>
  </si>
  <si>
    <t>+7 (927) 297-88-88'</t>
  </si>
  <si>
    <t>56.792,53.361051</t>
  </si>
  <si>
    <t>ОБЩЕСТВО С ОГРАНИЧЕННОЙ ОТВЕТСТВЕННОСТЬЮ "АВАНГАРДСТРОЙ+"</t>
  </si>
  <si>
    <t>"АВАНГАРДСТРОЙ+"</t>
  </si>
  <si>
    <t>1612008488</t>
  </si>
  <si>
    <t>422250, ТАТАРСТАН РЕСПУБЛИКА, РАЙОН БАЛТАСИНСКИЙ, ПОСЕЛОК ГОРОДСКОГО ТИПА БАЛТАСИ, УЛИЦА Г.КАМАЛА, 20</t>
  </si>
  <si>
    <t>Магсумзянов Нияз Нурисламович</t>
  </si>
  <si>
    <t>+7 (937) 000-70-07'</t>
  </si>
  <si>
    <t>saba1@bk.ru'</t>
  </si>
  <si>
    <t>56.769415,53.399993</t>
  </si>
  <si>
    <t>6319230539</t>
  </si>
  <si>
    <t>443063, САМАРСКАЯ ОБЛАСТЬ, Г. САМАРА, УЛ. СТАВРОПОЛЬСКАЯ, Д. 45, КОМ. 17</t>
  </si>
  <si>
    <t>Нестеров Алексей Александрович</t>
  </si>
  <si>
    <t>nikolaymzimin@mail.ru'</t>
  </si>
  <si>
    <t>54.490083,53.449355</t>
  </si>
  <si>
    <t>ОБЩЕСТВО С ОГРАНИЧЕННОЙ ОТВЕТСТВЕННОСТЬЮ "ПРОМ-БЕТОН"</t>
  </si>
  <si>
    <t>"ПРОМ-БЕТОН"</t>
  </si>
  <si>
    <t>6319233071</t>
  </si>
  <si>
    <t>443115, САМАРСКАЯ ОБЛАСТЬ, Г. САМАРА, УЛ. ЗОИ КОСМОДЕМЬЯНСКОЙ, Д. 21, ОФИС 4-10</t>
  </si>
  <si>
    <t>Решетова Наталья Васильевна</t>
  </si>
  <si>
    <t>54.599581,53.468956</t>
  </si>
  <si>
    <t>ОБЩЕСТВО С ОГРАНИЧЕННОЙ ОТВЕТСТВЕННОСТЬЮ "ПРОМСТРОЙКОНТРОЛЬ"</t>
  </si>
  <si>
    <t>"ПРОМСТРОЙКОНТРОЛЬ"</t>
  </si>
  <si>
    <t>6319246930</t>
  </si>
  <si>
    <t>443122, САМАРСКАЯ ОБЛАСТЬ, ГОРОД САМАРА, УЛИЦА ГЕОРГИЯ ДИМИТРОВА, ДОМ 94,..</t>
  </si>
  <si>
    <t>Алемпьева Разия Адгамовна</t>
  </si>
  <si>
    <t>54.493043,53.478775</t>
  </si>
  <si>
    <t>ОБЩЕСТВО С ОГРАНИЧЕННОЙ ОТВЕТСТВЕННОСТЬЮ "АРМТАЙЛ"</t>
  </si>
  <si>
    <t>"АРМТАЙЛ"</t>
  </si>
  <si>
    <t>6317122753</t>
  </si>
  <si>
    <t>443012, САМАРСКАЯ ОБЛАСТЬ, ГОРОД САМАРА, ПОСЕЛОК РУБЕЖНОЕ, УЛИЦА КОЛОМИНСКАЯ, ДОМ 7</t>
  </si>
  <si>
    <t>Саакян Алик Рафаелович</t>
  </si>
  <si>
    <t>armtile@mail.ru'</t>
  </si>
  <si>
    <t>54.479147,53.509192</t>
  </si>
  <si>
    <t>ОБЩЕСТВО С ОГРАНИЧЕННОЙ ОТВЕТСТВЕННОСТЬЮ "ЯР-МОНОЛИТ"</t>
  </si>
  <si>
    <t>"ЯР-МОНОЛИТ"</t>
  </si>
  <si>
    <t>6312171059</t>
  </si>
  <si>
    <t>443035, САМАРСКАЯ ОБЛАСТЬ, ГОРОД САМАРА, УЛИЦА МИРНАЯ, ДОМ 162, ОФИС 326</t>
  </si>
  <si>
    <t>Назарян Альберт Джаншикович</t>
  </si>
  <si>
    <t>glavbyx09@rambler.ru'</t>
  </si>
  <si>
    <t>54.495234,53.514699</t>
  </si>
  <si>
    <t>ОБЩЕСТВО С ОГРАНИЧЕННОЙ ОТВЕТСТВЕННОСТЬЮ "ЗАВОД ЖБИ №289"</t>
  </si>
  <si>
    <t>"ЗАВОД ЖБИ №289"</t>
  </si>
  <si>
    <t>6312154984</t>
  </si>
  <si>
    <t>443035, САМАРСКАЯ ОБЛАСТЬ, Г. САМАРА, УЛ. ЧЕРЕМШАНСКАЯ, Д. 137,..</t>
  </si>
  <si>
    <t>Давыдова Татьяна Владимировна</t>
  </si>
  <si>
    <t>+7 (917) 944-16-63'</t>
  </si>
  <si>
    <t>54.483002,53.547263</t>
  </si>
  <si>
    <t>ОБЩЕСТВО С ОГРАНИЧЕННОЙ ОТВЕТСТВЕННОСТЬЮ "НОВАЯ ПЕРСПЕКТИВА"</t>
  </si>
  <si>
    <t>"НОВАЯ ПЕРСПЕКТИВА"</t>
  </si>
  <si>
    <t>6318030618</t>
  </si>
  <si>
    <t>443022, САМАРСКАЯ ОБЛАСТЬ, Г. САМАРА, УЛ. 22 ПАРТСЪЕЗДА, Д. 10А, ЛИТЕРА ФФ1, КОМНАТА 5</t>
  </si>
  <si>
    <t>Мареев Владимир Олегович</t>
  </si>
  <si>
    <t>RINA@SCADO63.RU'</t>
  </si>
  <si>
    <t>63.431728,53.578434</t>
  </si>
  <si>
    <t>6318033792</t>
  </si>
  <si>
    <t>443022, САМАРСКАЯ ОБЛАСТЬ, Г. САМАРА, УЛ. КАБЕЛЬНАЯ, Д. 1, ПОМЕЩ. 2</t>
  </si>
  <si>
    <t>Аргацкая Наталья Александровна</t>
  </si>
  <si>
    <t>+7 (967) 721-13-63'</t>
  </si>
  <si>
    <t>56.919691,53.610495</t>
  </si>
  <si>
    <t>ОБЩЕСТВО С ОГРАНИЧЕННОЙ ОТВЕТСТВЕННОСТЬЮ "ЭКОПОЛИБЕТОН"</t>
  </si>
  <si>
    <t>"ЭКОПОЛИБЕТОН"</t>
  </si>
  <si>
    <t>6318065226</t>
  </si>
  <si>
    <t>443022, САМАРСКАЯ ОБЛ., Г. Самара, Ш. ЗАВОДСКОЕ, Д. 11, ОФИС 428</t>
  </si>
  <si>
    <t>Афанасьев Евгений Александрович</t>
  </si>
  <si>
    <t>INFO@ECOPOLIBETON.RU'</t>
  </si>
  <si>
    <t>52.09943,53.640876</t>
  </si>
  <si>
    <t>ОБЩЕСТВО С ОГРАНИЧЕННОЙ ОТВЕТСТВЕННОСТЬЮ ПСК "ПЛАСТ-ДЕКОР"</t>
  </si>
  <si>
    <t>ПСК "ПЛАСТ-ДЕКОР"</t>
  </si>
  <si>
    <t>6318025287</t>
  </si>
  <si>
    <t>443022, САМАРСКАЯ ОБЛ., Г. Самара, ПР-Д ГАРАЖНЫЙ, Д. 3, КОМ. 23</t>
  </si>
  <si>
    <t>Тагунов Константин Сергеевич</t>
  </si>
  <si>
    <t>+7 (927) 731-75-83'</t>
  </si>
  <si>
    <t>54.601667,53.734894</t>
  </si>
  <si>
    <t>ОБЩЕСТВО С ОГРАНИЧЕННОЙ ОТВЕТСТВЕННОСТЬЮ "ЖБИ-ЗОЛИТ"</t>
  </si>
  <si>
    <t>"ЖБИ-ЗОЛИТ"</t>
  </si>
  <si>
    <t>6312162914</t>
  </si>
  <si>
    <t>443034, САМАРСКАЯ ОБЛАСТЬ, ГОРОД САМАРА, УЛИЦА СОВЕТСКАЯ, ДОМ 43, ОФИС 1</t>
  </si>
  <si>
    <t>Дворяткин Сергей Алексеевич</t>
  </si>
  <si>
    <t>+7 (927) 018-00-90'</t>
  </si>
  <si>
    <t>zolit@mail.ru'</t>
  </si>
  <si>
    <t>63.543737,53.740086</t>
  </si>
  <si>
    <t>ОБЩЕСТВО С ОГРАНИЧЕННОЙ ОТВЕТСТВЕННОСТЬЮ "ЖБИ-РЕСУРС"</t>
  </si>
  <si>
    <t>"ЖБИ-РЕСУРС"</t>
  </si>
  <si>
    <t>6312178470</t>
  </si>
  <si>
    <t>443092, САМАРСКАЯ ОБЛАСТЬ, ГОРОД САМАРА, УЛИЦА ПОБЕДЫ, ВЛД 121А, ОФИС 206</t>
  </si>
  <si>
    <t>Чакшов Сергей Александрович</t>
  </si>
  <si>
    <t>ecb163@rambler.ru'</t>
  </si>
  <si>
    <t>56.445867,53.759202</t>
  </si>
  <si>
    <t>ОБЩЕСТВО С ОГРАНИЧЕННОЙ ОТВЕТСТВЕННОСТЬЮ Производственно-торговая фирма "Эра"</t>
  </si>
  <si>
    <t>Производственно-торговая фирма "Эра"</t>
  </si>
  <si>
    <t>6318188637</t>
  </si>
  <si>
    <t>443051, САМАРСКАЯ ОБЛАСТЬ, Г. САМАРА, ПР-КТ МЕТАЛЛУРГОВ, Д.78</t>
  </si>
  <si>
    <t>Урусова Елена Валерьевна</t>
  </si>
  <si>
    <t>56.451046,53.764116</t>
  </si>
  <si>
    <t>ОБЩЕСТВО С ОГРАНИЧЕННОЙ ОТВЕТСТВЕННОСТЬЮ "КОМПАНИЯ "БЛОК"</t>
  </si>
  <si>
    <t>"КОМПАНИЯ "БЛОК"</t>
  </si>
  <si>
    <t>2801092568</t>
  </si>
  <si>
    <t>Г БЛАГОВЕЩЕНСК,УЛ МУХИНА, Д 110</t>
  </si>
  <si>
    <t>Канцуров Василий Александрович</t>
  </si>
  <si>
    <t>+7 (924) 444-94-04'</t>
  </si>
  <si>
    <t>block110@mail.ru'</t>
  </si>
  <si>
    <t>63.574846,53.767952</t>
  </si>
  <si>
    <t>БЛАГОВЕЩЕНСКАЯ СТРОИТЕЛЬНАЯ КОМПАНИЯ-ФОРМОВОЧНЫЙ ЗАВОД (ОБЩЕСТВО С ОГРАНИЧЕННОЙ ОТВЕТСТВЕННОСТЬЮ)</t>
  </si>
  <si>
    <t>БЛАГОВЕЩЕНСКАЯ СТРОИТЕЛЬНАЯ КОМПАНИЯ-ФОРМОВОЧНЫЙ ЗАВОД ()</t>
  </si>
  <si>
    <t>2801087127</t>
  </si>
  <si>
    <t>Г БЛАГОВЕЩЕНСК,УЛ БОЛЬНИЧНАЯ, Д 79/1</t>
  </si>
  <si>
    <t>56.458214,53.813541</t>
  </si>
  <si>
    <t>ОБЩЕСТВО С ОГРАНИЧЕННОЙ ОТВЕТСТВЕННОСТЬЮ "ПСФ "СпецТехСтрой"</t>
  </si>
  <si>
    <t>"ПСФ "СпецТехСтрой"</t>
  </si>
  <si>
    <t>1619005888</t>
  </si>
  <si>
    <t>422092, ТАТАРСТАН РЕСПУБЛИКА, Р-Н ТЮЛЯЧИНСКИЙ, П УЗЯК, УЛ. ХАЗИЕВА, Д.16</t>
  </si>
  <si>
    <t>Баязитова Розалия Шафиговна</t>
  </si>
  <si>
    <t>+7 (843) 571-89-87'</t>
  </si>
  <si>
    <t>55.9015,53.923109</t>
  </si>
  <si>
    <t>ОБЩЕСТВО С ОГРАНИЧЕННОЙ ОТВЕТСТВЕННОСТЬЮ "ДВС-ГРУПП"</t>
  </si>
  <si>
    <t>"ДВС-ГРУПП"</t>
  </si>
  <si>
    <t>6316139338</t>
  </si>
  <si>
    <t>443052, Самарская область, городской округ САМАРА, Город САМАРА, внутригородской район городского округа ПРОМЫШЛЕННЫЙ, ПЕР ЛЬГОВСКИЙ, Д. 6, ОФИС 6</t>
  </si>
  <si>
    <t>Чекменев Дмитрий Игорьевич</t>
  </si>
  <si>
    <t>+7 (846) 270-42-60', '+7 (846) 224-99-04', '+7 (846) 270-42-66'</t>
  </si>
  <si>
    <t>55.234692,53.934715</t>
  </si>
  <si>
    <t>6313547762</t>
  </si>
  <si>
    <t>443028, САМАРСКАЯ ОБЛАСТЬ, Г. САМАРА, Ш. МОСКОВСКОЕ (20 КМ)</t>
  </si>
  <si>
    <t>Болотина Татьяна Николаевна</t>
  </si>
  <si>
    <t>novas2012@yandex.ru'</t>
  </si>
  <si>
    <t>56.954282,53.947902</t>
  </si>
  <si>
    <t>АКЦИОНЕРНОЕ ОБЩЕСТВО "ЖЕЛЕЗОБЕТОН"</t>
  </si>
  <si>
    <t>6312000222</t>
  </si>
  <si>
    <t>Г САМАРА,УЛ ОЛИМПИЙСКАЯ, Д 65</t>
  </si>
  <si>
    <t>Вершков Сергей Геннадьевич</t>
  </si>
  <si>
    <t>+7 (846) 958-26-72', '+7 (846) 958-98-66', '+7 (846) 958-26-72'</t>
  </si>
  <si>
    <t>zhbinfo@bk.ru'</t>
  </si>
  <si>
    <t>57.049138,53.98776</t>
  </si>
  <si>
    <t>ОБЩЕСТВО С ОГРАНИЧЕННОЙ ОТВЕТСТВЕННОСТЬЮ "САМАРСКИЙ ЗАВОД ЖЕЛЕЗОБЕТОННЫХ ИЗДЕЛИЙ"</t>
  </si>
  <si>
    <t>"САМАРСКИЙ ЗАВОД ЖЕЛЕЗОБЕТОННЫХ ИЗДЕЛИЙ"</t>
  </si>
  <si>
    <t>6319179297</t>
  </si>
  <si>
    <t>443034, САМАРСКАЯ ОБЛАСТЬ, Г. САМАРА, ПР-КТ КИРОВА, Д. 2</t>
  </si>
  <si>
    <t>Бараев Михаил Владимирович</t>
  </si>
  <si>
    <t>57.065628,53.990428</t>
  </si>
  <si>
    <t>ОБЩЕСТВО С ОГРАНИЧЕННОЙ ОТВЕТСТВЕННОСТЬЮ "БИНОКОР"</t>
  </si>
  <si>
    <t>"БИНОКОР"</t>
  </si>
  <si>
    <t>6312127620</t>
  </si>
  <si>
    <t>443044, САМАРСКАЯ ОБЛАСТЬ, ГОРОД САМАРА, ПОСЕЛОК ЗУБЧАНИНОВКА, УЛИЦА МЕТАЛЛУРГИЧЕСКАЯ, 51, ОФИС 19</t>
  </si>
  <si>
    <t>Максудов Наим Исмоилович</t>
  </si>
  <si>
    <t>+7 (917) 018-03-12'</t>
  </si>
  <si>
    <t>57.048663,54.002619</t>
  </si>
  <si>
    <t>ОБЩЕСТВО С ОГРАНИЧЕННОЙ ОТВЕТСТВЕННОСТЬЮ "СОКОЛ-2"</t>
  </si>
  <si>
    <t>"СОКОЛ-2"</t>
  </si>
  <si>
    <t>6319199222</t>
  </si>
  <si>
    <t>443044, САМАРСКАЯ ОБЛ., Г. Самара, П. Зубчаниновка, УЛ. МАГИСТРАЛЬНАЯ, ВЛД. 70, КОМ. 15</t>
  </si>
  <si>
    <t>Давидюк Анатолий Александрович</t>
  </si>
  <si>
    <t>+7 (846) 925-72-53'</t>
  </si>
  <si>
    <t>57.059893,54.024879</t>
  </si>
  <si>
    <t>ОБЩЕСТВО С ОГРАНИЧЕННОЙ ОТВЕТСТВЕННОСТЬЮ "ДОМОСТРОИТЕЛЬНЫЙ КОМБИНАТ №1"</t>
  </si>
  <si>
    <t>"ДОМОСТРОИТЕЛЬНЫЙ КОМБИНАТ №1"</t>
  </si>
  <si>
    <t>6374006640</t>
  </si>
  <si>
    <t>http://samaradsk1.ru</t>
  </si>
  <si>
    <t>443044, САМАРСКАЯ ОБЛАСТЬ, ГОРОД САМАРА, ПОСЕЛОК ЗУБЧАНИНОВКА, УЛИЦА МАГИСТРАЛЬНАЯ, 70</t>
  </si>
  <si>
    <t>Афиногентов Владимир Андреевич</t>
  </si>
  <si>
    <t>+7 (846) 931-30-47'</t>
  </si>
  <si>
    <t>56.800602,54.038021</t>
  </si>
  <si>
    <t>ОБЩЕСТВО С ОГРАНИЧЕННОЙ ОТВЕТСТВЕННОСТЬЮ "ГАЗПРОМБЛОК"</t>
  </si>
  <si>
    <t>"ГАЗПРОМБЛОК"</t>
  </si>
  <si>
    <t>6313560107</t>
  </si>
  <si>
    <t>443028, САМАРСКАЯ ОБЛ., Г. Самара, УЛ. ЕВГЕНИЯ ЗОЛОТУХИНА (КРУТЫЕ КЛЮЧИ МКР.), Д. 11,..</t>
  </si>
  <si>
    <t>Сержина Ралия Раисовна</t>
  </si>
  <si>
    <t>54.112842,54.107488</t>
  </si>
  <si>
    <t>Общество с ограниченной ответственностью "СОДЕЙСТВИЕ"</t>
  </si>
  <si>
    <t>"СОДЕЙСТВИЕ"</t>
  </si>
  <si>
    <t>6312158114</t>
  </si>
  <si>
    <t>443044, САМАРСКАЯ ОБЛАСТЬ, ГОРОД САМАРА, ПОСЕЛОК ЗУБЧАНИНОВКА, ПРОЕЗД БУЗУЛУКСКИЙ, ДОМ 7/52</t>
  </si>
  <si>
    <t>Поречин Ярослав Олегович</t>
  </si>
  <si>
    <t>+7 (927) 783-90-09'</t>
  </si>
  <si>
    <t>56@mail.ru'</t>
  </si>
  <si>
    <t>54.081151,54.12275</t>
  </si>
  <si>
    <t>ОБЩЕСТВО С ОГРАНИЧЕННОЙ ОТВЕТСТВЕННОСТЬЮ "ЖБИ № 10"</t>
  </si>
  <si>
    <t>"ЖБИ № 10"</t>
  </si>
  <si>
    <t>6330060665</t>
  </si>
  <si>
    <t>443548, САМАРСКАЯ ОБЛАСТЬ, Р-Н ВОЛЖСКИЙ, УЛ. МЕХАНИКОВ (ПРОМЗОНА ТЕР.), Д.16</t>
  </si>
  <si>
    <t>Поливанов Константин Александрович</t>
  </si>
  <si>
    <t>+7 (927) 738-28-72'</t>
  </si>
  <si>
    <t>keramzitobetonsamara@mail.ru'</t>
  </si>
  <si>
    <t>54.106213,54.138022</t>
  </si>
  <si>
    <t>ОБЩЕСТВО С ОГРАНИЧЕННОЙ ОТВЕТСТВЕННОСТЬЮ "АИС-БЛАГОСТРОЙ"</t>
  </si>
  <si>
    <t>"АИС-БЛАГОСТРОЙ"</t>
  </si>
  <si>
    <t>6376028640</t>
  </si>
  <si>
    <t>446379, САМАРСКАЯ ОБЛАСТЬ, РАЙОН КРАСНОЯРСКИЙ, ПОСЕЛОК ГОРОДСКОГО ТИПА НОВОСЕМЕЙКИНО, УЛИЦА ПРОМЫШЛЕННОЕ ШОССЕ, ДОМ 13, СТРОЕНИЕ 3</t>
  </si>
  <si>
    <t>Фарманян Сос Агасинович</t>
  </si>
  <si>
    <t>blagostroy@rambler.ru'</t>
  </si>
  <si>
    <t>55.466024,54.22037</t>
  </si>
  <si>
    <t>ОБЩЕСТВО С ОГРАНИЧЕННОЙ ОТВЕТСТВЕННОСТЬЮ "ФРАТРЕС"</t>
  </si>
  <si>
    <t>"ФРАТРЕС"</t>
  </si>
  <si>
    <t>6330076792</t>
  </si>
  <si>
    <t>443521, САМАРСКАЯ ОБЛАСТЬ, РАЙОН ВОЛЖСКИЙ, ПОСЕЛОК РОВНО-ВЛАДИМИРОВКА, УЛИЦА ГАРАЖНАЯ, ДОМ 2</t>
  </si>
  <si>
    <t>Черкасова Надежда Владимировна</t>
  </si>
  <si>
    <t>+7 (927) 752-01-61', '+7 (937) 990-41-50'</t>
  </si>
  <si>
    <t>56.09697,54.240196</t>
  </si>
  <si>
    <t>ОБЩЕСТВО С ОГРАНИЧЕННОЙ ОТВЕТСТВЕННОСТЬЮ "РАФФ+"</t>
  </si>
  <si>
    <t>"РАФФ+"</t>
  </si>
  <si>
    <t>1635012473</t>
  </si>
  <si>
    <t>422052, ТАТАРСТАН РЕСПУБЛИКА, Р-Н САБИНСКИЙ, Д ИЛЕБЕР, УЛ. МЕЛИОРАТОРОВ, Д. 19, ЛИТЕР А, ПОМ 2</t>
  </si>
  <si>
    <t>Хасанзянов Рифат Миннехадович</t>
  </si>
  <si>
    <t>+7 (843) 567-21-57'</t>
  </si>
  <si>
    <t>56.079965,54.253419</t>
  </si>
  <si>
    <t>ОБЩЕСТВО С ОГРАНИЧЕННОЙ ОТВЕТСТВЕННОСТЬЮ "ВЕЛЕС"</t>
  </si>
  <si>
    <t>"ВЕЛЕС"</t>
  </si>
  <si>
    <t>3120011433</t>
  </si>
  <si>
    <t>БЕЛГОРОДСКАЯ ОБЛ.,Г ШЕБЕКИНО,УЛ СВОБОДЫ, Д 23, К 18</t>
  </si>
  <si>
    <t>Котляров Дмитрий Дмитриевич</t>
  </si>
  <si>
    <t>+7 (910) 321-11-16'</t>
  </si>
  <si>
    <t>56.118997,54.271682</t>
  </si>
  <si>
    <t>ОБЩЕСТВО С ОГРАНИЧЕННОЙ ОТВЕТСТВЕННОСТЬЮ "КРЭМАЛИ"</t>
  </si>
  <si>
    <t>"КРЭМАЛИ"</t>
  </si>
  <si>
    <t>3120010905</t>
  </si>
  <si>
    <t>БЕЛГОРОДСКАЯ ОБЛ.,Г ШЕБЕКИНО,ШОССЕ РЖЕВСКОЕ, Д 16</t>
  </si>
  <si>
    <t>Виндланд Юлия Леонидовна</t>
  </si>
  <si>
    <t>56.120367,54.279928</t>
  </si>
  <si>
    <t>ОБЩЕСТВО С ОГРАНИЧЕННОЙ ОТВЕТСТВЕННОСТЬЮ "СНАБ ИНВЕСТ"</t>
  </si>
  <si>
    <t>"СНАБ ИНВЕСТ"</t>
  </si>
  <si>
    <t>6376030198</t>
  </si>
  <si>
    <t>446370, Самарская область, КРАСНОЯРСКИЙ, 2 КРАСНЫЙ ЯР, С КРАСНЫЙ ЯР, УЛ МОЛОДЕЖНАЯ, ДВЛД. 11</t>
  </si>
  <si>
    <t>Петухов Константин Валентинович</t>
  </si>
  <si>
    <t>56.100721,54.304668</t>
  </si>
  <si>
    <t>ОБЩЕСТВО С ОГРАНИЧЕННОЙ ОТВЕТСТВЕННОСТЬЮ "ЗАВОД СТРОИТЕЛЬНЫХ КОНСТРУКЦИЙ"</t>
  </si>
  <si>
    <t>"ЗАВОД СТРОИТЕЛЬНЫХ КОНСТРУКЦИЙ"</t>
  </si>
  <si>
    <t>1656038120</t>
  </si>
  <si>
    <t>РЕСПУБЛИКА ТАТАРСТАН (ТАТАРСТАН),РП БОГАТЫЕ САБЫ,УЛ ЛЕРМОНТОВА Д 1</t>
  </si>
  <si>
    <t>Шакиров Саитзян Салихзянович</t>
  </si>
  <si>
    <t>+7 (843) 555-04-25', '+7 (843) 275-80-31'</t>
  </si>
  <si>
    <t>zsk_ooo@mail.ru'</t>
  </si>
  <si>
    <t>58.060712,54.639533</t>
  </si>
  <si>
    <t>ОБЩЕСТВО С ОГРАНИЧЕННОЙ ОТВЕТСТВЕННОСТЬЮ "ПРОИЗВОДСТВЕННО-КОММЕРЧЕСКАЯ ФИРМА "ФЛАГ СТОУН АРТ"</t>
  </si>
  <si>
    <t>"ПРОИЗВОДСТВЕННО-КОММЕРЧЕСКАЯ ФИРМА "ФЛАГ СТОУН АРТ"</t>
  </si>
  <si>
    <t>6330060224</t>
  </si>
  <si>
    <t>443539, Самарская область, Волжский район, рп Рощинский, д 5 а,..</t>
  </si>
  <si>
    <t>Туров Анатолий Витальевич</t>
  </si>
  <si>
    <t>+7 (846) 264-14-80'</t>
  </si>
  <si>
    <t>flagston@mail.ru'</t>
  </si>
  <si>
    <t>55.151616,54.640647</t>
  </si>
  <si>
    <t>ОБЩЕСТВО С ОГРАНИЧЕННОЙ ОТВЕТСТВЕННОСТЬЮ "ЭМВИГ"</t>
  </si>
  <si>
    <t>"ЭМВИГ"</t>
  </si>
  <si>
    <t>6350027673</t>
  </si>
  <si>
    <t>446441, САМАРСКАЯ ОБЛАСТЬ, ГОРОД КИНЕЛЬ, ПОСЕЛОК ГОРОДСКОГО ТИПА АЛЕКСЕЕВКА, УЛИЦА ДОРОЖНАЯ, ДОМ 66</t>
  </si>
  <si>
    <t>Правдин Максим Владимирович</t>
  </si>
  <si>
    <t>59.021357,54.670336</t>
  </si>
  <si>
    <t>ОБЩЕСТВО С ОГРАНИЧЕННОЙ ОТВЕТСТВЕННОСТЬЮ ПРОИЗВОДСТВЕННО-СТРОИТЕЛЬНАЯ ОРГАНИЗАЦИЯ "БЕЛПЛЕКС"</t>
  </si>
  <si>
    <t>ПРОИЗВОДСТВЕННО-СТРОИТЕЛЬНАЯ ОРГАНИЗАЦИЯ "БЕЛПЛЕКС"</t>
  </si>
  <si>
    <t>3123039941</t>
  </si>
  <si>
    <t>http://belpleks31.ru</t>
  </si>
  <si>
    <t>Г БЕЛГОРОД,УЛ ЩОРСА, Д 45-Ж</t>
  </si>
  <si>
    <t>Мальцев Евгений Юрьевич</t>
  </si>
  <si>
    <t>55.472796,54.857833</t>
  </si>
  <si>
    <t>ОБЩЕСТВО С ОГРАНИЧЕННОЙ ОТВЕТСТВЕННОСТЬЮ "ЗАВОД СТЕНОВЫХ МАТЕРИАЛОВ"</t>
  </si>
  <si>
    <t>"ЗАВОД СТЕНОВЫХ МАТЕРИАЛОВ"</t>
  </si>
  <si>
    <t>6376025261</t>
  </si>
  <si>
    <t>446403, САМАРСКАЯ ОБЛАСТЬ, Р-Н КИНЕЛЬСКИЙ, С ЧУБОВКА, ПРОМЗОНА ПРОМЫШЛЕННАЯ ЗОНА БАЛТИЙСКИЙ ПРОЕЗД, Д. 11</t>
  </si>
  <si>
    <t>Патраков Виталий Владимирович</t>
  </si>
  <si>
    <t>58.10357,54.905821</t>
  </si>
  <si>
    <t>АКЦИОНЕРНОЕ ОБЩЕСТВО "ЗАВОД ЖЕЛЕЗОБЕТОННЫХ КОНСТРУКЦИЙ №1"</t>
  </si>
  <si>
    <t>"ЗАВОД ЖЕЛЕЗОБЕТОННЫХ КОНСТРУКЦИЙ №1"</t>
  </si>
  <si>
    <t>3123093988</t>
  </si>
  <si>
    <t>Г БЕЛГОРОД,УЛ КОММУНАЛЬНАЯ, Д 5</t>
  </si>
  <si>
    <t>Деготьков Олег Васильевич</t>
  </si>
  <si>
    <t>pto_pso@belbeton.ru'</t>
  </si>
  <si>
    <t>51.854611,54.967508</t>
  </si>
  <si>
    <t>ОБЩЕСТВО С ОГРАНИЧЕННОЙ ОТВЕТСТВЕННОСТЬЮ "РЕМСТРОЙСЕРВИС"</t>
  </si>
  <si>
    <t>"РЕМСТРОЙСЕРВИС"</t>
  </si>
  <si>
    <t>3123093603</t>
  </si>
  <si>
    <t>Г БЕЛГОРОД,ПЕР 4-Й ВОЛЧАНСКИЙ, Д 19</t>
  </si>
  <si>
    <t>Казанцев Петр Павлович</t>
  </si>
  <si>
    <t>54.691662,55.018784</t>
  </si>
  <si>
    <t>ОБЩЕСТВО С ОГРАНИЧЕННОЙ ОТВЕТСТВЕННОСТЬЮ "СТРОЙТЕХНОСЕТЬ"</t>
  </si>
  <si>
    <t>"СТРОЙТЕХНОСЕТЬ"</t>
  </si>
  <si>
    <t>3123114532</t>
  </si>
  <si>
    <t>Г БЕЛГОРОД,УЛ СУМСКАЯ, Д 64</t>
  </si>
  <si>
    <t>Трушляков Константин Михайлович</t>
  </si>
  <si>
    <t>+7 (904) 534-77-73'</t>
  </si>
  <si>
    <t>51.784721,55.033705</t>
  </si>
  <si>
    <t>ОБЩЕСТВО С ОГРАНИЧЕННОЙ ОТВЕТСТВЕННОСТЬЮ "ХОРСКИЙ ГАЗОБЕТОННЫЙ ЗАВОД"</t>
  </si>
  <si>
    <t>"ХОРСКИЙ ГАЗОБЕТОННЫЙ ЗАВОД"</t>
  </si>
  <si>
    <t>2713018646</t>
  </si>
  <si>
    <t>ХАБАРОВСКИЙ КРАЙ,Г КОМСОМОЛЬСК-НА-АМУРЕ,УЛ РАДИЩЕВА,4</t>
  </si>
  <si>
    <t>Кущ Александр Иванович</t>
  </si>
  <si>
    <t>+7 (962) 500-70-60'</t>
  </si>
  <si>
    <t>51.785022,55.035771</t>
  </si>
  <si>
    <t>АКЦИОНЕРНОЕ ОБЩЕСТВО "БЕЛГОРОДСТРОЙДЕТАЛЬ"</t>
  </si>
  <si>
    <t>"БЕЛГОРОДСТРОЙДЕТАЛЬ"</t>
  </si>
  <si>
    <t>3124013505</t>
  </si>
  <si>
    <t>http://bsdbel.ru</t>
  </si>
  <si>
    <t>Г БЕЛГОРОД,УЛ МИЧУРИНА, Д 104</t>
  </si>
  <si>
    <t>Манаков Анатолий Борисович</t>
  </si>
  <si>
    <t>bsd@rambler.ru'</t>
  </si>
  <si>
    <t>51.78451,55.03684</t>
  </si>
  <si>
    <t>ОБЩЕСТВО С ОГРАНИЧЕННОЙ ОТВЕТСТВЕННОСТЬЮ "ЖБИ-КОНСТРУКЦИИ"</t>
  </si>
  <si>
    <t>"ЖБИ-КОНСТРУКЦИИ"</t>
  </si>
  <si>
    <t>6350028966</t>
  </si>
  <si>
    <t>446431, Самарская область, городской округ КИНЕЛЬ, Город КИНЕЛЬ, УЛ ДЕПОВСКАЯ, ДВЛД. 28, ОФИС 3</t>
  </si>
  <si>
    <t>Симонов Андрей Михайлович</t>
  </si>
  <si>
    <t>51.787401,55.041772</t>
  </si>
  <si>
    <t>ОБЩЕСТВО С ОГРАНИЧЕННОЙ ОТВЕТСТВЕННОСТЬЮ "31 РЕГИОН"</t>
  </si>
  <si>
    <t>"31 РЕГИОН"</t>
  </si>
  <si>
    <t>3123104622</t>
  </si>
  <si>
    <t>Г БЕЛГОРОД,УЛ ЧЕХОВА, Д 2-А</t>
  </si>
  <si>
    <t>Тысячук Александр Викторович</t>
  </si>
  <si>
    <t>51.786839,55.049291</t>
  </si>
  <si>
    <t>ОБЩЕСТВО С ОГРАНИЧЕННОЙ ОТВЕТСТВЕННОСТЬЮ "АТМ-ТЕХНО"</t>
  </si>
  <si>
    <t>"АТМ-ТЕХНО"</t>
  </si>
  <si>
    <t>3123100508</t>
  </si>
  <si>
    <t>Г БЕЛГОРОД,УЛ МИЧУРИНА, Д 81</t>
  </si>
  <si>
    <t>Болховитин Михаил Николаевич</t>
  </si>
  <si>
    <t>51.879537,55.060214</t>
  </si>
  <si>
    <t>АКЦИОНЕРНОЕ ОБЩЕСТВО "СТРОЙМАТЕРИАЛЫ"</t>
  </si>
  <si>
    <t>3125006363</t>
  </si>
  <si>
    <t>Г БЕЛГОРОД,УЛ СТУДЕНЧЕСКАЯ, Д 1</t>
  </si>
  <si>
    <t>Петров Тихомир Илиев</t>
  </si>
  <si>
    <t>info@aosm.ru', 'shiraeva@aosm.ru'</t>
  </si>
  <si>
    <t>51.784671,55.08693</t>
  </si>
  <si>
    <t>6350024961</t>
  </si>
  <si>
    <t>446430, САМАРСКАЯ ОБЛАСТЬ, ГОРОД КИНЕЛЬ, УЛИЦА МАЯКОВСКОГО, ДОМ 57, ОФИС 2</t>
  </si>
  <si>
    <t>Морозов Максим Сергеевич</t>
  </si>
  <si>
    <t>+7 (922) 888-52-22'</t>
  </si>
  <si>
    <t>51.768205,55.096964</t>
  </si>
  <si>
    <t>ОБЩЕСТВО С ОГРАНИЧЕННОЙ ОТВЕТСТВЕННОСТЬЮ "ТЕХНОРЕСУРС Ч"</t>
  </si>
  <si>
    <t>"ТЕХНОРЕСУРС Ч"</t>
  </si>
  <si>
    <t>1652026821</t>
  </si>
  <si>
    <t>422980, ТАТАРСТАН РЕСПУБЛИКА, ЧИСТОПОЛЬСКИЙ РАЙОН, ГОРОД ЧИСТОПОЛЬ, УЛИЦА Л.ТОЛСТОГО, ДОМ 157, ОФИС 208/3</t>
  </si>
  <si>
    <t>Миннахметов Искандер Наилевич</t>
  </si>
  <si>
    <t>51.836044,55.101474</t>
  </si>
  <si>
    <t>ОБЩЕСТВО С ОГРАНИЧЕННОЙ ОТВЕТСТВЕННОСТЬЮ "ЗАВОД ЖБИ-КОНСТРУКЦИИ"</t>
  </si>
  <si>
    <t>"ЗАВОД ЖБИ-КОНСТРУКЦИИ"</t>
  </si>
  <si>
    <t>6350027306</t>
  </si>
  <si>
    <t>446430, САМАРСКАЯ ОБЛАСТЬ, Г. КИНЕЛЬ, УЛ. ЧЕХОВА, Д. 11А, КАБИНЕТ 3</t>
  </si>
  <si>
    <t>Вуколов Владимир Николаевич</t>
  </si>
  <si>
    <t>51.702277,55.107582</t>
  </si>
  <si>
    <t>1605008060</t>
  </si>
  <si>
    <t>422980, ТАТАРСТАН РЕСПУБЛИКА, РАЙОН ЧИСТОПОЛЬСКИЙ, ГОРОД ЧИСТОПОЛЬ, УЛИЦА ГАЛАКТИОНОВА, ДОМ 8, КАБИНЕТ 1</t>
  </si>
  <si>
    <t>Темников Валерий Юрьевич</t>
  </si>
  <si>
    <t>avangard208@yandex.ru'</t>
  </si>
  <si>
    <t>51.756398,55.108049</t>
  </si>
  <si>
    <t>Общество с ограниченной ответственностью "Производственная Строительная компания "Барс"</t>
  </si>
  <si>
    <t>"Производственная Строительная компания "Барс"</t>
  </si>
  <si>
    <t>1658091785</t>
  </si>
  <si>
    <t>612921, КИРОВСКАЯ ОБЛ, МАЛМЫЖСКИЙ Р-Н, МАЛМЫЖ Г, ГАГАРИНА УЛ, ДОМ 2,..</t>
  </si>
  <si>
    <t>Чупин Александр Леонидович</t>
  </si>
  <si>
    <t>51.758924,55.111715</t>
  </si>
  <si>
    <t>ОБЩЕСТВО С ОГРАНИЧЕННОЙ ОТВЕТСТВЕННОСТЬЮ "ТОПОЛЬ"</t>
  </si>
  <si>
    <t>"ТОПОЛЬ"</t>
  </si>
  <si>
    <t>1101148622</t>
  </si>
  <si>
    <t>11-Республика Коми</t>
  </si>
  <si>
    <t>167000, КОМИ РЕСП, СЫКТЫВКАР Г, БЕРЕЗОВАЯ УЛ, ДОМ 24</t>
  </si>
  <si>
    <t>Чвелев Андрей Дмитриевич</t>
  </si>
  <si>
    <t>51.706318,55.112568</t>
  </si>
  <si>
    <t>ОБЩЕСТВО С ОГРАНИЧЕННОЙ ОТВЕТСТВЕННОСТЬЮ "АВТОДОР КОМПЛЕКТ"</t>
  </si>
  <si>
    <t>"АВТОДОР КОМПЛЕКТ"</t>
  </si>
  <si>
    <t>1101068751</t>
  </si>
  <si>
    <t>167000, КОМИ РЕСПУБЛИКА, ГОРОД СЫКТЫВКАР, УЛИЦА 3-Я ПРОМЫШЛЕННАЯ, 54, 2</t>
  </si>
  <si>
    <t>Маланин Алексей Алексеевич</t>
  </si>
  <si>
    <t>51.724426,55.114904</t>
  </si>
  <si>
    <t>ОБЩЕСТВО С ОГРАНИЧЕННОЙ ОТВЕТСТВЕННОСТЬЮ "ТРОТУАРНЫЙ МИР"</t>
  </si>
  <si>
    <t>"ТРОТУАРНЫЙ МИР"</t>
  </si>
  <si>
    <t>1101164864</t>
  </si>
  <si>
    <t>167023, КОМИ РЕСП, СЫКТЫВКАР Г, КОММУНИСТИЧЕСКАЯ УЛ, ДОМ 65,..</t>
  </si>
  <si>
    <t>Мелконян Карине Самвели</t>
  </si>
  <si>
    <t>elena@yandex.ru'</t>
  </si>
  <si>
    <t>ОБЩЕСТВО С ОГРАНИЧЕННОЙ ОТВЕТСТВЕННОСТЬЮ "СТРОЙМАТ"</t>
  </si>
  <si>
    <t>"СТРОЙМАТ"</t>
  </si>
  <si>
    <t>1101170995</t>
  </si>
  <si>
    <t>167000, КОМИ РЕСП., Г. Сыктывкар, УЛ. ГАРАЖНАЯ, Д. 9, ОФИС 310</t>
  </si>
  <si>
    <t>Емлевский Сергей Викторович</t>
  </si>
  <si>
    <t>51.725357,55.11962</t>
  </si>
  <si>
    <t>ОБЩЕСТВО С ОГРАНИЧЕННОЙ ОТВЕТСТВЕННОСТЬЮ "АРТМАС"</t>
  </si>
  <si>
    <t>"АРТМАС"</t>
  </si>
  <si>
    <t>1101166357</t>
  </si>
  <si>
    <t>167000, КОМИ РЕСПУБЛИКА, Г. СЫКТЫВКАР, УЛ. КИРОВА, СТР. 57/1</t>
  </si>
  <si>
    <t>Артеева Светлана Прокопьевна</t>
  </si>
  <si>
    <t>51.825954,55.121659</t>
  </si>
  <si>
    <t>ОБЩЕСТВО С ОГРАНИЧЕННОЙ ОТВЕТСТВЕННОСТЬЮ "ПРОМ-КОМФОРТ"</t>
  </si>
  <si>
    <t>"ПРОМ-КОМФОРТ"</t>
  </si>
  <si>
    <t>4307010197</t>
  </si>
  <si>
    <t>http://gbi-vp.ru</t>
  </si>
  <si>
    <t>422110, ТАТАРСТАН РЕСПУБЛИКА, Р-Н КУКМОРСКИЙ, Г. КУКМОР, УЛ. ЛЕНИНА, Д. 11 А, ОФИС 3 А</t>
  </si>
  <si>
    <t>Богомолов Николай Евгеньевич</t>
  </si>
  <si>
    <t>+7 (912) 759-48-84'</t>
  </si>
  <si>
    <t>55.439569,55.121857</t>
  </si>
  <si>
    <t>1623012574</t>
  </si>
  <si>
    <t>422110, Республика Татарстан (Татарстан), Кукморский район, пгт Кукмор, ул Мирсая Амира д 1</t>
  </si>
  <si>
    <t>Иванов Виталий Валерьевич</t>
  </si>
  <si>
    <t>+7 (965) 582-82-98'</t>
  </si>
  <si>
    <t>51.827612,55.123869</t>
  </si>
  <si>
    <t>ОБЩЕСТВО С ОГРАНИЧЕННОЙ ОТВЕТСТВЕННОСТЬЮ "МАСТЕРДЕЛ"</t>
  </si>
  <si>
    <t>"МАСТЕРДЕЛ"</t>
  </si>
  <si>
    <t>1623014282</t>
  </si>
  <si>
    <t>422110, ТАТАРСТАН РЕСПУБЛИКА, РАЙОН КУКМОРСКИЙ, ПОСЕЛОК ГОРОДСКОГО ТИПА КУКМОР, УЛИЦА КАВИ НАДЖМИ, ДОМ 6</t>
  </si>
  <si>
    <t>Галиакбаров Динар Ильдарович</t>
  </si>
  <si>
    <t>garant75412@yandex.ru'</t>
  </si>
  <si>
    <t>51.720219,55.124785</t>
  </si>
  <si>
    <t>ОБЩЕСТВО С ОГРАНИЧЕННОЙ ОТВЕТСТВЕННОСТЬЮ "ТурСтрой+"</t>
  </si>
  <si>
    <t>"ТурСтрой+"</t>
  </si>
  <si>
    <t>4307013462</t>
  </si>
  <si>
    <t>612965, КИРОВСКАЯ ОБЛАСТЬ, Р-Н ВЯТСКОПОЛЯНСКИЙ, Г. ВЯТСКИЕ ПОЛЯНЫ, УЛ. ЛЕНИНА, Д.333</t>
  </si>
  <si>
    <t>Николаев Виталий Васильевич</t>
  </si>
  <si>
    <t>51.818283,55.132951</t>
  </si>
  <si>
    <t>Общество с ограниченной ответственностью " Железобетон 2005"</t>
  </si>
  <si>
    <t>" Железобетон 2005"</t>
  </si>
  <si>
    <t>5614027050</t>
  </si>
  <si>
    <t>56-Оренбургская область</t>
  </si>
  <si>
    <t>ОРЕНБУРГСКАЯ ОБЛ.,Г ОРСК,УЛ СТРОИТЕЛЕЙ Д 48</t>
  </si>
  <si>
    <t>Гордеев Андрей Леонидович</t>
  </si>
  <si>
    <t>+7 (909) 606-31-36', '+7 (353) 793-82-16'</t>
  </si>
  <si>
    <t>56062693@mail.ru', '01050606@mail.ru'</t>
  </si>
  <si>
    <t>51.867749,55.134244</t>
  </si>
  <si>
    <t>ОБЩЕСТВО С ОГРАНИЧЕННОЙ ОТВЕТСТВЕННОСТЬЮ "КОНТРАКТ-ЭКСКЛЮЗИВ"</t>
  </si>
  <si>
    <t>"КОНТРАКТ-ЭКСКЛЮЗИВ"</t>
  </si>
  <si>
    <t>5614019725</t>
  </si>
  <si>
    <t>ОРЕНБУРГСКАЯ ОБЛ.,Г ОРСК,УЛ ЧЕРНЫШЕВА Д 22</t>
  </si>
  <si>
    <t>Федосеев Валерий Алексеевич</t>
  </si>
  <si>
    <t>51.797551,55.134801</t>
  </si>
  <si>
    <t>ЗАКРЫТОЕ АКЦИОНЕРНОЕ ОБЩЕСТВО "РЕГИОНСТРОЙ"</t>
  </si>
  <si>
    <t>ЗАКРЫТОЕ "РЕГИОНСТРОЙ"</t>
  </si>
  <si>
    <t>5615020586</t>
  </si>
  <si>
    <t>ОРЕНБУРГСКАЯ ОБЛ.,Г ОРСК,УЛ ЖУКОВСКОГО Д 1</t>
  </si>
  <si>
    <t>Зельцер Александр Викторович</t>
  </si>
  <si>
    <t>ОБЩЕСТВО С ОГРАНИЧЕННОЙ ОТВЕТСТВЕННОСТЬЮ "ПРОМСТРОЙ"</t>
  </si>
  <si>
    <t>"ПРОМСТРОЙ"</t>
  </si>
  <si>
    <t>5615019044</t>
  </si>
  <si>
    <t>ОРЕНБУРГСКАЯ ОБЛ.,Г ОРСК,УЛ ЖУКОВСКОГО Д 2</t>
  </si>
  <si>
    <t>51.788983,55.134909</t>
  </si>
  <si>
    <t>ОБЩЕСТВО С ОГРАНИЧЕННОЙ ОТВЕТСТВЕННОСТЬЮ "ОЛИМП СТРОЙ"</t>
  </si>
  <si>
    <t>"ОЛИМП СТРОЙ"</t>
  </si>
  <si>
    <t>3128103319</t>
  </si>
  <si>
    <t>309503, БЕЛГОРОДСКАЯ ОБЛ., Г. СТАРЫЙ ОСКОЛ, М-Н СТЕПНОЙ, Д. 17</t>
  </si>
  <si>
    <t>Клепиков Николай Николаевич</t>
  </si>
  <si>
    <t>+7 (930) 090-37-04'</t>
  </si>
  <si>
    <t>olimpstroy14@mail.ru'</t>
  </si>
  <si>
    <t>51.718763,55.138197</t>
  </si>
  <si>
    <t>ОБЩЕСТВО С ОГРАНИЧЕННОЙ ОТВЕТСТВЕННОСТЬЮ "ОСКОЛЬСКАЯ СТРОИТЕЛЬНАЯ КОМПАНИЯ"</t>
  </si>
  <si>
    <t>"ОСКОЛЬСКАЯ СТРОИТЕЛЬНАЯ КОМПАНИЯ"</t>
  </si>
  <si>
    <t>3128046572</t>
  </si>
  <si>
    <t>БЕЛГОРОДСКАЯ ОБЛ.,Г СТАРЫЙ ОСКОЛ,МКР КОНЕВА, Д 1, ОФИС 157</t>
  </si>
  <si>
    <t>Лавренюк Юрий Борисович</t>
  </si>
  <si>
    <t>51.725173,55.148833</t>
  </si>
  <si>
    <t>ОБЩЕСТВО С ОГРАНИЧЕННОЙ ОТВЕТСТВЕННОСТЬЮ "ЛЕГ&amp;КО"</t>
  </si>
  <si>
    <t>"ЛЕГ&amp;КО"</t>
  </si>
  <si>
    <t>6372023792</t>
  </si>
  <si>
    <t>446305, САМАРСКАЯ ОБЛАСТЬ, ГОРОД ОТРАДНЫЙ, УЛИЦА ПЕРВОМАЙСКАЯ, ДОМ 47,..</t>
  </si>
  <si>
    <t>Тарасов Виталий Валериевич</t>
  </si>
  <si>
    <t>+7 (987) 912-33-81'</t>
  </si>
  <si>
    <t>mf_progress@samtel.ru'</t>
  </si>
  <si>
    <t>51.797735,55.151618</t>
  </si>
  <si>
    <t>ОБЩЕСТВО С ОГРАНИЧЕННОЙ ОТВЕТСТВЕННОСТЬЮ "АСКАН"</t>
  </si>
  <si>
    <t>"АСКАН"</t>
  </si>
  <si>
    <t>1646047164</t>
  </si>
  <si>
    <t>422191, ТАТАРСТАН РЕСПУБЛИКА, РАЙОН МАМАДЫШСКИЙ, ГОРОД МАМАДЫШ, ПЕРЕУЛОК ДОРОЖНИКОВ, ДОМ 21, ПОМЕЩЕНИЕ 1</t>
  </si>
  <si>
    <t>Аскаров Наиль Камилович</t>
  </si>
  <si>
    <t>51.798236,55.154762</t>
  </si>
  <si>
    <t>ОБЩЕСТВО С ОГРАНИЧЕННОЙ ОТВЕТСТВЕННОСТЬЮ "ЖБИ МАМАДЫШ"</t>
  </si>
  <si>
    <t>"ЖБИ МАМАДЫШ"</t>
  </si>
  <si>
    <t>1626016390</t>
  </si>
  <si>
    <t>422191, Республика Татарстан (Татарстан), муниципальный район МАМАДЫШСКИЙ, Город МАМАДЫШ, городское поселение ГОРОД МАМАДЫШ, УЛ ГОРЬКОГО, Д. 120А, ОФИС 1</t>
  </si>
  <si>
    <t>Сайфутдинов Нияз Тахирович</t>
  </si>
  <si>
    <t>51.828336,55.155966</t>
  </si>
  <si>
    <t>ОБЩЕСТВО С ОГРАНИЧЕННОЙ ОТВЕТСТВЕННОСТЬЮ "МАЛИКС КОМПАНИ"</t>
  </si>
  <si>
    <t>"МАЛИКС КОМПАНИ"</t>
  </si>
  <si>
    <t>1626013745</t>
  </si>
  <si>
    <t>422190, Республика Татарстан (Татарстан), Мамадышский район, г Мамадыш, ул Ленина д 101..</t>
  </si>
  <si>
    <t>Гараев Ильназ Зуфарович</t>
  </si>
  <si>
    <t>51.838259,55.157816</t>
  </si>
  <si>
    <t>ЗАКРЫТОЕ АКЦИОНЕРНОЕ ОБЩЕСТВО "ПРОИЗВОДСТВЕННОЕ ПРЕДПРИЯТИЕ ЖБК-3"</t>
  </si>
  <si>
    <t>ЗАКРЫТОЕ "ПРОИЗВОДСТВЕННОЕ ПРЕДПРИЯТИЕ ЖБК-3"</t>
  </si>
  <si>
    <t>6449008905</t>
  </si>
  <si>
    <t>http://jbk3.ru</t>
  </si>
  <si>
    <t>САРАТОВСКАЯ ОБЛ.,Г ЭНГЕЛЬС,ПРОСП СТРОИТЕЛЕЙ, Д 26 Б</t>
  </si>
  <si>
    <t>Храмов Дмитрий Владимирович</t>
  </si>
  <si>
    <t>JBK3@SAN.RU'</t>
  </si>
  <si>
    <t>51.830779,55.159783</t>
  </si>
  <si>
    <t>ОБЩЕСТВО С ОГРАНИЧЕННОЙ ОТВЕТСТВЕННОСТЬЮ "ЭЛЕКТРОКОНСТРУКЦИЯ"</t>
  </si>
  <si>
    <t>"ЭЛЕКТРОКОНСТРУКЦИЯ"</t>
  </si>
  <si>
    <t>5503249787</t>
  </si>
  <si>
    <t>55-Омская область</t>
  </si>
  <si>
    <t>ОМСКАЯ ОБЛ.,МАРЬЯНОВСКИЙ Р-Н,С СТЕПНОЕ,УЛ ЦЕНТРАЛЬНАЯ, 17</t>
  </si>
  <si>
    <t>Дудкин Тимофей Викторович</t>
  </si>
  <si>
    <t>51.717334,55.20089</t>
  </si>
  <si>
    <t>ОБЩЕСТВО С ОГРАНИЧЕННОЙ ОТВЕТСТВЕННОСТЬЮ "КЕЛ"</t>
  </si>
  <si>
    <t>"КЕЛ"</t>
  </si>
  <si>
    <t>6451201374</t>
  </si>
  <si>
    <t>Г САРАТОВ,ПРОСП ЭНТУЗИАСТОВ, Д 12,..</t>
  </si>
  <si>
    <t>Комзолов Виктор Михайлович</t>
  </si>
  <si>
    <t>51.772858,55.218363</t>
  </si>
  <si>
    <t>ОБЩЕСТВО С ОГРАНИЧЕННОЙ ОТВЕТСТВЕННОСТЬЮ "КЕРАМЗИТОБЕТОН-64"</t>
  </si>
  <si>
    <t>"КЕРАМЗИТОБЕТОН-64"</t>
  </si>
  <si>
    <t>6449082480</t>
  </si>
  <si>
    <t>Г САРАТОВ,СТ ТРОФИМОВСКИЙ-2</t>
  </si>
  <si>
    <t>Айдимеров Астимер Рурахмаевич</t>
  </si>
  <si>
    <t>+7 (987) 323-37-38'</t>
  </si>
  <si>
    <t>51.70331,55.22528</t>
  </si>
  <si>
    <t>ОБЩЕСТВО С ОГРАНИЧЕННОЙ ОТВЕТСТВЕННОСТЬЮ "КОНКРЕТ-ПЛЮС"</t>
  </si>
  <si>
    <t>"КОНКРЕТ-ПЛЮС"</t>
  </si>
  <si>
    <t>6450605871</t>
  </si>
  <si>
    <t>Г САРАТОВ,УЛ ЧЕРНЫШЕВСКОГО, Д 203</t>
  </si>
  <si>
    <t>Гордиевский Александр Владимирович</t>
  </si>
  <si>
    <t>51.759626,55.271803</t>
  </si>
  <si>
    <t>ОБЩЕСТВО С ОГРАНИЧЕННОЙ ОТВЕТСТВЕННОСТЬЮ "ЗАВОД ЖЕЛЕЗОБЕТОННЫХ КОНСТРУКЦИЙ №2"</t>
  </si>
  <si>
    <t>6451402391</t>
  </si>
  <si>
    <t>http://zhbk2.ru</t>
  </si>
  <si>
    <t>Г САРАТОВ,СТ КОКУРИНО</t>
  </si>
  <si>
    <t>saratov@yandex.ru'</t>
  </si>
  <si>
    <t>51.770278,55.327032</t>
  </si>
  <si>
    <t>Общество с ограниченной ответственностью производственно-техническое предприятие "КЛАССИК"</t>
  </si>
  <si>
    <t>производственно-техническое предприятие "КЛАССИК"</t>
  </si>
  <si>
    <t>3663010217</t>
  </si>
  <si>
    <t>Г ВОРОНЕЖ,УЛ МЕРКУЛОВА Д 7</t>
  </si>
  <si>
    <t>Коломыцев Евгений Леонардович</t>
  </si>
  <si>
    <t>+7 (473) 256-74-87', '+7 (473) 249-81-57'</t>
  </si>
  <si>
    <t>55.100572,55.342123</t>
  </si>
  <si>
    <t>ОБЩЕСТВО С ОГРАНИЧЕННОЙ ОТВЕТСТВЕННОСТЬЮ РЕМОНТНО-СТРОИТЕЛЬНОЕ УПРАВЛЕНИЕ "НЕФТЕХИМПРОМСЕРВИС"</t>
  </si>
  <si>
    <t>РЕМОНТНО-СТРОИТЕЛЬНОЕ УПРАВЛЕНИЕ "НЕФТЕХИМПРОМСЕРВИС"</t>
  </si>
  <si>
    <t>0245017996</t>
  </si>
  <si>
    <t>РЕСПУБЛИКА БАШКОРТОСТАН,УФИМСКИЙ Р-Н,С МИХАЙЛОВКА,УЛ САДОВАЯ</t>
  </si>
  <si>
    <t>Вершинин Андрей Валерьевич</t>
  </si>
  <si>
    <t>+7 (347) 295-96-60'</t>
  </si>
  <si>
    <t>55.094694,55.363503</t>
  </si>
  <si>
    <t>ОБЩЕСТВО С ОГРАНИЧЕННОЙ ОТВЕТСТВЕННОСТЬЮ "СЕЛЕНА"</t>
  </si>
  <si>
    <t>"СЕЛЕНА"</t>
  </si>
  <si>
    <t>3662215765</t>
  </si>
  <si>
    <t>Г ВОРОНЕЖ,УЛ МАТРОСОВА Д 127</t>
  </si>
  <si>
    <t>Езоян Аршалуйс Сейранович</t>
  </si>
  <si>
    <t>+7 (920) 219-89-55'</t>
  </si>
  <si>
    <t>55.835528,55.432611</t>
  </si>
  <si>
    <t>ОБЩЕСТВО С ОГРАНИЧЕННОЙ ОТВЕТСТВЕННОСТЬЮ "УПРАВЛЕНИЕ МЕХАНИЗАЦИИ СТРОИТЕЛЬСТВА-22"</t>
  </si>
  <si>
    <t>"УПРАВЛЕНИЕ МЕХАНИЗАЦИИ СТРОИТЕЛЬСТВА-22"</t>
  </si>
  <si>
    <t>3665108120</t>
  </si>
  <si>
    <t>Г ВОРОНЕЖ,УЛ 20 ЛЕТ ОКТЯБРЯ Д 88..</t>
  </si>
  <si>
    <t>Осменко Татьяна Владимировна</t>
  </si>
  <si>
    <t>55.432827,55.526709</t>
  </si>
  <si>
    <t>ОБЩЕСТВО С ОГРАНИЧЕННОЙ ОТВЕТСТВЕННОСТЬЮ "КОМБИНАТ СТРОИТЕЛЬНЫХ МАТЕРИАЛОВ И РАБОТ"</t>
  </si>
  <si>
    <t>"КОМБИНАТ СТРОИТЕЛЬНЫХ МАТЕРИАЛОВ И РАБОТ"</t>
  </si>
  <si>
    <t>4632014870</t>
  </si>
  <si>
    <t>Г КУРСК,ПРОЕЗД ЛЬГОВСКИЙ, 5</t>
  </si>
  <si>
    <t>Филатов Леонид Викторович</t>
  </si>
  <si>
    <t>ksmirabot@jandex.ru'</t>
  </si>
  <si>
    <t>АКЦИОНЕРНОЕ ОБЩЕСТВО "ЗАВОД ЖЕЛЕЗОБЕТОННЫХ ИЗДЕЛИЙ № 2"</t>
  </si>
  <si>
    <t>"ЗАВОД ЖЕЛЕЗОБЕТОННЫХ ИЗДЕЛИЙ № 2"</t>
  </si>
  <si>
    <t>3665003007</t>
  </si>
  <si>
    <t>Г ВОРОНЕЖ,УЛ ДОРОЖНАЯ Д 13</t>
  </si>
  <si>
    <t>+7 (473) 263-60-45', '+7 (473) 270-86-28', '+7 (473) 263-87-23', '+7 (473) 229-34-38', '+7 (473) 263-97-63'</t>
  </si>
  <si>
    <t>gbk2@vmail.ru'</t>
  </si>
  <si>
    <t>54.504593,55.631579</t>
  </si>
  <si>
    <t>ОБЩЕСТВО С ОГРАНИЧЕННОЙ ОТВЕТСТВЕННОСТЬЮ "ШНЕК"</t>
  </si>
  <si>
    <t>"ШНЕК"</t>
  </si>
  <si>
    <t>3662059570</t>
  </si>
  <si>
    <t>Г ВОРОНЕЖ,УЛ ПЕШЕСТРЕЛЕЦКАЯ Д 28 А</t>
  </si>
  <si>
    <t>Варлыгина Светлана Валерьевна</t>
  </si>
  <si>
    <t>+7 (473) 277-08-89', '+7 (473) 263-87-04'</t>
  </si>
  <si>
    <t>p@mail.ru'</t>
  </si>
  <si>
    <t>55.649093,37.587847</t>
  </si>
  <si>
    <t>ОБЩЕСТВО С ОГРАНИЧЕННОЙ ОТВЕТСТВЕННОСТЬЮ "АЛЬЯНССТРОЙБЕТОН"</t>
  </si>
  <si>
    <t>"АЛЬЯНССТРОЙБЕТОН"</t>
  </si>
  <si>
    <t>3661067627</t>
  </si>
  <si>
    <t>Г ВОРОНЕЖ,УЛ ИЛЬИЧА Д 55..</t>
  </si>
  <si>
    <t>Пикалова Ирина Ивановна</t>
  </si>
  <si>
    <t>+7 (473) 227-87-65'</t>
  </si>
  <si>
    <t>53.586007,55.737643</t>
  </si>
  <si>
    <t>3664003653</t>
  </si>
  <si>
    <t>Г ВОРОНЕЖ,PП ПРИДОНСКОЙ,УЛ ЛАТНЕНСКАЯ Д 9</t>
  </si>
  <si>
    <t>Филоненко Андрей Сергеевич</t>
  </si>
  <si>
    <t>+7 (473) 276-42-72'</t>
  </si>
  <si>
    <t>54.657449,55.739367</t>
  </si>
  <si>
    <t>3665000165</t>
  </si>
  <si>
    <t>Г ВОРОНЕЖ,PП ПРИДОНСКОЙ,УЛ ЛАТНЕНСКАЯ Д 7</t>
  </si>
  <si>
    <t>Соловьев Андрей Иванович</t>
  </si>
  <si>
    <t>+7 (473) 243-81-25'</t>
  </si>
  <si>
    <t>55.746958,37.591144</t>
  </si>
  <si>
    <t>ОБЩЕСТВО С ОГРАНИЧЕННОЙ ОТВЕТСТВЕННОСТЬЮ "Версаль"</t>
  </si>
  <si>
    <t>"Версаль"</t>
  </si>
  <si>
    <t>1113009038</t>
  </si>
  <si>
    <t>168041, КОМИ РЕСП, КОРТКЕРОССКИЙ Р-Н, АДЖЕРОМ П, ПМК УЛ, 26Е</t>
  </si>
  <si>
    <t>Евграфов Артур Георгиевич</t>
  </si>
  <si>
    <t>+7 (904) 204-59-85'</t>
  </si>
  <si>
    <t>kom@yandex.ru'</t>
  </si>
  <si>
    <t>54.860912,55.750498</t>
  </si>
  <si>
    <t>ОБЩЕСТВО С ОГРАНИЧЕННОЙ ОТВЕТСТВЕННОСТЬЮ "МЕЧТА ПРОРАБА"</t>
  </si>
  <si>
    <t>"МЕЧТА ПРОРАБА"</t>
  </si>
  <si>
    <t>5610086880</t>
  </si>
  <si>
    <t>Г ОРЕНБУРГ,УЛ АМУРСКАЯ Д 129</t>
  </si>
  <si>
    <t>Фефелов Андрей Викторович</t>
  </si>
  <si>
    <t>54.950154,55.768419</t>
  </si>
  <si>
    <t>АКЦИОНЕРНОЕ ОБЩЕСТВО "ЖБИ"</t>
  </si>
  <si>
    <t>4632024613</t>
  </si>
  <si>
    <t>Г КУРСК,УЛ ЭНГЕЛЬСА, 115</t>
  </si>
  <si>
    <t>Никитина Любовь Алексеевна</t>
  </si>
  <si>
    <t>gbikursk@mail.ru', 'gbikursk@mail.ru'</t>
  </si>
  <si>
    <t>55.787827,37.630858</t>
  </si>
  <si>
    <t>ОБЩЕСТВО С ОГРАНИЧЕННОЙ ОТВЕТСТВЕННОСТЬЮ "КОРАТ"</t>
  </si>
  <si>
    <t>"КОРАТ"</t>
  </si>
  <si>
    <t>5610005922</t>
  </si>
  <si>
    <t>Г ОРЕНБУРГ,УЛ ДОНГУЗСКАЯ Д 8</t>
  </si>
  <si>
    <t>Янцен Яков Яковлевич</t>
  </si>
  <si>
    <t>54.687697,55.799312</t>
  </si>
  <si>
    <t>ОБЩЕСТВО С ОГРАНИЧЕННОЙ ОТВЕТСТВЕННОСТЬЮ "ПГПСТРОЙ"</t>
  </si>
  <si>
    <t>"ПГПСТРОЙ"</t>
  </si>
  <si>
    <t>3664136438</t>
  </si>
  <si>
    <t>Г ВОРОНЕЖ,УЛ ВЛАДИМИРА НЕВСКОГО Д 18..</t>
  </si>
  <si>
    <t>Рыбников Вячеслав Васильевич</t>
  </si>
  <si>
    <t>+7 (473) 227-14-20', '+7 (473) 202-30-00'</t>
  </si>
  <si>
    <t>54.684694,55.801962</t>
  </si>
  <si>
    <t>ОБЩЕСТВО С ОГРАНИЧЕННОЙ ОТВЕТСТВЕННОСТЬЮ "ИНВЕСТИЦИОННАЯ СТРОИТЕЛЬНАЯ КОМПАНИЯ"</t>
  </si>
  <si>
    <t>"ИНВЕСТИЦИОННАЯ СТРОИТЕЛЬНАЯ КОМПАНИЯ"</t>
  </si>
  <si>
    <t>5638028158</t>
  </si>
  <si>
    <t>ОРЕНБУРГСКАЯ ОБЛ.,ОРЕНБУРГСКИЙ Р-Н,С БЛАГОСЛОВЕНКА,УЛ УРОЖАЙНАЯ Д 9</t>
  </si>
  <si>
    <t>Ситников Александр Олегович</t>
  </si>
  <si>
    <t>52.765002,55.817332</t>
  </si>
  <si>
    <t>Общество с ограниченной ответственностью "МЕХКОЛОННА № 28"</t>
  </si>
  <si>
    <t>"МЕХКОЛОННА № 28"</t>
  </si>
  <si>
    <t>5610074637</t>
  </si>
  <si>
    <t>Г ОРЕНБУРГ,УЛ БЕЛЯЕВСКАЯ Д 42</t>
  </si>
  <si>
    <t>Полунин Александр Владимирович</t>
  </si>
  <si>
    <t>+7 (919) 852-66-64'</t>
  </si>
  <si>
    <t>54.706219,55.826288</t>
  </si>
  <si>
    <t>ОБЩЕСТВО С ОГРАНИЧЕННОЙ ОТВЕТСТВЕННОСТЬЮ "БЕТОНСНАБ 46"</t>
  </si>
  <si>
    <t>"БЕТОНСНАБ 46"</t>
  </si>
  <si>
    <t>4632188530</t>
  </si>
  <si>
    <t>https://бонбетон.рф</t>
  </si>
  <si>
    <t>г. Курск, пр.Кулакова, д. 110</t>
  </si>
  <si>
    <t>Бондаренко Лариса Григорьевна</t>
  </si>
  <si>
    <t>+7 (960) 683-73-61'</t>
  </si>
  <si>
    <t>betonsnab46@yandex.ru'</t>
  </si>
  <si>
    <t>54.609604,55.841865</t>
  </si>
  <si>
    <t>ОБЩЕСТВО С ОГРАНИЧЕННОЙ ОТВЕТСТВЕННОСТЬЮ "ОРЕН-ОРС"</t>
  </si>
  <si>
    <t>"ОРЕН-ОРС"</t>
  </si>
  <si>
    <t>5638015960</t>
  </si>
  <si>
    <t>Г ОРЕНБУРГ,УЛ КАВАЛЕРИЙСКАЯ Д 4</t>
  </si>
  <si>
    <t>Дунай Алексей Анатольевич</t>
  </si>
  <si>
    <t>+7 (903) 392-15-23'</t>
  </si>
  <si>
    <t>54.793729,55.86629</t>
  </si>
  <si>
    <t>ОБЩЕСТВО С ОГРАНИЧЕННОЙ ОТВЕТСТВЕННОСТЬЮ "КАМЕННЫЙ ГОРОД"</t>
  </si>
  <si>
    <t>"КАМЕННЫЙ ГОРОД"</t>
  </si>
  <si>
    <t>1651082502</t>
  </si>
  <si>
    <t>423551, ТАТАРСТАН РЕСПУБЛИКА, РАЙОН НИЖНЕКАМСКИЙ, СЕЛО БОЛЬШОЕ АФАНАСОВО, УЛИЦА СОЛНЕЧНАЯ, ДОМ 4</t>
  </si>
  <si>
    <t>Кузьмин Владимир Марсович</t>
  </si>
  <si>
    <t>gorod@list.ru'</t>
  </si>
  <si>
    <t>55.875157,37.676259</t>
  </si>
  <si>
    <t>ОБЩЕСТВО С ОГРАНИЧЕННОЙ ОТВЕТСТВЕННОСТЬЮ "ЦЕНТР-МАРКЕТ"</t>
  </si>
  <si>
    <t>"ЦЕНТР-МАРКЕТ"</t>
  </si>
  <si>
    <t>5610072492</t>
  </si>
  <si>
    <t>Г ОРЕНБУРГ,УЛ 8 МАРТА ЦЕНТРАЛЬНЫЙ РЫНОК</t>
  </si>
  <si>
    <t>Иванисенко Евгений Геннадьевич</t>
  </si>
  <si>
    <t>+7 (353) 264-58-92'</t>
  </si>
  <si>
    <t>53.577385,55.879011</t>
  </si>
  <si>
    <t>ОБЩЕСТВО С ОГРАНИЧЕННОЙ ОТВЕТСТВЕННОСТЬЮ "БУРЖЕЛЕЗОБЕТОН"</t>
  </si>
  <si>
    <t>"БУРЖЕЛЕЗОБЕТОН"</t>
  </si>
  <si>
    <t>0323117609</t>
  </si>
  <si>
    <t>Г УЛАН-УДЭ,УЛ ДОМОСТРОИТЕЛЬНАЯ 7</t>
  </si>
  <si>
    <t>Березовский Василий Иванович</t>
  </si>
  <si>
    <t>55.881187,36.56755</t>
  </si>
  <si>
    <t>ОБЩЕСТВО С ОГРАНИЧЕННОЙ ОТВЕТСТВЕННОСТЬЮ "БИОСФЕРА-САН 1"</t>
  </si>
  <si>
    <t>"БИОСФЕРА-САН 1"</t>
  </si>
  <si>
    <t>5640005768</t>
  </si>
  <si>
    <t>ОРЕНБУРГСКАЯ ОБЛ.,ПЕРЕВОЛОЦКИЙ Р-Н,С РОДНИЧНЫЙ ДОЛ</t>
  </si>
  <si>
    <t xml:space="preserve"> Директор Вечкилев Виктор Николаевич</t>
  </si>
  <si>
    <t>54.789711,55.886727</t>
  </si>
  <si>
    <t>ОБЩЕСТВО С ОГРАНИЧЕННОЙ ОТВЕТСТВЕННОСТЬЮ "ЛЕГОСТРОЙ НИЖНЕКАМСК"</t>
  </si>
  <si>
    <t>"ЛЕГОСТРОЙ НИЖНЕКАМСК"</t>
  </si>
  <si>
    <t>1651087910</t>
  </si>
  <si>
    <t>423575, ТАТАРСТАН РЕСПУБЛИКА, Р-Н НИЖНЕКАМСКИЙ, Г. НИЖНЕКАМСК, ПР-КТ ХИМИКОВ, ЗД 47/35, ПОМЕЩ. 1001</t>
  </si>
  <si>
    <t xml:space="preserve"> Общество С Ограниченной Ответственностью "Легострой Казань"</t>
  </si>
  <si>
    <t>53.622654,55.898199</t>
  </si>
  <si>
    <t>ОБЩЕСТВО С ОГРАНИЧЕННОЙ ОТВЕТСТВЕННОСТЬЮ "СТРОЙТОРГСЕРВИС"</t>
  </si>
  <si>
    <t>"СТРОЙТОРГСЕРВИС"</t>
  </si>
  <si>
    <t>0323822720</t>
  </si>
  <si>
    <t>Г УЛАН-УДЭ,БУЛ КАРЛА МАРКСА 1</t>
  </si>
  <si>
    <t>54.577905,55.902097</t>
  </si>
  <si>
    <t>ОБЩЕСТВО С ОГРАНИЧЕННОЙ ОТВЕТСТВЕННОСТЬЮ "УЛАН-УДЭНСКИЙ ЗАВОД ЖЕЛЕЗОБЕТОННЫХ ИЗДЕЛИЙ"</t>
  </si>
  <si>
    <t>"УЛАН-УДЭНСКИЙ ЗАВОД ЖЕЛЕЗОБЕТОННЫХ ИЗДЕЛИЙ"</t>
  </si>
  <si>
    <t>0326013573</t>
  </si>
  <si>
    <t>Г УЛАН-УДЭ,П ПОЛИГОН 502 КМ</t>
  </si>
  <si>
    <t>Симонова Людмила Петровна</t>
  </si>
  <si>
    <t>54.751653,55.905089</t>
  </si>
  <si>
    <t>1651036369</t>
  </si>
  <si>
    <t>РЕСПУБЛИКА ТАТАРСТАН (ТАТАРСТАН),Г НИЖНЕКАМСК,УЛ АХТУБИНСКАЯ Д 12А</t>
  </si>
  <si>
    <t>Бобков Александр Евгеньевич</t>
  </si>
  <si>
    <t>54.000627,55.905511</t>
  </si>
  <si>
    <t>ОБЩЕСТВО С ОГРАНИЧЕННОЙ ОТВЕТСТВЕННОСТЬЮ "БАЙКАЛАГРОПРОМ"</t>
  </si>
  <si>
    <t>"БАЙКАЛАГРОПРОМ"</t>
  </si>
  <si>
    <t>0323110498</t>
  </si>
  <si>
    <t>Г УЛАН-УДЭ,УЛ ТРАКТОВАЯ 1 А</t>
  </si>
  <si>
    <t>Бутин Василий Викторович</t>
  </si>
  <si>
    <t>52.952134,55.906176</t>
  </si>
  <si>
    <t>5609048015</t>
  </si>
  <si>
    <t>Г ОРЕНБУРГ,УЛ БРЕСТСКАЯ Д 8/1..</t>
  </si>
  <si>
    <t>Данилов Вячеслав Емельянович</t>
  </si>
  <si>
    <t>52.939632,55.911583</t>
  </si>
  <si>
    <t>ОБЩЕСТВО С ОГРАНИЧЕННОЙ ОТВЕТСТВЕННОСТЬЮ "ЗАВОД КРУПНОПАНЕЛЬНОГО ДОМОСТРОЕНИЯ"</t>
  </si>
  <si>
    <t>"ЗАВОД КРУПНОПАНЕЛЬНОГО ДОМОСТРОЕНИЯ"</t>
  </si>
  <si>
    <t>1651052843</t>
  </si>
  <si>
    <t>423570, ТАТАРСТАН РЕСПУБЛИКА, Р-Н НИЖНЕКАМСКИЙ, Г. НИЖНЕКАМСК, ТЕР БСИ, БСИ-2</t>
  </si>
  <si>
    <t>Кашапов Рузель Тахирович</t>
  </si>
  <si>
    <t>53.635203,55.911682</t>
  </si>
  <si>
    <t>1651091063</t>
  </si>
  <si>
    <t>423570, Республика Татарстан (Татарстан), муниципальный район НИЖНЕКАМСКИЙ, Город НИЖНЕКАМСК, городское поселение ГОРОД НИЖНЕКАМСК, УЛ ЗАВОДСКАЯ, ЗД. 7, К. 2, ОФИС 5</t>
  </si>
  <si>
    <t>Тарасенко Роман Алексеевич</t>
  </si>
  <si>
    <t>54.748353,55.917485</t>
  </si>
  <si>
    <t>АКЦИОНЕРНОЕ ОБЩЕСТВО ЗАВОД ЖЕЛЕЗОБЕТОННЫХ ИЗДЕЛИЙ "СТЕПНОЙ"</t>
  </si>
  <si>
    <t>ЗАВОД ЖЕЛЕЗОБЕТОННЫХ ИЗДЕЛИЙ "СТЕПНОЙ"</t>
  </si>
  <si>
    <t>5609031910</t>
  </si>
  <si>
    <t>http://orenbeton.ru</t>
  </si>
  <si>
    <t>Г ОРЕНБУРГ,УЛ ТЕХНИЧЕСКАЯ Д 4</t>
  </si>
  <si>
    <t>Поляев Сергей Николаевич</t>
  </si>
  <si>
    <t>mail@orenbeton.ru'</t>
  </si>
  <si>
    <t>54.596389,55.922669</t>
  </si>
  <si>
    <t>6381020759</t>
  </si>
  <si>
    <t>446587, САМАРСКАЯ ОБЛАСТЬ, ИСАКЛИНСКИЙ РАЙОН, ПОСЕЛОК СОКСКИЙ, УЛИЦА НОВО-САДОВАЯ, ДОМ 13</t>
  </si>
  <si>
    <t>psa163@yandex.ru'</t>
  </si>
  <si>
    <t>ОБЩЕСТВО С ОГРАНИЧЕННОЙ ОТВЕТСТВЕННОСТЬЮ "МЕХАНИК"</t>
  </si>
  <si>
    <t>"МЕХАНИК"</t>
  </si>
  <si>
    <t>6830000784</t>
  </si>
  <si>
    <t>ТАМБОВСКАЯ ОБЛ.,Г УВАРОВО,УВАРОВО-5,МИКРОРАЙОН МОЛОДЕЖНЫЙ</t>
  </si>
  <si>
    <t>Карасенков Виктор Александрович</t>
  </si>
  <si>
    <t>53.625282,55.923836</t>
  </si>
  <si>
    <t>ОБЩЕСТВО С ОГРАНИЧЕННОЙ ОТВЕТСТВЕННОСТЬЮ "ТЕРЕМ СТРОЙ"</t>
  </si>
  <si>
    <t>"ТЕРЕМ СТРОЙ"</t>
  </si>
  <si>
    <t>0411173592</t>
  </si>
  <si>
    <t>04-Республика Алтай</t>
  </si>
  <si>
    <t>Г ГОРНО-АЛТАЙСК,УЛ ЧОРОС-ГУРКИНА, Д 38</t>
  </si>
  <si>
    <t>Яманова Айзан Саламовна</t>
  </si>
  <si>
    <t>+7 (913) 691-36-34'</t>
  </si>
  <si>
    <t>53.403239,55.926657</t>
  </si>
  <si>
    <t>1650355450</t>
  </si>
  <si>
    <t>423606, ТАТАРСТАН РЕСПУБЛИКА, РАЙОН ЕЛАБУЖСКИЙ, ГОРОД ЕЛАБУГА, ШОССЕ ОКРУЖНОЕ, ДОМ 4Г, ОФИС 1</t>
  </si>
  <si>
    <t>Аухадиев Файзрахман Габдрахманович</t>
  </si>
  <si>
    <t>+7 (917) 869-91-95'</t>
  </si>
  <si>
    <t>54.568406,55.927726</t>
  </si>
  <si>
    <t>ОБЩЕСТВО С ОГРАНИЧЕННОЙ ОТВЕТСТВЕННОСТЬЮ "ГУДВИЛЛ"</t>
  </si>
  <si>
    <t>"ГУДВИЛЛ"</t>
  </si>
  <si>
    <t>1648047466</t>
  </si>
  <si>
    <t>423520, ТАТАРСТАН РЕСПУБЛИКА, РАЙОН ЗАИНСКИЙ, ГОРОД ЗАИНСК, УЛИЦА ПРИГОРОДНАЯ, ДОМ 33, КОМНАТА 3</t>
  </si>
  <si>
    <t>+7 (917) 286-27-03'</t>
  </si>
  <si>
    <t>52.854893,55.927942</t>
  </si>
  <si>
    <t>1647018399</t>
  </si>
  <si>
    <t>423520, ТАТАРСТАН РЕСПУБЛИКА, Р-Н ЗАИНСКИЙ, Г. ЗАИНСК, УЛ. М.НИКИФОРОВА, Д. 68,..</t>
  </si>
  <si>
    <t>Кравченко Александр Владимирович</t>
  </si>
  <si>
    <t>+7 (917) 292-52-56'</t>
  </si>
  <si>
    <t>ccmontag@mail.ru'</t>
  </si>
  <si>
    <t>54.894295,55.928301</t>
  </si>
  <si>
    <t>АКЦИОНЕРНОЕ ОБЩЕСТВО "СИЛИКАТНЫЙ ЗАВОД"</t>
  </si>
  <si>
    <t>"СИЛИКАТНЫЙ ЗАВОД"</t>
  </si>
  <si>
    <t>7534000698</t>
  </si>
  <si>
    <t>Г ЧИТА,УЛ АГИНСКИЙ ТРАКТ, Д 27</t>
  </si>
  <si>
    <t xml:space="preserve"> Генеральный Директор Василенко Лариса Петровна</t>
  </si>
  <si>
    <t>sil_savod@mail.ru', 'SIL_ZAVOD@MAIL.RU'</t>
  </si>
  <si>
    <t>57.975398,55.928687</t>
  </si>
  <si>
    <t>ОБЩЕСТВО С ОГРАНИЧЕННОЙ ОТВЕТСТВЕННОСТЬЮ "ИНВЕСТ-СТРОЙ"</t>
  </si>
  <si>
    <t>"ИНВЕСТ-СТРОЙ"</t>
  </si>
  <si>
    <t>1626013640</t>
  </si>
  <si>
    <t>423603, ТАТАРСТАН РЕСПУБЛИКА, РАЙОН ЕЛАБУЖСКИЙ, ГОРОД ЕЛАБУГА, УЛИЦА ЧАПАЕВА, 59</t>
  </si>
  <si>
    <t>Габидуллин Ильнур Марселевич</t>
  </si>
  <si>
    <t>+7 (904) 668-21-88'</t>
  </si>
  <si>
    <t>mamad@mail.ru'</t>
  </si>
  <si>
    <t>53.630403,55.930825</t>
  </si>
  <si>
    <t>ОБЩЕСТВО С ОГРАНИЧЕННОЙ ОТВЕТСТВЕННОСТЬЮ "ТОРГОВЫЙ ДОМ "МЕГА-БЕТОН"</t>
  </si>
  <si>
    <t>""МЕГА-БЕТОН"</t>
  </si>
  <si>
    <t>1646045022</t>
  </si>
  <si>
    <t>423603, ТАТАРСТАН РЕСПУБЛИКА, Р-Н ЕЛАБУЖСКИЙ, Г. ЕЛАБУГА, УЛ. ПРОЛЕТАРСКАЯ, Д. 5, ПОМЕЩ. 1</t>
  </si>
  <si>
    <t>Гайфутдинов Талгать Фазилович</t>
  </si>
  <si>
    <t>+7 (919) 625-50-45'</t>
  </si>
  <si>
    <t>54.634359,55.932254</t>
  </si>
  <si>
    <t>ОБЩЕСТВО С ОГРАНИЧЕННОЙ ОТВЕТСТВЕННОСТЬЮ "ВЯТСКИЙ БЕТОН"</t>
  </si>
  <si>
    <t>"ВЯТСКИЙ БЕТОН"</t>
  </si>
  <si>
    <t>1660159871</t>
  </si>
  <si>
    <t>423602, ТАТАРСТАН РЕСПУБЛИКА, Р-Н ЕЛАБУЖСКИЙ, Г. ЕЛАБУГА, УЛ. ТАЗИ ГИЗЗАТА, Д.4,..</t>
  </si>
  <si>
    <t>Сафин Ильшат Хайдарович</t>
  </si>
  <si>
    <t>+7 (917) 395-38-48'</t>
  </si>
  <si>
    <t>ОБЩЕСТВО С ОГРАНИЧЕННОЙ ОТВЕТСТВЕННОСТЬЮ "МИРАС"</t>
  </si>
  <si>
    <t>"МИРАС"</t>
  </si>
  <si>
    <t>1646038040</t>
  </si>
  <si>
    <t>423600, Республика Татарстан (Татарстан), г Елабуга, просп Мира д 43..</t>
  </si>
  <si>
    <t>Миркасимов Рамиль Тафкилович</t>
  </si>
  <si>
    <t>ОБЩЕСТВО С ОГРАНИЧЕННОЙ ОТВЕТСТВЕННОСТЬЮ "СЕЛЕНГИНСКИЙ ЗАВОД ЖЕЛЕЗОБЕТОННЫХ ИЗДЕЛИЙ"</t>
  </si>
  <si>
    <t>0309010886</t>
  </si>
  <si>
    <t>РЕСПУБЛИКА БУРЯТИЯ,КАБАНСКИЙ Р-Н,РП СЕЛЕНГИНСК</t>
  </si>
  <si>
    <t>Хармеев Эдуард Евгеньевич</t>
  </si>
  <si>
    <t>53.622777,55.932909</t>
  </si>
  <si>
    <t>ОБЩЕСТВО С ОГРАНИЧЕННОЙ ОТВЕТСТВЕННОСТЬЮ "ПРОМСНАБКОМПЛЕКТ"</t>
  </si>
  <si>
    <t>"ПРОМСНАБКОМПЛЕКТ"</t>
  </si>
  <si>
    <t>7452130880</t>
  </si>
  <si>
    <t>74-Челябинская область</t>
  </si>
  <si>
    <t>Г ЧИТА,УЛ КРАСНОЯРСКАЯ, Д 58</t>
  </si>
  <si>
    <t>Гринкевич Яна Станиславовна</t>
  </si>
  <si>
    <t>+7 (922) 231-56-32', '+7 (932) 309-34-41'</t>
  </si>
  <si>
    <t>buh@sssnab.ru'</t>
  </si>
  <si>
    <t>54.734721,55.933475</t>
  </si>
  <si>
    <t>7537010969</t>
  </si>
  <si>
    <t>Г ЧИТА,УЛ НОВАЯ, Д 65</t>
  </si>
  <si>
    <t>Саломатова Наталья Геннадьевна</t>
  </si>
  <si>
    <t>53.647438,55.936916</t>
  </si>
  <si>
    <t>7534017444</t>
  </si>
  <si>
    <t>Г ЧИТА,АГИНСКИЙ ТРАКТ, Д 27</t>
  </si>
  <si>
    <t>Денисов Максим Александрович</t>
  </si>
  <si>
    <t>53.648238,55.937491</t>
  </si>
  <si>
    <t>ОБЩЕСТВО С ОГРАНИЧЕННОЙ ОТВЕТСТВЕННОСТЬЮ "ПОЛИМЕРИНВЕСТСТРОЙ"</t>
  </si>
  <si>
    <t>"ПОЛИМЕРИНВЕСТСТРОЙ"</t>
  </si>
  <si>
    <t>1646018830</t>
  </si>
  <si>
    <t>РЕСПУБЛИКА ТАТАРСТАН (ТАТАРСТАН),Г ЕЛАБУГА,УЛ 16 1 КОРП 42/2</t>
  </si>
  <si>
    <t>Зиннатуллин Альберт Рафаилевич</t>
  </si>
  <si>
    <t>54.704196,55.939979</t>
  </si>
  <si>
    <t>ОБЩЕСТВО С ОГРАНИЧЕННОЙ ОТВЕТСТВЕННОСТЬЮ "ЕЛАБУЖСКАЯ БРУСЧАТКА"</t>
  </si>
  <si>
    <t>"ЕЛАБУЖСКАЯ БРУСЧАТКА"</t>
  </si>
  <si>
    <t>1646048432</t>
  </si>
  <si>
    <t>423604, ТАТАРСТАН РЕСПУБЛИКА, ЕЛАБУЖСКИЙ РАЙОН, ГОРОД ЕЛАБУГА, ШОССЕ НАБЕРЕЖНО-ЧЕЛНИНСКОЕ, ДОМ 4, ОФИС 1</t>
  </si>
  <si>
    <t>Алиев Ильгар Джабраил Оглы</t>
  </si>
  <si>
    <t>54.732434,55.940132</t>
  </si>
  <si>
    <t>ОБЩЕСТВО С ОГРАНИЧЕННОЙ ОТВЕТСТВЕННОСТЬЮ "НАВИКАР"</t>
  </si>
  <si>
    <t>"НАВИКАР"</t>
  </si>
  <si>
    <t>1825000740</t>
  </si>
  <si>
    <t>УДМУРТСКАЯ РЕСПУБЛИКА,РП ЯР,УЛ Ф ВАСИЛЬЕВА,3</t>
  </si>
  <si>
    <t>Наймушин Виктор Аркадьевич</t>
  </si>
  <si>
    <t>54.728664,55.941964</t>
  </si>
  <si>
    <t>ОБЩЕСТВО С ОГРАНИЧЕННОЙ ОТВЕТСТВЕННОСТЬЮ "ПРОМЫШЛЕННЫЙ ПАРК КАМСКИЙ"</t>
  </si>
  <si>
    <t>"ПРОМЫШЛЕННЫЙ ПАРК КАМСКИЙ"</t>
  </si>
  <si>
    <t>1639057443</t>
  </si>
  <si>
    <t>423877, ТАТАРСТАН РЕСПУБЛИКА, РАЙОН ТУКАЕВСКИЙ, СЕЛО БЕТЬКИ, УЛИЦА ДОРОЖНАЯ ДОМ 1, ОФИС 1</t>
  </si>
  <si>
    <t>Давлетшин Нияз Нургалиевич</t>
  </si>
  <si>
    <t>+7 (919) 623-43-43'</t>
  </si>
  <si>
    <t>53.621784,55.945136</t>
  </si>
  <si>
    <t>ОБЩЕСТВО С ОГРАНИЧЕННОЙ ОТВЕТСТВЕННОСТЬЮ "СТРЕЛА"</t>
  </si>
  <si>
    <t>"СТРЕЛА"</t>
  </si>
  <si>
    <t>5603044800</t>
  </si>
  <si>
    <t>461011, ОРЕНБУРГСКАЯ ОБЛАСТЬ, Р-Н БУЗУЛУКСКИЙ, С ПАЛИМОВКА, МКР 1-Й, Д. 2,..</t>
  </si>
  <si>
    <t>Калайчиева Марианна Азарьевна</t>
  </si>
  <si>
    <t>53.682218,55.945432</t>
  </si>
  <si>
    <t>5610210960</t>
  </si>
  <si>
    <t>461040, ОРЕНБУРГСКАЯ ОБЛАСТЬ, Г. БУЗУЛУК, УЛ. ТЕХНИЧЕСКАЯ, Д. 3 "Б"</t>
  </si>
  <si>
    <t>ГЕНЕРАЛЬНЫЙ ДИРЕКТОР Шандорова Татьяна</t>
  </si>
  <si>
    <t>+7 (903) 392-56-58'</t>
  </si>
  <si>
    <t>ОБЩЕСТВО С ОГРАНИЧЕННОЙ ОТВЕТСТВЕННОСТЬЮ "МЕЖРЕГИОНАЛЬНАЯ СТРОИТЕЛЬНО-ТОРГОВАЯ КОМПАНИЯ"</t>
  </si>
  <si>
    <t>"МЕЖРЕГИОНАЛЬНАЯ СТРОИТЕЛЬНО-ТОРГОВАЯ КОМПАНИЯ"</t>
  </si>
  <si>
    <t>1831175354</t>
  </si>
  <si>
    <t>УДМУРТСКАЯ РЕСПУБЛИКА,Г МОЖГА,УЛ ФАЛАЛЕЕВА,9</t>
  </si>
  <si>
    <t>Брылов Андрей Юрьевич</t>
  </si>
  <si>
    <t>+7 (950) 163-85-36'</t>
  </si>
  <si>
    <t>52.972844,55.946609</t>
  </si>
  <si>
    <t>5603045970</t>
  </si>
  <si>
    <t>461049, ОРЕНБУРГСКАЯ ОБЛ, БУЗУЛУК Г, 2-Й МКР, ДОМ 9,..</t>
  </si>
  <si>
    <t>Лекомцева Ирина Николаевна</t>
  </si>
  <si>
    <t>+7 (922) 535-88-77'</t>
  </si>
  <si>
    <t>54.706854,55.947238</t>
  </si>
  <si>
    <t>ОБЩЕСТВО С ОГРАНИЧЕННОЙ ОТВЕТСТВЕННОСТЬЮ "СТРОЙИНВЕСТ ГРУПП"</t>
  </si>
  <si>
    <t>"СТРОЙИНВЕСТ ГРУПП"</t>
  </si>
  <si>
    <t>5609174997</t>
  </si>
  <si>
    <t>ОРЕНБУРГСКАЯ ОБЛ.,Г БУЗУЛУК,2 МИКРОРАЙОН Д 5..</t>
  </si>
  <si>
    <t>Курлаев Алексей Сергеевич</t>
  </si>
  <si>
    <t>+7 (903) 365-59-62'</t>
  </si>
  <si>
    <t>ОБЩЕСТВО С ОГРАНИЧЕННОЙ ОТВЕТСТВЕННОСТЬЮ "ПРЕМИУМ"</t>
  </si>
  <si>
    <t>"ПРЕМИУМ"</t>
  </si>
  <si>
    <t>3801991415</t>
  </si>
  <si>
    <t>Г ИРКУТСК,УЛ БАЙКАЛЬСКАЯ Д 107</t>
  </si>
  <si>
    <t>Смольников Андрей Владимирович</t>
  </si>
  <si>
    <t>+7 (914) 952-17-51'</t>
  </si>
  <si>
    <t>58.001752,55.947274</t>
  </si>
  <si>
    <t>ОБЩЕСТВО С ОГРАНИЧЕННОЙ ОТВЕТСТВЕННОСТЬЮ "ЕЛМАН"</t>
  </si>
  <si>
    <t>"ЕЛМАН"</t>
  </si>
  <si>
    <t>1644097787</t>
  </si>
  <si>
    <t>423461, ТАТАРСТАН РЕСП., Р-Н Альметьевский, Г. Альметьевск, УЛ. РИНАТА ГАЛЕЕВА, Д. 25,..</t>
  </si>
  <si>
    <t>Камалетдинов Ильшат Имамутдинович</t>
  </si>
  <si>
    <t>ОБЩЕСТВО С ОГРАНИЧЕННОЙ ОТВЕТСТВЕННОСТЬЮ "КАМЕННЫЙ ДВОР"</t>
  </si>
  <si>
    <t>"КАМЕННЫЙ ДВОР"</t>
  </si>
  <si>
    <t>1644087316</t>
  </si>
  <si>
    <t>423454, ТАТАРСТАН РЕСП, АЛЬМЕТЬЕВСК Г, КРАСНОАРМЕЙКА МКР, ЛЕСНАЯ УЛ, ДОМ 13</t>
  </si>
  <si>
    <t>Кемаев Алексей Николаевич</t>
  </si>
  <si>
    <t>+7 (917) 233-33-33'</t>
  </si>
  <si>
    <t>53.601901,55.948989</t>
  </si>
  <si>
    <t>ОБЩЕСТВО С ОГРАНИЧЕННОЙ ОТВЕТСТВЕННОСТЬЮ "СТРОЙ-ЖБИ"</t>
  </si>
  <si>
    <t>"СТРОЙ-ЖБИ"</t>
  </si>
  <si>
    <t>1624014408</t>
  </si>
  <si>
    <t>РЕСПУБЛИКА ТАТАРСТАН (ТАТАРСТАН),Г АЛЬМЕТЬЕВСК,УЛ НЕФТЯНИКОВ Д 37</t>
  </si>
  <si>
    <t>+7 (927) 878-15-31'</t>
  </si>
  <si>
    <t>53.678591,55.949286</t>
  </si>
  <si>
    <t>ОБЩЕСТВО С ОГРАНИЧЕННОЙ ОТВЕТСТВЕННОСТЬЮ "САС-ЗЖБИ"</t>
  </si>
  <si>
    <t>"САС-ЗЖБИ"</t>
  </si>
  <si>
    <t>3811185037</t>
  </si>
  <si>
    <t>http://sibaviastroy.ru</t>
  </si>
  <si>
    <t>Г ИРКУТСК,УЛ ПАРТИЗАНСКАЯ Д 1</t>
  </si>
  <si>
    <t>Жуков Сергей Юрьевич</t>
  </si>
  <si>
    <t>54.725862,55.950921</t>
  </si>
  <si>
    <t>ОБЩЕСТВО С ОГРАНИЧЕННОЙ ОТВЕТСТВЕННОСТЬЮ "КОЛАМБИЯ"</t>
  </si>
  <si>
    <t>"КОЛАМБИЯ"</t>
  </si>
  <si>
    <t>1655337342</t>
  </si>
  <si>
    <t>РЕСПУБЛИКА ТАТАРСТАН (ТАТАРСТАН),Г НАБЕРЕЖНЫЕ ЧЕЛНЫ,ПЕРЕУЛОК ПАРКОВЫЙ Д 16..</t>
  </si>
  <si>
    <t>+7 (843) 570-01-88'</t>
  </si>
  <si>
    <t>54.723782,55.951091</t>
  </si>
  <si>
    <t>ОБЩЕСТВО С ОГРАНИЧЕННОЙ ОТВЕТСТВЕННОСТЬЮ "КАНКРИТ"</t>
  </si>
  <si>
    <t>"КАНКРИТ"</t>
  </si>
  <si>
    <t>1650412074</t>
  </si>
  <si>
    <t>423800, Республика Татарстан (Татарстан), ГОРОД НАБЕРЕЖНЫЕ ЧЕЛНЫ, Г НАБЕРЕЖНЫЕ ЧЕЛНЫ, УЛ ПРОФИЛЬНАЯ, Д. 57/1</t>
  </si>
  <si>
    <t>Можгин Станислав Игоревич</t>
  </si>
  <si>
    <t>RBZ@MAIL.RU'</t>
  </si>
  <si>
    <t>53.64708,55.953705</t>
  </si>
  <si>
    <t>1644094994</t>
  </si>
  <si>
    <t>423458, ТАТАРСТАН РЕСПУБЛИКА, РАЙОН АЛЬМЕТЬЕВСКИЙ, ГОРОД АЛЬМЕТЬЕВСК, УЛИЦА ИНДУСТРИАЛЬНАЯ, ДОМ 8, ПОМЕЩЕНИЕ 2</t>
  </si>
  <si>
    <t>Чикуров Александр Владимирович</t>
  </si>
  <si>
    <t>55.049854,55.955224</t>
  </si>
  <si>
    <t>ОБЩЕСТВО С ОГРАНИЧЕННОЙ ОТВЕТСТВЕННОСТЬЮ "ИЛЬСТРОЙ"</t>
  </si>
  <si>
    <t>"ИЛЬСТРОЙ"</t>
  </si>
  <si>
    <t>1650336521</t>
  </si>
  <si>
    <t>423800, Республика Татарстан (Татарстан), городской округ ГОРОД НАБЕРЕЖНЫЕ ЧЕЛНЫ, Город НАБЕРЕЖНЫЕ ЧЕЛНЫ, ПР-КТ ИМ МУСЫ ДЖАЛИЛЯ, Д. 56, ОФИС 903</t>
  </si>
  <si>
    <t>Габделхаков Ильдус Ильфатович</t>
  </si>
  <si>
    <t>54.730999,55.955484</t>
  </si>
  <si>
    <t>ОБЩЕСТВО С ОГРАНИЧЕННОЙ ОТВЕТСТВЕННОСТЬЮ "Силикатнеруд"</t>
  </si>
  <si>
    <t>"Силикатнеруд"</t>
  </si>
  <si>
    <t>1650215622</t>
  </si>
  <si>
    <t>423651, ТАТАРСТАН РЕСПУБЛИКА, Р-Н МЕНДЕЛЕЕВСКИЙ, Г. МЕНДЕЛЕЕВСК, УЛ. ГАБДУЛЛЫ ТУКАЯ, Д. 2, ПОМЕЩ. 2.5</t>
  </si>
  <si>
    <t>Кузнецов Александр Петрович</t>
  </si>
  <si>
    <t>53.632939,55.956041</t>
  </si>
  <si>
    <t>ОБЩЕСТВО С ОГРАНИЧЕННОЙ ОТВЕТСТВЕННОСТЬЮ "ЗАВОД СИЛИКАТНОГО КИРПИЧА"</t>
  </si>
  <si>
    <t>1627016675</t>
  </si>
  <si>
    <t>423651, ТАТАРСТАН РЕСПУБЛИКА, Р-Н МЕНДЕЛЕЕВСКИЙ, Г. МЕНДЕЛЕЕВСК, УЛ. ГАБДУЛЛЫ ТУКАЯ, Д. 2, ОФИС 2.4/2</t>
  </si>
  <si>
    <t>Ганушевич Лариса Романовна</t>
  </si>
  <si>
    <t>+7 (960) 035-67-57'</t>
  </si>
  <si>
    <t>2016@mail.ru'</t>
  </si>
  <si>
    <t>53.0083,55.960039</t>
  </si>
  <si>
    <t>1644089169</t>
  </si>
  <si>
    <t>423452, ТАТАРСТАН РЕСП, АЛЬМЕТЬЕВСК Г, ВАЛЕЕВА УЛ, ДОМ 4,..</t>
  </si>
  <si>
    <t>Сакмаров Александр Владимирович</t>
  </si>
  <si>
    <t>+7 (987) 413-97-56'</t>
  </si>
  <si>
    <t>53.685556,55.962662</t>
  </si>
  <si>
    <t>1644087242</t>
  </si>
  <si>
    <t>423458, ТАТАРСТАН РЕСПУБЛИКА, Р-Н АЛЬМЕТЬЕВСКИЙ, Г. АЛЬМЕТЬЕВСК, УЛ. КИРОВА, Д. 12, К. А,..</t>
  </si>
  <si>
    <t>Мальков Роман Сергеевич</t>
  </si>
  <si>
    <t>+7 (987) 236-30-80'</t>
  </si>
  <si>
    <t>55.52996,55.964907</t>
  </si>
  <si>
    <t>1659149999</t>
  </si>
  <si>
    <t>РЕСПУБЛИКА ТАТАРСТАН (ТАТАРСТАН),Г НАБЕРЕЖНЫЕ ЧЕЛНЫ,НАБЕРЕЖНАЯ ТУКАЯ Д 51..</t>
  </si>
  <si>
    <t>+7 (917) 919-37-45'</t>
  </si>
  <si>
    <t>54.741291,55.967998</t>
  </si>
  <si>
    <t>ОБЩЕСТВО С ОГРАНИЧЕННОЙ ОТВЕТСТВЕННОСТЬЮ "РЕНОВАЦИЯ-22"</t>
  </si>
  <si>
    <t>"РЕНОВАЦИЯ-22"</t>
  </si>
  <si>
    <t>1674000658</t>
  </si>
  <si>
    <t>423650, Республика Татарстан (Татарстан), МЕНДЕЛЕЕВСКИЙ, 1 ГОРОД МЕНДЕЛЕЕВСК, Г МЕНДЕЛЕЕВСК, УЛ ФОМИНА, Д. 19</t>
  </si>
  <si>
    <t>Валиев Ринат Ильдарович</t>
  </si>
  <si>
    <t>SAIFAT38@MAIL.RU'</t>
  </si>
  <si>
    <t>54.715982,55.970567</t>
  </si>
  <si>
    <t>ОБЩЕСТВО С ОГРАНИЧЕННОЙ ОТВЕТСТВЕННОСТЬЮ "Менделеевский Комбинат Строительных Материалов"</t>
  </si>
  <si>
    <t>"Менделеевский Комбинат Строительных Материалов"</t>
  </si>
  <si>
    <t>1627008730</t>
  </si>
  <si>
    <t>423650, ТАТАРСТАН РЕСП, МЕНДЕЛЕЕВСКИЙ Р-Н, МЕНДЕЛЕЕВСК Г, ПИОНЕРСКАЯ УЛ, 3А</t>
  </si>
  <si>
    <t>Хасанов Анис Аухадиевич</t>
  </si>
  <si>
    <t>53.689145,55.970729</t>
  </si>
  <si>
    <t>ОБЩЕСТВО С ОГРАНИЧЕННОЙ ОТВЕТСТВЕННОСТЬЮ "ЗАВОД АНТИКОРРОЗИОННОЙ ЗАЩИТЫ ГАРАНТ"</t>
  </si>
  <si>
    <t>"ЗАВОД АНТИКОРРОЗИОННОЙ ЗАЩИТЫ ГАРАНТ"</t>
  </si>
  <si>
    <t>1650354168</t>
  </si>
  <si>
    <t>423800, ТАТАРСТАН РЕСПУБЛИКА, Г. НАБЕРЕЖНЫЕ ЧЕЛНЫ, УЛ. ПОЛИГРАФИЧЕСКАЯ, Д. 36</t>
  </si>
  <si>
    <t>Яснева Вера Сергеевна</t>
  </si>
  <si>
    <t>+7 (927) 496-08-88', '+7 (987) 214-12-41'</t>
  </si>
  <si>
    <t>53.652193,55.974879</t>
  </si>
  <si>
    <t>ОБЩЕСТВО С ОГРАНИЧЕННОЙ ОТВЕТСТВЕННОСТЬЮ "КАМСКАЯ ПЛИТКА"</t>
  </si>
  <si>
    <t>"КАМСКАЯ ПЛИТКА"</t>
  </si>
  <si>
    <t>1650338046</t>
  </si>
  <si>
    <t>423800, ТАТАРСТАН РЕСП, НАБЕРЕЖНЫЕ ЧЕЛНЫ Г, ЗАМЕЛЕКЕСЬЕ 26 МКР, ДОМ №172</t>
  </si>
  <si>
    <t>Хафизов Марат Шамилович</t>
  </si>
  <si>
    <t>+7 (917) 935-54-58'</t>
  </si>
  <si>
    <t>ОБЩЕСТВО С ОГРАНИЧЕННОЙ ОТВЕТСТВЕННОСТЬЮ "УНИДОМ ПЛЮС"</t>
  </si>
  <si>
    <t>"УНИДОМ ПЛЮС"</t>
  </si>
  <si>
    <t>1650287578</t>
  </si>
  <si>
    <t>423803, ТАТАРСТАН РЕСПУБЛИКА, Г. НАБЕРЕЖНЫЕ ЧЕЛНЫ, УЛ. ЛУННАЯ, Д.16</t>
  </si>
  <si>
    <t>Минх Лейсан Шамиловна</t>
  </si>
  <si>
    <t>55.028465,55.975157</t>
  </si>
  <si>
    <t>ОБЩЕСТВО С ОГРАНИЧЕННОЙ ОТВЕТСТВЕННОСТЬЮ "ПРОИЗВОДСТВЕННО-СТРОИТЕЛЬНАЯ КОМПАНИЯ СТРОЙ ТЕХНОЛОГИИ"</t>
  </si>
  <si>
    <t>"ПРОИЗВОДСТВЕННО-СТРОИТЕЛЬНАЯ КОМПАНИЯ СТРОЙ ТЕХНОЛОГИИ"</t>
  </si>
  <si>
    <t>1650276015</t>
  </si>
  <si>
    <t>423800, ТАТАРСТАН РЕСПУБЛИКА, Г. НАБЕРЕЖНЫЕ ЧЕЛНЫ, НАБ. САНАЧИНА, Д.6,..</t>
  </si>
  <si>
    <t>Зазвонов Анатолий Васильевич</t>
  </si>
  <si>
    <t>53.613323,55.975355</t>
  </si>
  <si>
    <t>ОБЩЕСТВО С ОГРАНИЧЕННОЙ ОТВЕТСТВЕННОСТЬЮ "СТАРЫЙ ГОРОД"</t>
  </si>
  <si>
    <t>"СТАРЫЙ ГОРОД"</t>
  </si>
  <si>
    <t>1650395911</t>
  </si>
  <si>
    <t>423800, ТАТАРСТАН РЕСПУБЛИКА, ГОРОД НАБЕРЕЖНЫЕ ЧЕЛНЫ, МИКРОРАЙОН КАМСКИЙ, ДОМ 30</t>
  </si>
  <si>
    <t>Миличкин Геннадий Евгеньевич</t>
  </si>
  <si>
    <t>53.652855,55.975741</t>
  </si>
  <si>
    <t>ОБЩЕСТВО С ОГРАНИЧЕННОЙ ОТВЕТСТВЕННОСТЬЮ "РИФЕЙ"</t>
  </si>
  <si>
    <t>"РИФЕЙ"</t>
  </si>
  <si>
    <t>1644069652</t>
  </si>
  <si>
    <t>РЕСПУБЛИКА ТАТАРСТАН (ТАТАРСТАН),Г НАБЕРЕЖНЫЕ ЧЕЛНЫ,УЛ М ЖУКОВА Д 26..</t>
  </si>
  <si>
    <t>Балиева Альбина Ринатовна</t>
  </si>
  <si>
    <t>+7 (904) 661-50-51'</t>
  </si>
  <si>
    <t>ОБЩЕСТВО С ОГРАНИЧЕННОЙ ОТВЕТСТВЕННОСТЬЮ "МЕГАЛИТ"</t>
  </si>
  <si>
    <t>"МЕГАЛИТ"</t>
  </si>
  <si>
    <t>1650365949</t>
  </si>
  <si>
    <t>423806, ТАТАРСТАН РЕСПУБЛИКА, Г. НАБЕРЕЖНЫЕ ЧЕЛНЫ, ПЕР. ИМ А.КОСАРЕВА, Д. 2,..</t>
  </si>
  <si>
    <t>Шафигуллин Ильнур Минуллович</t>
  </si>
  <si>
    <t>+7 (987) 424-51-05'</t>
  </si>
  <si>
    <t>ОБЩЕСТВО С ОГРАНИЧЕННОЙ ОТВЕТСТВЕННОСТЬЮ "ЖБИ-8"</t>
  </si>
  <si>
    <t>"ЖБИ-8"</t>
  </si>
  <si>
    <t>1660254564</t>
  </si>
  <si>
    <t>РЕСПУБЛИКА ТАТАРСТАН (ТАТАРСТАН),Г АЛЬМЕТЬЕВСК,УЛ СОВЕТСКАЯ Д 42А</t>
  </si>
  <si>
    <t>Фирстов Владимир Валерьевич</t>
  </si>
  <si>
    <t>54.680342,55.978032</t>
  </si>
  <si>
    <t>ОБЩЕСТВО С ОГРАНИЧЕННОЙ ОТВЕТСТВЕННОСТЬЮ "КамгэсЗЯБ"</t>
  </si>
  <si>
    <t>"КамгэсЗЯБ"</t>
  </si>
  <si>
    <t>1650220799</t>
  </si>
  <si>
    <t>http://zyab.ru</t>
  </si>
  <si>
    <t>423822, ТАТАРСТАН РЕСПУБЛИКА, ГОРОД НАБЕРЕЖНЫЕ ЧЕЛНЫ, ПРОСПЕКТ НАБЕРЕЖНОЧЕЛНИНСКИЙ, ДОМ 39</t>
  </si>
  <si>
    <t>Волохов Роман Николаевич</t>
  </si>
  <si>
    <t>+7 (917) 271-28-37'</t>
  </si>
  <si>
    <t>54.73456,55.981526</t>
  </si>
  <si>
    <t>ОБЩЕСТВО С ОГРАНИЧЕННОЙ ОТВЕТСТВЕННОСТЬЮ "РЕГИОНРЕМСТРОЙ"</t>
  </si>
  <si>
    <t>"РЕГИОНРЕМСТРОЙ"</t>
  </si>
  <si>
    <t>1650351865</t>
  </si>
  <si>
    <t>Клементьев Александр Петрович</t>
  </si>
  <si>
    <t>+7 (906) 331-22-88'</t>
  </si>
  <si>
    <t>54.739872,55.982523</t>
  </si>
  <si>
    <t>ОБЩЕСТВО С ОГРАНИЧЕННОЙ ОТВЕТСТВЕННОСТЬЮ "ПРОИЗВОДСТВЕННО-КОММЕРЧЕСКАЯ ФИРМА ИЛЬСТРОЙ"</t>
  </si>
  <si>
    <t>"ПРОИЗВОДСТВЕННО-КОММЕРЧЕСКАЯ ФИРМА ИЛЬСТРОЙ"</t>
  </si>
  <si>
    <t>1650396520</t>
  </si>
  <si>
    <t>423822, ТАТАРСТАН РЕСПУБЛИКА, ГОРОД НАБЕРЕЖНЫЕ ЧЕЛНЫ, ПРОСПЕКТ НАБЕРЕЖНОЧЕЛНИНСКИЙ, ДОМ 41А, ОФИС 3</t>
  </si>
  <si>
    <t>Кожевников Денис Владимирович</t>
  </si>
  <si>
    <t>ОБЩЕСТВО С ОГРАНИЧЕННОЙ ОТВЕТСТВЕННОСТЬЮ "ТЕХНОПАРК ЖБИ"</t>
  </si>
  <si>
    <t>"ТЕХНОПАРК ЖБИ"</t>
  </si>
  <si>
    <t>1650362521</t>
  </si>
  <si>
    <t>423838, ТАТАРСТАН РЕСПУБЛИКА, Г. НАБЕРЕЖНЫЕ ЧЕЛНЫ, УЛ. РАСКОЛЬНИКОВА, Д. 29,..</t>
  </si>
  <si>
    <t>Быртов Сергей Михайлович</t>
  </si>
  <si>
    <t>+7 (960) 076-86-37'</t>
  </si>
  <si>
    <t>54.730578,55.983053</t>
  </si>
  <si>
    <t>ОБЩЕСТВО С ОГРАНИЧЕННОЙ ОТВЕТСТВЕННОСТЬЮ "ЖБИ НЧ КАМА"</t>
  </si>
  <si>
    <t>"ЖБИ НЧ КАМА"</t>
  </si>
  <si>
    <t>1650396626</t>
  </si>
  <si>
    <t>423838, ТАТАРСТАН РЕСПУБЛИКА, ГОРОД НАБЕРЕЖНЫЕ ЧЕЛНЫ, ПРОСПЕКТ ЧУЛМАН, ДОМ 19,..</t>
  </si>
  <si>
    <t>Шайхаттаров Рамис Мирзаянович</t>
  </si>
  <si>
    <t>53.653074,55.988991</t>
  </si>
  <si>
    <t>ОБЩЕСТВО С ОГРАНИЧЕННОЙ ОТВЕТСТВЕННОСТЬЮ "МИРСТРОЙ"</t>
  </si>
  <si>
    <t>"МИРСТРОЙ"</t>
  </si>
  <si>
    <t>1650352996</t>
  </si>
  <si>
    <t>423800, ТАТАРСТАН РЕСПУБЛИКА, Г. НАБЕРЕЖНЫЕ ЧЕЛНЫ, УЛ. ШАМИЛЯ УСМАНОВА, Д. 6,..</t>
  </si>
  <si>
    <t>Грибанов Алексей Анатольевич</t>
  </si>
  <si>
    <t>+7 (965) 624-83-11'</t>
  </si>
  <si>
    <t>53.678783,55.994462</t>
  </si>
  <si>
    <t>ОБЩЕСТВО С ОГРАНИЧЕННОЙ ОТВЕТСТВЕННОСТЬЮ "СПРИНТДИЗЕЛЬАВТО"</t>
  </si>
  <si>
    <t>"СПРИНТДИЗЕЛЬАВТО"</t>
  </si>
  <si>
    <t>1650290669</t>
  </si>
  <si>
    <t>423838, ТАТАРСТАН РЕСПУБЛИКА, Г. НАБЕРЕЖНЫЕ ЧЕЛНЫ, ПР-КТ ЧУЛМАН, Д. 37, ПОМЕЩ. 1002</t>
  </si>
  <si>
    <t>Галимуллин Алмаз Асгатович</t>
  </si>
  <si>
    <t>+7 (927) 249-60-26'</t>
  </si>
  <si>
    <t>367537t@mail.ru'</t>
  </si>
  <si>
    <t>53.684676,55.995944</t>
  </si>
  <si>
    <t>1631004880</t>
  </si>
  <si>
    <t>РЕСПУБЛИКА ТАТАРСТАН (ТАТАРСТАН),Г НАБЕРЕЖНЫЕ ЧЕЛНЫ,ПРОСП ДРУЖБЫ НАРОДОВ Д 40..</t>
  </si>
  <si>
    <t>Клюев Евгений Александрович</t>
  </si>
  <si>
    <t>53.690222,55.996798</t>
  </si>
  <si>
    <t>ОБЩЕСТВО С ОГРАНИЧЕННОЙ ОТВЕТСТВЕННОСТЬЮ "СТРОЙКОНСТРУКЦИИ"</t>
  </si>
  <si>
    <t>"СТРОЙКОНСТРУКЦИИ"</t>
  </si>
  <si>
    <t>3257014040</t>
  </si>
  <si>
    <t>БРЯНСКАЯ ОБЛ.,РП КЛИМОВО,УЛ ЩОРСА, Д 1</t>
  </si>
  <si>
    <t>Капустин Валентин Яковлевич</t>
  </si>
  <si>
    <t>+7 (910) 339-42-99'</t>
  </si>
  <si>
    <t>55.042298,55.998594</t>
  </si>
  <si>
    <t>ОБЩЕСТВО С ОГРАНИЧЕННОЙ ОТВЕТСТВЕННОСТЬЮ ПКФ "РЕМСТРОЙКОМ"</t>
  </si>
  <si>
    <t>ПКФ "РЕМСТРОЙКОМ"</t>
  </si>
  <si>
    <t>1650378377</t>
  </si>
  <si>
    <t>423832, ТАТАРСТАН РЕСПУБЛИКА, ГОРОД НАБЕРЕЖНЫЕ ЧЕЛНЫ, ПРОСПЕКТ РАИСА БЕЛЯЕВА, ДОМ 66,..</t>
  </si>
  <si>
    <t>Киямов Азат Амирович</t>
  </si>
  <si>
    <t>ОБЩЕСТВО С ОГРАНИЧЕННОЙ ОТВЕТСТВЕННОСТЬЮ "ПРОФКАМЕНЬ"</t>
  </si>
  <si>
    <t>"ПРОФКАМЕНЬ"</t>
  </si>
  <si>
    <t>1650342620</t>
  </si>
  <si>
    <t>423812, ТАТАРСТАН РЕСП, НАБЕРЕЖНЫЕ ЧЕЛНЫ Г, МИРА ПР-КТ, ДОМ 4А,..</t>
  </si>
  <si>
    <t>Картавых Денис Юрьевич</t>
  </si>
  <si>
    <t>+7 (927) 458-09-67'</t>
  </si>
  <si>
    <t>ОБЩЕСТВО С ОГРАНИЧЕННОЙ ОТВЕТСТВЕННОСТЬЮ ПРОИЗВОДСТВЕННО-КОММЕРЧЕСКАЯ ФИРМА "ПРОФКАМЕНЬ"</t>
  </si>
  <si>
    <t>ПРОИЗВОДСТВЕННО-КОММЕРЧЕСКАЯ ФИРМА "ПРОФКАМЕНЬ"</t>
  </si>
  <si>
    <t>1650352770</t>
  </si>
  <si>
    <t>423814, ТАТАРСТАН РЕСП, НАБЕРЕЖНЫЕ ЧЕЛНЫ Г, МИРА ПР-КТ, ДОМ 4А,..</t>
  </si>
  <si>
    <t>Арасланов Руслан Маратович</t>
  </si>
  <si>
    <t>+7 (927) 481-69-75'</t>
  </si>
  <si>
    <t>55.036504,56.006212</t>
  </si>
  <si>
    <t>1660135581</t>
  </si>
  <si>
    <t>РЕСПУБЛИКА ТАТАРСТАН (ТАТАРСТАН),Г НАБЕРЕЖНЫЕ ЧЕЛНЫ,УЛ Ш УСМАНОВА Д 41/11А</t>
  </si>
  <si>
    <t>Минаков Раиль Хамзович</t>
  </si>
  <si>
    <t>54.696506,56.007173</t>
  </si>
  <si>
    <t>ОБЩЕСТВО С ОГРАНИЧЕННОЙ ОТВЕТСТВЕННОСТЬЮ "ХИМПРОМСТРОЙ-К"</t>
  </si>
  <si>
    <t>"ХИМПРОМСТРОЙ-К"</t>
  </si>
  <si>
    <t>1646039244</t>
  </si>
  <si>
    <t>РЕСПУБЛИКА ТАТАРСТАН (ТАТАРСТАН),Г НАБЕРЕЖНЫЕ ЧЕЛНЫ,УЛ Ш УСМАНОВА Д 24..</t>
  </si>
  <si>
    <t>Хасанова Алина Галимдзяновна</t>
  </si>
  <si>
    <t>54.759576,56.014117</t>
  </si>
  <si>
    <t>ОБЩЕСТВО С ОГРАНИЧЕННОЙ ОТВЕТСТВЕННОСТЬЮ "ВИАЗ"</t>
  </si>
  <si>
    <t>"ВИАЗ"</t>
  </si>
  <si>
    <t>1650018751</t>
  </si>
  <si>
    <t>РЕСПУБЛИКА ТАТАРСТАН (ТАТАРСТАН),Г НАБЕРЕЖНЫЕ ЧЕЛНЫ,ПРОСП СЮЮМБИКЕ Д 4..</t>
  </si>
  <si>
    <t>Иванов Николай Анатольевич</t>
  </si>
  <si>
    <t>+7 (905) 372-91-96'</t>
  </si>
  <si>
    <t>57.931788,56.016516</t>
  </si>
  <si>
    <t>ОБЩЕСТВО С ОГРАНИЧЕННОЙ ОТВЕТСТВЕННОСТЬЮ КОМБИНАТ ЭНЕРГОСБЕРЕГАЮЩИХ МАТЕРИАЛОВ "УОЛЛСЕЙВИНГ"</t>
  </si>
  <si>
    <t>КОМБИНАТ ЭНЕРГОСБЕРЕГАЮЩИХ МАТЕРИАЛОВ "УОЛЛСЕЙВИНГ"</t>
  </si>
  <si>
    <t>1646039396</t>
  </si>
  <si>
    <t>РЕСПУБЛИКА ТАТАРСТАН (ТАТАРСТАН),Г НАБЕРЕЖНЫЕ ЧЕЛНЫ,УЛ Ш УСМАНОВА Д 64А</t>
  </si>
  <si>
    <t>Курочкин Андрей Анатольевич</t>
  </si>
  <si>
    <t>+7 (919) 159-50-00'</t>
  </si>
  <si>
    <t>54.756064,56.018222</t>
  </si>
  <si>
    <t>ОБЩЕСТВО С ОГРАНИЧЕННОЙ ОТВЕТСТВЕННОСТЬЮ "ТОРГОВЫЙ ДОМ СИБУР-СТРОЙ"</t>
  </si>
  <si>
    <t>"СИБУР-СТРОЙ"</t>
  </si>
  <si>
    <t>1650348365</t>
  </si>
  <si>
    <t>423823, ТАТАРСТАН РЕСП, НАБЕРЕЖНЫЕ ЧЕЛНЫ Г, СЮЮМБИКЕ ПР-КТ, ДОМ 28,..</t>
  </si>
  <si>
    <t>Шамсутдинов Радик Рафикович</t>
  </si>
  <si>
    <t>+7 (906) 333-11-51'</t>
  </si>
  <si>
    <t>58.029479,56.022498</t>
  </si>
  <si>
    <t>ОБЩЕСТВО С ОГРАНИЧЕННОЙ ОТВЕТСТВЕННОСТЬЮ "МОДУЛЬ ГРУПП"</t>
  </si>
  <si>
    <t>"МОДУЛЬ ГРУПП"</t>
  </si>
  <si>
    <t>1650355531</t>
  </si>
  <si>
    <t>423831, ТАТАРСТАН РЕСП, НАБЕРЕЖНЫЕ ЧЕЛНЫ Г, СЮЮМБИКЕ ПР-КТ, ДОМ 49/1,..</t>
  </si>
  <si>
    <t>Залялетдинов Рустам Рафисович</t>
  </si>
  <si>
    <t>+7 (906) 116-32-23'</t>
  </si>
  <si>
    <t>54.758303,56.023729</t>
  </si>
  <si>
    <t>1650362962</t>
  </si>
  <si>
    <t>423800, ТАТАРСТАН РЕСПУБЛИКА, ГОРОД НАБЕРЕЖНЫЕ ЧЕЛНЫ, УЛИЦА МАШИНОСТРОИТЕЛЬНАЯ, ДОМ 31, ОФИС № 1</t>
  </si>
  <si>
    <t>Хайрутдинов Линар Илдарович</t>
  </si>
  <si>
    <t>+7 (953) 999-20-02'</t>
  </si>
  <si>
    <t>54.737065,56.03061</t>
  </si>
  <si>
    <t>ОБЩЕСТВО С ОГРАНИЧЕННОЙ ОТВЕТСТВЕННОСТЬЮ "ПК СТРОЙКОМПЛЕКТ"</t>
  </si>
  <si>
    <t>"ПК СТРОЙКОМПЛЕКТ"</t>
  </si>
  <si>
    <t>1650414709</t>
  </si>
  <si>
    <t>423809, Республика Татарстан (Татарстан), ГОРОД НАБЕРЕЖНЫЕ ЧЕЛНЫ, Г НАБЕРЕЖНЫЕ ЧЕЛНЫ, ПР-КТ МИРА, Д. 39</t>
  </si>
  <si>
    <t>54.776918,56.03132</t>
  </si>
  <si>
    <t>ОБЩЕСТВО С ОГРАНИЧЕННОЙ ОТВЕТСТВЕННОСТЬЮ "ГРАНИТ-СИТИ"</t>
  </si>
  <si>
    <t>"ГРАНИТ-СИТИ"</t>
  </si>
  <si>
    <t>1650387572</t>
  </si>
  <si>
    <t>423800, ТАТАРСТАН РЕСПУБЛИКА, Г. НАБЕРЕЖНЫЕ ЧЕЛНЫ, ПР-КТ ИМ МУСЫ ДЖАЛИЛЯ, Д. 56, ПОД/ЭТ/ОФ 2/4/404</t>
  </si>
  <si>
    <t>Тангатаров Рамис Мардиевич</t>
  </si>
  <si>
    <t>53.447634,56.033961</t>
  </si>
  <si>
    <t>ОБЩЕСТВО С ОГРАНИЧЕННОЙ ОТВЕТСТВЕННОСТЬЮ "ДЕКОРСТРОЙКЛИМАТ"</t>
  </si>
  <si>
    <t>"ДЕКОРСТРОЙКЛИМАТ"</t>
  </si>
  <si>
    <t>1650352428</t>
  </si>
  <si>
    <t>423823, ТАТАРСТАН РЕСП, НАБЕРЕЖНЫЕ ЧЕЛНЫ Г, ИМ ВАХИТОВА ПР-КТ, ДОМ 54Б,..</t>
  </si>
  <si>
    <t>Кудряшов Павел Андреевич</t>
  </si>
  <si>
    <t>53.60321,56.037509</t>
  </si>
  <si>
    <t>ОБЩЕСТВО С ОГРАНИЧЕННОЙ ОТВЕТСТВЕННОСТЬЮ "СТРОЙ-МАСТЕР НЧ"</t>
  </si>
  <si>
    <t>"СТРОЙ-МАСТЕР НЧ"</t>
  </si>
  <si>
    <t>1650364141</t>
  </si>
  <si>
    <t>423823, ТАТАРСТАН РЕСПУБЛИКА, ГОРОД НАБЕРЕЖНЫЕ ЧЕЛНЫ, БУЛЬВАР ГЛАВМОССТРОЕВЦЕВ, ДОМ 3,..</t>
  </si>
  <si>
    <t>Ишкулов Роберт Венерович</t>
  </si>
  <si>
    <t>54.784162,56.039638</t>
  </si>
  <si>
    <t>ОБЩЕСТВО С ОГРАНИЧЕННОЙ ОТВЕТСТВЕННОСТЬЮ "БАЛАЕВ БЛОК-НЧ"</t>
  </si>
  <si>
    <t>"БАЛАЕВ БЛОК-НЧ"</t>
  </si>
  <si>
    <t>1650378507</t>
  </si>
  <si>
    <t>Айдуков Леонид Анатольевич</t>
  </si>
  <si>
    <t>53.441793,56.040222</t>
  </si>
  <si>
    <t>Общество с ограниченной ответственностью Бугурусланский завод железобетонных изделий "Стройдеталь"</t>
  </si>
  <si>
    <t>Бугурусланский завод железобетонных изделий "Стройдеталь"</t>
  </si>
  <si>
    <t>5602006390</t>
  </si>
  <si>
    <t>ОРЕНБУРГСКАЯ ОБЛ.,Г БУГУРУСЛАН,ПИЛЮГИНСКОЕ ШОССЕ Д 118</t>
  </si>
  <si>
    <t>Гладеньков Вадим Михайлович</t>
  </si>
  <si>
    <t>54.788974,56.041552</t>
  </si>
  <si>
    <t>ОБЩЕСТВО С ОГРАНИЧЕННОЙ ОТВЕТСТВЕННОСТЬЮ "ПКФ "СТРОЙИЗДЕЛИЯ"</t>
  </si>
  <si>
    <t>"ПКФ "СТРОЙИЗДЕЛИЯ"</t>
  </si>
  <si>
    <t>1650403520</t>
  </si>
  <si>
    <t>423816, ТАТАРСТАН РЕСП., Г. Набережные Челны, ПР-КТ АВТОЗАВОДСКИЙ, Д. 45,..</t>
  </si>
  <si>
    <t>Тарасов Николай Иванович</t>
  </si>
  <si>
    <t>40SIZD@MAIL.RU'</t>
  </si>
  <si>
    <t>54.77157,56.051586</t>
  </si>
  <si>
    <t>Общество с ограниченной ответственностью "Аркада"</t>
  </si>
  <si>
    <t>"Аркада"</t>
  </si>
  <si>
    <t>1656070860</t>
  </si>
  <si>
    <t>РЕСПУБЛИКА ТАТАРСТАН (ТАТАРСТАН),Г НАБЕРЕЖНЫЕ ЧЕЛНЫ,НОВЫЙ ГОРОД Д 62/08..</t>
  </si>
  <si>
    <t>Доронина Анастасия Игоревна</t>
  </si>
  <si>
    <t>54.769471,56.05332</t>
  </si>
  <si>
    <t>ОБЩЕСТВО С ОГРАНИЧЕННОЙ ОТВЕТСТВЕННОСТЬЮ "ИНТЕЛЦЕНТР"</t>
  </si>
  <si>
    <t>"ИНТЕЛЦЕНТР"</t>
  </si>
  <si>
    <t>1650090980</t>
  </si>
  <si>
    <t>РЕСПУБЛИКА ТАТАРСТАН (ТАТАРСТАН),Г НАБЕРЕЖНЫЕ ЧЕЛНЫ,БУЛЬВ ЦВЕТОЧНЫЙ Д 7/37 БЛОК В ЭТАЖ 1</t>
  </si>
  <si>
    <t>Нуртдинова Дания Ханифовна</t>
  </si>
  <si>
    <t>54.90204,56.056545</t>
  </si>
  <si>
    <t>5602023237</t>
  </si>
  <si>
    <t>461636, ОРЕНБУРГСКАЯ ОБЛАСТЬ, Г. БУГУРУСЛАН, УЛ. ЧЕЛЮСКИНА, Д. 43,..</t>
  </si>
  <si>
    <t>Рындин Юрий Михайлович</t>
  </si>
  <si>
    <t>+7 (922) 810-97-98', '+7 (892) 281-09-79'</t>
  </si>
  <si>
    <t>54.824726,56.064153</t>
  </si>
  <si>
    <t>ОБЩЕСТВО С ОГРАНИЧЕННОЙ ОТВЕТСТВЕННОСТЬЮ "ЖБИ-11"</t>
  </si>
  <si>
    <t>"ЖБИ-11"</t>
  </si>
  <si>
    <t>1650385840</t>
  </si>
  <si>
    <t>423815, ТАТАРСТАН РЕСПУБЛИКА, ГОРОД НАБЕРЕЖНЫЕ ЧЕЛНЫ, БУЛЬВАР ШИШКИНСКИЙ, ДОМ 8, ПОДЪЕЗД 3  КАБИНЕТ  11</t>
  </si>
  <si>
    <t>Исламов Ренат Назибович</t>
  </si>
  <si>
    <t>54.827288,56.067657</t>
  </si>
  <si>
    <t>6316246146</t>
  </si>
  <si>
    <t>461631, ОРЕНБУРГСКАЯ ОБЛАСТЬ, ГОРОД БУГУРУСЛАН, ШОССЕ ПИЛЮГИНСКОЕ, ДОМ 5</t>
  </si>
  <si>
    <t>Новикова Юлия Ивановна</t>
  </si>
  <si>
    <t>53.794385,56.068852</t>
  </si>
  <si>
    <t>ОБЩЕСТВО С ОГРАНИЧЕННОЙ ОТВЕТСТВЕННОСТЬЮ "ФИРМА "ТАЛ"</t>
  </si>
  <si>
    <t>"ФИРМА "ТАЛ"</t>
  </si>
  <si>
    <t>2204004180</t>
  </si>
  <si>
    <t>АЛТАЙСКИЙ КРАЙ,Г БИЙСК,УЛ КРАСНОСЕЛЬСКАЯ, Д 4 А</t>
  </si>
  <si>
    <t>Турлаков Алексей Степанович</t>
  </si>
  <si>
    <t>+7 (961) 230-53-54'</t>
  </si>
  <si>
    <t>54.766043,56.070217</t>
  </si>
  <si>
    <t>ОБЩЕСТВО С ОГРАНИЧЕННОЙ ОТВЕТСТВЕННОСТЬЮ "ЗАВОД ЖБК-16"</t>
  </si>
  <si>
    <t>"ЗАВОД ЖБК-16"</t>
  </si>
  <si>
    <t>1650400625</t>
  </si>
  <si>
    <t>423800, ТАТАРСТАН РЕСП., Г. Набережные Челны, ТРАКТ МЕНЗЕЛИНСКИЙ, Д. 132/1, ОФИС 1</t>
  </si>
  <si>
    <t>Шигапов Ленар Рафисович</t>
  </si>
  <si>
    <t>55.0466,56.071609</t>
  </si>
  <si>
    <t>ОБЩЕСТВО С ОГРАНИЧЕННОЙ ОТВЕТСТВЕННОСТЬЮ "СТРОЙ-ДЕТАЛЬ"</t>
  </si>
  <si>
    <t>"СТРОЙ-ДЕТАЛЬ"</t>
  </si>
  <si>
    <t>1650370931</t>
  </si>
  <si>
    <t>423800, ТАТАРСТАН РЕСПУБЛИКА, ГОРОД НАБЕРЕЖНЫЕ ЧЕЛНЫ, УЛИЦА ПРОМЫШЛЕННАЯ, ДОМ 45/1, ПОМЕЩЕНИЕ 16</t>
  </si>
  <si>
    <t>Савзиханов Рашид Кашифович</t>
  </si>
  <si>
    <t>57.949277,56.071996</t>
  </si>
  <si>
    <t>1650409339</t>
  </si>
  <si>
    <t>423800, Республика Татарстан (Татарстан), ГОРОД НАБЕРЕЖНЫЕ ЧЕЛНЫ, Г НАБЕРЕЖНЫЕ ЧЕЛНЫ, УЛ ПРОМЫШЛЕННАЯ, Д. 45/1</t>
  </si>
  <si>
    <t>Панфилов Денис Сергеевич</t>
  </si>
  <si>
    <t>54.821608,56.077799</t>
  </si>
  <si>
    <t>ОБЩЕСТВО С ОГРАНИЧЕННОЙ ОТВЕТСТВЕННОСТЬЮ "ЯЧЕИСТЫЙ БЕТОН"</t>
  </si>
  <si>
    <t>"ЯЧЕИСТЫЙ БЕТОН"</t>
  </si>
  <si>
    <t>1650413695</t>
  </si>
  <si>
    <t>423800, Республика Татарстан (Татарстан), городской округ ГОРОД НАБЕРЕЖНЫЕ ЧЕЛНЫ, Город НАБЕРЕЖНЫЕ ЧЕЛНЫ, УЛ ПРОМЫШЛЕННАЯ, Д. 45/1, ПОМЕЩ. 4</t>
  </si>
  <si>
    <t>Ягудин Ильнар Хамитович</t>
  </si>
  <si>
    <t>ОБЩЕСТВО С ОГРАНИЧЕННОЙ ОТВЕТСТВЕННОСТЬЮ "ВАВИЛОН ЖБИ"</t>
  </si>
  <si>
    <t>"ВАВИЛОН ЖБИ"</t>
  </si>
  <si>
    <t>1650408783</t>
  </si>
  <si>
    <t>423800, Республика Татарстан (Татарстан), ГОРОД НАБЕРЕЖНЫЕ ЧЕЛНЫ, Г НАБЕРЕЖНЫЕ ЧЕЛНЫ, ПРОЕЗД РЕСУРСНЫЙ, Д. 30, ПОМЕЩ. 1</t>
  </si>
  <si>
    <t>Соколова Елена Анатольевна</t>
  </si>
  <si>
    <t>54.855864,56.079443</t>
  </si>
  <si>
    <t>ОБЩЕСТВО С ОГРАНИЧЕННОЙ ОТВЕТСТВЕННОСТЬЮ "Строй Фасад Деталь"</t>
  </si>
  <si>
    <t>"Строй Фасад Деталь"</t>
  </si>
  <si>
    <t>5602021864</t>
  </si>
  <si>
    <t>461620, ОРЕНБУРГСКАЯ ОБЛАСТЬ, РАЙОН БУГУРУСЛАНСКИЙ, СЕЛО МИХАЙЛОВКА, УЛИЦА ТРАНСПОРТНАЯ, ДОМ 7</t>
  </si>
  <si>
    <t>Башин Владимир Викторович</t>
  </si>
  <si>
    <t>+7 (922) 542-50-22'</t>
  </si>
  <si>
    <t>54.768111,56.08035</t>
  </si>
  <si>
    <t>ОБЩЕСТВО С ОГРАНИЧЕННОЙ ОТВЕТСТВЕННОСТЬЮ "МИНУТА"</t>
  </si>
  <si>
    <t>"МИНУТА"</t>
  </si>
  <si>
    <t>2204069276</t>
  </si>
  <si>
    <t>АЛТАЙСКИЙ КРАЙ,Г БИЙСК,УЛ СОЦИАЛИСТИЧЕСКАЯ,1</t>
  </si>
  <si>
    <t>Емельянова Анастасия Николаевна</t>
  </si>
  <si>
    <t>+7 (963) 570-72-22', '+7 (905) 925-66-73'</t>
  </si>
  <si>
    <t>54.76756,56.081374</t>
  </si>
  <si>
    <t>ОБЩЕСТВО С ОГРАНИЧЕННОЙ ОТВЕТСТВЕННОСТЬЮ "РЕГИОН-БЕТОН"</t>
  </si>
  <si>
    <t>"РЕГИОН-БЕТОН"</t>
  </si>
  <si>
    <t>1650267349</t>
  </si>
  <si>
    <t>423887, ТАТАРСТАН РЕСПУБЛИКА, РАЙОН ТУКАЕВСКИЙ, ДЕРЕВНЯ МАЛАЯ ШИЛЬНА, УЛИЦА ВОЛШЕБНАЯ, ДОМ 32</t>
  </si>
  <si>
    <t>Зотов Александр Валентинович</t>
  </si>
  <si>
    <t>regbeton@mail.ru'</t>
  </si>
  <si>
    <t>54.803657,56.082578</t>
  </si>
  <si>
    <t>АКЦИОНЕРНОЕ ОБЩЕСТВО "СТРОЙТЕХНОЛОГИЯ"</t>
  </si>
  <si>
    <t>2253000090</t>
  </si>
  <si>
    <t>АЛТАЙСКИЙ КРАЙ,КУЛУНДИНСКИЙ Р-Н,С КУЛУНДА,УЛ ПУШКИНА, Д 17</t>
  </si>
  <si>
    <t>Кокшенёв Сергей Александрович</t>
  </si>
  <si>
    <t>+7 (903) 912-84-80'</t>
  </si>
  <si>
    <t>K_STRTEH@AB.ru', 'K_STRTEH@AB.RU', 'tbvlasova@mail.ru'</t>
  </si>
  <si>
    <t>54.812328,56.083243</t>
  </si>
  <si>
    <t>4823021074</t>
  </si>
  <si>
    <t>Г ЛИПЕЦК,УЛ АЛМАЗНАЯ, 10</t>
  </si>
  <si>
    <t>Шабанов Закир Ибрагимович</t>
  </si>
  <si>
    <t>54.916346,56.085686</t>
  </si>
  <si>
    <t>ОТКРЫТОЕ АКЦИОНЕРНОЕ ОБЩЕСТВО "ЖЕЛЕЗОБЕТОН"</t>
  </si>
  <si>
    <t>ОТКРЫТОЕ "ЖЕЛЕЗОБЕТОН"</t>
  </si>
  <si>
    <t>2253000870</t>
  </si>
  <si>
    <t>АЛТАЙСКИЙ КРАЙ,КУЛУНДИНСКИЙ Р-Н,С КУЛУНДА,УЛ МАЯКОВСКОГО, Д 2 А</t>
  </si>
  <si>
    <t>ОБЩЕСТВО С ОГРАНИЧЕННОЙ ОТВЕТСТВЕННОСТЬЮ "СОКОЛ-Ф"</t>
  </si>
  <si>
    <t>"СОКОЛ-Ф"</t>
  </si>
  <si>
    <t>4825098587</t>
  </si>
  <si>
    <t>Г ЛИПЕЦК,АЭРОПОРТ</t>
  </si>
  <si>
    <t>Гринавцев Олег Валерьевич</t>
  </si>
  <si>
    <t>+7 (903) 866-54-06', '+7 (920) 242-37-85', '+7 (960) 154-80-08'</t>
  </si>
  <si>
    <t>58.00789,56.094418</t>
  </si>
  <si>
    <t>ОБЩЕСТВО С ОГРАНИЧЕННОЙ ОТВЕТСТВЕННОСТЬЮ "ЛИПЕЦКИЙ ЗАВОД ИЗДЕЛИЙ ДОМОСТРОЕНИЯ"</t>
  </si>
  <si>
    <t>"ЛИПЕЦКИЙ ЗАВОД ИЗДЕЛИЙ ДОМОСТРОЕНИЯ"</t>
  </si>
  <si>
    <t>4823070762</t>
  </si>
  <si>
    <t>Г ЛИПЕЦК,УЛ АСТРАХАНСКАЯ, 1</t>
  </si>
  <si>
    <t>Бакуров Вадим Евгеньевич</t>
  </si>
  <si>
    <t>dskrascet@yandex.ru'</t>
  </si>
  <si>
    <t>54.809319,56.096322</t>
  </si>
  <si>
    <t>АКЦИОНЕРНОЕ ОБЩЕСТВО "КЛИНЦОВСКИЙ СИЛИКАТНЫЙ ЗАВОД"</t>
  </si>
  <si>
    <t>"КЛИНЦОВСКИЙ СИЛИКАТНЫЙ ЗАВОД"</t>
  </si>
  <si>
    <t>3217003193</t>
  </si>
  <si>
    <t>БРЯНСКАЯ ОБЛ.,КЛИНЦОВСКИЙ Р-Н,П ЧЕМЕРНА,УЛ ЗАВОДСКАЯ, Д 7</t>
  </si>
  <si>
    <t xml:space="preserve"> Временно Исполняющий Обязанности Генерального Директора Акулов Владимир Павлович</t>
  </si>
  <si>
    <t>+7 (980) 304-87-09'</t>
  </si>
  <si>
    <t>ksz@online.debryansk', 'info@k-silikat'</t>
  </si>
  <si>
    <t>58.008257,56.098226</t>
  </si>
  <si>
    <t>ОБЩЕСТВО С ОГРАНИЧЕННОЙ ОТВЕТСТВЕННОСТЬЮ "СТАРТ АП"</t>
  </si>
  <si>
    <t>"СТАРТ АП"</t>
  </si>
  <si>
    <t>4826087588</t>
  </si>
  <si>
    <t>Г ЛИПЕЦК,УЛ ИНТЕРНАЦИОНАЛЬНАЯ, 36</t>
  </si>
  <si>
    <t>Аксененко Дмитрий Владимирович</t>
  </si>
  <si>
    <t>+7 (905) 682-03-36'</t>
  </si>
  <si>
    <t>54.858715,56.102368</t>
  </si>
  <si>
    <t>ОБЩЕСТВО С ОГРАНИЧЕННОЙ ОТВЕТСТВЕННОСТЬЮ "ПРОФ-СТРОЙ"</t>
  </si>
  <si>
    <t>"ПРОФ-СТРОЙ"</t>
  </si>
  <si>
    <t>1837014603</t>
  </si>
  <si>
    <t>427627, УДМУРТСКАЯ РЕСПУБЛИКА, Р-Н ГЛАЗОВСКИЙ, Д ШТАНИГУРТ, УЛ. ЗАПАДНАЯ, Д. 30</t>
  </si>
  <si>
    <t>Мышкин Александр Леонидович</t>
  </si>
  <si>
    <t>+7 (912) 747-99-99'</t>
  </si>
  <si>
    <t>54.834403,56.104838</t>
  </si>
  <si>
    <t>1837001717</t>
  </si>
  <si>
    <t>427621, УДМУРТСКАЯ РЕСПУБЛИКА, Г. ГЛАЗОВ, УЛ. ЭНГЕЛЬСА, Д. 24А</t>
  </si>
  <si>
    <t>Кулябин Игорь Анатольевич</t>
  </si>
  <si>
    <t>+7 (922) 684-22-74'</t>
  </si>
  <si>
    <t>57.955218,56.109824</t>
  </si>
  <si>
    <t>ОБЩЕСТВО С ОГРАНИЧЕННОЙ ОТВЕТСТВЕННОСТЬЮ "БОКИНСКИЙ ЗАВОД СТРОИТЕЛЬНЫХ КОНСТРУКЦИЙ"</t>
  </si>
  <si>
    <t>"БОКИНСКИЙ ЗАВОД СТРОИТЕЛЬНЫХ КОНСТРУКЦИЙ"</t>
  </si>
  <si>
    <t>6833019960</t>
  </si>
  <si>
    <t>Г ТАМБОВ,УЛ БАСТИОННАЯ, Д 8, ОФИС 3</t>
  </si>
  <si>
    <t>Скрипцов Евгений Николаевич</t>
  </si>
  <si>
    <t>+7 (920) 480-01-94', '+7 (920) 480-02-17'</t>
  </si>
  <si>
    <t>54.838151,56.114387</t>
  </si>
  <si>
    <t>ОБЩЕСТВО С ОГРАНИЧЕННОЙ ОТВЕТСТВЕННОСТЬЮ "ЖИЛИЩНАЯ ИНИЦИАТИВА-5"</t>
  </si>
  <si>
    <t>"ЖИЛИЩНАЯ ИНИЦИАТИВА-5"</t>
  </si>
  <si>
    <t>6832038328</t>
  </si>
  <si>
    <t>Г ТАМБОВ,УЛ МОНТАЖНИКОВ, Д 9, ОФИС 3</t>
  </si>
  <si>
    <t>Горбунов Павел Иванович</t>
  </si>
  <si>
    <t>5@yandex.ru'</t>
  </si>
  <si>
    <t>0262019560</t>
  </si>
  <si>
    <t>РЕСПУБЛИКА БАШКОРТОСТАН,Г КУМЕРТАУ,УЛ БРИКЕТНАЯ,2А</t>
  </si>
  <si>
    <t>Мкртычян Карэн Рафаэльвич</t>
  </si>
  <si>
    <t>+7 (965) 645-27-53'</t>
  </si>
  <si>
    <t>2016sti@mail.ru', '89656635050@mail.ru'</t>
  </si>
  <si>
    <t>3819019024</t>
  </si>
  <si>
    <t>ИРКУТСКАЯ ОБЛ.,Г УСОЛЬЕ-СИБИРСКОЕ,УЛ ТРАКТОВАЯ Д 4</t>
  </si>
  <si>
    <t>Самульцева Ирина Вениаминовна</t>
  </si>
  <si>
    <t>tim@mail.ru'</t>
  </si>
  <si>
    <t>54.833288,56.116265</t>
  </si>
  <si>
    <t>ОБЩЕСТВО С ОГРАНИЧЕННОЙ ОТВЕТСТВЕННОСТЬЮ "ЗАВОД ПЕНОБЛОК56"</t>
  </si>
  <si>
    <t>"ЗАВОД ПЕНОБЛОК56"</t>
  </si>
  <si>
    <t>5607140576</t>
  </si>
  <si>
    <t>ОРЕНБУРГСКАЯ ОБЛ.,ТОЦКИЙ Р-Н,С ТОЦКОЕ,УЛ М ГОРЬКОГО Д 1</t>
  </si>
  <si>
    <t>Данилин Николай Юрьевич</t>
  </si>
  <si>
    <t>+7 (903) 361-00-86', '+7 (353) 767-22-43'</t>
  </si>
  <si>
    <t>54.831239,56.116992</t>
  </si>
  <si>
    <t>ДОЧЕРНЕЕ ОТКРЫТОЕ АКЦИОНЕРНОЕ ОБЩЕСТВО "ОРЛОВСКИЙ ЗАВОД ЖЕЛЕЗОБЕТОННЫХ ИЗДЕЛИЙ"  ОАО "ОРЕЛАГРОПРОМСТРОЙ"</t>
  </si>
  <si>
    <t>ДОЧЕРНЕЕ ОТКРЫТОЕ "ОРЛОВСКИЙ ЗАВОД ЖЕЛЕЗОБЕТОННЫХ ИЗДЕЛИЙ"  ОАО "ОРЕЛАГРОПРОМСТРОЙ"</t>
  </si>
  <si>
    <t>5751003290</t>
  </si>
  <si>
    <t>Г ОРЕЛ,НОВОСИЛЬСКОЕ ШОССЕ, Д 17</t>
  </si>
  <si>
    <t>Печников Александр Викторович</t>
  </si>
  <si>
    <t>+7 (915) 506-84-97', '+7 (910) 305-83-70'</t>
  </si>
  <si>
    <t>voronezhskaya@yandex.ru'</t>
  </si>
  <si>
    <t>5753062125</t>
  </si>
  <si>
    <t>Г ОРЕЛ,ПЛ МИРА, Д 3</t>
  </si>
  <si>
    <t>Степнова Дарья Андреевна</t>
  </si>
  <si>
    <t>+7 (910) 202-28-51'</t>
  </si>
  <si>
    <t>54.779556,56.120451</t>
  </si>
  <si>
    <t>ОБЩЕСТВО С ОГРАНИЧЕННОЙ ОТВЕТСТВЕННОСТЬЮ "ЗАВОД СТРОИТЕЛЬНЫХ КОНСТРУКЦИЙ "ЗАПОЛЯРЬЕ"</t>
  </si>
  <si>
    <t>"ЗАВОД СТРОИТЕЛЬНЫХ КОНСТРУКЦИЙ "ЗАПОЛЯРЬЕ"</t>
  </si>
  <si>
    <t>2983011426</t>
  </si>
  <si>
    <t>166004, НЕНЕЦКИЙ АВТОНОМНЫЙ ОКРУГ, ГОРОД НАРЬЯН-МАР, УЛИЦА РЫБНИКОВ, ДОМ 59, ПОМЕЩЕНИЕ 1Н</t>
  </si>
  <si>
    <t>Мориков Иван Павлович</t>
  </si>
  <si>
    <t>+7 (921) 952-51-96'</t>
  </si>
  <si>
    <t>54.803631,56.120675</t>
  </si>
  <si>
    <t>ЗАКРЫТОЕ АКЦИОНЕРНОЕ ОБЩЕСТВО ЗАВОД ЖЕЛЕЗОБЕТОННЫХ ИЗДЕЛИЙ №8</t>
  </si>
  <si>
    <t>ЗАКРЫТОЕ ЗАВОД ЖЕЛЕЗОБЕТОННЫХ ИЗДЕЛИЙ №8</t>
  </si>
  <si>
    <t>6362007872</t>
  </si>
  <si>
    <t>САМАРСКАЯ ОБЛ.,PП БЕЗЕНЧУК,УЛ СОВЕТСКАЯ, Д 117</t>
  </si>
  <si>
    <t>Колга Виктор Владимирович</t>
  </si>
  <si>
    <t>57.926626,56.132946</t>
  </si>
  <si>
    <t>ОБЩЕСТВО С ОГРАНИЧЕННОЙ ОТВЕТСТВЕННОСТЬЮ "ЭКОПЛЮС"</t>
  </si>
  <si>
    <t>"ЭКОПЛЮС"</t>
  </si>
  <si>
    <t>5752021937</t>
  </si>
  <si>
    <t>ОРЛОВСКАЯ ОБЛ.,ОРЛОВСКИЙ Р-Н,П БИОФАБРИКА,ЛОШАКОВСКИЙ С/С</t>
  </si>
  <si>
    <t>Улитовская Анна Владимировна</t>
  </si>
  <si>
    <t>54.614114,56.138192</t>
  </si>
  <si>
    <t>ОБЩЕСТВО С ОГРАНИЧЕННОЙ ОТВЕТСТВЕННОСТЬЮ "СПЕЦТЕХ"</t>
  </si>
  <si>
    <t>"СПЕЦТЕХ"</t>
  </si>
  <si>
    <t>1601002364</t>
  </si>
  <si>
    <t>422230, ТАТАРСТАН РЕСПУБЛИКА, РАЙОН АГРЫЗСКИЙ, ГОРОД АГРЫЗ, УЛИЦА К.МАРКСА, 2А, 32</t>
  </si>
  <si>
    <t>Рудаков Дмитрий Владимирович</t>
  </si>
  <si>
    <t>57.943321,56.140115</t>
  </si>
  <si>
    <t>5752070701</t>
  </si>
  <si>
    <t>Г ОРЕЛ,МОСКОВСКОЕ ШОССЕ, Д 137</t>
  </si>
  <si>
    <t>Куличенко Сергей Юрьевич</t>
  </si>
  <si>
    <t>+7 (905) 168-39-06'</t>
  </si>
  <si>
    <t>54.189424,56.143546</t>
  </si>
  <si>
    <t>АКЦИОНЕРНОЕ ОБЩЕСТВО "ОРЛОВСКИЙ ЗАВОД СИЛИКАТНОГО КИРПИЧА"</t>
  </si>
  <si>
    <t>"ОРЛОВСКИЙ ЗАВОД СИЛИКАТНОГО КИРПИЧА"</t>
  </si>
  <si>
    <t>5751006541</t>
  </si>
  <si>
    <t>Г ОРЕЛ,ПЕР СИЛИКАТНЫЙ, Д 11</t>
  </si>
  <si>
    <t>54.534438,56.145747</t>
  </si>
  <si>
    <t>Общество с ограниченной ответственностью "УРАЛЬСКИЙ БЕТОННЫЙ ЗАВОД"</t>
  </si>
  <si>
    <t>"УРАЛЬСКИЙ БЕТОННЫЙ ЗАВОД"</t>
  </si>
  <si>
    <t>7448164621</t>
  </si>
  <si>
    <t>http://kolca74.ru</t>
  </si>
  <si>
    <t>ЧЕЛЯБИНСКАЯ ОБЛ.,Г КАРТАЛЫ,УЛ ЗАВОДСКАЯ, Д 4</t>
  </si>
  <si>
    <t>Баймурзин Артур Искандарович</t>
  </si>
  <si>
    <t>+7 (351) 247-78-17', '+7 (351) 236-06-66', '+7 (351) 233-62-80'</t>
  </si>
  <si>
    <t>58.003112,56.147131</t>
  </si>
  <si>
    <t>ОБЩЕСТВО С ОГРАНИЧЕННОЙ ОТВЕТСТВЕННОСТЬЮ "ПСО ШАНС"</t>
  </si>
  <si>
    <t>"ПСО ШАНС"</t>
  </si>
  <si>
    <t>1628010556</t>
  </si>
  <si>
    <t>423703, ТАТАРСТАН РЕСП, МЕНЗЕЛИНСКИЙ Р-Н, МЕНЗЕЛИНСК Г, ПРОИЗВОДСТВЕННАЯ УЛ, ДОМ 14</t>
  </si>
  <si>
    <t>Мартиросян Агван Ларвентович</t>
  </si>
  <si>
    <t>+7 (917) 926-82-40'</t>
  </si>
  <si>
    <t>58.00551,56.147463</t>
  </si>
  <si>
    <t>ОБЩЕСТВО С ОГРАНИЧЕННОЙ ОТВЕТСТВЕННОСТЬЮ "МАНЭ"</t>
  </si>
  <si>
    <t>"МАНЭ"</t>
  </si>
  <si>
    <t>1674001041</t>
  </si>
  <si>
    <t>423703, Республика Татарстан (Татарстан), МЕНЗЕЛИНСКИЙ, 1 ГОРОД МЕНЗЕЛИНСК, Г МЕНЗЕЛИНСК, УЛ ПРОИЗВОДСТВЕННАЯ, Д. 14</t>
  </si>
  <si>
    <t>Мартиросян Лавриент Арменович</t>
  </si>
  <si>
    <t>APERMARTIROSYAN@ICLOUD.COM'</t>
  </si>
  <si>
    <t>58.005744,56.150805</t>
  </si>
  <si>
    <t>ОБЩЕСТВО С ОГРАНИЧЕННОЙ ОТВЕТСТВЕННОСТЬЮ "ПМК РАЙОННАЯ"</t>
  </si>
  <si>
    <t>"ПМК РАЙОННАЯ"</t>
  </si>
  <si>
    <t>6383004713</t>
  </si>
  <si>
    <t>САМАРСКАЯ ОБЛ.,Г СЫЗРАНЬ,УЛ МИРА, Д 2</t>
  </si>
  <si>
    <t>Саушкин Владислав Олегович</t>
  </si>
  <si>
    <t>57.91001,56.177206</t>
  </si>
  <si>
    <t>Общество с ограниченной ответственностью "ДОМОСТРОИТЕЛЬНЫЙ КОМБИНАТ "ДРЕВО"</t>
  </si>
  <si>
    <t>"ДОМОСТРОИТЕЛЬНЫЙ КОМБИНАТ "ДРЕВО"</t>
  </si>
  <si>
    <t>6330060048</t>
  </si>
  <si>
    <t>САМАРСКАЯ ОБЛ.,Г НОВОКУЙБЫШЕВСК</t>
  </si>
  <si>
    <t>Ратанов Валерий Владимирович</t>
  </si>
  <si>
    <t>+7 (846) 277-95-00'</t>
  </si>
  <si>
    <t>57.977708,56.18274</t>
  </si>
  <si>
    <t>ОБЩЕСТВО С ОГРАНИЧЕННОЙ ОТВЕТСТВЕННОСТЬЮ "ЕВРОКАМЕНЬ"</t>
  </si>
  <si>
    <t>"ЕВРОКАМЕНЬ"</t>
  </si>
  <si>
    <t>1832162083</t>
  </si>
  <si>
    <t>426006, УДМУРТСКАЯ РЕСП., Г. Ижевск, УЛ. БАРАНОВА, Д. 62,..</t>
  </si>
  <si>
    <t>Патрикеева Марина Сергеевна</t>
  </si>
  <si>
    <t>PATRIKEEVVT@GMAIL.COM'</t>
  </si>
  <si>
    <t>57.98342,56.211944</t>
  </si>
  <si>
    <t>ОБЩЕСТВО С ОГРАНИЧЕННОЙ ОТВЕТСТВЕННОСТЬЮ "МОНОЛИТ ГРУПП"</t>
  </si>
  <si>
    <t>"МОНОЛИТ ГРУПП"</t>
  </si>
  <si>
    <t>1832147832</t>
  </si>
  <si>
    <t>426006, УДМУРТСКАЯ РЕСПУБЛИКА, Г ИЖЕВСК, ПЕР ИНВЕНТАРНЫЙ,1 ЛИТЕР Б</t>
  </si>
  <si>
    <t>Сираев Рустам Хамитович</t>
  </si>
  <si>
    <t>+7 (912) 020-81-02'</t>
  </si>
  <si>
    <t>57.986588,56.211962</t>
  </si>
  <si>
    <t>ОБЩЕСТВО С ОГРАНИЧЕННОЙ ОТВЕТСТВЕННОСТЬЮ "СИЛИКАТ+"</t>
  </si>
  <si>
    <t>"СИЛИКАТ+"</t>
  </si>
  <si>
    <t>7313004278</t>
  </si>
  <si>
    <t>Акифьев Алексей Владимирович</t>
  </si>
  <si>
    <t>57.993921,56.212842</t>
  </si>
  <si>
    <t>ОБЩЕСТВО С ОГРАНИЧЕННОЙ ОТВЕТСТВЕННОСТЬЮ "ЗАВОД СТРОИТЕЛЬНЫХ МАТЕРИАЛОВ "СТРОЙ ВЕК"</t>
  </si>
  <si>
    <t>"ЗАВОД СТРОИТЕЛЬНЫХ МАТЕРИАЛОВ "СТРОЙ ВЕК"</t>
  </si>
  <si>
    <t>1841076391</t>
  </si>
  <si>
    <t>427022, УДМУРТСКАЯ РЕСПУБЛИКА, ЗАВЬЯЛОВСКИЙ РАЙОН , Д ПИРОГОВО, УЛ АЭРОДРОМНАЯ,6</t>
  </si>
  <si>
    <t>Зарипова Лилия Минезагитовна</t>
  </si>
  <si>
    <t>+7 (912) 766-78-77'</t>
  </si>
  <si>
    <t>57.975551,56.212941</t>
  </si>
  <si>
    <t>ОБЩЕСТВО С ОГРАНИЧЕННОЙ ОТВЕТСТВЕННОСТЬЮ "ИЖ-ОНИКС"</t>
  </si>
  <si>
    <t>"ИЖ-ОНИКС"</t>
  </si>
  <si>
    <t>1835028199</t>
  </si>
  <si>
    <t>Г ИЖЕВСК,УЛ 30 ЛЕТ ПОБЕДЫ,15-А..</t>
  </si>
  <si>
    <t>Прокошев Юрий Федорович</t>
  </si>
  <si>
    <t>58.008943,56.229129</t>
  </si>
  <si>
    <t>Общество с ограниченной ответственностью "КАМЕНОТЁС"</t>
  </si>
  <si>
    <t>"КАМЕНОТЁС"</t>
  </si>
  <si>
    <t>6317041085</t>
  </si>
  <si>
    <t>http://kamenotes.org</t>
  </si>
  <si>
    <t>Г САМАРА,ПЕСОЧНЫЙ ПЕР, Д 5</t>
  </si>
  <si>
    <t>Аймальтдинова Екатерина Ивановна</t>
  </si>
  <si>
    <t>+7 (846) 278-88-98', '+7 (846) 332-21-32', '+7 (846) 232-21-32', '+7 (846) 278-88-98'</t>
  </si>
  <si>
    <t>58.010455,56.229443</t>
  </si>
  <si>
    <t>ОБЩЕСТВО С ОГРАНИЧЕННОЙ ОТВЕТСТВЕННОСТЬЮ "СТЭНДАРД ПРИВИЛЕДЖ"</t>
  </si>
  <si>
    <t>"СТЭНДАРД ПРИВИЛЕДЖ"</t>
  </si>
  <si>
    <t>1629007316</t>
  </si>
  <si>
    <t>423970, ТАТАРСТАН РЕСПУБЛИКА, РАЙОН МУСЛЮМОВСКИЙ, СЕЛО МУСЛЮМОВО, УЛИЦА МОЛОДЕЖНАЯ, ДОМ 7Б, ПОМЕЩЕНИЕ №1</t>
  </si>
  <si>
    <t>Рахманов Рустем Актасович</t>
  </si>
  <si>
    <t>STANDARDPRIVILEGE@MAIL.RU'</t>
  </si>
  <si>
    <t>ОБЩЕСТВО С ОГРАНИЧЕННОЙ ОТВЕТСТВЕННОСТЬЮ "МСБ"</t>
  </si>
  <si>
    <t>"МСБ"</t>
  </si>
  <si>
    <t>6317067333</t>
  </si>
  <si>
    <t>Г САМАРА,УЛ САДОВАЯ, Д 71,..</t>
  </si>
  <si>
    <t>Трубин Вячеслав Андреевич</t>
  </si>
  <si>
    <t>+7 (917) 814-37-44'</t>
  </si>
  <si>
    <t>ОБЩЕСТВО С ОГРАНИЧЕННОЙ ОТВЕТСТВЕННОСТЬЮ "СТРОИТЕЛЬНЫЕ МАТЕРИАЛЫ"</t>
  </si>
  <si>
    <t>"СТРОИТЕЛЬНЫЕ МАТЕРИАЛЫ"</t>
  </si>
  <si>
    <t>5836306664</t>
  </si>
  <si>
    <t>Г ПЕНЗА,УЛ МОСКОВСКАЯ,11</t>
  </si>
  <si>
    <t>Седов Сергей Николаевич</t>
  </si>
  <si>
    <t>ОБЩЕСТВО С ОГРАНИЧЕННОЙ ОТВЕТСТВЕННОСТЬЮ "МАСТЕР -3"</t>
  </si>
  <si>
    <t>"МАСТЕР -3"</t>
  </si>
  <si>
    <t>6317044382</t>
  </si>
  <si>
    <t>Г САМАРА,УЛ МАКСИМА ГОРЬКОГО, Д 115</t>
  </si>
  <si>
    <t>Ершов Александр Владимирович</t>
  </si>
  <si>
    <t>57.996177,56.235157</t>
  </si>
  <si>
    <t>ОБЩЕСТВО С ОГРАНИЧЕННОЙ ОТВЕТСТВЕННОСТЬЮ ПРОИЗВОДСТВЕННАЯ КОМПАНИЯ "АГАТ"</t>
  </si>
  <si>
    <t>ПРОИЗВОДСТВЕННАЯ КОМПАНИЯ "АГАТ"</t>
  </si>
  <si>
    <t>1835085655</t>
  </si>
  <si>
    <t>426028, УДМУРТСКАЯ РЕСПУБЛИКА, Г ИЖЕВСК, УЛ ПОЙМА,79 А ОФИС 2</t>
  </si>
  <si>
    <t>Алексеев Роман Константинович</t>
  </si>
  <si>
    <t>+7 (912) 757-51-57'</t>
  </si>
  <si>
    <t>53.983587,56.236118</t>
  </si>
  <si>
    <t>ОБЩЕСТВО С ОГРАНИЧЕННОЙ ОТВЕТСТВЕННОСТЬЮ "ПЕНЗАСТРОЙРЕСУРС"</t>
  </si>
  <si>
    <t>"ПЕНЗАСТРОЙРЕСУРС"</t>
  </si>
  <si>
    <t>5835105066</t>
  </si>
  <si>
    <t>Г ПЕНЗА,УЛ БАКУНИНА,50</t>
  </si>
  <si>
    <t>Лобанова Екатерина Андреевна</t>
  </si>
  <si>
    <t>+7 (927) 377-77-66'</t>
  </si>
  <si>
    <t>57.966706,56.237762</t>
  </si>
  <si>
    <t>ОБЩЕСТВО С ОГРАНИЧЕННОЙ ОТВЕТСТВЕННОСТЬЮ СТРОИТЕЛЬНАЯ КОМПАНИЯ "МЕГАИНВЕСТ"</t>
  </si>
  <si>
    <t>СТРОИТЕЛЬНАЯ КОМПАНИЯ "МЕГАИНВЕСТ"</t>
  </si>
  <si>
    <t>1841041790</t>
  </si>
  <si>
    <t>Г ИЖЕВСК,УЛ КИРОВА,112-А..</t>
  </si>
  <si>
    <t>Мгоян Муса Ростамович</t>
  </si>
  <si>
    <t>+7 (919) 919-92-66'</t>
  </si>
  <si>
    <t>54.764786,56.238615</t>
  </si>
  <si>
    <t>ОБЩЕСТВО С ОГРАНИЧЕННОЙ ОТВЕТСТВЕННОСТЬЮ "СУПОНЕВСКИЙ СВАЙНЫЙ ЗАВОД "ЗАБЕЙ СВАЮ"</t>
  </si>
  <si>
    <t>"СУПОНЕВСКИЙ СВАЙНЫЙ ЗАВОД "ЗАБЕЙ СВАЮ"</t>
  </si>
  <si>
    <t>3234042107</t>
  </si>
  <si>
    <t>БРЯНСКАЯ ОБЛ.,БРЯНСКИЙ Р-Н,С СУПОНЕВО,УЛ ЛЕНИНА, Д 131, А</t>
  </si>
  <si>
    <t>Лапсарь Виталий Сергеевич</t>
  </si>
  <si>
    <t>55.031314,56.238822</t>
  </si>
  <si>
    <t>Общество с ограниченной ответственностью "САМАРА БЕТОН"</t>
  </si>
  <si>
    <t>"САМАРА БЕТОН"</t>
  </si>
  <si>
    <t>6330059902</t>
  </si>
  <si>
    <t>Г САМАРА,УЛ ГАГАРИНА, Д 98</t>
  </si>
  <si>
    <t>Саталкин Сергей Вячеславович</t>
  </si>
  <si>
    <t>+7 (846) 242-10-86'</t>
  </si>
  <si>
    <t>54.765321,56.238948</t>
  </si>
  <si>
    <t>ОБЩЕСТВО С ОГРАНИЧЕННОЙ ОТВЕТСТВЕННОСТЬЮ "АВИТОН"</t>
  </si>
  <si>
    <t>"АВИТОН"</t>
  </si>
  <si>
    <t>1831184197</t>
  </si>
  <si>
    <t>426039, УДМУРТСКАЯ РЕСПУБЛИКА, Г ИЖЕВСК, ВОТКИНСКОЕ ШОССЕ,166 Б ОФИС 2/1</t>
  </si>
  <si>
    <t>Зорина Ольга Владимировна</t>
  </si>
  <si>
    <t>+7 (965) 851-31-40'</t>
  </si>
  <si>
    <t>54.707868,56.239729</t>
  </si>
  <si>
    <t>ОБЩЕСТВО С ОГРАНИЧЕННОЙ ОТВЕТСТВЕННОСТЬЮ " ПРОИЗВОДСТВЕННО СТРОИТЕЛЬНАЯ КОМПАНИЯ "ЖЕЛЕЗОБЕТОН"</t>
  </si>
  <si>
    <t>" ПРОИЗВОДСТВЕННО СТРОИТЕЛЬНАЯ КОМПАНИЯ "ЖЕЛЕЗОБЕТОН"</t>
  </si>
  <si>
    <t>1832159683</t>
  </si>
  <si>
    <t>426052, УДМУРТСКАЯ РЕСП., Г. Ижевск, УЛ. ОРСОВСКАЯ, Д. 19, ОФИС 16, ЛИТЕР А</t>
  </si>
  <si>
    <t>Смирнов Олег Федорович</t>
  </si>
  <si>
    <t>54.755758,56.241427</t>
  </si>
  <si>
    <t>АКЦИОНЕРНОЕ ОБЩЕСТВО "СТРОЙСЕРВИС"</t>
  </si>
  <si>
    <t>3235001907</t>
  </si>
  <si>
    <t>Г БРЯНСК,УЛ ТРАНСПОРТНАЯ Д 9</t>
  </si>
  <si>
    <t>Баранов Александр Викторович</t>
  </si>
  <si>
    <t>all@srojservis.ru', 'gl_ekonomist@strojservis.ru'</t>
  </si>
  <si>
    <t>57.981664,56.242002</t>
  </si>
  <si>
    <t>ОБЩЕСТВО С ОГРАНИЧЕННОЙ ОТВЕТСТВЕННОСТЬЮ "ГОРИЗОНТ"</t>
  </si>
  <si>
    <t>"ГОРИЗОНТ"</t>
  </si>
  <si>
    <t>1841095845</t>
  </si>
  <si>
    <t>426032, УДМУРТСКАЯ РЕСПУБЛИКА, ГОРОД ИЖЕВСК, УЛИЦА ЗИМНЯЯ, ДОМ 6, ОФИС 305</t>
  </si>
  <si>
    <t>Новоселов Виктор Алексеевич</t>
  </si>
  <si>
    <t>57.952616,56.245568</t>
  </si>
  <si>
    <t>ОТКРЫТОЕ АКЦИОНЕРНОЕ ОБЩЕСТВО "ЖЕЛЕЗОБЕТОННЫЕ КОНСТРУКЦИИ-1"</t>
  </si>
  <si>
    <t>ОТКРЫТОЕ "ЖЕЛЕЗОБЕТОННЫЕ КОНСТРУКЦИИ-1"</t>
  </si>
  <si>
    <t>5834008060</t>
  </si>
  <si>
    <t>Г ПЕНЗА,УЛ СКЛАДСКАЯ,19</t>
  </si>
  <si>
    <t>Макарова Екатерина Николаевна</t>
  </si>
  <si>
    <t>oao_gbk_1@mail.ru'</t>
  </si>
  <si>
    <t>57.992809,56.248892</t>
  </si>
  <si>
    <t>ОБЩЕСТВО С ОГРАНИЧЕННОЙ ОТВЕТСТВЕННОСТЬЮ "АДАМАНТ"</t>
  </si>
  <si>
    <t>"АДАМАНТ"</t>
  </si>
  <si>
    <t>1831140841</t>
  </si>
  <si>
    <t>426011, УДМУРТСКАЯ РЕСПУБЛИКА, ГОРОД ИЖЕВСК, УЛИЦА ХОЛМОГОРОВА, 11 Б</t>
  </si>
  <si>
    <t>Волков Дмитрий Артурович</t>
  </si>
  <si>
    <t>54.725561,56.254021</t>
  </si>
  <si>
    <t>ОБЩЕСТВО С ОГРАНИЧЕННОЙ ОТВЕТСТВЕННОСТЬЮ "ОРМИГОН"</t>
  </si>
  <si>
    <t>"ОРМИГОН"</t>
  </si>
  <si>
    <t>1831206500</t>
  </si>
  <si>
    <t>426011, Удмуртская Республика, ГОРОД ИЖЕВСК, Г ИЖЕВСК, УЛ ХОЛМОГОРОВА, Д. 11Б</t>
  </si>
  <si>
    <t>Юрков Кирилл Андреевич</t>
  </si>
  <si>
    <t>57.922827,56.267631</t>
  </si>
  <si>
    <t>ОБЩЕСТВО С ОГРАНИЧЕННОЙ ОТВЕТСТВЕННОСТЬЮ "ТЕХНОПРОМ"</t>
  </si>
  <si>
    <t>"ТЕХНОПРОМ"</t>
  </si>
  <si>
    <t>1839007217</t>
  </si>
  <si>
    <t>Г ИЖЕВСК,УЛ СОВЕТСКАЯ,15</t>
  </si>
  <si>
    <t xml:space="preserve"> Конкурсный Управляющий Токарев Дмитрий Алексеевич</t>
  </si>
  <si>
    <t>+7 (912) 850-90-05'</t>
  </si>
  <si>
    <t>57.971747,56.276255</t>
  </si>
  <si>
    <t>Общество с ограниченной ответственностью "Экоблок"</t>
  </si>
  <si>
    <t>"Экоблок"</t>
  </si>
  <si>
    <t>1832105920</t>
  </si>
  <si>
    <t xml:space="preserve">  УЛ ПУШКИНСКАЯ,181-А..</t>
  </si>
  <si>
    <t>Шайгазина Елена Геннадьевна</t>
  </si>
  <si>
    <t>+7 (912) 452-39-92'</t>
  </si>
  <si>
    <t>58.002072,56.277324</t>
  </si>
  <si>
    <t>ОБЩЕСТВО С ОГРАНИЧЕННОЙ ОТВЕТСТВЕННОСТЬЮ "СОВТЕХСТРОЙ"</t>
  </si>
  <si>
    <t>"СОВТЕХСТРОЙ"</t>
  </si>
  <si>
    <t>1841061500</t>
  </si>
  <si>
    <t>426003, УДМУРТСКАЯ РЕСПУБЛИКА, Г ИЖЕВСК, УЛ ЖЕЧЕВА,52</t>
  </si>
  <si>
    <t>Смирнов Алексей Михайлович</t>
  </si>
  <si>
    <t>+7 (901) 867-67-42'</t>
  </si>
  <si>
    <t>58.005625,56.321134</t>
  </si>
  <si>
    <t>ОБЩЕСТВО С ОГРАНИЧЕННОЙ ОТВЕТСТВЕННОСТЬЮ ТОРГОВО-ПРОИЗВОДСТВЕННАЯ КОМПАНИЯ "БЛОКСТОУН"</t>
  </si>
  <si>
    <t>ТОРГОВО-ПРОИЗВОДСТВЕННАЯ КОМПАНИЯ "БЛОКСТОУН"</t>
  </si>
  <si>
    <t>1840052609</t>
  </si>
  <si>
    <t>426011, УДМУРТСКАЯ РЕСПУБЛИКА, ГОРОД ИЖЕВСК, УЛИЦА 10 ЛЕТ ОКТЯБРЯ, ДОМ 17 А,..</t>
  </si>
  <si>
    <t>Исупов Александр Иванович</t>
  </si>
  <si>
    <t>+7 (912) 010-26-50', '+7 (912) 010-26-50'</t>
  </si>
  <si>
    <t>finex18@bk.ru'</t>
  </si>
  <si>
    <t>58.503194,56.335615</t>
  </si>
  <si>
    <t>ОБЩЕСТВО С ОГРАНИЧЕННОЙ ОТВЕТСТВЕННОСТЬЮ "ЗАВОД СТРОИТЕЛЬНЫХ МАТЕРИАЛОВ М 2"</t>
  </si>
  <si>
    <t>"ЗАВОД СТРОИТЕЛЬНЫХ МАТЕРИАЛОВ М 2"</t>
  </si>
  <si>
    <t>1832134470</t>
  </si>
  <si>
    <t>Г ИЖЕВСК,УЛ 10 ЛЕТ ОКТЯБРЯ,21..</t>
  </si>
  <si>
    <t>Даутов Рашид Камильевич</t>
  </si>
  <si>
    <t>+7 (982) 117-92-63'</t>
  </si>
  <si>
    <t>58.075916,56.346656</t>
  </si>
  <si>
    <t>ОБЩЕСТВО С ОГРАНИЧЕННОЙ ОТВЕТСТВЕННОСТЬЮ "ВОТКИНСКИЙ БЕТОН"</t>
  </si>
  <si>
    <t>"ВОТКИНСКИЙ БЕТОН"</t>
  </si>
  <si>
    <t>1828029515</t>
  </si>
  <si>
    <t>426076, УДМУРТСКАЯ РЕСПУБЛИКА, Г ИЖЕВСК, УЛ КОММУНАРОВ,223..</t>
  </si>
  <si>
    <t>Горделадзе Антон Павлович</t>
  </si>
  <si>
    <t>+7 (912) 457-77-55', '+7 (912) 450-09-38'</t>
  </si>
  <si>
    <t>57.814231,56.369113</t>
  </si>
  <si>
    <t>ОБЩЕСТВО С ОГРАНИЧЕННОЙ ОТВЕТСТВЕННОСТЬЮ "ТОРГСЕРВИС"</t>
  </si>
  <si>
    <t>"ТОРГСЕРВИС"</t>
  </si>
  <si>
    <t>1841068986</t>
  </si>
  <si>
    <t>426008, УДМУРТСКАЯ РЕСПУБЛИКА, Г ИЖЕВСК, УЛ КРАСНОГЕРОЙСКАЯ,14 ПОМЕЩ. 141</t>
  </si>
  <si>
    <t>Григорьев Валерий Викторович</t>
  </si>
  <si>
    <t>+7 (982) 115-59-15'</t>
  </si>
  <si>
    <t>58.070952,56.3702</t>
  </si>
  <si>
    <t>1840105770</t>
  </si>
  <si>
    <t>426056, УДМУРТСКАЯ РЕСПУБЛИКА, Г ИЖЕВСК, ПЛ ИМ 50-ЛЕТИЯ ОКТЯБРЯ,6 ЭТАЖ 3 ОФИС 311 Б</t>
  </si>
  <si>
    <t>Васенин Денис Викторович</t>
  </si>
  <si>
    <t>57.954851,56.387574</t>
  </si>
  <si>
    <t>ОБЩЕСТВО С ОГРАНИЧЕННОЙ ОТВЕТСТВЕННОСТЬЮ "ЖИЛСТРОЙ КПД"</t>
  </si>
  <si>
    <t>"ЖИЛСТРОЙ КПД"</t>
  </si>
  <si>
    <t>5835105757</t>
  </si>
  <si>
    <t>Г ПЕНЗА,П МОНТАЖНЫЙ</t>
  </si>
  <si>
    <t>Акчурина Галина Николаевна</t>
  </si>
  <si>
    <t>54.820555,56.396009</t>
  </si>
  <si>
    <t>ОБЩЕСТВО С ОГРАНИЧЕННОЙ ОТВЕТСТВЕННОСТЬЮ "ВОДТЕХ"</t>
  </si>
  <si>
    <t>"ВОДТЕХ"</t>
  </si>
  <si>
    <t>1841103060</t>
  </si>
  <si>
    <t>426077, Удмуртская Республика, ГОРОД ИЖЕВСК, Г ИЖЕВСК, УЛ УДМУРТСКАЯ, Д. 159</t>
  </si>
  <si>
    <t>Астраханцев Руслан Александрович</t>
  </si>
  <si>
    <t>58.472793,56.412906</t>
  </si>
  <si>
    <t>1660363387</t>
  </si>
  <si>
    <t>426039, УДМУРТСКАЯ РЕСПУБЛИКА, Г ИЖЕВСК, ВОТКИНСКОЕ ШОССЕ,283 ПОМЕЩ. 2</t>
  </si>
  <si>
    <t>Лунгу Александр Павлович</t>
  </si>
  <si>
    <t>ITR@GMAIL.COM'</t>
  </si>
  <si>
    <t>54.834496,56.416176</t>
  </si>
  <si>
    <t>ОБЩЕСТВО С ОГРАНИЧЕННОЙ ОТВЕТСТВЕННОСТЬЮ "АСТ-КОМПЛЕКТ"</t>
  </si>
  <si>
    <t>"АСТ-КОМПЛЕКТ"</t>
  </si>
  <si>
    <t>1841084258</t>
  </si>
  <si>
    <t>426063, УДМУРТСКАЯ РЕСПУБЛИКА, ГОРОД ИЖЕВСК, УЛИЦА УДМУРТСКАЯ, ДОМ 218, ОФИС  13</t>
  </si>
  <si>
    <t>Колбин Игорь Николаевич</t>
  </si>
  <si>
    <t>58.44415,56.420623</t>
  </si>
  <si>
    <t>ОБЩЕСТВО С ОГРАНИЧЕННОЙ ОТВЕТСТВЕННОСТЬЮ "ЦЕНТРМОНОЛИТСТРОЙ"</t>
  </si>
  <si>
    <t>"ЦЕНТРМОНОЛИТСТРОЙ"</t>
  </si>
  <si>
    <t>5835048562</t>
  </si>
  <si>
    <t>Г ПЕНЗА,УЛ СТРОИТЕЛЕЙ,1</t>
  </si>
  <si>
    <t>Асташкина Вероника Александровна</t>
  </si>
  <si>
    <t>+7 (902) 343-94-94'</t>
  </si>
  <si>
    <t>58.055207,56.594959</t>
  </si>
  <si>
    <t>1840056963</t>
  </si>
  <si>
    <t>426004, УДМУРТСКАЯ РЕСП, г Ижевск, ул Советская,49..</t>
  </si>
  <si>
    <t>Булдаков Дмитрий Владимирович</t>
  </si>
  <si>
    <t>+7 (912) 856-27-28'</t>
  </si>
  <si>
    <t>58.062059,56.612799</t>
  </si>
  <si>
    <t>ОБЩЕСТВО С ОГРАНИЧЕННОЙ ОТВЕТСТВЕННОСТЬЮ "ГИССТРОМ"</t>
  </si>
  <si>
    <t>"ГИССТРОМ"</t>
  </si>
  <si>
    <t>3233007300</t>
  </si>
  <si>
    <t>Г БРЯНСК,БУЛЬВАР ГАГАРИНА, Д 1</t>
  </si>
  <si>
    <t>59.430263,56.657059</t>
  </si>
  <si>
    <t>ОБЩЕСТВО С ОГРАНИЧЕННОЙ ОТВЕТСТВЕННОСТЬЮ "ДОМ"</t>
  </si>
  <si>
    <t>"ДОМ"</t>
  </si>
  <si>
    <t>1841078416</t>
  </si>
  <si>
    <t>426063, УДМУРТСКАЯ РЕСПУБЛИКА, Г ИЖЕВСК, УЛ ОРДЖОНИКИДЗЕ, ДОМ 16 ПОМЕЩЕНИЕ 7</t>
  </si>
  <si>
    <t>Наговицын Павел Игоревич</t>
  </si>
  <si>
    <t>+7 (912) 854-74-34'</t>
  </si>
  <si>
    <t>59.433929,56.666411</t>
  </si>
  <si>
    <t>ОБЩЕСТВО С ОГРАНИЧЕННОЙ ОТВЕТСТВЕННОСТЬЮ "ДОМ.КАМЕНЬ"</t>
  </si>
  <si>
    <t>"ДОМ.КАМЕНЬ"</t>
  </si>
  <si>
    <t>1841092298</t>
  </si>
  <si>
    <t>426063, УДМУРТСКАЯ РЕСПУБЛИКА, Г. ИЖЕВСК, УЛ. ОРДЖОНИКИДЗЕ, Д. 13 А, ОФИС 7</t>
  </si>
  <si>
    <t>Бородина Лариса Николаевна</t>
  </si>
  <si>
    <t>59.420472,56.786947</t>
  </si>
  <si>
    <t>ОБЩЕСТВО С ОГРАНИЧЕННОЙ ОТВЕТСТВЕННОСТЬЮ Торговый Дом "СарБИ"</t>
  </si>
  <si>
    <t>"СарБИ"</t>
  </si>
  <si>
    <t>1841008810</t>
  </si>
  <si>
    <t>426063, УДМУРТСКАЯ РЕСПУБЛИКА, Г ИЖЕВСК, ГОЛЬЯНСКИЙ ПОСЕЛОК,1 ОФИС 18</t>
  </si>
  <si>
    <t>Девятияров Кирилл Анатольевич</t>
  </si>
  <si>
    <t>+7 (950) 162-65-55'</t>
  </si>
  <si>
    <t>59.407587,56.818675</t>
  </si>
  <si>
    <t>ОБЩЕСТВО С ОГРАНИЧЕННОЙ ОТВЕТСТВЕННОСТЬЮ "МЕГАПОЛИС"</t>
  </si>
  <si>
    <t>"МЕГАПОЛИС"</t>
  </si>
  <si>
    <t>1841087330</t>
  </si>
  <si>
    <t>427005, УДМУРТСКАЯ РЕСПУБЛИКА, РАЙОН ЗАВЬЯЛОВСКИЙ, ДЕРЕВНЯ СТАРЫЙ ЧУЛЬТЕМ, УЛИЦА СОЛНЕЧНАЯ, ДОМ 47</t>
  </si>
  <si>
    <t>Митрофанов Владислав Александрович</t>
  </si>
  <si>
    <t>59.486888,56.866942</t>
  </si>
  <si>
    <t>ОБЩЕСТВО С ОГРАНИЧЕННОЙ ОТВЕТСТВЕННОСТЬЮ РЕГИОНАЛЬНАЯ СТРОИТЕЛЬНАЯ КОМПАНИЯ "СВ-СТРОЙ"</t>
  </si>
  <si>
    <t>РЕГИОНАЛЬНАЯ СТРОИТЕЛЬНАЯ КОМПАНИЯ "СВ-СТРОЙ"</t>
  </si>
  <si>
    <t>1840111011</t>
  </si>
  <si>
    <t>426030, Удмуртская Республика, ГОРОД ИЖЕВСК, Г ИЖЕВСК, ПЕР ВЫСТАВОЧНЫЙ, Д. 6</t>
  </si>
  <si>
    <t>Веретенников Сергей Владимирович</t>
  </si>
  <si>
    <t>STROY@MAIL.RU'</t>
  </si>
  <si>
    <t>57.42881,56.944215</t>
  </si>
  <si>
    <t>ОБЩЕСТВО С ОГРАНИЧЕННОЙ ОТВЕТСТВЕННОСТЬЮ "АЛЕКСАНДРОВСКОЕ КОММЕРЧЕСКОЕ ОБЪЕДИНЕНИЕ"</t>
  </si>
  <si>
    <t>"АЛЕКСАНДРОВСКОЕ КОММЕРЧЕСКОЕ ОБЪЕДИНЕНИЕ"</t>
  </si>
  <si>
    <t>1611289927</t>
  </si>
  <si>
    <t>423926, ТАТАРСТАН РЕСПУБЛИКА, Р-Н БАВЛИНСКИЙ, С АЛЕКСАНДРОВКА, УЛ. 50 ЛЕТ СССР</t>
  </si>
  <si>
    <t>Сычев Александр Николаевич</t>
  </si>
  <si>
    <t>sych3v@yandex.ru'</t>
  </si>
  <si>
    <t>57.215515,65.155636</t>
  </si>
  <si>
    <t>ОБЩЕСТВО С ОГРАНИЧЕННОЙ ОТВЕТСТВЕННОСТЬЮ "ЭРЕБУС"</t>
  </si>
  <si>
    <t>"ЭРЕБУС"</t>
  </si>
  <si>
    <t>1840106533</t>
  </si>
  <si>
    <t>426053, УДМУРТСКАЯ РЕСПУБЛИКА, Г ИЖЕВСК, УЛ ВОРОШИЛОВА,79..</t>
  </si>
  <si>
    <t>Ворончихина Оксана Владимировна</t>
  </si>
  <si>
    <t>89120252300@MAIL.RU'</t>
  </si>
  <si>
    <t>57.551557,65.995842</t>
  </si>
  <si>
    <t>ОБЩЕСТВО С ОГРАНИЧЕННОЙ ОТВЕТСТВЕННОСТЬЮ "ТЕХСТРОЙМАТЕРИАЛЫ"</t>
  </si>
  <si>
    <t>"ТЕХСТРОЙМАТЕРИАЛЫ"</t>
  </si>
  <si>
    <t>5703011284</t>
  </si>
  <si>
    <t>ОРЛОВСКАЯ ОБЛ.,Г МЦЕНСК,АВТОМАГИСТРАЛЬ</t>
  </si>
  <si>
    <t>Повторейко Сергей Александрович</t>
  </si>
  <si>
    <t>+7 (920) 801-52-34', '+7 (901) 984-15-84'</t>
  </si>
  <si>
    <t>51.423107,57.575793</t>
  </si>
  <si>
    <t>ОБЩЕСТВО С ОГРАНИЧЕННОЙ ОТВЕТСТВЕННОСТЬЮ "ИЖГАЗОБЛОК"</t>
  </si>
  <si>
    <t>"ИЖГАЗОБЛОК"</t>
  </si>
  <si>
    <t>1840111981</t>
  </si>
  <si>
    <t>426068, УДМУРТСКАЯ РЕСПУБЛИКА, Г ИЖЕВСК, УЛ ИМ БАРЫШНИКОВА,13..</t>
  </si>
  <si>
    <t>Плотников Всеволод Вячеславович</t>
  </si>
  <si>
    <t>IZHGAZOBLOK@YANDEX.RU'</t>
  </si>
  <si>
    <t>55.969134,58.078922</t>
  </si>
  <si>
    <t>ОБЩЕСТВО С ОГРАНИЧЕННОЙ ОТВЕТСТВЕННОСТЬЮ "МОЖГАБЕТОН"</t>
  </si>
  <si>
    <t>"МОЖГАБЕТОН"</t>
  </si>
  <si>
    <t>1840034173</t>
  </si>
  <si>
    <t>426073, УДМУРТСКАЯ РЕСПУБЛИКА, Г ИЖЕВСК, УЛ СОЮЗНАЯ,161 ЭТАЖ 2 ОФИС 8</t>
  </si>
  <si>
    <t>Полтанов Андрей Петрович</t>
  </si>
  <si>
    <t>+7 (909) 054-08-50'</t>
  </si>
  <si>
    <t>an@yandex.ru'</t>
  </si>
  <si>
    <t>55.178511,58.14679</t>
  </si>
  <si>
    <t>1841081761</t>
  </si>
  <si>
    <t>427011, УДМУРТСКАЯ РЕСПУБЛИКА, ЗАВЬЯЛОВСКИЙ РАЙОН , Д ХОХРЯКИ, УЛ ТРАКТОВАЯ,16 ОФИС 32</t>
  </si>
  <si>
    <t>Айрапетян Саак Тигранович</t>
  </si>
  <si>
    <t>+7 (912) 767-90-71'</t>
  </si>
  <si>
    <t>ecoblock18@mail.ru', 'ecoblok18@mail.ru'</t>
  </si>
  <si>
    <t>53.908379,58.233288</t>
  </si>
  <si>
    <t>ОБЩЕСТВО С ОГРАНИЧЕННОЙ ОТВЕТСТВЕННОСТЬЮ "ДОМ.КОМ"</t>
  </si>
  <si>
    <t>"ДОМ.КОМ"</t>
  </si>
  <si>
    <t>1840079248</t>
  </si>
  <si>
    <t>426062, УДМУРТСКАЯ РЕСПУБЛИКА, Г ИЖЕВСК, УЛ СПОРТИВНАЯ,117 А ОФИС 1</t>
  </si>
  <si>
    <t>Максимов Евгений Николаевич</t>
  </si>
  <si>
    <t>+7 (912) 858-83-02'</t>
  </si>
  <si>
    <t>51.205469,58.313445</t>
  </si>
  <si>
    <t>ОБЩЕСТВО С ОГРАНИЧЕННОЙ ОТВЕТСТВЕННОСТЬЮ "ДК"</t>
  </si>
  <si>
    <t>"ДК"</t>
  </si>
  <si>
    <t>1840113668</t>
  </si>
  <si>
    <t>426062, Удмуртская Республика, ГОРОД ИЖЕВСК, Г ИЖЕВСК, УЛ СПОРТИВНАЯ, ЗД. 117А</t>
  </si>
  <si>
    <t>Гарипов Алексей Владимирович</t>
  </si>
  <si>
    <t>51.219428,58.33063</t>
  </si>
  <si>
    <t>АКЦИОНЕРНОЕ ОБЩЕСТВО "БРЯНСКИЙ ЗАВОД СИЛИКАТНОГО КИРПИЧА"</t>
  </si>
  <si>
    <t>"БРЯНСКИЙ ЗАВОД СИЛИКАТНОГО КИРПИЧА"</t>
  </si>
  <si>
    <t>3232033234</t>
  </si>
  <si>
    <t>Г БРЯНСК,УЛ СТАЛЕЛИТЕЙНАЯ, Д 5</t>
  </si>
  <si>
    <t xml:space="preserve"> Директор Поликанова Жанна Юрьевна</t>
  </si>
  <si>
    <t>TDBZSK@ONLINE.DEBRYANSK'</t>
  </si>
  <si>
    <t>51.213883,58.388526</t>
  </si>
  <si>
    <t>ОБЩЕСТВО С ОГРАНИЧЕННОЙ ОТВЕТСТВЕННОСТЬЮ "РУССКИЙ МЕТАЛЛ"</t>
  </si>
  <si>
    <t>"РУССКИЙ МЕТАЛЛ"</t>
  </si>
  <si>
    <t>2225063162</t>
  </si>
  <si>
    <t>Г БАРНАУЛ,УЛ КОРОЛЕНКО, Д 91,..</t>
  </si>
  <si>
    <t>Фриц Юрий Александрович</t>
  </si>
  <si>
    <t>+7 (960) 937-33-97'</t>
  </si>
  <si>
    <t>53.965105,58.410957</t>
  </si>
  <si>
    <t>ОБЩЕСТВО С ОГРАНИЧЕННОЙ ОТВЕТСТВЕННОСТЬЮ "ГАРУДА"</t>
  </si>
  <si>
    <t>"ГАРУДА"</t>
  </si>
  <si>
    <t>0266023077</t>
  </si>
  <si>
    <t>РЕСПУБЛИКА БАШКОРТОСТАН,Г САЛАВАТ,УЛ ЛЕНИНГРАДСКАЯ,25..</t>
  </si>
  <si>
    <t>Орлов Роман Владимирович</t>
  </si>
  <si>
    <t>56.834121,58.463778</t>
  </si>
  <si>
    <t>ОБЩЕСТВО С ОГРАНИЧЕННОЙ ОТВЕТСТВЕННОСТЬЮ "АРКЕЛИТ"</t>
  </si>
  <si>
    <t>"АРКЕЛИТ"</t>
  </si>
  <si>
    <t>1841098050</t>
  </si>
  <si>
    <t>427007, УДМУРТСКАЯ РЕСП., Р-Н Завьяловский, С. Первомайский, УЛ. ПОЛЕВАЯ, Д. 10, ЛИТЕР А, ОФИС 8</t>
  </si>
  <si>
    <t>Вострокнутов Сергей Владимирович</t>
  </si>
  <si>
    <t>ARKELIT@YANDEX.RU'</t>
  </si>
  <si>
    <t>51.211174,58.465278</t>
  </si>
  <si>
    <t>2224003481</t>
  </si>
  <si>
    <t>Г БАРНАУЛ,ПРОСПЕКТ ЛЕНИНА, Д 46</t>
  </si>
  <si>
    <t>Автономов Игорь Владимирович</t>
  </si>
  <si>
    <t>51.221301,58.492066</t>
  </si>
  <si>
    <t>ОБЩЕСТВО С ОГРАНИЧЕННОЙ ОТВЕТСТВЕННОСТЬЮ "Крафт"</t>
  </si>
  <si>
    <t>"Крафт"</t>
  </si>
  <si>
    <t>1841034313</t>
  </si>
  <si>
    <t>427000, УДМУРТСКАЯ РЕСПУБЛИКА, ЗАВЬЯЛОВСКИЙ РАЙОН, С ЗАВЬЯЛОВО, УЛ ПРУДОВАЯ,41 А ОФИС 1</t>
  </si>
  <si>
    <t>Пичугин Олег Борисович</t>
  </si>
  <si>
    <t>+7 (912) 460-05-10'</t>
  </si>
  <si>
    <t>IZHKRAFT@MAIL.RU'</t>
  </si>
  <si>
    <t>ОТКРЫТОЕ АКЦИОНЕРНОЕ ОБЩЕСТВО "НОВОАЛТАЙСКИЙ ЗАВОД МОСТОВЫХ КОНСТРУКЦИЙ"</t>
  </si>
  <si>
    <t>ОТКРЫТОЕ "НОВОАЛТАЙСКИЙ ЗАВОД МОСТОВЫХ КОНСТРУКЦИЙ"</t>
  </si>
  <si>
    <t>2208022448</t>
  </si>
  <si>
    <t>АЛТАЙСКИЙ КРАЙ,Г НОВОАЛТАЙСК,УЛ ДОРОЖНАЯ, Д 4</t>
  </si>
  <si>
    <t>Рябушенко Николай Александрович</t>
  </si>
  <si>
    <t>+7 (962) 797-27-70', '+7 (838) 535-70-92'</t>
  </si>
  <si>
    <t>plan@nzmk22.ru', 'info@nzmk22.ru'</t>
  </si>
  <si>
    <t>51.231674,58.621334</t>
  </si>
  <si>
    <t>ОБЩЕСТВО С ОГРАНИЧЕННОЙ ОТВЕТСТВЕННОСТЬЮ "ЕВРОПАРК"</t>
  </si>
  <si>
    <t>"ЕВРОПАРК"</t>
  </si>
  <si>
    <t>2223962799</t>
  </si>
  <si>
    <t>Г БАРНАУЛ,УЛ АЛЕКСЕЕВОЙ, Д 94</t>
  </si>
  <si>
    <t>Дильман Лилия Викторовна</t>
  </si>
  <si>
    <t>+7 (961) 237-29-27', '+7 (962) 796-90-10'</t>
  </si>
  <si>
    <t>52.703919,58.658308</t>
  </si>
  <si>
    <t>7456023864</t>
  </si>
  <si>
    <t>ЧЕЛЯБИНСКАЯ ОБЛ.,Г МАГНИТОГОРСК,ПРОСП КАРЛА МАРКСА, Д 141, ЦЕНТР СОВРЕМЕННОГО ИНТЕРЬЕРА "ЛИНИЯ"</t>
  </si>
  <si>
    <t>Жувагин Константин Геннадьевич</t>
  </si>
  <si>
    <t>+7 (963) 477-77-70'</t>
  </si>
  <si>
    <t>52.719305,58.675259</t>
  </si>
  <si>
    <t>АКЦИОНЕРНОЕ ОБЩЕСТВО "СПЕЦИАЛИЗИРОВАННЫЙ ЗАСТРОЙЩИК "БАРНАУЛЬСКИЙ КОМБИНАТ ЖЕЛЕЗОБЕТОННЫХ ИЗДЕЛИЙ №2"</t>
  </si>
  <si>
    <t>"СПЕЦИАЛИЗИРОВАННЫЙ ЗАСТРОЙЩИК "БАРНАУЛЬСКИЙ КОМБИНАТ ЖЕЛЕЗОБЕТОННЫХ ИЗДЕЛИЙ №2"</t>
  </si>
  <si>
    <t>2224008190</t>
  </si>
  <si>
    <t>Г БАРНАУЛ,ПРОСПЕКТ КАЛИНИНА, Д 112</t>
  </si>
  <si>
    <t>Отмашкин Андрей Викторович</t>
  </si>
  <si>
    <t>zaobkgbi@ab.ru'</t>
  </si>
  <si>
    <t>52.707182,58.678808</t>
  </si>
  <si>
    <t>ОБЩЕСТВО С ОГРАНИЧЕННОЙ ОТВЕТСТВЕННОСТЬЮ "НОВАТЕХ ЖБИ ВОЛОКОЛАМСК"</t>
  </si>
  <si>
    <t>"НОВАТЕХ ЖБИ ВОЛОКОЛАМСК"</t>
  </si>
  <si>
    <t>5004028736</t>
  </si>
  <si>
    <t>ОМСКАЯ ОБЛ.,PП САРГАТСКОЕ,9999,УЛ 8 МАРТА, 47</t>
  </si>
  <si>
    <t>Кирпичев Михаил Юрьевич</t>
  </si>
  <si>
    <t>+7 (965) 350-07-01'</t>
  </si>
  <si>
    <t>52.720979,58.686794</t>
  </si>
  <si>
    <t>ОБЩЕСТВО С ОГРАНИЧЕННОЙ ОТВЕТСТВЕННОСТЬЮ "БИС"</t>
  </si>
  <si>
    <t>"БИС"</t>
  </si>
  <si>
    <t>1841042868</t>
  </si>
  <si>
    <t>427000, УДМУРТСКАЯ РЕСПУБЛИКА, ЗАВЬЯЛОВСКИЙ РАЙОН, Д ПЫЧАНКИ, УЛ МАЙСКАЯ,23</t>
  </si>
  <si>
    <t>Степанов Станислав Леонидович</t>
  </si>
  <si>
    <t>070561s@mail.ru'</t>
  </si>
  <si>
    <t>52.718246,58.690657</t>
  </si>
  <si>
    <t>6345016429</t>
  </si>
  <si>
    <t>САМАРСКАЯ ОБЛ.,Г ЖИГУЛЕВСК,Г-1</t>
  </si>
  <si>
    <t>Кострикина Лариса Александровна</t>
  </si>
  <si>
    <t>+7 (927) 216-47-53'</t>
  </si>
  <si>
    <t>53.258836,58.7916</t>
  </si>
  <si>
    <t>ОБЩЕСТВО С ОГРАНИЧЕННОЙ ОТВЕТСТВЕННОСТЬЮ "ДЕЛЬТА-ПЛЮС"</t>
  </si>
  <si>
    <t>"ДЕЛЬТА-ПЛЮС"</t>
  </si>
  <si>
    <t>7414000390</t>
  </si>
  <si>
    <t>ЧЕЛЯБИНСКАЯ ОБЛ.,Г МАГНИТОГОРСК,ПРОСП ЛЕНИНА, Д 68, КОМН 337</t>
  </si>
  <si>
    <t>Безбабных Сергей Иванович</t>
  </si>
  <si>
    <t>vranicina@yandex.ru'</t>
  </si>
  <si>
    <t>51.734612,58.799559</t>
  </si>
  <si>
    <t>ОБЩЕСТВО С ОГРАНИЧЕННОЙ ОТВЕТСТВЕННОСТЬЮ "СИГМА-СТРОИТЕЛЬНЫЕ ТЕХНОЛОГИИ"</t>
  </si>
  <si>
    <t>"СИГМА-СТРОИТЕЛЬНЫЕ ТЕХНОЛОГИИ"</t>
  </si>
  <si>
    <t>7451388558</t>
  </si>
  <si>
    <t>ЧЕЛЯБИНСКАЯ ОБЛ.,Г МАГНИТОГОРСК,УЛ ГАГАРИНА, Д 24,..</t>
  </si>
  <si>
    <t>Шафигин Марсель Рашидович</t>
  </si>
  <si>
    <t>+7 (351) 223-72-44', '+7 (351) 219-02-78'</t>
  </si>
  <si>
    <t>53.592432,58.863385</t>
  </si>
  <si>
    <t>ЗАКРЫТОЕ АКЦИОНЕРНОЕ ОБЩЕСТВО "ВИСТ"</t>
  </si>
  <si>
    <t>ЗАКРЫТОЕ "ВИСТ"</t>
  </si>
  <si>
    <t>7445015773</t>
  </si>
  <si>
    <t>ЧЕЛЯБИНСКАЯ ОБЛ.,Г МАГНИТОГОРСК,УЛ КИРОВА, Д 93</t>
  </si>
  <si>
    <t>Коржеманова Раиса Федоровна</t>
  </si>
  <si>
    <t>55.066118,58.926249</t>
  </si>
  <si>
    <t>7446001526</t>
  </si>
  <si>
    <t>Чернов Эдуард Владимирович</t>
  </si>
  <si>
    <t>53.433479,58.944682</t>
  </si>
  <si>
    <t>ОБЩЕСТВО С ОГРАНИЧЕННОЙ ОТВЕТСТВЕННОСТЬЮ "МОНОЛИТ - СК"</t>
  </si>
  <si>
    <t>"МОНОЛИТ - СК"</t>
  </si>
  <si>
    <t>7444050207</t>
  </si>
  <si>
    <t>ЧЕЛЯБИНСКАЯ ОБЛ.,Г МАГНИТОГОРСК,УЛ КОМАРОВА, Д 24, КОРП 1</t>
  </si>
  <si>
    <t>Абубакиров Ирек Шакирьянович</t>
  </si>
  <si>
    <t>+7 (951) 241-16-15'</t>
  </si>
  <si>
    <t>53.357406,58.960717</t>
  </si>
  <si>
    <t>ОБЩЕСТВО С ОГРАНИЧЕННОЙ ОТВЕТСТВЕННОСТЬЮ "СТРОЙПЛЮС"</t>
  </si>
  <si>
    <t>"СТРОЙПЛЮС"</t>
  </si>
  <si>
    <t>7444040505</t>
  </si>
  <si>
    <t>ЧЕЛЯБИНСКАЯ ОБЛ.,Г МАГНИТОГОРСК,ПРОСП КАРЛА МАРКСА, Д 42</t>
  </si>
  <si>
    <t>Скорова Наталья Леонидовна</t>
  </si>
  <si>
    <t>53.354003,58.970724</t>
  </si>
  <si>
    <t>ОБЩЕСТВО С ОГРАНИЧЕННОЙ ОТВЕТСТВЕННОСТЬЮ "ОКСИТ"</t>
  </si>
  <si>
    <t>"ОКСИТ"</t>
  </si>
  <si>
    <t>0265038521</t>
  </si>
  <si>
    <t>452606, БАШКОРТОСТАН РЕСПУБЛИКА, Г. ОКТЯБРЬСКИЙ, УЛ. САДОВОЕ КОЛЬЦО, Д. 1</t>
  </si>
  <si>
    <t>Валиев Ильнур Зуфарович</t>
  </si>
  <si>
    <t>53.424889,58.977219</t>
  </si>
  <si>
    <t>ОБЩЕСТВО С ОГРАНИЧЕННОЙ ОТВЕТСТВЕННОСТЬЮ "СОЛО"</t>
  </si>
  <si>
    <t>"СОЛО"</t>
  </si>
  <si>
    <t>7445029938</t>
  </si>
  <si>
    <t>ЧЕЛЯБИНСКАЯ ОБЛ.,Г МАГНИТОГОРСК,УЛ КАЛИБРОВЩИКОВ, Д 24</t>
  </si>
  <si>
    <t>Манукян Артак Эдикович</t>
  </si>
  <si>
    <t>+7 (902) 862-68-61', '+7 (922) 759-01-35', '+7 (919) 401-63-30'</t>
  </si>
  <si>
    <t>53.363924,58.981172</t>
  </si>
  <si>
    <t>ОБЩЕСТВО С ОГРАНИЧЕННОЙ ОТВЕТСТВЕННОСТЬЮ "ЭНЕРГОСТРОЙБЕТОН"</t>
  </si>
  <si>
    <t>"ЭНЕРГОСТРОЙБЕТОН"</t>
  </si>
  <si>
    <t>1642211208</t>
  </si>
  <si>
    <t>423950, ТАТАРСТАН РЕСПУБЛИКА, РАЙОН ЮТАЗИНСКИЙ, ПОСЕЛОК ГОРОДСКОГО ТИПА УРУССУ, УЛИЦА УРУССИНСКАЯ, ДОМ 53 Б, ПОМЕЩЕНИЕ 16</t>
  </si>
  <si>
    <t>Гизатуллин Вадим Валерьевич</t>
  </si>
  <si>
    <t>energobeton@rambler.ru'</t>
  </si>
  <si>
    <t>53.425941,58.989625</t>
  </si>
  <si>
    <t>0265052438</t>
  </si>
  <si>
    <t>452606, Республика Башкортостан, ГОРОД ОКТЯБРЬСКИЙ, Г ОКТЯБРЬСКИЙ, УЛ СЕВЕРНАЯ, Д. 21</t>
  </si>
  <si>
    <t>Габдуллин Марсель Фаязович</t>
  </si>
  <si>
    <t>53.360512,58.9947</t>
  </si>
  <si>
    <t>ОБЩЕСТВО С ОГРАНИЧЕННОЙ ОТВЕТСТВЕННОСТЬЮ "ТОЛЬЯТТИНСКИЕ ЖЕЛЕЗОБЕТОННЫЕ ИЗДЕЛИЯ"</t>
  </si>
  <si>
    <t>"ТОЛЬЯТТИНСКИЕ ЖЕЛЕЗОБЕТОННЫЕ ИЗДЕЛИЯ"</t>
  </si>
  <si>
    <t>6382038646</t>
  </si>
  <si>
    <t>САМАРСКАЯ ОБЛ.,Г ТОЛЬЯТТИ,УЛ МАТРОСОВА, Д 27,..</t>
  </si>
  <si>
    <t>53.445065,59.069135</t>
  </si>
  <si>
    <t>ОБЩЕСТВО С ОГРАНИЧЕННОЙ ОТВЕТСТВЕННОСТЬЮ ЖЕЛЕЗОБЕТОННЫЙЗАВОД "ЭКОЛОГСТРОЙСЕРВИС"</t>
  </si>
  <si>
    <t>ЖЕЛЕЗОБЕТОННЫЙЗАВОД "ЭКОЛОГСТРОЙСЕРВИС"</t>
  </si>
  <si>
    <t>0268072986</t>
  </si>
  <si>
    <t>РЕСПУБЛИКА БАШКОРТОСТАН,СТЕРЛИБАШЕВСКИЙ Р-Н,Д СТАРЫЙ КАЛКАШ</t>
  </si>
  <si>
    <t>Момса Дмитрий Петрович</t>
  </si>
  <si>
    <t>+7 (989) 959-42-38'</t>
  </si>
  <si>
    <t>53.384628,59.096974</t>
  </si>
  <si>
    <t>ОБЩЕСТВО С ОГРАНИЧЕННОЙ ОТВЕТСТВЕННОСТЬЮ "АВИАКОР-ЖЕЛЕЗОБЕТОН"</t>
  </si>
  <si>
    <t>"АВИАКОР-ЖЕЛЕЗОБЕТОН"</t>
  </si>
  <si>
    <t>6367055862</t>
  </si>
  <si>
    <t>САМАРСКАЯ ОБЛ.,ВОЛЖСКИЙ Р-Н,С КУРУМОЧ,ПРОИЗВОДСТВЕННАЯ ПЛОЩАДКА 2</t>
  </si>
  <si>
    <t>Белоусов Андрей Николаевич</t>
  </si>
  <si>
    <t>+7 (846) 331-30-50'</t>
  </si>
  <si>
    <t>53.404962,59.11335</t>
  </si>
  <si>
    <t>ОБЩЕСТВО С ОГРАНИЧЕННОЙ ОТВЕТСТВЕННОСТЬЮ "МАУС"</t>
  </si>
  <si>
    <t>"МАУС"</t>
  </si>
  <si>
    <t>0265050007</t>
  </si>
  <si>
    <t>452616, БАШКОРТОСТАН РЕСПУБЛИКА, ГОРОД ОКТЯБРЬСКИЙ, УЛИЦА НОВОСЕЛОВ, ДОМ 10,..</t>
  </si>
  <si>
    <t>Садовников Михаил Михайлович</t>
  </si>
  <si>
    <t>53.304227,59.142743</t>
  </si>
  <si>
    <t>ОБЩЕСТВО С ОГРАНИЧЕННОЙ ОТВЕТСТВЕННОСТЬЮ " БЕТОНКОММ"</t>
  </si>
  <si>
    <t>" БЕТОНКОММ"</t>
  </si>
  <si>
    <t>6330058514</t>
  </si>
  <si>
    <t>САМАРСКАЯ ОБЛ.,Г ТОЛЬЯТТИ,ПРОСП СТЕПАНА РАЗИНА, Д 63,..</t>
  </si>
  <si>
    <t>Соломина Татьяна Юрьевна</t>
  </si>
  <si>
    <t>+7 (927) 656-01-58', '+7 (927) 905-01-86'</t>
  </si>
  <si>
    <t>53.888446,59.229825</t>
  </si>
  <si>
    <t>ОБЩЕСТВО С ОГРАНИЧЕННОЙ ОТВЕТСТВЕННОСТЬЮ "ПЕРСПЕКТИВА ПЛЮС"</t>
  </si>
  <si>
    <t>"ПЕРСПЕКТИВА ПЛЮС"</t>
  </si>
  <si>
    <t>0265044444</t>
  </si>
  <si>
    <t>452615, БАШКОРТОСТАН РЕСПУБЛИКА, ГОРОД ОКТЯБРЬСКИЙ, УЛИЦА КОСМОНАВТОВ, ДОМ 5, КОРПУС 10</t>
  </si>
  <si>
    <t>Шафигуллин Дамир Магсумович</t>
  </si>
  <si>
    <t>89373304044@mail.ru'</t>
  </si>
  <si>
    <t>54.142347,59.370142</t>
  </si>
  <si>
    <t>ОБЩЕСТВО С ОГРАНИЧЕННОЙ ОТВЕТСТВЕННОСТЬЮ "СТЕЛФ-СТРОЙ"</t>
  </si>
  <si>
    <t>"СТЕЛФ-СТРОЙ"</t>
  </si>
  <si>
    <t>6321132384</t>
  </si>
  <si>
    <t>САМАРСКАЯ ОБЛ.,Г ТОЛЬЯТТИ,УЛ СВЕРДЛОВА, Д 25,..</t>
  </si>
  <si>
    <t>Страмнов Михаил Юрьевич</t>
  </si>
  <si>
    <t>53.328015,59.440471</t>
  </si>
  <si>
    <t>ОБЩЕСТВО С ОГРАНИЧЕННОЙ ОТВЕТСТВЕННОСТЬЮ "СТРОЙ-ТРАНС"</t>
  </si>
  <si>
    <t>"СТРОЙ-ТРАНС"</t>
  </si>
  <si>
    <t>0265050938</t>
  </si>
  <si>
    <t>452600, БАШКОРТОСТАН РЕСПУБЛИКА, ГОРОД ОКТЯБРЬСКИЙ, УЛИЦА КОСМОНАВТОВ, ЗД 59/23, ОФИС  1</t>
  </si>
  <si>
    <t>Хазипов Руслан Ремирович</t>
  </si>
  <si>
    <t>58.70526,59.485037</t>
  </si>
  <si>
    <t>АКЦИОНЕРНОЕ ОБЩЕСТВО ПО ПРОИЗВОДСТВУ ЖЕЛЕЗОБЕТОННЫХ КОНСТРУКЦИЙ "ТОЛЬЯТТИНСКОЕ"</t>
  </si>
  <si>
    <t>ПО ПРОИЗВОДСТВУ ЖЕЛЕЗОБЕТОННЫХ КОНСТРУКЦИЙ "ТОЛЬЯТТИНСКОЕ"</t>
  </si>
  <si>
    <t>6382001734</t>
  </si>
  <si>
    <t>САМАРСКАЯ ОБЛ.,СТАВРОПОЛЬСКИЙ Р-Н,С ВАСИЛЬЕВКА,УЛ КОЛЛЕКТИВНАЯ, Д 54 А</t>
  </si>
  <si>
    <t>Ерхов Дмитрий Александрович</t>
  </si>
  <si>
    <t>ОБЩЕСТВО С ОГРАНИЧЕННОЙ ОТВЕТСТВЕННОСТЬЮ КОМБИНАТ СТРОИТЕЛЬНЫХ МАТЕРИАЛОВ "ЯРЕГА"</t>
  </si>
  <si>
    <t>КОМБИНАТ СТРОИТЕЛЬНЫХ МАТЕРИАЛОВ "ЯРЕГА"</t>
  </si>
  <si>
    <t>1102083248</t>
  </si>
  <si>
    <t>169347, КОМИ РЕСП, Г. Ухта, ПГТ. Ярега, УЛ. ЛЕРМОНТОВА, Д. 4, ЭТАЖ 2</t>
  </si>
  <si>
    <t>Селиванова Анастасия Олеговна</t>
  </si>
  <si>
    <t>alyakinvladimir@mail.ru'</t>
  </si>
  <si>
    <t>58.691803,59.494155</t>
  </si>
  <si>
    <t>ОБЩЕСТВО С ОГРАНИЧЕННОЙ ОТВЕТСТВЕННОСТЬЮ "ДЕЛАЙ ДОМ"</t>
  </si>
  <si>
    <t>"ДЕЛАЙ ДОМ"</t>
  </si>
  <si>
    <t>4246018870</t>
  </si>
  <si>
    <t>42-Кемеровская область</t>
  </si>
  <si>
    <t>КЕМЕРОВСКАЯ ОБЛ.,Г ОСИННИКИ,УЛ ЕФИМОВА,Д 20..</t>
  </si>
  <si>
    <t>Резник Сергей Владимирович</t>
  </si>
  <si>
    <t>+7 (906) 975-49-85'</t>
  </si>
  <si>
    <t>59.535732,150.811631</t>
  </si>
  <si>
    <t>ОБЩЕСТВО С ОГРАНИЧЕННОЙ ОТВЕТСТВЕННОСТЬЮ "ВОТКИНСКИЙ ДОМОСТРОИТЕЛЬНЫЙ КОМБИНАТ"</t>
  </si>
  <si>
    <t>"ВОТКИНСКИЙ ДОМОСТРОИТЕЛЬНЫЙ КОМБИНАТ"</t>
  </si>
  <si>
    <t>1828033913</t>
  </si>
  <si>
    <t>427415, Удмуртская Республика, ВОТКИНСКИЙ РАЙОН, С ИЮЛЬСКОЕ, УЛ ПРУДОВАЯ, Д. 34</t>
  </si>
  <si>
    <t>Ивакина Анастасия Викторовна</t>
  </si>
  <si>
    <t>59.548719,150.788509</t>
  </si>
  <si>
    <t>ОБЩЕСТВО С ОГРАНИЧЕННОЙ ОТВЕТСТВЕННОСТЬЮ "ЛИРОН"</t>
  </si>
  <si>
    <t>"ЛИРОН"</t>
  </si>
  <si>
    <t>0268035078</t>
  </si>
  <si>
    <t>РЕСПУБЛИКА БАШКОРТОСТАН,Г СТЕРЛИТАМАК,УЛ САЛТЫКОВА-ЩЕДРИНА,1</t>
  </si>
  <si>
    <t>Юсупов Ильгиз Лиронович</t>
  </si>
  <si>
    <t>59.553306,150.802406</t>
  </si>
  <si>
    <t>ОБЩЕСТВО С ОГРАНИЧЕННОЙ ОТВЕТСТВЕННОСТЬЮ "ПРОИЗВОДСТВЕННАЯ КОМПАНИЯ АВЕГА"</t>
  </si>
  <si>
    <t>"ПРОИЗВОДСТВЕННАЯ КОМПАНИЯ АВЕГА"</t>
  </si>
  <si>
    <t>0268035871</t>
  </si>
  <si>
    <t>РЕСПУБЛИКА БАШКОРТОСТАН,Г СТЕРЛИТАМАК,УЛ ЗАВОДСКАЯ,23</t>
  </si>
  <si>
    <t>Тихомиров Алексей Валерьевич</t>
  </si>
  <si>
    <t>+7 (917) 793-70-17'</t>
  </si>
  <si>
    <t>3472440077@mail.ru'</t>
  </si>
  <si>
    <t>59.553311,150.827451</t>
  </si>
  <si>
    <t>ОБЩЕСТВО С ОГРАНИЧЕННОЙ ОТВЕТСТВЕННОСТЬЮ "СТРОЙ-АЛЬТЕРНАТИВА"</t>
  </si>
  <si>
    <t>"СТРОЙ-АЛЬТЕРНАТИВА"</t>
  </si>
  <si>
    <t>5636022231</t>
  </si>
  <si>
    <t>461201, ОРЕНБУРГСКАЯ ОБЛАСТЬ, Р-Н НОВОСЕРГИЕВСКИЙ, П НОВОСЕРГИЕВКА, УЛ. ПРОЛЕТАРСКАЯ, Д. 58 Д</t>
  </si>
  <si>
    <t>Андреева Вера Ильинична</t>
  </si>
  <si>
    <t>+7 (922) 543-41-92'</t>
  </si>
  <si>
    <t>56.054608,59.600569</t>
  </si>
  <si>
    <t>ОБЩЕСТВО С ОГРАНИЧЕННОЙ ОТВЕТСТВЕННОСТЬЮ "СТРОЙТЕХНОЛОГИИ"</t>
  </si>
  <si>
    <t>"СТРОЙТЕХНОЛОГИИ"</t>
  </si>
  <si>
    <t>3202009996</t>
  </si>
  <si>
    <t>БРЯНСКАЯ ОБЛ.,ДЯТЬКОВСКИЙ Р-Н,Г ФОКИНО,УЛ ФОКИНА Д 1А</t>
  </si>
  <si>
    <t>Павликов Александр Николаевич</t>
  </si>
  <si>
    <t>+7 (910) 455-24-20', '+7 (920) 833-81-84'</t>
  </si>
  <si>
    <t>55.082529,59.691353</t>
  </si>
  <si>
    <t>5837063301</t>
  </si>
  <si>
    <t>ПЕНЗЕНСКАЯ ОБЛ.,ВАДИНСКИЙ Р-Н,С ВАДИНСК,УЛ ЛЕНИНА,1</t>
  </si>
  <si>
    <t>Полубарова Юлия Владимировна</t>
  </si>
  <si>
    <t>+7 (927) 289-28-45'</t>
  </si>
  <si>
    <t>55.119208,59.720674</t>
  </si>
  <si>
    <t>ОБЩЕСТВО С ОГРАНИЧЕННОЙ ОТВЕТСТВЕННОСТЬЮ "ЗВЕЗДНЫЙ"</t>
  </si>
  <si>
    <t>"ЗВЕЗДНЫЙ"</t>
  </si>
  <si>
    <t>5032232331</t>
  </si>
  <si>
    <t>ТУЛЬСКАЯ ОБЛ.,ТЕПЛО-ОГАРЕВСКИЙ Р-Н,П СЕВЕРНЫЙ</t>
  </si>
  <si>
    <t>Шевелев Александр Сергеевич</t>
  </si>
  <si>
    <t>58.638033,59.796474</t>
  </si>
  <si>
    <t>ОБЩЕСТВО С ОГРАНИЧЕННОЙ ОТВЕТСТВЕННОСТЬЮ "ПРОИЗВОДСТВЕННАЯ КОМПАНИЯ "НОВЫЙ ГОРОД"</t>
  </si>
  <si>
    <t>"ПРОИЗВОДСТВЕННАЯ КОМПАНИЯ "НОВЫЙ ГОРОД"</t>
  </si>
  <si>
    <t>2805004435</t>
  </si>
  <si>
    <t>АМУРСКАЯ ОБЛ.,Г ЗЕЯ,МКР СВЕТЛЫЙ, Д 33, К 88</t>
  </si>
  <si>
    <t>Бараков Дмитрий Николаевич</t>
  </si>
  <si>
    <t>+7 (963) 801-03-08'</t>
  </si>
  <si>
    <t>59.834406,30.347112</t>
  </si>
  <si>
    <t>ОБЩЕСТВО С ОГРАНИЧЕННОЙ ОТВЕТСТВЕННОСТЬЮ "2000"</t>
  </si>
  <si>
    <t>"2000"</t>
  </si>
  <si>
    <t>0269015885</t>
  </si>
  <si>
    <t>РЕСПУБЛИКА БАШКОРТОСТАН,Г ТУЙМАЗЫ,УЛ СИТДИКОВА,8А</t>
  </si>
  <si>
    <t>Фаррахов Фанур Ангамович</t>
  </si>
  <si>
    <t>56.790866,59.909383</t>
  </si>
  <si>
    <t>ОБЩЕСТВО С ОГРАНИЧЕННОЙ ОТВЕТСТВЕННОСТЬЮ "ЭЛИТКОМСТРОЙ"</t>
  </si>
  <si>
    <t>"ЭЛИТКОМСТРОЙ"</t>
  </si>
  <si>
    <t>1102040244</t>
  </si>
  <si>
    <t>http://elitcomstroy.ru</t>
  </si>
  <si>
    <t>РЕСПУБЛИКА КОМИ,Г УХТА,УЛ ОЗЕРНАЯ, Д 3</t>
  </si>
  <si>
    <t>Николаева Татьяна Александровна</t>
  </si>
  <si>
    <t>57.918989,59.911674</t>
  </si>
  <si>
    <t>ОБЩЕСТВО С ОГРАНИЧЕННОЙ ОТВЕТСТВЕННОСТЬЮ "КОПЕЙСКИЙ ЗАВОД СТРОИТЕЛЬНЫХ МАТЕРИАЛОВ"</t>
  </si>
  <si>
    <t>"КОПЕЙСКИЙ ЗАВОД СТРОИТЕЛЬНЫХ МАТЕРИАЛОВ"</t>
  </si>
  <si>
    <t>7453276916</t>
  </si>
  <si>
    <t>ЧЕЛЯБИНСКАЯ ОБЛ.,НАГАЙБАКСКИЙ Р-Н,П АРСИНСКИЙ</t>
  </si>
  <si>
    <t>Заварухина Евгения Юрьевна</t>
  </si>
  <si>
    <t>+7 (919) 311-31-13', '+7 (951) 434-15-43'</t>
  </si>
  <si>
    <t>56.808649,59.912698</t>
  </si>
  <si>
    <t>ОБЩЕСТВО С ОГРАНИЧЕННОЙ ОТВЕТСТВЕННОСТЬЮ "УРАЛБЛОК18"</t>
  </si>
  <si>
    <t>"УРАЛБЛОК18"</t>
  </si>
  <si>
    <t>1838014483</t>
  </si>
  <si>
    <t>427961, УДМУРТСКАЯ РЕСПУБЛИКА, ГОРОД САРАПУЛ, УЛИЦА МОЛОДЕЖНАЯ, 5 Б</t>
  </si>
  <si>
    <t>Смагин Сергей Анатольевич</t>
  </si>
  <si>
    <t>+7 (912) 749-68-06'</t>
  </si>
  <si>
    <t>bloki18@mail.ru'</t>
  </si>
  <si>
    <t>57.917727,59.915626</t>
  </si>
  <si>
    <t>1827014717</t>
  </si>
  <si>
    <t>УДМУРТСКАЯ РЕСПУБЛИКА,Г САРАПУЛ,УЛ ТРАНСПОРТНАЯ,2</t>
  </si>
  <si>
    <t>Карпов Виктор Викторович</t>
  </si>
  <si>
    <t>57.866473,59.935183</t>
  </si>
  <si>
    <t>ОБЩЕСТВО С ОГРАНИЧЕННОЙ ОТВЕТСТВЕННОСТЬЮ "Ухтинский завод железобетонных изделий"</t>
  </si>
  <si>
    <t>"Ухтинский завод железобетонных изделий"</t>
  </si>
  <si>
    <t>1102070087</t>
  </si>
  <si>
    <t>169306, Республика Коми, г Ухта, ул Дежнева, д 31а,..</t>
  </si>
  <si>
    <t>Шерифов Исламудин Агарагимович</t>
  </si>
  <si>
    <t>57.866981,59.943932</t>
  </si>
  <si>
    <t>ОБЩЕСТВО С ОГРАНИЧЕННОЙ ОТВЕТСТВЕННОСТЬЮ "УДМУРТЖЕЛЕЗОБЕТОН"</t>
  </si>
  <si>
    <t>"УДМУРТЖЕЛЕЗОБЕТОН"</t>
  </si>
  <si>
    <t>1838024570</t>
  </si>
  <si>
    <t>427964, УДМУРТСКАЯ РЕСПУБЛИКА, ГОРОД САРАПУЛ, ПРОЕЗД КРАСНЫЙ, ДОМ 3, КОРПУС 17, ОФИС 23</t>
  </si>
  <si>
    <t>Дементьев Евгений Петрович</t>
  </si>
  <si>
    <t>ОБЩЕСТВО С ОГРАНИЧЕННОЙ ОТВЕТСТВЕННОСТЬЮ "ИНВЕСТИЦИОННАЯ КОМПАНИЯ "СТРОЙДОМ19"</t>
  </si>
  <si>
    <t>"ИНВЕСТИЦИОННАЯ КОМПАНИЯ "СТРОЙДОМ19"</t>
  </si>
  <si>
    <t>1903009616</t>
  </si>
  <si>
    <t>19-Республика Хакасия</t>
  </si>
  <si>
    <t>РЕСПУБЛИКА ХАКАСИЯ,Г ЧЕРНОГОРСК,УЛ КОСМОНАВТОВ Д 39 и 156Н</t>
  </si>
  <si>
    <t>Голощапова Татьяна Васильевна</t>
  </si>
  <si>
    <t>+7 (902) 996-20-85'</t>
  </si>
  <si>
    <t>57.925957,59.949502</t>
  </si>
  <si>
    <t>ОБЩЕСТВО С ОГРАНИЧЕННОЙ ОТВЕТСТВЕННОСТЬЮ "СКОПИНСКИЙ КОМБИНАТ СТРОИТЕЛЬНЫХ МАТЕРИАЛОВ"</t>
  </si>
  <si>
    <t>"СКОПИНСКИЙ КОМБИНАТ СТРОИТЕЛЬНЫХ МАТЕРИАЛОВ"</t>
  </si>
  <si>
    <t>6219005628</t>
  </si>
  <si>
    <t>РЯЗАНСКАЯ ОБЛ.,Г СКОПИН,УЛ ЗАВОДСКАЯ, Д 20</t>
  </si>
  <si>
    <t>Сафошкин Сергей Евгеньевич</t>
  </si>
  <si>
    <t>57.875797,59.955583</t>
  </si>
  <si>
    <t>ОБЩЕСТВО С ОГРАНИЧЕННОЙ ОТВЕТСТВЕННОСТЬЮ "МАСТЕР"</t>
  </si>
  <si>
    <t>"МАСТЕР"</t>
  </si>
  <si>
    <t>5005062088</t>
  </si>
  <si>
    <t>КЕМЕРОВСКАЯ ОБЛ.,Г ПРОКОПЬЕВСК,УЛ 2-Я ПЯТИЛЕТКА,Д 22</t>
  </si>
  <si>
    <t>Мельник Андрей Алексеевич</t>
  </si>
  <si>
    <t>56.912552,59.962626</t>
  </si>
  <si>
    <t>ОБЩЕСТВО С ОГРАНИЧЕННОЙ ОТВЕТСТВЕННОСТЬЮ "БЕТОНСИТИ"</t>
  </si>
  <si>
    <t>"БЕТОНСИТИ"</t>
  </si>
  <si>
    <t>7447238430</t>
  </si>
  <si>
    <t>ЧЕЛЯБИНСКАЯ ОБЛ.,ВЕРХНЕУРАЛЬСКИЙ Р-Н,П КРАСНИНСКИЙ,УЛ ГАГАРИНА, Д 3,..</t>
  </si>
  <si>
    <t>Шерстнев Максим Александрович</t>
  </si>
  <si>
    <t>+7 (963) 090-30-03'</t>
  </si>
  <si>
    <t>57.88955,59.974008</t>
  </si>
  <si>
    <t>ОБЩЕСТВО С ОГРАНИЧЕННОЙ ОТВЕТСТВЕННОСТЬЮ "АГИДЕЛЬСКИЙ ТЕПЛОБЛОК"</t>
  </si>
  <si>
    <t>"АГИДЕЛЬСКИЙ ТЕПЛОБЛОК"</t>
  </si>
  <si>
    <t>0253020030</t>
  </si>
  <si>
    <t>452920, БАШКОРТОСТАН РЕСП., Г. Агидель, УЛ. МИРА, Д. 9,..</t>
  </si>
  <si>
    <t>Минигалеева Айгуль Фидаилевна</t>
  </si>
  <si>
    <t>AIGYLKA@MAIL.RU'</t>
  </si>
  <si>
    <t>57.915542,59.97832</t>
  </si>
  <si>
    <t>ОБЩЕСТВО С ОГРАНИЧЕННОЙ ОТВЕТСТВЕННОСТЬЮ "СПК СТРОЙДОМ"</t>
  </si>
  <si>
    <t>"СПК СТРОЙДОМ"</t>
  </si>
  <si>
    <t>0207007972</t>
  </si>
  <si>
    <t>452673, Республика Башкортостан, БАКАЛИНСКИЙ, 2 СТАРОМАТИНСКИЙ СЕЛЬСОВЕТ, С СТАРЫЕ МАТЫ, УЛ ОКТЯБРЬСКАЯ, Д. 1</t>
  </si>
  <si>
    <t>Габсатаров Денис Юрьевич</t>
  </si>
  <si>
    <t>OFFICE@MAIL.RU'</t>
  </si>
  <si>
    <t>54.923647,59.997957</t>
  </si>
  <si>
    <t>ОБЩЕСТВО С ОГРАНИЧЕННОЙ ОТВЕТСТВЕННОСТЬЮ "ЕЙСК - ГИПС"</t>
  </si>
  <si>
    <t>"ЕЙСК - ГИПС"</t>
  </si>
  <si>
    <t>2361008386</t>
  </si>
  <si>
    <t>КРАСНОДАРСКИЙ КРАЙ,КАЛИНИНСКИЙ Р-Н,Х ГРЕКИ,УЛ СВЕТЛАЯ, Д 38</t>
  </si>
  <si>
    <t>Маркин Владлен Викторович</t>
  </si>
  <si>
    <t>+7 (988) 604-54-95'</t>
  </si>
  <si>
    <t>57.903717,60.013102</t>
  </si>
  <si>
    <t>1804009206</t>
  </si>
  <si>
    <t>427411, УДМУРТСКАЯ РЕСПУБЛИКА, Р-Н ВОТКИНСКИЙ, Д КВАРСА, ПЕР. ВОКЗАЛЬНЫЙ, Д.9 А</t>
  </si>
  <si>
    <t>Шарнин Александр Сергеевич</t>
  </si>
  <si>
    <t>+7 (909) 060-30-60'</t>
  </si>
  <si>
    <t>57.24611,60.053715</t>
  </si>
  <si>
    <t>ОБЩЕСТВО С ОГРАНИЧЕННОЙ ОТВЕТСТВЕННОСТЬЮ "ВОТКИНСКИЙ БЕТОННЫЙ ЗАВОД"</t>
  </si>
  <si>
    <t>"ВОТКИНСКИЙ БЕТОННЫЙ ЗАВОД"</t>
  </si>
  <si>
    <t>1828029970</t>
  </si>
  <si>
    <t>427430, УДМУРТСКАЯ РЕСПУБЛИКА, Г ВОТКИНСК, УЛ ПРОЛЕТАРСКАЯ,6 А ЛИТЕР Б1 ОФИС 304</t>
  </si>
  <si>
    <t>Дектерев Роман Сергеевич</t>
  </si>
  <si>
    <t>+7 (912) 742-08-96'</t>
  </si>
  <si>
    <t>57.93066,60.058755</t>
  </si>
  <si>
    <t>ОБЩЕСТВО С ОГРАНИЧЕННОЙ ОТВЕТСТВЕННОСТЬЮ "КВАРСИНСКИЙ ЗАВОД БЕТОННЫХ ИЗДЕЛИЙ"</t>
  </si>
  <si>
    <t>"КВАРСИНСКИЙ ЗАВОД БЕТОННЫХ ИЗДЕЛИЙ"</t>
  </si>
  <si>
    <t>1828032638</t>
  </si>
  <si>
    <t>427433, УДМУРТСКАЯ РЕСП., Г. Воткинск, УЛ. ДЗЕРЖИНСКОГО, Д. 9, ОФИС 38</t>
  </si>
  <si>
    <t>Пермяков Степан Александрович</t>
  </si>
  <si>
    <t>57.927664,60.062914</t>
  </si>
  <si>
    <t>ОБЩЕСТВО С ОГРАНИЧЕННОЙ ОТВЕТСТВЕННОСТЬЮ '' СТРОЙИНВЕСТ ''</t>
  </si>
  <si>
    <t>' СТРОЙИНВЕСТ ''</t>
  </si>
  <si>
    <t>7114008415</t>
  </si>
  <si>
    <t>ТУЛЬСКАЯ ОБЛ.,Г ДОНСКОЙ,МИКРОР-Н НОВОУГОЛЬНЫЙ УЛ ИНДУСТРИАЛЬНАЯ Д 12</t>
  </si>
  <si>
    <t>Керер Борис Борисович</t>
  </si>
  <si>
    <t>+7 (910) 311-46-78'</t>
  </si>
  <si>
    <t>57.272519,60.072706</t>
  </si>
  <si>
    <t>ОБЩЕСТВО С ОГРАНИЧЕННОЙ ОТВЕТСТВЕННОСТЬЮ "МОНОЛИТ И К°"</t>
  </si>
  <si>
    <t>"МОНОЛИТ И К°"</t>
  </si>
  <si>
    <t>7117012120</t>
  </si>
  <si>
    <t>http://monolit-i-k.ru</t>
  </si>
  <si>
    <t>ТУЛЬСКАЯ ОБЛ.,Г УЗЛОВАЯ,РП БРУСЯНСКИЙ</t>
  </si>
  <si>
    <t>Прудских Вячеслав Владимирович</t>
  </si>
  <si>
    <t>k@mail.ru'</t>
  </si>
  <si>
    <t>54.923321,60.081599</t>
  </si>
  <si>
    <t>1828027941</t>
  </si>
  <si>
    <t>427440, УДМУРТСКАЯ РЕСП, г Воткинск, ул 1 Мая,2 А</t>
  </si>
  <si>
    <t>Букреева Ольга Александровна</t>
  </si>
  <si>
    <t>+7 (912) 745-57-74', '+7 (912) 745-57-74'</t>
  </si>
  <si>
    <t>57.437894,60.091094</t>
  </si>
  <si>
    <t>ОБЩЕСТВО С ОГРАНИЧЕННОЙ ОТВЕТСТВЕННОСТЬЮ "НИКА-Н"</t>
  </si>
  <si>
    <t>"НИКА-Н"</t>
  </si>
  <si>
    <t>7116133362</t>
  </si>
  <si>
    <t>ТУЛЬСКАЯ ОБЛ.,Г НОВОМОСКОВСК,УЛ КУКУНИНА Д 11-А</t>
  </si>
  <si>
    <t>Никушина Анна Михайловна</t>
  </si>
  <si>
    <t>+7 (910) 552-86-05'</t>
  </si>
  <si>
    <t>57.915953,60.094966</t>
  </si>
  <si>
    <t>ОБЩЕСТВО С ОГРАНИЧЕННОЙ ОТВЕТСТВЕННОСТЬЮ "ПЕРВОМАЙСКИЙ ЗАВОД ЖЕЛЕЗОБЕТОННЫХ ИЗДЕЛИЙ"</t>
  </si>
  <si>
    <t>"ПЕРВОМАЙСКИЙ ЗАВОД ЖЕЛЕЗОБЕТОННЫХ ИЗДЕЛИЙ"</t>
  </si>
  <si>
    <t>7104524957</t>
  </si>
  <si>
    <t>ТУЛЬСКАЯ ОБЛ.,Г НОВОМОСКОВСК,УЛ БЕРЕЖНОГО Д 1</t>
  </si>
  <si>
    <t>Лисицын Алексей Сергеевич</t>
  </si>
  <si>
    <t>55.044846,60.09555</t>
  </si>
  <si>
    <t>ОБЩЕСТВО С ОГРАНИЧЕННОЙ ОТВЕТСТВЕННОСТЬЮ "МАГНУМ СТРОЙ"</t>
  </si>
  <si>
    <t>"МАГНУМ СТРОЙ"</t>
  </si>
  <si>
    <t>1840039083</t>
  </si>
  <si>
    <t>УДМУРТСКАЯ РЕСПУБЛИКА,Г ВОТКИНСК,УЛ ПОДЛЕСНАЯ,2-А</t>
  </si>
  <si>
    <t>Останин Павел Викторович</t>
  </si>
  <si>
    <t>+7 (912) 874-69-11'</t>
  </si>
  <si>
    <t>55.073778,60.09731</t>
  </si>
  <si>
    <t>ОТКРЫТОЕ АКЦИОНЕРНОЕ ОБЩЕСТВО "Камский завод железобетонных изделий"</t>
  </si>
  <si>
    <t>ОТКРЫТОЕ "Камский завод железобетонных изделий"</t>
  </si>
  <si>
    <t>1828023739</t>
  </si>
  <si>
    <t>427413, УДМУРТСКАЯ РЕСПУБЛИКА, РАЙОН ВОТКИНСКИЙ, ПОСЕЛОК НОВЫЙ, УЛИЦА ПОСТРОЕЧНАЯ, 5</t>
  </si>
  <si>
    <t>Стрельник Максим Витальевич</t>
  </si>
  <si>
    <t>pikdarja@yandex.ru'</t>
  </si>
  <si>
    <t>55.039827,60.113938</t>
  </si>
  <si>
    <t>ОБЩЕСТВО С ОГРАНИЧЕННОЙ ОТВЕТСТВЕННОСТЬЮ "КОМБИНАТ ПРОИЗВОДСТВЕННЫХ ПРЕДПРИЯТИЙ"</t>
  </si>
  <si>
    <t>"КОМБИНАТ ПРОИЗВОДСТВЕННЫХ ПРЕДПРИЯТИЙ"</t>
  </si>
  <si>
    <t>7418012484</t>
  </si>
  <si>
    <t>ЧЕЛЯБИНСКАЯ ОБЛ.,Г ТРОИЦК,УЛ ЭНЕРГЕТИКОВ, Д 1-А</t>
  </si>
  <si>
    <t>Балашов Павел Викторович</t>
  </si>
  <si>
    <t>+7 (912) 322-96-38'</t>
  </si>
  <si>
    <t>55.133076,60.147688</t>
  </si>
  <si>
    <t>ОБЩЕСТВО С ОГРАНИЧЕННОЙ ОТВЕТСТВЕННОСТЬЮ БЕЛЕБЕЕВСКИЙ ЗАВОД "ЖЕЛЕЗОБЕТОН-СТРОНЕГ"</t>
  </si>
  <si>
    <t>БЕЛЕБЕЕВСКИЙ ЗАВОД "ЖЕЛЕЗОБЕТОН-СТРОНЕГ"</t>
  </si>
  <si>
    <t>0255008662</t>
  </si>
  <si>
    <t>http://beton02.ru</t>
  </si>
  <si>
    <t>РЕСПУБЛИКА БАШКОРТОСТАН,Г БЕЛЕБЕЙ,УЛ СТРОИТЕЛЬНАЯ,1</t>
  </si>
  <si>
    <t>Абузов Юрий Гаврилович</t>
  </si>
  <si>
    <t>+7 (937) 315-93-20'</t>
  </si>
  <si>
    <t>belebeigbi@yandex.ru'</t>
  </si>
  <si>
    <t>60.164271,66.040607</t>
  </si>
  <si>
    <t>АКЦИОНЕРНОЕ ОБЩЕСТВО "ПЕРВОМАЙСКИЙ ЗАВОД ЖЕЛЕЗОБЕТОННЫХ ИЗДЕЛИЙ"</t>
  </si>
  <si>
    <t>7116003892</t>
  </si>
  <si>
    <t>ТУЛЬСКАЯ ОБЛ.,Г НОВОМОСКОВСК,П ПЕРВОМАЙСКИЙ,3,ШОССЕ КОМСОМОЛЬСКОЕ Д 68</t>
  </si>
  <si>
    <t>Анисимов Алексей Вячеславович</t>
  </si>
  <si>
    <t>info@pgbinmsk.ru'</t>
  </si>
  <si>
    <t>56.71793,60.273713</t>
  </si>
  <si>
    <t>1308082086</t>
  </si>
  <si>
    <t>РЕСПУБЛИКА МОРДОВИЯ,РП ЗУБОВА ПОЛЯНА,УЛ ШЕЛЬТЯЕВА, Д 6-А</t>
  </si>
  <si>
    <t>Алаев Юрий Федорович</t>
  </si>
  <si>
    <t>+7 (927) 180-04-00'</t>
  </si>
  <si>
    <t>56.642609,60.390107</t>
  </si>
  <si>
    <t>ОБЩЕСТВО С ОГРАНИЧЕННОЙ ОТВЕТСТВЕННОСТЬЮ "ЛИБОАРД"</t>
  </si>
  <si>
    <t>"ЛИБОАРД"</t>
  </si>
  <si>
    <t>0255023685</t>
  </si>
  <si>
    <t>452005, Республика Башкортостан, муниципальный район БЕЛЕБЕЕВСКИЙ, Город БЕЛЕБЕЙ, городское поселение ГОРОД БЕЛЕБЕЙ, УЛ ВОЙКОВА, Д. 146, ОФИС 7</t>
  </si>
  <si>
    <t>Багаутдинов Султан Багаутдинович</t>
  </si>
  <si>
    <t>LIBOARD@MAIL.RU'</t>
  </si>
  <si>
    <t>56.996475,60.463455</t>
  </si>
  <si>
    <t>ОБЩЕСТВО С ОГРАНИЧЕННОЙ ОТВЕТСТВЕННОСТЬЮ "ИНДУСТРИАЛЬНЫЕ СИСТЕМЫ ВОДООТВОДА СТАНДАРТПАРК"</t>
  </si>
  <si>
    <t>"ИНДУСТРИАЛЬНЫЕ СИСТЕМЫ ВОДООТВОДА СТАНДАРТПАРК"</t>
  </si>
  <si>
    <t>7105032235</t>
  </si>
  <si>
    <t>Г ТУЛА,УЛ МАРАТА Д 47-Б</t>
  </si>
  <si>
    <t>Седова Елена Анатольевна</t>
  </si>
  <si>
    <t>56.995862,60.464632</t>
  </si>
  <si>
    <t>ОБЩЕСТВО С ОГРАНИЧЕННОЙ ОТВЕТСТВЕННОСТЬЮ "ЖЕЛЕЗОБЕТОН 1"</t>
  </si>
  <si>
    <t>"ЖЕЛЕЗОБЕТОН 1"</t>
  </si>
  <si>
    <t>0255023318</t>
  </si>
  <si>
    <t>452002, БАШКОРТОСТАН РЕСП., Белебеевский Р-Н, Г. Белебей, УЛ. СТРОИТЕЛЬНАЯ, Д. 1, ПОМЕЩ. 5</t>
  </si>
  <si>
    <t>Ромакина Оксана Александровна</t>
  </si>
  <si>
    <t>56.886145,60.495659</t>
  </si>
  <si>
    <t>ОБЩЕСТВО С ОГРАНИЧЕННОЙ ОТВЕТСТВЕННОСТЬЮ "СТРОЙСНАБМАСТЕР"</t>
  </si>
  <si>
    <t>"СТРОЙСНАБМАСТЕР"</t>
  </si>
  <si>
    <t>0255021328</t>
  </si>
  <si>
    <t>452001, БАШКОРТОСТАН РЕСПУБЛИКА, Р-Н БЕЛЕБЕЕВСКИЙ, Г. БЕЛЕБЕЙ, УЛ. ПОДЛЕСНАЯ, Д. 17</t>
  </si>
  <si>
    <t>Миронова Алена Анатольевна</t>
  </si>
  <si>
    <t>56.914355,60.497528</t>
  </si>
  <si>
    <t>7321003454</t>
  </si>
  <si>
    <t>УЛЬЯНОВСКАЯ ОБЛ.,Г НОВОУЛЬЯНОВСК,ПРОМПЛОЩАДКА ООО "УЛЬЯНОВСКШИФЕР"</t>
  </si>
  <si>
    <t>Павлюков Дмитрий Александрович</t>
  </si>
  <si>
    <t>56.796851,60.498265</t>
  </si>
  <si>
    <t>ОБЩЕСТВО С ОГРАНИЧЕННОЙ ОТВЕТСТВЕННОСТЬЮ "НОВОУЛЬЯНОВСКИЙ ЗАВОД ЖБИ"</t>
  </si>
  <si>
    <t>"НОВОУЛЬЯНОВСКИЙ ЗАВОД ЖБИ"</t>
  </si>
  <si>
    <t>7321319480</t>
  </si>
  <si>
    <t>УЛЬЯНОВСКАЯ ОБЛ.,Г НОВОУЛЬЯНОВСК,ПРОМПЛОЩАДКА</t>
  </si>
  <si>
    <t>Рушкин Дмитрий Анатольевич</t>
  </si>
  <si>
    <t>+7 (842) 221-43-39'</t>
  </si>
  <si>
    <t>info@novoulgbi.ru'</t>
  </si>
  <si>
    <t>56.882658,60.506664</t>
  </si>
  <si>
    <t>АКЦИОНЕРНОЕ ОБЩЕСТВО "ПЕРСПЕКТИВА"</t>
  </si>
  <si>
    <t>7104008046</t>
  </si>
  <si>
    <t>Г ТУЛА,П ЛИХВИНКА,УЛ 9 МАЯ Д 1</t>
  </si>
  <si>
    <t>Лежебоков Александр Васильевич</t>
  </si>
  <si>
    <t>+7 (087) 231-14-55'</t>
  </si>
  <si>
    <t>56.871827,60.513437</t>
  </si>
  <si>
    <t>ОБЩЕСТВО С ОГРАНИЧЕННОЙ ОТВЕТСТВЕННОСТЬЮ "СТРОЙОСНОВА"</t>
  </si>
  <si>
    <t>"СТРОЙОСНОВА"</t>
  </si>
  <si>
    <t>7107101572</t>
  </si>
  <si>
    <t>Г ТУЛА,УЛ ЖАВОРОНКОВА Д 1 ОФИС 322</t>
  </si>
  <si>
    <t>Лушкин Сергей Иванович</t>
  </si>
  <si>
    <t>56.87593,60.518629</t>
  </si>
  <si>
    <t>ОБЩЕСТВО С ОГРАНИЧЕННОЙ ОТВЕТСТВЕННОСТЬЮ ПРОИЗВОДСТВЕННО-КОММЕРЧЕСКАЯ ФИРМА "РУДАКОВСКИЙ ЗАВОД ЖЕЛЕЗОБЕТОННЫХ ИЗДЕЛИЙ"</t>
  </si>
  <si>
    <t>ПРОИЗВОДСТВЕННО-КОММЕРЧЕСКАЯ ФИРМА "РУДАКОВСКИЙ ЗАВОД ЖЕЛЕЗОБЕТОННЫХ ИЗДЕЛИЙ"</t>
  </si>
  <si>
    <t>7107549660</t>
  </si>
  <si>
    <t>Г ТУЛА,УЛ СВОБОДЫ Д 37 КОРП 3</t>
  </si>
  <si>
    <t>Оленников Егор Владимирович</t>
  </si>
  <si>
    <t>+7 (920) 771-80-08'</t>
  </si>
  <si>
    <t>56.863257,60.524235</t>
  </si>
  <si>
    <t>ОБЩЕСТВО С ОГРАНИЧЕННОЙ ОТВЕТСТВЕННОСТЬЮ "Пачелмский завод железобетонных изделий"</t>
  </si>
  <si>
    <t>"Пачелмский завод железобетонных изделий"</t>
  </si>
  <si>
    <t>1328010072</t>
  </si>
  <si>
    <t>Г САРАНСК,УЛ СТ РАЗИНА Д 19 КОМН 306</t>
  </si>
  <si>
    <t>Логинов Дмитрий Викторович</t>
  </si>
  <si>
    <t>+7 (927) 170-03-37'</t>
  </si>
  <si>
    <t>56.871857,60.527325</t>
  </si>
  <si>
    <t>АКЦИОНЕРНОЕ ОБЩЕСТВО "ЗАВОД ЖБК-1"</t>
  </si>
  <si>
    <t>"ЗАВОД ЖБК-1"</t>
  </si>
  <si>
    <t>1327034610</t>
  </si>
  <si>
    <t>Г САРАНСК,УЛ ТИТОВА, Д 4</t>
  </si>
  <si>
    <t>Карманов Владимир Александрович</t>
  </si>
  <si>
    <t>zbkbuh@moris.ru'</t>
  </si>
  <si>
    <t>56.788135,60.531601</t>
  </si>
  <si>
    <t>АКЦИОНЕРНОЕ ОБЩЕСТВО "ЭЙДОС"</t>
  </si>
  <si>
    <t>"ЭЙДОС"</t>
  </si>
  <si>
    <t>7106038769</t>
  </si>
  <si>
    <t>http://eydos.ru</t>
  </si>
  <si>
    <t>Г ТУЛА,УЛ СОЙФЕРА Д 18</t>
  </si>
  <si>
    <t>Вердиян Ануш Лаврентовна</t>
  </si>
  <si>
    <t>+7 (903) 840-37-48'</t>
  </si>
  <si>
    <t>56.819897,60.5423</t>
  </si>
  <si>
    <t>ОБЩЕСТВО С ОГРАНИЧЕННОЙ ОТВЕТСТВЕННОСТЬЮ ПРОИЗВОДСТВЕННАЯ ФИРМА "МАГИСТР"</t>
  </si>
  <si>
    <t>ПРОИЗВОДСТВЕННАЯ ФИРМА "МАГИСТР"</t>
  </si>
  <si>
    <t>1326032120</t>
  </si>
  <si>
    <t>Г САРАНСК,УЛ ЛИХАЧЕВА, Д 35 Б</t>
  </si>
  <si>
    <t>Маркин Юрий Павлович</t>
  </si>
  <si>
    <t>+7 (909) 328-36-12'</t>
  </si>
  <si>
    <t>56.83909,60.545282</t>
  </si>
  <si>
    <t>ОБЩЕСТВО С ОГРАНИЧЕННОЙ ОТВЕТСТВЕННОСТЬЮ "ТУЛЬСКОЕ ОПТОВОЕ СБЫТОВОЕ ПРЕДПРИЯТИЕ"</t>
  </si>
  <si>
    <t>"ТУЛЬСКОЕ ОПТОВОЕ СБЫТОВОЕ ПРЕДПРИЯТИЕ"</t>
  </si>
  <si>
    <t>7103036442</t>
  </si>
  <si>
    <t>Г ТУЛА,УЛ СЫЗРАНСКАЯ Д 10</t>
  </si>
  <si>
    <t>Григорян Валтер Юрьевич</t>
  </si>
  <si>
    <t>AYDOS@MAIL.RU', 'buhaydos@mail.ru', '7103036442_710301001@eo.tensor'</t>
  </si>
  <si>
    <t>56.837888,60.549172</t>
  </si>
  <si>
    <t>ОБЩЕСТВО С ОГРАНИЧЕННОЙ ОТВЕТСТВЕННОСТЬЮ "АК-ТАШ"</t>
  </si>
  <si>
    <t>"АК-ТАШ"</t>
  </si>
  <si>
    <t>0225010791</t>
  </si>
  <si>
    <t>452285, БАШКОРТОСТАН РЕСП., Р-Н Илишевский, С. Старокуктово, УЛ. КАРАКАЙ, ЗД. 31</t>
  </si>
  <si>
    <t>Марваров Фидарис Флунович</t>
  </si>
  <si>
    <t>56.802928,60.551696</t>
  </si>
  <si>
    <t>1327016314</t>
  </si>
  <si>
    <t>Г САРАНСК,УЛ 2-АЯ ПРОМЫШЛЕННАЯ, Д 5</t>
  </si>
  <si>
    <t>Радаев Анатолий Викторович</t>
  </si>
  <si>
    <t>56.976029,60.552451</t>
  </si>
  <si>
    <t>ОБЩЕСТВО С ОГРАНИЧЕННОЙ ОТВЕТСТВЕННОСТЬЮ "СТРОЙИНВЕСТПРОМ"</t>
  </si>
  <si>
    <t>"СТРОЙИНВЕСТПРОМ"</t>
  </si>
  <si>
    <t>0264058155</t>
  </si>
  <si>
    <t>452685, БАШКОРТОСТАН РЕСПУБЛИКА, ГОРОД НЕФТЕКАМСК, УЛИЦА СОЦИАЛИСТИЧЕСКАЯ, ДОМ 54,..</t>
  </si>
  <si>
    <t>Муниров Венер Фирдависович</t>
  </si>
  <si>
    <t>56.813532,60.556053</t>
  </si>
  <si>
    <t>ОБЩЕСТВО С ОГРАНИЧЕННОЙ ОТВЕТСТВЕННОСТЬЮ "СТАНДАРТБЛОК"</t>
  </si>
  <si>
    <t>"СТАНДАРТБЛОК"</t>
  </si>
  <si>
    <t>0264068763</t>
  </si>
  <si>
    <t>452680, БАШКОРТОСТАН РЕСПУБЛИКА, Г. НЕФТЕКАМСК, УЛ. ДОРОЖНАЯ, Д. 53,..</t>
  </si>
  <si>
    <t>Нафиков Тимур Кадырович</t>
  </si>
  <si>
    <t>56.869215,60.556188</t>
  </si>
  <si>
    <t>ОБЩЕСТВО С ОГРАНИЧЕННОЙ ОТВЕТСТВЕННОСТЬЮ "НЕФТЕКАМСКИЙ ЗАВОД ЖЕЛЕЗОБЕТОННЫХ ИЗДЕЛИЙ"</t>
  </si>
  <si>
    <t>"НЕФТЕКАМСКИЙ ЗАВОД ЖЕЛЕЗОБЕТОННЫХ ИЗДЕЛИЙ"</t>
  </si>
  <si>
    <t>0264073717</t>
  </si>
  <si>
    <t>452680, БАШКОРТОСТАН РЕСПУБЛИКА, Г. НЕФТЕКАМСК, УЛ. АВТОЗАВОДСКАЯ, Д. 2</t>
  </si>
  <si>
    <t>Ахмеров Ильдар Римович</t>
  </si>
  <si>
    <t>+7 (987) 137-34-57'</t>
  </si>
  <si>
    <t>56.827823,60.556889</t>
  </si>
  <si>
    <t>ОБЩЕСТВО С ОГРАНИЧЕННОЙ ОТВЕТСТВЕННОСТЬЮ "ТОРГОВЫЙ ДОМ "НЕФТЕКАМСКСТРОЙ"</t>
  </si>
  <si>
    <t>""НЕФТЕКАМСКСТРОЙ"</t>
  </si>
  <si>
    <t>0264076500</t>
  </si>
  <si>
    <t>452680, БАШКОРТОСТАН РЕСПУБЛИКА, ГОРОД НЕФТЕКАМСК, УЛИЦА АВТОЗАВОДСКАЯ, ДОМ 1, СТРОЕНИЕ 5/5, ОФИС 2.2</t>
  </si>
  <si>
    <t>Амиров Ратмир Марсельевич</t>
  </si>
  <si>
    <t>+7 (919) 616-52-32'</t>
  </si>
  <si>
    <t>buh26638@mail.ru', 'cmk100@mail.ru'</t>
  </si>
  <si>
    <t>56.835106,60.558443</t>
  </si>
  <si>
    <t>ОБЩЕСТВО С ОГРАНИЧЕННОЙ ОТВЕТСТВЕННОСТЬЮ "РЕГИОН СТРОЙ"</t>
  </si>
  <si>
    <t>"РЕГИОН СТРОЙ"</t>
  </si>
  <si>
    <t>0264077366</t>
  </si>
  <si>
    <t>452680, БАШКОРТОСТАН РЕСПУБЛИКА, Г. НЕФТЕКАМСК, УЛ. КОЛЬЦЕВАЯ, Д. 22</t>
  </si>
  <si>
    <t>Кузнецова Ксения Владимировна</t>
  </si>
  <si>
    <t>56.84578,60.559862</t>
  </si>
  <si>
    <t>ОБЩЕСТВО С ОГРАНИЧЕННОЙ ОТВЕТСТВЕННОСТЬЮ " ВТИ-ШИЛОВО"</t>
  </si>
  <si>
    <t>" ВТИ-ШИЛОВО"</t>
  </si>
  <si>
    <t>6225000152</t>
  </si>
  <si>
    <t>РЯЗАНСКАЯ ОБЛ.,PП ШИЛОВО,УЛ РЯЗАНСКАЯ</t>
  </si>
  <si>
    <t>Борисова Тамара Ивановна</t>
  </si>
  <si>
    <t>56.836145,60.560697</t>
  </si>
  <si>
    <t>ПРОИЗВОДСТВЕННО-КОММЕРЧЕСКОЕ НЕПУБЛИЧНОЕ АКЦИОНЕРНОЕ ОБЩЕСТВО "ОПС-ШИЛОВО"</t>
  </si>
  <si>
    <t>ПРОИЗВОДСТВЕННО-КОММЕРЧЕСКОЕ НЕПУБЛИЧНОЕ "ОПС-ШИЛОВО"</t>
  </si>
  <si>
    <t>6225000603</t>
  </si>
  <si>
    <t>Чернышев Александр Вячеславович</t>
  </si>
  <si>
    <t>post@ops-shilovo'</t>
  </si>
  <si>
    <t>56.856491,60.565459</t>
  </si>
  <si>
    <t>7325069054</t>
  </si>
  <si>
    <t>Г УЛЬЯНОВСК,УЛ К МАРКСА, Д 50</t>
  </si>
  <si>
    <t>Уханов Андрей Иванович</t>
  </si>
  <si>
    <t>56.811635,60.565989</t>
  </si>
  <si>
    <t>0229010898</t>
  </si>
  <si>
    <t>РЕСПУБЛИКА БАШКОРТОСТАН,КАРМАСКАЛИНСКИЙ Р-Н,С КАРМАСКАЛЫ,УЛ КИРОВА,38</t>
  </si>
  <si>
    <t>Гайнитдинов Ильназ Халитович</t>
  </si>
  <si>
    <t>+7 (917) 770-88-19', '+7 (919) 324-76-89'</t>
  </si>
  <si>
    <t>56.853912,60.566105</t>
  </si>
  <si>
    <t>ОБЩЕСТВО С ОГРАНИЧЕННОЙ ОТВЕТСТВЕННОСТЬЮ "ЗАВОД ВИБРОПРЕССОВАННЫХ СТРОИТЕЛЬНЫХ МАТЕРИАЛОВ"</t>
  </si>
  <si>
    <t>"ЗАВОД ВИБРОПРЕССОВАННЫХ СТРОИТЕЛЬНЫХ МАТЕРИАЛОВ"</t>
  </si>
  <si>
    <t>7328047475</t>
  </si>
  <si>
    <t>http://vsm73.ru</t>
  </si>
  <si>
    <t>Г УЛЬЯНОВСК,ПР ИНЖЕНЕРНЫЙ, Д 9</t>
  </si>
  <si>
    <t>56.834693,60.56951</t>
  </si>
  <si>
    <t>ОБЩЕСТВО С ОГРАНИЧЕННОЙ ОТВЕТСТВЕННОСТЬЮ "ДОРОЖНИК"</t>
  </si>
  <si>
    <t>"ДОРОЖНИК"</t>
  </si>
  <si>
    <t>7123011100</t>
  </si>
  <si>
    <t>ТУЛЬСКАЯ ОБЛ.,ВЕНЕВСКИЙ Р-Н,П МОРДВЕС,УЛ САДОВАЯ Д 75</t>
  </si>
  <si>
    <t>Хандий Виктор Петрович</t>
  </si>
  <si>
    <t>+7 (915) 455-15-06', '+7 (920) 742-89-88'</t>
  </si>
  <si>
    <t>3923001200</t>
  </si>
  <si>
    <t>КАЛИНИНГРАДСКАЯ ОБЛ.,Г ПРАВДИНСК,УЛ ТЕРРИТОРИЯ МПМК, 3</t>
  </si>
  <si>
    <t>Ахмиров Леонид Абузарович</t>
  </si>
  <si>
    <t>56.80727,60.574478</t>
  </si>
  <si>
    <t>ОБЩЕСТВО С ОГРАНИЧЕННОЙ ОТВЕТСТВЕННОСТЬЮ "СТРОЙТЕХСЕРВИС XXI"</t>
  </si>
  <si>
    <t>"СТРОЙТЕХСЕРВИС XXI"</t>
  </si>
  <si>
    <t>7111013671</t>
  </si>
  <si>
    <t>http://стройтехсервис21.рф</t>
  </si>
  <si>
    <t>ТУЛЬСКАЯ ОБЛ.,Г АЛЕКСИН,УЛ ПИОНЕРСКАЯ Д 39</t>
  </si>
  <si>
    <t>+7 (905) 116-75-85'</t>
  </si>
  <si>
    <t>56.81774,60.574792</t>
  </si>
  <si>
    <t>ОБЩЕСТВО С ОГРАНИЧЕННОЙ ОТВЕТСТВЕННОСТЬЮ "ЕВРОСТРОЙМАТЕРИАЛЫ"</t>
  </si>
  <si>
    <t>"ЕВРОСТРОЙМАТЕРИАЛЫ"</t>
  </si>
  <si>
    <t>7111026046</t>
  </si>
  <si>
    <t>ТУЛЬСКАЯ ОБЛ.,Г АЛЕКСИН,УЛ ПИОНЕРСКАЯ Д 39 ОФИС 1</t>
  </si>
  <si>
    <t>Бабкин Дмитрий Валерьевич</t>
  </si>
  <si>
    <t>56.811374,60.576032</t>
  </si>
  <si>
    <t>ОБЩЕСТВО С ОГРАНИЧЕННОЙ ОТВЕТСТВЕННОСТЬЮ "ЖЕЛЕЗОБЕТОН-СТРОНЕГ"</t>
  </si>
  <si>
    <t>"ЖЕЛЕЗОБЕТОН-СТРОНЕГ"</t>
  </si>
  <si>
    <t>0265023236</t>
  </si>
  <si>
    <t>РЕСПУБЛИКА БАШКОРТОСТАН,Г ОКТЯБРЬСКИЙ,УЛ СЕВЕРНАЯ,21</t>
  </si>
  <si>
    <t>Нургалеев Рамиль Нурлиманович</t>
  </si>
  <si>
    <t>+7 (927) 940-47-74', '+7 (927) 924-69-67'</t>
  </si>
  <si>
    <t>ojbz@mail.ru', 'olbz@mail.ru'</t>
  </si>
  <si>
    <t>56.81135,60.576059</t>
  </si>
  <si>
    <t>Общество с ограниченной ответственностью "СВАРОГ"</t>
  </si>
  <si>
    <t>4027078026</t>
  </si>
  <si>
    <t>Г КАЛУГА,ПЕР ВОСКРЕСЕНСКИЙ, Д 29</t>
  </si>
  <si>
    <t>Лайков Денис Леонидович</t>
  </si>
  <si>
    <t>+7 (906) 643-26-30'</t>
  </si>
  <si>
    <t>56.811162,60.577649</t>
  </si>
  <si>
    <t>4029015342</t>
  </si>
  <si>
    <t>Г КАЛУГА,УЛ КАРЛА ЛИБКНЕХТА Д 40</t>
  </si>
  <si>
    <t>Долгополова Алла Борисовна</t>
  </si>
  <si>
    <t>56.800286,60.580972</t>
  </si>
  <si>
    <t>АКЦИОНЕРНОЕ ОБЩЕСТВО "БУГУЛЬМИНСКИЙ ЗАВОД ЖЕЛЕЗОБЕТОННЫХ ИЗДЕЛИЙ"</t>
  </si>
  <si>
    <t>"БУГУЛЬМИНСКИЙ ЗАВОД ЖЕЛЕЗОБЕТОННЫХ ИЗДЕЛИЙ"</t>
  </si>
  <si>
    <t>1645000036</t>
  </si>
  <si>
    <t>http://bugulma-zjbi.ru</t>
  </si>
  <si>
    <t>РЕСПУБЛИКА ТАТАРСТАН (ТАТАРСТАН),Г БУГУЛЬМА,УЛ СТРОИТЕЛЬНАЯ Д 12</t>
  </si>
  <si>
    <t>Гайфуллин Ринат Мунавирович</t>
  </si>
  <si>
    <t>56.971864,60.581026</t>
  </si>
  <si>
    <t>ОБЩЕСТВО С ОГРАНИЧЕННОЙ ОТВЕТСТВЕННОСТЬЮ "СТРОМ ПЛЮС"</t>
  </si>
  <si>
    <t>"СТРОМ ПЛЮС"</t>
  </si>
  <si>
    <t>4028024753</t>
  </si>
  <si>
    <t>Г КАЛУГА,УЛ МОСКОВСКАЯ Д 288 А</t>
  </si>
  <si>
    <t>Гульнев Алексей Евгеньевич</t>
  </si>
  <si>
    <t>+7 (910) 706-21-71'</t>
  </si>
  <si>
    <t>56.796042,60.582643</t>
  </si>
  <si>
    <t>ОБЩЕСТВО С ОГРАНИЧЕННОЙ ОТВЕТСТВЕННОСТЬЮ "НАШ ДОМ"</t>
  </si>
  <si>
    <t>"НАШ ДОМ"</t>
  </si>
  <si>
    <t>0265023476</t>
  </si>
  <si>
    <t>РЕСПУБЛИКА БАШКОРТОСТАН,Г ОКТЯБРЬСКИЙ,УЛ ШКОЛЬНАЯ,1Б</t>
  </si>
  <si>
    <t>Надршин Данил Мидхатович</t>
  </si>
  <si>
    <t>+7 (927) 636-32-75'</t>
  </si>
  <si>
    <t>56.817075,60.584359</t>
  </si>
  <si>
    <t>ОБЩЕСТВО С ОГРАНИЧЕННОЙ ОТВЕТСТВЕННОСТЬЮ "СТРОЙМАТЕРИАЛЫ-СТРОНЕГ"</t>
  </si>
  <si>
    <t>"СТРОЙМАТЕРИАЛЫ-СТРОНЕГ"</t>
  </si>
  <si>
    <t>0265024783</t>
  </si>
  <si>
    <t>Кочкин Сергей Леонидович</t>
  </si>
  <si>
    <t>56.833476,60.586937</t>
  </si>
  <si>
    <t>ОБЩЕСТВО С ОГРАНИЧЕННОЙ ОТВЕТСТВЕННОСТЬЮ "ПЛИТКА НА ВЕКА"</t>
  </si>
  <si>
    <t>"ПЛИТКА НА ВЕКА"</t>
  </si>
  <si>
    <t>6215029755</t>
  </si>
  <si>
    <t>https://www.plitkanaveka.ru</t>
  </si>
  <si>
    <t>390525, РЯЗАНСКАЯ ОБЛ, ПОЛЯНЫ С, НОВАЯ УЛ, ДОМ 21, ПОМЕЩЕНИЕ Н3</t>
  </si>
  <si>
    <t>Кривонос Александра Петровна</t>
  </si>
  <si>
    <t>sale@plitkanaveka.ru'</t>
  </si>
  <si>
    <t>56.83197,60.587638</t>
  </si>
  <si>
    <t>0269013599</t>
  </si>
  <si>
    <t>http://gbi.perm.ru</t>
  </si>
  <si>
    <t>РЕСПУБЛИКА БАШКОРТОСТАН,Г ТУЙМАЗЫ,УЛ ЗАВОДСКАЯ,10</t>
  </si>
  <si>
    <t>Абулханов Тимур Талгатович</t>
  </si>
  <si>
    <t>Beton@ufamts.ru'</t>
  </si>
  <si>
    <t>56.831433,60.588716</t>
  </si>
  <si>
    <t>ОТКРЫТОЕ АКЦИОНЕРНОЕ ОБЩЕСТВО "ЛЕНИНОГОРСКИЙ ЗАВОД ЖЕЛЕЗОБЕТОННЫХ ИЗДЕЛИЙ"</t>
  </si>
  <si>
    <t>ОТКРЫТОЕ "ЛЕНИНОГОРСКИЙ ЗАВОД ЖЕЛЕЗОБЕТОННЫХ ИЗДЕЛИЙ"</t>
  </si>
  <si>
    <t>1649001376</t>
  </si>
  <si>
    <t>РЕСПУБЛИКА ТАТАРСТАН (ТАТАРСТАН),Г ЛЕНИНОГОРСК,УЛ БЕЛИНСКОГО Д 10</t>
  </si>
  <si>
    <t>Тришкин Александр Сергеевич</t>
  </si>
  <si>
    <t>mail@lenbeton116.ru'</t>
  </si>
  <si>
    <t>56.885274,60.588743</t>
  </si>
  <si>
    <t>ОБЩЕСТВО С ОГРАНИЧЕННОЙ ОТВЕТСТВЕННОСТЬЮ "МОРДОВЛЕСТОППРОМ"</t>
  </si>
  <si>
    <t>"МОРДОВЛЕСТОППРОМ"</t>
  </si>
  <si>
    <t>1303068909</t>
  </si>
  <si>
    <t>РЕСПУБЛИКА МОРДОВИЯ,РП АТЯШЕВО,УЛ РАБОЧАЯ, Д 1</t>
  </si>
  <si>
    <t>Ледяйкин Андрей Анатольевич</t>
  </si>
  <si>
    <t>+7 (927) 184-24-77', '+7 (927) 181-55-19'</t>
  </si>
  <si>
    <t>56.756651,60.589713</t>
  </si>
  <si>
    <t>1642002596</t>
  </si>
  <si>
    <t>РЕСПУБЛИКА ТАТАРСТАН (ТАТАРСТАН),РП УРУССУ,УЛ УРУССИНСКАЯ Д 53Б</t>
  </si>
  <si>
    <t>Ямаева Светлана Фатыховна</t>
  </si>
  <si>
    <t>56.861658,60.59221</t>
  </si>
  <si>
    <t>ОБЩЕСТВО С ОГРАНИЧЕННОЙ ОТВЕТСТВЕННОСТЬЮ "БЕТОН +"</t>
  </si>
  <si>
    <t>"БЕТОН +"</t>
  </si>
  <si>
    <t>1642003367</t>
  </si>
  <si>
    <t>+7 (855) 932-67-18'</t>
  </si>
  <si>
    <t>56.889026,60.594205</t>
  </si>
  <si>
    <t>ОБЩЕСТВО С ОГРАНИЧЕННОЙ ОТВЕТСТВЕННОСТЬЮ "ПРОИЗВОДСТВЕННО - СТРОИТЕЛЬНАЯ КОМПАНИЯ "ТЕХНОМОНОЛИТ"</t>
  </si>
  <si>
    <t>"ПРОИЗВОДСТВЕННО - СТРОИТЕЛЬНАЯ КОМПАНИЯ "ТЕХНОМОНОЛИТ"</t>
  </si>
  <si>
    <t>5009049899</t>
  </si>
  <si>
    <t>http://tehnomonolit.ru</t>
  </si>
  <si>
    <t>РЯЗАНСКАЯ ОБЛ.,РЯЗАНСКИЙ Р-Н,РП МУРМИНО</t>
  </si>
  <si>
    <t>Винников Александр Михайлович</t>
  </si>
  <si>
    <t>56.813365,60.595166</t>
  </si>
  <si>
    <t>ОБЩЕСТВО С ОГРАНИЧЕННОЙ ОТВЕТСТВЕННОСТЬЮ " СТРОИТЕЛЬНЫЕ ТЕХНОЛОГИИ И МАТЕРИАЛЫ "</t>
  </si>
  <si>
    <t>" СТРОИТЕЛЬНЫЕ ТЕХНОЛОГИИ И МАТЕРИАЛЫ "</t>
  </si>
  <si>
    <t>6231047649</t>
  </si>
  <si>
    <t>Г РЯЗАНЬ,УЛ ОСТРОВСКОГО, Д 25</t>
  </si>
  <si>
    <t>Другов Андрей Борисович</t>
  </si>
  <si>
    <t>56.977717,60.59654</t>
  </si>
  <si>
    <t>ЗАКРЫТОЕ АКЦИОНЕРНОЕ ОБЩЕСТВО "РЯЗАНСКИЙ ЗАВОД ЖБИ-6"</t>
  </si>
  <si>
    <t>ЗАКРЫТОЕ "РЯЗАНСКИЙ ЗАВОД ЖБИ-6"</t>
  </si>
  <si>
    <t>6228003190</t>
  </si>
  <si>
    <t>Г РЯЗАНЬ,УЛ ЛЕНИНСКОГО КОМСОМОЛА, Д 149</t>
  </si>
  <si>
    <t>Хренов Александр Алексеевич</t>
  </si>
  <si>
    <t>gbi@post.rzn'</t>
  </si>
  <si>
    <t>56.833215,60.599055</t>
  </si>
  <si>
    <t>ОБЩЕСТВО С ОГРАНИЧЕННОЙ ОТВЕТСТВЕННОСТЬЮ "КАРКАС-СТАНДАРТ"</t>
  </si>
  <si>
    <t>"КАРКАС-СТАНДАРТ"</t>
  </si>
  <si>
    <t>6229077759</t>
  </si>
  <si>
    <t>Г РЯЗАНЬ,УЛ ГАГАРИНА, Д 60/64,..</t>
  </si>
  <si>
    <t>Воропаев Дмитрий Владимирович</t>
  </si>
  <si>
    <t>56.902462,60.600807</t>
  </si>
  <si>
    <t>ОБЩЕСТВО С ОГРАНИЧЕННОЙ ОТВЕТСТВЕННОСТЬЮ "РЯЗАНСКИЙ ЗАВОД ЖЕЛЕЗОБЕТОННЫХ ИЗДЕЛИЙ №2"</t>
  </si>
  <si>
    <t>"РЯЗАНСКИЙ ЗАВОД ЖЕЛЕЗОБЕТОННЫХ ИЗДЕЛИЙ №2"</t>
  </si>
  <si>
    <t>6234145242</t>
  </si>
  <si>
    <t>Г РЯЗАНЬ,УЛ ОСТРОВСКОГО, Д 111</t>
  </si>
  <si>
    <t>Костюшин Юрий Михайлович</t>
  </si>
  <si>
    <t>zavod@r-beton'</t>
  </si>
  <si>
    <t>56.831748,60.601966</t>
  </si>
  <si>
    <t>0245016544</t>
  </si>
  <si>
    <t>РЕСПУБЛИКА БАШКОРТОСТАН,УФИМСКИЙ Р-Н,С ЗУБОВО,ПРОМЫШЛЕННАЯ ЗОНА УРШАК</t>
  </si>
  <si>
    <t>Гарифуллин Олег Салаватович</t>
  </si>
  <si>
    <t>+7 (347) 250-22-83'</t>
  </si>
  <si>
    <t>56.816429,60.604023</t>
  </si>
  <si>
    <t>ОБЩЕСТВО С ОГРАНИЧЕННОЙ ОТВЕТСТВЕННОСТЬЮ "ПЛАСТБЛОК"</t>
  </si>
  <si>
    <t>"ПЛАСТБЛОК"</t>
  </si>
  <si>
    <t>6205000235</t>
  </si>
  <si>
    <t>Г РЯЗАНЬ,УЛ СВОБОДЫ, Д 46</t>
  </si>
  <si>
    <t>Зинорова Анна Михайловна</t>
  </si>
  <si>
    <t>+7 (920) 959-81-80', '+7 (910) 574-17-70'</t>
  </si>
  <si>
    <t>56.785857,60.605236</t>
  </si>
  <si>
    <t>ОБЩЕСТВО С ОГРАНИЧЕННОЙ ОТВЕТСТВЕННОСТЬЮ "Стройбетон"</t>
  </si>
  <si>
    <t>"Стройбетон"</t>
  </si>
  <si>
    <t>5933007028</t>
  </si>
  <si>
    <t>617120, ПЕРМСКИЙ КРАЙ, Р-Н ВЕРЕЩАГИНСКИЙ, Г. ВЕРЕЩАГИНО, УЛ. К.МАРКСА, Д.2/5</t>
  </si>
  <si>
    <t>Васев Роман Александрович</t>
  </si>
  <si>
    <t>+7 (902) 797-47-40'</t>
  </si>
  <si>
    <t>56.783761,60.605425</t>
  </si>
  <si>
    <t>ОБЩЕСТВО С ОГРАНИЧЕННОЙ ОТВЕТСТВЕННОСТЬЮ"СТРОЙКОМ +"</t>
  </si>
  <si>
    <t>"СТРОЙКОМ +"</t>
  </si>
  <si>
    <t>0249007371</t>
  </si>
  <si>
    <t>452200, БАШКОРТОСТАН РЕСПУБЛИКА, Р-Н ЧЕКМАГУШЕВСКИЙ, С ЧЕКМАГУШ, УЛ. ЛЕНИНА, Д.5</t>
  </si>
  <si>
    <t>Хабиров Салават Тагирович</t>
  </si>
  <si>
    <t>+7 (906) 106-00-44'</t>
  </si>
  <si>
    <t>56.772497,60.606592</t>
  </si>
  <si>
    <t>ОБЩЕСТВО С ОГРАНИЧЕННОЙ ОТВЕТСТВЕННОСТЬЮ "РЯЗАНСКИЙ ЗАВОД ЖБИ-3"</t>
  </si>
  <si>
    <t>"РЯЗАНСКИЙ ЗАВОД ЖБИ-3"</t>
  </si>
  <si>
    <t>6229029314</t>
  </si>
  <si>
    <t>http://jbi3.ru</t>
  </si>
  <si>
    <t>Г РЯЗАНЬ,УЛ МАГИСТРАЛЬНАЯ, Д 11</t>
  </si>
  <si>
    <t>Набатчиков Василий Федорович</t>
  </si>
  <si>
    <t>kulbickaya@jbi3.ru'</t>
  </si>
  <si>
    <t>ОБЩЕСТВО С ОГРАНИЧЕННОЙ ОТВЕТСТВЕННОСТЬЮ "БЛОКДОМСТРОЙ"</t>
  </si>
  <si>
    <t>"БЛОКДОМСТРОЙ"</t>
  </si>
  <si>
    <t>1661046729</t>
  </si>
  <si>
    <t>РЕСПУБЛИКА ТАТАРСТАН (ТАТАРСТАН),ЧЕРЕМШАНСКИЙ Р-Н,С ЧЕРЕМШАН,БОЛЬНИЧНЫЙ ГОРОДОК</t>
  </si>
  <si>
    <t>Железнов Андрей Михайлович</t>
  </si>
  <si>
    <t>56.873165,60.607024</t>
  </si>
  <si>
    <t>ОБЩЕСТВО С ОГРАНИЧЕННОЙ ОТВЕТСТВЕННОСТЬЮ "БАШСТРОЙКОНСТРУКЦИЯ-ЮГ"</t>
  </si>
  <si>
    <t>"БАШСТРОЙКОНСТРУКЦИЯ-ЮГ"</t>
  </si>
  <si>
    <t>0274105929</t>
  </si>
  <si>
    <t>Г УФА,УЛ ЭЛЕВАТОРНАЯ,5</t>
  </si>
  <si>
    <t>Плотников Андрей Владимирович</t>
  </si>
  <si>
    <t>+7 (347) 294-01-24'</t>
  </si>
  <si>
    <t>56.847764,60.607401</t>
  </si>
  <si>
    <t>ОБЩЕСТВО С ОГРАНИЧЕННОЙ ОТВЕТСТВЕННОСТЬЮ "БАЛТИК - АРМАБЕТОН"</t>
  </si>
  <si>
    <t>"БАЛТИК - АРМАБЕТОН"</t>
  </si>
  <si>
    <t>3908007334</t>
  </si>
  <si>
    <t>Г КАЛИНИНГРАД,УЛ КАМСКАЯ, 63</t>
  </si>
  <si>
    <t>Гринчук Александр Васильевич</t>
  </si>
  <si>
    <t>+7 (921) 108-09-11'</t>
  </si>
  <si>
    <t>56.837051,60.607428</t>
  </si>
  <si>
    <t>ОБЩЕСТВО С ОГРАНИЧЕННОЙ ОТВЕТСТВЕННОСТЬЮ "РОС - Т"</t>
  </si>
  <si>
    <t>"РОС - Т"</t>
  </si>
  <si>
    <t>5981000946</t>
  </si>
  <si>
    <t>ПЕРМСКИЙ КРАЙ,КОМИ-ПЕРМЯЦКИЙ АВТ. ОКРУГ,Г КУДЫМКАР,УЛ СТРОИТЕЛЕЙ 15-2</t>
  </si>
  <si>
    <t>Тиунов Андрей Николаевич</t>
  </si>
  <si>
    <t>56.811788,60.611425</t>
  </si>
  <si>
    <t>ОТКРЫТОЕ АКЦИОНЕРНОЕ ОБЩЕСТВО "ЗАВОД ЖБИ-2"</t>
  </si>
  <si>
    <t>ОТКРЫТОЕ "ЗАВОД ЖБИ-2"</t>
  </si>
  <si>
    <t>3903003199</t>
  </si>
  <si>
    <t>Г КАЛИНИНГРАД,УЛ МУКОМОЛЬНАЯ, 14</t>
  </si>
  <si>
    <t>Швыряев Андрей Александрович</t>
  </si>
  <si>
    <t>asu@zhbi2.ru', 'info@zhbi2.ru', 'beton@zhbi2.ru', 'buh1@zhbi2.ru'</t>
  </si>
  <si>
    <t>56.776512,60.612638</t>
  </si>
  <si>
    <t>Открытое акционерное общество "Ново-Пятовское производственное объединение"</t>
  </si>
  <si>
    <t>Открытое "Ново-Пятовское производственное объединение"</t>
  </si>
  <si>
    <t>4004011025</t>
  </si>
  <si>
    <t>КАЛУЖСКАЯ ОБЛ.,ДЗЕРЖИНСКИЙ Р-Н,Д ЖИЛЕТОВО</t>
  </si>
  <si>
    <t>Васечкин Виктор Владимирович</t>
  </si>
  <si>
    <t>56.813995,60.613015</t>
  </si>
  <si>
    <t>Общество с ограниченной ответственностью "ДСК-XXI век"</t>
  </si>
  <si>
    <t>"ДСК-XXI век"</t>
  </si>
  <si>
    <t>3906169509</t>
  </si>
  <si>
    <t>Г КАЛИНИНГРАД,МОСКОВСКИЙ ПРОСП, 40, ОФИС 21</t>
  </si>
  <si>
    <t>Выборнов Алексей Вениаминович</t>
  </si>
  <si>
    <t>+7 (906) 238-85-53'</t>
  </si>
  <si>
    <t>56.799591,60.61386</t>
  </si>
  <si>
    <t>ОБЩЕСТВО С ОГРАНИЧЕННОЙ ОТВЕТСТВЕННОСТЬЮ "КОМЕТА"</t>
  </si>
  <si>
    <t>"КОМЕТА"</t>
  </si>
  <si>
    <t>0278137142</t>
  </si>
  <si>
    <t>Г УФА,УЛ ПАРХОМЕНКО,156/1</t>
  </si>
  <si>
    <t>Захаров Николай Владимирович</t>
  </si>
  <si>
    <t>+7 (917) 408-21-72', '+7 (917) 244-27-53'</t>
  </si>
  <si>
    <t>56.849123,60.614138</t>
  </si>
  <si>
    <t>ОБЩЕСТВО С ОГРАНИЧЕННОЙ ОТВЕТСТВЕННОСТЬЮ "БАШКИРСКИЙ ТЕПЛОБЛОК"</t>
  </si>
  <si>
    <t>"БАШКИРСКИЙ ТЕПЛОБЛОК"</t>
  </si>
  <si>
    <t>0278114868</t>
  </si>
  <si>
    <t>Г УФА,УЛ КИРВОГРАДСКАЯ,19</t>
  </si>
  <si>
    <t>Кучава Алексей Дмитриевич</t>
  </si>
  <si>
    <t>+7 (347) 253-47-31', '+7 (347) 276-23-82', '+7 (173) 474-72-95', '+7 (917) 374-72-95'</t>
  </si>
  <si>
    <t>56.836106,60.61465</t>
  </si>
  <si>
    <t>ОБЩЕСТВО С ОГРАНИЧЕННОЙ ОТВЕТСТВЕННОСТЬЮ "СТЕРЛИТАМАКСКИЙ ЗАВОД СИЛИКАТНОГО КИРПИЧА"</t>
  </si>
  <si>
    <t>"СТЕРЛИТАМАКСКИЙ ЗАВОД СИЛИКАТНОГО КИРПИЧА"</t>
  </si>
  <si>
    <t>0268074623</t>
  </si>
  <si>
    <t>Г УФА,УЛ ХАЛТУРИНА,28</t>
  </si>
  <si>
    <t>Барышев Станислав Ильич</t>
  </si>
  <si>
    <t>+7 (917) 417-02-00', '+7 (917) 411-04-00'</t>
  </si>
  <si>
    <t>56.887669,60.614938</t>
  </si>
  <si>
    <t>ОБЩЕСТВО С ОГРАНИЧЕННОЙ ОТВЕТСТВЕННОСТЬЮ "СТРОЙВЕРМИТА"</t>
  </si>
  <si>
    <t>"СТРОЙВЕРМИТА"</t>
  </si>
  <si>
    <t>0276077106</t>
  </si>
  <si>
    <t>http://stroivermita.ru</t>
  </si>
  <si>
    <t>Г УФА,УЛ РОСТОВСКАЯ,18</t>
  </si>
  <si>
    <t>Туктаров Рафаэль Рафкатович</t>
  </si>
  <si>
    <t>+7 (347) 274-75-17', '+7 (347) 244-45-56', '+7 (347) 244-45-56'</t>
  </si>
  <si>
    <t>56.79554,60.615019</t>
  </si>
  <si>
    <t>ОБЩЕСТВО С ОГРАНИЧЕННОЙ ОТВЕТСТВЕННОСТЬЮ "ЕВРОСТИЛЬ И К"</t>
  </si>
  <si>
    <t>"ЕВРОСТИЛЬ И К"</t>
  </si>
  <si>
    <t>6731048400</t>
  </si>
  <si>
    <t>Г СМОЛЕНСК,УЛ КРУПСКОЙ Д 68</t>
  </si>
  <si>
    <t>Демарев Николай Павлович</t>
  </si>
  <si>
    <t>56.799315,60.615234</t>
  </si>
  <si>
    <t>АКЦИОНЕРНОЕ ОБЩЕСТВО "МОНОЛИТ"</t>
  </si>
  <si>
    <t>6731003872</t>
  </si>
  <si>
    <t>Г СМОЛЕНСК,ПР СТРОИТЕЛЕЙ Д 7</t>
  </si>
  <si>
    <t>Степанов Максим Александрович</t>
  </si>
  <si>
    <t>56.803968,60.616079</t>
  </si>
  <si>
    <t>ОБЩЕСТВО С ОГРАНИЧЕННОЙ ОТВЕТСТВЕННОСТЬЮ "СУПЕР БЛОК"</t>
  </si>
  <si>
    <t>"СУПЕР БЛОК"</t>
  </si>
  <si>
    <t>0273098676</t>
  </si>
  <si>
    <t>Г УФА,ПРОСПЕКТ ОКТЯБРЯ,112/1..</t>
  </si>
  <si>
    <t>Матыгулин Рустем Рашидович</t>
  </si>
  <si>
    <t>+7 (987) 244-28-89'</t>
  </si>
  <si>
    <t>56.965638,60.616258</t>
  </si>
  <si>
    <t>ОБЩЕСТВО С ОГРАНИЧЕННОЙ ОТВЕТСТВЕННОСТЬЮ "СМОЛЕНСКИЙ ЗАВОД ЖБИ-2"</t>
  </si>
  <si>
    <t>"СМОЛЕНСКИЙ ЗАВОД ЖБИ-2"</t>
  </si>
  <si>
    <t>6731046890</t>
  </si>
  <si>
    <t>Г СМОЛЕНСК,УЛ ИНДУСТРИАЛЬНАЯ</t>
  </si>
  <si>
    <t>Бондарь Владимир Николаевич</t>
  </si>
  <si>
    <t>+7 (910) 787-18-25'</t>
  </si>
  <si>
    <t>GBI2SMOL@YANDEX.RU'</t>
  </si>
  <si>
    <t>56.787292,60.61651</t>
  </si>
  <si>
    <t>ОБЩЕСТВО С ОГРАНИЧЕННОЙ ОТВЕТСТВЕННОСТЬЮ " ИНЖЕНЕРНО - ПРОИЗВОДСТВЕННАЯ КОМПАНИЯ " ЮНИКА - СТРОЙ "</t>
  </si>
  <si>
    <t>" ИНЖЕНЕРНО - ПРОИЗВОДСТВЕННАЯ КОМПАНИЯ " ЮНИКА - СТРОЙ "</t>
  </si>
  <si>
    <t>0273050473</t>
  </si>
  <si>
    <t>Г УФА,УЛ ТРАНСПОРТНАЯ,32..</t>
  </si>
  <si>
    <t>Столяров Алексей Валерьевич</t>
  </si>
  <si>
    <t>+7 (347) 238-20-28', '+7 (901) 812-78-02', '+7 (347) 223-01-53'</t>
  </si>
  <si>
    <t>56.82275,60.61774</t>
  </si>
  <si>
    <t>ОБЩЕСТВО С ОГРАНИЧЕННОЙ ОТВЕТСТВЕННОСТЬЮ "ГНЕЗДОВСКИЙ ЗАВОД ЖБИ"</t>
  </si>
  <si>
    <t>"ГНЕЗДОВСКИЙ ЗАВОД ЖБИ"</t>
  </si>
  <si>
    <t>6729025452</t>
  </si>
  <si>
    <t>http://smolensk.det-ploshadka.ru</t>
  </si>
  <si>
    <t>Г СМОЛЕНСК,МИКРОРАЙОН ГНЕЗДОВО</t>
  </si>
  <si>
    <t>Абрамов Юрий Алексеевич</t>
  </si>
  <si>
    <t>AnnaMorozova092018@yandex.ru', 'smolzavod@mail.ru'</t>
  </si>
  <si>
    <t>6732068953</t>
  </si>
  <si>
    <t>Г СМОЛЕНСК,УЛ КАШЕНА Д 15 Б</t>
  </si>
  <si>
    <t>Гальченко Сергей Николаевич</t>
  </si>
  <si>
    <t>+7 (915) 630-42-49'</t>
  </si>
  <si>
    <t>56.879496,60.618863</t>
  </si>
  <si>
    <t>АКЦИОНЕРНОЕ ОБЩЕСТВО "УФИМСКИЙ ЖЕЛЕЗОБЕТОННЫЙ ЗАВОД-2"</t>
  </si>
  <si>
    <t>"УФИМСКИЙ ЖЕЛЕЗОБЕТОННЫЙ ЗАВОД-2"</t>
  </si>
  <si>
    <t>0273018416</t>
  </si>
  <si>
    <t>http://betonvufa.ru</t>
  </si>
  <si>
    <t>Г УФА,ШОССЕ ИНДУСТРИАЛЬНОЕ,4</t>
  </si>
  <si>
    <t>Фасхутдинов Руслан Самигуллович</t>
  </si>
  <si>
    <t>+7 (347) 242-28-13', '+7 (347) 242-28-14', '+7 (347) 242-04-77'</t>
  </si>
  <si>
    <t>ups52@yandex.ru'</t>
  </si>
  <si>
    <t>56.810147,60.61925</t>
  </si>
  <si>
    <t>6726021964</t>
  </si>
  <si>
    <t>Г СМОЛЕНСК,УЛ ЛАВОЧКИНА Д 107</t>
  </si>
  <si>
    <t>Сильченков Евгений Анатольевич</t>
  </si>
  <si>
    <t>+7 (904) 362-71-30'</t>
  </si>
  <si>
    <t>56.82473,60.620247</t>
  </si>
  <si>
    <t>ОБЩЕСТВО С ОГРАНИЧЕННОЙ ОТВЕТСТВЕННОСТЬЮ "СПЕЦКОЛОРБЕТОН"</t>
  </si>
  <si>
    <t>"СПЕЦКОЛОРБЕТОН"</t>
  </si>
  <si>
    <t>0277076070</t>
  </si>
  <si>
    <t>Г УФА,ТУПИК СВОБОДЫ</t>
  </si>
  <si>
    <t>Мельник Виктор Валерьевич</t>
  </si>
  <si>
    <t>+7 (347) 260-09-07', '+7 (917) 441-27-97'</t>
  </si>
  <si>
    <t>56.781439,60.620498</t>
  </si>
  <si>
    <t>Общество с ограниченной ответственностью "АРТ-СТРОЙ"</t>
  </si>
  <si>
    <t>5044087914</t>
  </si>
  <si>
    <t>МОСКОВСКАЯ ОБЛ.,ЗАРАЙСКИЙ Р-Н,П/О НОВОСЕЛКИ,Д АЛТУХОВО</t>
  </si>
  <si>
    <t>Мартыненко Александр Сергеевич</t>
  </si>
  <si>
    <t>+7 (916) 450-65-27'</t>
  </si>
  <si>
    <t>56.834121,60.621621</t>
  </si>
  <si>
    <t>ОБЩЕСТВО С ОГРАНИЧЕННОЙ ОТВЕТСТВЕННОСТЬЮ «ЗАВОД ЖБИ 3»</t>
  </si>
  <si>
    <t>«ЗАВОД ЖБИ 3»</t>
  </si>
  <si>
    <t>0260996506</t>
  </si>
  <si>
    <t>452320, Республика Башкортостан, ДЮРТЮЛИНСКИЙ, 1 ГОРОД ДЮРТЮЛИ, Г ДЮРТЮЛИ, УЛ БЕЛЬСКАЯ, Д. 28</t>
  </si>
  <si>
    <t>Шангареев Александр Шагиевич</t>
  </si>
  <si>
    <t>ZAVODZHBI3@MAIL.RU'</t>
  </si>
  <si>
    <t>ОБЩЕСТВО С ОГРАНИЧЕННОЙ ОТВЕТСТВЕННОСТЬЮ "УралСтрой-Конструкция"</t>
  </si>
  <si>
    <t>"УралСтрой-Конструкция"</t>
  </si>
  <si>
    <t>5933008166</t>
  </si>
  <si>
    <t>617112, ПЕРМСКИЙ КРАЙ, РАЙОН ВЕРЕЩАГИНСКИЙ, ДЕРЕВНЯ КУКЕТЫ, УЛИЦА МОЛОДЕЖНАЯ, 16, 1</t>
  </si>
  <si>
    <t>Тунёва Светлана Владимировна</t>
  </si>
  <si>
    <t>+7 (950) 454-09-56', '+7 (951) 928-03-65', '+7 (919) 719-67-84'</t>
  </si>
  <si>
    <t>56.834038,60.621792</t>
  </si>
  <si>
    <t>ОБЩЕСТВО С ОГРАНИЧЕННОЙ ОТВЕТСТВЕННОСТЬЮ "ТОРГОВАЯ КОМПАНИЯ "ЦЕНТРСТРОЙ"</t>
  </si>
  <si>
    <t>"ТОРГОВАЯ КОМПАНИЯ "ЦЕНТРСТРОЙ"</t>
  </si>
  <si>
    <t>5501258112</t>
  </si>
  <si>
    <t>Г ОМСК,УЛ ГУРТЬЕВА 31..</t>
  </si>
  <si>
    <t>Бутченко Виталий Евгеньевич</t>
  </si>
  <si>
    <t>+7 (913) 149-91-87'</t>
  </si>
  <si>
    <t>56.834171,60.622304</t>
  </si>
  <si>
    <t>ОБЩЕСТВО С ОГРАНИЧЕННОЙ ОТВЕТСТВЕННОСТЬЮ "ЗАВОД ЖЕЛЕЗОБЕТОННЫХ ИЗДЕЛИЙ-42"</t>
  </si>
  <si>
    <t>"ЗАВОД ЖЕЛЕЗОБЕТОННЫХ ИЗДЕЛИЙ-42"</t>
  </si>
  <si>
    <t>5445038128</t>
  </si>
  <si>
    <t>Г НОВОСИБИРСК,УЛ ЗОРГЕ, 183</t>
  </si>
  <si>
    <t>Маслов Максим Борисович</t>
  </si>
  <si>
    <t>+7 (913) 920-28-44', '+7 (383) 347-25-25'</t>
  </si>
  <si>
    <t>56.798177,60.622313</t>
  </si>
  <si>
    <t>ОБЩЕСТВО С ОГРАНИЧЕННОЙ ОТВЕТСТВЕННОСТЬЮ "СТРОЙРЕГИОНЦЕНТР"</t>
  </si>
  <si>
    <t>"СТРОЙРЕГИОНЦЕНТР"</t>
  </si>
  <si>
    <t>5507241891</t>
  </si>
  <si>
    <t>Г ОМСК,ОПАТП-6</t>
  </si>
  <si>
    <t>Мошкин Александр Викторович</t>
  </si>
  <si>
    <t>56.831359,60.623049</t>
  </si>
  <si>
    <t>АКЦИОНЕРНОЕ ОБЩЕСТВО "ПРЕДПРИЯТИЕ ОТДЕЛОЧНЫХ МАТЕРИАЛОВ"</t>
  </si>
  <si>
    <t>"ПРЕДПРИЯТИЕ ОТДЕЛОЧНЫХ МАТЕРИАЛОВ"</t>
  </si>
  <si>
    <t>5403100416</t>
  </si>
  <si>
    <t>Г НОВОСИБИРСК,УЛ ПЕТУХОВА, 49 А</t>
  </si>
  <si>
    <t>Скоробогатов Илья Владимирович</t>
  </si>
  <si>
    <t>+7 (383) 342-17-58', '+7 (383) 349-05-12', '+7 (913) 757-22-77', '+7 (383) 349-05-12'</t>
  </si>
  <si>
    <t>pom@mail.ru', 'pom_scs@online.nsk', 'bredotmat@ngs.ru', 'Kapitanenkosv@rambler.ru'</t>
  </si>
  <si>
    <t>56.83973,60.623193</t>
  </si>
  <si>
    <t>АКЦИОНЕРНОЕ ОБЩЕСТВО "НОВОСИБИРСКИЙ СЕЛЬСКИЙ СТРОИТЕЛЬНЫЙ КОМБИНАТ"</t>
  </si>
  <si>
    <t>"НОВОСИБИРСКИЙ СЕЛЬСКИЙ СТРОИТЕЛЬНЫЙ КОМБИНАТ"</t>
  </si>
  <si>
    <t>5403100399</t>
  </si>
  <si>
    <t>http://nssk.ru</t>
  </si>
  <si>
    <t>Г НОВОСИБИРСК,УЛ БЕТОННАЯ, 4</t>
  </si>
  <si>
    <t>Гибелев Роман Викторович</t>
  </si>
  <si>
    <t>+7 (383) 353-47-35', '+7 (913) 917-62-97', '+7 (383) 353-47-35'</t>
  </si>
  <si>
    <t>nssk@ngs.ru'</t>
  </si>
  <si>
    <t>56.787952,60.625071</t>
  </si>
  <si>
    <t>ОБЩЕСТВО С ОГРАНИЧЕННОЙ ОТВЕТСТВЕННОСТЬЮ "ПОБЕДИТ"</t>
  </si>
  <si>
    <t>"ПОБЕДИТ"</t>
  </si>
  <si>
    <t>5638074228</t>
  </si>
  <si>
    <t>460511, ОРЕНБУРГСКАЯ ОБЛАСТЬ, РАЙОН ОРЕНБУРГСКИЙ, СЕЛО ПАВЛОВКА, УЛИЦА СИРЕНЕВАЯ, ДОМ 2</t>
  </si>
  <si>
    <t>Алипова Елена Викторовна</t>
  </si>
  <si>
    <t>56.896947,60.625089</t>
  </si>
  <si>
    <t>5045034753</t>
  </si>
  <si>
    <t>МОСКОВСКАЯ ОБЛ.,СТУПИНСКИЙ Р-Н,С СИТНЕ-ЩЕЛКАНОВО</t>
  </si>
  <si>
    <t>Пантюхин Сергей Дмитриевич</t>
  </si>
  <si>
    <t>ОБЩЕСТВО С ОГРАНИЧЕННОЙ ОТВЕТСТВЕННОСТЬЮ "А1"</t>
  </si>
  <si>
    <t>"А1"</t>
  </si>
  <si>
    <t>5503248293</t>
  </si>
  <si>
    <t>Г ОМСК,УЛ ЛЕРМОНТОВА,179 А</t>
  </si>
  <si>
    <t>Захаров Игорь Владимирович</t>
  </si>
  <si>
    <t>+7 (904) 820-30-46'</t>
  </si>
  <si>
    <t>56.843275,60.626454</t>
  </si>
  <si>
    <t>ОБЩЕСТВО С ОГРАНИЧЕННОЙ ОТВЕТСТВЕННОСТЬЮ "ГРЕЙТБРИК"</t>
  </si>
  <si>
    <t>"ГРЕЙТБРИК"</t>
  </si>
  <si>
    <t>5528212644</t>
  </si>
  <si>
    <t>Г ОМСК,УЛ ПАРТИЗАНСКАЯ, 5</t>
  </si>
  <si>
    <t>Аксенова Александра</t>
  </si>
  <si>
    <t>+7 (913) 963-72-08'</t>
  </si>
  <si>
    <t>ОБЩЕСТВО С ОГРАНИЧЕННОЙ ОТВЕТСТВЕННОСТЬЮ "ПЛАТИНУМ"</t>
  </si>
  <si>
    <t>"ПЛАТИНУМ"</t>
  </si>
  <si>
    <t>7839096465</t>
  </si>
  <si>
    <t>Г ОМСК,УЛ ЛУКАШЕВИЧА 14 КОР 3..</t>
  </si>
  <si>
    <t>Баранов Алексей Викторович</t>
  </si>
  <si>
    <t>56.805569,60.627254</t>
  </si>
  <si>
    <t>АКЦИОНЕРНОЕ ОБЩЕСТВО "ЗАВОД ЖБИ-12"</t>
  </si>
  <si>
    <t>"ЗАВОД ЖБИ-12"</t>
  </si>
  <si>
    <t>5404150635</t>
  </si>
  <si>
    <t>http://gbi-12.ru</t>
  </si>
  <si>
    <t>Г НОВОСИБИРСК,УЛ СТАНЦИОННАЯ, 56</t>
  </si>
  <si>
    <t>Жвалеев Алексей Анатольевич</t>
  </si>
  <si>
    <t>+7 (383) 341-96-44', '+7 (383) 341-90-32', '+7 (383) 341-96-44'</t>
  </si>
  <si>
    <t>12@online.nsk', '12@ngs.ru'</t>
  </si>
  <si>
    <t>56.857455,60.627433</t>
  </si>
  <si>
    <t>ОБЩЕСТВО С ОГРАНИЧЕННОЙ ОТВЕТСТВЕННОСТЬЮ "ВЭЛКАМ"</t>
  </si>
  <si>
    <t>"ВЭЛКАМ"</t>
  </si>
  <si>
    <t>5405343566</t>
  </si>
  <si>
    <t>Г НОВОСИБИРСК,УЛ БОЛЬШЕВИСТСКАЯ, 177 ОФ 428</t>
  </si>
  <si>
    <t>Скрипник Владислав Анатольевич</t>
  </si>
  <si>
    <t>velkam54@mail.ru', '2125145@mail.ru'</t>
  </si>
  <si>
    <t>56.805087,60.630613</t>
  </si>
  <si>
    <t>ОТКРЫТОЕ АКЦИОНЕРНОЕ ОБЩЕСТВО "НОВОСИБИРСКИЙ ЗАВОД СТРОИТЕЛЬНЫХ КОНСТРУКЦИЙ"</t>
  </si>
  <si>
    <t>ОТКРЫТОЕ "НОВОСИБИРСКИЙ ЗАВОД СТРОИТЕЛЬНЫХ КОНСТРУКЦИЙ"</t>
  </si>
  <si>
    <t>5404109771</t>
  </si>
  <si>
    <t>http://nzsk.ru</t>
  </si>
  <si>
    <t>Г НОВОСИБИРСК,УЛ БОЛЬШАЯ, 254</t>
  </si>
  <si>
    <t>Никитенко Олег Федорович</t>
  </si>
  <si>
    <t>+7 (383) 353-71-41', '+7 (383) 209-03-93'</t>
  </si>
  <si>
    <t>nzskjb@mail.ru'</t>
  </si>
  <si>
    <t>ОБЩЕСТВО С ОГРАНИЧЕННОЙ ОТВЕТСТВЕННОСТЬЮ "СОЮЗ-ЖБИ"</t>
  </si>
  <si>
    <t>"СОЮЗ-ЖБИ"</t>
  </si>
  <si>
    <t>5448950325</t>
  </si>
  <si>
    <t>Г НОВОСИБИРСК,УЛ ВЫБОРНАЯ,125</t>
  </si>
  <si>
    <t>Отмашкин Сергей Владимирович</t>
  </si>
  <si>
    <t>+7 (913) 243-80-80'</t>
  </si>
  <si>
    <t>56.816843,60.631422</t>
  </si>
  <si>
    <t>ОБЩЕСТВО С ОГРАНИЧЕННОЙ ОТВЕТСТВЕННОСТЬЮ "СИБСТРОЙРЕСУРС"</t>
  </si>
  <si>
    <t>"СИБСТРОЙРЕСУРС"</t>
  </si>
  <si>
    <t>5405339104</t>
  </si>
  <si>
    <t>Г НОВОСИБИРСК,УЛ ВОСХОД, 5</t>
  </si>
  <si>
    <t>Екимов Алексей Александрович</t>
  </si>
  <si>
    <t>+7 (383) 337-89-49', '+7 (383) 266-61-84'</t>
  </si>
  <si>
    <t>56.810724,60.634431</t>
  </si>
  <si>
    <t>0214006049</t>
  </si>
  <si>
    <t>452740, БАШКОРТОСТАН РЕСПУБЛИКА, РАЙОН БЛАГОВАРСКИЙ, СЕЛО ЯЗЫКОВО, УЛИЦА СОЦИАЛИСТИЧЕСКАЯ, ДОМ 7</t>
  </si>
  <si>
    <t>Ефименко Алия Шамилевна</t>
  </si>
  <si>
    <t>+7 (927) 955-15-76', '+7 (937) 349-03-07'</t>
  </si>
  <si>
    <t>490307@bk.ru', 'efimenkoash27@mail.ru'</t>
  </si>
  <si>
    <t>56.82934,60.63479</t>
  </si>
  <si>
    <t>ОБЩЕСТВО С ОГРАНИЧЕННОЙ ОТВЕТСТВЕННОСТЬЮ "КПД-ГАЗСТРОЙ"</t>
  </si>
  <si>
    <t>"КПД-ГАЗСТРОЙ"</t>
  </si>
  <si>
    <t>5406219515</t>
  </si>
  <si>
    <t>Г НОВОСИБИРСК,УЛ КАИНСКАЯ, 3</t>
  </si>
  <si>
    <t xml:space="preserve"> Генеральный Директор Ооо "Дск Кпд-Газстрой" Сукорцев Сергей Викторович</t>
  </si>
  <si>
    <t>+7 (383) 274-37-03', '+7 (383) 223-88-87', '+7 (383) 274-37-03'</t>
  </si>
  <si>
    <t>info@kpd-gs'</t>
  </si>
  <si>
    <t>56.801159,60.634979</t>
  </si>
  <si>
    <t>ОБЩЕСТВО С ОГРАНИЧЕННОЙ ОТВЕТСТВЕННОСТЬЮ "ЭНЕРГЕТИК"</t>
  </si>
  <si>
    <t>"ЭНЕРГЕТИК"</t>
  </si>
  <si>
    <t>5501089464</t>
  </si>
  <si>
    <t>Г ОМСК,УЛ ПОПОВА, 1,..</t>
  </si>
  <si>
    <t>Черныш Александр Юрьевич</t>
  </si>
  <si>
    <t>+7 (381) 290-35-57', '+7 (923) 694-04-46', '+7 (913) 970-50-21'</t>
  </si>
  <si>
    <t>56.8876,60.636183</t>
  </si>
  <si>
    <t>Общество с ограниченной ответственностью "Завод строительных конструкций №1"</t>
  </si>
  <si>
    <t>"Завод строительных конструкций №1"</t>
  </si>
  <si>
    <t>5528211231</t>
  </si>
  <si>
    <t>Г ОМСК,П НОВОСТРОЙКА, 38 А</t>
  </si>
  <si>
    <t>Канев Александр Прокопьевич</t>
  </si>
  <si>
    <t>56.846041,60.640782</t>
  </si>
  <si>
    <t>ОБЩЕСТВО С ОГРАНИЧЕННОЙ ОТВЕТСТВЕННОСТЬЮ ПРОИЗВОДСТВЕННО-СТРОИТЕЛЬНАЯ КОМПАНИЯ "НЕФРИТ"</t>
  </si>
  <si>
    <t>ПРОИЗВОДСТВЕННО-СТРОИТЕЛЬНАЯ КОМПАНИЯ "НЕФРИТ"</t>
  </si>
  <si>
    <t>2801084253</t>
  </si>
  <si>
    <t>Г БЛАГОВЕЩЕНСК,УЛ 50 ЛЕТ ОКТЯБРЯ, Д 15</t>
  </si>
  <si>
    <t>Сухов Евгений Александрович</t>
  </si>
  <si>
    <t>56.849649,60.644358</t>
  </si>
  <si>
    <t>ОБЩЕСТВО С ОГРАНИЧЕННОЙ ОТВЕТСТВЕННОСТЬЮ "ОРЕНБУРГСКИЙ ЗАВОД "ЭКОКИРПИЧ"</t>
  </si>
  <si>
    <t>"ОРЕНБУРГСКИЙ ЗАВОД "ЭКОКИРПИЧ"</t>
  </si>
  <si>
    <t>5611057666</t>
  </si>
  <si>
    <t>460023, ОРЕНБУРГСКАЯ ОБЛАСТЬ, ГОРОД ОРЕНБУРГ, УЛИЦА ИНСТРУМЕНТАЛЬНАЯ, ДОМ 7</t>
  </si>
  <si>
    <t>Кулишев Таскалий Каримович</t>
  </si>
  <si>
    <t>+7 (353) 256-34-73'</t>
  </si>
  <si>
    <t>56.860442,60.645436</t>
  </si>
  <si>
    <t>ОБЩЕСТВО С ОГРАНИЧЕННОЙ ОТВЕТСТВЕННОСТЬЮ "РБУ МИКС-БЕТОН"</t>
  </si>
  <si>
    <t>"РБУ МИКС-БЕТОН"</t>
  </si>
  <si>
    <t>5433953316</t>
  </si>
  <si>
    <t>Г НОВОСИБИРСК,УЛ Б БОГАТКОВА, 169</t>
  </si>
  <si>
    <t>Дегтянников Виктор Васильевич</t>
  </si>
  <si>
    <t>+7 (913) 711-17-14'</t>
  </si>
  <si>
    <t>56.886631,60.647017</t>
  </si>
  <si>
    <t>5612082954</t>
  </si>
  <si>
    <t>460009, ОРЕНБУРГСКАЯ ОБЛАСТЬ, Г. ОРЕНБУРГ, УЛ. ИНСТРУМЕНТАЛЬНАЯ, Д. 5, ЛИТЕР Е1</t>
  </si>
  <si>
    <t>Проскурин Андрей Валерьевич</t>
  </si>
  <si>
    <t>buznes180419@mail.ru'</t>
  </si>
  <si>
    <t>56.866839,60.647547</t>
  </si>
  <si>
    <t>5443006106</t>
  </si>
  <si>
    <t>Г НОВОСИБИРСК,УЛ БОГАТКОВА,210</t>
  </si>
  <si>
    <t>Шихалев Сергей Владимирович</t>
  </si>
  <si>
    <t>+7 (913) 388-17-20'</t>
  </si>
  <si>
    <t>56.832442,60.652712</t>
  </si>
  <si>
    <t>ОБЩЕСТВО С ОГРАНИЧЕННОЙ ОТВЕТСТВЕННОСТЬЮ "ТЕХНОСТРОЙ-НСК"</t>
  </si>
  <si>
    <t>"ТЕХНОСТРОЙ-НСК"</t>
  </si>
  <si>
    <t>5410034997</t>
  </si>
  <si>
    <t>Г НОВОСИБИРСК,УЛ ФРУНЗЕ, 10 КОМН 221</t>
  </si>
  <si>
    <t>Жиглов Анатолий Александрович</t>
  </si>
  <si>
    <t>+7 (383) 290-70-82', '+7 (913) 010-60-80'</t>
  </si>
  <si>
    <t>56.846553,60.65803</t>
  </si>
  <si>
    <t>ОБЩЕСТВО С ОГРАНИЧЕННОЙ ОТВЕТСТВЕННОСТЬЮ "КОЛЬЦО ТУБ"</t>
  </si>
  <si>
    <t>"КОЛЬЦО ТУБ"</t>
  </si>
  <si>
    <t>5609189256</t>
  </si>
  <si>
    <t>460009, ОРЕНБУРГСКАЯ ОБЛ., Г. Оренбург, УЛ. ИНСТРУМЕНТАЛЬНАЯ, Д. 5/2, ЛИТЕРА Б</t>
  </si>
  <si>
    <t>Долгополов Михаил Юрьевич</t>
  </si>
  <si>
    <t>+7 (912) 349-25-46'</t>
  </si>
  <si>
    <t>56.837588,60.664067</t>
  </si>
  <si>
    <t>АКЦИОНЕРНОЕ ОБЩЕСТВО "ГЛАВНОВОСИБИРСКСТРОЙ"</t>
  </si>
  <si>
    <t>"ГЛАВНОВОСИБИРСКСТРОЙ"</t>
  </si>
  <si>
    <t>5406109142</t>
  </si>
  <si>
    <t>Г НОВОСИБИРСК,УЛ КАМЕНСКАЯ, 64 А</t>
  </si>
  <si>
    <t>Святобогов Игорь Анатольевич</t>
  </si>
  <si>
    <t>+7 (383) 224-75-21', '+7 (383) 224-77-01', '+7 (383) 224-45-07'</t>
  </si>
  <si>
    <t>gns@ao-gns'</t>
  </si>
  <si>
    <t>56.862268,60.665324</t>
  </si>
  <si>
    <t>ОБЩЕСТВО С ОГРАНИЧЕННОЙ ОТВЕТСТВЕННОСТЬЮ "ПРОИЗВОДСТВЕННАЯ КОМПАНИЯ "ЖБ-МАЯК"</t>
  </si>
  <si>
    <t>"ПРОИЗВОДСТВЕННАЯ КОМПАНИЯ "ЖБ-МАЯК"</t>
  </si>
  <si>
    <t>5611057602</t>
  </si>
  <si>
    <t>460009, ОРЕНБУРГСКАЯ ОБЛАСТЬ, ГОРОД ОРЕНБУРГ, УЛИЦА МАГИСТРАЛЬНАЯ, 3</t>
  </si>
  <si>
    <t>Курец Петр Владимирович</t>
  </si>
  <si>
    <t>+7 (353) 737-20-31'</t>
  </si>
  <si>
    <t>56.870317,60.667525</t>
  </si>
  <si>
    <t>ОБЩЕСТВО С ОГРАНИЧЕННОЙ ОТВЕТСТВЕННОСТЬЮ "СЕНТИ"</t>
  </si>
  <si>
    <t>"СЕНТИ"</t>
  </si>
  <si>
    <t>5611083257</t>
  </si>
  <si>
    <t>460009, ОРЕНБУРГСКАЯ ОБЛАСТЬ, Г. ОРЕНБУРГ, УЛ. КОТОВА, Д. 46/1, ОФИС 1</t>
  </si>
  <si>
    <t>Жеребцов Сергей Николаевич</t>
  </si>
  <si>
    <t>56.865259,60.667983</t>
  </si>
  <si>
    <t>ОБЩЕСТВО С ОГРАНИЧЕННОЙ ОТВЕТСТВЕННОСТЬЮ "МОЙ ДОМ"</t>
  </si>
  <si>
    <t>"МОЙ ДОМ"</t>
  </si>
  <si>
    <t>0258008893</t>
  </si>
  <si>
    <t>РЕСПУБЛИКА БАШКОРТОСТАН,Г БЛАГОВЕЩЕНСК,УЛ ШОССЕЙНАЯ,109</t>
  </si>
  <si>
    <t>Бурикова Наталья Петровна</t>
  </si>
  <si>
    <t>+7 (917) 341-32-86'</t>
  </si>
  <si>
    <t>56.827793,60.67146</t>
  </si>
  <si>
    <t>ОБЩЕСТВО С ОГРАНИЧЕННОЙ ОТВЕТСТВЕННОСТЬЮ "ДОРСТРОЙТОРГ"</t>
  </si>
  <si>
    <t>"ДОРСТРОЙТОРГ"</t>
  </si>
  <si>
    <t>5402014034</t>
  </si>
  <si>
    <t>Г НОВОСИБИРСК,УЛ КРАСИНА, 74</t>
  </si>
  <si>
    <t>Арутюнян Антон Самвелович</t>
  </si>
  <si>
    <t>+7 (913) 985-55-29', '+7 (952) 942-09-99', '+7 (913) 957-50-40'</t>
  </si>
  <si>
    <t>56.832408,60.676634</t>
  </si>
  <si>
    <t>ЗАКРЫТОЕ АКЦИОНЕРНОЕ ОБЩЕСТВО "ТЕХМАС"</t>
  </si>
  <si>
    <t>ЗАКРЫТОЕ "ТЕХМАС"</t>
  </si>
  <si>
    <t>5501049454</t>
  </si>
  <si>
    <t>Г ОМСК,УЛ 1-Я ЗАВОДСКАЯ, 23</t>
  </si>
  <si>
    <t>Полоротов Иван Филиппович</t>
  </si>
  <si>
    <t>+7 (913) 628-64-68'</t>
  </si>
  <si>
    <t>56.84006,60.694043</t>
  </si>
  <si>
    <t>ОБЩЕСТВО С ОГРАНИЧЕННОЙ ОТВЕТСТВЕННОСТЬЮ "МДО-СТРОЙ"</t>
  </si>
  <si>
    <t>"МДО-СТРОЙ"</t>
  </si>
  <si>
    <t>5404520149</t>
  </si>
  <si>
    <t>Г НОВОСИБИРСК,КРАСНЫЙ ПРОСПЕКТ, 157</t>
  </si>
  <si>
    <t>Шатилов Андрей Юрьевич</t>
  </si>
  <si>
    <t>+7 (903) 905-43-33'</t>
  </si>
  <si>
    <t>55.762611,60.698364</t>
  </si>
  <si>
    <t>ОБЩЕСТВО С ОГРАНИЧЕННОЙ ОТВЕТСТВЕННОСТЬЮ "МАКАР"</t>
  </si>
  <si>
    <t>"МАКАР"</t>
  </si>
  <si>
    <t>5638076930</t>
  </si>
  <si>
    <t>460508, ОРЕНБУРГСКАЯ ОБЛАСТЬ, РАЙОН ОРЕНБУРГСКИЙ, ПОСЕЛОК ЛЕНИНА, УЛИЦА МОСТОВАЯ, ЗДАНИЕ 1</t>
  </si>
  <si>
    <t>Орехов Максим Викторович</t>
  </si>
  <si>
    <t>55.736508,60.699254</t>
  </si>
  <si>
    <t>ОБЩЕСТВО С ОГРАНИЧЕННОЙ ОТВЕТСТВЕННОСТЬЮ "ПРОМСТРОЙКОНСТРУКЦИИ"</t>
  </si>
  <si>
    <t>"ПРОМСТРОЙКОНСТРУКЦИИ"</t>
  </si>
  <si>
    <t>5405955216</t>
  </si>
  <si>
    <t>Г НОВОСИБИРСК,ПРОСП ДЗЕРЖИНСКОГО, 87</t>
  </si>
  <si>
    <t>Магаляс Роман Васильевич</t>
  </si>
  <si>
    <t>+7 (913) 769-74-84', '+7 (913) 916-68-80'</t>
  </si>
  <si>
    <t>56.83581,60.700583</t>
  </si>
  <si>
    <t>ОБЩЕСТВО С ОГРАНИЧЕННОЙ ОТВЕТСТВЕННОСТЬЮ "ЭЛГАД-ЗСИ"</t>
  </si>
  <si>
    <t>"ЭЛГАД-ЗСИ"</t>
  </si>
  <si>
    <t>5022047202</t>
  </si>
  <si>
    <t>http://el-block.ru</t>
  </si>
  <si>
    <t>МОСКОВСКАЯ ОБЛ.,Г КОЛОМНА,ПИРОЧИНСКОЕ ШОССЕ, Д 25</t>
  </si>
  <si>
    <t>+7 (495) 628-43-13', '+7 (496) 619-27-33'</t>
  </si>
  <si>
    <t>56.747107,60.707437</t>
  </si>
  <si>
    <t>ОБЩЕСТВО С ОГРАНИЧЕННОЙ ОТВЕТСТВЕННОСТЬЮ "ДИАР"</t>
  </si>
  <si>
    <t>"ДИАР"</t>
  </si>
  <si>
    <t>4025031921</t>
  </si>
  <si>
    <t>КАЛУЖСКАЯ ОБЛ.,ЖУКОВСКИЙ Р-Н,Д ДОБРОЕ</t>
  </si>
  <si>
    <t>Брындина Анна Андреевна</t>
  </si>
  <si>
    <t>56.753197,60.713743</t>
  </si>
  <si>
    <t>ОБЩЕСТВО С ОГРАНИЧЕННОЙ ОТВЕТСТВЕННОСТЬЮ "СТРОЙБЕЛГРАД"</t>
  </si>
  <si>
    <t>"СТРОЙБЕЛГРАД"</t>
  </si>
  <si>
    <t>3123233667</t>
  </si>
  <si>
    <t>БЕЛГОРОДСКАЯ ОБЛ.,ГРАЙВОРОНСКИЙ Р-Н,С ДОБРОЕ</t>
  </si>
  <si>
    <t>Яланская Оксана Сергеевна</t>
  </si>
  <si>
    <t>+7 (952) 432-02-69'</t>
  </si>
  <si>
    <t>56.753143,60.714794</t>
  </si>
  <si>
    <t>5609089533</t>
  </si>
  <si>
    <t>Г ОРЕНБУРГ,УЛ НЕВЕЛЬСКАЯ Д 4Г</t>
  </si>
  <si>
    <t>Сорокина Татьяна Александровна</t>
  </si>
  <si>
    <t>56.789402,60.745211</t>
  </si>
  <si>
    <t>7415039590</t>
  </si>
  <si>
    <t>ЧЕЛЯБИНСКАЯ ОБЛ.,Г МИАСС,УЛ СЕВАСТОПОЛЬСКАЯ</t>
  </si>
  <si>
    <t>Кудрявцев Дмитрий Борисович</t>
  </si>
  <si>
    <t>ktv@kpd.miass'</t>
  </si>
  <si>
    <t>56.725832,60.756503</t>
  </si>
  <si>
    <t>5610241736</t>
  </si>
  <si>
    <t>460961, ОРЕНБУРГСКАЯ ОБЛ., Г. Оренбург, УЛ. 1-Й ПРОЕЗД ДОНГУЗСКИЙ, Д. 58, ОФИС 1</t>
  </si>
  <si>
    <t>Золотарева Динара Ринадовна</t>
  </si>
  <si>
    <t>D@BK.RU'</t>
  </si>
  <si>
    <t>56.798093,60.764444</t>
  </si>
  <si>
    <t>7415043438</t>
  </si>
  <si>
    <t>ЧЕЛЯБИНСКАЯ ОБЛ.,Г МИАСС,ТУРГОЯКСКОЕ ШОССЕ</t>
  </si>
  <si>
    <t>Коваленко Елена Викторовна</t>
  </si>
  <si>
    <t>56.070519,60.765837</t>
  </si>
  <si>
    <t>ПРОИЗВОДСТВЕННЫЙ КООПЕРАТИВ "ТЕХНОЛОГ"</t>
  </si>
  <si>
    <t>5609188125</t>
  </si>
  <si>
    <t>460028, ОРЕНБУРГСКАЯ ОБЛАСТЬ, ГОРОД ОРЕНБУРГ, УЛИЦА БАЗОВАЯ, ДОМ 17/1, ОФИС 2</t>
  </si>
  <si>
    <t>Протасов Илья Федорович</t>
  </si>
  <si>
    <t>56.931996,60.769951</t>
  </si>
  <si>
    <t>ОБЩЕСТВО С ОГРАНИЧЕННОЙ ОТВЕТСТВЕННОСТЬЮ "ТЕПЛОСТЕН 74"</t>
  </si>
  <si>
    <t>"ТЕПЛОСТЕН 74"</t>
  </si>
  <si>
    <t>7411021313</t>
  </si>
  <si>
    <t>ЧЕЛЯБИНСКАЯ ОБЛ.,Г КОПЕЙСК,ПРОСП СЛАВЫ, Д 31</t>
  </si>
  <si>
    <t>Волков Вячеслав Викторович</t>
  </si>
  <si>
    <t>+7 (902) 617-39-86', '+7 (999) 372-50-19'</t>
  </si>
  <si>
    <t>56.931347,60.777272</t>
  </si>
  <si>
    <t>ОБЩЕСТВО С ОГРАНИЧЕННОЙ ОТВЕТСТВЕННОСТЬЮ "ВИБРО-ПРЕСС"</t>
  </si>
  <si>
    <t>"ВИБРО-ПРЕСС"</t>
  </si>
  <si>
    <t>6722017413</t>
  </si>
  <si>
    <t>СМОЛЕНСКАЯ ОБЛ.,ВЯЗЕМСКИЙ Р-Н,Д КАЙДАКОВО,УЛ ПАРКОВАЯ</t>
  </si>
  <si>
    <t>Бурцев Роман Юрьевич</t>
  </si>
  <si>
    <t>+7 (903) 891-85-17'</t>
  </si>
  <si>
    <t>rakhimovann@bk.ru'</t>
  </si>
  <si>
    <t>56.905745,60.779401</t>
  </si>
  <si>
    <t>ПУБЛИЧНОЕ АКЦИОНЕРНОЕ ОБЩЕСТВО "САФОНОВСКИЙ СЕЛЬСКИЙ СТРОИТЕЛЬНЫЙ КОМБИНАТ"</t>
  </si>
  <si>
    <t>ПУБЛИЧНОЕ "САФОНОВСКИЙ СЕЛЬСКИЙ СТРОИТЕЛЬНЫЙ КОМБИНАТ"</t>
  </si>
  <si>
    <t>6726015022</t>
  </si>
  <si>
    <t>http://ssk-safonovo.ru</t>
  </si>
  <si>
    <t>СМОЛЕНСКАЯ ОБЛ.,Г САФОНОВО,АВТОМАГИСТРАЛЬ МОСКВА - МИНСК 297 КМ</t>
  </si>
  <si>
    <t>Михайлов Анатолий Валерьевич</t>
  </si>
  <si>
    <t>+7 (920) 660-16-06', '+7 (905) 162-01-01'</t>
  </si>
  <si>
    <t>56.932497,60.789947</t>
  </si>
  <si>
    <t>ОБЩЕСТВО С ОГРАНИЧЕННОЙ ОТВЕТСТВЕННОСТЬЮ "ВОДТЕХСЕРВИС"</t>
  </si>
  <si>
    <t>"ВОДТЕХСЕРВИС"</t>
  </si>
  <si>
    <t>5022042518</t>
  </si>
  <si>
    <t>МОСКОВСКАЯ ОБЛ.,Г КОЛОМНА,ВОДОВОЗНЫЙ ПЕР, Д 9</t>
  </si>
  <si>
    <t>Колинько Константин Анатольевич</t>
  </si>
  <si>
    <t>+7 (916) 500-20-17'</t>
  </si>
  <si>
    <t>56.931023,60.793765</t>
  </si>
  <si>
    <t>ОБЩЕСТВО С ОГРАНИЧЕННОЙ ОТВЕТСТВЕННОСТЬЮ "КАМПЛИТ"</t>
  </si>
  <si>
    <t>"КАМПЛИТ"</t>
  </si>
  <si>
    <t>5610229760</t>
  </si>
  <si>
    <t>460034, ОРЕНБУРГСКАЯ ОБЛ, ОРЕНБУРГ Г, ЦЕНТРАЛЬНАЯ УЛ, ДОМ 31А</t>
  </si>
  <si>
    <t>Ионов Евгений Михайлович</t>
  </si>
  <si>
    <t>+7 (922) 829-74-87'</t>
  </si>
  <si>
    <t>56.908778,60.7962</t>
  </si>
  <si>
    <t>ОБЩЕСТВО С ОГРАНИЧЕННОЙ ОТВЕТСТВЕННОСТЬЮ "СФБ ДЕКОР"</t>
  </si>
  <si>
    <t>"СФБ ДЕКОР"</t>
  </si>
  <si>
    <t>5610239198</t>
  </si>
  <si>
    <t>460014, ОРЕНБУРГСКАЯ ОБЛ., Г. Оренбург, ПЕР. ДМИТРИЕВСКИЙ, Д. 2,..</t>
  </si>
  <si>
    <t>Рахметов Ильяс Загитович</t>
  </si>
  <si>
    <t>FAM0901@MAIL.RU'</t>
  </si>
  <si>
    <t>ОБЩЕСТВО С ОГРАНИЧЕННОЙ ОТВЕТСТВЕННОСТЬЮ "ПРОМЖБИЭНЕРГОСТРОЙ"</t>
  </si>
  <si>
    <t>"ПРОМЖБИЭНЕРГОСТРОЙ"</t>
  </si>
  <si>
    <t>5610233799</t>
  </si>
  <si>
    <t>460014, ОРЕНБУРГСКАЯ ОБЛ, ОРЕНБУРГ Г, ЧЕЛЮСКИНЦЕВ УЛ, ДОМ 17/4,..</t>
  </si>
  <si>
    <t>Калугина Татьяна Викторовна</t>
  </si>
  <si>
    <t>56.750976,60.807779</t>
  </si>
  <si>
    <t>ОБЩЕСТВО С ОГРАНИЧЕННОЙ ОТВЕТСТВЕННОСТЬЮ "ВИС"</t>
  </si>
  <si>
    <t>"ВИС"</t>
  </si>
  <si>
    <t>5610069115</t>
  </si>
  <si>
    <t>Г ОРЕНБУРГ,УЛ ЦЕНТРАЛЬНАЯ Д 30</t>
  </si>
  <si>
    <t xml:space="preserve"> Директор Фролова Валентина Александровна</t>
  </si>
  <si>
    <t>56.7668,60.811229</t>
  </si>
  <si>
    <t>ОБЩЕСТВО С ОГРАНИЧЕННОЙ ОТВЕТСТВЕННОСТЬЮ "ПЛИТКА 56"</t>
  </si>
  <si>
    <t>"ПЛИТКА 56"</t>
  </si>
  <si>
    <t>5610165725</t>
  </si>
  <si>
    <t>460027, Оренбургская область, г Оренбург, ул Беляевская д 20</t>
  </si>
  <si>
    <t>Мустафин Денис Равхатович</t>
  </si>
  <si>
    <t>+7 (922) 531-75-99'</t>
  </si>
  <si>
    <t>ant_poletaeva@mail.ru'</t>
  </si>
  <si>
    <t>56.761901,60.814696</t>
  </si>
  <si>
    <t>5610226745</t>
  </si>
  <si>
    <t>460045, ОРЕНБУРГСКАЯ ОБЛ, ОРЕНБУРГ Г, БЕЛЯЕВСКАЯ УЛ, ДОМ 20</t>
  </si>
  <si>
    <t>Вождаев Сергей Анатольевич</t>
  </si>
  <si>
    <t>+7 (903) 360-11-11'</t>
  </si>
  <si>
    <t>56.765463,60.819754</t>
  </si>
  <si>
    <t>ОБЩЕСТВО С ОГРАНИЧЕННОЙ ОТВЕТСТВЕННОСТЬЮ "БЛОКПЛИТ"</t>
  </si>
  <si>
    <t>"БЛОКПЛИТ"</t>
  </si>
  <si>
    <t>5610243892</t>
  </si>
  <si>
    <t>460000, ОРЕНБУРГСКАЯ ОБЛ., Г. Оренбург, УЛ. БЕЛЯЕВСКАЯ, Д. 34, ОФИС 2</t>
  </si>
  <si>
    <t>Кодяков Андрей Александрович</t>
  </si>
  <si>
    <t>ОБЩЕСТВО С ОГРАНИЧЕННОЙ ОТВЕТСТВЕННОСТЬЮ "АМ-СТРОЙ"</t>
  </si>
  <si>
    <t>"АМ-СТРОЙ"</t>
  </si>
  <si>
    <t>5609185050</t>
  </si>
  <si>
    <t>460044, ОРЕНБУРГСКАЯ ОБЛ, ОРЕНБУРГ Г, БЕРЕЗКА УЛ, ДОМ 6/1,..</t>
  </si>
  <si>
    <t>Ибатуллин Марат Равильевич</t>
  </si>
  <si>
    <t>+7 (922) 547-71-77'</t>
  </si>
  <si>
    <t>56.762745,60.821433</t>
  </si>
  <si>
    <t>ОБЩЕСТВО С ОГРАНИЧЕННОЙ ОТВЕТСТВЕННОСТЬЮ "УЮТПЛЮС"</t>
  </si>
  <si>
    <t>"УЮТПЛЮС"</t>
  </si>
  <si>
    <t>0260995848</t>
  </si>
  <si>
    <t>452306, БАШКОРТОСТАН РЕСПУБЛИКА, Р-Н ДЮРТЮЛИНСКИЙ, С АКАНЕЕВО, УЛ. РЕВОЛЮЦИОННАЯ, Д. 11</t>
  </si>
  <si>
    <t>Кабиров Альмир Робертович</t>
  </si>
  <si>
    <t>KAR51178@MAIL.RU'</t>
  </si>
  <si>
    <t>56.755867,60.821766</t>
  </si>
  <si>
    <t>ОБЩЕСТВО С ОГРАНИЧЕННОЙ ОТВЕТСТВЕННОСТЬЮ "КОПЕЙСКСТРОЙИНДУСТРИЯ"</t>
  </si>
  <si>
    <t>"КОПЕЙСКСТРОЙИНДУСТРИЯ"</t>
  </si>
  <si>
    <t>7411022162</t>
  </si>
  <si>
    <t>ЧЕЛЯБИНСКАЯ ОБЛ.,Г КОПЕЙСК,УЛ КЕМЕРОВСКАЯ, Д 18</t>
  </si>
  <si>
    <t>Дылейко Дмитрий Геннадьевич</t>
  </si>
  <si>
    <t>+7 (905) 834-42-41'</t>
  </si>
  <si>
    <t>56.766825,60.8235</t>
  </si>
  <si>
    <t>ОБЩЕСТВО С ОГРАНИЧЕННОЙ ОТВЕТСТВЕННОСТЬЮ "СК ЭВЕРЕСТ"</t>
  </si>
  <si>
    <t>"СК ЭВЕРЕСТ"</t>
  </si>
  <si>
    <t>5638071266</t>
  </si>
  <si>
    <t>460044, ОРЕНБУРГСКАЯ ОБЛАСТЬ, Г. ОРЕНБУРГ, УЛ. СЕРГЕЯ ЛАЗО, Д. 8, ОФИС 21</t>
  </si>
  <si>
    <t>Мндлян Погос Валерикович</t>
  </si>
  <si>
    <t>56.508565,60.833785</t>
  </si>
  <si>
    <t>ОБЩЕСТВО С ОГРАНИЧЕННОЙ ОТВЕТСТВЕННОСТЬЮ "МОНОЛИТ-СТРОЙ"</t>
  </si>
  <si>
    <t>"МОНОЛИТ-СТРОЙ"</t>
  </si>
  <si>
    <t>5609190251</t>
  </si>
  <si>
    <t>460045, Оренбургская область, городской округ ГОРОД ОРЕНБУРГ, Город ОРЕНБУРГ, УЛ БЕЛЯЕВСКАЯ, Д. 23,..</t>
  </si>
  <si>
    <t>Тукаев Кайрат Сагиданович</t>
  </si>
  <si>
    <t>50.823772,60.853665</t>
  </si>
  <si>
    <t>1655401492</t>
  </si>
  <si>
    <t>460048, Оренбургская область, городской округ ГОРОД ОРЕНБУРГ, Город ОРЕНБУРГ, ПР-КТ ПОБЕДЫ, Д. 157/5,..</t>
  </si>
  <si>
    <t>Бережная Екатерина Викторовна</t>
  </si>
  <si>
    <t>z_kpd@mail.ru'</t>
  </si>
  <si>
    <t>55.499357,60.876078</t>
  </si>
  <si>
    <t>ОБЩЕСТВО С ОГРАНИЧЕННОЙ ОТВЕТСТВЕННОСТЬЮ "СТРОНГРУП-ОРЕНБУРГ"</t>
  </si>
  <si>
    <t>"СТРОНГРУП-ОРЕНБУРГ"</t>
  </si>
  <si>
    <t>5609096668</t>
  </si>
  <si>
    <t>460019, ОРЕНБУРГСКАЯ ОБЛАСТЬ, ГОРОД ОРЕНБУРГ, УЛИЦА РАДУЖНАЯ (ПОСЕЛОК КУШКУЛЬ МКР.), ДОМ 1</t>
  </si>
  <si>
    <t>Перепелица Дмитрий Вячеславович</t>
  </si>
  <si>
    <t>+7 (912) 350-35-15'</t>
  </si>
  <si>
    <t>904752@mail.ru'</t>
  </si>
  <si>
    <t>56.484158,60.916089</t>
  </si>
  <si>
    <t>ОБЩЕСТВО С ОГРАНИЧЕННОЙ ОТВЕТСТВЕННОСТЬЮ "БЛОКИ БЕССЕР"</t>
  </si>
  <si>
    <t>"БЛОКИ БЕССЕР"</t>
  </si>
  <si>
    <t>5612170696</t>
  </si>
  <si>
    <t>460005, ОРЕНБУРГСКАЯ ОБЛАСТЬ, Г. ОРЕНБУРГ, УЛ. ТОМИЛИНСКАЯ, Д. 236,..</t>
  </si>
  <si>
    <t>+7 (912) 846-80-21'</t>
  </si>
  <si>
    <t>968021@mai.ru'</t>
  </si>
  <si>
    <t>56.747047,60.939113</t>
  </si>
  <si>
    <t>ОБЩЕСТВО С ОГРАНИЧЕННОЙ ОТВЕТСТВЕННОСТЬЮ "СТЕНА"</t>
  </si>
  <si>
    <t>"СТЕНА"</t>
  </si>
  <si>
    <t>5612175976</t>
  </si>
  <si>
    <t>460048, ОРЕНБУРГСКАЯ ОБЛ., Г. Оренбург, УЛ. ТОМИЛИНСКАЯ, Д. 236,..</t>
  </si>
  <si>
    <t>Фефелова Алла Сергеевна</t>
  </si>
  <si>
    <t>56.710347,60.963412</t>
  </si>
  <si>
    <t>ОБЩЕСТВО С ОГРАНИЧЕННОЙ ОТВЕТСТВЕННОСТЬЮ "ЖЕЛЕЗОБЕТОН 56"</t>
  </si>
  <si>
    <t>"ЖЕЛЕЗОБЕТОН 56"</t>
  </si>
  <si>
    <t>5612173633</t>
  </si>
  <si>
    <t>460026, ОРЕНБУРГСКАЯ ОБЛАСТЬ, ГОРОД ОРЕНБУРГ, УЛИЦА ОДЕССКАЯ, ДОМ 100, ОФИС 26/1</t>
  </si>
  <si>
    <t>Ложкин Станислав Олегович</t>
  </si>
  <si>
    <t>+7 (353) 720-39-74'</t>
  </si>
  <si>
    <t>56.710421,60.965694</t>
  </si>
  <si>
    <t>ОБЩЕСТВО С ОГРАНИЧЕННОЙ ОТВЕТСТВЕННОСТЬЮ ВЯЗЕМСКОЕ НАУЧНО-ПРОИЗВОДСТВЕННОЕ ОБЪЕДИНЕНИЕ "РЕСУРС"</t>
  </si>
  <si>
    <t>ВЯЗЕМСКОЕ НАУЧНО-ПРОИЗВОДСТВЕННОЕ ОБЪЕДИНЕНИЕ "РЕСУРС"</t>
  </si>
  <si>
    <t>6722031295</t>
  </si>
  <si>
    <t>СМОЛЕНСКАЯ ОБЛ.,Г ВЯЗЬМА,3,УЛ 2 БОЗНЯ</t>
  </si>
  <si>
    <t>Газимагомедов Залимхан Магомедтагирович</t>
  </si>
  <si>
    <t>+7 (910) 117-57-70'</t>
  </si>
  <si>
    <t>nporesort@nporesort.ru', '67buh@mail.ru', 'vnporesurs67@mail.ru'</t>
  </si>
  <si>
    <t>56.621073,61.068138</t>
  </si>
  <si>
    <t>ОБЩЕСТВО С ОГРАНИЧЕННОЙ ОТВЕТСТВЕННОСТЬЮ "АПЕКС-ТРЕЙД"</t>
  </si>
  <si>
    <t>"АПЕКС-ТРЕЙД"</t>
  </si>
  <si>
    <t>5048005510</t>
  </si>
  <si>
    <t>МОСКОВСКАЯ ОБЛ.,Г ЧЕХОВ,УЛ НОВОСЕЛЬСКАЯ, Д 2</t>
  </si>
  <si>
    <t>Епифанов Андрей Александрович</t>
  </si>
  <si>
    <t>+7 (496) 722-12-11'</t>
  </si>
  <si>
    <t>55.253553,61.110736</t>
  </si>
  <si>
    <t>ОБЩЕСТВО С ОГРАНИЧЕННОЙ ОТВЕТСТВЕННОСТЬЮ "ОРТЕХСЕРВИС"</t>
  </si>
  <si>
    <t>"ОРТЕХСЕРВИС"</t>
  </si>
  <si>
    <t>5609178470</t>
  </si>
  <si>
    <t>Г ОРЕНБУРГ,УЛ БЕЛЯЕВСКАЯ Д 57..</t>
  </si>
  <si>
    <t>Бондаренко Дмитрий Андреевич</t>
  </si>
  <si>
    <t>54.790521,61.231676</t>
  </si>
  <si>
    <t>ЗАКРЫТОЕ АКЦИОНЕРНОЕ ОБЩЕСТВО "ЖБИ-2"</t>
  </si>
  <si>
    <t>ЗАКРЫТОЕ "ЖБИ-2"</t>
  </si>
  <si>
    <t>7449010303</t>
  </si>
  <si>
    <t>Г ЧЕЛЯБИНСК,КОПЕЙСКОЕ ШОССЕ, Д 50</t>
  </si>
  <si>
    <t>Иванов Александр Федорович</t>
  </si>
  <si>
    <t>+7 (351) 253-67-65', '+7 (351) 253-69-83', '+7 (351) 253-34-55'</t>
  </si>
  <si>
    <t>ekon_gbi2@inbox.ru'</t>
  </si>
  <si>
    <t>54.454313,61.251592</t>
  </si>
  <si>
    <t>ОБЩЕСТВО С ОГРАНИЧЕННОЙ ОТВЕТСТВЕННОСТЬЮ ПРЕДПРИЯТИЕ "УММ"</t>
  </si>
  <si>
    <t>ПРЕДПРИЯТИЕ "УММ"</t>
  </si>
  <si>
    <t>7449010060</t>
  </si>
  <si>
    <t>Г ЧЕЛЯБИНСК,УЛ ЕНИСЕЙСКАЯ, Д 42</t>
  </si>
  <si>
    <t>Хамидулин Зинур Ануарович</t>
  </si>
  <si>
    <t>+7 (351) 255-30-02', '+7 (351) 265-83-56', '+7 (351) 259-36-40', '+7 (351) 259-72-37', '+7 (351) 259-76-09'</t>
  </si>
  <si>
    <t>55.154877,61.259793</t>
  </si>
  <si>
    <t>ОБЩЕСТВО С ОГРАНИЧЕННОЙ ОТВЕТСТВЕННОСТЬЮ "ВОЗНЕСЕНСКИЙ ЗАВОД ЖЕЛЕЗОБЕТОННЫХ ИЗДЕЛИЙ"</t>
  </si>
  <si>
    <t>"ВОЗНЕСЕНСКИЙ ЗАВОД ЖЕЛЕЗОБЕТОННЫХ ИЗДЕЛИЙ"</t>
  </si>
  <si>
    <t>7460014414</t>
  </si>
  <si>
    <t>Г ЧЕЛЯБИНСК,УЛ ХУДЯКОВА, Д 16-А</t>
  </si>
  <si>
    <t>Ленк Максим Павлович</t>
  </si>
  <si>
    <t>+7 (902) 601-52-29', '+7 (902) 600-06-06', '+7 (951) 487-85-22'</t>
  </si>
  <si>
    <t>55.169617,61.283015</t>
  </si>
  <si>
    <t>ОБЩЕСТВО С ОГРАНИЧЕННОЙ ОТВЕТСТВЕННОСТЬЮ "БЕТОНСТРОЙКОМПЛЕКТ ПЛЮС"</t>
  </si>
  <si>
    <t>"БЕТОНСТРОЙКОМПЛЕКТ ПЛЮС"</t>
  </si>
  <si>
    <t>5638072397</t>
  </si>
  <si>
    <t>460528, ОРЕНБУРГСКАЯ ОБЛ, ОРЕНБУРГСКИЙ Р-Н, ВЕСЕННИЙ П, БЕРЕГОВАЯ УЛ, ДОМ 14</t>
  </si>
  <si>
    <t>Абдуллаев Фарход Каримович</t>
  </si>
  <si>
    <t>+7 (905) 888-88-81', '+7 (903) 367-93-91'</t>
  </si>
  <si>
    <t>55.218677,61.289384</t>
  </si>
  <si>
    <t>ОБЩЕСТВО С ОГРАНИЧЕННОЙ ОТВЕТСТВЕННОСТЬЮ "ОРЕНБУРГСКИЙ ЗАВОД КЕРАМЗИТОБЛОКОВ"</t>
  </si>
  <si>
    <t>"ОРЕНБУРГСКИЙ ЗАВОД КЕРАМЗИТОБЛОКОВ"</t>
  </si>
  <si>
    <t>5612174443</t>
  </si>
  <si>
    <t>460000, ОРЕНБУРГСКАЯ ОБЛ., Г. Оренбург, УЛ. АВТОРЕМОНТНАЯ, ЗД. 17/3</t>
  </si>
  <si>
    <t>Малёв Сергей Николаевич</t>
  </si>
  <si>
    <t>55.20524,61.291306</t>
  </si>
  <si>
    <t>ОБЩЕСТВО С ОГРАНИЧЕННОЙ ОТВЕТСТВЕННОСТЬЮ "МОСТОВЫЕ КОНСТРУКЦИИ "ТРЕСТ МОСТОСТРОЙ -10""</t>
  </si>
  <si>
    <t>"МОСТОВЫЕ КОНСТРУКЦИИ "ТРЕСТ МОСТОСТРОЙ -10""</t>
  </si>
  <si>
    <t>2808016598</t>
  </si>
  <si>
    <t>АМУРСКАЯ ОБЛ.,Г ТЫНДА</t>
  </si>
  <si>
    <t>Тур Виктор Иванович</t>
  </si>
  <si>
    <t>55.218975,61.298062</t>
  </si>
  <si>
    <t>ОБЩЕСТВО С ОГРАНИЧЕННОЙ ОТВЕТСТВЕННОСТЬЮ "МОНОЛИТ-56"</t>
  </si>
  <si>
    <t>"МОНОЛИТ-56"</t>
  </si>
  <si>
    <t>5609189231</t>
  </si>
  <si>
    <t>460027, ОРЕНБУРГСКАЯ ОБЛАСТЬ, ГОРОД ОРЕНБУРГ, УЛИЦА АВТОРЕМОНТНАЯ, ДОМ 13, КАБИНЕТ 23</t>
  </si>
  <si>
    <t>Бибаев Руслан Юрьевич</t>
  </si>
  <si>
    <t>+7 (950) 189-44-37'</t>
  </si>
  <si>
    <t>ooomonolit56@gmail.com'</t>
  </si>
  <si>
    <t>55.160283,61.301242</t>
  </si>
  <si>
    <t>Общество с ограниченной ответственностью "Оренбургская региональная многоотраслевая ассоциация "Маркет-56"</t>
  </si>
  <si>
    <t>"Оренбургская региональная многоотраслевая ассоциация "Маркет-56"</t>
  </si>
  <si>
    <t>5612069738</t>
  </si>
  <si>
    <t>460052, ОРЕНБУРГСКАЯ ОБЛАСТЬ, Г. ОРЕНБУРГ, УЛ. ДЖАНГИЛЬДИНА, Д. 3, ОФИС 7</t>
  </si>
  <si>
    <t>Платонов Роман Михайлович</t>
  </si>
  <si>
    <t>55.17592,61.303227</t>
  </si>
  <si>
    <t>ОБЩЕСТВО С ОГРАНИЧЕННОЙ ОТВЕТСТВЕННОСТЬЮ "ЮПИТЕР"</t>
  </si>
  <si>
    <t>"ЮПИТЕР"</t>
  </si>
  <si>
    <t>5609095618</t>
  </si>
  <si>
    <t>460052, ОРЕНБУРГСКАЯ ОБЛАСТЬ, Г. ОРЕНБУРГ, УЛ. ПРОСТОРНАЯ, Д. 19, К. 2,..</t>
  </si>
  <si>
    <t>Ерополов Юрий Александрович</t>
  </si>
  <si>
    <t>+7 (912) 846-89-40'</t>
  </si>
  <si>
    <t>56.799291,61.309228</t>
  </si>
  <si>
    <t>ОБЩЕСТВО С ОГРАНИЧЕННОЙ ОТВЕТСТВЕННОСТЬЮ "СТРОИТЕЛЬНАЯ КОМПАНИЯ "БЕТОН-М"</t>
  </si>
  <si>
    <t>"СТРОИТЕЛЬНАЯ КОМПАНИЯ "БЕТОН-М"</t>
  </si>
  <si>
    <t>2801207138</t>
  </si>
  <si>
    <t>АМУРСКАЯ ОБЛ.,Г ТЫНДА,УЛ СОВЕТСКАЯ, Д 57</t>
  </si>
  <si>
    <t>Зинченко Михаил Сергеевич</t>
  </si>
  <si>
    <t>55.231709,61.317277</t>
  </si>
  <si>
    <t>ОБЩЕСТВО С ОГРАНИЧЕННОЙ ОТВЕТСТВЕННОСТЬЮ "СаБ"</t>
  </si>
  <si>
    <t>"СаБ"</t>
  </si>
  <si>
    <t>5957017709</t>
  </si>
  <si>
    <t>Г ЧЕЛЯБИНСК,УЛ ЦВИЛЛИНГА, Д 35</t>
  </si>
  <si>
    <t>Ряузов Павел Петрович</t>
  </si>
  <si>
    <t>55.207531,61.323484</t>
  </si>
  <si>
    <t>ОБЩЕСТВО С ОГРАНИЧЕННОЙ ОТВЕТСТВЕННОСТЬЮ "УРАЛ ПАРТНЕР"</t>
  </si>
  <si>
    <t>"УРАЛ ПАРТНЕР"</t>
  </si>
  <si>
    <t>5609192604</t>
  </si>
  <si>
    <t>460052, ОРЕНБУРГСКАЯ ОБЛ, ОРЕНБУРГ Г, ДЖАНГИЛЬДИНА УЛ, ДОМ 9/1,..</t>
  </si>
  <si>
    <t>Щеголев Сергей Александрович</t>
  </si>
  <si>
    <t>57.321776,61.328595</t>
  </si>
  <si>
    <t>7451097189</t>
  </si>
  <si>
    <t>Г ЧЕЛЯБИНСК,УЛ СВОБОДЫ, Д 139</t>
  </si>
  <si>
    <t>Корчагин Игорь Анатольевич</t>
  </si>
  <si>
    <t>+7 (351) 230-60-45'</t>
  </si>
  <si>
    <t>stepnoi74@mail.ru'</t>
  </si>
  <si>
    <t>55.175046,61.337803</t>
  </si>
  <si>
    <t>ОБЩЕСТВО С ОГРАНИЧЕННОЙ ОТВЕТСТВЕННОСТЬЮ "ВОРЛД ПРАЙС"</t>
  </si>
  <si>
    <t>"ВОРЛД ПРАЙС"</t>
  </si>
  <si>
    <t>7453179750</t>
  </si>
  <si>
    <t>Г ЧЕЛЯБИНСК,УЛ ЦВИЛЛИНГА, Д 25</t>
  </si>
  <si>
    <t>Пухов Денис Александрович</t>
  </si>
  <si>
    <t>+7 (351) 233-11-67'</t>
  </si>
  <si>
    <t>55.111845,61.337866</t>
  </si>
  <si>
    <t>ОБЩЕСТВО С ОГРАНИЧЕННОЙ ОТВЕТСТВЕННОСТЬЮ "УРАЛЭНЕРГОКОМПЛЕКТ"</t>
  </si>
  <si>
    <t>"УРАЛЭНЕРГОКОМПЛЕКТ"</t>
  </si>
  <si>
    <t>7451359490</t>
  </si>
  <si>
    <t>Г ЧЕЛЯБИНСК,ТРОИЦКИЙ ТРАКТ, Д 29</t>
  </si>
  <si>
    <t>Дашкин Валерий Сергеевич</t>
  </si>
  <si>
    <t>+7 (351) 262-10-41', '+7 (351) 262-10-39'</t>
  </si>
  <si>
    <t>style@mail.ru'</t>
  </si>
  <si>
    <t>55.178115,61.344208</t>
  </si>
  <si>
    <t>7452052085</t>
  </si>
  <si>
    <t>Г ЧЕЛЯБИНСК,УЛ САЛЮТНАЯ, Д 11</t>
  </si>
  <si>
    <t>Тартаковский Станислав Викторович</t>
  </si>
  <si>
    <t>+7 (351) 774-17-34', '+7 (351) 774-50-51'</t>
  </si>
  <si>
    <t>55.113679,61.345915</t>
  </si>
  <si>
    <t>ОБЩЕСТВО С ОГРАНИЧЕННОЙ ОТВЕТСТВЕННОСТЬЮ " УДАЧА "</t>
  </si>
  <si>
    <t>" УДАЧА "</t>
  </si>
  <si>
    <t>4003000704</t>
  </si>
  <si>
    <t>КАЛУЖСКАЯ ОБЛ.,БОРОВСКИЙ Р-Н,Г БАЛАБАНОВО,УЛ 50-ЛЕТ ОКТЯБРЯ Д 1 КОМНАТА 26</t>
  </si>
  <si>
    <t>Гуськов Дмитрий Витальевич</t>
  </si>
  <si>
    <t>55.195555,61.346355</t>
  </si>
  <si>
    <t>ОБЩЕСТВО С ОГРАНИЧЕННОЙ ОТВЕТСТВЕННОСТЬЮ "РЕГИОНСТРОЙ"</t>
  </si>
  <si>
    <t>"РЕГИОНСТРОЙ"</t>
  </si>
  <si>
    <t>7457002786</t>
  </si>
  <si>
    <t>Г ЧЕЛЯБИНСК,ПЕР МАМИНА, Д 1-Б,..</t>
  </si>
  <si>
    <t>Леонтьев Михаил Вячеславович</t>
  </si>
  <si>
    <t>+7 (902) 897-07-50', '+7 (982) 285-10-02'</t>
  </si>
  <si>
    <t>55.174949,61.352194</t>
  </si>
  <si>
    <t>ОБЩЕСТВО С ОГРАНИЧЕННОЙ ОТВЕТСТВЕННОСТЬЮ "ЗАВОД СОВРЕМЕННЫХ СТЕНОВЫХ МАТЕРИАЛОВ "АФИНА"</t>
  </si>
  <si>
    <t>"ЗАВОД СОВРЕМЕННЫХ СТЕНОВЫХ МАТЕРИАЛОВ "АФИНА"</t>
  </si>
  <si>
    <t>7448089082</t>
  </si>
  <si>
    <t>Г ЧЕЛЯБИНСК,КОМСОМОЛЬСКИЙ ПРОСП, Д 92</t>
  </si>
  <si>
    <t>Гафаров Ринат Раисович</t>
  </si>
  <si>
    <t>+7 (922) 235-54-70', '+7 (919) 125-39-81'</t>
  </si>
  <si>
    <t>55.108081,61.353389</t>
  </si>
  <si>
    <t>ОБЩЕСТВО С ОГРАНИЧЕННОЙ ОТВЕТСТВЕННОСТЬЮ "ПРОИЗВОДСТВЕННАЯ СТРОИТЕЛЬНАЯ КОМПАНИЯ"</t>
  </si>
  <si>
    <t>"ПРОИЗВОДСТВЕННАЯ СТРОИТЕЛЬНАЯ КОМПАНИЯ"</t>
  </si>
  <si>
    <t>7404035266</t>
  </si>
  <si>
    <t>ЧЕЛЯБИНСКАЯ ОБЛ.,Г ЗЛАТОУСТ,РАЙОН ХЛАДОКОМБИНАТА</t>
  </si>
  <si>
    <t>Белавин Владимир Владимирович</t>
  </si>
  <si>
    <t>+7 (922) 235-84-59'</t>
  </si>
  <si>
    <t>55.099191,61.355141</t>
  </si>
  <si>
    <t>ОБЩЕСТВО С ОГРАНИЧЕННОЙ ОТВЕТСТВЕННОСТЬЮ "ЛИМАРК"</t>
  </si>
  <si>
    <t>"ЛИМАРК"</t>
  </si>
  <si>
    <t>5611069069</t>
  </si>
  <si>
    <t>460528, ОРЕНБУРГСКАЯ ОБЛ, ОРЕНБУРГСКИЙ Р-Н, ИВАНОВКА С, КЛЕНОВЫЙ ПЕР, ДОМ 11</t>
  </si>
  <si>
    <t>Мартиросян Камо Шаэнович</t>
  </si>
  <si>
    <t>limark459925@yandex.ru'</t>
  </si>
  <si>
    <t>55.205137,61.355868</t>
  </si>
  <si>
    <t>1659158626</t>
  </si>
  <si>
    <t>РЕСПУБЛИКА ТАТАРСТАН (ТАТАРСТАН),АПАСТОВСКИЙ Р-Н,Д ШЕМЯКОВО</t>
  </si>
  <si>
    <t>Исупова Екатерина Анваровна</t>
  </si>
  <si>
    <t>ОБЩЕСТВО С ОГРАНИЧЕННОЙ ОТВЕТСТВЕННОСТЬЮ "МОНОЛИТ-ДЕКОР"</t>
  </si>
  <si>
    <t>"МОНОЛИТ-ДЕКОР"</t>
  </si>
  <si>
    <t>5610238860</t>
  </si>
  <si>
    <t>460008, ОРЕНБУРГСКАЯ ОБЛАСТЬ, ГОРОД ОРЕНБУРГ, ПЕРЕУЛОК ХОЛМСКИЙ, ДОМ 3, ОФИС 11</t>
  </si>
  <si>
    <t>Дьяконов Илья Андреевич</t>
  </si>
  <si>
    <t>55.181349,61.359605</t>
  </si>
  <si>
    <t>ОБЩЕСТВО С ОГРАНИЧЕННОЙ ОТВЕТСТВЕННОСТЬЮ "ОПС"</t>
  </si>
  <si>
    <t>"ОПС"</t>
  </si>
  <si>
    <t>5609086250</t>
  </si>
  <si>
    <t>460528, ОРЕНБУРГСКАЯ ОБЛ, ОРЕНБУРГСКИЙ Р-Н, ИВАНОВКА С, САДОВАЯ УЛ, ДОМ 40</t>
  </si>
  <si>
    <t>Бояршинов Александр Сергеевич</t>
  </si>
  <si>
    <t>55.184659,61.367295</t>
  </si>
  <si>
    <t>ОТКРЫТОЕ АКЦИОНЕРНОЕ ОБЩЕСТВО  "ЗАВОД ЖБИ"</t>
  </si>
  <si>
    <t>ОТКРЫТОЕ  "ЗАВОД ЖБИ"</t>
  </si>
  <si>
    <t>6722000040</t>
  </si>
  <si>
    <t>СМОЛЕНСКАЯ ОБЛ.,Г ВЯЗЬМА,СЫЧЕВСКОЕ ШОССЕ Д 42</t>
  </si>
  <si>
    <t>Зверьков Евгений Васильевич</t>
  </si>
  <si>
    <t>vjazjbi@yandex.ru', 'petrova@zavod67.ru', 'admin@zavod67.ru', '67@yandex.ru'</t>
  </si>
  <si>
    <t>55.13039,61.368732</t>
  </si>
  <si>
    <t>АКЦИОНЕРНОЕ ОБЩЕСТВО "ВЯЗЕМСКИЙ ДОМОСТРОИТЕЛЬНЫЙ КОМБИНАТ"</t>
  </si>
  <si>
    <t>"ВЯЗЕМСКИЙ ДОМОСТРОИТЕЛЬНЫЙ КОМБИНАТ"</t>
  </si>
  <si>
    <t>6722000762</t>
  </si>
  <si>
    <t>http://dsk-v.ru</t>
  </si>
  <si>
    <t>СМОЛЕНСКАЯ ОБЛ.,Г ВЯЗЬМА,СЫЧЕВСКОЕ ШОССЕ Д 50</t>
  </si>
  <si>
    <t>Сулейманова Галина Владимировна</t>
  </si>
  <si>
    <t>inform@dsk-v'</t>
  </si>
  <si>
    <t>ОБЩЕСТВО С ОГРАНИЧЕННОЙ ОТВЕТСТВЕННОСТЬЮ "ТРОП-А"</t>
  </si>
  <si>
    <t>"ТРОП-А"</t>
  </si>
  <si>
    <t>7450018138</t>
  </si>
  <si>
    <t>Г ЧЕЛЯБИНСК,УЛ ХЛЕБОЗАВОДСКАЯ, Д 3</t>
  </si>
  <si>
    <t>Ершов Николай Иванович</t>
  </si>
  <si>
    <t>+7 (351) 724-23-21', '+7 (902) 610-33-14'</t>
  </si>
  <si>
    <t>ОБЩЕСТВО С ОГРАНИЧЕННОЙ ОТВЕТСТВЕННОСТЬЮ "ТОПРОС"</t>
  </si>
  <si>
    <t>"ТОПРОС"</t>
  </si>
  <si>
    <t>5005003371</t>
  </si>
  <si>
    <t>МОСКОВСКАЯ ОБЛ.,Г ВОСКРЕСЕНСК,УЛ ГАРАЖНАЯ, Д 1</t>
  </si>
  <si>
    <t>Молуков Иван Дмитриевич</t>
  </si>
  <si>
    <t>55.089578,61.373996</t>
  </si>
  <si>
    <t>ОБЩЕСТВО С ОГРАНИЧЕННОЙ ОТВЕТСТВЕННОСТЬЮ "ВОСКРЕСЕНСКИЙ ЗАВОД  ЖБКИИ"</t>
  </si>
  <si>
    <t>"ВОСКРЕСЕНСКИЙ ЗАВОД  ЖБКИИ"</t>
  </si>
  <si>
    <t>5005031192</t>
  </si>
  <si>
    <t>http://gbki.ru</t>
  </si>
  <si>
    <t>МОСКОВСКАЯ ОБЛ.,Г ВОСКРЕСЕНСК,УЛ ГАРАЖНАЯ, СТРОЕН 5</t>
  </si>
  <si>
    <t>Коршунов Николай Григорьевич</t>
  </si>
  <si>
    <t>buh@gbki.ru'</t>
  </si>
  <si>
    <t>55.157701,61.374742</t>
  </si>
  <si>
    <t>ОБЩЕСТВО С ОГРАНИЧЕННОЙ ОТВЕТСТВЕННОСТЬЮ "БЕССЕР-ВОСКРЕСЕНСК"</t>
  </si>
  <si>
    <t>"БЕССЕР-ВОСКРЕСЕНСК"</t>
  </si>
  <si>
    <t>5005037564</t>
  </si>
  <si>
    <t>МОСКОВСКАЯ ОБЛ.,Г ВОСКРЕСЕНСК,УЛ ГАРАЖНАЯ, СТР 5</t>
  </si>
  <si>
    <t>Привалов Юрий Николаевич</t>
  </si>
  <si>
    <t>55.148102,61.375568</t>
  </si>
  <si>
    <t>ОБЩЕСТВО С ОГРАНИЧЕННОЙ ОТВЕТСТВЕННОСТЬЮ  "АВТОАЛЬЯНС - СЕРВИС"</t>
  </si>
  <si>
    <t xml:space="preserve"> "АВТОАЛЬЯНС - СЕРВИС"</t>
  </si>
  <si>
    <t>7451108916</t>
  </si>
  <si>
    <t>Г ЧЕЛЯБИНСК,ТРОИЦКИЙ ТРАКТ, Д 9</t>
  </si>
  <si>
    <t>Александров Олег Анатольевич</t>
  </si>
  <si>
    <t>+7 (351) 262-31-62', '+7 (351) 254-58-95', '+7 (908) 081-83-16', '+7 (351) 200-43-40'</t>
  </si>
  <si>
    <t>55.168861,61.378829</t>
  </si>
  <si>
    <t>ОБЩЕСТВО С ОГРАНИЧЕННОЙ ОТВЕТСТВЕННОСТЬЮ "ДРУЖИНА ВДВ"</t>
  </si>
  <si>
    <t>"ДРУЖИНА ВДВ"</t>
  </si>
  <si>
    <t>5638074806</t>
  </si>
  <si>
    <t>460507, ОРЕНБУРГСКАЯ ОБЛ, ОРЕНБУРГСКИЙ Р-Н, ПРИГОРОДНЫЙ П, СТУДЕНЧЕСКАЯ УЛ, ДОМ 16, КОРПУС А</t>
  </si>
  <si>
    <t>Орехов Олег Павлович</t>
  </si>
  <si>
    <t>55.12394,61.379179</t>
  </si>
  <si>
    <t>ОБЩЕСТВО С ОГРАНИЧЕННОЙ ОТВЕТСТВЕННОСТЬЮ "ХЭЛП"</t>
  </si>
  <si>
    <t>"ХЭЛП"</t>
  </si>
  <si>
    <t>5005015810</t>
  </si>
  <si>
    <t>МОСКОВСКАЯ ОБЛ.,Г ВОСКРЕСЕНСК,УЛ ЦЕСИСА, Д 14</t>
  </si>
  <si>
    <t>Галстян Александр Амаякович</t>
  </si>
  <si>
    <t>+7 (929) 589-62-15', '+7 (985) 010-69-69'</t>
  </si>
  <si>
    <t>55.189902,61.379916</t>
  </si>
  <si>
    <t>ОБЩЕСТВО С ОГРАНИЧЕННОЙ ОТВЕТСТВЕННОСТЬЮ "ЖБИ КОНСУЛ-ЮГ"</t>
  </si>
  <si>
    <t>"ЖБИ КОНСУЛ-ЮГ"</t>
  </si>
  <si>
    <t>6122018567</t>
  </si>
  <si>
    <t>Г КЕМЕРОВО,УЛ КАМЫШИНСКАЯ,Д 3 А</t>
  </si>
  <si>
    <t>rostov@mail.ru'</t>
  </si>
  <si>
    <t>55.039791,61.38112</t>
  </si>
  <si>
    <t>ОБЩЕСТВО С ОГРАНИЧЕННОЙ ОТВЕТСТВЕННОСТЬЮ "СИБТСК"</t>
  </si>
  <si>
    <t>"СИБТСК"</t>
  </si>
  <si>
    <t>4205014636</t>
  </si>
  <si>
    <t>http://sibtsk.ru</t>
  </si>
  <si>
    <t>Г КЕМЕРОВО,УЛ ВОЛГОГРАДСКАЯ,Д 49 А</t>
  </si>
  <si>
    <t>Терентьев Денис Сергеевич</t>
  </si>
  <si>
    <t>55.092108,61.384444</t>
  </si>
  <si>
    <t>ОБЩЕСТВО С ОГРАНИЧЕННОЙ ОТВЕТСТВЕННОСТЬЮ Научно-Производственная Фирма "Джет Системс"</t>
  </si>
  <si>
    <t>Научно-Производственная Фирма "Джет Системс"</t>
  </si>
  <si>
    <t>5638057945</t>
  </si>
  <si>
    <t>460520, ОРЕНБУРГСКАЯ ОБЛАСТЬ, Р-Н ОРЕНБУРГСКИЙ, С НЕЖИНКА, УЛ. СОЛНЕЧНАЯ, Д.9</t>
  </si>
  <si>
    <t>Елисеев Вячеслав Николаевич</t>
  </si>
  <si>
    <t>55.162263,61.387965</t>
  </si>
  <si>
    <t>ОБЩЕСТВО С ОГРАНИЧЕННОЙ ОТВЕТСТВЕННОСТЬЮ "СПЕЦСТРОЙ ПЛЮС"</t>
  </si>
  <si>
    <t>"СПЕЦСТРОЙ ПЛЮС"</t>
  </si>
  <si>
    <t>4205309020</t>
  </si>
  <si>
    <t>Г КЕМЕРОВО,ПРОСП КУЗНЕЦКИЙ,Д 83 А,ОФИС 408</t>
  </si>
  <si>
    <t>Назаренко Наталья Викторовна</t>
  </si>
  <si>
    <t>+7 (950) 262-77-46'</t>
  </si>
  <si>
    <t>55.105753,61.388064</t>
  </si>
  <si>
    <t>ОБЩЕСТВО С ОГРАНИЧЕННОЙ ОТВЕТСТВЕННОСТЬЮ "ПартнёрСтройСервис"</t>
  </si>
  <si>
    <t>"ПартнёрСтройСервис"</t>
  </si>
  <si>
    <t>0234006865</t>
  </si>
  <si>
    <t>452230, БАШКОРТОСТАН РЕСП, КУШНАРЕНКОВСКИЙ Р-Н, КУШНАРЕНКОВО С, БАЗАРНАЯ УЛ, 1, Б</t>
  </si>
  <si>
    <t>Ахметзянов Радик Зайтунович</t>
  </si>
  <si>
    <t>+7 (927) 089-70-14', '+7 (901) 811-18-82', '+7 (347) 299-91-26', '+7 (909) 352-11-03', '+7 (917) 601-99-99'</t>
  </si>
  <si>
    <t>5247004141</t>
  </si>
  <si>
    <t>НИЖЕГОРОДСКАЯ ОБЛ.,Г ВЫКСА,ШОССЕ ДОСЧАТИНСКОЕ Д 36</t>
  </si>
  <si>
    <t>Маркин Сергей Романович</t>
  </si>
  <si>
    <t>+7 (920) 250-14-09'</t>
  </si>
  <si>
    <t>JELEZOBETON@MAIL.RU'</t>
  </si>
  <si>
    <t>55.166701,61.392259</t>
  </si>
  <si>
    <t>ОБЩЕСТВО С ОГРАНИЧЕННОЙ ОТВЕТСТВЕННОСТЬЮ "СЕРВИТ"</t>
  </si>
  <si>
    <t>"СЕРВИТ"</t>
  </si>
  <si>
    <t>5036057338</t>
  </si>
  <si>
    <t>МОСКОВСКАЯ ОБЛ.,Г ПОДОЛЬСК,УЛ ВОСЬМОГО МАРТА, Д 2</t>
  </si>
  <si>
    <t>Хапсироков Ауес Мухамедович</t>
  </si>
  <si>
    <t>55.267297,61.392789</t>
  </si>
  <si>
    <t>ОБЩЕСТВО С ОГРАНИЧЕННОЙ ОТВЕТСТВЕННОСТЬЮ "АРХИСТРОЙ"</t>
  </si>
  <si>
    <t>"АРХИСТРОЙ"</t>
  </si>
  <si>
    <t>5021013218</t>
  </si>
  <si>
    <t>МОСКОВСКАЯ ОБЛ.,Г КЛИМОВСК,УЛ КОММУНАЛЬНАЯ, Д 20</t>
  </si>
  <si>
    <t>+7 (495) 213-20-50'</t>
  </si>
  <si>
    <t>55.160504,61.394828</t>
  </si>
  <si>
    <t>ОБЩЕСТВО С ОГРАНИЧЕННОЙ ОТВЕТСТВЕННОСТЬЮ "БЕТОНСТРОЙСЕРВИС"</t>
  </si>
  <si>
    <t>"БЕТОНСТРОЙСЕРВИС"</t>
  </si>
  <si>
    <t>0234007562</t>
  </si>
  <si>
    <t>452230, БАШКОРТОСТАН РЕСПУБЛИКА, РАЙОН КУШНАРЕНКОВСКИЙ, СЕЛО КУШНАРЕНКОВО, УЛИЦА СОВЕТСКАЯ, ДОМ 120/Б</t>
  </si>
  <si>
    <t>Нургалеев Дамир Валерьянович</t>
  </si>
  <si>
    <t>55.178558,61.39525</t>
  </si>
  <si>
    <t>АКЦИОНЕРНОЕ ОБЩЕСТВО "НАРОСТРОЙ-1"</t>
  </si>
  <si>
    <t>"НАРОСТРОЙ-1"</t>
  </si>
  <si>
    <t>5030032880</t>
  </si>
  <si>
    <t>МОСКОВСКАЯ ОБЛ.,Г НАРО-ФОМИНСК,ТУРГЕНЕВСКИЙ ТУП, Д 3</t>
  </si>
  <si>
    <t>Морозов Игорь Владимирович</t>
  </si>
  <si>
    <t>BUHZAO@NAROSTROY.RU'</t>
  </si>
  <si>
    <t>55.159912,61.398951</t>
  </si>
  <si>
    <t>ОБЩЕСТВО С ОГРАНИЧЕННОЙ ОТВЕТСТВЕННОСТЬЮ "ОБЛСТРОЙ"</t>
  </si>
  <si>
    <t>"ОБЛСТРОЙ"</t>
  </si>
  <si>
    <t>5040130492</t>
  </si>
  <si>
    <t>МОСКОВСКАЯ ОБЛ.,ПОДОЛЬСКИЙ Р-Н,П ЦЕНТРАЛЬНОЙ УСАДЬБЫ СВХ "ПОДОЛЬСКИЙ",УЛ БОЛЬШАЯ СЕРПУХОВСКАЯ, Д 199 Б</t>
  </si>
  <si>
    <t>Щёкотов Юрий Владимирович</t>
  </si>
  <si>
    <t>+7 (903) 622-23-36', '+7 (985) 452-81-88'</t>
  </si>
  <si>
    <t>55.149177,61.399185</t>
  </si>
  <si>
    <t>ОБЩЕСТВО С ОГРАНИЧЕННОЙ ОТВЕТСТВЕННОСТЬЮ "АРХИСТИЛЬ"</t>
  </si>
  <si>
    <t>"АРХИСТИЛЬ"</t>
  </si>
  <si>
    <t>7720267339</t>
  </si>
  <si>
    <t>МОСКОВСКАЯ ОБЛ.,Г ПОДОЛЬСК,1-Й ДЕЛОВОЙ ПР, Д 13</t>
  </si>
  <si>
    <t>ОБЩЕСТВО С ОГРАНИЧЕННОЙ ОТВЕТСТВЕННОСТЬЮ ПЕРЕДВИЖНАЯ МЕХАНИЗИРОВАННАЯ КОЛОННА "БУРАЕВСКАЯ"</t>
  </si>
  <si>
    <t>ПЕРЕДВИЖНАЯ МЕХАНИЗИРОВАННАЯ КОЛОННА "БУРАЕВСКАЯ"</t>
  </si>
  <si>
    <t>0217006495</t>
  </si>
  <si>
    <t>РЕСПУБЛИКА БАШКОРТОСТАН,БУРАЕВСКИЙ Р-Н,С БУРАЕВО,УЛ СТРОИТЕЛЕЙ,10</t>
  </si>
  <si>
    <t>Муртазин Борис Бакирович</t>
  </si>
  <si>
    <t>burtos@bashstat.ru'</t>
  </si>
  <si>
    <t>55.164639,61.401224</t>
  </si>
  <si>
    <t>АКЦИОНЕРНОЕ ОБЩЕСТВО "342 МЕХАНИЧЕСКИЙ ЗАВОД"</t>
  </si>
  <si>
    <t>"342 МЕХАНИЧЕСКИЙ ЗАВОД"</t>
  </si>
  <si>
    <t>5009002001</t>
  </si>
  <si>
    <t>http://festirim.ru/rossiya/moskva/trotuarnaya-plitka/342-mehanicheskii-zavod-oao/</t>
  </si>
  <si>
    <t>МОСКОВСКАЯ ОБЛ.,Г ДОМОДЕДОВО,УЛ ПРОМЫШЛЕННАЯ, Д 11</t>
  </si>
  <si>
    <t>Шалаев Вячеслав Александрович</t>
  </si>
  <si>
    <t>+7 (495) 787-91-34'</t>
  </si>
  <si>
    <t>dmitriukova@342mz.ru', 'info@342mz.ru', 'zotova@342mz.ru', 'oks@342mz.ru', 'plan@342mz.ru', 'chirkina@3'</t>
  </si>
  <si>
    <t>55.159902,61.402554</t>
  </si>
  <si>
    <t>ОБЩЕСТВО С ОГРАНИЧЕННОЙ ОТВЕТСТВЕННОСТЬЮ "РБУ-ГРАНИТЕКС"</t>
  </si>
  <si>
    <t>"РБУ-ГРАНИТЕКС"</t>
  </si>
  <si>
    <t>5036042934</t>
  </si>
  <si>
    <t>МОСКОВСКАЯ ОБЛ.,Г ПОДОЛЬСК,ПРОСП ЮНЫХ ЛЕНИНЦЕВ, Д 1, СТР 3 Б</t>
  </si>
  <si>
    <t>Горбачев Николай Иванович</t>
  </si>
  <si>
    <t>+7 (916) 652-81-50'</t>
  </si>
  <si>
    <t>55.251932,61.408177</t>
  </si>
  <si>
    <t>ОБЩЕСТВО С ОГРАНИЧЕННОЙ ОТВЕТСТВЕННОСТЬЮ "СТАРС-СТРОЙ"</t>
  </si>
  <si>
    <t>"СТАРС-СТРОЙ"</t>
  </si>
  <si>
    <t>5040074551</t>
  </si>
  <si>
    <t>МОСКОВСКАЯ ОБЛ.,РАМЕНСКИЙ Р-Н,Д ПЛЕТЕНИХА,АВТОПАРК</t>
  </si>
  <si>
    <t>Трубанов Сергей Владиславович</t>
  </si>
  <si>
    <t>55.162073,61.408473</t>
  </si>
  <si>
    <t>7413021904</t>
  </si>
  <si>
    <t>ЧЕЛЯБИНСКАЯ ОБЛ.,Г КАРАБАШ,УЛ ЛЕНИНА, Д 2-А</t>
  </si>
  <si>
    <t>Зорина Наталья Владимировна</t>
  </si>
  <si>
    <t>+7 (908) 052-44-23', '+7 (912) 315-66-66'</t>
  </si>
  <si>
    <t>55.253481,61.409462</t>
  </si>
  <si>
    <t>ОБЩЕСТВО С ОГРАНИЧЕННОЙ ОТВЕТСТВЕННОСТЬЮ ДЮРТЮЛИНСКИЙ ЗАВОД "ЖЕЛЕЗОБЕТОН-СТРОНЕГ"</t>
  </si>
  <si>
    <t>ДЮРТЮЛИНСКИЙ ЗАВОД "ЖЕЛЕЗОБЕТОН-СТРОНЕГ"</t>
  </si>
  <si>
    <t>0260008080</t>
  </si>
  <si>
    <t>РЕСПУБЛИКА БАШКОРТОСТАН,ДЮРТЮЛИНСКИЙ Р-Н,С ИВАНАЕВО,ПРОМЗОНА</t>
  </si>
  <si>
    <t>Идрисова Маулида Лутфрахмановна</t>
  </si>
  <si>
    <t>+7 (917) 787-07-57'</t>
  </si>
  <si>
    <t>55.255021,61.412264</t>
  </si>
  <si>
    <t>ЗАКРЫТОЕ АКЦИОНЕРНОЕ ОБЩЕСТВО "Кселла-Аэроблок-Центр Можайск"</t>
  </si>
  <si>
    <t>ЗАКРЫТОЕ "Кселла-Аэроблок-Центр Можайск"</t>
  </si>
  <si>
    <t>5028021698</t>
  </si>
  <si>
    <t>http://xella-online.ru</t>
  </si>
  <si>
    <t>МОСКОВСКАЯ ОБЛ.,МОЖАЙСКИЙ Р-Н,П СТРОИТЕЛЬ</t>
  </si>
  <si>
    <t>Башкатов Андрей Борисович</t>
  </si>
  <si>
    <t>+7 (495) 710-70-23'</t>
  </si>
  <si>
    <t>56.76202,61.41557</t>
  </si>
  <si>
    <t>АКЦИОНЕРНОЕ ОБЩЕСТВО "198 КОМБИНАТ ЖЕЛЕЗОБЕТОННЫХ ИЗДЕЛИЙ"</t>
  </si>
  <si>
    <t>"198 КОМБИНАТ ЖЕЛЕЗОБЕТОННЫХ ИЗДЕЛИЙ"</t>
  </si>
  <si>
    <t>5028002208</t>
  </si>
  <si>
    <t>http://kgbi-7.ru</t>
  </si>
  <si>
    <t>МОСКОВСКАЯ ОБЛ.,МОЖАЙСКИЙ Р-Н,П/О МОЖАЙСК,П СТРОИТЕЛЬ</t>
  </si>
  <si>
    <t>+7 (496) 382-47-30'</t>
  </si>
  <si>
    <t>betkeneve@kgi198.gvsu', 'danchenkova@kgi198.gvsu', 'karbovskaya@kgi198.gvsu', 'Kgi198@gvsu.ru'</t>
  </si>
  <si>
    <t>55.151652,61.417627</t>
  </si>
  <si>
    <t>АКЦИОНЕРНОЕ ОБЩЕСТВО "НАВАШИНСКИЙ ЗАВОД СТРОЙМАТЕРИАЛОВ"</t>
  </si>
  <si>
    <t>"НАВАШИНСКИЙ ЗАВОД СТРОЙМАТЕРИАЛОВ"</t>
  </si>
  <si>
    <t>5223000035</t>
  </si>
  <si>
    <t>http://nzsm.ru</t>
  </si>
  <si>
    <t>НИЖЕГОРОДСКАЯ ОБЛ.,Г НАВАШИНО,УЛ СИЛИКАТНЫЙ ПОСЕЛОК Д 32</t>
  </si>
  <si>
    <t>Тюрин Александр Павлович</t>
  </si>
  <si>
    <t>+7 (920) 077-15-31'</t>
  </si>
  <si>
    <t>STROIMAT@MTS-NN', 'info@nzsm.ru', 'fin@nzsm.ru'</t>
  </si>
  <si>
    <t>55.133951,61.417735</t>
  </si>
  <si>
    <t>ОБЩЕСТВО С ОГРАНИЧЕННОЙ ОТВЕТСТВЕННОСТЬЮ "СТРОЙПЛИТКА"</t>
  </si>
  <si>
    <t>"СТРОЙПЛИТКА"</t>
  </si>
  <si>
    <t>0257012008</t>
  </si>
  <si>
    <t>452450, БАШКОРТОСТАН РЕСПУБЛИКА, РАЙОН БИРСКИЙ, ГОРОД БИРСК, УЛИЦА ЦЮРУПЫ, ДОМ 142</t>
  </si>
  <si>
    <t>Александров Артем Вячеславович</t>
  </si>
  <si>
    <t>55.187049,61.420789</t>
  </si>
  <si>
    <t>ОБЩЕСТВО С ОГРАНИЧЕННОЙ ОТВЕТСТВЕННОСТЬЮ "ПЛИТКА"</t>
  </si>
  <si>
    <t>"ПЛИТКА"</t>
  </si>
  <si>
    <t>0257012343</t>
  </si>
  <si>
    <t>452450, БАШКОРТОСТАН РЕСПУБЛИКА, БИРСКИЙ РАЙОН, ГОРОД БИРСК, УЛИЦА ЦЮРУПЫ, ДОМ 142</t>
  </si>
  <si>
    <t>55.24757,61.424769</t>
  </si>
  <si>
    <t>6723018890</t>
  </si>
  <si>
    <t>Романенков Кирилл Александрович</t>
  </si>
  <si>
    <t>55.142545,61.43377</t>
  </si>
  <si>
    <t>ОБЩЕСТВО С ОГРАНИЧЕННОЙ ОТВЕТСТВЕННОСТЬЮ "ГК ЖЕЛЕЗОБЕТОН"</t>
  </si>
  <si>
    <t>"ГК ЖЕЛЕЗОБЕТОН"</t>
  </si>
  <si>
    <t>5027222793</t>
  </si>
  <si>
    <t>МОСКОВСКАЯ ОБЛ.,Г ВИДНОЕ,УЛ 2-Я РАДИАЛЬНАЯ, Д 2,..</t>
  </si>
  <si>
    <t>Мельников Александр Альбертович</t>
  </si>
  <si>
    <t>55.203072,61.438819</t>
  </si>
  <si>
    <t>ОБЩЕСТВО С ОГРАНИЧЕННОЙ ОТВЕТСТВЕННОСТЬЮ "САХАРА"</t>
  </si>
  <si>
    <t>"САХАРА"</t>
  </si>
  <si>
    <t>5013029430</t>
  </si>
  <si>
    <t>МОСКОВСКАЯ ОБЛ.,Г РАМЕНСКОЕ,УЛ МОСКВОРЕЦКАЯ, Д 45 А</t>
  </si>
  <si>
    <t>Трофименко Александр Анатольевич</t>
  </si>
  <si>
    <t>ОБЩЕСТВО С ОГРАНИЧЕННОЙ ОТВЕТСТВЕННОСТЬЮ "БОРДЮР 33"</t>
  </si>
  <si>
    <t>"БОРДЮР 33"</t>
  </si>
  <si>
    <t>3327132307</t>
  </si>
  <si>
    <t>МОСКОВСКАЯ ОБЛ.,Г РАМЕНСКОЕ,УЛ КАРЛА МАРКСА</t>
  </si>
  <si>
    <t>Смоян Абаси Таарович</t>
  </si>
  <si>
    <t>55.139653,61.440606</t>
  </si>
  <si>
    <t>ЗАКРЫТОЕ АКЦИОНЕРНОЕ ОБЩЕСТВО "ИННОВАЦИОННЫЙ ЗАВОД РДС"</t>
  </si>
  <si>
    <t>ЗАКРЫТОЕ "ИННОВАЦИОННЫЙ ЗАВОД РДС"</t>
  </si>
  <si>
    <t>5020076342</t>
  </si>
  <si>
    <t>МОСКОВСКАЯ ОБЛ.,ОРЕХОВО-ЗУЕВСКИЙ Р-Н,Г КУРОВСКОЕ,П ПРОЛЕТАРКА</t>
  </si>
  <si>
    <t>Наумов Максим Евгеньевич</t>
  </si>
  <si>
    <t>+7 (499) 995-08-93', '+7 (926) 706-04-59'</t>
  </si>
  <si>
    <t>55.209195,61.441792</t>
  </si>
  <si>
    <t>ОБЩЕСТВО С ОГРАНИЧЕННОЙ ОТВЕТСТВЕННОСТЬЮ "ЖБИ-МАСТЕР"</t>
  </si>
  <si>
    <t>"ЖБИ-МАСТЕР"</t>
  </si>
  <si>
    <t>1648038302</t>
  </si>
  <si>
    <t>РЕСПУБЛИКА ТАТАРСТАН (ТАТАРСТАН),РЫБНО-СЛОБОДСКИЙ Р-Н,С ШУМКОВО,ХУТОР ШУМКОВСКИЙ</t>
  </si>
  <si>
    <t>Касимова Резеда Наилевна</t>
  </si>
  <si>
    <t>55.126735,61.442268</t>
  </si>
  <si>
    <t>ОБЩЕСТВО С ОГРАНИЧЕННОЙ ОТВЕТСТВЕННОСТЬЮ "ПСК ЭГАСТРОЙ-БЕТОН"</t>
  </si>
  <si>
    <t>"ПСК ЭГАСТРОЙ-БЕТОН"</t>
  </si>
  <si>
    <t>5031046205</t>
  </si>
  <si>
    <t>МОСКОВСКАЯ ОБЛ.,Г ЛЫТКАРИНО,КВАРТАЛ 3 А, Д 26,..</t>
  </si>
  <si>
    <t>Акопян Эдик Сосикович</t>
  </si>
  <si>
    <t>+7 (985) 267-47-84'</t>
  </si>
  <si>
    <t>55.192086,61.444244</t>
  </si>
  <si>
    <t>ОТКРЫТОЕ АКЦИОНЕРНОЕ ОБЩЕСТВО "ТУЧКОВСКИЙ КОМБИНАТ ЖЕЛЕЗОБЕТОННЫХ И СИЛИКАТНЫХ ИЗДЕЛИЙ"</t>
  </si>
  <si>
    <t>ОТКРЫТОЕ "ТУЧКОВСКИЙ КОМБИНАТ ЖЕЛЕЗОБЕТОННЫХ И СИЛИКАТНЫХ ИЗДЕЛИЙ"</t>
  </si>
  <si>
    <t>5075004594</t>
  </si>
  <si>
    <t>МОСКОВСКАЯ ОБЛ.,РУЗСКИЙ Р-Н,PП ТУЧКОВО,УЛ ВОСТОЧНАЯ, Д 1</t>
  </si>
  <si>
    <t>Гаврильев Сергей Васильевич</t>
  </si>
  <si>
    <t>+7 (925) 744-74-84', '+7 (910) 304-91-03'</t>
  </si>
  <si>
    <t>ОБЩЕСТВО С ОГРАНИЧЕННОЙ ОТВЕТСТВЕННОСТЬЮ "КАМЭНЕРГОСТРОЙПРОМ"</t>
  </si>
  <si>
    <t>"КАМЭНЕРГОСТРОЙПРОМ"</t>
  </si>
  <si>
    <t>1651037732</t>
  </si>
  <si>
    <t>РЕСПУБЛИКА ТАТАРСТАН (ТАТАРСТАН),Г НИЖНЕКАМСК,УЛ ЗАВОДСКАЯ Д 1</t>
  </si>
  <si>
    <t>Якупов Алмаз Мавлетович</t>
  </si>
  <si>
    <t>55.159156,61.44711</t>
  </si>
  <si>
    <t>3327129738</t>
  </si>
  <si>
    <t>ВЛАДИМИРСКАЯ ОБЛ.,Г ГУСЬ-ХРУСТАЛЬНЫЙ,УЛ ИНТЕРНАЦИОНАЛЬНАЯ,22</t>
  </si>
  <si>
    <t>Юсифов Самир Акберович</t>
  </si>
  <si>
    <t>+7 (910) 774-85-77'</t>
  </si>
  <si>
    <t>55.170095,61.448601</t>
  </si>
  <si>
    <t>ОБЩЕСТВО С ОГРАНИЧЕННОЙ ОТВЕТСТВЕННОСТЬЮ "МЕТР В КУБЕ"</t>
  </si>
  <si>
    <t>"МЕТР В КУБЕ"</t>
  </si>
  <si>
    <t>5001125322</t>
  </si>
  <si>
    <t>143900, Одинцовский район, д. Ликино, ул. Промышленная, влд. 1</t>
  </si>
  <si>
    <t>Щербакова Анастасия Михайловна</t>
  </si>
  <si>
    <t>+7 (495) 231-92-49', '+7 (985) 760-13-18', '+7 (906) 056-55-73'</t>
  </si>
  <si>
    <t>metrvkube@mail.ru'</t>
  </si>
  <si>
    <t>55.199758,61.45577</t>
  </si>
  <si>
    <t>ОБЩЕСТВО С ОГРАНИЧЕННОЙ ОТВЕТСТВЕННОСТЬЮ "ДОМКОР ИНДУСТРИЯ"</t>
  </si>
  <si>
    <t>"ДОМКОР ИНДУСТРИЯ"</t>
  </si>
  <si>
    <t>1650109737</t>
  </si>
  <si>
    <t>РЕСПУБЛИКА ТАТАРСТАН (ТАТАРСТАН),Г НАБЕРЕЖНЫЕ ЧЕЛНЫ,ПОС БСИ ОАО "ДСК"</t>
  </si>
  <si>
    <t>Гайнуллов Рустем Мунирович</t>
  </si>
  <si>
    <t>2459012854</t>
  </si>
  <si>
    <t>24-Красноярский край</t>
  </si>
  <si>
    <t>КРАСНОЯРСКИЙ КРАЙ,ШАРЫПОВСКИЙ Р-Н,С РОДНИКИ,ОПОРНАЯ БАЗА ТЕР КОРП 1</t>
  </si>
  <si>
    <t>Малинин Денис Геннадьевич</t>
  </si>
  <si>
    <t>55.197389,61.458815</t>
  </si>
  <si>
    <t>ОБЩЕСТВО С ОГРАНИЧЕННОЙ ОТВЕТСТВЕННОСТЬЮ "ФАНТАЗИЯ"</t>
  </si>
  <si>
    <t>"ФАНТАЗИЯ"</t>
  </si>
  <si>
    <t>0250012094</t>
  </si>
  <si>
    <t>452162, БАШКОРТОСТАН РЕСПУБЛИКА, РАЙОН ЧИШМИНСКИЙ, СЕЛО САЙРАНОВО, УЛИЦА РОДНИКОВАЯ, ДОМ 29</t>
  </si>
  <si>
    <t>Михайлов Дмитрий Степанович</t>
  </si>
  <si>
    <t>+7 (347) 276-84-01', '+7 (347) 251-39-06'</t>
  </si>
  <si>
    <t>55.187599,61.467699</t>
  </si>
  <si>
    <t>ОБЩЕСТВО С ОГРАНИЧЕННОЙ ОТВЕТСТВЕННОСТЬЮ ФИРМА "ВАШ ДОМ"</t>
  </si>
  <si>
    <t>ФИРМА "ВАШ ДОМ"</t>
  </si>
  <si>
    <t>5027026693</t>
  </si>
  <si>
    <t>http://dom-250.ru</t>
  </si>
  <si>
    <t>МОСКОВСКАЯ ОБЛ.,ЛЮБЕРЕЦКИЙ Р-Н,Г КОТЕЛЬНИКИ,МИКРОРАЙОН СИЛИКАТ, Д 2</t>
  </si>
  <si>
    <t>Бондарев Петр Иванович</t>
  </si>
  <si>
    <t>+7 (495) 554-54-00'</t>
  </si>
  <si>
    <t>55@mail.ru'</t>
  </si>
  <si>
    <t>55.224254,61.470942</t>
  </si>
  <si>
    <t>ОБЩЕСТВО С ОГРАНИЧЕННОЙ ОТВЕТСТВЕННОСТЬЮ УПРАВЛЯЮЩАЯ КОМПАНИЯ "ГРАНД СИТИ КОНСТРАКШН"</t>
  </si>
  <si>
    <t>УПРАВЛЯЮЩАЯ КОМПАНИЯ "ГРАНД СИТИ КОНСТРАКШН"</t>
  </si>
  <si>
    <t>7727395918</t>
  </si>
  <si>
    <t>117303, Г.Москва, внутригородская территория города федерального значения МУНИЦИПАЛЬНЫЙ ОКРУГ ЗЮЗИНО, УЛ КАХОВКА, Д. 11, СТР. 1, ЭТАЖ/ПОМЕЩЕНИЕ 1/VI, КОМНАТА/ОФИС 4/267</t>
  </si>
  <si>
    <t>Азизов Семен Манаширович</t>
  </si>
  <si>
    <t>55.180239,61.486564</t>
  </si>
  <si>
    <t>ОБЩЕСТВО С ОГРАНИЧЕННОЙ ОТВЕТСТВЕННОСТЬЮ "ЗАВОД ЖБИ ГАРАНТ"</t>
  </si>
  <si>
    <t>"ЗАВОД ЖБИ ГАРАНТ"</t>
  </si>
  <si>
    <t>1650319389</t>
  </si>
  <si>
    <t>РЕСПУБЛИКА ТАТАРСТАН (ТАТАРСТАН),Г НИЖНЕКАМСК,ПАТО</t>
  </si>
  <si>
    <t>Кашфиев Дильшат Дильфатович</t>
  </si>
  <si>
    <t>55.121283,61.489124</t>
  </si>
  <si>
    <t>ОБЩЕСТВО С ОГРАНИЧЕННОЙ ОТВЕТСТВЕННОСТЬЮ  "ПРОМСТРОЙ"</t>
  </si>
  <si>
    <t xml:space="preserve"> "ПРОМСТРОЙ"</t>
  </si>
  <si>
    <t>1639051459</t>
  </si>
  <si>
    <t>РЕСПУБЛИКА ТАТАРСТАН (ТАТАРСТАН),Г НАБЕРЕЖНЫЕ ЧЕЛНЫ,БАЗА ПМК ТЕРРИТОРИЯ ПК "ТАТАРСТАН" КОРП 154/3</t>
  </si>
  <si>
    <t>Самигуллин Сагир Сагитович</t>
  </si>
  <si>
    <t>55.158524,61.492798</t>
  </si>
  <si>
    <t>Общество с ограниченной ответственностью "ДОРСНАБ"</t>
  </si>
  <si>
    <t>"ДОРСНАБ"</t>
  </si>
  <si>
    <t>7203365190</t>
  </si>
  <si>
    <t>ТЮМЕНСКАЯ ОБЛ.,КАЗАНСКИЙ Р-Н,С КАЗАНСКОЕ,УЛ ЧАПАЕВА,Д 8..</t>
  </si>
  <si>
    <t>Кондратьев Денис Сергеевич</t>
  </si>
  <si>
    <t>+7 (345) 255-24-00'</t>
  </si>
  <si>
    <t>54.089597,61.569137</t>
  </si>
  <si>
    <t>ОБЩЕСТВО С ОГРАНИЧЕННОЙ ОТВЕТСТВЕННОСТЬЮ "БЕРЕЗОВСКИЙ ЗАВОД КРУПНОПАНЕЛЬНОГО ДОМОСТРОЕНИЯ"</t>
  </si>
  <si>
    <t>"БЕРЕЗОВСКИЙ ЗАВОД КРУПНОПАНЕЛЬНОГО ДОМОСТРОЕНИЯ"</t>
  </si>
  <si>
    <t>4250009613</t>
  </si>
  <si>
    <t>КЕМЕРОВСКАЯ ОБЛ.,Г БЕРЕЗОВСКИЙ,УЛ ПРОМЫШЛЕННАЯ,Д 5</t>
  </si>
  <si>
    <t>Пиминов Максим Анатольевич</t>
  </si>
  <si>
    <t>bzkpd@mail.ru'</t>
  </si>
  <si>
    <t>55.058652,61.597093</t>
  </si>
  <si>
    <t>АКЦИОНЕРНОЕ ОБЩЕСТВО "СТРОЙИНДУСТРИЯ"</t>
  </si>
  <si>
    <t>5032001528</t>
  </si>
  <si>
    <t>МОСКОВСКАЯ ОБЛ.,Г ОДИНЦОВО,МОЖАЙСКОЕ ШОССЕ, Д 8</t>
  </si>
  <si>
    <t>Порамонова Елизавета Юрьевна</t>
  </si>
  <si>
    <t>+7 (965) 123-00-18'</t>
  </si>
  <si>
    <t>55.101854,61.605932</t>
  </si>
  <si>
    <t>АКЦИОНЕРНОЕ ОБЩЕСТВО "АЛЬФА СТРОЙ ХОЛДИНГ"</t>
  </si>
  <si>
    <t>"АЛЬФА СТРОЙ ХОЛДИНГ"</t>
  </si>
  <si>
    <t>7725505668</t>
  </si>
  <si>
    <t>Г МОСКВА,НАБ НАГАТИНСКАЯ, Д 12, КОРП 4, СТР 2</t>
  </si>
  <si>
    <t>Колдин Сергей Николаевич</t>
  </si>
  <si>
    <t>+7 (495) 972-04-41', '+7 (495) 972-04-55'</t>
  </si>
  <si>
    <t>57.35322,61.883035</t>
  </si>
  <si>
    <t>ОБЩЕСТВО С ОГРАНИЧЕННОЙ ОТВЕТСТВЕННОСТЬЮ "ШИДЕЛЬ"</t>
  </si>
  <si>
    <t>"ШИДЕЛЬ"</t>
  </si>
  <si>
    <t>7702520268</t>
  </si>
  <si>
    <t>Г МОСКВА,ПР 4-Й РОЩИНСКИЙ, Д 19, СТР 1</t>
  </si>
  <si>
    <t>Антипов Павел Павлович</t>
  </si>
  <si>
    <t>+7 (916) 993-88-91', '+7 (499) 271-30-75'</t>
  </si>
  <si>
    <t>56.426871,61.893734</t>
  </si>
  <si>
    <t>ОБЩЕСТВО С ОГРАНИЧЕННОЙ ОТВЕТСТВЕННОСТЬЮ "ВОСТОК КО"</t>
  </si>
  <si>
    <t>"ВОСТОК КО"</t>
  </si>
  <si>
    <t>7731243594</t>
  </si>
  <si>
    <t>Г МОСКВА,УЛ РЯБИНОВАЯ, Д 8, КОРП 1,..</t>
  </si>
  <si>
    <t>Колесников Павел Анатольевич</t>
  </si>
  <si>
    <t>+7 (495) 444-13-61'</t>
  </si>
  <si>
    <t>57.335988,61.901577</t>
  </si>
  <si>
    <t>АКЦИОНЕРНОЕ ОБЩЕСТВО «БАЛАНС - СПЕЦИАЛИЗИРОВАННЫЙ ЗАСТРОЙЩИК»</t>
  </si>
  <si>
    <t>«БАЛАНС - СПЕЦИАЛИЗИРОВАННЫЙ ЗАСТРОЙЩИК»</t>
  </si>
  <si>
    <t>7721228357</t>
  </si>
  <si>
    <t>Г МОСКВА,ПРОСП РЯЗАНСКИЙ, Д 26</t>
  </si>
  <si>
    <t>Родионов Дмитрий Алексеевич</t>
  </si>
  <si>
    <t>+7 (495) 644-02-00', '+7 (499) 171-17-09'</t>
  </si>
  <si>
    <t>Sachkova@glavstroy.ru', 'kgbk_fin@rmt-net', 'Kozlova@glavstroy.ru'</t>
  </si>
  <si>
    <t>57.299235,61.915177</t>
  </si>
  <si>
    <t>ОБЩЕСТВО С ОГРАНИЧЕННОЙ ОТВЕТСТВЕННОСТЬЮ "ЛАНДШАФТ-ЦЕНТР"</t>
  </si>
  <si>
    <t>"ЛАНДШАФТ-ЦЕНТР"</t>
  </si>
  <si>
    <t>3811184178</t>
  </si>
  <si>
    <t xml:space="preserve">  ПРОМКОМЗОНА</t>
  </si>
  <si>
    <t>56.385143,61.91877</t>
  </si>
  <si>
    <t>ОБЩЕСТВО С ОГРАНИЧЕННОЙ ОТВЕТСТВЕННОСТЬЮ "ТОРГОВО СТРОИТЕЛЬНАЯ ФИРМА "АДМИРАЛ"</t>
  </si>
  <si>
    <t>"ТОРГОВО СТРОИТЕЛЬНАЯ ФИРМА "АДМИРАЛ"</t>
  </si>
  <si>
    <t>0242008880</t>
  </si>
  <si>
    <t>453140, БАШКОРТОСТАН РЕСПУБЛИКА, Р-Н СТЕРЛИТАМАКСКИЙ, ТЕР РАЕВСКИЙ ТРАКТ, Д. 1, К. А</t>
  </si>
  <si>
    <t>Феоктистов Владимир Николаевич</t>
  </si>
  <si>
    <t>56.393085,61.935228</t>
  </si>
  <si>
    <t>ОБЩЕСТВО С ОГРАНИЧЕННОЙ ОТВЕТСТВЕННОСТЬЮ "ПОЛИФАСАД УФА"</t>
  </si>
  <si>
    <t>"ПОЛИФАСАД УФА"</t>
  </si>
  <si>
    <t>0245957005</t>
  </si>
  <si>
    <t>450570, БАШКОРТОСТАН РЕСПУБЛИКА, РАЙОН УФИМСКИЙ, СЕЛО ЖУКОВО, УЛИЦА ЭНТУЗИАСТОВ, ДОМ 44</t>
  </si>
  <si>
    <t>Набиуллин Денис Динилевич</t>
  </si>
  <si>
    <t>+7 (987) 051-69-31', '+7 (987) 244-28-89', '+7 (917) 418-18-86'</t>
  </si>
  <si>
    <t>56.404603,61.946349</t>
  </si>
  <si>
    <t>ОБЩЕСТВО С ОГРАНИЧЕННОЙ ОТВЕТСТВЕННОСТЬЮ "ТОРГОВЫЙ ДОМ "ЗАВОД СПЕЦИАЛЬНЫХ ЖЕЛЕЗОБЕТОННЫХ ТРУБ"</t>
  </si>
  <si>
    <t>""ЗАВОД СПЕЦИАЛЬНЫХ ЖЕЛЕЗОБЕТОННЫХ ТРУБ"</t>
  </si>
  <si>
    <t>9704006012</t>
  </si>
  <si>
    <t>119002, Г.Москва, внутригородская территория города федерального значения МУНИЦИПАЛЬНЫЙ ОКРУГ ХАМОВНИКИ, ПЕР СИВЦЕВ ВРАЖЕК, Д. 29/16, ЭТАЖ/ПОМЕЩ. 2/III, КОМН./ОФИС 9А/206</t>
  </si>
  <si>
    <t>Павлов Евгений Александрович</t>
  </si>
  <si>
    <t>56.252892,62.968137</t>
  </si>
  <si>
    <t>5044091163</t>
  </si>
  <si>
    <t>МОСКОВСКАЯ ОБЛ.,Г ЖЕЛЕЗНОДОРОЖНЫЙ,УЛ НОВАЯ, 51..</t>
  </si>
  <si>
    <t>Шишков Андрей Вячеславович</t>
  </si>
  <si>
    <t>+7 (926) 394-54-75', '+7 (495) 725-80-70'</t>
  </si>
  <si>
    <t>57.668741,63.092096</t>
  </si>
  <si>
    <t>ОБЩЕСТВО С ОГРАНИЧЕННОЙ ОТВЕТСТВЕННОСТЬЮ "БАРОС-ЖИЗНЬ"</t>
  </si>
  <si>
    <t>"БАРОС-ЖИЗНЬ"</t>
  </si>
  <si>
    <t>0245962929</t>
  </si>
  <si>
    <t>450515, БАШКОРТОСТАН РЕСПУБЛИКА, Р-Н УФИМСКИЙ, Д ПОДЫМАЛОВО, УЛ. ЗАВОДСКАЯ, ЗД. 1/1, ПОМЕЩ. 39</t>
  </si>
  <si>
    <t>Газизова Анна Фагимовна</t>
  </si>
  <si>
    <t>56.196071,63.470943</t>
  </si>
  <si>
    <t>АКЦИОНЕРНОЕ ОБЩЕСТВО "ЗАВОД КРУПНО-БЛОЧНЫХ ИЗДЕЛИЙ"</t>
  </si>
  <si>
    <t>"ЗАВОД КРУПНО-БЛОЧНЫХ ИЗДЕЛИЙ"</t>
  </si>
  <si>
    <t>7710950539</t>
  </si>
  <si>
    <t>Г МОСКВА,ШОССЕ ЭНТУЗИАСТОВ, Д 26, СТР 1</t>
  </si>
  <si>
    <t>Бабаев Алексей Владимирович</t>
  </si>
  <si>
    <t>+7 (927) 658-32-09'</t>
  </si>
  <si>
    <t>61.366787,63.49906</t>
  </si>
  <si>
    <t>ОБЩЕСТВО С ОГРАНИЧЕННОЙ ОТВЕТСТВЕННОСТЬЮ "ПСК"КРЕМНЕГРАНИТ ЧЕЛЯБИНСК"</t>
  </si>
  <si>
    <t>"ПСК"КРЕМНЕГРАНИТ ЧЕЛЯБИНСК"</t>
  </si>
  <si>
    <t>7422040276</t>
  </si>
  <si>
    <t>ЧЕЛЯБИНСКАЯ ОБЛ.,Г ОЗЕРСК,ПРОСП КАРЛА МАРКСА, Д 10,..</t>
  </si>
  <si>
    <t>Мотовилов Дмитрий Юрьевич</t>
  </si>
  <si>
    <t>61.365748,63.501117</t>
  </si>
  <si>
    <t>ОБЩЕСТВО С ОГРАНИЧЕННОЙ ОТВЕТСТВЕННОСТЬЮ КОМПАНИЯ "ДЭВИНПОРТ"</t>
  </si>
  <si>
    <t>КОМПАНИЯ "ДЭВИНПОРТ"</t>
  </si>
  <si>
    <t>7709351467</t>
  </si>
  <si>
    <t>Г МОСКВА,УЛ 2-Я ВЛАДИМИРСКАЯ, Д 12, КОРП 2</t>
  </si>
  <si>
    <t>Саркисян Армен Эдуардович</t>
  </si>
  <si>
    <t>+7 (495) 305-01-61', '+7 (495) 989-47-33'</t>
  </si>
  <si>
    <t>61.370766,63.566802</t>
  </si>
  <si>
    <t>ОБЩЕСТВО С ОГРАНИЧЕННОЙ ОТВЕТСТВЕННОСТЬЮ "ЦЕМЕНТОПТТОРГ-АВТО"</t>
  </si>
  <si>
    <t>"ЦЕМЕНТОПТТОРГ-АВТО"</t>
  </si>
  <si>
    <t>1659067432</t>
  </si>
  <si>
    <t>Г КАЗАНЬ,УЛ ОРЕНБУРГСКИЙ ТРАКТ Д 20</t>
  </si>
  <si>
    <t>Маннапов Артур Ильдусович</t>
  </si>
  <si>
    <t>+7 (843) 277-81-18', '+7 (843) 590-38-44'</t>
  </si>
  <si>
    <t>56.133633,63.675219</t>
  </si>
  <si>
    <t>ОБЩЕСТВО С ОГРАНИЧЕННОЙ ОТВЕТСТВЕННОСТЬЮ "АЛЕФ СТРОЙ"</t>
  </si>
  <si>
    <t>"АЛЕФ СТРОЙ"</t>
  </si>
  <si>
    <t>9715232020</t>
  </si>
  <si>
    <t>Г МОСКВА,УЛ АВИАМОТОРНАЯ, Д 5, СТР 1</t>
  </si>
  <si>
    <t>Хачатрян Анна Арамаисовна</t>
  </si>
  <si>
    <t>+7 (495) 362-14-15', '+7 (495) 482-59-74', '+7 (926) 109-85-86'</t>
  </si>
  <si>
    <t>67.501856,64.061845</t>
  </si>
  <si>
    <t>АКЦИОНЕРНОЕ ОБЩЕСТВО "ЦЕНТРОТРАНСЖЕЛЕЗОБЕТОН"</t>
  </si>
  <si>
    <t>"ЦЕНТРОТРАНСЖЕЛЕЗОБЕТОН"</t>
  </si>
  <si>
    <t>7709033898</t>
  </si>
  <si>
    <t>Г МОСКВА,УЛ КАЗАКОВА, Д 8-8 А, СТР 2</t>
  </si>
  <si>
    <t>+7 (495) 262-17-92', '+7 (495) 262-61-88'</t>
  </si>
  <si>
    <t>45@mail.ru'</t>
  </si>
  <si>
    <t>ОБЩЕСТВО С ОГРАНИЧЕННОЙ ОТВЕТСТВЕННОСТЬЮ "ТРИМАЛСТРОЙСЕРВИС"</t>
  </si>
  <si>
    <t>"ТРИМАЛСТРОЙСЕРВИС"</t>
  </si>
  <si>
    <t>0234006463</t>
  </si>
  <si>
    <t>452253, БАШКОРТОСТАН РЕСПУБЛИКА, Р-Н КУШНАРЕНКОВСКИЙ, С СТАРЫЕ КАМЫШЛЫ, УЛ. ЛУГОВАЯ, Д.3</t>
  </si>
  <si>
    <t>Мухутдинов Азамат Альбертович</t>
  </si>
  <si>
    <t>+7 (917) 342-08-20'</t>
  </si>
  <si>
    <t>57.262517,65.121229</t>
  </si>
  <si>
    <t>ОБЩЕСТВО С ОГРАНИЧЕННОЙ ОТВЕТСТВЕННОСТЬЮ "СТРОЙМЕХАНИЗАЦИЯ-2"</t>
  </si>
  <si>
    <t>"СТРОЙМЕХАНИЗАЦИЯ-2"</t>
  </si>
  <si>
    <t>7703553717</t>
  </si>
  <si>
    <t>Г МОСКВА,ТИШИНСКИЙ Б ПЕР, Д 43</t>
  </si>
  <si>
    <t>Соковенко Ангелина Витальевна</t>
  </si>
  <si>
    <t>+7 (495) 763-28-60', '+7 (925) 656-69-88'</t>
  </si>
  <si>
    <t>58.079875,65.234506</t>
  </si>
  <si>
    <t>ОБЩЕСТВО С ОГРАНИЧЕННОЙ ОТВЕТСТВЕННОСТЬЮ "ТПА ЮНИТЕ"</t>
  </si>
  <si>
    <t>"ТПА ЮНИТЕ"</t>
  </si>
  <si>
    <t>7709258725</t>
  </si>
  <si>
    <t>Г МОСКВА,УЛ МАЛАЯ ДМИТРОВКА, Д 14, СТР 2</t>
  </si>
  <si>
    <t>Евстафьев Сергей Федорович</t>
  </si>
  <si>
    <t>+7 (495) 788-12-39', '+7 (495) 788-12-39'</t>
  </si>
  <si>
    <t>info@stenovye-blocki'</t>
  </si>
  <si>
    <t>57.143786,65.265112</t>
  </si>
  <si>
    <t>АКЦИОНЕРНОЕ ОБЩЕСТВО "СПЕЦСТРОЙБЕТОН - ЖБИ № 17"</t>
  </si>
  <si>
    <t>"СПЕЦСТРОЙБЕТОН - ЖБИ № 17"</t>
  </si>
  <si>
    <t>7734034503</t>
  </si>
  <si>
    <t>Г МОСКВА,ПР 3-Й СИЛИКАТНЫЙ, Д 10, СТР 1</t>
  </si>
  <si>
    <t>Дубровина Ольга Николаевна</t>
  </si>
  <si>
    <t>+7 (495) 191-21-60', '+7 (495) 946-27-83'</t>
  </si>
  <si>
    <t>INFO@GASFOR.RU'</t>
  </si>
  <si>
    <t>55.425088,65.283006</t>
  </si>
  <si>
    <t>5053020320</t>
  </si>
  <si>
    <t>МОСКОВСКАЯ ОБЛ.,Г ЭЛЕКТРОСТАЛЬ,П/О 1,ПР ПРОМЫШЛЕННЫЙ, Д 7</t>
  </si>
  <si>
    <t>Морозов Михаил Анатольевич</t>
  </si>
  <si>
    <t>+7 (495) 353-50-01'</t>
  </si>
  <si>
    <t>sbeton1999@mail.ru'</t>
  </si>
  <si>
    <t>55.448673,65.319639</t>
  </si>
  <si>
    <t>АКЦИОНЕРНОЕ ОБЩЕСТВО ПО ПРОИЗВОДСТВУ МОСТОВЫХ ЖЕЛЕЗОБЕТОННЫХ КОНСТРУКЦИЙ "МОСТОЖЕЛЕЗОБЕТОНКОНСТРУКЦИЯ"</t>
  </si>
  <si>
    <t>ПО ПРОИЗВОДСТВУ МОСТОВЫХ ЖЕЛЕЗОБЕТОННЫХ КОНСТРУКЦИЙ "МОСТОЖЕЛЕЗОБЕТОНКОНСТРУКЦИЯ"</t>
  </si>
  <si>
    <t>7710121637</t>
  </si>
  <si>
    <t>Г МОСКВА,ПРОЕЗД КОМСОМОЛЬСКОЙ ПЛ, Д N 16</t>
  </si>
  <si>
    <t>Тельнов Дмитрий Александрович</t>
  </si>
  <si>
    <t>+7 (495) 207-31-30', '+7 (916) 351-99-08'</t>
  </si>
  <si>
    <t>buh@mzbk.ru', 'mgbkb@mail.ru', 'MGBKB@MAIL.RU', 'PAOMGBK@GMAIL.COM'</t>
  </si>
  <si>
    <t>55.493079,65.322496</t>
  </si>
  <si>
    <t>ОБЩЕСТВО С ОГРАНИЧЕННОЙ ОТВЕТСТВЕННОСТЬЮ "РАСТВОР ТРАНС СЕРВИС+"</t>
  </si>
  <si>
    <t>"РАСТВОР ТРАНС СЕРВИС+"</t>
  </si>
  <si>
    <t>1661042629</t>
  </si>
  <si>
    <t>Г КАЗАНЬ,УЛ НАРИМАНОВА Д 40</t>
  </si>
  <si>
    <t>Валиуллин Ришат Рахматуллович</t>
  </si>
  <si>
    <t>+7 (843) 510-96-12', '+7 (987) 225-99-39'</t>
  </si>
  <si>
    <t>55.472801,65.328676</t>
  </si>
  <si>
    <t>ОБЩЕСТВО С ОГРАНИЧЕННОЙ ОТВЕТСТВЕННОСТЬЮ "ПРОИЗВОДСТВЕННО-СТРОИТЕЛЬНАЯ КОМПАНИЯ "ФОРД"</t>
  </si>
  <si>
    <t>"ПРОИЗВОДСТВЕННО-СТРОИТЕЛЬНАЯ КОМПАНИЯ "ФОРД"</t>
  </si>
  <si>
    <t>1651073434</t>
  </si>
  <si>
    <t>Г КАЗАНЬ,ПЕР ЩЕРБАКОВСКИЙ Д 7</t>
  </si>
  <si>
    <t>Ахметов Рафаэль Митарисович</t>
  </si>
  <si>
    <t>55.498143,65.336959</t>
  </si>
  <si>
    <t>ОБЩЕСТВО С ОГРАНИЧЕННОЙ ОТВЕТСТВЕННОСТЬЮ "ЗАВОД ПО ПРОИЗВОДСТВУ ГАЗОБЕТОННЫХ БЛОКОВ "ЭКОЛИТ"</t>
  </si>
  <si>
    <t>"ЗАВОД ПО ПРОИЗВОДСТВУ ГАЗОБЕТОННЫХ БЛОКОВ "ЭКОЛИТ"</t>
  </si>
  <si>
    <t>9702022273</t>
  </si>
  <si>
    <t>129110, Г.Москва, внутригородская территория города федерального значения МУНИЦИПАЛЬНЫЙ ОКРУГ МЕЩАНСКИЙ, ПЕР НАПРУДНЫЙ, Д. 8, СТР. 1, ЭТАЖ/ПОМЕЩЕНИЕ 1/II, КОМНАТА/ОФИС 12/8</t>
  </si>
  <si>
    <t>Абдулкеримов Магомад Сейфадинович</t>
  </si>
  <si>
    <t>55.436586,65.337336</t>
  </si>
  <si>
    <t>ОБЩЕСТВО С ОГРАНИЧЕННОЙ ОТВЕТСТВЕННОСТЬЮ "НЕРУДКОМПЛЕКТСТРОЙ"</t>
  </si>
  <si>
    <t>"НЕРУДКОМПЛЕКТСТРОЙ"</t>
  </si>
  <si>
    <t>1658153103</t>
  </si>
  <si>
    <t>Г КАЗАНЬ,УЛ ГВАРДЕЙСКАЯ Д 22</t>
  </si>
  <si>
    <t>Кузьмин Егор Александрович</t>
  </si>
  <si>
    <t>55.441668,65.345053</t>
  </si>
  <si>
    <t>ОБЩЕСТВО С ОГРАНИЧЕННОЙ ОТВЕТСТВЕННОСТЬЮ "СП ЖБИ-2"</t>
  </si>
  <si>
    <t>"СП ЖБИ-2"</t>
  </si>
  <si>
    <t>1659135001</t>
  </si>
  <si>
    <t>Г КАЗАНЬ,УЛ ГВАРДЕЙСКАЯ Д 15</t>
  </si>
  <si>
    <t>Варфоломеев Артем Викторович</t>
  </si>
  <si>
    <t>55.473847,65.347397</t>
  </si>
  <si>
    <t>1659164669</t>
  </si>
  <si>
    <t>Г КАЗАНЬ,УЛ ЧЕРНЫШЕВСКОГО Д 35</t>
  </si>
  <si>
    <t>Карпов Роман Александрович</t>
  </si>
  <si>
    <t>+7 (927) 678-45-14'</t>
  </si>
  <si>
    <t>57.257723,65.356893</t>
  </si>
  <si>
    <t>АКЦИОНЕРНОЕ ОБЩЕСТВО "ТЕХНОПАРК"</t>
  </si>
  <si>
    <t>5044090709</t>
  </si>
  <si>
    <t>МОСКОВСКАЯ ОБЛ.,Г ЭЛЕКТРОСТАЛЬ,ПРОСП ЛЕНИНА, 04 КОРП 2..</t>
  </si>
  <si>
    <t>Сазонов Андрей Львович</t>
  </si>
  <si>
    <t>+7 (495) 725-80-93'</t>
  </si>
  <si>
    <t>57.216958,65.360306</t>
  </si>
  <si>
    <t>ОБЩЕСТВО С ОГРАНИЧЕННОЙ ОТВЕТСТВЕННОСТЬЮ "М-ГРАНД"</t>
  </si>
  <si>
    <t>"М-ГРАНД"</t>
  </si>
  <si>
    <t>1660240314</t>
  </si>
  <si>
    <t>Г КАЗАНЬ,УЛ ВИШНЕВСКОГО Д 2А</t>
  </si>
  <si>
    <t>Шленова Марина Владимировна</t>
  </si>
  <si>
    <t>+7 (843) 296-09-15'</t>
  </si>
  <si>
    <t>62.14681,65.433393</t>
  </si>
  <si>
    <t>ОБЩЕСТВО С ОГРАНИЧЕННОЙ ОТВЕТСТВЕННОСТЬЮ "АРХИКАМЕНЬ"</t>
  </si>
  <si>
    <t>"АРХИКАМЕНЬ"</t>
  </si>
  <si>
    <t>7724220282</t>
  </si>
  <si>
    <t>Г МОСКВА,ПРОСП ЛЕНИНГРАДСКИЙ, Д 36, КОРП 21</t>
  </si>
  <si>
    <t>+7 (495) 107-30-05', '+7 (495) 223-48-40', '+7 (495) 213-20-50'</t>
  </si>
  <si>
    <t>obukhov@archistone-msk'</t>
  </si>
  <si>
    <t>57.154317,65.441415</t>
  </si>
  <si>
    <t>ОБЩЕСТВО С ОГРАНИЧЕННОЙ ОТВЕТСТВЕННОСТЬЮ "ЭЙ ВИ ДЖИ ГРУП"</t>
  </si>
  <si>
    <t>"ЭЙ ВИ ДЖИ ГРУП"</t>
  </si>
  <si>
    <t>5001049103</t>
  </si>
  <si>
    <t>МОСКОВСКАЯ ОБЛ.,Г БАЛАШИХА,УЛ НЕКРАСОВА, Д 8</t>
  </si>
  <si>
    <t>Мартикян Манвел Юрикович</t>
  </si>
  <si>
    <t>+7 (903) 160-01-71', '+7 (903) 154-39-52', '+7 (926) 085-91-25'</t>
  </si>
  <si>
    <t>57.172742,65.457423</t>
  </si>
  <si>
    <t>ОБЩЕСТВО С ОГРАНИЧЕННОЙ ОТВЕТСТВЕННОСТЬЮ "ПРОИЗВОДСТВЕННАЯ КОМПАНИЯ "БЕТОНСТРОЙ"</t>
  </si>
  <si>
    <t>"ПРОИЗВОДСТВЕННАЯ КОМПАНИЯ "БЕТОНСТРОЙ"</t>
  </si>
  <si>
    <t>1659155400</t>
  </si>
  <si>
    <t>Г КАЗАНЬ,УЛ ГОРЬКОГО Д 6А</t>
  </si>
  <si>
    <t>Нагуманов Румиль Шамильевич</t>
  </si>
  <si>
    <t>57.156949,65.465804</t>
  </si>
  <si>
    <t>ОТКРЫТОЕ АКЦИОНЕРНОЕ ОБЩЕСТВО "БОНОЛИТ - СТРОИТЕЛЬНЫЕ РЕШЕНИЯ"</t>
  </si>
  <si>
    <t>ОТКРЫТОЕ "БОНОЛИТ - СТРОИТЕЛЬНЫЕ РЕШЕНИЯ"</t>
  </si>
  <si>
    <t>5031002889</t>
  </si>
  <si>
    <t>http://ecozol.ru</t>
  </si>
  <si>
    <t>МОСКОВСКАЯ ОБЛ.,НОГИНСКИЙ Р-Н,Г СТАРАЯ КУПАВНА,УЛ БЕТОННАЯ</t>
  </si>
  <si>
    <t>+7 (495) 702-96-44', '+7 (495) 660-06-51'</t>
  </si>
  <si>
    <t>glavbuh@bonolit.ru', 'hh@bonolit.ru', 'popova@bonolit.ru', 'kuzmenko@bonolit.ru'</t>
  </si>
  <si>
    <t>ОБЩЕСТВО С ОГРАНИЧЕННОЙ ОТВЕТСТВЕННОСТЬЮ "СОВРЕМЕННЫЕ БЕТОННЫЕ ТЕХНОЛОГИИ"</t>
  </si>
  <si>
    <t>"СОВРЕМЕННЫЕ БЕТОННЫЕ ТЕХНОЛОГИИ"</t>
  </si>
  <si>
    <t>0277912247</t>
  </si>
  <si>
    <t>450095, БАШКОРТОСТАН РЕСПУБЛИКА, ГОРОД УФА, УЛИЦА МАЙКОПСКАЯ, ДОМ 58, КОРПУС 1, ОФИС 12</t>
  </si>
  <si>
    <t>Молин Дмитрий Евгеньевич</t>
  </si>
  <si>
    <t>+7 (347) 246-57-99', '+7 (905) 000-91-92'</t>
  </si>
  <si>
    <t>neva0111@yandex.ru'</t>
  </si>
  <si>
    <t>57.177455,65.475291</t>
  </si>
  <si>
    <t>0272014257</t>
  </si>
  <si>
    <t>Г УФА,УЛ ЧЕБОКСАРСКАЯ,70</t>
  </si>
  <si>
    <t>Паламарчук Дмитрий Михайлович</t>
  </si>
  <si>
    <t>+7 (347) 229-94-04', '+7 (347) 229-03-26', '+7 (347) 221-14-63', '+7 (917) 343-69-59', '+7 (937) 493-57-50', '+7 (937) 355-79-54', '+7 (347) 229-94-04'</t>
  </si>
  <si>
    <t>57.135283,65.476575</t>
  </si>
  <si>
    <t>ОБЩЕСТВО С ОГРАНИЧЕННОЙ ОТВЕТСТВЕННОСТЬЮ "ЗАВОД " ВИРА "</t>
  </si>
  <si>
    <t>"ЗАВОД " ВИРА "</t>
  </si>
  <si>
    <t>1656030427</t>
  </si>
  <si>
    <t>Г КАЗАНЬ,УЛ УЗЕНЬКАЯ Д 4</t>
  </si>
  <si>
    <t>Котляревский Эдуард Ефимыч</t>
  </si>
  <si>
    <t>+7 (843) 554-18-09', '+7 (843) 554-08-13'</t>
  </si>
  <si>
    <t>57.095067,65.478489</t>
  </si>
  <si>
    <t>1617005890</t>
  </si>
  <si>
    <t>Г КАЗАНЬ,УЛ ЗУР УРАМ Д 42..</t>
  </si>
  <si>
    <t>Хайртдинова Разиля Минсихатовна</t>
  </si>
  <si>
    <t>+7 (909) 358-34-61', '+7 (987) 003-96-96'</t>
  </si>
  <si>
    <t>ОБЩЕСТВО С ОГРАНИЧЕННОЙ ОТВЕТСТВЕННОСТЬЮ "КАМЕЛИТ"</t>
  </si>
  <si>
    <t>"КАМЕЛИТ"</t>
  </si>
  <si>
    <t>5031118160</t>
  </si>
  <si>
    <t>МОСКОВСКАЯ ОБЛ.,Г КРАСНОГОРСК,УЛ ВОКЗАЛЬНАЯ, Д 24,..</t>
  </si>
  <si>
    <t>Мантоян Сюзанна Седраковна</t>
  </si>
  <si>
    <t>57.164666,65.487211</t>
  </si>
  <si>
    <t>АКЦИОНЕРНОЕ ОБЩЕСТВО "УЯРЖЕЛЕЗОБЕТОН"</t>
  </si>
  <si>
    <t>"УЯРЖЕЛЕЗОБЕТОН"</t>
  </si>
  <si>
    <t>2440000020</t>
  </si>
  <si>
    <t>КРАСНОЯРСКИЙ КРАЙ,Г УЯР,УЛ ЛЕНИНА Д 106</t>
  </si>
  <si>
    <t>Мокштадт Константин Александрович</t>
  </si>
  <si>
    <t>betoncom@bk.ru', 'uyarbeton@mail.ru', 'zbka@yandex.ru'</t>
  </si>
  <si>
    <t>57.1254,65.511969</t>
  </si>
  <si>
    <t>ОБЩЕСТВО С ОГРАНИЧЕННОЙ ОТВЕТСТВЕННОСТЬЮ "ФИНГЕР ГРУПП"</t>
  </si>
  <si>
    <t>"ФИНГЕР ГРУПП"</t>
  </si>
  <si>
    <t>7743532329</t>
  </si>
  <si>
    <t>Г МОСКВА,УЛ КОСМОНАВТА ВОЛКОВА, Д 5, СТР 1</t>
  </si>
  <si>
    <t>Маслов Алексей Владимирович</t>
  </si>
  <si>
    <t>57.131258,65.528309</t>
  </si>
  <si>
    <t>0262009392</t>
  </si>
  <si>
    <t>453303, БАШКОРТОСТАН РЕСПУБЛИКА, ГОРОД КУМЕРТАУ, УЛИЦА ЭНЕРГЕТИКОВ, ДОМ 27Б, ПОМЕЩЕНИЕ 4</t>
  </si>
  <si>
    <t>Юсупов Рафаэль Рамилевич</t>
  </si>
  <si>
    <t>+7 (927) 314-96-20'</t>
  </si>
  <si>
    <t>beton@mail.ru', 'lilya670@mail.ru'</t>
  </si>
  <si>
    <t>57.090822,65.531004</t>
  </si>
  <si>
    <t>ОБЩЕСТВО С ОГРАНИЧЕННОЙ ОТВЕТСТВЕННОСТЬЮ "ТОРГОВЫЙ ДОМ "СТРОЙПОСТАВКА"</t>
  </si>
  <si>
    <t>""СТРОЙПОСТАВКА"</t>
  </si>
  <si>
    <t>1659145585</t>
  </si>
  <si>
    <t>Г КАЗАНЬ,УЛ ДЕКАБРИСТОВ Д 81</t>
  </si>
  <si>
    <t>Алешев Шамиль Зуфарович</t>
  </si>
  <si>
    <t>57.156138,65.539349</t>
  </si>
  <si>
    <t>ОБЩЕСТВО С ОГРАНИЧЕННОЙ ОТВЕТСТВЕННОСТЬЮ "ОБЪЕДИНЕННАЯ БЕТОННАЯ КОМПАНИЯ"</t>
  </si>
  <si>
    <t>"ОБЪЕДИНЕННАЯ БЕТОННАЯ КОМПАНИЯ"</t>
  </si>
  <si>
    <t>1659160093</t>
  </si>
  <si>
    <t>Г КАЗАНЬ,ПРОСП ИБРАГИМОВА Д 48</t>
  </si>
  <si>
    <t>Кузнецов Олег Сергеевич</t>
  </si>
  <si>
    <t>+7 (843) 518-10-18', '+7 (843) 518-10-18'</t>
  </si>
  <si>
    <t>57.152985,65.541227</t>
  </si>
  <si>
    <t>ОБЩЕСТВО С ОГРАНИЧЕННОЙ ОТВЕТСТВЕННОСТЬЮ "ВЕНТО-НОВА"</t>
  </si>
  <si>
    <t>"ВЕНТО-НОВА"</t>
  </si>
  <si>
    <t>0258954019</t>
  </si>
  <si>
    <t>450014, Республика Башкортостан, городской округ ГОРОД УФА, Город УФА, УЛ УХТОМСКОГО, Д. 17/2,..</t>
  </si>
  <si>
    <t>Хасанова Ольга Рустамовна</t>
  </si>
  <si>
    <t>+7 (917) 475-76-65'</t>
  </si>
  <si>
    <t>ОБЩЕСТВО С ОГРАНИЧЕННОЙ ОТВЕТСТВЕННОСТЬЮ "ЖБИ-ТРЕЙД"</t>
  </si>
  <si>
    <t>"ЖБИ-ТРЕЙД"</t>
  </si>
  <si>
    <t>1657143060</t>
  </si>
  <si>
    <t>Г КАЗАНЬ,УЛ ЖУРНАЛИСТОВ Д 100</t>
  </si>
  <si>
    <t>Харитонов Эдуард Владимирович</t>
  </si>
  <si>
    <t>+7 (843) 225-01-61'</t>
  </si>
  <si>
    <t>57.147184,65.545889</t>
  </si>
  <si>
    <t>ОБЩЕСТВО С ОГРАНИЧЕННОЙ ОТВЕТСТВЕННОСТЬЮ "ПЛК"</t>
  </si>
  <si>
    <t>"ПЛК"</t>
  </si>
  <si>
    <t>1650288211</t>
  </si>
  <si>
    <t>Г КАЗАНЬ,УЛ ДЕКАБРИСТОВ Д 133</t>
  </si>
  <si>
    <t>Андронникова Ольга Николаевна</t>
  </si>
  <si>
    <t>+7 (843) 515-06-34'</t>
  </si>
  <si>
    <t>57.139141,65.546967</t>
  </si>
  <si>
    <t>ОБЩЕСТВО С ОГРАНИЧЕННОЙ ОТВЕТСТВЕННОСТЬЮ "ТАТРЕГИОНСТРОЙ"</t>
  </si>
  <si>
    <t>"ТАТРЕГИОНСТРОЙ"</t>
  </si>
  <si>
    <t>1627009413</t>
  </si>
  <si>
    <t>Г КАЗАНЬ,УЛ ЧУЙКОВА Д 2</t>
  </si>
  <si>
    <t>Готин Ленар Юнэсович</t>
  </si>
  <si>
    <t>57.150612,65.547308</t>
  </si>
  <si>
    <t>ОБЩЕСТВО С ОГРАНИЧЕННОЙ ОТВЕТСТВЕННОСТЬЮ "РЕСУРСТРАНССТРОЙ"</t>
  </si>
  <si>
    <t>"РЕСУРСТРАНССТРОЙ"</t>
  </si>
  <si>
    <t>7708160935</t>
  </si>
  <si>
    <t>Г МОСКВА,УЛ МИХАЛКОВСКАЯ, Д 63 Б, СТР 1</t>
  </si>
  <si>
    <t xml:space="preserve"> Руководитель Нет Данных</t>
  </si>
  <si>
    <t>+7 (495) 601-94-30'</t>
  </si>
  <si>
    <t>57.155279,65.547946</t>
  </si>
  <si>
    <t>ОБЩЕСТВО С ОГРАНИЧЕННОЙ ОТВЕТСТВЕННОСТЬЮ "СК ЗЕЛЕНЫЙ ДВОР"</t>
  </si>
  <si>
    <t>"СК ЗЕЛЕНЫЙ ДВОР"</t>
  </si>
  <si>
    <t>7716810030</t>
  </si>
  <si>
    <t>Г МОСКВА,ШОССЕ ПЯТНИЦКОЕ, Д 9</t>
  </si>
  <si>
    <t>Хачатрян Нели Мануковна</t>
  </si>
  <si>
    <t>+7 (495) 953-38-68', '+7 (495) 482-59-74'</t>
  </si>
  <si>
    <t>57.122166,65.548027</t>
  </si>
  <si>
    <t>ОБЩЕСТВО С ОГРАНИЧЕННОЙ ОТВЕТСТВЕННОСТЬЮ "УфаБлок"</t>
  </si>
  <si>
    <t>"УфаБлок"</t>
  </si>
  <si>
    <t>0277126476</t>
  </si>
  <si>
    <t>http://blokufa.ru</t>
  </si>
  <si>
    <t>450520, БАШКОРТОСТАН РЕСПУБЛИКА, РАЙОН УФИМСКИЙ, СЕЛО НИЖЕГОРОДКА, УЛИЦА ЧАПАЕВА, ДОМ 29, КОРПУС 1,..</t>
  </si>
  <si>
    <t>Стрих Татьяна Вадимовна</t>
  </si>
  <si>
    <t>+7 (917) 404-33-63'</t>
  </si>
  <si>
    <t>57.146344,65.549195</t>
  </si>
  <si>
    <t>ТРАНСНАЦИОНАЛЬНОЕ ОБЪЕДИНЕНИЕ (СОЮЗ) "АКАДЕМИЯ СОВРЕМЕННОГО СТРОИТЕЛЬСТВА"</t>
  </si>
  <si>
    <t>7712061694</t>
  </si>
  <si>
    <t>Г МОСКВА,БУЛЬВ КРОНШТАДТСКИЙ, Д 7 А</t>
  </si>
  <si>
    <t>Малый Алексей Алексеевич</t>
  </si>
  <si>
    <t>+7 (495) 916-25-16', '+7 (495) 916-25-16'</t>
  </si>
  <si>
    <t>57.156597,65.557064</t>
  </si>
  <si>
    <t>ОБЩЕСТВО С ОГРАНИЧЕННОЙ ОТВЕТСТВЕННОСТЬЮ "КАЗАНСКИЙ ЗАВОД СИЛИКАТНЫХ СТЕНОВЫХ МАТЕРИАЛОВ"</t>
  </si>
  <si>
    <t>"КАЗАНСКИЙ ЗАВОД СИЛИКАТНЫХ СТЕНОВЫХ МАТЕРИАЛОВ"</t>
  </si>
  <si>
    <t>1661007864</t>
  </si>
  <si>
    <t>Г КАЗАНЬ,УЛ ТЭЦЕВСКАЯ КОРП 3</t>
  </si>
  <si>
    <t>Файрушин Рустам Ахтамович</t>
  </si>
  <si>
    <t>+7 (843) 571-92-80'</t>
  </si>
  <si>
    <t>INFO@KZSSM.RU'</t>
  </si>
  <si>
    <t>57.122991,65.557927</t>
  </si>
  <si>
    <t>ОБЩЕСТВО С ОГРАНИЧЕННОЙ ОТВЕТСТВЕННОСТЬЮ "АЛНСТРОЙ-ТРОТУАР"</t>
  </si>
  <si>
    <t>"АЛНСТРОЙ-ТРОТУАР"</t>
  </si>
  <si>
    <t>5024051684</t>
  </si>
  <si>
    <t>http://betongroup.ru</t>
  </si>
  <si>
    <t>МОСКОВСКАЯ ОБЛ.,КРАСНОГОРСКИЙ Р-Н,Д ПУТИЛКОВО,ПУТИЛКОВСКОЕ ШОССЕ, Д 104 А</t>
  </si>
  <si>
    <t>Гахов Сергей Валерьевич</t>
  </si>
  <si>
    <t>57.134809,65.557971</t>
  </si>
  <si>
    <t>ОБЩЕСТВО С ОГРАНИЧЕННОЙ ОТВЕТСТВЕННОСТЬЮ "АЛНСТРОЙ"</t>
  </si>
  <si>
    <t>"АЛНСТРОЙ"</t>
  </si>
  <si>
    <t>7705197038</t>
  </si>
  <si>
    <t>Карпова Мария Юрьевна</t>
  </si>
  <si>
    <t>+7 (495) 421-63-37'</t>
  </si>
  <si>
    <t>57.136714,65.559561</t>
  </si>
  <si>
    <t>ОБЩЕСТВО С ОГРАНИЧЕННОЙ ОТВЕТСТВЕННОСТЬЮ "АГРОПОЛЮС"</t>
  </si>
  <si>
    <t>"АГРОПОЛЮС"</t>
  </si>
  <si>
    <t>5050006504</t>
  </si>
  <si>
    <t>МОСКОВСКАЯ ОБЛ.,ЩЕЛКОВСКИЙ Р-Н,Г ЛОСИНО-ПЕТРОВСКИЙ,УЛ ЗЕЛЕНЫЙ БОР</t>
  </si>
  <si>
    <t>Немчиков Альберт Валерьевич</t>
  </si>
  <si>
    <t>57.125332,65.567709</t>
  </si>
  <si>
    <t>ОБЩЕСТВО С ОГРАНИЧЕННОЙ ОТВЕТСТВЕННОСТЬЮ "ЖУКИНО-МДК"</t>
  </si>
  <si>
    <t>"ЖУКИНО-МДК"</t>
  </si>
  <si>
    <t>2110001530</t>
  </si>
  <si>
    <t>ЧУВАШСКАЯ РЕСПУБЛИКА - ЧУВАШИЯ,Г ЦИВИЛЬСК,УЛ НИКОЛАЕВА, Д 2, А</t>
  </si>
  <si>
    <t>Кошелев Юрий Григорьевич</t>
  </si>
  <si>
    <t>+7 (925) 502-44-58'</t>
  </si>
  <si>
    <t>57.099858,65.569407</t>
  </si>
  <si>
    <t>Общество с ограниченной ответственностью "Дорожная Строительная Компания"</t>
  </si>
  <si>
    <t>"Дорожная Строительная Компания"</t>
  </si>
  <si>
    <t>1655255682</t>
  </si>
  <si>
    <t>Г КАЗАНЬ,УЛ БЕЛОМОРСКАЯ Д 69А</t>
  </si>
  <si>
    <t>57.112372,65.589242</t>
  </si>
  <si>
    <t>ОБЩЕСТВО С ОГРАНИЧЕННОЙ ОТВЕТСТВЕННОСТЬЮ "ГАЗПРОФСЕРВИС"</t>
  </si>
  <si>
    <t>"ГАЗПРОФСЕРВИС"</t>
  </si>
  <si>
    <t>0275901539</t>
  </si>
  <si>
    <t>450017, БАШКОРТОСТАН РЕСПУБЛИКА, Г. УФА, УЛ. СОЮЗНАЯ, Д. 37, К. А</t>
  </si>
  <si>
    <t>Мухаметзянова Галина Михайловна</t>
  </si>
  <si>
    <t>+7 (347) 274-15-93', '+7 (996) 401-01-85'</t>
  </si>
  <si>
    <t>57.204699,65.594021</t>
  </si>
  <si>
    <t>ОБЩЕСТВО С ОГРАНИЧЕННОЙ ОТВЕТСТВЕННОСТЬЮ "СОРБИТ"</t>
  </si>
  <si>
    <t>"СОРБИТ"</t>
  </si>
  <si>
    <t>7716960460</t>
  </si>
  <si>
    <t>129345, Г.Москва, внутригородская территория города федерального значения МУНИЦИПАЛЬНЫЙ ОКРУГ БАБУШКИНСКИЙ, УЛ ЛЁТЧИКА БАБУШКИНА, Д. 39, ЭТАЖ/ПОМЕЩ. 1/XIII, КОМ./ОФИС 6/А5Ф</t>
  </si>
  <si>
    <t>57.142809,65.597003</t>
  </si>
  <si>
    <t>ОБЩЕСТВО С ОГРАНИЧЕННОЙ ОТВЕТСТВЕННОСТЬЮ "РОМСТРОЙ"</t>
  </si>
  <si>
    <t>"РОМСТРОЙ"</t>
  </si>
  <si>
    <t>0242012855</t>
  </si>
  <si>
    <t>453140, БАШКОРТОСТАН РЕСПУБЛИКА, Р-Н СТЕРЛИТАМАКСКИЙ, Д БАЙРАК, УЛ. ЛУГОВАЯ, Д. 53</t>
  </si>
  <si>
    <t>Миняжетдинов Роман Алиевич</t>
  </si>
  <si>
    <t>+7 (917) 047-01-71'</t>
  </si>
  <si>
    <t>ОБЩЕСТВО С ОГРАНИЧЕННОЙ ОТВЕТСТВЕННОСТЬЮ "Домостроительная фабрика "ЗОДИАК"</t>
  </si>
  <si>
    <t>"Домостроительная фабрика "ЗОДИАК"</t>
  </si>
  <si>
    <t>5005059423</t>
  </si>
  <si>
    <t>МОСКОВСКАЯ ОБЛ.,Г НОГИНСК,УЛ РЕМЕСЛЕННАЯ, 9</t>
  </si>
  <si>
    <t xml:space="preserve"> Генеральный Директор Ук Ооо "Ик Томилино" Сурков Анатолий Александрович</t>
  </si>
  <si>
    <t>+7 (495) 649-85-05'</t>
  </si>
  <si>
    <t>57.212513,65.599069</t>
  </si>
  <si>
    <t>ОБЩЕСТВО С ОГРАНИЧЕННОЙ ОТВЕТСТВЕННОСТЬЮ "МАНСУРОВСКИЙ ЗАВОД СТРОИТЕЛЬНЫХ МАТЕРИАЛОВ"</t>
  </si>
  <si>
    <t>"МАНСУРОВСКИЙ ЗАВОД СТРОИТЕЛЬНЫХ МАТЕРИАЛОВ"</t>
  </si>
  <si>
    <t>7706798049</t>
  </si>
  <si>
    <t>143573, МОСКОВСКАЯ ОБЛАСТЬ, ГОРОДСКОЙ ОКРУГ ИСТРА, ДЕРЕВНЯ АЛЕКСЕЕВКА, ТЕРРИТОРИЯ П/Б ЗАО МАНСУРОВСКОЕ КАРЬЕРОУПРАВЛЕНИЕ, ДОМ 3, ЭТАЖ/КАБ 2/26</t>
  </si>
  <si>
    <t>Тарасова Ксения Олеговна</t>
  </si>
  <si>
    <t>+7 (905) 714-22-88', '+7 (495) 748-87-69', '+7 (925) 660-66-58'</t>
  </si>
  <si>
    <t>t@mail.ru'</t>
  </si>
  <si>
    <t>57.114748,65.599195</t>
  </si>
  <si>
    <t>ОБЩЕСТВО С ОГРАНИЧЕННОЙ ОТВЕТСТВЕННОСТЬЮ "СТРОИТЕЛЬНЫЕ ИННОВАЦИОННЫЕ ТЕХНОЛОГИИ"</t>
  </si>
  <si>
    <t>"СТРОИТЕЛЬНЫЕ ИННОВАЦИОННЫЕ ТЕХНОЛОГИИ"</t>
  </si>
  <si>
    <t>5047061537</t>
  </si>
  <si>
    <t>МОСКОВСКАЯ ОБЛ.,Г ХИМКИ,УЛ ЛЕНИНГРАДСКАЯ, Д 1 А</t>
  </si>
  <si>
    <t>ГЕНЕРАЛЬНЫЙ ДИРЕКТОР Хайнцельманн Райнер Томас</t>
  </si>
  <si>
    <t>57.132396,65.601621</t>
  </si>
  <si>
    <t>ОБЩЕСТВО С ОГРАНИЧЕННОЙ ОТВЕТСТВЕННОСТЬЮ "ДЕДАЛ"</t>
  </si>
  <si>
    <t>"ДЕДАЛ"</t>
  </si>
  <si>
    <t>0272901403</t>
  </si>
  <si>
    <t>450017, БАШКОРТОСТАН РЕСПУБЛИКА, ГОРОД УФА, УЛИЦА МЕТАЛЛИСТОВ, ДОМ 73А</t>
  </si>
  <si>
    <t>Султанбеков Руслан Рифович</t>
  </si>
  <si>
    <t>+7 (347) 222-09-88'</t>
  </si>
  <si>
    <t>ufa@mail.ru'</t>
  </si>
  <si>
    <t>55.479312,65.605941</t>
  </si>
  <si>
    <t>ОБЩЕСТВО С ОГРАНИЧЕННОЙ ОТВЕТСТВЕННОСТЬЮ "СТРОЙ МАСТЕР ОК"</t>
  </si>
  <si>
    <t>"СТРОЙ МАСТЕР ОК"</t>
  </si>
  <si>
    <t>5032196980</t>
  </si>
  <si>
    <t>МОСКОВСКАЯ ОБЛ.,Г ХИМКИ,УЛ ПРОЛЕТАРСКАЯ, Д 18</t>
  </si>
  <si>
    <t>Оганнисян Гаспар Саакович</t>
  </si>
  <si>
    <t>+7 (926) 560-61-24'</t>
  </si>
  <si>
    <t>57.127828,65.606193</t>
  </si>
  <si>
    <t>ОБЩЕСТВО С ОГРАНИЧЕННОЙ ОТВЕТСТВЕННОСТЬЮ "ЗАМСТРОЙ"</t>
  </si>
  <si>
    <t>"ЗАМСТРОЙ"</t>
  </si>
  <si>
    <t>0268089563</t>
  </si>
  <si>
    <t>453100, БАШКОРТОСТАН РЕСПУБЛИКА, ГОРОД СТЕРЛИТАМАК, УЛИЦА АРТЕМА, ДОМ 102,..</t>
  </si>
  <si>
    <t>Заманов Ильнур Гафурович</t>
  </si>
  <si>
    <t>57.209993,65.607316</t>
  </si>
  <si>
    <t>ОБЩЕСТВО С ОГРАНИЧЕННОЙ ОТВЕТСТВЕННОСТЬЮ БЕТОНОПРОИЗВОДИТЕЛЬНАЯ КОМПАНИЯ "БЕТОНТРЕЙД"</t>
  </si>
  <si>
    <t>БЕТОНОПРОИЗВОДИТЕЛЬНАЯ КОМПАНИЯ "БЕТОНТРЕЙД"</t>
  </si>
  <si>
    <t>0245026937</t>
  </si>
  <si>
    <t>450520, БАШКОРТОСТАН РЕСПУБЛИКА, Р-Н УФИМСКИЙ, С ЗУБОВО, УЛ. ПРОМЫШЛЕННАЯ ЗОНА УРШАК, Д. 2, К. 6</t>
  </si>
  <si>
    <t>Фархутдинов Айдар Фанисович</t>
  </si>
  <si>
    <t>+7 (347) 274-18-18', '+7 (927) 930-78-08'</t>
  </si>
  <si>
    <t>beton102@list.ru', 'ufa@mail.ru'</t>
  </si>
  <si>
    <t>57.108643,65.608538</t>
  </si>
  <si>
    <t>ОБЩЕСТВО С ОГРАНИЧЕННОЙ ОТВЕТСТВЕННОСТЬЮ ДОМОСТРОИТЕЛЬНЫЙ КОМБИНАТ "ЖЕЛЕЗОБЕТОННЫЕ ИЗДЕЛИЯ"</t>
  </si>
  <si>
    <t>ДОМОСТРОИТЕЛЬНЫЙ КОМБИНАТ "ЖЕЛЕЗОБЕТОННЫЕ ИЗДЕЛИЯ"</t>
  </si>
  <si>
    <t>0275083812</t>
  </si>
  <si>
    <t>http://жбиуфа.рф</t>
  </si>
  <si>
    <t>450019, Республика Башкортостан, ГОРОД УФА, ул Черный яр,23/1</t>
  </si>
  <si>
    <t>Дмитриев Андрей Витальевич</t>
  </si>
  <si>
    <t>+7 (963) 142-83-38'</t>
  </si>
  <si>
    <t>nailya6@yandex.ru'</t>
  </si>
  <si>
    <t>57.131204,65.614493</t>
  </si>
  <si>
    <t>ДОЧЕРНЕЕ ОБЩЕСТВО С ОГРАНИЧЕННОЙ ОТВЕТСТВЕННОСТЬЮ "АУРГАЗЫСТРОЙСЕРВИС"</t>
  </si>
  <si>
    <t>ДОЧЕРНЕЕ "АУРГАЗЫСТРОЙСЕРВИС"</t>
  </si>
  <si>
    <t>0205005659</t>
  </si>
  <si>
    <t>РЕСПУБЛИКА БАШКОРТОСТАН,АУРГАЗИНСКИЙ Р-Н,С ТОЛБАЗЫ,УЛ ЛЕНИНА,151</t>
  </si>
  <si>
    <t>Бикметов Рим Рилович</t>
  </si>
  <si>
    <t>57.12774,65.617763</t>
  </si>
  <si>
    <t>ОБЩЕСТВО С ОГРАНИЧЕННОЙ ОТВЕТСТВЕННОСТЬЮ "УРАЛ КЕРБ"</t>
  </si>
  <si>
    <t>"УРАЛ КЕРБ"</t>
  </si>
  <si>
    <t>0263022597</t>
  </si>
  <si>
    <t>453851, БАШКОРТОСТАН РЕСПУБЛИКА, РАЙОН МЕЛЕУЗОВСКИЙ, ГОРОД МЕЛЕУЗ, УЛИЦА УТЯГУЛОВА, ДОМ 9,..</t>
  </si>
  <si>
    <t>Сагитов Рифат Галиевич</t>
  </si>
  <si>
    <t>+7 (927) 333-76-68'</t>
  </si>
  <si>
    <t>57.121506,65.618922</t>
  </si>
  <si>
    <t>ОБЩЕСТВО С ОГРАНИЧЕННОЙ ОТВЕТСТВЕННОСТЬЮ "БАШСТРОЙМОНОЛИТ"</t>
  </si>
  <si>
    <t>"БАШСТРОЙМОНОЛИТ"</t>
  </si>
  <si>
    <t>0263032732</t>
  </si>
  <si>
    <t>453851, БАШКОРТОСТАН РЕСП., Мелеузовский Р-Н, Г. Мелеуз, УЛ. МЕЛИОРАТОРОВ, СТР. 36/1</t>
  </si>
  <si>
    <t>Бадасян Роланд Амаякович</t>
  </si>
  <si>
    <t>OOOBASHSTROIMONOLIT@YANDEX.RU'</t>
  </si>
  <si>
    <t>57.139889,65.619488</t>
  </si>
  <si>
    <t>ОБЩЕСТВО С ОГРАНИЧЕННОЙ ОТВЕТСТВЕННОСТЬЮ "ГЕВОРГ"</t>
  </si>
  <si>
    <t>"ГЕВОРГ"</t>
  </si>
  <si>
    <t>0268095567</t>
  </si>
  <si>
    <t>453118, Республика Башкортостан, ГОРОД СТЕРЛИТАМАК, Г СТЕРЛИТАМАК, УЛ КОММУНИСТИЧЕСКАЯ, Д. 9</t>
  </si>
  <si>
    <t>Арутюнян Карен Гегамович</t>
  </si>
  <si>
    <t>STR@MAIL.RU'</t>
  </si>
  <si>
    <t>57.116776,65.624052</t>
  </si>
  <si>
    <t>АКЦИОНЕРНОЕ ОБЩЕСТВО "ПЕТУШИНСКИЙ ЗАВОД СИЛИКАТНОГО КИРПИЧА"</t>
  </si>
  <si>
    <t>"ПЕТУШИНСКИЙ ЗАВОД СИЛИКАТНОГО КИРПИЧА"</t>
  </si>
  <si>
    <t>3321000103</t>
  </si>
  <si>
    <t>http://kirpichstroy.narod.ru</t>
  </si>
  <si>
    <t>ВЛАДИМИРСКАЯ ОБЛ.,Г ПЕТУШКИ,УЛ КЛЯЗЬМИНСКАЯ,2</t>
  </si>
  <si>
    <t>Светликов Александр Сергеевич</t>
  </si>
  <si>
    <t>petush_kirpich@mail.ru'</t>
  </si>
  <si>
    <t>57.211572,65.638892</t>
  </si>
  <si>
    <t>0275042277</t>
  </si>
  <si>
    <t>Г УФА,УЛ ДЕРЕВЕНСКАЯ ПЕРЕПРАВА,12</t>
  </si>
  <si>
    <t>Латыпова Фарида Фикериевна</t>
  </si>
  <si>
    <t>+7 (347) 274-14-52'</t>
  </si>
  <si>
    <t>57.114753,65.645431</t>
  </si>
  <si>
    <t>ОБЩЕСТВО С ОГРАНИЧЕННОЙ ОТВЕТСТВЕННОСТЬЮ"ДОРСЕРВИС"</t>
  </si>
  <si>
    <t>"ДОРСЕРВИС"</t>
  </si>
  <si>
    <t>5050028466</t>
  </si>
  <si>
    <t>МОСКОВСКАЯ ОБЛ.,Г ЩЕЛКОВО,РУДОУПРАВЛЕНИЕ, Д 8</t>
  </si>
  <si>
    <t>Ченцов Анатолий Александрович</t>
  </si>
  <si>
    <t>+7 (495) 526-96-62', '+7 (496) 526-96-62'</t>
  </si>
  <si>
    <t>57.190075,65.648216</t>
  </si>
  <si>
    <t>ОБЩЕСТВО С ОГРАНИЧЕННОЙ ОТВЕТСТВЕННОСТЬЮ "КОМБИНАТ ЖЕЛЕЗОБЕТОННЫХ ИЗДЕЛИЙ №11"</t>
  </si>
  <si>
    <t>"КОМБИНАТ ЖЕЛЕЗОБЕТОННЫХ ИЗДЕЛИЙ №11"</t>
  </si>
  <si>
    <t>5009102020</t>
  </si>
  <si>
    <t>МОСКОВСКАЯ ОБЛ.,Г КОРОЛЕВ,УЛ ИСАЕВА, Д 6</t>
  </si>
  <si>
    <t>Плохих Алексей Иванович</t>
  </si>
  <si>
    <t>+7 (926) 019-01-01'</t>
  </si>
  <si>
    <t>57.106595,65.649222</t>
  </si>
  <si>
    <t>ОБЩЕСТВО С ОГРАНИЧЕННОЙ ОТВЕТСТВЕННОСТЬЮ"ЭНКИ-БЕТОН"</t>
  </si>
  <si>
    <t>"ЭНКИ-БЕТОН"</t>
  </si>
  <si>
    <t>0245962005</t>
  </si>
  <si>
    <t>450591, БАШКОРТОСТАН РЕСПУБЛИКА, РАЙОН УФИМСКИЙ, СЕЛО ЧЕСНОКОВКА, УЛИЦА ГАГАРИНА, ДОМ 9,..</t>
  </si>
  <si>
    <t>Лаврова Анастасия Викторовна</t>
  </si>
  <si>
    <t>57.115183,65.656301</t>
  </si>
  <si>
    <t>ОБЩЕСТВО С ОГРАНИЧЕННОЙ ОТВЕТСТВЕННОСТЬЮ "УФИМСКИЙ ПЕНОБЕТОННЫЙ ЗАВОД"</t>
  </si>
  <si>
    <t>"УФИМСКИЙ ПЕНОБЕТОННЫЙ ЗАВОД"</t>
  </si>
  <si>
    <t>0245962541</t>
  </si>
  <si>
    <t>450591, БАШКОРТОСТАН РЕСПУБЛИКА, Р-Н УФИМСКИЙ, С ЧЕСНОКОВКА, УЛ. ГАГАРИНА, Д. 9,..</t>
  </si>
  <si>
    <t>57.118506,65.664952</t>
  </si>
  <si>
    <t>0268094517</t>
  </si>
  <si>
    <t>453120, БАШКОРТОСТАН РЕСП., Г. Стерлитамак, УЛ. ИМАЯ НАСЫРИ, Д. 6,..</t>
  </si>
  <si>
    <t>ILNUR_STR@BK.RU'</t>
  </si>
  <si>
    <t>ОБЩЕСТВО С ОГРАНИЧЕННОЙ ОТВЕТСТВЕННОСТЬЮ НАУЧНО-ПРОИЗВОДСТВЕННОЕ ПРЕДПРИЯТИЕ "СТРОЙИНДУСТРИЯ"</t>
  </si>
  <si>
    <t>НАУЧНО-ПРОИЗВОДСТВЕННОЕ ПРЕДПРИЯТИЕ "СТРОЙИНДУСТРИЯ"</t>
  </si>
  <si>
    <t>5017012814</t>
  </si>
  <si>
    <t>МОСКОВСКАЯ ОБЛ.,Г ИСТРА,УЛ СОВЕТСКАЯ, Д 47</t>
  </si>
  <si>
    <t>Ванюшин Юрий Алексеевич</t>
  </si>
  <si>
    <t>ОБЩЕСТВО С ОГРАНИЧЕННОЙ ОТВЕТСТВЕННОСТЬЮ "РАСТВОРОБЕТОННЫЙ УЗЕЛ САЛАВАТСТРОЙ"</t>
  </si>
  <si>
    <t>"РАСТВОРОБЕТОННЫЙ УЗЕЛ САЛАВАТСТРОЙ"</t>
  </si>
  <si>
    <t>0266041510</t>
  </si>
  <si>
    <t>http://rbu.ucoz.ru</t>
  </si>
  <si>
    <t>453252, БАШКОРТОСТАН РЕСПУБЛИКА, Г. САЛАВАТ, УЛ. ПЕРВОМАЙСКАЯ, Д. 85 "В"</t>
  </si>
  <si>
    <t>Карпов Александр Борисович</t>
  </si>
  <si>
    <t>+7 (927) 947-88-58', '+7 (917) 405-32-55'</t>
  </si>
  <si>
    <t>89174525023@mail.ru', 'cadry@usdvrb.ru'</t>
  </si>
  <si>
    <t>57.15605,65.676684</t>
  </si>
  <si>
    <t>0274928344</t>
  </si>
  <si>
    <t>450056, БАШКОРТОСТАН РЕСПУБЛИКА, ГОРОД УФА, ДЕРЕВНЯ МОКРОУСОВО, УЛИЦА МОКРОУСОВСКАЯ, ДОМ 4, КОРПУС 3, ПОМЕЩЕНИЕ 27</t>
  </si>
  <si>
    <t>Атеян Гуж Самвелович</t>
  </si>
  <si>
    <t>+7 (919) 145-97-21'</t>
  </si>
  <si>
    <t>57.032914,65.719848</t>
  </si>
  <si>
    <t>0262034180</t>
  </si>
  <si>
    <t>453315, БАШКОРТОСТАН РЕСПУБЛИКА, Г. КУМЕРТАУ, С ИРА, УЛ. 70 ЛЕТ ОКТЯБРЯ, Д. 40, ОФИС 1</t>
  </si>
  <si>
    <t>Макеев Леонид Иванович</t>
  </si>
  <si>
    <t>+7 (927) 345-86-88'</t>
  </si>
  <si>
    <t>56.979924,65.777807</t>
  </si>
  <si>
    <t>ОБЩЕСТВО С ОГРАНИЧЕННОЙ ОТВЕТСТВЕННОСТЬЮ Строительный производственно-торговый комплекс "УРАРТУ"</t>
  </si>
  <si>
    <t>Строительный производственно-торговый комплекс "УРАРТУ"</t>
  </si>
  <si>
    <t>0245022629</t>
  </si>
  <si>
    <t>450516, БАШКОРТОСТАН РЕСПУБЛИКА, Р-Н УФИМСКИЙ, С КРАСНЫЙ ЯР, УЛ. СОВЕТСКАЯ, Д.105</t>
  </si>
  <si>
    <t>Саитгареев Рустэм Фаритович</t>
  </si>
  <si>
    <t>+7 (347) 246-20-64'</t>
  </si>
  <si>
    <t>55.374759,65.815923</t>
  </si>
  <si>
    <t>ЗАКРЫТОЕ АКЦИОНЕРНОЕ ОБЩЕСТВО "НОРБЛОКК"</t>
  </si>
  <si>
    <t>ЗАКРЫТОЕ "НОРБЛОКК"</t>
  </si>
  <si>
    <t>5908055187</t>
  </si>
  <si>
    <t>614042, ПЕРМСКИЙ КРАЙ, Г. ПЕРМЬ, УЛ. ПРИЧАЛЬНАЯ, Д.27</t>
  </si>
  <si>
    <t>Даноян Карэн Витяевич</t>
  </si>
  <si>
    <t>+7 (982) 444-48-38', '+7 (919) 466-11-23'</t>
  </si>
  <si>
    <t>norstroi59@yandex.ru', 'danoyan@yandex.ru', 'dskns@yandex.ru'</t>
  </si>
  <si>
    <t>57.173938,65.891516</t>
  </si>
  <si>
    <t>0268084220</t>
  </si>
  <si>
    <t>453102, БАШКОРТОСТАН РЕСП., Г. Стерлитамак, ПЕР. ТРУДОВЫЕ РЕЗЕРВЫ, ВЛД. 4</t>
  </si>
  <si>
    <t>Мальцев Владимир Сергеевич</t>
  </si>
  <si>
    <t>+7 (917) 412-20-29', '+7 (927) 345-19-96'</t>
  </si>
  <si>
    <t>89174122029@rambler.ru', '75@mail.ru'</t>
  </si>
  <si>
    <t>57.660099,66.161217</t>
  </si>
  <si>
    <t>ОБЩЕСТВО С ОГРАНИЧЕННОЙ ОТВЕТСТВЕННОСТЬЮ "БЕТОН СТРОЙ-ПЛАНЕТА"</t>
  </si>
  <si>
    <t>"БЕТОН СТРОЙ-ПЛАНЕТА"</t>
  </si>
  <si>
    <t>0245955382</t>
  </si>
  <si>
    <t>450591, БАШКОРТОСТАН РЕСПУБЛИКА, Р-Н УФИМСКИЙ, С ЧЕСНОКОВКА, УЛ. КАРЬЕРНАЯ, Д. 2, К. А</t>
  </si>
  <si>
    <t>Большаков Андрей Юрьевич</t>
  </si>
  <si>
    <t>+7 (917) 440-17-21'</t>
  </si>
  <si>
    <t>bp@yandex.ru'</t>
  </si>
  <si>
    <t>56.660037,66.269976</t>
  </si>
  <si>
    <t>ОБЩЕСТВО С ОГРАНИЧЕННОЙ ОТВЕТСТВЕННОСТЬЮ "ГЛАВБАШСТРОЙ"</t>
  </si>
  <si>
    <t>"ГЛАВБАШСТРОЙ"</t>
  </si>
  <si>
    <t>0245957140</t>
  </si>
  <si>
    <t>450591, БАШКОРТОСТАН РЕСПУБЛИКА, РАЙОН УФИМСКИЙ, СЕЛО ЧЕСНОКОВКА, УЛИЦА КАРЬЕРНАЯ, ДОМ 2, КОРПУС А</t>
  </si>
  <si>
    <t xml:space="preserve"> Общество С Ограниченной Ответственностью "Амнис-Групп"</t>
  </si>
  <si>
    <t>+7 (347) 293-64-03'</t>
  </si>
  <si>
    <t>baeva@oao-gbs', 'nikiforovskaya@oao-gbs', 'info@oao-gbs', 'valeevagg@build-planet', 'davydova@oao-gbs'</t>
  </si>
  <si>
    <t>56.327271,66.284421</t>
  </si>
  <si>
    <t>ОБЩЕСТВО С ОГРАНИЧЕННОЙ ОТВЕТСТВЕННОСТЬЮ "УФАБЕТОНПОСТАВКА"</t>
  </si>
  <si>
    <t>"УФАБЕТОНПОСТАВКА"</t>
  </si>
  <si>
    <t>0273915511</t>
  </si>
  <si>
    <t>450591, БАШКОРТОСТАН РЕСПУБЛИКА, РАЙОН УФИМСКИЙ, СЕЛО ЧЕСНОКОВКА, УЛИЦА КАРЬЕРНАЯ, ДОМ 2А</t>
  </si>
  <si>
    <t>Валишин Вадим Винерович</t>
  </si>
  <si>
    <t>56.663253,66.284691</t>
  </si>
  <si>
    <t>0268092090</t>
  </si>
  <si>
    <t>453120, БАШКОРТОСТАН РЕСПУБЛИКА, ГОРОД СТЕРЛИТАМАК, УЛИЦА ГЛИНКИ, ВЛД 9Г, ОФИС 5</t>
  </si>
  <si>
    <t>Шамсутдинов Риф Абдрафикович</t>
  </si>
  <si>
    <t>56.630966,66.287448</t>
  </si>
  <si>
    <t>ОБЩЕСТВО С ОГРАНИЧЕННОЙ ОТВЕТСТВЕННОСТЬЮ "ПРОФТАЙМ"</t>
  </si>
  <si>
    <t>"ПРОФТАЙМ"</t>
  </si>
  <si>
    <t>0275084252</t>
  </si>
  <si>
    <t>450076, Республика Башкортостан, ГОРОД УФА, ул Зенцова,81а/20</t>
  </si>
  <si>
    <t>Иванов Виталий Геннадьевич</t>
  </si>
  <si>
    <t>+7 (347) 291-52-05'</t>
  </si>
  <si>
    <t>56.524347,66.476912</t>
  </si>
  <si>
    <t>ОБЩЕСТВО С ОГРАНИЧЕННОЙ ОТВЕТСТВЕННОСТЬЮ "ИНТЕГРАЛ ЭКСПОРТ"</t>
  </si>
  <si>
    <t>"ИНТЕГРАЛ ЭКСПОРТ"</t>
  </si>
  <si>
    <t>0268078667</t>
  </si>
  <si>
    <t>453103, БАШКОРТОСТАН РЕСП., Г. Стерлитамак, УЛ. ДРУЖБЫ, Д. 16, ОФИС 301</t>
  </si>
  <si>
    <t>Губачев Андрей Михайлович</t>
  </si>
  <si>
    <t>integralregion@mail.ru', 'integralregion@yandex.ru'</t>
  </si>
  <si>
    <t>56.483457,66.575861</t>
  </si>
  <si>
    <t>ОБЩЕСТВО С ОГРАНИЧЕННОЙ ОТВЕТСТВЕННОСТЬЮ "ИНТЕГРАЛРЕГИОН"</t>
  </si>
  <si>
    <t>"ИНТЕГРАЛРЕГИОН"</t>
  </si>
  <si>
    <t>0268064872</t>
  </si>
  <si>
    <t>453118, БАШКОРТОСТАН РЕСП, СТЕРЛИТАМАК Г, ДРУЖБЫ УЛ, ДОМ 12</t>
  </si>
  <si>
    <t>Губачева Лия Ураловна</t>
  </si>
  <si>
    <t>+7 (987) 146-27-62', '+7 (891) 961-96-90', '+7 (937) 166-61-12'</t>
  </si>
  <si>
    <t>aisysy@mail.ru', 'integralregion@mail.ru', 'integralregion@yandex.ru'</t>
  </si>
  <si>
    <t>66.528552,66.638735</t>
  </si>
  <si>
    <t>0274094096</t>
  </si>
  <si>
    <t>Г УФА,ПЕРЕУЛОК ШКОЛЬНЫЙ,42А</t>
  </si>
  <si>
    <t>Елизарьев Денис Валерьевич</t>
  </si>
  <si>
    <t>+7 (347) 274-93-70', '+7 (347) 237-78-22'</t>
  </si>
  <si>
    <t>66.539516,66.644133</t>
  </si>
  <si>
    <t>ОБЩЕСТВО С ОГРАНИЧЕННОЙ ОТВЕТСТВЕННОСТЬЮ "ЖБЗ СТРОЙСЕРВИС"</t>
  </si>
  <si>
    <t>"ЖБЗ СТРОЙСЕРВИС"</t>
  </si>
  <si>
    <t>0275918042</t>
  </si>
  <si>
    <t>450076, БАШКОРТОСТАН РЕСПУБЛИКА, ГОРОД УФА, УЛИЦА ГОГОЛЯ, ДОМ 63, КОРПУС 1,..</t>
  </si>
  <si>
    <t>Супин Иван Александрович</t>
  </si>
  <si>
    <t>63.709474,66.684908</t>
  </si>
  <si>
    <t>ОБЩЕСТВО С ОГРАНИЧЕННОЙ ОТВЕТСТВЕННОСТЬЮ "Дедал"</t>
  </si>
  <si>
    <t>"Дедал"</t>
  </si>
  <si>
    <t>0275070355</t>
  </si>
  <si>
    <t>450015, БАШКОРТОСТАН РЕСПУБЛИКА, ГОРОД УФА, УЛИЦА КАРЛА МАРКСА, 37, 3, 203</t>
  </si>
  <si>
    <t>Байбулатова Елена Валерьевна</t>
  </si>
  <si>
    <t>+7 (917) 378-43-04'</t>
  </si>
  <si>
    <t>58.185598,68.260337</t>
  </si>
  <si>
    <t>ЗАКРЫТОЕ АКЦИОНЕРНОЕ ОБЩЕСТВО "БЕТОН"</t>
  </si>
  <si>
    <t>ЗАКРЫТОЕ "БЕТОН"</t>
  </si>
  <si>
    <t>5029014037</t>
  </si>
  <si>
    <t>Сазонов Олег Викторович</t>
  </si>
  <si>
    <t>+7 (495) 583-07-67', '+7 (495) 583-65-01', '+7 (495) 583-65-01'</t>
  </si>
  <si>
    <t>zaobeton@mail.ru'</t>
  </si>
  <si>
    <t>58.1757,68.324594</t>
  </si>
  <si>
    <t>ОБЩЕСТВО С ОГРАНИЧЕННОЙ ОТВЕТСТВЕННОСТЬЮ "МОСТООТРЯД"</t>
  </si>
  <si>
    <t>"МОСТООТРЯД"</t>
  </si>
  <si>
    <t>3805727570</t>
  </si>
  <si>
    <t>ИРКУТСКАЯ ОБЛ.,Г ТАЙШЕТ,УЛ ЛОКОМОТИВНАЯ Д 7..</t>
  </si>
  <si>
    <t>Криштоп Евгений Михайлович</t>
  </si>
  <si>
    <t>56.407063,68.360419</t>
  </si>
  <si>
    <t>ОБЩЕСТВО С ОГРАНИЧЕННОЙ ОТВЕТСТВЕННОСТЬЮ "ЖЕЛЕЗОБЕТОННАЯ КОМПАНИЯ СТЕРЛИТАМАКА"</t>
  </si>
  <si>
    <t>"ЖЕЛЕЗОБЕТОННАЯ КОМПАНИЯ СТЕРЛИТАМАКА"</t>
  </si>
  <si>
    <t>0268082695</t>
  </si>
  <si>
    <t>453126, БАШКОРТОСТАН РЕСПУБЛИКА, ГОРОД СТЕРЛИТАМАК, УЛИЦА САЗОНОВА, ДОМ 10,..</t>
  </si>
  <si>
    <t>Серякова Марина Алексеевна</t>
  </si>
  <si>
    <t>+7 (987) 037-66-58', '+7 (986) 967-32-79', '+7 (347) 294-32-02', '+7 (917) 433-37-50', '+7 (987) 254-32-02'</t>
  </si>
  <si>
    <t>61.005583,69.018515</t>
  </si>
  <si>
    <t>ОБЩЕСТВО С ОГРАНИЧЕННОЙ ОТВЕТСТВЕННОСТЬЮ "ЖБЗ ВИБРОБЕТОН"</t>
  </si>
  <si>
    <t>"ЖБЗ ВИБРОБЕТОН"</t>
  </si>
  <si>
    <t>0268079928</t>
  </si>
  <si>
    <t>453102, БАШКОРТОСТАН РЕСПУБЛИКА, Г. СТЕРЛИТАМАК, УЛ. КОСМОНАВТОВ, Д. 3, ЛИТЕР Д1, ОФИС 1</t>
  </si>
  <si>
    <t>Арапов Иван Владимирович</t>
  </si>
  <si>
    <t>60.973123,69.025612</t>
  </si>
  <si>
    <t>ОБЩЕСТВО С ОГРАНИЧЕННОЙ ОТВЕТСТВЕННОСТЬЮ "ЖБЗ МИЛОВСКИЙ ПАРК"</t>
  </si>
  <si>
    <t>"ЖБЗ МИЛОВСКИЙ ПАРК"</t>
  </si>
  <si>
    <t>0276158732</t>
  </si>
  <si>
    <t>453102, БАШКОРТОСТАН РЕСПУБЛИКА, ГОРОД СТЕРЛИТАМАК, УЛИЦА КОСМОНАВТОВ, ДОМ 3</t>
  </si>
  <si>
    <t>Хайбуллин Ринат Мидхатович</t>
  </si>
  <si>
    <t>+7 (917) 345-89-01'</t>
  </si>
  <si>
    <t>60.984847,69.052041</t>
  </si>
  <si>
    <t>ОБЩЕСТВО С ОГРАНИЧЕННОЙ ОТВЕТСТВЕННОСТЬЮ "МЕЛЕУЗОВСКИЙ ЗАВОД ЖЕЛЕЗОБЕТОННЫХ КОНСТРУКЦИЙ"</t>
  </si>
  <si>
    <t>"МЕЛЕУЗОВСКИЙ ЗАВОД ЖЕЛЕЗОБЕТОННЫХ КОНСТРУКЦИЙ"</t>
  </si>
  <si>
    <t>0263032595</t>
  </si>
  <si>
    <t>453856, БАШКОРТОСТАН РЕСПУБЛИКА, Р-Н МЕЛЕУЗОВСКИЙ, Г. МЕЛЕУЗ, УЛ. 50 ЛЕТ ВЛКСМ, ЗД 55</t>
  </si>
  <si>
    <t>Баварский Владимир Олегович</t>
  </si>
  <si>
    <t>60.996506,69.065623</t>
  </si>
  <si>
    <t>ОБЩЕСТВО С ОГРАНИЧЕННОЙ ОТВЕТСТВЕННОСТЬЮ "УФАСТРОЙРЕСУРС"</t>
  </si>
  <si>
    <t>"УФАСТРОЙРЕСУРС"</t>
  </si>
  <si>
    <t>0274186879</t>
  </si>
  <si>
    <t>450018, БАШКОРТОСТАН РЕСПУБЛИКА, Г. УФА, УЛ. ЗАРЕЧНАЯ, Д. 6А, ПОМЕЩ. 7</t>
  </si>
  <si>
    <t>Нуруллин Раиль Рузилевич</t>
  </si>
  <si>
    <t>+7 (347) 292-15-54', '+7 (905) 000-00-86'</t>
  </si>
  <si>
    <t>a2921554@yandex.ru', '89050000086@mail.ru'</t>
  </si>
  <si>
    <t>56.10164,69.465086</t>
  </si>
  <si>
    <t>ОБЩЕСТВО С ОГРАНИЧЕННОЙ ОТВЕТСТВЕННОСТЬЮ "СТРОЙТЕХДОМ"</t>
  </si>
  <si>
    <t>"СТРОЙТЕХДОМ"</t>
  </si>
  <si>
    <t>0274934186</t>
  </si>
  <si>
    <t>450018, БАШКОРТОСТАН РЕСПУБЛИКА, ГОРОД УФА, УЛИЦА МАЛАЯ ЗАРЕЧНАЯ, ДОМ 6А, ПОМЕЩЕНИЕ 1</t>
  </si>
  <si>
    <t>Шабрин Вячеслав Викторович</t>
  </si>
  <si>
    <t>56.111629,69.475327</t>
  </si>
  <si>
    <t>ОБЩЕСТВО С ОГРАНИЧЕННОЙ ОТВЕТСТВЕННОСТЬЮ "ЧЕРНУШИНСКИЙ СТРОИТЕЛЬНЫЙ КОМБИНАТ"</t>
  </si>
  <si>
    <t>"ЧЕРНУШИНСКИЙ СТРОИТЕЛЬНЫЙ КОМБИНАТ"</t>
  </si>
  <si>
    <t>5957017473</t>
  </si>
  <si>
    <t>Г ПЕРМЬ,УЛ ЛАСЬВИНСКАЯ 18</t>
  </si>
  <si>
    <t>Мороз Дмитрий Альбертович</t>
  </si>
  <si>
    <t>+7 (342) 255-40-71', '+7 (922) 222-20-86'</t>
  </si>
  <si>
    <t>56.111313,69.489323</t>
  </si>
  <si>
    <t>ОБЩЕСТВО С ОГРАНИЧЕННОЙ ОТВЕТСТВЕННОСТЬЮ " БЕТОН СЕВЕР"</t>
  </si>
  <si>
    <t>" БЕТОН СЕВЕР"</t>
  </si>
  <si>
    <t>5044091156</t>
  </si>
  <si>
    <t>141420, МОСКОВСКАЯ ОБЛАСТЬ, ГОРОД СОЛНЕЧНОГОРСК, ДЕРЕВНЯ ПОДОЛИНО, ТЕРРИТОРИЯ ПРОМЫШЛЕННАЯ ЗОНА, СТР 1, ЧАСТЬ НЕЖИЛ ОФ ПОМ №11</t>
  </si>
  <si>
    <t>Топалиди Константин Дмитриевич</t>
  </si>
  <si>
    <t>65.526705,72.550062</t>
  </si>
  <si>
    <t>ОБЩЕСТВО С ОГРАНИЧЕННОЙ ОТВЕТСТВЕННОСТЬЮ "МС"</t>
  </si>
  <si>
    <t>"МС"</t>
  </si>
  <si>
    <t>0268059551</t>
  </si>
  <si>
    <t>453130, БАШКОРТОСТАН РЕСПУБЛИКА, ГОРОД СТЕРЛИТАМАК, УЛИЦА КУЙБЫШЕВА, 93</t>
  </si>
  <si>
    <t>Кондратенко Наталья Анатольевна</t>
  </si>
  <si>
    <t>+7 (917) 785-27-34', '+7 (917) 345-39-06'</t>
  </si>
  <si>
    <t>61.097258,72.610932</t>
  </si>
  <si>
    <t>ОБЩЕСТВО С ОГРАНИЧЕННОЙ ОТВЕТСТВЕННОСТЬЮ "СТЕРЛИТАМАКСКИЙ ЗАВОД ЖЕЛЕЗОБЕТОННЫХ ИЗДЕЛИЙ"</t>
  </si>
  <si>
    <t>"СТЕРЛИТАМАКСКИЙ ЗАВОД ЖЕЛЕЗОБЕТОННЫХ ИЗДЕЛИЙ"</t>
  </si>
  <si>
    <t>0268096017</t>
  </si>
  <si>
    <t>453102, Республика Башкортостан, ГОРОД СТЕРЛИТАМАК, Г СТЕРЛИТАМАК, ТРАКТ УФИМСКИЙ, ВЛД. 4</t>
  </si>
  <si>
    <t>Саранцева Наталья Сергеевна</t>
  </si>
  <si>
    <t>61.094897,72.623365</t>
  </si>
  <si>
    <t>0274917737</t>
  </si>
  <si>
    <t>450077, БАШКОРТОСТАН РЕСПУБЛИКА, Г. УФА, УЛ. КРУПСКОЙ, Д. 4,..</t>
  </si>
  <si>
    <t>Мухаметзянов Руслан Ильдусович</t>
  </si>
  <si>
    <t>54.862731,73.104161</t>
  </si>
  <si>
    <t>ОБЩЕСТВО С ОГРАНИЧЕННОЙ ОТВЕТСТВЕННОСТЬЮ "Уральская компания индустриального строительства"</t>
  </si>
  <si>
    <t>"Уральская компания индустриального строительства"</t>
  </si>
  <si>
    <t>0274171985</t>
  </si>
  <si>
    <t>450077, Республика Башкортостан, ГОРОД УФА, ул Октябрьской Революции,9</t>
  </si>
  <si>
    <t>Мамлеев Рашит Фаритович</t>
  </si>
  <si>
    <t>+7 (906) 377-40-10'</t>
  </si>
  <si>
    <t>lm@yandex.ru'</t>
  </si>
  <si>
    <t>61.286392,73.178739</t>
  </si>
  <si>
    <t>ОБЩЕСТВО С ОГРАНИЧЕННОЙ ОТВЕТСТВЕННОСТЬЮ "ТЕСКО"</t>
  </si>
  <si>
    <t>"ТЕСКО"</t>
  </si>
  <si>
    <t>0268076772</t>
  </si>
  <si>
    <t>453107, БАШКОРТОСТАН РЕСПУБЛИКА, ГОРОД СТЕРЛИТАМАК, УЛИЦА ЭЛЕВАТОРНАЯ, ДОМ 19, ОФИС 27</t>
  </si>
  <si>
    <t>Панасюра Виктор Анатольевич</t>
  </si>
  <si>
    <t>+7 (917) 343-43-85', '+7 (917) 341-33-30'</t>
  </si>
  <si>
    <t>54.991149,73.194235</t>
  </si>
  <si>
    <t>ОБЩЕСТВО С ОГРАНИЧЕННОЙ ОТВЕТСТВЕННОСТЬЮ "БЛАГОВЕЩЕНСКИЙ ЗАВОД "ИННОВАЦИОННЫХ ЭНЕРГОЭФФЕКТИВНЫХ МАТЕРИАЛОВ""</t>
  </si>
  <si>
    <t>"БЛАГОВЕЩЕНСКИЙ ЗАВОД "ИННОВАЦИОННЫХ ЭНЕРГОЭФФЕКТИВНЫХ МАТЕРИАЛОВ""</t>
  </si>
  <si>
    <t>0277948532</t>
  </si>
  <si>
    <t>453430, БАШКОРТОСТАН РЕСПУБЛИКА, БЛАГОВЕЩЕНСКИЙ РАЙОН, ГОРОД БЛАГОВЕЩЕНСК, УЛИЦА КОММУНИСТИЧЕСКАЯ, ДОМ 12, ЭТ/ПОМ 2/3А</t>
  </si>
  <si>
    <t>Ахмадеев Эдуард Антонасович</t>
  </si>
  <si>
    <t>55.002072,73.19764</t>
  </si>
  <si>
    <t>ОБЩЕСТВО С ОГРАНИЧЕННОЙ ОТВЕТСТВЕННОСТЬЮ "НПФ ЕВРАЗИЯ"</t>
  </si>
  <si>
    <t>"НПФ ЕВРАЗИЯ"</t>
  </si>
  <si>
    <t>0274967657</t>
  </si>
  <si>
    <t>450077, БАШКОРТОСТАН РЕСП., Г. Уфа, УЛ. ЦЮРУПЫ, Д. 83, ПОМЕЩ. 2</t>
  </si>
  <si>
    <t>Фархиуллин Фларис Фаритович</t>
  </si>
  <si>
    <t>55.004742,73.202293</t>
  </si>
  <si>
    <t>ОБЩЕСТВО С ОГРАНИЧЕННОЙ ОТВЕТСТВЕННОСТЬЮ "ЭКОПРОМ"</t>
  </si>
  <si>
    <t>"ЭКОПРОМ"</t>
  </si>
  <si>
    <t>0268090142</t>
  </si>
  <si>
    <t>453115, БАШКОРТОСТАН РЕСПУБЛИКА, ГОРОД СТЕРЛИТАМАК, УЛИЦА ВОКЗАЛЬНАЯ, ДОМ 10,..</t>
  </si>
  <si>
    <t>Ариткулов Андрей Альбертович</t>
  </si>
  <si>
    <t>54.997068,73.204844</t>
  </si>
  <si>
    <t>ОБЩЕСТВО С ОГРАНИЧЕННОЙ ОТВЕТСТВЕННОСТЬЮ "ЭКСПРЕСС СТРОЙ"</t>
  </si>
  <si>
    <t>"ЭКСПРЕСС СТРОЙ"</t>
  </si>
  <si>
    <t>0263029137</t>
  </si>
  <si>
    <t>453866, БАШКОРТОСТАН РЕСПУБЛИКА, МЕЛЕУЗОВСКИЙ РАЙОН, ДЕРЕВНЯ КУТУШЕВО, УЛИЦА КУТУША МУРТАЗИНА, ДОМ 38</t>
  </si>
  <si>
    <t>55.037103,73.207342</t>
  </si>
  <si>
    <t>ОБЩЕСТВО С ОГРАНИЧЕННОЙ ОТВЕТСТВЕННОСТЬЮ "Торговый Дом "БетонСтройСервис"</t>
  </si>
  <si>
    <t>""БетонСтройСервис"</t>
  </si>
  <si>
    <t>0268059248</t>
  </si>
  <si>
    <t>453102, Республика Башкортостан, г Стерлитамак, тракт Уфимский,8Б</t>
  </si>
  <si>
    <t>Хрыкина Оксана Владимировна</t>
  </si>
  <si>
    <t>+7 (917) 421-65-15', '+7 (919) 157-13-90', '+7 (919) 159-29-51'</t>
  </si>
  <si>
    <t>55.033821,73.208177</t>
  </si>
  <si>
    <t>0237004880</t>
  </si>
  <si>
    <t>452340, БАШКОРТОСТАН РЕСПУБЛИКА, МИШКИНСКИЙ РАЙОН, СЕЛО МИШКИНО, УЛИЦА ОКТЯБРЬСКАЯ, ДОМ 22</t>
  </si>
  <si>
    <t>Ахмеров Ильшат Минисламович</t>
  </si>
  <si>
    <t>+7 (927) 334-04-36'</t>
  </si>
  <si>
    <t>55.03669,73.210189</t>
  </si>
  <si>
    <t>ОБЩЕСТВО С ОГРАНИЧЕННОЙ ОТВЕТСТВЕННОСТЬЮ "БАШКИРСКАЯ ИННОВАЦИОННО-СТРОИТЕЛЬНАЯ КОМПАНИЯ"</t>
  </si>
  <si>
    <t>"БАШКИРСКАЯ ИННОВАЦИОННО-СТРОИТЕЛЬНАЯ КОМПАНИЯ"</t>
  </si>
  <si>
    <t>0278176776</t>
  </si>
  <si>
    <t>450006, БАШКОРТОСТАН РЕСП, Г. Уфа, УЛ. ПАРХОМЕНКО, Д. 156, К. 3, ЭТАЖ 4 КОМ. 27</t>
  </si>
  <si>
    <t>Исхаков Артур Галимьянович</t>
  </si>
  <si>
    <t>+7 (917) 426-15-33', '+7 (937) 358-49-08', '+7 (347) 291-26-34'</t>
  </si>
  <si>
    <t>55.035772,73.214151</t>
  </si>
  <si>
    <t>ОБЩЕСТВО С ОГРАНИЧЕННОЙ ОТВЕТСТВЕННОСТЬЮ "ПРОИЗВОДСТВЕННАЯ ФИРМА "УРАЛСПЕЦОСТНАСТКА"</t>
  </si>
  <si>
    <t>"ПРОИЗВОДСТВЕННАЯ ФИРМА "УРАЛСПЕЦОСТНАСТКА"</t>
  </si>
  <si>
    <t>0274917222</t>
  </si>
  <si>
    <t>450078, БАШКОРТОСТАН РЕСП, УФА Г, МИНГАЖЕВА УЛ, ДОМ 10</t>
  </si>
  <si>
    <t>Головня Андрей Павлович</t>
  </si>
  <si>
    <t>55.181385,73.21504</t>
  </si>
  <si>
    <t>ОБЩЕСТВО С ОГРАНИЧЕННОЙ ОТВЕТСТВЕННОСТЬЮ "СБЛОКИ"</t>
  </si>
  <si>
    <t>"СБЛОКИ"</t>
  </si>
  <si>
    <t>0268095616</t>
  </si>
  <si>
    <t>453102, Республика Башкортостан, ГОРОД СТЕРЛИТАМАК, Г СТЕРЛИТАМАК, УЛ ОЛЕГА КОШЕВОГО, ЗД. 19</t>
  </si>
  <si>
    <t>Ганиев Халил Маратович</t>
  </si>
  <si>
    <t>SBLOKI1@MAIL.RU'</t>
  </si>
  <si>
    <t>54.975047,73.220466</t>
  </si>
  <si>
    <t>ОБЩЕСТВО С ОГРАНИЧЕННОЙ ОТВЕТСТВЕННОСТЬЮ "ЖБЗ СТЕРЛИТАМАКА"</t>
  </si>
  <si>
    <t>"ЖБЗ СТЕРЛИТАМАКА"</t>
  </si>
  <si>
    <t>0268088707</t>
  </si>
  <si>
    <t>453104, БАШКОРТОСТАН РЕСПУБЛИКА, ГОРОД СТЕРЛИТАМАК, УЛИЦА ПРОФСОЮЗНАЯ, ВЛД 18В, ЭТАЖ 3, ПОМЕЩЕНИЕ 4</t>
  </si>
  <si>
    <t>Бабиков Александр Петрович</t>
  </si>
  <si>
    <t>54.924112,73.244487</t>
  </si>
  <si>
    <t>ОБЩЕСТВО С ОГРАНИЧЕННОЙ ОТВЕТСТВЕННОСТЬЮ "СИТИФОРМ"</t>
  </si>
  <si>
    <t>"СИТИФОРМ"</t>
  </si>
  <si>
    <t>0268090953</t>
  </si>
  <si>
    <t>453104, БАШКОРТОСТАН РЕСПУБЛИКА, ГОРОД СТЕРЛИТАМАК, УЛИЦА ПРОФСОЮЗНАЯ, ВЛД 18В, ЭТАЖ  3 ПОМЕЩЕНИЕ 6</t>
  </si>
  <si>
    <t>Черныш Андрей Александрович</t>
  </si>
  <si>
    <t>55.062034,73.254216</t>
  </si>
  <si>
    <t>ОБЩЕСТВО С ОГРАНИЧЕННОЙ ОТВЕТСТВЕННОСТЬЮ НАУЧНО-ПРОИЗВОДСТВЕННЫЙ ЦЕНТР ЭФФЕКТИВНЫХ ТЕХНОЛОГИЙ "ЭЛЕМЕНТ 78"</t>
  </si>
  <si>
    <t>НАУЧНО-ПРОИЗВОДСТВЕННЫЙ ЦЕНТР ЭФФЕКТИВНЫХ ТЕХНОЛОГИЙ "ЭЛЕМЕНТ 78"</t>
  </si>
  <si>
    <t>0277943968</t>
  </si>
  <si>
    <t>453430, БАШКОРТОСТАН РЕСПУБЛИКА, БЛАГОВЕЩЕНСКИЙ РАЙОН, ГОРОД БЛАГОВЕЩЕНСК, УЛИЦА КОММУНИСТИЧЕСКАЯ, ДОМ 12, ОФИС 33Б</t>
  </si>
  <si>
    <t>Аблаева Чулпан Маснавиевна</t>
  </si>
  <si>
    <t>rts86@inbox.ru'</t>
  </si>
  <si>
    <t>55.049266,73.261672</t>
  </si>
  <si>
    <t>0268091259</t>
  </si>
  <si>
    <t>453114, БАШКОРТОСТАН РЕСПУБЛИКА, ГОРОД СТЕРЛИТАМАК, УЛИЦА БЕЛИНСКОГО, ДОМ 5А</t>
  </si>
  <si>
    <t>Лукин Денис Александрович</t>
  </si>
  <si>
    <t>55.083951,73.26204</t>
  </si>
  <si>
    <t>ОБЩЕСТВО С ОГРАНИЧЕННОЙ ОТВЕТСТВЕННОСТЬЮ "РЕАЛТЕХСТРОЙ"</t>
  </si>
  <si>
    <t>"РЕАЛТЕХСТРОЙ"</t>
  </si>
  <si>
    <t>0268037815</t>
  </si>
  <si>
    <t>РЕСПУБЛИКА БАШКОРТОСТАН,Г СТЕРЛИТАМАК,УЛ ПРОФСОЮЗНАЯ,18</t>
  </si>
  <si>
    <t>Ершов Вадим Николаевич</t>
  </si>
  <si>
    <t>54.997115,73.264546</t>
  </si>
  <si>
    <t>ОБЩЕСТВО С ОГРАНИЧЕННОЙ ОТВЕТСТВЕННОСТЬЮ "ЭНЕРГОИНВЕСТ"</t>
  </si>
  <si>
    <t>"ЭНЕРГОИНВЕСТ"</t>
  </si>
  <si>
    <t>0268038230</t>
  </si>
  <si>
    <t>Емельханов Альберт Николаевич</t>
  </si>
  <si>
    <t>55.056383,73.26487</t>
  </si>
  <si>
    <t>ОБЩЕСТВО С ОГРАНИЧЕННОЙ ОТВЕТСТВЕННОСТЬЮ "УРАЛЭНЕРГОСТРОЙ"</t>
  </si>
  <si>
    <t>"УРАЛЭНЕРГОСТРОЙ"</t>
  </si>
  <si>
    <t>0268038921</t>
  </si>
  <si>
    <t>Чесноков Павел Вениаминович</t>
  </si>
  <si>
    <t>+7 (962) 523-52-72'</t>
  </si>
  <si>
    <t>Общество с ограниченной ответственностью Производственное объединение "Строймастер"</t>
  </si>
  <si>
    <t>Производственное объединение "Строймастер"</t>
  </si>
  <si>
    <t>0278149042</t>
  </si>
  <si>
    <t>450074, БАШКОРТОСТАН РЕСПУБЛИКА, ГОРОД УФА, УЛИЦА КОРАБЕЛЬНАЯ, 9</t>
  </si>
  <si>
    <t>Гарифуллин Айдар Фанилевич</t>
  </si>
  <si>
    <t>+7 (927) 934-99-96'</t>
  </si>
  <si>
    <t>55.056151,73.271068</t>
  </si>
  <si>
    <t>АКЦИОНЕРНОЕ ОБЩЕСТВО "ФИРМА "КУЛЬТБЫТСТРОЙ"</t>
  </si>
  <si>
    <t>"ФИРМА "КУЛЬТБЫТСТРОЙ"</t>
  </si>
  <si>
    <t>2464000780</t>
  </si>
  <si>
    <t>Г КРАСНОЯРСК,УЛ МУСОРГСКОГО Д 18</t>
  </si>
  <si>
    <t>Семеняков Геннадий Аркадьевич</t>
  </si>
  <si>
    <t>+7 (391) 236-25-35', '+7 (391) 265-52-43', '+7 (391) 263-30-91'</t>
  </si>
  <si>
    <t>54.987012,73.277419</t>
  </si>
  <si>
    <t>ОБЩЕСТВО С ОГРАНИЧЕННОЙ ОТВЕТСТВЕННОСТЬЮ "ВЕКТОР-СТРОЙ"</t>
  </si>
  <si>
    <t>"ВЕКТОР-СТРОЙ"</t>
  </si>
  <si>
    <t>2464037131</t>
  </si>
  <si>
    <t>Ткаченко Радмила Владимировна</t>
  </si>
  <si>
    <t>+7 (391) 236-97-11', '+7 (391) 265-79-87', '+7 (391) 291-68-01'</t>
  </si>
  <si>
    <t>a99999@list.ru', 'kbsld@mail.ru'</t>
  </si>
  <si>
    <t>54.951353,73.277931</t>
  </si>
  <si>
    <t>ОБЩЕСТВО С ОГРАНИЧЕННОЙ ОТВЕТСТВЕННОСТЬЮ "БАШЭНЕРГОМЕТАЛЛ"</t>
  </si>
  <si>
    <t>"БАШЭНЕРГОМЕТАЛЛ"</t>
  </si>
  <si>
    <t>0278968588</t>
  </si>
  <si>
    <t>450078, БАШКОРТОСТАН РЕСП., Г. Уфа, УЛ. 8 МАРТА, Д. 24/1,..</t>
  </si>
  <si>
    <t>Двоеносова Татьяна Георгиевна</t>
  </si>
  <si>
    <t>55.065463,73.279719</t>
  </si>
  <si>
    <t>ОБЩЕСТВО С ОГРАНИЧЕННОЙ ОТВЕТСТВЕННОСТЬЮ БЕТОННАЯ КОМПАНИЯ "БЕТОНТРЕЙД"</t>
  </si>
  <si>
    <t>БЕТОННАЯ КОМПАНИЯ "БЕТОНТРЕЙД"</t>
  </si>
  <si>
    <t>0278927214</t>
  </si>
  <si>
    <t>450001, БАШКОРТОСТАН РЕСПУБЛИКА, ГОРОД УФА, ПРОСПЕКТ ОКТЯБРЯ, ДОМ 1/2, ПОМЕЩЕНИЕ 2</t>
  </si>
  <si>
    <t>Перминов Владимир Сергеевич</t>
  </si>
  <si>
    <t>55.055599,73.283743</t>
  </si>
  <si>
    <t>ОБЩЕСТВО С ОГРАНИЧЕННОЙ ОТВЕТСТВЕННОСТЬЮ ТОРГОВАЯ КОМПАНИЯ "БЕТОНТРЕЙД"</t>
  </si>
  <si>
    <t>ТОРГОВАЯ КОМПАНИЯ "БЕТОНТРЕЙД"</t>
  </si>
  <si>
    <t>0278927380</t>
  </si>
  <si>
    <t>450001, БАШКОРТОСТАН РЕСПУБЛИКА, ГОРОД УФА, ПРОСПЕКТ ОКТЯБРЯ, ДОМ 1/2, ЭТАЖ 4 ПОМЕЩЕНИЕ 404</t>
  </si>
  <si>
    <t>55.047064,73.286043</t>
  </si>
  <si>
    <t>ОБЩЕСТВО С ОГРАНИЧЕННОЙ ОТВЕТСТВЕННОСТЬЮ "КАЛИПСО"</t>
  </si>
  <si>
    <t>"КАЛИПСО"</t>
  </si>
  <si>
    <t>0278965530</t>
  </si>
  <si>
    <t>450078, Республика Башкортостан, городской округ ГОРОД УФА, Город УФА, УЛ РЕВОЛЮЦИОННАЯ, Д. 92, ОФИС 11</t>
  </si>
  <si>
    <t>Закирова Айгуль Айратовна</t>
  </si>
  <si>
    <t>54.938674,73.290481</t>
  </si>
  <si>
    <t>ОБЩЕСТВО С ОГРАНИЧЕННОЙ ОТВЕТСТВЕННОСТЬЮ "ЭКОЛОГСТРОЙСЕРВИС"</t>
  </si>
  <si>
    <t>"ЭКОЛОГСТРОЙСЕРВИС"</t>
  </si>
  <si>
    <t>0268034356</t>
  </si>
  <si>
    <t>РЕСПУБЛИКА БАШКОРТОСТАН,Г СТЕРЛИТАМАК,УЛ БАБУШКИНА,4</t>
  </si>
  <si>
    <t>Батуева Елена Сергеевна</t>
  </si>
  <si>
    <t>+7 (902) 882-74-83'</t>
  </si>
  <si>
    <t>54.948117,73.292727</t>
  </si>
  <si>
    <t>ОБЩЕСТВО С ОГРАНИЧЕННОЙ ОТВЕТСТВЕННОСТЬЮ "ТЕРМИНАЛ"</t>
  </si>
  <si>
    <t>"ТЕРМИНАЛ"</t>
  </si>
  <si>
    <t>0268084727</t>
  </si>
  <si>
    <t>453110, БАШКОРТОСТАН РЕСПУБЛИКА, ГОРОД СТЕРЛИТАМАК, УЛИЦА БАБУШКИНА, ДОМ 169, КОРПУС 1, ОФИС 2</t>
  </si>
  <si>
    <t>Субботин Александр Николаевич</t>
  </si>
  <si>
    <t>55.04497,73.294415</t>
  </si>
  <si>
    <t>ОБЩЕСТВО С ОГРАНИЧЕННОЙ ОТВЕТСТВЕННОСТЬЮ "СЛОТ"</t>
  </si>
  <si>
    <t>"СЛОТ"</t>
  </si>
  <si>
    <t>0268093009</t>
  </si>
  <si>
    <t>453105, БАШКОРТОСТАН РЕСП., Г. Стерлитамак, УЛ. БАБУШКИНА, Д. 100</t>
  </si>
  <si>
    <t>Мельников Евгений Юрьевич</t>
  </si>
  <si>
    <t>55.002583,73.296491</t>
  </si>
  <si>
    <t>ОБЩЕСТВО С ОГРАНИЧЕННОЙ ОТВЕТСТВЕННОСТЬЮ "ЖЕЛЕЗОБЕТОННАЯ КОМПАНИЯ-ПРЕМЬЕР"</t>
  </si>
  <si>
    <t>"ЖЕЛЕЗОБЕТОННАЯ КОМПАНИЯ-ПРЕМЬЕР"</t>
  </si>
  <si>
    <t>0275925392</t>
  </si>
  <si>
    <t>453105, Республика Башкортостан, городской округ ГОРОД СТЕРЛИТАМАК, Город СТЕРЛИТАМАК, УЛ БАБУШКИНА, ЗД. 177, СТР. 1,</t>
  </si>
  <si>
    <t>Шагалеев Руслан Ринатович</t>
  </si>
  <si>
    <t>PREMIER@YANDEX.RU'</t>
  </si>
  <si>
    <t>54.979351,73.299787</t>
  </si>
  <si>
    <t>0258953625</t>
  </si>
  <si>
    <t>453430, БАШКОРТОСТАН РЕСПУБЛИКА, БЛАГОВЕЩЕНСКИЙ РАЙОН, ГОРОД БЛАГОВЕЩЕНСК, УЛИЦА ШОССЕЙНАЯ, ДОМ 1, ПОМ. 36</t>
  </si>
  <si>
    <t>Альметов Рустем Ринатович</t>
  </si>
  <si>
    <t>sokolova@bashbeton.ru'</t>
  </si>
  <si>
    <t>55.072304,73.30038</t>
  </si>
  <si>
    <t>ОБЩЕСТВО С ОГРАНИЧЕННОЙ ОТВЕТСТВЕННОСТЬЮ "КАРЬЕРНОЕ УПРАВЛЕНИЕ"</t>
  </si>
  <si>
    <t>"КАРЬЕРНОЕ УПРАВЛЕНИЕ"</t>
  </si>
  <si>
    <t>0258954234</t>
  </si>
  <si>
    <t>453434, БАШКОРТОСТАН РЕСП., Р-Н Благовещенский, Г. Благовещенск, УЛ. ШОССЕЙНАЯ, Д. 1, ПОМЕЩ. 13</t>
  </si>
  <si>
    <t>Кобяков Андрей Геннадьевич</t>
  </si>
  <si>
    <t>55.066587,73.303533</t>
  </si>
  <si>
    <t>ОБЩЕСТВО С ОГРАНИЧЕННОЙ ОТВЕТСТВЕННОСТЬЮ "БЛАГОВЕЩЕНСКИЙ ЖЕЛЕЗОБЕТОН"</t>
  </si>
  <si>
    <t>"БЛАГОВЕЩЕНСКИЙ ЖЕЛЕЗОБЕТОН"</t>
  </si>
  <si>
    <t>0258954805</t>
  </si>
  <si>
    <t>453434, БАШКОРТОСТАН РЕСП., Благовещенский Р-Н, Г. Благовещенск, УЛ. ШОССЕЙНАЯ, Д. 1</t>
  </si>
  <si>
    <t>ZGBI_SEKR@MAIL.RU'</t>
  </si>
  <si>
    <t>55.003146,73.304108</t>
  </si>
  <si>
    <t>ОБЩЕСТВО С ОГРАНИЧЕННОЙ ОТВЕТСТВЕННОСТЬЮ "БАШКИРСКИЙ БЛОК"</t>
  </si>
  <si>
    <t>"БАШКИРСКИЙ БЛОК"</t>
  </si>
  <si>
    <t>0275074663</t>
  </si>
  <si>
    <t>453434, БАШКОРТОСТАН РЕСПУБЛИКА, Р-Н БЛАГОВЕЩЕНСКИЙ, Г. БЛАГОВЕЩЕНСК, УЛ. СОЦИАЛИСТИЧЕСКАЯ, Д. 22, К. 1,..</t>
  </si>
  <si>
    <t>Малышев Павел Николаевич</t>
  </si>
  <si>
    <t>+7 (905) 000-23-96', '+7 (347) 299-93-44'</t>
  </si>
  <si>
    <t>54.994119,73.307908</t>
  </si>
  <si>
    <t>ОБЩЕСТВО С ОГРАНИЧЕННОЙ ОТВЕТСТВЕННОСТЬЮ "ПУТОГИНО+"</t>
  </si>
  <si>
    <t>"ПУТОГИНО+"</t>
  </si>
  <si>
    <t>4014006225</t>
  </si>
  <si>
    <t>КАЛУЖСКАЯ ОБЛ.,МАЛОЯРОСЛАВЕЦКИЙ Р-Н,Д БЕРЕЗОВКА,УЛ МОЛОДЕЖНАЯ, Д 17,..</t>
  </si>
  <si>
    <t>Жабин Антон Викторович</t>
  </si>
  <si>
    <t>54.946907,73.310055</t>
  </si>
  <si>
    <t>ОБЩЕСТВО С ОГРАНИЧЕННОЙ ОТВЕТСТВЕННОСТЬЮ "ЭТНА"</t>
  </si>
  <si>
    <t>"ЭТНА"</t>
  </si>
  <si>
    <t>0278922248</t>
  </si>
  <si>
    <t>450092, БАШКОРТОСТАН РЕСПУБЛИКА, ГОРОД УФА, УЛИЦА АВРОРЫ, ДОМ 6, КОРПУС 1, ПОМЕЩЕНИЕ СЛУЖЕБНОЕ</t>
  </si>
  <si>
    <t>Бикбаев Руслан Закиевич</t>
  </si>
  <si>
    <t>54.944223,73.31372</t>
  </si>
  <si>
    <t>0277908392</t>
  </si>
  <si>
    <t>Г УФА,УЛ КОМСОМОЛЬСКАЯ,135..</t>
  </si>
  <si>
    <t>Даминов Радик Фатыхович</t>
  </si>
  <si>
    <t>+7 (347) 253-33-94', '+7 (917) 340-34-94', '+7 (347) 292-74-13'</t>
  </si>
  <si>
    <t>54.910125,73.314421</t>
  </si>
  <si>
    <t>АКЦИОНЕРНОЕ ОБЩЕСТВО "КРАСНОЯРСКИЙ КОМБИНАТ ЖЕЛЕЗОБЕТОННЫХ И МЕТАЛЛИЧЕСКИХ КОНСТРУКЦИЙ"</t>
  </si>
  <si>
    <t>"КРАСНОЯРСКИЙ КОМБИНАТ ЖЕЛЕЗОБЕТОННЫХ И МЕТАЛЛИЧЕСКИХ КОНСТРУКЦИЙ"</t>
  </si>
  <si>
    <t>2462012251</t>
  </si>
  <si>
    <t>http://kgbmk.ru</t>
  </si>
  <si>
    <t>Г КРАСНОЯРСК,ЗАВОДСКОЙ ПРОЕЗД Д 2</t>
  </si>
  <si>
    <t xml:space="preserve"> Генеральный Директор Пермин Андрей Викторович</t>
  </si>
  <si>
    <t>+7 (391) 263-86-85', '+7 (391) 264-20-76', '+7 (391) 291-32-71', '+7 (391) 264-38-00'</t>
  </si>
  <si>
    <t>54.990385,73.315283</t>
  </si>
  <si>
    <t>ОБЩЕСТВО С ОГРАНИЧЕННОЙ ОТВЕТСТВЕННОСТЬЮ "АТЛАНТИС"</t>
  </si>
  <si>
    <t>"АТЛАНТИС"</t>
  </si>
  <si>
    <t>5948029708</t>
  </si>
  <si>
    <t>ПЕРМСКИЙ КРАЙ,ПЕРМСКИЙ Р-Н,Д КРОХОВО,ТРАКТ КАЗАНСКИЙ 21/Б</t>
  </si>
  <si>
    <t>Демидов Максим Николаевич</t>
  </si>
  <si>
    <t>+7 (912) 983-35-25'</t>
  </si>
  <si>
    <t>54.988185,73.32185</t>
  </si>
  <si>
    <t>ОБЩЕСТВО С ОГРАНИЧЕННОЙ ОТВЕТСТВЕННОСТЬЮ "Строймонтажснаб"</t>
  </si>
  <si>
    <t>"Строймонтажснаб"</t>
  </si>
  <si>
    <t>0245023196</t>
  </si>
  <si>
    <t>450096, БАШКОРТОСТАН РЕСПУБЛИКА, ГОРОД УФА, УЛИЦА РОСТОВСКАЯ, ДОМ 26,..</t>
  </si>
  <si>
    <t>Хазиева Резеда Равилевна</t>
  </si>
  <si>
    <t>+7 (937) 361-41-73'</t>
  </si>
  <si>
    <t>54.938995,73.324895</t>
  </si>
  <si>
    <t>ОБЩЕСТВО С ОГРАНИЧЕННОЙ ОТВЕТСТВЕННОСТЬЮ "ДЕКОР - БЕТОН"</t>
  </si>
  <si>
    <t>"ДЕКОР - БЕТОН"</t>
  </si>
  <si>
    <t>2462028452</t>
  </si>
  <si>
    <t>Г КРАСНОЯРСК,УЛ АЙВАЗОВСКОГО Д 57</t>
  </si>
  <si>
    <t>Гельцер Сергей Александрович</t>
  </si>
  <si>
    <t>55.003621,73.343724</t>
  </si>
  <si>
    <t>ОБЩЕСТВО С ОГРАНИЧЕННОЙ ОТВЕТСТВЕННОСТЬЮ "КОНДАКИЧСКАЯ УГОЛЬНАЯ КОМПАНИЯ"</t>
  </si>
  <si>
    <t>"КОНДАКИЧСКАЯ УГОЛЬНАЯ КОМПАНИЯ"</t>
  </si>
  <si>
    <t>2460085078</t>
  </si>
  <si>
    <t>Г КРАСНОЯРСК,УЛ ЖЕЛЕЗНОДОРОЖНИКОВ Д 17</t>
  </si>
  <si>
    <t>Булатов Илья Вадимович</t>
  </si>
  <si>
    <t>+7 (391) 265-23-30'</t>
  </si>
  <si>
    <t>55.026938,73.363864</t>
  </si>
  <si>
    <t>Общество с ограниченной ответственностью "Амельтикская угольная компания"</t>
  </si>
  <si>
    <t>"Амельтикская угольная компания"</t>
  </si>
  <si>
    <t>2460085085</t>
  </si>
  <si>
    <t>Полищук Сергей Александрович</t>
  </si>
  <si>
    <t>54.989347,73.368221</t>
  </si>
  <si>
    <t>ОБЩЕСТВО С ОГРАНИЧЕННОЙ ОТВЕТСТВЕННОСТЬЮ "БЕТАРМ ПЛЮС"</t>
  </si>
  <si>
    <t>"БЕТАРМ ПЛЮС"</t>
  </si>
  <si>
    <t>5903152772</t>
  </si>
  <si>
    <t>614023, Пермский край, городской округ ПЕРМСКИЙ, Город ПЕРМЬ, УЛ ЧЕРНИГОВСКАЯ, Д. 9,..</t>
  </si>
  <si>
    <t>Санников Сергей Владимирович</t>
  </si>
  <si>
    <t>54.997817,73.369919</t>
  </si>
  <si>
    <t>ОБЩЕСТВО С ОГРАНИЧЕННОЙ ОТВЕТСТВЕННОСТЬЮ «НТСНАБ»</t>
  </si>
  <si>
    <t>«НТСНАБ»</t>
  </si>
  <si>
    <t>0278198770</t>
  </si>
  <si>
    <t>450096, БАШКОРТОСТАН РЕСП., Г. Уфа, УЛ. ЛЕСОТЕХНИКУМА, Д. 24/1, ОФИС 21</t>
  </si>
  <si>
    <t>Галиакберов Роман Тагирович</t>
  </si>
  <si>
    <t>54.937898,73.377042</t>
  </si>
  <si>
    <t>ОБЩЕСТВО С ОГРАНИЧЕННОЙ ОТВЕТСТВЕННОСТЬЮ "ШАХОВСКАЯ"</t>
  </si>
  <si>
    <t>"ШАХОВСКАЯ"</t>
  </si>
  <si>
    <t>5079001611</t>
  </si>
  <si>
    <t>МОСКОВСКАЯ ОБЛ.,PП ШАХОВСКАЯ,ВОЛОЧАНОВСКОЕ ШОССЕ, Д 16</t>
  </si>
  <si>
    <t>Сабирзянов Олег Фархатович</t>
  </si>
  <si>
    <t>54.964391,73.386062</t>
  </si>
  <si>
    <t>ОБЩЕСТВО С ОГРАНИЧЕННОЙ ОТВЕТСТВЕННОСТЬЮ "ВИБРОБЕТОН"</t>
  </si>
  <si>
    <t>"ВИБРОБЕТОН"</t>
  </si>
  <si>
    <t>2463064478</t>
  </si>
  <si>
    <t>Г КРАСНОЯРСК,УЛ КРУПСКОЙ Д 2</t>
  </si>
  <si>
    <t>Одинцов Валерий Семенович</t>
  </si>
  <si>
    <t>+7 (391) 242-34-37'</t>
  </si>
  <si>
    <t>54.982337,73.386672</t>
  </si>
  <si>
    <t>ОБЩЕСТВО С ОГРАНИЧЕННОЙ ОТВЕТСТВЕННОСТЬЮ "УПРАВЛЕНИЕ "КУГЕСЬСТРОЙ"</t>
  </si>
  <si>
    <t>"УПРАВЛЕНИЕ "КУГЕСЬСТРОЙ"</t>
  </si>
  <si>
    <t>2116495973</t>
  </si>
  <si>
    <t>ЧУВАШСКАЯ РЕСПУБЛИКА - ЧУВАШИЯ,ЧЕБОКСАРСКИЙ Р-Н,П КУГЕСИ,УЛ ШОССЕЙНАЯ, Д 3</t>
  </si>
  <si>
    <t>Егоров Анатолий Васильевич</t>
  </si>
  <si>
    <t>54.96945,73.395045</t>
  </si>
  <si>
    <t>Общество с ограниченной ответственностью ЗАВОД СУХИХ СТРОИТЕЛЬНЫХ СМЕСЕЙ "ГЕНЕРАЛ"</t>
  </si>
  <si>
    <t>ЗАВОД СУХИХ СТРОИТЕЛЬНЫХ СМЕСЕЙ "ГЕНЕРАЛ"</t>
  </si>
  <si>
    <t>0276131642</t>
  </si>
  <si>
    <t>450080, БАШКОРТОСТАН РЕСП., Г. Уфа, УЛ. МЕНДЕЛЕЕВА, Д. 160, К. 4, КАБИНЕТ 6</t>
  </si>
  <si>
    <t>Баширов Рамиль Хабрахманович</t>
  </si>
  <si>
    <t>+7 (347) 292-23-77'</t>
  </si>
  <si>
    <t>54.980973,73.396419</t>
  </si>
  <si>
    <t>ОБЩЕСТВО С ОГРАНИЧЕННОЙ ОТВЕТСТВЕННОСТЬЮ "УФИМСКИЙ ДОМОСТРОИТЕЛЬНЫЙ КОМБИНАТ"</t>
  </si>
  <si>
    <t>"УФИМСКИЙ ДОМОСТРОИТЕЛЬНЫЙ КОМБИНАТ"</t>
  </si>
  <si>
    <t>0276937150</t>
  </si>
  <si>
    <t>450053, БАШКОРТОСТАН РЕСПУБЛИКА, Г. УФА, ПР-КТ ОКТЯБРЯ, Д. 132, К. 3, ОФИС 707</t>
  </si>
  <si>
    <t>Пестрецов Андрей Николаевич</t>
  </si>
  <si>
    <t>54.963248,73.405753</t>
  </si>
  <si>
    <t>ОБЩЕСТВО С ОГРАНИЧЕННОЙ ОТВЕТСТВЕННОСТЬЮ ТОРГОВЫЙ ДОМ "ПЛАСТЭКО РУС"</t>
  </si>
  <si>
    <t>"ПЛАСТЭКО РУС"</t>
  </si>
  <si>
    <t>0276932459</t>
  </si>
  <si>
    <t>453215, Республика Башкортостан, муниципальный район ИШИМБАЙСКИЙ, Город ИШИМБАЙ, городское поселение ГОРОД ИШИМБАЙ, УЛ ГЕОЛОГИЧЕСКАЯ, Д. 33, ПОМЕЩ. 28</t>
  </si>
  <si>
    <t>Акшенцев Евгений Сергеевич</t>
  </si>
  <si>
    <t>61.253247,73.423665</t>
  </si>
  <si>
    <t>ОБЩЕСТВО С ОГРАНИЧЕННОЙ ОТВЕТСТВЕННОСТЬЮ "ТОРАТАУ ЖБК"</t>
  </si>
  <si>
    <t>"ТОРАТАУ ЖБК"</t>
  </si>
  <si>
    <t>0261046916</t>
  </si>
  <si>
    <t>453239, БАШКОРТОСТАН РЕСПУБЛИКА, РАЙОН ИШИМБАЙСКИЙ, ДЕРЕВНЯ КАРАЙГАНОВО, УЛИЦА А.КУТУШЕВА, ДОМ 96</t>
  </si>
  <si>
    <t>Кинзягулов Марат Ахатович</t>
  </si>
  <si>
    <t>54.937702,73.431013</t>
  </si>
  <si>
    <t>ОБЩЕСТВО С ОГРАНИЧЕННОЙ ОТВЕТСТВЕННОСТЬЮ " МОНОЛИТРЕСУРС "</t>
  </si>
  <si>
    <t>" МОНОЛИТРЕСУРС "</t>
  </si>
  <si>
    <t>2465073823</t>
  </si>
  <si>
    <t>Г КРАСНОЯРСК,УЛ ВЕСНЫ Д 18</t>
  </si>
  <si>
    <t>Багирян Самвел Альбертович</t>
  </si>
  <si>
    <t>+7 (391) 255-55-76'</t>
  </si>
  <si>
    <t>55.016698,73.431193</t>
  </si>
  <si>
    <t>ОБЩЕСТВО С ОГРАНИЧЕННОЙ ОТВЕТСТВЕННОСТЬЮ "СТРОЙПРОГРЕСС"</t>
  </si>
  <si>
    <t>"СТРОЙПРОГРЕСС"</t>
  </si>
  <si>
    <t>0277927187</t>
  </si>
  <si>
    <t>450104, БАШКОРТОСТАН РЕСПУБЛИКА, Г. УФА, УЛ. РОССИЙСКАЯ, Д. 25,..</t>
  </si>
  <si>
    <t>Вирабян Мариетта Мартуниковна</t>
  </si>
  <si>
    <t>+7 (964) 959-68-88'</t>
  </si>
  <si>
    <t>02@MAIL.RU'</t>
  </si>
  <si>
    <t>55.021798,73.431579</t>
  </si>
  <si>
    <t>ОБЩЕСТВО С ОГРАНИЧЕННОЙ ОТВЕТСТВЕННОСТЬЮ "РАСТВОРОБЕТОННЫЙ УЗЕЛ"</t>
  </si>
  <si>
    <t>"РАСТВОРОБЕТОННЫЙ УЗЕЛ"</t>
  </si>
  <si>
    <t>0261016083</t>
  </si>
  <si>
    <t>453204, БАШКОРТОСТАН РЕСП, ИШИМБАЙСКИЙ Р-Н, ИШИМБАЙ Г, ЖУКОВА УЛ, 16, А</t>
  </si>
  <si>
    <t>Касымов Этибар Балоглан Оглы</t>
  </si>
  <si>
    <t>+7 (917) 423-13-07'</t>
  </si>
  <si>
    <t>54.984884,73.43325</t>
  </si>
  <si>
    <t>ОБЩЕСТВО С ОГРАНИЧЕННОЙ ОТВЕТСТВЕННОСТЬЮ "ТИЗОЛ-СЕРВИС"</t>
  </si>
  <si>
    <t>"ТИЗОЛ-СЕРВИС"</t>
  </si>
  <si>
    <t>0277095034</t>
  </si>
  <si>
    <t>450081, БАШКОРТОСТАН РЕСПУБЛИКА, Г. УФА, УЛ. РОССИЙСКАЯ, Д. 13,..</t>
  </si>
  <si>
    <t>Маркина Ольга Борисовна</t>
  </si>
  <si>
    <t>+7 (917) 340-50-38', '+7 (987) 139-71-93'</t>
  </si>
  <si>
    <t>54.90762,73.440437</t>
  </si>
  <si>
    <t>ОБЩЕСТВО С ОГРАНИЧЕННОЙ ОТВЕТСТВЕННОСТЬЮ "БЕТОНЛЮКС"</t>
  </si>
  <si>
    <t>"БЕТОНЛЮКС"</t>
  </si>
  <si>
    <t>3317016950</t>
  </si>
  <si>
    <t>ВЛАДИМИРСКАЯ ОБЛ.,ГОРОХОВЕЦКИЙ Р-Н,П ПРОЛЕТАРСКИЙ,УЛ КООПЕРАТИВНАЯ</t>
  </si>
  <si>
    <t>Фуртиков Николай Викторович</t>
  </si>
  <si>
    <t>+7 (910) 188-60-20'</t>
  </si>
  <si>
    <t>61.280894,73.443985</t>
  </si>
  <si>
    <t>ОБЩЕСТВО С ОГРАНИЧЕННОЙ ОТВЕТСТВЕННОСТЬЮ "ДомоСтрой"</t>
  </si>
  <si>
    <t>"ДомоСтрой"</t>
  </si>
  <si>
    <t>0245021706</t>
  </si>
  <si>
    <t>450099, БАШКОРТОСТАН РЕСПУБЛИКА, ГОРОД УФА, УЛИЦА БАЯЗИТА БИКБАЯ, ДОМ 6,..</t>
  </si>
  <si>
    <t>Осипов Александр Алексеевич</t>
  </si>
  <si>
    <t>+7 (347) 274-84-80'</t>
  </si>
  <si>
    <t>61.250984,73.446797</t>
  </si>
  <si>
    <t>ОБЩЕСТВО С ОГРАНИЧЕННОЙ ОТВЕТСТВЕННОСТЬЮ "СТРОЙДЕКОР"</t>
  </si>
  <si>
    <t>"СТРОЙДЕКОР"</t>
  </si>
  <si>
    <t>0276943235</t>
  </si>
  <si>
    <t>450099, БАШКОРТОСТАН РЕСПУБЛИКА, ГОРОД УФА, УЛИЦА МАРШАЛА ЖУКОВА, ДОМ 17В,..</t>
  </si>
  <si>
    <t>Яковлев Сергей Вячеславович</t>
  </si>
  <si>
    <t>tanya_920892@mail.ru'</t>
  </si>
  <si>
    <t>61.267804,73.454917</t>
  </si>
  <si>
    <t>ОБЩЕСТВО С ОГРАНИЧЕННОЙ ОТВЕТСТВЕННОСТЬЮ "ПОМОЩНИК"</t>
  </si>
  <si>
    <t>"ПОМОЩНИК"</t>
  </si>
  <si>
    <t>0277939129</t>
  </si>
  <si>
    <t>450045, БАШКОРТОСТАН РЕСПУБЛИКА, ГОРОД УФА, УЛИЦА ТУРБИННАЯ, ДОМ 7, ОФИС 3</t>
  </si>
  <si>
    <t>Привалов Андрей Михайлович</t>
  </si>
  <si>
    <t>allo4ka80@mail.ru'</t>
  </si>
  <si>
    <t>55.028151,73.466892</t>
  </si>
  <si>
    <t>АКЦИОНЕРНОЕ ОБЩЕСТВО "СПЕЦИАЛИЗИРОВАННЫЙ ЗАСТРОЙЩИК "ЖЕЛЕЗОБЕТОННЫЕ КОНСТРУКЦИИ №1"</t>
  </si>
  <si>
    <t>"СПЕЦИАЛИЗИРОВАННЫЙ ЗАСТРОЙЩИК "ЖЕЛЕЗОБЕТОННЫЕ КОНСТРУКЦИИ №1"</t>
  </si>
  <si>
    <t>2124021590</t>
  </si>
  <si>
    <t>Г ЧЕБОКСАРЫ,ЛАПСАРСКИЙ ПРОЕЗД, Д 19</t>
  </si>
  <si>
    <t>Королев Александр Васильевич</t>
  </si>
  <si>
    <t>54.971398,73.473638</t>
  </si>
  <si>
    <t>ОБЩЕСТВО С ОГРАНИЧЕННОЙ ОТВЕТСТВЕННОСТЬЮ "ПРОИЗВОДСТВЕННО МОНТАЖНАЯ КОМПАНИЯ"</t>
  </si>
  <si>
    <t>"ПРОИЗВОДСТВЕННО МОНТАЖНАЯ КОМПАНИЯ"</t>
  </si>
  <si>
    <t>0277945429</t>
  </si>
  <si>
    <t>450064, БАШКОРТОСТАН РЕСПУБЛИКА, ГОРОД УФА, УЛИЦА КОНСТИТУЦИИ, ДОМ 2, ОФИС 5</t>
  </si>
  <si>
    <t>Буйденок Дмитрий Александрович</t>
  </si>
  <si>
    <t>61.259845,73.48458</t>
  </si>
  <si>
    <t>ОБЩЕСТВО С ОГРАНИЧЕННОЙ ОТВЕТСТВЕННОСТЬЮ "СТРОЙ СЕРВИС"</t>
  </si>
  <si>
    <t>"СТРОЙ СЕРВИС"</t>
  </si>
  <si>
    <t>0277944390</t>
  </si>
  <si>
    <t>450064, БАШКОРТОСТАН РЕСПУБЛИКА, ГОРОД УФА, УЛИЦА НОВОЧЕРКАССКАЯ, ДОМ 7, ОФИС 6</t>
  </si>
  <si>
    <t>Михайлюк Сергей Николаевич</t>
  </si>
  <si>
    <t>61.277469,73.489583</t>
  </si>
  <si>
    <t>ОБЩЕСТВО С ОГРАНИЧЕННОЙ ОТВЕТСТВЕННОСТЬЮ ПРОИЗВОДСТВЕННО-КОММЕРЧЕСКАЯ ФИРМА "СОВРЕМЕННЫЕ РЕШЕНИЯ"</t>
  </si>
  <si>
    <t>ПРОИЗВОДСТВЕННО-КОММЕРЧЕСКАЯ ФИРМА "СОВРЕМЕННЫЕ РЕШЕНИЯ"</t>
  </si>
  <si>
    <t>2464120051</t>
  </si>
  <si>
    <t>КРАСНОЯРСКИЙ КРАЙ,ЕМЕЛЬЯНОВСКИЙ Р-Н,П СОЛОНЦЫ,УЛ НОВОСТРОЕК Д 6..</t>
  </si>
  <si>
    <t>Салтанов Степан Юрьевич</t>
  </si>
  <si>
    <t>+7 (913) 538-54-25', '+7 (913) 047-92-93'</t>
  </si>
  <si>
    <t>54.897588,73.521348</t>
  </si>
  <si>
    <t>ОБЩЕСТВО С ОГРАНИЧЕННОЙ ОТВЕТСТВЕННОСТЬЮ "КУГАНАКСКИЙ-ЖЕЛЕЗОБЕТОННЫЙ КОМБИНАТ"</t>
  </si>
  <si>
    <t>"КУГАНАКСКИЙ-ЖЕЛЕЗОБЕТОННЫЙ КОМБИНАТ"</t>
  </si>
  <si>
    <t>0242012502</t>
  </si>
  <si>
    <t>453149, БАШКОРТОСТАН РЕСПУБЛИКА, РАЙОН СТЕРЛИТАМАКСКИЙ, СЕЛО БОЛЬШОЙ КУГАНАК, УЛИЦА ЗАВОДСКАЯ, ДОМ 4</t>
  </si>
  <si>
    <t>Вахитов Динар Радикович</t>
  </si>
  <si>
    <t>61.590252,73.727412</t>
  </si>
  <si>
    <t>ОБЩЕСТВО С ОГРАНИЧЕННОЙ ОТВЕТСТВЕННОСТЬЮ "ПлитФасад"</t>
  </si>
  <si>
    <t>"ПлитФасад"</t>
  </si>
  <si>
    <t>0277119655</t>
  </si>
  <si>
    <t>http://plitfasad.ru</t>
  </si>
  <si>
    <t>450105, БАШКОРТОСТАН РЕСПУБЛИКА, Г. УФА, УЛ. ЮРИЯ ГАГАРИНА, Д. 40,..</t>
  </si>
  <si>
    <t>Иванов Анатолий Сергеевич</t>
  </si>
  <si>
    <t>56.660285,74.071844</t>
  </si>
  <si>
    <t>АКЦИОНЕРНОЕ ОБЩЕСТВО «БЛАГОВЕЩЕНСКИЙ ЗАВОД МЖБК»</t>
  </si>
  <si>
    <t>«БЛАГОВЕЩЕНСКИЙ ЗАВОД МЖБК»</t>
  </si>
  <si>
    <t>0277948839</t>
  </si>
  <si>
    <t>453431, БАШКОРТОСТАН РЕСПУБЛИКА, Р-Н БЛАГОВЕЩЕНСКИЙ, Г. БЛАГОВЕЩЕНСК, УЛ. СОЦИАЛИСТИЧЕСКАЯ, СООР 71</t>
  </si>
  <si>
    <t>Исаев Дмитрий Геннадьевич</t>
  </si>
  <si>
    <t>+7 (917) 353-52-25'</t>
  </si>
  <si>
    <t>lenoksa2008@yandex.ru', 'oksenenko@mgbkrb.ru'</t>
  </si>
  <si>
    <t>54.768786,74.277424</t>
  </si>
  <si>
    <t>5904266878</t>
  </si>
  <si>
    <t>614500, ПЕРМСКИЙ КРАЙ, Р-Н Пермский, Д. Хмели, Ш. КОСМОНАВТОВ, Д. 304А/3</t>
  </si>
  <si>
    <t>Пичкалев Никита Анатольевич</t>
  </si>
  <si>
    <t>+7 (342) 206-00-22', '+7 (902) 792-92-20', '+7 (342) 205-54-45'</t>
  </si>
  <si>
    <t>62.2956,74.511336</t>
  </si>
  <si>
    <t>ОБЩЕСТВО С ОГРАНИЧЕННОЙ ОТВЕТСТВЕННОСТЬЮ "КРАСНОЯРСКИЙ РЕГИОНАЛЬНЫЙ ЗАВОД ЖЕЛЕЗОБЕТОННЫХ ИЗДЕЛИЙ №1"</t>
  </si>
  <si>
    <t>"КРАСНОЯРСКИЙ РЕГИОНАЛЬНЫЙ ЗАВОД ЖЕЛЕЗОБЕТОННЫХ ИЗДЕЛИЙ №1"</t>
  </si>
  <si>
    <t>2463096448</t>
  </si>
  <si>
    <t>http://печатьимператора.рф</t>
  </si>
  <si>
    <t>Г КРАСНОЯРСК,ПРОМБАЗА</t>
  </si>
  <si>
    <t>Томас Иосиф Юрьевич</t>
  </si>
  <si>
    <t>+7 (904) 890-66-79'</t>
  </si>
  <si>
    <t>61.13109,74.851771</t>
  </si>
  <si>
    <t>ЗАКРЫТОЕ АКЦИОНЕРНОЕ ОБЩЕСТВО "СЕЛЬСКИЙ СТРОИТЕЛЬНЫЙ КОМБИНАТ "ЧЕБОКСАРСКИЙ"</t>
  </si>
  <si>
    <t>ЗАКРЫТОЕ "СЕЛЬСКИЙ СТРОИТЕЛЬНЫЙ КОМБИНАТ "ЧЕБОКСАРСКИЙ"</t>
  </si>
  <si>
    <t>2128001770</t>
  </si>
  <si>
    <t>Г ЧЕБОКСАРЫ,ЛАПСАРСКИЙ ПРОЕЗД, Д 63</t>
  </si>
  <si>
    <t>Иванов Валентин Валентинович</t>
  </si>
  <si>
    <t>SSKCHEB@MAIL.RU'</t>
  </si>
  <si>
    <t>63.17298,75.4503</t>
  </si>
  <si>
    <t>ОБЩЕСТВО С ОГРАНИЧЕННОЙ ОТВЕТСТВЕННОСТЬЮ ПК "БАШСТРОЙБЕТОН"</t>
  </si>
  <si>
    <t>ПК "БАШСТРОЙБЕТОН"</t>
  </si>
  <si>
    <t>0277919203</t>
  </si>
  <si>
    <t>450112, БАШКОРТОСТАН РЕСПУБЛИКА, Г. УФА, УЛ. УЛЬЯНОВЫХ, Д. 45Б</t>
  </si>
  <si>
    <t>Гаврилов Евгений Сергеевич</t>
  </si>
  <si>
    <t>markova1708@gmail.com'</t>
  </si>
  <si>
    <t>61.025281,76.110697</t>
  </si>
  <si>
    <t>ОБЩЕСТВО С ОГРАНИЧЕННОЙ ОТВЕТСТВЕННОСТЬЮ "БАШСНАББЕТОН"</t>
  </si>
  <si>
    <t>"БАШСНАББЕТОН"</t>
  </si>
  <si>
    <t>0277956163</t>
  </si>
  <si>
    <t>450112, БАШКОРТОСТАН РЕСП., Г. Уфа, УЛ. УЛЬЯНОВЫХ, Д. 45Б, ОФИС 104</t>
  </si>
  <si>
    <t>Гладких Виктор Валерьевич</t>
  </si>
  <si>
    <t>UFA@MAIL.RU'</t>
  </si>
  <si>
    <t>61.024501,76.119006</t>
  </si>
  <si>
    <t>ОБЩЕСТВО С ОГРАНИЧЕННОЙ ОТВЕТСТВЕННОСТЬЮ "ПРОМЫШЛЕННАЯ КОМПАНИЯ ЛР"</t>
  </si>
  <si>
    <t>"ПРОМЫШЛЕННАЯ КОМПАНИЯ ЛР"</t>
  </si>
  <si>
    <t>0277953162</t>
  </si>
  <si>
    <t>450112, Республика Башкортостан, городской округ ГОРОД УФА, Город УФА, УЛ ФЕДОРОВСКАЯ, Д. 1,</t>
  </si>
  <si>
    <t>Габбасов Айнур Абдрахманович</t>
  </si>
  <si>
    <t>64.438703,76.462549</t>
  </si>
  <si>
    <t>ОБЩЕСТВО С ОГРАНИЧЕННОЙ ОТВЕТСТВЕННОСТЬЮ "СТРОЙДВОР"</t>
  </si>
  <si>
    <t>"СТРОЙДВОР"</t>
  </si>
  <si>
    <t>0276962319</t>
  </si>
  <si>
    <t>450105, БАШКОРТОСТАН РЕСП., Г. Уфа, УЛ. НАБЕРЕЖНАЯ Р. УФЫ, Д. 39, К. 3, ОФИС 1</t>
  </si>
  <si>
    <t>Кузнецов Александр Викторович</t>
  </si>
  <si>
    <t>64.442037,76.497862</t>
  </si>
  <si>
    <t>ОБЩЕСТВО С ОГРАНИЧЕННОЙ ОТВЕТСТВЕННОСТЬЮ " ГРАНИТ "</t>
  </si>
  <si>
    <t>" ГРАНИТ "</t>
  </si>
  <si>
    <t>2465091406</t>
  </si>
  <si>
    <t>Г КРАСНОЯРСК,УЛ ПОГРАНИЧНИКОВ Д 44</t>
  </si>
  <si>
    <t>Рассеева Людмила Николаевна</t>
  </si>
  <si>
    <t>+7 (391) 226-70-02'</t>
  </si>
  <si>
    <t>60.952479,76.501491</t>
  </si>
  <si>
    <t>0276963094</t>
  </si>
  <si>
    <t>450105, БАШКОРТОСТАН РЕСП., Г. Уфа, УЛ. НАБЕРЕЖНАЯ Р. УФЫ, Д. 39/1, ПОМЕЩ. 4</t>
  </si>
  <si>
    <t>Карнапалов Иван Викторович</t>
  </si>
  <si>
    <t>BUSINESSPLANET02@GMAIL.COM'</t>
  </si>
  <si>
    <t>60.914021,76.51183</t>
  </si>
  <si>
    <t>ОБЩЕСТВО С ОГРАНИЧЕННОЙ ОТВЕТСТВЕННОСТЬЮ "Домостроительный комбинат каркасно-панельного домостроения"</t>
  </si>
  <si>
    <t>"Домостроительный комбинат каркасно-панельного домостроения"</t>
  </si>
  <si>
    <t>0273075870</t>
  </si>
  <si>
    <t>450027, БАШКОРТОСТАН РЕСПУБЛИКА, Г. УФА, УЛ. УФИМСКОЕ ШОССЕ, Д.3, К.1</t>
  </si>
  <si>
    <t>Вейраух Владимир Николаевич</t>
  </si>
  <si>
    <t>+7 (347) 242-02-52', '+7 (347) 284-85-27'</t>
  </si>
  <si>
    <t>60.944947,76.518271</t>
  </si>
  <si>
    <t>ОБЩЕСТВО С ОГРАНИЧЕННОЙ ОТВЕТСТВЕННОСТЬЮ "ЯРКИЙ"</t>
  </si>
  <si>
    <t>"ЯРКИЙ"</t>
  </si>
  <si>
    <t>0273915416</t>
  </si>
  <si>
    <t>450112, БАШКОРТОСТАН РЕСПУБЛИКА, ГОРОД УФА, УЛИЦА ПОБЕДЫ, ДОМ 8,..</t>
  </si>
  <si>
    <t>Холтаева Елена Константиновна</t>
  </si>
  <si>
    <t>+7 (917) 785-67-91'</t>
  </si>
  <si>
    <t>60.963124,76.523688</t>
  </si>
  <si>
    <t>ОБЩЕСТВО С ОГРАНИЧЕННОЙ ОТВЕТСТВЕННОСТЬЮ "УФИМСКИЙ ЗАВОД КАРКАСНОГО ДОМОСТРОЕНИЯ"</t>
  </si>
  <si>
    <t>"УФИМСКИЙ ЗАВОД КАРКАСНОГО ДОМОСТРОЕНИЯ"</t>
  </si>
  <si>
    <t>0277068658</t>
  </si>
  <si>
    <t>Г УФА,УЛ ЗЕЛЕНАЯ РОЩА,11/3</t>
  </si>
  <si>
    <t>Турдиева Ольга Викторовна</t>
  </si>
  <si>
    <t>+7 (901) 441-12-40', '+7 (901) 269-47-89', '+7 (901) 269-48-95', '+7 (901) 269-48-98'</t>
  </si>
  <si>
    <t>60.938545,76.558902</t>
  </si>
  <si>
    <t>ОБЩЕСТВО С ОГРАНИЧЕННОЙ ОТВЕТСТВЕННОСТЬЮ "УФИМСКИЙ  ЖБЗ-1"</t>
  </si>
  <si>
    <t>"УФИМСКИЙ  ЖБЗ-1"</t>
  </si>
  <si>
    <t>0277120481</t>
  </si>
  <si>
    <t>450045, Республика Башкортостан, городской округ ГОРОД УФА, Город УФА, УЛ ЗЕЛЕНАЯ РОЩА, Д. 11/3, ОФИС 10-1</t>
  </si>
  <si>
    <t>+7 (347) 279-20-57', '+7 (347) 265-82-88', '+7 (347) 265-97-33'</t>
  </si>
  <si>
    <t>66.081105,76.649946</t>
  </si>
  <si>
    <t>ОБЩЕСТВО С ОГРАНИЧЕННОЙ ОТВЕТСТВЕННОСТЬЮ "СТРОЙ-ЛОГИСТИКА"</t>
  </si>
  <si>
    <t>"СТРОЙ-ЛОГИСТИКА"</t>
  </si>
  <si>
    <t>5903996938</t>
  </si>
  <si>
    <t>614058, ПЕРМСКИЙ КРАЙ, ГОРОД ПЕРМЬ, УЛИЦА ФОМИНСКАЯ, ДОМ 43, КОРПУС 2, ОФИС 3</t>
  </si>
  <si>
    <t>Селина Екатерина Константиновна</t>
  </si>
  <si>
    <t>+7 (342) 270-12-02', '+7 (342) 238-85-10'</t>
  </si>
  <si>
    <t>cbmanager@inbox.ru'</t>
  </si>
  <si>
    <t>66.098324,76.676878</t>
  </si>
  <si>
    <t>ОБЩЕСТВО С ОГРАНИЧЕННОЙ ОТВЕТСТВЕННОСТЬЮ "ЖБЗ"</t>
  </si>
  <si>
    <t>"ЖБЗ"</t>
  </si>
  <si>
    <t>0273918470</t>
  </si>
  <si>
    <t>450061, БАШКОРТОСТАН РЕСПУБЛИКА, ГОРОД УФА, УЛИЦА ИНТЕРНАЦИОНАЛЬНАЯ, ДОМ 105, КОРПУС 1, ЭТАЖ 2, ОФИС 20</t>
  </si>
  <si>
    <t>Усова Екатерина Евгеньевна</t>
  </si>
  <si>
    <t>olga@mail.ru'</t>
  </si>
  <si>
    <t>60.955131,76.883984</t>
  </si>
  <si>
    <t>ОБЩЕСТВО С ОГРАНИЧЕННОЙ ОТВЕТСТВЕННОСТЬЮ "СТРОЙ-ЦЕНТР"</t>
  </si>
  <si>
    <t>"СТРОЙ-ЦЕНТР"</t>
  </si>
  <si>
    <t>5903115724</t>
  </si>
  <si>
    <t>614058, ПЕРМСКИЙ КРАЙ, Г. ПЕРМЬ, УЛ. ФОМИНСКАЯ, Д. 41</t>
  </si>
  <si>
    <t>Сафиуллин Ильяс Амирович</t>
  </si>
  <si>
    <t>+7 (342) 277-47-45', '+7 (342) 238-61-87', '+7 (342) 238-61-53', '+7 (902) 801-47-45'</t>
  </si>
  <si>
    <t>2774745@mail.ru', '2386187@yandex.ru'</t>
  </si>
  <si>
    <t>55.454055,78.265459</t>
  </si>
  <si>
    <t>АКЦИОНЕРНОЕ ОБЩЕСТВО "ВЛАДИМИРСКИЙ ЗАВОД ЖЕЛЕЗОБЕТОННЫХ ИЗДЕЛИЙ"</t>
  </si>
  <si>
    <t>"ВЛАДИМИРСКИЙ ЗАВОД ЖЕЛЕЗОБЕТОННЫХ ИЗДЕЛИЙ"</t>
  </si>
  <si>
    <t>3327100658</t>
  </si>
  <si>
    <t>Г ВЛАДИМИР,УЛ МЕЩЕРСКАЯ,2</t>
  </si>
  <si>
    <t>Лонский Виталий Брониславович</t>
  </si>
  <si>
    <t>+7 (092) 224-05-32'</t>
  </si>
  <si>
    <t>vzgbi_secretary@mail.ru'</t>
  </si>
  <si>
    <t>55.446749,78.35653</t>
  </si>
  <si>
    <t>ОБЩЕСТВО С ОГРАНИЧЕННОЙ ОТВЕТСТВЕННОСТЬЮ "ПРОИЗВОДСТВЕННО-СТРОИТЕЛЬНАЯ КОМПАНИЯ "ВЯЗПА"</t>
  </si>
  <si>
    <t>"ПРОИЗВОДСТВЕННО-СТРОИТЕЛЬНАЯ КОМПАНИЯ "ВЯЗПА"</t>
  </si>
  <si>
    <t>2128046806</t>
  </si>
  <si>
    <t>Г ЧЕБОКСАРЫ,УЛ ПРИСТАНЦИОННАЯ, Д 7</t>
  </si>
  <si>
    <t>Вязов Павел Николаевич</t>
  </si>
  <si>
    <t>2128047888</t>
  </si>
  <si>
    <t>52.996296,78.675243</t>
  </si>
  <si>
    <t>ОБЩЕСТВО С ОГРАНИЧЕННОЙ ОТВЕТСТВЕННОСТЬЮ "БАШСТРОЙМАТЕРИАЛЫ"</t>
  </si>
  <si>
    <t>"БАШСТРОЙМАТЕРИАЛЫ"</t>
  </si>
  <si>
    <t>0277140093</t>
  </si>
  <si>
    <t>450112, БАШКОРТОСТАН РЕСП, УФА Г, СОЕДИНИТЕЛЬНОЕ ШОССЕ УЛ, ДОМ 2/1</t>
  </si>
  <si>
    <t>Кварацхелия Абесалом Шотаевич</t>
  </si>
  <si>
    <t>+7 (917) 404-85-19'</t>
  </si>
  <si>
    <t>bsm2007@list.ru'</t>
  </si>
  <si>
    <t>51.825375,79.767828</t>
  </si>
  <si>
    <t>ОБЩЕСТВО С ОГРАНИЧЕННОЙ ОТВЕТСТВЕННОСТЬЮ "КООПСТРОЙКОНСТРУКЦИЯ"</t>
  </si>
  <si>
    <t>"КООПСТРОЙКОНСТРУКЦИЯ"</t>
  </si>
  <si>
    <t>2128052983</t>
  </si>
  <si>
    <t>Г ЧЕБОКСАРЫ,ПРОЕЗД БАЗОВЫЙ, Д 5</t>
  </si>
  <si>
    <t>Игнатьев Эдуард Николаевич</t>
  </si>
  <si>
    <t>51.548603,81.21258</t>
  </si>
  <si>
    <t>ОБЩЕСТВО С ОГРАНИЧЕННОЙ ОТВЕТСТВЕННОСТЬЮ "СТРОЙКОНСТРУКЦИЯ" ТРЕСТ "БАШКОРТОСТАННЕФТЕЗАВОДСТРОЙ"</t>
  </si>
  <si>
    <t>"СТРОЙКОНСТРУКЦИЯ" ТРЕСТ "БАШКОРТОСТАННЕФТЕЗАВОДСТРОЙ"</t>
  </si>
  <si>
    <t>0277050795</t>
  </si>
  <si>
    <t>Г УФА,УЛ ПУТЕЙСКАЯ,1/2</t>
  </si>
  <si>
    <t>Гараев Артур Ринатович</t>
  </si>
  <si>
    <t>+7 (347) 243-27-56', '+7 (987) 582-42-90', '+7 (347) 242-66-53'</t>
  </si>
  <si>
    <t>50.955921,81.792703</t>
  </si>
  <si>
    <t>ОБЩЕСТВО С ОГРАНИЧЕННОЙ ОТВЕТСТВЕННОСТЬЮ "КРАСНОЯРСКИЙ ЗАВОД ЖЕЛЕЗОБЕТОННЫХ ИЗДЕЛИЙ №1"</t>
  </si>
  <si>
    <t>"КРАСНОЯРСКИЙ ЗАВОД ЖЕЛЕЗОБЕТОННЫХ ИЗДЕЛИЙ №1"</t>
  </si>
  <si>
    <t>2465284221</t>
  </si>
  <si>
    <t>Г КРАСНОЯРСК,УЛ КРАЗОВСКАЯ Д 11</t>
  </si>
  <si>
    <t>Гер Александр Рихардович</t>
  </si>
  <si>
    <t>+7 (391) 228-58-58', '+7 (391) 228-58-58'</t>
  </si>
  <si>
    <t>2141636@mail.ru', 'glavbuh_kzgbi1@mail.ru', 'kzgbi1@mail.ru', 'kzgbi1@maill.ru', 'kzgdi1@mail.ru'</t>
  </si>
  <si>
    <t>54.355238,81.871332</t>
  </si>
  <si>
    <t>5948995613</t>
  </si>
  <si>
    <t>614500, Пермский край, Пермский район, д Хмели, шоссе Космонавтов 312б</t>
  </si>
  <si>
    <t>Чумак Александр Витальевич</t>
  </si>
  <si>
    <t>+7 (902) 803-61-15', '+7 (342) 277-17-58'</t>
  </si>
  <si>
    <t>k_m337@mail.ru'</t>
  </si>
  <si>
    <t>53.787098,82.312746</t>
  </si>
  <si>
    <t>ОБЩЕСТВО С ОГРАНИЧЕННОЙ ОТВЕТСТВЕННОСТЬЮ "ЖБИ - СТАНДАРТ"</t>
  </si>
  <si>
    <t>"ЖБИ - СТАНДАРТ"</t>
  </si>
  <si>
    <t>3301033781</t>
  </si>
  <si>
    <t>Г ВЛАДИМИР,УЛ ДИКТОРА ЛЕВИТАНА,39</t>
  </si>
  <si>
    <t>Васенкова Лилия Владимировна</t>
  </si>
  <si>
    <t>+7 (960) 532-96-21', '+7 (960) 732-96-21'</t>
  </si>
  <si>
    <t>55.316744,82.74268</t>
  </si>
  <si>
    <t>0277139570</t>
  </si>
  <si>
    <t>450065, БАШКОРТОСТАН РЕСПУБЛИКА, ГОРОД УФА, УЛИЦА СВОБОДЫ, ДОМ 88</t>
  </si>
  <si>
    <t>Токарев Артем Владимирович</t>
  </si>
  <si>
    <t>+7 (347) 246-57-99', '+7 (347) 229-43-63'</t>
  </si>
  <si>
    <t>55.30232,82.743668</t>
  </si>
  <si>
    <t>0277930768</t>
  </si>
  <si>
    <t>450061, БАШКОРТОСТАН РЕСПУБЛИКА, ГОРОД УФА, УЛИЦА СВОБОДЫ, ДОМ 88, ОФИС 2</t>
  </si>
  <si>
    <t>Буйденок Владимир Александрович</t>
  </si>
  <si>
    <t>+7 (987) 096-31-69'</t>
  </si>
  <si>
    <t>55.302499,82.743722</t>
  </si>
  <si>
    <t>ОБЩЕСТВО С ОГРАНИЧЕННОЙ ОТВЕТСТВЕННОСТЬЮ "БЕТОН-ПРОФИ"</t>
  </si>
  <si>
    <t>"БЕТОН-ПРОФИ"</t>
  </si>
  <si>
    <t>0277946944</t>
  </si>
  <si>
    <t>450065, БАШКОРТОСТАН РЕСП., Г. Уфа, УЛ. СВОБОДЫ, Д. 88, ОФИС 32</t>
  </si>
  <si>
    <t>Хисматуллин Наиль Рамилевич</t>
  </si>
  <si>
    <t>52.497403,82.770438</t>
  </si>
  <si>
    <t>ОБЩЕСТВО С ОГРАНИЧЕННОЙ ОТВЕТСТВЕННОСТЬЮ СТРОИТЕЛЬНАЯ КОМПАНИЯ "ПРОМТЕХСТРОЙ"</t>
  </si>
  <si>
    <t>СТРОИТЕЛЬНАЯ КОМПАНИЯ "ПРОМТЕХСТРОЙ"</t>
  </si>
  <si>
    <t>0239950379</t>
  </si>
  <si>
    <t>450065, БАШКОРТОСТАН РЕСПУБЛИКА, Г. УФА, УЛ. СВОБОДЫ, Д. 59/2, ОФИС 4</t>
  </si>
  <si>
    <t>Кулагин Денис Сергеевич</t>
  </si>
  <si>
    <t>+7 (347) 232-91-93', '+7 (917) 368-87-47', '+7 (937) 364-44-00'</t>
  </si>
  <si>
    <t>54.888724,82.781325</t>
  </si>
  <si>
    <t>0277941914</t>
  </si>
  <si>
    <t>450065, БАШКОРТОСТАН РЕСПУБЛИКА, Г. УФА, УЛ. СВОБОДЫ, Д. 61/2</t>
  </si>
  <si>
    <t>Семенов Илья Сергеевич</t>
  </si>
  <si>
    <t>+7 (937) 477-01-77', '+7 (937) 364-44-00'</t>
  </si>
  <si>
    <t>55.006394,82.782727</t>
  </si>
  <si>
    <t>ОБЩЕСТВО С ОГРАНИЧЕННОЙ ОТВЕТСТВЕННОСТЬЮ ТОРГОВО-ПРОМЫШЛЕННАЯ КОМПАНИЯ "ЖЕЛЕЗОБЕТОННЫЕ ИЗДЕЛИЯ"</t>
  </si>
  <si>
    <t>ТОРГОВО-ПРОМЫШЛЕННАЯ КОМПАНИЯ "ЖЕЛЕЗОБЕТОННЫЕ ИЗДЕЛИЯ"</t>
  </si>
  <si>
    <t>0277957311</t>
  </si>
  <si>
    <t>450065, БАШКОРТОСТАН РЕСП., Г. Уфа, УЛ. СВОБОДЫ, Д. 61/2А, ПОМЕЩ. 4</t>
  </si>
  <si>
    <t>Зарипов Руслан Назифович</t>
  </si>
  <si>
    <t>54.971833,82.788503</t>
  </si>
  <si>
    <t>ОБЩЕСТВО С ОГРАНИЧЕННОЙ ОТВЕТСТВЕННОСТЬЮ "ЖЕЛЕЗОБЕТОННЫЕ КОНСТРУКЦИИ № 9"</t>
  </si>
  <si>
    <t>"ЖЕЛЕЗОБЕТОННЫЕ КОНСТРУКЦИИ № 9"</t>
  </si>
  <si>
    <t>2129043580</t>
  </si>
  <si>
    <t>http://jbk9.ru</t>
  </si>
  <si>
    <t>Г ЧЕБОКСАРЫ,ПРОЕЗД КАБЕЛЬНЫЙ, Д 5</t>
  </si>
  <si>
    <t>Цапулин Александр Владимирович</t>
  </si>
  <si>
    <t>JBK9@MAIL.RU'</t>
  </si>
  <si>
    <t>55.053402,82.793129</t>
  </si>
  <si>
    <t>ОБЩЕСТВО С ОГРАНИЧЕННОЙ ОТВЕТСТВЕННОСТЬЮ "Эврика"</t>
  </si>
  <si>
    <t>"Эврика"</t>
  </si>
  <si>
    <t>0273076506</t>
  </si>
  <si>
    <t>450043, БАШКОРТОСТАН РЕСПУБЛИКА, ГОРОД УФА, УЛИЦА ТРАНСПОРТНАЯ, ДОМ 42</t>
  </si>
  <si>
    <t>Ахметов Рамиль Фаилович</t>
  </si>
  <si>
    <t>55.008769,82.804897</t>
  </si>
  <si>
    <t>ОБЩЕСТВО С ОГРАНИЧЕННОЙ ОТВЕТСТВЕННОСТЬЮ "ВИСАНД"</t>
  </si>
  <si>
    <t>"ВИСАНД"</t>
  </si>
  <si>
    <t>0273924354</t>
  </si>
  <si>
    <t>450068, БАШКОРТОСТАН РЕСПУБЛИКА, Г. УФА, УЛ. ОРДЖОНИКИДЗЕ, Д. 18,..</t>
  </si>
  <si>
    <t>Сальников Виталий Валерьевич</t>
  </si>
  <si>
    <t>profi@yandex.ru'</t>
  </si>
  <si>
    <t>54.923999,82.810925</t>
  </si>
  <si>
    <t>АКЦИОНЕРНОЕ ОБЩЕСТВО "НОВОЧЕБОКСАРСКИЙ ЗАВОД СТРОИТЕЛЬНЫХ МАТЕРИАЛОВ"</t>
  </si>
  <si>
    <t>"НОВОЧЕБОКСАРСКИЙ ЗАВОД СТРОИТЕЛЬНЫХ МАТЕРИАЛОВ"</t>
  </si>
  <si>
    <t>2124002974</t>
  </si>
  <si>
    <t>http://нзсм21.рф</t>
  </si>
  <si>
    <t>ЧУВАШСКАЯ РЕСПУБЛИКА - ЧУВАШИЯ,Г НОВОЧЕБОКСАРСК,УЛ СИЛИКАТНАЯ, Д 20</t>
  </si>
  <si>
    <t>Бартышев Дмитрий Алексеевич</t>
  </si>
  <si>
    <t>NZSTROM@CBX.RU', 'NZSTRAW@CBX.RU', 'nzstrom@cbx.ru'</t>
  </si>
  <si>
    <t>55.000657,82.81282</t>
  </si>
  <si>
    <t>ОБЩЕСТВО С ОГРАНИЧЕННОЙ ОТВЕТСТВЕННОСТЬЮ  "МОДУЛЬКОМПЛЕКТСТРОЙ"</t>
  </si>
  <si>
    <t xml:space="preserve"> "МОДУЛЬКОМПЛЕКТСТРОЙ"</t>
  </si>
  <si>
    <t>5905276501</t>
  </si>
  <si>
    <t>614055, ПЕРМСКИЙ КРАЙ, ГОРОД ПЕРМЬ, УЛИЦА ПРОМЫШЛЕННАЯ, 84/Б</t>
  </si>
  <si>
    <t>Шиляев Евгений Сергеевич</t>
  </si>
  <si>
    <t>+7 (342) 204-54-80', '+7 (912) 987-25-26', '+7 (912) 061-77-17', '+7 (908) 270-79-02'</t>
  </si>
  <si>
    <t>54.998039,82.82201</t>
  </si>
  <si>
    <t>ОБЩЕСТВО С ОГРАНИЧЕННОЙ ОТВЕТСТВЕННОСТЬЮ "ВЕН"</t>
  </si>
  <si>
    <t>"ВЕН"</t>
  </si>
  <si>
    <t>2127319433</t>
  </si>
  <si>
    <t>Г ЧЕБОКСАРЫ,ПРОЕЗД СКЛАДСКОЙ, 6</t>
  </si>
  <si>
    <t>55.008774,82.827149</t>
  </si>
  <si>
    <t>ОБЩЕСТВО С ОГРАНИЧЕННОЙ ОТВЕТСТВЕННОСТЬЮ ГРУППА КОМПАНИЙ "БАШСТРОЙ"</t>
  </si>
  <si>
    <t>ГРУППА КОМПАНИЙ "БАШСТРОЙ"</t>
  </si>
  <si>
    <t>0276942961</t>
  </si>
  <si>
    <t>450900, БАШКОРТОСТАН РЕСПУБЛИКА, ГОРОД УФА, СЕЛО НАГАЕВО, УЛИЦА АКБЕРДИНСКАЯ, ДОМ 40, СТРОЕНИЕ А,..</t>
  </si>
  <si>
    <t>Абдрахманов Камзе Мазрапович</t>
  </si>
  <si>
    <t>54.997647,82.831703</t>
  </si>
  <si>
    <t>ОБЩЕСТВО С ОГРАНИЧЕННОЙ ОТВЕТСТВЕННОСТЬЮ "ПЕРМСКИЙ ЗАВОД БЕТОННЫХ ИЗДЕЛИЙ"</t>
  </si>
  <si>
    <t>"ПЕРМСКИЙ ЗАВОД БЕТОННЫХ ИЗДЕЛИЙ"</t>
  </si>
  <si>
    <t>5905068646</t>
  </si>
  <si>
    <t>614065, ПЕРМСКИЙ КРАЙ, Г. Пермь, УЛ. ПРОМЫШЛЕННАЯ, Д. 121А</t>
  </si>
  <si>
    <t>Холоденин Том Игоревич</t>
  </si>
  <si>
    <t>54.985597,82.841567</t>
  </si>
  <si>
    <t>ОБЩЕСТВО С ОГРАНИЧЕННОЙ ОТВЕТСТВЕННОСТЬЮ "КОМБИНАТ ПРОМЫШЛЕННЫХ ПРЕДПРИЯТИЙ"</t>
  </si>
  <si>
    <t>"КОМБИНАТ ПРОМЫШЛЕННЫХ ПРЕДПРИЯТИЙ"</t>
  </si>
  <si>
    <t>3302021010</t>
  </si>
  <si>
    <t>http://kpp33.ru</t>
  </si>
  <si>
    <t>Г ВЛАДИМИР,УЛ БОЛЬШАЯ НИЖЕГОРОДСКАЯ,88</t>
  </si>
  <si>
    <t>Богатов Сергей Олегович</t>
  </si>
  <si>
    <t>irina0663@yandex.ru'</t>
  </si>
  <si>
    <t>54.997528,82.845941</t>
  </si>
  <si>
    <t>ОБЩЕСТВО С ОГРАНИЧЕННОЙ ОТВЕТСТВЕННОСТЬЮ "ЧЕСТР-ИНВЕСТ"</t>
  </si>
  <si>
    <t>"ЧЕСТР-ИНВЕСТ"</t>
  </si>
  <si>
    <t>2129051460</t>
  </si>
  <si>
    <t>Г ЧЕБОКСАРЫ,УЛ ЛЕБЕДЕВА, Д 68</t>
  </si>
  <si>
    <t>Тарасова Ирина Валерьевна</t>
  </si>
  <si>
    <t>+7 (495) 672-54-34', '+7 (495) 672-54-34'</t>
  </si>
  <si>
    <t>54.942677,82.847504</t>
  </si>
  <si>
    <t>ОБЩЕСТВО С ОГРАНИЧЕННОЙ ОТВЕТСТВЕННОСТЬЮ "ВЫСОТНЫЙ АЛЬЯНС"</t>
  </si>
  <si>
    <t>"ВЫСОТНЫЙ АЛЬЯНС"</t>
  </si>
  <si>
    <t>0266030540</t>
  </si>
  <si>
    <t>453001, БАШКОРТОСТАН РЕСПУБЛИКА, Р-Н КАРМАСКАЛИНСКИЙ, Д СТАРОБАБИЧЕВО, УЛ. ПОБЕДЫ, Д.13</t>
  </si>
  <si>
    <t>Галимова Айгуль Айратовна</t>
  </si>
  <si>
    <t>+7 (937) 349-00-12'</t>
  </si>
  <si>
    <t>54.999186,82.85125</t>
  </si>
  <si>
    <t>ОБЩЕСТВО С ОГРАНИЧЕННОЙ ОТВЕТСТВЕННОСТЬЮ "КАБАКОВСКИЙ ЖЕЛЕЗОБЕТОННЫЙ ЗАВОД"</t>
  </si>
  <si>
    <t>"КАБАКОВСКИЙ ЖЕЛЕЗОБЕТОННЫЙ ЗАВОД"</t>
  </si>
  <si>
    <t>0229952793</t>
  </si>
  <si>
    <t>453028, БАШКОРТОСТАН РЕСП, Р-Н Кармаскалинский, д Кабаково, КВ-Л 10102, ЗД. 1</t>
  </si>
  <si>
    <t>Салимгареев Марсель Амирьянович</t>
  </si>
  <si>
    <t>+7 (347) 238-54-27'</t>
  </si>
  <si>
    <t>kabakovo2018@mail.ru'</t>
  </si>
  <si>
    <t>54.997951,82.857395</t>
  </si>
  <si>
    <t>ОБЩЕСТВО С ОГРАНИЧЕННОЙ ОТВЕТСТВЕННОСТЬЮ "Апрель-ТорговоПроизводственнаяКомпания"</t>
  </si>
  <si>
    <t>"Апрель-ТорговоПроизводственнаяКомпания"</t>
  </si>
  <si>
    <t>5903063000</t>
  </si>
  <si>
    <t>614058, Пермский край, г Пермь, ул Деревообделочная 3/1</t>
  </si>
  <si>
    <t>Швецов Артём Витальевич</t>
  </si>
  <si>
    <t>+7 (902) 630-65-83', '+7 (342) 238-54-53', '+7 (342) 278-90-77', '+7 (342) 238-54-52'</t>
  </si>
  <si>
    <t>54.984992,82.869828</t>
  </si>
  <si>
    <t>ОБЩЕСТВО С ОГРАНИЧЕННОЙ ОТВЕТСТВЕННОСТЬЮ "ПАРК-ПБИ"</t>
  </si>
  <si>
    <t>"ПАРК-ПБИ"</t>
  </si>
  <si>
    <t>5903140985</t>
  </si>
  <si>
    <t>614058, ПЕРМСКИЙ КРАЙ, Г. Пермь, УЛ. ДЕРЕВООБДЕЛОЧНАЯ, Д. 8, ОФИС 210/2</t>
  </si>
  <si>
    <t>Погосян Арсен Омеросович</t>
  </si>
  <si>
    <t>55.042612,82.871768</t>
  </si>
  <si>
    <t>ОБЩЕСТВО С ОГРАНИЧЕННОЙ ОТВЕТСТВЕННОСТЬЮ "ПЕРМГАЗОБЕТОН"</t>
  </si>
  <si>
    <t>"ПЕРМГАЗОБЕТОН"</t>
  </si>
  <si>
    <t>5904318090</t>
  </si>
  <si>
    <t>http://permgazobeton.ru</t>
  </si>
  <si>
    <t>614058, ПЕРМСКИЙ КРАЙ, ГОРОД ПЕРМЬ, УЛИЦА ДЕРЕВООБДЕЛОЧНАЯ, ДОМ 8, ОФИС 418</t>
  </si>
  <si>
    <t>Сыч Алексей Николаевич</t>
  </si>
  <si>
    <t>+7 (342) 257-66-55', '+7 (902) 471-18-33', '+7 (342) 205-50-96'</t>
  </si>
  <si>
    <t>anechaeva@gp-centr', '05072007g@gmail.com'</t>
  </si>
  <si>
    <t>55.045702,82.8767</t>
  </si>
  <si>
    <t>ОБЩЕСТВО С ОГРАНИЧЕННОЙ ОТВЕТСТВЕННОСТЬЮ "ВЛАДИМИРСКИЙ ЗАВОД КРУПНОПАНЕЛЬНОГО ДОМОСТРОЕНИЯ"</t>
  </si>
  <si>
    <t>"ВЛАДИМИРСКИЙ ЗАВОД КРУПНОПАНЕЛЬНОГО ДОМОСТРОЕНИЯ"</t>
  </si>
  <si>
    <t>3328407201</t>
  </si>
  <si>
    <t>Г ВЛАДИМИР,УЛ ПОЛИНЫ ОСИПЕНКО,59</t>
  </si>
  <si>
    <t>Сухов Игорь Викторович</t>
  </si>
  <si>
    <t>3328407201@eo.tensor'</t>
  </si>
  <si>
    <t>55.067654,82.878748</t>
  </si>
  <si>
    <t>ЗАКРЫТОЕ АКЦИОНЕРНОЕ ОБЩЕСТВО ПРОИЗВОДСТВЕННО-ТЕХНОЛОГИЧЕСКОЙ КОМПЛЕКТАЦИИ "ВЛАДСПЕЦСТРОЙ"</t>
  </si>
  <si>
    <t>ЗАКРЫТОЕ ПРОИЗВОДСТВЕННО-ТЕХНОЛОГИЧЕСКОЙ КОМПЛЕКТАЦИИ "ВЛАДСПЕЦСТРОЙ"</t>
  </si>
  <si>
    <t>3302000700</t>
  </si>
  <si>
    <t>Г ВЛАДИМИР,2 ПОЧАЕВСКИЙ ПРОЕЗД,9А</t>
  </si>
  <si>
    <t>Мосалев Виктор Федорович</t>
  </si>
  <si>
    <t>+7 (092) 223-66-38'</t>
  </si>
  <si>
    <t>ptkvss@yandex.ru'</t>
  </si>
  <si>
    <t>54.99179,82.893633</t>
  </si>
  <si>
    <t>ОБЩЕСТВО С ОГРАНИЧЕННОЙ ОТВЕТСТВЕННОСТЬЮ "БАЗА-БЕТОН"</t>
  </si>
  <si>
    <t>"БАЗА-БЕТОН"</t>
  </si>
  <si>
    <t>3316014157</t>
  </si>
  <si>
    <t>ВЛАДИМИРСКАЯ ОБЛ.,Г КИРЖАЧ,УЛ СЕРЕГИНА,11</t>
  </si>
  <si>
    <t>Бабуркин Валерий Александрович</t>
  </si>
  <si>
    <t>+7 (919) 009-41-90'</t>
  </si>
  <si>
    <t>55.129638,82.898448</t>
  </si>
  <si>
    <t>ОБЩЕСТВО С ОГРАНИЧЕННОЙ ОТВЕТСТВЕННОСТЬЮ "КАМА-БЕТОН"</t>
  </si>
  <si>
    <t>"КАМА-БЕТОН"</t>
  </si>
  <si>
    <t>5905027618</t>
  </si>
  <si>
    <t>614065, ПЕРМСКИЙ КРАЙ, ГОРОД ПЕРМЬ, УЛИЦА ПРОМЫШЛЕННАЯ, ДОМ 143А, КОРПУС 1</t>
  </si>
  <si>
    <t>Петросян Ашот Рахчанович</t>
  </si>
  <si>
    <t>+7 (342) 298-09-99', '+7 (342) 298-27-77', '+7 (922) 350-26-44'</t>
  </si>
  <si>
    <t>55.030266,82.900029</t>
  </si>
  <si>
    <t>ОБЩЕСТВО С ОГРАНИЧЕННОЙ ОТВЕТСТВЕННОСТЬЮ "ДЕЛО СВАЙ"</t>
  </si>
  <si>
    <t>"ДЕЛО СВАЙ"</t>
  </si>
  <si>
    <t>5905059553</t>
  </si>
  <si>
    <t>614036, ПЕРМСКИЙ КРАЙ, ГОРОД ПЕРМЬ, УЛИЦА МИРА, ДОМ 78А, ОФИС 5</t>
  </si>
  <si>
    <t>Раздухов Антон Владимирович</t>
  </si>
  <si>
    <t>+7 (342) 202-56-20'</t>
  </si>
  <si>
    <t>delosvai@yandex.ru'</t>
  </si>
  <si>
    <t>55.039945,82.900209</t>
  </si>
  <si>
    <t>ОБЩЕСТВО С ОГРАНИЧЕННОЙ ОТВЕТСТВЕННОСТЬЮ "КОМПОНЕНТ-СЕВЕРО-ЗАПАД"</t>
  </si>
  <si>
    <t>"КОМПОНЕНТ-СЕВЕРО-ЗАПАД"</t>
  </si>
  <si>
    <t>5044042367</t>
  </si>
  <si>
    <t>МОСКОВСКАЯ ОБЛ.,Г СОЛНЕЧНОГОРСК,УЛ КРАСНАЯ, Д 161</t>
  </si>
  <si>
    <t>Серегин Олег Владимирович</t>
  </si>
  <si>
    <t>+7 (495) 535-32-16', '+7 (495) 944-73-11'</t>
  </si>
  <si>
    <t>54.956678,82.902993</t>
  </si>
  <si>
    <t>ОБЩЕСТВО С ОГРАНИЧЕННОЙ ОТВЕТСТВЕННОСТЬЮ "Производственно-торговое объединение "ПРОМЫШЛЕННОСТИ УРАЛА"</t>
  </si>
  <si>
    <t>"Производственно-торговое объединение "ПРОМЫШЛЕННОСТИ УРАЛА"</t>
  </si>
  <si>
    <t>5902030281</t>
  </si>
  <si>
    <t>Г ПЕРМЬ,УЛ ТАНКИСТОВ 44/А</t>
  </si>
  <si>
    <t>Волкова Екатерина Владимировна</t>
  </si>
  <si>
    <t>+7 (967) 901-60-06'</t>
  </si>
  <si>
    <t>55.028455,82.905257</t>
  </si>
  <si>
    <t>Общество с ограниченной ответственностью "Крепость"</t>
  </si>
  <si>
    <t>"Крепость"</t>
  </si>
  <si>
    <t>5911068813</t>
  </si>
  <si>
    <t>Г ПЕРМЬ,*УЛ СТАХАНОВСКАЯ 29-155 (ДОМ.АДРЕС)</t>
  </si>
  <si>
    <t>Борчанинов Юрий Владимирович</t>
  </si>
  <si>
    <t>55.026778,82.906092</t>
  </si>
  <si>
    <t>Общество с ограниченной ответственностью "ЭКО-СТРОЙ"</t>
  </si>
  <si>
    <t>"ЭКО-СТРОЙ"</t>
  </si>
  <si>
    <t>5904331333</t>
  </si>
  <si>
    <t>614081, ПЕРМСКИЙ КРАЙ, Г. ПЕРМЬ, Ш. КОСМОНАВТОВ, СТР 61Б, ОФИС 416</t>
  </si>
  <si>
    <t>Тарасов Алексей Валерьевич</t>
  </si>
  <si>
    <t>+7 (342) 234-02-07'</t>
  </si>
  <si>
    <t>55.053701,82.907359</t>
  </si>
  <si>
    <t>ОБЩЕСТВО С ОГРАНИЧЕННОЙ ОТВЕТСТВЕННОСТЬЮ "ЖБК АРМАДА"</t>
  </si>
  <si>
    <t>"ЖБК АРМАДА"</t>
  </si>
  <si>
    <t>5904311707</t>
  </si>
  <si>
    <t>http://armadaperm.ru</t>
  </si>
  <si>
    <t>614095, Пермский край, городской округ ПЕРМСКИЙ, Город ПЕРМЬ, УЛ КАРПИНСКОГО, Д. 83,..</t>
  </si>
  <si>
    <t>Матвеенкова Ирина Александровна</t>
  </si>
  <si>
    <t>+7 (965) 556-70-00', '+7 (902) 834-12-82'</t>
  </si>
  <si>
    <t>info@armadaperm.ru', 'kaa@armadaperm.ru'</t>
  </si>
  <si>
    <t>54.989213,82.908222</t>
  </si>
  <si>
    <t>ОБЩЕСТВО С ОГРАНИЧЕННОЙ ОТВЕТСТВЕННОСТЬЮ "ЖБК МОХОВСКОЕ"</t>
  </si>
  <si>
    <t>"ЖБК МОХОВСКОЕ"</t>
  </si>
  <si>
    <t>5902037696</t>
  </si>
  <si>
    <t>614000, ПЕРМСКИЙ КРАЙ, Г. Пермь, УЛ. ЛЕНИНА, Д. 66, ОФИС 215</t>
  </si>
  <si>
    <t>Леснов Андрей Павлович</t>
  </si>
  <si>
    <t>+7 (912) 480-57-28'</t>
  </si>
  <si>
    <t>ОБЩЕСТВО С ОГРАНИЧЕННОЙ ОТВЕТСТВЕННОСТЬЮ "РЕГИОН-ПОДРЯД"</t>
  </si>
  <si>
    <t>"РЕГИОН-ПОДРЯД"</t>
  </si>
  <si>
    <t>5905022786</t>
  </si>
  <si>
    <t>Г ПЕРМЬ,А/Я 5765</t>
  </si>
  <si>
    <t>Старцев Юрий Германович</t>
  </si>
  <si>
    <t>+7 (342) 236-91-01', '+7 (342) 244-72-22', '+7 (342) 236-91-30', '+7 (342) 244-70-51'</t>
  </si>
  <si>
    <t>pod@yandex.ru', 'info@region-podryad', 'p2014@mail.ru'</t>
  </si>
  <si>
    <t>54.958575,82.90885</t>
  </si>
  <si>
    <t>ОБЩЕСТВО С ОГРАНИЧЕННОЙ ОТВЕТСТВЕННОСТЬЮ "ПРОМЛИДЕР"</t>
  </si>
  <si>
    <t>"ПРОМЛИДЕР"</t>
  </si>
  <si>
    <t>5906152474</t>
  </si>
  <si>
    <t>614056, ПЕРМСКИЙ КРАЙ, Г. ПЕРМЬ, УЛ. КИРПИЧНЫЙ ЗАВОД, Д. 15, К. ЛИТЕР А1, ОФИС 1</t>
  </si>
  <si>
    <t>Хафизова Светлана Витальевна</t>
  </si>
  <si>
    <t>+7 (922) 359-61-33', '+7 (912) 789-39-19', '+7 (342) 203-01-63'</t>
  </si>
  <si>
    <t>54.958756,82.910359</t>
  </si>
  <si>
    <t>ОБЩЕСТВО С ОГРАНИЧЕННОЙ ОТВЕТСТВЕННОСТЬЮ "БЛОКЕРДОМ"</t>
  </si>
  <si>
    <t>"БЛОКЕРДОМ"</t>
  </si>
  <si>
    <t>5907031803</t>
  </si>
  <si>
    <t>614026, Пермский край, г Пермь, пер Каргапольский 62</t>
  </si>
  <si>
    <t>Ашкинезер Александр Маркович</t>
  </si>
  <si>
    <t>+7 (906) 887-80-90', '+7 (922) 304-21-09'</t>
  </si>
  <si>
    <t>55.063385,82.912524</t>
  </si>
  <si>
    <t>ОБЩЕСТВО С ОГРАНИЧЕННОЙ ОТВЕТСТВЕННОСТЬЮ ПРОИЗВОДСТВЕННАЯ ФИРМА "СТРОЙБЛОК"</t>
  </si>
  <si>
    <t>ПРОИЗВОДСТВЕННАЯ ФИРМА "СТРОЙБЛОК"</t>
  </si>
  <si>
    <t>5921022945</t>
  </si>
  <si>
    <t>614010, ПЕРМСКИЙ КРАЙ, Г. Пермь, УЛ. ГЕРОЕВ ХАСАНА, Д. 7А, ОФИС 230/1</t>
  </si>
  <si>
    <t>Данилов Максим Юрьевич</t>
  </si>
  <si>
    <t>+7 (908) 251-58-67', '+7 (912) 781-65-23', '+7 (342) 235-79-55'</t>
  </si>
  <si>
    <t>54.961279,82.912767</t>
  </si>
  <si>
    <t>ОБЩЕСТВО С ОГРАНИЧЕННОЙ ОТВЕТСТВЕННОСТЬЮ "Трасса"</t>
  </si>
  <si>
    <t>"Трасса"</t>
  </si>
  <si>
    <t>5904254696</t>
  </si>
  <si>
    <t>614016, ПЕРМСКИЙ КРАЙ, ГОРОД ПЕРМЬ, УЛИЦА ЕЛЬКИНА, ДОМ 49,..</t>
  </si>
  <si>
    <t>Перешеин Александр Юрьевич</t>
  </si>
  <si>
    <t>+7 (902) 807-25-89', '+7 (342) 244-23-34', '+7 (342) 240-37-33', '+7 (902) 473-70-20'</t>
  </si>
  <si>
    <t>55.043855,82.912983</t>
  </si>
  <si>
    <t>ОБЩЕСТВО С ОГРАНИЧЕННОЙ ОТВЕТСТВЕННОСТЬЮ ТОРГОВО-ПРОМЫШЛЕННАЯ ФИРМА "ПРАГА"</t>
  </si>
  <si>
    <t>ТОРГОВО-ПРОМЫШЛЕННАЯ ФИРМА "ПРАГА"</t>
  </si>
  <si>
    <t>0219006483</t>
  </si>
  <si>
    <t>РЕСПУБЛИКА БАШКОРТОСТАН,ГАФУРИЙСКИЙ Р-Н,С СТ БЕЛОЕ ОЗЕРО,УЛ ЮЖНАЯ,2/2</t>
  </si>
  <si>
    <t>Зиазетдинов Эльдар Рашидович</t>
  </si>
  <si>
    <t>+7 (927) 230-70-24'</t>
  </si>
  <si>
    <t>5904377384</t>
  </si>
  <si>
    <t>614990, ПЕРМСКИЙ КРАЙ, ГОРОД ПЕРМЬ, УЛИЦА ЛОДЫГИНА, ДОМ 9, ЭТАЖ 5, ОФИС 34</t>
  </si>
  <si>
    <t>Изместьев Артем Вячеславович</t>
  </si>
  <si>
    <t>+7 (908) 274-11-46', '+7 (922) 242-45-41'</t>
  </si>
  <si>
    <t>ОБЩЕСТВО С ОГРАНИЧЕННОЙ ОТВЕТСТВЕННОСТЬЮ "БАШПРОМЛАЙН"</t>
  </si>
  <si>
    <t>"БАШПРОМЛАЙН"</t>
  </si>
  <si>
    <t>0273906274</t>
  </si>
  <si>
    <t>450028, Республика Башкортостан, ГОРОД УФА, ул Гвардейская,41/2</t>
  </si>
  <si>
    <t>Аветисян Левон Рубикович</t>
  </si>
  <si>
    <t>+7 (937) 833-34-44', '+7 (917) 355-55-55'</t>
  </si>
  <si>
    <t>info@bplbeton.ru', 'islamova_lika@mail.ru', 'bashmbi@inbox.ru'</t>
  </si>
  <si>
    <t>55.024394,82.920016</t>
  </si>
  <si>
    <t>ОБЩЕСТВО С ОГРАНИЧЕННОЙ ОТВЕТСТВЕННОСТЬЮ "ВКТРЕЙДИНГ"</t>
  </si>
  <si>
    <t>"ВКТРЕЙДИНГ"</t>
  </si>
  <si>
    <t>0258955037</t>
  </si>
  <si>
    <t>453448, Республика Башкортостан, БЛАГОВЕЩЕНСКИЙ, 2 ИЛЬИНО-ПОЛЯНСКИЙ СЕЛЬСОВЕТ, Д ТУРУШЛА, УЛ ШКОЛЬНАЯ, Д. 24, К. 1</t>
  </si>
  <si>
    <t>Рашитова Эльвира Фаритовна</t>
  </si>
  <si>
    <t>9875879880@MAIL.RU'</t>
  </si>
  <si>
    <t>ОБЩЕСТВО С ОГРАНИЧЕННОЙ ОТВЕТСТВЕННОСТЬЮ "ШАКШИНСКИЙ ЗАВОД ЖБИ"</t>
  </si>
  <si>
    <t>"ШАКШИНСКИЙ ЗАВОД ЖБИ"</t>
  </si>
  <si>
    <t>0273918696</t>
  </si>
  <si>
    <t>450028, БАШКОРТОСТАН РЕСПУБЛИКА, ГОРОД УФА, УЛИЦА ГВАРДЕЙСКАЯ, ДОМ 41, КОРПУС 4</t>
  </si>
  <si>
    <t>Ан Андрей Юрьевич</t>
  </si>
  <si>
    <t>bashmbi@inbox.ru'</t>
  </si>
  <si>
    <t>55.1271,82.920376</t>
  </si>
  <si>
    <t>ОБЩЕСТВО С ОГРАНИЧЕННОЙ ОТВЕТСТВЕННОСТЬЮ "АЛЬФА-ГРУПП"</t>
  </si>
  <si>
    <t>"АЛЬФА-ГРУПП"</t>
  </si>
  <si>
    <t>0245960897</t>
  </si>
  <si>
    <t>450521, БАШКОРТОСТАН РЕСПУБЛИКА, РАЙОН УФИМСКИЙ, СЕЛО РУССКИЙ ЮРМАШ, УЛИЦА НАБЕРЕЖНАЯ, ДОМ 10/2, ОФИС 2</t>
  </si>
  <si>
    <t>Лопатин Сергей Викторович</t>
  </si>
  <si>
    <t>55.025668,82.923942</t>
  </si>
  <si>
    <t>ОБЩЕСТВО С ОГРАНИЧЕННОЙ ОТВЕТСТВЕННОСТЬЮ "СИЛИКАТСТРОЙ"</t>
  </si>
  <si>
    <t>"СИЛИКАТСТРОЙ"</t>
  </si>
  <si>
    <t>5249070478</t>
  </si>
  <si>
    <t>НИЖЕГОРОДСКАЯ ОБЛ.,Г ДЗЕРЖИНСК,ПР ЛЕНИНА Д 111</t>
  </si>
  <si>
    <t>+7 (831) 326-21-80'</t>
  </si>
  <si>
    <t>55.119662,82.925496</t>
  </si>
  <si>
    <t>ОБЩЕСТВО С ОГРАНИЧЕННОЙ ОТВЕТСТВЕННОСТЬЮ "КАПИТАЛ-БЕТОН"</t>
  </si>
  <si>
    <t>"КАПИТАЛ-БЕТОН"</t>
  </si>
  <si>
    <t>0273918216</t>
  </si>
  <si>
    <t>450028, БАШКОРТОСТАН РЕСПУБЛИКА, Г. УФА, УЛ. СЕЛЬСКАЯ, МЕЖДУ ДОМАМИ 6 И 8, ПОМЕЩ. 4</t>
  </si>
  <si>
    <t>+7 (905) 000-91-92'</t>
  </si>
  <si>
    <t>55.11045,82.92732</t>
  </si>
  <si>
    <t>ОБЩЕСТВО С ОГРАНИЧЕННОЙ ОТВЕТСТВЕННОСТЬЮ "УРАЛСПЕЦБЕТОН"</t>
  </si>
  <si>
    <t>"УРАЛСПЕЦБЕТОН"</t>
  </si>
  <si>
    <t>5904995743</t>
  </si>
  <si>
    <t>614010, ПЕРМСКИЙ КРАЙ, ГОРОД ПЕРМЬ, УЛИЦА МАРШРУТНАЯ, ДОМ 11, ОФИС 33</t>
  </si>
  <si>
    <t>Зыков Олег Алексеевич</t>
  </si>
  <si>
    <t>+7 (902) 796-43-64'</t>
  </si>
  <si>
    <t>37769@mail.ru'</t>
  </si>
  <si>
    <t>55.080627,82.929925</t>
  </si>
  <si>
    <t>ОБЩЕСТВО С ОГРАНИЧЕННОЙ ОТВЕТСТВЕННОСТЬЮ "Пермь-Бетон"</t>
  </si>
  <si>
    <t>"Пермь-Бетон"</t>
  </si>
  <si>
    <t>5904224998</t>
  </si>
  <si>
    <t>614033, ПЕРМСКИЙ КРАЙ, Г. ПЕРМЬ, УЛ. БАХАРЕВСКАЯ, Д. 53, ПОМЕЩ. 13</t>
  </si>
  <si>
    <t>Зальцер Александр Иванович</t>
  </si>
  <si>
    <t>+7 (902) 476-11-33'</t>
  </si>
  <si>
    <t>ОБЩЕСТВО С ОГРАНИЧЕННОЙ ОТВЕТСТВЕННОСТЬЮ "СИМА ПЛЮС"</t>
  </si>
  <si>
    <t>"СИМА ПЛЮС"</t>
  </si>
  <si>
    <t>5042085990</t>
  </si>
  <si>
    <t>МОСКОВСКАЯ ОБЛ.,СЕРГИЕВО-ПОСАДСКИЙ Р-Н,Д ЖУЧКИ,Д 2 А</t>
  </si>
  <si>
    <t>Мкртчян Татьяна Александровна</t>
  </si>
  <si>
    <t>55.031659,82.931093</t>
  </si>
  <si>
    <t>ОБЩЕСТВО С ОГРАНИЧЕННОЙ ОТВЕТСТВЕННОСТЬЮ "АВШАР"</t>
  </si>
  <si>
    <t>"АВШАР"</t>
  </si>
  <si>
    <t>5042077131</t>
  </si>
  <si>
    <t>МОСКОВСКАЯ ОБЛ.,СЕРГИЕВО-ПОСАДСКИЙ Р-Н,Д ЖУЧКИ,Д 16,..</t>
  </si>
  <si>
    <t>Мирзоян Андраник Иванович</t>
  </si>
  <si>
    <t>54.950697,82.933302</t>
  </si>
  <si>
    <t>ОБЩЕСТВО С ОГРАНИЧЕННОЙ ОТВЕТСТВЕННОСТЬЮ "ВЕРОНА"</t>
  </si>
  <si>
    <t>"ВЕРОНА"</t>
  </si>
  <si>
    <t>4345399489</t>
  </si>
  <si>
    <t>КИРОВСКАЯ ОБЛ.,ВЯТСКОПОЛЯНСКИЙ Р-Н,Д СРЕДНЯЯ ТОЙМА,УЛ МОЛОДЕЖНАЯ, Д 22 К 2</t>
  </si>
  <si>
    <t>Кузьминых Константин Владимирович</t>
  </si>
  <si>
    <t>55.02797,82.935009</t>
  </si>
  <si>
    <t>ОБЩЕСТВО С ОГРАНИЧЕННОЙ ОТВЕТСТВЕННОСТЬЮ "СПЕЦ-ЖЕЛЕЗОБЕТОН"</t>
  </si>
  <si>
    <t>"СПЕЦ-ЖЕЛЕЗОБЕТОН"</t>
  </si>
  <si>
    <t>5904357518</t>
  </si>
  <si>
    <t>614010, ПЕРМСКИЙ КРАЙ, ГОРОД ПЕРМЬ, УЛИЦА КУЙБЫШЕВА, ДОМ 86,..</t>
  </si>
  <si>
    <t>Пожарский Борис Андреевич</t>
  </si>
  <si>
    <t>+7 (964) 186-61-90', '+7 (982) 478-19-41'</t>
  </si>
  <si>
    <t>54.960126,82.93553</t>
  </si>
  <si>
    <t>Общество с ограниченной ответственностью Торговый Дом "Волговятснабкомплект"</t>
  </si>
  <si>
    <t>"Волговятснабкомплект"</t>
  </si>
  <si>
    <t>5261056381</t>
  </si>
  <si>
    <t>Г НИЖНИЙ НОВГОРОД,ПР ГАГАРИНА Д 166</t>
  </si>
  <si>
    <t>Силантьева Елена Николаевна</t>
  </si>
  <si>
    <t>+7 (920) 257-05-31', '+7 (904) 789-28-56'</t>
  </si>
  <si>
    <t>55.111351,82.935701</t>
  </si>
  <si>
    <t>ОБЩЕСТВО С ОГРАНИЧЕННОЙ ОТВЕТСТВЕННОСТЬЮ "ТеплоТех"</t>
  </si>
  <si>
    <t>"ТеплоТех"</t>
  </si>
  <si>
    <t>0274170935</t>
  </si>
  <si>
    <t>450521, БАШКОРТОСТАН РЕСПУБЛИКА, РАЙОН УФИМСКИЙ, СЕЛО РУССКИЙ ЮРМАШ, УЛИЦА ЗАВОДСКАЯ, ДОМ 1, ЛИТЕР А, ОФИС 3</t>
  </si>
  <si>
    <t>Хасанов Рустам Раилевич</t>
  </si>
  <si>
    <t>+7 (347) 224-21-33'</t>
  </si>
  <si>
    <t>ir999@list.ru'</t>
  </si>
  <si>
    <t>55.071737,82.936294</t>
  </si>
  <si>
    <t>ОБЩЕСТВО С ОГРАНИЧЕННОЙ ОТВЕТСТВЕННОСТЬЮ "КБП"</t>
  </si>
  <si>
    <t>"КБП"</t>
  </si>
  <si>
    <t>2452000923</t>
  </si>
  <si>
    <t>КРАСНОЯРСКИЙ КРАЙ,Г ЖЕЛЕЗНОГОРСК,УЛ ШКОЛЬНАЯ Д 52</t>
  </si>
  <si>
    <t>Захаров Александр Феликсович</t>
  </si>
  <si>
    <t>+7 (391) 973-27-11'</t>
  </si>
  <si>
    <t>55.050107,82.941288</t>
  </si>
  <si>
    <t>АКЦИОНЕРНОЕ ОБЩЕСТВО "ЗАВОД ЖЕЛЕЗОБЕТОННЫХ КОНСТРУКЦИЙ № 1"</t>
  </si>
  <si>
    <t>"ЗАВОД ЖЕЛЕЗОБЕТОННЫХ КОНСТРУКЦИЙ № 1"</t>
  </si>
  <si>
    <t>5256003095</t>
  </si>
  <si>
    <t>Г НИЖНИЙ НОВГОРОД,ПР БУСЫГИНА Д 1</t>
  </si>
  <si>
    <t>Бурганов Сергей Анатольевич</t>
  </si>
  <si>
    <t>+7 (831) 253-05-65', '+7 (831) 253-07-05', '+7 (831) 253-05-41', '+7 (953) 568-13-42', '+7 (831) 253-07-05'</t>
  </si>
  <si>
    <t>ZBK1@MAIL.RU'</t>
  </si>
  <si>
    <t>55.049782,82.94366</t>
  </si>
  <si>
    <t>ОБЩЕСТВО С ОГРАНИЧЕННОЙ ОТВЕТСТВЕННОСТЬЮ "ЭВРИКА"</t>
  </si>
  <si>
    <t>"ЭВРИКА"</t>
  </si>
  <si>
    <t>5261054338</t>
  </si>
  <si>
    <t>Г НИЖНИЙ НОВГОРОД,УЛ УГЛОВА Д 5 А</t>
  </si>
  <si>
    <t>55.025059,82.945259</t>
  </si>
  <si>
    <t>ОБЩЕСТВО С ОГРАНИЧЕННОЙ ОТВЕТСТВЕННОСТЬЮ "АЛЛ ПЛИТКА"</t>
  </si>
  <si>
    <t>"АЛЛ ПЛИТКА"</t>
  </si>
  <si>
    <t>5948995846</t>
  </si>
  <si>
    <t>614530, ПЕРМСКИЙ КРАЙ, Р-Н ПЕРМСКИЙ, С ФРОЛЫ, УЛ. ЮБИЛЕЙНАЯ, Д. 11</t>
  </si>
  <si>
    <t>Ярема Антон Тарасович</t>
  </si>
  <si>
    <t>+7 (912) 888-30-65', '+7 (952) 330-88-34'</t>
  </si>
  <si>
    <t>tatkavs78@mail.ru'</t>
  </si>
  <si>
    <t>55.175087,82.949876</t>
  </si>
  <si>
    <t>ОБЩЕСТВО С ОГРАНИЧЕННОЙ ОТВЕТСТВЕННОСТЬЮ "СТРОЙПЕНОБЕТОНКОМПЛЕКТ"</t>
  </si>
  <si>
    <t>"СТРОЙПЕНОБЕТОНКОМПЛЕКТ"</t>
  </si>
  <si>
    <t>5904179230</t>
  </si>
  <si>
    <t>614025, ПЕРМСКИЙ КРАЙ, ГОРОД ПЕРМЬ, УЛИЦА БРИГАДИРСКАЯ, ДОМ 8</t>
  </si>
  <si>
    <t>Кулижников Дмитрий Владимирович</t>
  </si>
  <si>
    <t>+7 (342) 271-42-15', '+7 (342) 214-59-55'</t>
  </si>
  <si>
    <t>53.328224,82.950963</t>
  </si>
  <si>
    <t>ОБЩЕСТВО С ОГРАНИЧЕННОЙ ОТВЕТСТВЕННОСТЬЮ ПРОИЗВОДСТВЕННО - КОММЕРЧЕСКАЯ ФИРМА "АТТИК"</t>
  </si>
  <si>
    <t>ПРОИЗВОДСТВЕННО - КОММЕРЧЕСКАЯ ФИРМА "АТТИК"</t>
  </si>
  <si>
    <t>5904370100</t>
  </si>
  <si>
    <t>614002, ПЕРМСКИЙ КРАЙ, ГОРОД ПЕРМЬ, УЛИЦА ФОНТАННАЯ, ДОМ 1,..</t>
  </si>
  <si>
    <t>Куклов Иван Борисович</t>
  </si>
  <si>
    <t>pochta_pnk@mail.ru'</t>
  </si>
  <si>
    <t>54.852221,82.953272</t>
  </si>
  <si>
    <t>ОБЩЕСТВО С ОГРАНИЧЕННОЙ ОТВЕТСТВЕННОСТЬЮ "ВИОЛА"</t>
  </si>
  <si>
    <t>"ВИОЛА"</t>
  </si>
  <si>
    <t>3306001198</t>
  </si>
  <si>
    <t>ВЛАДИМИРСКАЯ ОБЛ.,Г КОЛЬЧУГИНО,УЛ ДРУЖБЫ,19</t>
  </si>
  <si>
    <t>Чистов Илья Феликсович</t>
  </si>
  <si>
    <t>ОБЩЕСТВО С ОГРАНИЧЕННОЙ ОТВЕТСТВЕННОСТЬЮ "СЕРВИССТРОЙ"</t>
  </si>
  <si>
    <t>"СЕРВИССТРОЙ"</t>
  </si>
  <si>
    <t>2443024893</t>
  </si>
  <si>
    <t>КРАСНОЯРСКИЙ КРАЙ,Г АЧИНСК,ЮЖНАЯ ПРОМЗОНА КВАРТАЛ XII</t>
  </si>
  <si>
    <t>Васьков Алексей Камильевич</t>
  </si>
  <si>
    <t>54.850801,82.954269</t>
  </si>
  <si>
    <t>ОБЩЕСТВО С ОГРАНИЧЕННОЙ ОТВЕТСТВЕННОСТЬЮ "НИЖЕГОРОДСТРОЙ-НН"</t>
  </si>
  <si>
    <t>"НИЖЕГОРОДСТРОЙ-НН"</t>
  </si>
  <si>
    <t>5260349610</t>
  </si>
  <si>
    <t>Г НИЖНИЙ НОВГОРОД,УЛ КОСТИНА,СРЕДНОЙ РЫНОК</t>
  </si>
  <si>
    <t>Никогосян Арсен Зограбович</t>
  </si>
  <si>
    <t>+7 (920) 253-61-51'</t>
  </si>
  <si>
    <t>54.862409,82.955751</t>
  </si>
  <si>
    <t>ОБЩЕСТВО С ОГРАНИЧЕННОЙ ОТВЕТСТВЕННОСТЬЮ "ТОРГОВАЯ ПРОИЗВОДСТВЕННАЯ КОМПАНИЯ "ДЕКОР КАМЕНЬ"</t>
  </si>
  <si>
    <t>"ТОРГОВАЯ ПРОИЗВОДСТВЕННАЯ КОМПАНИЯ "ДЕКОР КАМЕНЬ"</t>
  </si>
  <si>
    <t>5906151199</t>
  </si>
  <si>
    <t>614014, ПЕРМСКИЙ КРАЙ, ГОРОД ПЕРМЬ, УЛИЦА УИНСКАЯ, ДОМ 31,..</t>
  </si>
  <si>
    <t>Кибанов Роман Александрович</t>
  </si>
  <si>
    <t>+7 (950) 476-22-67', '+7 (902) 835-69-96'</t>
  </si>
  <si>
    <t>55.012476,82.961042</t>
  </si>
  <si>
    <t>ОБЩЕСТВО С ОГРАНИЧЕННОЙ ОТВЕТСТВЕННОСТЬЮ "НАУЧНО-ПРОИЗВОДСТВЕННАЯ ФИРМА "ФОРСТ"</t>
  </si>
  <si>
    <t>"НАУЧНО-ПРОИЗВОДСТВЕННАЯ ФИРМА "ФОРСТ"</t>
  </si>
  <si>
    <t>2127328678</t>
  </si>
  <si>
    <t>Г НИЖНИЙ НОВГОРОД,НИЖЕГОРОДСКАЯ ОБЛ НИЖНИЙ НОВГОРОД Г УЛ МАРШАЛА КАЗАКОВА  Д 3</t>
  </si>
  <si>
    <t>Соколов Николай Сергеевич</t>
  </si>
  <si>
    <t>54.957857,82.963189</t>
  </si>
  <si>
    <t>ОБЩЕСТВО С ОГРАНИЧЕННОЙ ОТВЕТСТВЕННОСТЬЮ "ЗАВОД ЖБИ-2"</t>
  </si>
  <si>
    <t>"ЗАВОД ЖБИ-2"</t>
  </si>
  <si>
    <t>6025027767</t>
  </si>
  <si>
    <t>ПСКОВСКАЯ ОБЛ.,Г ВЕЛИКИЕ ЛУКИ,УЛ ПЕРВОМАЙСКАЯ Д 18</t>
  </si>
  <si>
    <t>Хайдаров Маруфжан Умаралиевич</t>
  </si>
  <si>
    <t>55.047182,82.964869</t>
  </si>
  <si>
    <t>ЗАКРЫТОЕ АКЦИОНЕРНОЕ ОБЩЕСТВО ЗАВОД ДОБОРНОГО ЖЕЛЕЗОБЕТОНА "ВОЛГА ФОРМ"</t>
  </si>
  <si>
    <t>ЗАКРЫТОЕ ЗАВОД ДОБОРНОГО ЖЕЛЕЗОБЕТОНА "ВОЛГА ФОРМ"</t>
  </si>
  <si>
    <t>5259030971</t>
  </si>
  <si>
    <t>http://volgaform.ru</t>
  </si>
  <si>
    <t>Г НИЖНИЙ НОВГОРОД,УЛ НАРОДНАЯ Д 41 Б</t>
  </si>
  <si>
    <t>Зименков Илья Владимирович</t>
  </si>
  <si>
    <t>+7 (831) 223-11-13', '+7 (831) 411-10-45', '+7 (910) 870-10-30', '+7 (831) 226-04-50'</t>
  </si>
  <si>
    <t>volgaformnv@mail.ru', 'volgaformnv@mail.ru'</t>
  </si>
  <si>
    <t>55.056775,82.96795</t>
  </si>
  <si>
    <t>5948064928</t>
  </si>
  <si>
    <t>618740, Пермский край, городской округ ДОБРЯНСКИЙ, Город ДОБРЯНКА, УЛ ПРОМЫШЛЕННАЯ, ДВЛД. 10,</t>
  </si>
  <si>
    <t>Горбунов Сергей Юрьевич</t>
  </si>
  <si>
    <t>55.161044,82.971858</t>
  </si>
  <si>
    <t>ОБЩЕСТВО С ОГРАНИЧЕННОЙ ОТВЕТСТВЕННОСТЬЮ "МАРИЙСТРОЙБЕТОН"</t>
  </si>
  <si>
    <t>"МАРИЙСТРОЙБЕТОН"</t>
  </si>
  <si>
    <t>1215180796</t>
  </si>
  <si>
    <t>РЕСПУБЛИКА МАРИЙ ЭЛ,Г КОЗЬМОДЕМЬЯНСК,УЛ ЛЕНИНА, 28</t>
  </si>
  <si>
    <t>Репин Роман Иванович</t>
  </si>
  <si>
    <t>АКЦИОНЕРНОЕ ОБЩЕСТВО "ДОМОСТРОИТЕЛЬНЫЙ КОМБИНАТ"</t>
  </si>
  <si>
    <t>3305004245</t>
  </si>
  <si>
    <t>ВЛАДИМИРСКАЯ ОБЛ.,Г КОВРОВ,УЛ ВОЛГО-ДОНСКАЯ,21А</t>
  </si>
  <si>
    <t>Сорокин Олег Валерьевич</t>
  </si>
  <si>
    <t>+7 (926) 304-54-55'</t>
  </si>
  <si>
    <t>DSKOV@YANDEX.RU'</t>
  </si>
  <si>
    <t>54.929829,82.972352</t>
  </si>
  <si>
    <t>5906161574</t>
  </si>
  <si>
    <t>614056, ПЕРМСКИЙ КРАЙ, ГОРОД ПЕРМЬ, УЛИЦА СОЛИКАМСКАЯ, ДОМ 285, ОФИС 16</t>
  </si>
  <si>
    <t>55.021374,82.972586</t>
  </si>
  <si>
    <t>ОБЩЕСТВО С ОГРАНИЧЕННОЙ ОТВЕТСТВЕННОСТЬЮ "ПОРИТЕП НН"</t>
  </si>
  <si>
    <t>"ПОРИТЕП НН"</t>
  </si>
  <si>
    <t>5245021649</t>
  </si>
  <si>
    <t>Г НИЖНИЙ НОВГОРОД,УЛ ВАСЕНКО Д 4</t>
  </si>
  <si>
    <t>+7 (495) 428-53-86'</t>
  </si>
  <si>
    <t>55.061792,82.97352</t>
  </si>
  <si>
    <t>ЗАКРЫТОЕ АКЦИОНЕРНОЕ ОБЩЕСТВО " ЖБИ "</t>
  </si>
  <si>
    <t>ЗАКРЫТОЕ " ЖБИ "</t>
  </si>
  <si>
    <t>3305052810</t>
  </si>
  <si>
    <t>ВЛАДИМИРСКАЯ ОБЛ.,Г КОВРОВ,УЛ СОЦИАЛИСТИЧЕСКАЯ,24</t>
  </si>
  <si>
    <t>55.078427,82.975622</t>
  </si>
  <si>
    <t>Общество с ограниченной ответственностью "Пермский завод неавтоклавного газобетона"</t>
  </si>
  <si>
    <t>"Пермский завод неавтоклавного газобетона"</t>
  </si>
  <si>
    <t>5905260237</t>
  </si>
  <si>
    <t>614535, ПЕРМСКИЙ КРАЙ, РАЙОН ПЕРМСКИЙ, ПОСЕЛОК МУЛЯНКА, УЛИЦА ОКТЯБРЬСКАЯ, ДОМ 45/5</t>
  </si>
  <si>
    <t>Хохряков Евгений Владимирович</t>
  </si>
  <si>
    <t>+7 (951) 942-71-18', '+7 (342) 204-30-10', '+7 (342) 204-49-00'</t>
  </si>
  <si>
    <t>55.085827,82.976044</t>
  </si>
  <si>
    <t>ОБЩЕСТВО С ОГРАНИЧЕННОЙ ОТВЕТСТВЕННОСТЬЮ "ЖБИ-ПРИКАМЬЕ"</t>
  </si>
  <si>
    <t>"ЖБИ-ПРИКАМЬЕ"</t>
  </si>
  <si>
    <t>5906170900</t>
  </si>
  <si>
    <t>614056, ПЕРМСКИЙ КРАЙ, Г. Пермь, УЛ. КИРПИЧНЫЙ ЗАВОД, Д. 15, ЛИТЕР А1, ОФИС 2</t>
  </si>
  <si>
    <t>Замятин Дмитрий Витальевич</t>
  </si>
  <si>
    <t>KSTROY59@YANDEX.RU'</t>
  </si>
  <si>
    <t>55.037134,82.978497</t>
  </si>
  <si>
    <t>ОБЩЕСТВО С ОГРАНИЧЕННОЙ ОТВЕТСТВЕННОСТЬЮ "СТРОЙБЛОККОМПЛЕКТ"</t>
  </si>
  <si>
    <t>"СТРОЙБЛОККОМПЛЕКТ"</t>
  </si>
  <si>
    <t>5904348383</t>
  </si>
  <si>
    <t>614089, Пермский край, г Пермь, тракт Бродовский 30</t>
  </si>
  <si>
    <t>Челышев Роман Юрьевич</t>
  </si>
  <si>
    <t>+7 (982) 497-97-86', '+7 (342) 234-56-06', '+7 (952) 643-56-71', '+7 (982) 237-88-06'</t>
  </si>
  <si>
    <t>55.019728,82.984713</t>
  </si>
  <si>
    <t>ОБЩЕСТВО С ОГРАНИЧЕННОЙ ОТВЕТСТВЕННОСТЬЮ "КЛАССИК АГРО"</t>
  </si>
  <si>
    <t>"КЛАССИК АГРО"</t>
  </si>
  <si>
    <t>0224006200</t>
  </si>
  <si>
    <t>РЕСПУБЛИКА БАШКОРТОСТАН,ИГЛИНСКИЙ Р-Н,С ИГЛИНО,УЛ ВОРОШИЛОВА,7</t>
  </si>
  <si>
    <t>Валиев Мухамет Расихович</t>
  </si>
  <si>
    <t>55.109023,82.989268</t>
  </si>
  <si>
    <t>ОБЩЕСТВО С ОГРАНИЧЕННОЙ ОТВЕТСТВЕННОСТЬЮ НАУЧНО-ПРОИЗВОДСТВЕННАЯ ПЛАТФОРМА "А-БЕТОН"</t>
  </si>
  <si>
    <t>НАУЧНО-ПРОИЗВОДСТВЕННАЯ ПЛАТФОРМА "А-БЕТОН"</t>
  </si>
  <si>
    <t>5075028348</t>
  </si>
  <si>
    <t>МОСКОВСКАЯ ОБЛ.,СЕРГИЕВО-ПОСАДСКИЙ Р-Н,Г ПЕРЕСВЕТ,УЛ КОРОЛЕВА, Д 12,..</t>
  </si>
  <si>
    <t>Банин Дмитрий Константинович</t>
  </si>
  <si>
    <t>+7 (985) 128-40-84'</t>
  </si>
  <si>
    <t>АКЦИОНЕРНОЕ ОБЩЕСТВО "КОВРОВСКИЙ ЗАВОД СИЛИКАТНОГО КИРПИЧА"</t>
  </si>
  <si>
    <t>"КОВРОВСКИЙ ЗАВОД СИЛИКАТНОГО КИРПИЧА"</t>
  </si>
  <si>
    <t>3317000397</t>
  </si>
  <si>
    <t>ВЛАДИМИРСКАЯ ОБЛ.,КОВРОВСКИЙ Р-Н,П МАЛЫГИНО</t>
  </si>
  <si>
    <t>Баранков Владимир Иванович</t>
  </si>
  <si>
    <t>55.039904,82.990759</t>
  </si>
  <si>
    <t>ОБЩЕСТВО С ОГРАНИЧЕННОЙ ОТВЕТСТВЕННОСТЬЮ "ЛАГУНА"</t>
  </si>
  <si>
    <t>"ЛАГУНА"</t>
  </si>
  <si>
    <t>5914023419</t>
  </si>
  <si>
    <t>618740, ПЕРМСКИЙ КРАЙ, Г ДОБРЯНКА, УЛ РОЗЫ ЛЮКСЕМБУРГ 62</t>
  </si>
  <si>
    <t>Соколов Александр Евгеньевич</t>
  </si>
  <si>
    <t>+7 (912) 784-59-97'</t>
  </si>
  <si>
    <t>55.051685,82.995789</t>
  </si>
  <si>
    <t>ОБЩЕСТВО С ОГРАНИЧЕННОЙ ОТВЕТСТВЕННОСТЬЮ "БАШВОДРЕСУРСЫ"</t>
  </si>
  <si>
    <t>"БАШВОДРЕСУРСЫ"</t>
  </si>
  <si>
    <t>0245962622</t>
  </si>
  <si>
    <t>452410, БАШКОРТОСТАН РЕСП., Р-Н Иглинский, С. Иглино, УЛ. ГОРЬКОГО, ЗД. 2Г/2, ЭТАЖ 1</t>
  </si>
  <si>
    <t>Каримова Эльмира Рашитовна</t>
  </si>
  <si>
    <t>55.046285,82.999311</t>
  </si>
  <si>
    <t>ОБЩЕСТВО С ОГРАНИЧЕННОЙ ОТВЕТСТВЕННОСТЬЮ "Каменные технологии"</t>
  </si>
  <si>
    <t>"Каменные технологии"</t>
  </si>
  <si>
    <t>5914025656</t>
  </si>
  <si>
    <t>618742, ПЕРМСКИЙ КРАЙ, ГОРОД ДОБРЯНКА, УЛИЦА ЕРМАКОВА, 4</t>
  </si>
  <si>
    <t>Шакиров Флорит Назипович</t>
  </si>
  <si>
    <t>+7 (950) 451-14-65', '+7 (982) 433-43-00'</t>
  </si>
  <si>
    <t>55.002764,83.002033</t>
  </si>
  <si>
    <t>ОБЩЕСТВО С ОГРАНИЧЕННОЙ ОТВЕТСТВЕННОСТЬЮ "ЮРЭД"</t>
  </si>
  <si>
    <t>"ЮРЭД"</t>
  </si>
  <si>
    <t>6666003904</t>
  </si>
  <si>
    <t>СВЕРДЛОВСКАЯ ОБЛ.,Г КАМЕНСК-УРАЛЬСКИЙ,УЛ ОЗЕРНАЯ, Д 6</t>
  </si>
  <si>
    <t>Пышменцев Эдуард Юрьевич</t>
  </si>
  <si>
    <t>+7 (912) 622-06-44', '+7 (950) 637-30-00', '+7 (912) 272-24-00'</t>
  </si>
  <si>
    <t>55.003425,83.028533</t>
  </si>
  <si>
    <t>ОБЩЕСТВО С ОГРАНИЧЕННОЙ ОТВЕТСТВЕННОСТЬЮ "СТРОИТЕЛЬНОЕ ПРЕДПРИЯТИЕ "КВАДРО"</t>
  </si>
  <si>
    <t>"СТРОИТЕЛЬНОЕ ПРЕДПРИЯТИЕ "КВАДРО"</t>
  </si>
  <si>
    <t>7017019235</t>
  </si>
  <si>
    <t>70-Томская область</t>
  </si>
  <si>
    <t>Г ТОМСК,МОКРУШИНА УЛ, Д 15</t>
  </si>
  <si>
    <t>Смирнов Тимофей Петрович</t>
  </si>
  <si>
    <t>+7 (913) 850-63-06', '+7 (916) 549-74-99'</t>
  </si>
  <si>
    <t>54.848976,83.031075</t>
  </si>
  <si>
    <t>7017128932</t>
  </si>
  <si>
    <t>Г ТОМСК,УЛ БЕЛИНСКОГО, Д 54</t>
  </si>
  <si>
    <t>Господарик Денис Геннадьевич</t>
  </si>
  <si>
    <t>54.853262,83.03845</t>
  </si>
  <si>
    <t>ОБЩЕСТВО С ОГРАНИЧЕННОЙ ОТВЕТСТВЕННОСТЬЮ "ФАБРИКА БЛОКОВ"</t>
  </si>
  <si>
    <t>"ФАБРИКА БЛОКОВ"</t>
  </si>
  <si>
    <t>7017377270</t>
  </si>
  <si>
    <t>Г ТОМСК,ПЕР СМОЛЕНСКИЙ, Д 27,..</t>
  </si>
  <si>
    <t>Еремин Вадим Геннадьевич</t>
  </si>
  <si>
    <t>+7 (906) 949-83-43'</t>
  </si>
  <si>
    <t>54.739389,83.044137</t>
  </si>
  <si>
    <t>7017357876</t>
  </si>
  <si>
    <t>Г ТОМСК,ПЕР 1905 ГОДА, Д 18</t>
  </si>
  <si>
    <t>Бугаев Сергей Юрьевич</t>
  </si>
  <si>
    <t>+7 (913) 823-59-09'</t>
  </si>
  <si>
    <t>55.089429,83.045879</t>
  </si>
  <si>
    <t>ОБЩЕСТВО С ОГРАНИЧЕННОЙ ОТВЕТСТВЕННОСТЬЮ "БОНОЛИТ КАЛУГА"</t>
  </si>
  <si>
    <t>"БОНОЛИТ КАЛУГА"</t>
  </si>
  <si>
    <t>4011001194</t>
  </si>
  <si>
    <t>КАЛУЖСКАЯ ОБЛ.,МАЛОЯРОСЛАВЕЦКИЙ Р-Н,С ЮБИЛЕЙНЫЙ,ТЕРРИТОРИЯ АДМИНИСТРАТИВНОГО ЗДАНИЯ</t>
  </si>
  <si>
    <t>55.010746,83.050488</t>
  </si>
  <si>
    <t>ОБЩЕСТВО С ОГРАНИЧЕННОЙ ОТВЕТСТВЕННОСТЬЮ "ЖБК-ЦЕНТР"</t>
  </si>
  <si>
    <t>"ЖБК-ЦЕНТР"</t>
  </si>
  <si>
    <t>5904306143</t>
  </si>
  <si>
    <t>ПЕРМСКИЙ КРАЙ,ОКТЯБРЬСКИЙ Р-Н,PП САРС,УЛ СОВЕТСКАЯ 39</t>
  </si>
  <si>
    <t>Григорьев Виталий Леонидович</t>
  </si>
  <si>
    <t>+7 (342) 277-78-87', '+7 (929) 234-90-90', '+7 (342) 250-42-88', '+7 (342) 204-90-90'</t>
  </si>
  <si>
    <t>54.970628,83.052114</t>
  </si>
  <si>
    <t>Общество с ограниченной ответственностью "Компания "Руд-Медиум"</t>
  </si>
  <si>
    <t>"Компания "Руд-Медиум"</t>
  </si>
  <si>
    <t>7017076441</t>
  </si>
  <si>
    <t>Г ТОМСК,БЕРИНГА УЛ, Д 18/2,..</t>
  </si>
  <si>
    <t>Габриелян Акоп Овсепович</t>
  </si>
  <si>
    <t>ЗАКРЫТОЕ АКЦИОНЕРНОЕ ОБЩЕСТВО "ЗАВОДОУКОВСКИЙ КСМ"</t>
  </si>
  <si>
    <t>ЗАКРЫТОЕ "ЗАВОДОУКОВСКИЙ КСМ"</t>
  </si>
  <si>
    <t>7215003124</t>
  </si>
  <si>
    <t>ТЮМЕНСКАЯ ОБЛ.,Г ЗАВОДОУКОВСК,УЛ ОРДЖОНИКИДЗЕ, Д 1</t>
  </si>
  <si>
    <t>Сапего Николай Васильевич</t>
  </si>
  <si>
    <t>zksm7475@yandex.ru', 'zksm2004@rambler.ru', 'ksm@yandex.ru'</t>
  </si>
  <si>
    <t>54.99383,83.052536</t>
  </si>
  <si>
    <t>ОБЩЕСТВО С ОГРАНИЧЕННОЙ ОТВЕТСТВЕННОСТЬЮ "ЗАВОД ЖБК-40"</t>
  </si>
  <si>
    <t>"ЗАВОД ЖБК-40"</t>
  </si>
  <si>
    <t>7017069500</t>
  </si>
  <si>
    <t>http://zhbk40.tomsk.ru</t>
  </si>
  <si>
    <t>Г ТОМСК,УГРЮМОВА УЛ, Д 3/1</t>
  </si>
  <si>
    <t>Никифорова Рашида Хажеевна</t>
  </si>
  <si>
    <t>54.970923,83.056093</t>
  </si>
  <si>
    <t>ОБЩЕСТВО С ОГРАНИЧЕННОЙ ОТВЕТСТВЕННОСТЬЮ "ЗАВОД ЖЕЛЕЗОБЕТОННЫХ ИЗДЕЛИЙ "РОТОР"</t>
  </si>
  <si>
    <t>"ЗАВОД ЖЕЛЕЗОБЕТОННЫХ ИЗДЕЛИЙ "РОТОР"</t>
  </si>
  <si>
    <t>7224067967</t>
  </si>
  <si>
    <t>ТЮМЕНСКАЯ ОБЛ.,ХАНТЫ-МАНСИЙСКИЙ АВТ. ОКРУГ,БЕРЕЗОВСКИЙ Р-Н,П СВЕТЛЫЙ</t>
  </si>
  <si>
    <t>Матигуллин Камиль Гарафутдинович</t>
  </si>
  <si>
    <t>+7 (904) 490-64-93'</t>
  </si>
  <si>
    <t>54.999557,83.05736</t>
  </si>
  <si>
    <t>ОБЩЕСТВО С ОГРАНИЧЕННОЙ ОТВЕТСТВЕННОСТЬЮ "ПАРТНЕР СТРОЙСЕРВИС"</t>
  </si>
  <si>
    <t>"ПАРТНЕР СТРОЙСЕРВИС"</t>
  </si>
  <si>
    <t>5904383116</t>
  </si>
  <si>
    <t>614105, ПЕРМСКИЙ КРАЙ, ГОРОД ПЕРМЬ, УЛИЦА ЖЕЛЕЗНОДОРОЖНАЯ (НОВЫЕ ЛЯДЫ МКР.), ДОМ 18, ЛИТЕРА И, КОРПУС 6</t>
  </si>
  <si>
    <t>Золин Юлий Николаевич</t>
  </si>
  <si>
    <t>+7 (961) 755-87-73'</t>
  </si>
  <si>
    <t>55.008475,83.057477</t>
  </si>
  <si>
    <t>ОБЩЕСТВО С ОГРАНИЧЕННОЙ ОТВЕТСТВЕННОСТЬЮ "ЗАВОД ЭНЕРГОБЕТОН"</t>
  </si>
  <si>
    <t>"ЗАВОД ЭНЕРГОБЕТОН"</t>
  </si>
  <si>
    <t>5905300641</t>
  </si>
  <si>
    <t>614105, ПЕРМСКИЙ КРАЙ, ГОРОД ПЕРМЬ, ПОСЕЛОК НОВЫЕ ЛЯДЫ, УЛИЦА ЧКАЛОВА, ДОМ 71</t>
  </si>
  <si>
    <t>Мингалев Дмитрий Александрович</t>
  </si>
  <si>
    <t>+7 (932) 337-47-77', '+7 (932) 331-32-32', '+7 (342) 215-13-71', '+7 (342) 201-96-01'</t>
  </si>
  <si>
    <t>energobeton@bk.ru', 'gb4@glavbuh-perm'</t>
  </si>
  <si>
    <t>54.970287,83.058105</t>
  </si>
  <si>
    <t>Акционерное общество "КОМБИНАТ СТРОИТЕЛЬНЫХ МАТЕРИАЛОВ"</t>
  </si>
  <si>
    <t>7207002751</t>
  </si>
  <si>
    <t>ТЮМЕНСКАЯ ОБЛ.,Г ЯЛУТОРОВСК,УЛ РЕВОЛЮЦИИ, Д 186</t>
  </si>
  <si>
    <t>Артановский Владимир Владимирович</t>
  </si>
  <si>
    <t>porevit@partner72.ru', 'ksm@partner72.ru', 'arakelyan@partner72.ru', 'ulyasheva@partner72.ru', 'andreev@partner72.ru', 'biryurov@partner72.ru'</t>
  </si>
  <si>
    <t>55.007922,83.058887</t>
  </si>
  <si>
    <t>5911080514</t>
  </si>
  <si>
    <t>618460, ПЕРМСКИЙ КРАЙ, Р-Н УСОЛЬСКИЙ, Г. УСОЛЬЕ, УЛ. БЕЛЯЕВА, Д. 16,..</t>
  </si>
  <si>
    <t>Зеленцов Андрей Александрович</t>
  </si>
  <si>
    <t>54.954838,83.060019</t>
  </si>
  <si>
    <t>ОБЩЕСТВО С ОГРАНИЧЕННОЙ ОТВЕТСТВЕННОСТЬЮ "ТРАНС-ХОЛДИНГ"</t>
  </si>
  <si>
    <t>"ТРАНС-ХОЛДИНГ"</t>
  </si>
  <si>
    <t>5911080419</t>
  </si>
  <si>
    <t>618460, ПЕРМСКИЙ КРАЙ, РАЙОН УСОЛЬСКИЙ, ГОРОД УСОЛЬЕ, УЛИЦА К.МАРКСА, ДОМ 55</t>
  </si>
  <si>
    <t>Русинов Андрей Владимирович</t>
  </si>
  <si>
    <t>uepk@mail.ru'</t>
  </si>
  <si>
    <t>54.938669,83.068643</t>
  </si>
  <si>
    <t>ОБЩЕСТВО С ОГРАНИЧЕННОЙ ОТВЕТСТВЕННОСТЬЮ "КФК-БЕТОН"</t>
  </si>
  <si>
    <t>"КФК-БЕТОН"</t>
  </si>
  <si>
    <t>7603061694</t>
  </si>
  <si>
    <t>ЯРОСЛАВСКАЯ ОБЛ.,Г ПЕРЕСЛАВЛЬ-ЗАЛЕССКИЙ,УЛ КУЗНЕЧНАЯ, Д 36,..</t>
  </si>
  <si>
    <t>Алексеев Кирилл Андреевич</t>
  </si>
  <si>
    <t>+7 (910) 975-53-86'</t>
  </si>
  <si>
    <t>54.769638,83.075236</t>
  </si>
  <si>
    <t>1216013879</t>
  </si>
  <si>
    <t>РЕСПУБЛИКА МАРИЙ ЭЛ,Г ВОЛЖСК,УЛ СТРОИТЕЛЕЙ, Д 19</t>
  </si>
  <si>
    <t>+7 (905) 379-30-34'</t>
  </si>
  <si>
    <t>54.991036,83.083869</t>
  </si>
  <si>
    <t>ОБЩЕСТВО С ОГРАНИЧЕННОЙ ОТВЕТСТВЕННОСТЬЮ "СТРОЙБЕТОН - С"</t>
  </si>
  <si>
    <t>"СТРОЙБЕТОН - С"</t>
  </si>
  <si>
    <t>1216013967</t>
  </si>
  <si>
    <t>Катаев Дмитрий Сергеевич</t>
  </si>
  <si>
    <t>+7 (906) 139-91-96'</t>
  </si>
  <si>
    <t>54.761914,83.100569</t>
  </si>
  <si>
    <t>ОБЩЕСТВО С ОГРАНИЧЕННОЙ ОТВЕТСТВЕННОСТЬЮ "ЦЕНТРБЛОКСТАНДАРТ"</t>
  </si>
  <si>
    <t>"ЦЕНТРБЛОКСТАНДАРТ"</t>
  </si>
  <si>
    <t>5911083459</t>
  </si>
  <si>
    <t>618400, Пермский край, ГОРОД БЕРЕЗНИКИ, Г БЕРЕЗНИКИ, УЛ МИНДОВСКОГО, Д. 2</t>
  </si>
  <si>
    <t>Авдеенко Михаил Геннадьевич</t>
  </si>
  <si>
    <t>CENTRBLOCKST@GMAIL.COM'</t>
  </si>
  <si>
    <t>54.751606,83.128973</t>
  </si>
  <si>
    <t>ОБЩЕСТВО С ОГРАНИЧЕННОЙ ОТВЕТСТВЕННОСТЬЮ "ГАЗОБЛОК УРАЛ"</t>
  </si>
  <si>
    <t>"ГАЗОБЛОК УРАЛ"</t>
  </si>
  <si>
    <t>6671015581</t>
  </si>
  <si>
    <t>Г ЕКАТЕРИНБУРГ,УЛ ОНУФРИЕВА, Д 46, К 36</t>
  </si>
  <si>
    <t>Быкова Анна Леонидовна</t>
  </si>
  <si>
    <t>+7 (343) 240-17-00', '+7 (908) 900-21-37', '+7 (950) 641-56-65', '+7 (343) 240-17-00'</t>
  </si>
  <si>
    <t>55.186109,83.13545</t>
  </si>
  <si>
    <t>АКЦИОНЕРНОЕ ОБЩЕСТВО "ТЖБИ-4"</t>
  </si>
  <si>
    <t>"ТЖБИ-4"</t>
  </si>
  <si>
    <t>6903008805</t>
  </si>
  <si>
    <t>Г ТВЕРЬ,УЛ КОНЯЕВСКАЯ Д 1</t>
  </si>
  <si>
    <t>Рыбакова Анна Александровна</t>
  </si>
  <si>
    <t>info@tzhbi4.ru'</t>
  </si>
  <si>
    <t>54.748333,83.138406</t>
  </si>
  <si>
    <t>ОБЩЕСТВО С ОГРАНИЧЕННОЙ ОТВЕТСТВЕННОСТЬЮ "МДМСТРОЙ"</t>
  </si>
  <si>
    <t>"МДМСТРОЙ"</t>
  </si>
  <si>
    <t>6639012762</t>
  </si>
  <si>
    <t>СВЕРДЛОВСКАЯ ОБЛ.,Г ЗАРЕЧНЫЙ,ПРОМЗОНА БАЭС-4 ПЛ-КА</t>
  </si>
  <si>
    <t>Дегтянникова Вера Александровна</t>
  </si>
  <si>
    <t>+7 (912) 636-00-58'</t>
  </si>
  <si>
    <t>54.745713,83.144101</t>
  </si>
  <si>
    <t>5911083579</t>
  </si>
  <si>
    <t>618419, Пермский край, ГОРОД БЕРЕЗНИКИ, Г БЕРЕЗНИКИ, УЛ ЛОМОНОСОВА, Д. 79</t>
  </si>
  <si>
    <t>Ярославцев Василий Геннадьевич</t>
  </si>
  <si>
    <t>SB_BLOK@MAIL.RU'</t>
  </si>
  <si>
    <t>54.752593,83.156731</t>
  </si>
  <si>
    <t>ОБЩЕСТВО С ОГРАНИЧЕННОЙ ОТВЕТСТВЕННОСТЬЮ "СВД"</t>
  </si>
  <si>
    <t>"СВД"</t>
  </si>
  <si>
    <t>6658268551</t>
  </si>
  <si>
    <t>Г ЕКАТЕРИНБУРГ,УЛ ПОСАДСКАЯ, Д 49, К 16</t>
  </si>
  <si>
    <t>Паршиков Виктор Геннадьевич</t>
  </si>
  <si>
    <t>+7 (343) 219-87-41'</t>
  </si>
  <si>
    <t>detki2017@yandex.ru'</t>
  </si>
  <si>
    <t>ОБЩЕСТВО С ОГРАНИЧЕННОЙ ОТВЕТСТВЕННОСТЬЮ "УРЗПП"</t>
  </si>
  <si>
    <t>"УРЗПП"</t>
  </si>
  <si>
    <t>6671018342</t>
  </si>
  <si>
    <t>Г ЕКАТЕРИНБУРГ,ПЕР ВСТРЕЧНЫЙ Д 5..</t>
  </si>
  <si>
    <t>Татаринов Эдуард Викторович</t>
  </si>
  <si>
    <t>+7 (922) 221-11-55'</t>
  </si>
  <si>
    <t>54.961636,83.218778</t>
  </si>
  <si>
    <t>ОБЩЕСТВО С ОГРАНИЧЕННОЙ ОТВЕТСТВЕННОСТЬЮ "ЛСР. СТРОИТЕЛЬСТВО-УРАЛ"</t>
  </si>
  <si>
    <t>"ЛСР. СТРОИТЕЛЬСТВО-УРАЛ"</t>
  </si>
  <si>
    <t>6670345033</t>
  </si>
  <si>
    <t>Г ЕКАТЕРИНБУРГ,УЛ СОРОКОЛЕТИЯ КОМСОМОЛА, Д 34</t>
  </si>
  <si>
    <t>Буженинов Евгений Леонидович</t>
  </si>
  <si>
    <t>+7 (343) 215-99-33', '+7 (343) 215-99-43', '+7 (343) 215-99-67'</t>
  </si>
  <si>
    <t>pe@lsrgroup.ru', 'stafeev@betfor.ru', 'al@lsrgroup.ru', 'tv@lsrgroup.ru'</t>
  </si>
  <si>
    <t>55.063091,83.224204</t>
  </si>
  <si>
    <t>ОБЩЕСТВО С ОГРАНИЧЕННОЙ ОТВЕТСТВЕННОСТЬЮ "УРАЛСТРОЙ-ЖБИ"</t>
  </si>
  <si>
    <t>"УРАЛСТРОЙ-ЖБИ"</t>
  </si>
  <si>
    <t>6685033414</t>
  </si>
  <si>
    <t>Г ЕКАТЕРИНБУРГ,УЛ МАМИНА-СИБИЯРКА Д 130..</t>
  </si>
  <si>
    <t>Попова Анна Николаевна</t>
  </si>
  <si>
    <t>+7 (904) 178-35-17'</t>
  </si>
  <si>
    <t>54.661979,83.279298</t>
  </si>
  <si>
    <t>ОБЩЕСТВО С ОГРАНИЧЕННОЙ ОТВЕТСТВЕННОСТЬЮ "БЕХАТОН"</t>
  </si>
  <si>
    <t>"БЕХАТОН"</t>
  </si>
  <si>
    <t>6660123874</t>
  </si>
  <si>
    <t>http://doborny.gorcomm.ru</t>
  </si>
  <si>
    <t>Г ЕКАТЕРИНБУРГ,УЛ БЕТОНЩИКОВ, Д 5</t>
  </si>
  <si>
    <t>Высотин Сергей Александрович</t>
  </si>
  <si>
    <t>+7 (343) 248-86-87', '+7 (343) 379-42-87', '+7 (343) 248-86-89', '+7 (343) 379-42-89'</t>
  </si>
  <si>
    <t>54.611867,83.298135</t>
  </si>
  <si>
    <t>ОБЩЕСТВО С ОГРАНИЧЕННОЙ ОТВЕТСТВЕННОСТЬЮ "К-777"</t>
  </si>
  <si>
    <t>"К-777"</t>
  </si>
  <si>
    <t>6613005070</t>
  </si>
  <si>
    <t>СВЕРДЛОВСКАЯ ОБЛ.,Г КАМЫШЛОВ,УЛ МАРШАЛА ЖУКОВА, Д 50</t>
  </si>
  <si>
    <t>Сажаев Алексей Алексеевич</t>
  </si>
  <si>
    <t>+7 (906) 808-55-00'</t>
  </si>
  <si>
    <t>plifort2008@yandex.ru'</t>
  </si>
  <si>
    <t>54.624176,83.301082</t>
  </si>
  <si>
    <t>ОБЩЕСТВО С ОГРАНИЧЕННОЙ ОТВЕТСТВЕННОСТЬЮ "АМТ-ХОЛДИНГ"</t>
  </si>
  <si>
    <t>"АМТ-ХОЛДИНГ"</t>
  </si>
  <si>
    <t>6685096830</t>
  </si>
  <si>
    <t>Г ЕКАТЕРИНБУРГ,УЛ А ВАЛЕКА, Д 15</t>
  </si>
  <si>
    <t>Мухаметов Артём Ирикович</t>
  </si>
  <si>
    <t>+7 (912) 602-86-16', '+7 (912) 613-10-86'</t>
  </si>
  <si>
    <t>54.649182,83.311367</t>
  </si>
  <si>
    <t>ОБЩЕСТВО С ОГРАНИЧЕННОЙ ОТВЕТСТВЕННОСТЬЮ "БЕТОННЫЙ САД"</t>
  </si>
  <si>
    <t>"БЕТОННЫЙ САД"</t>
  </si>
  <si>
    <t>6670123986</t>
  </si>
  <si>
    <t>Г ЕКАТЕРИНБУРГ,УЛ ВЫСОЦКОГО Д 50 ОФ 102/4</t>
  </si>
  <si>
    <t>Балакин Дмитрий Николаевич</t>
  </si>
  <si>
    <t>+7 (343) 233-75-90'</t>
  </si>
  <si>
    <t>54.650219,83.314044</t>
  </si>
  <si>
    <t>ОБЩЕСТВО С ОГРАНИЧЕННОЙ ОТВЕТСТВЕННОСТЬЮ "САЛОН-МАСТЕРСКАЯ "АРТ-КАНОН"</t>
  </si>
  <si>
    <t>"САЛОН-МАСТЕРСКАЯ "АРТ-КАНОН"</t>
  </si>
  <si>
    <t>6613005256</t>
  </si>
  <si>
    <t>СВЕРДЛОВСКАЯ ОБЛ.,Г КАМЫШЛОВ,УЛ КОМСОМОЛЬСКАЯ, Д 19</t>
  </si>
  <si>
    <t>Борисов Алексей Алексеевич</t>
  </si>
  <si>
    <t>+7 (912) 203-41-88'</t>
  </si>
  <si>
    <t>54.462236,83.385559</t>
  </si>
  <si>
    <t>ОБЩЕСТВО С ОГРАНИЧЕННОЙ ОТВЕТСТВЕННОСТЬЮ ЗАВОД ЖБИ "НЕЙВА"</t>
  </si>
  <si>
    <t>ЗАВОД ЖБИ "НЕЙВА"</t>
  </si>
  <si>
    <t>6679078664</t>
  </si>
  <si>
    <t>Г ЕКАТЕРИНБУРГ,УЛ ЮМАШЕВА Д 16</t>
  </si>
  <si>
    <t>Ситников Максим Владимирович</t>
  </si>
  <si>
    <t>+7 (922) 217-30-02', '+7 (343) 202-02-09', '+7 (902) 870-20-86', '+7 (908) 928-11-61'</t>
  </si>
  <si>
    <t>55.036184,83.420261</t>
  </si>
  <si>
    <t>УРАЛЬСКОЕ АКЦИОНЕРНОЕ ОБЩЕСТВО ПО ПРОИЗВОДСТВУ СТРОИТЕЛЬНЫХ МАТЕРИАЛОВ</t>
  </si>
  <si>
    <t>УРАЛЬСКОЕ ПО ПРОИЗВОДСТВУ СТРОИТЕЛЬНЫХ МАТЕРИАЛОВ</t>
  </si>
  <si>
    <t>6658033341</t>
  </si>
  <si>
    <t>http://utsm.ru</t>
  </si>
  <si>
    <t>Г ЕКАТЕРИНБУРГ,НАБ РАБОЧЕЙ МОЛОДЕЖИ, Д 50</t>
  </si>
  <si>
    <t xml:space="preserve"> Генеральный Директор Ремезов Сергей Анатольевич</t>
  </si>
  <si>
    <t>+7 (343) 353-96-83', '+7 (343) 253-96-83', '+7 (343) 353-91-93', '+7 (343) 368-40-75', '+7 (343) 372-82-68', '+7 (343) 353-91-93'</t>
  </si>
  <si>
    <t>secretary@kutsm.ru', 'sam@pdn.ru', 'utsm@pdn.ru', 'mmv@kutsm.ru', 'nataly@pdn.ru', 'oksana@utsm.ru', 'kadrs@pdn.ru', 'ktb@pdn.ru'</t>
  </si>
  <si>
    <t>53.345387,83.553877</t>
  </si>
  <si>
    <t>ОБЩЕСТВО С ОГРАНИЧЕННОЙ ОТВЕТСТВЕННОСТЬЮ "ВИТА М"</t>
  </si>
  <si>
    <t>"ВИТА М"</t>
  </si>
  <si>
    <t>6950176540</t>
  </si>
  <si>
    <t>Г ТВЕРЬ,ПЛОЩАДЬ ГАГАРИНА Д 1</t>
  </si>
  <si>
    <t>Мунгалов Александр Валентинович</t>
  </si>
  <si>
    <t>+7 (904) 007-44-98'</t>
  </si>
  <si>
    <t>53.288565,83.567244</t>
  </si>
  <si>
    <t>1839007898</t>
  </si>
  <si>
    <t>Г ИЖЕВСК,УЛ ЛИХВИНЦЕВА,48</t>
  </si>
  <si>
    <t>Алексеев Руслан Сихатович</t>
  </si>
  <si>
    <t>+7 (951) 192-96-19'</t>
  </si>
  <si>
    <t>53.340688,83.610363</t>
  </si>
  <si>
    <t>ОБЩЕСТВО С ОГРАНИЧЕННОЙ ОТВЕТСТВЕННОСТЬЮ "ТВЕРСКОЙ ЗАВОД ЯЧЕИСТОГО БЕТОНА"</t>
  </si>
  <si>
    <t>"ТВЕРСКОЙ ЗАВОД ЯЧЕИСТОГО БЕТОНА"</t>
  </si>
  <si>
    <t>6952031243</t>
  </si>
  <si>
    <t>Г ТВЕРЬ,УЛ АКАДЕМИКА ТУПОЛЕВА Д 117 А</t>
  </si>
  <si>
    <t>Елисеев Сергей Викторович</t>
  </si>
  <si>
    <t>53.344156,83.610812</t>
  </si>
  <si>
    <t>ОБЩЕСТВО С ОГРАНИЧЕННОЙ ОТВЕТСТВЕННОСТЬЮ "ЖЕЛЕЗОБЕТОННЫЕ ИЗДЕЛИЯ -1"</t>
  </si>
  <si>
    <t>"ЖЕЛЕЗОБЕТОННЫЕ ИЗДЕЛИЯ -1"</t>
  </si>
  <si>
    <t>6904026733</t>
  </si>
  <si>
    <t>Г ТВЕРЬ,ПРИСТАНЬ СЕРЕБРЯКОВСКАЯ Д 15 А</t>
  </si>
  <si>
    <t>Иванов Дмитрий Михайлович</t>
  </si>
  <si>
    <t>53.325137,83.610857</t>
  </si>
  <si>
    <t>ОБЩЕСТВО С ОГРАНИЧЕННОЙ ОТВЕТСТВЕННОСТЬЮ "СтройБлок"</t>
  </si>
  <si>
    <t>"СтройБлок"</t>
  </si>
  <si>
    <t>5911065442</t>
  </si>
  <si>
    <t>618426, Пермский край, г Березники, ул Карьерная 5</t>
  </si>
  <si>
    <t>Горшков Сергей Александрович</t>
  </si>
  <si>
    <t>+7 (902) 830-84-21'</t>
  </si>
  <si>
    <t>ОБЩЕСТВО С ОГРАНИЧЕННОЙ ОТВЕТСТВЕННОСТЬЮ СПК "ИРАЛЕКС"</t>
  </si>
  <si>
    <t>СПК "ИРАЛЕКС"</t>
  </si>
  <si>
    <t>6633024095</t>
  </si>
  <si>
    <t>Г ЕКАТЕРИНБУРГ,УЛ ИЛЬИЧА Д 4..</t>
  </si>
  <si>
    <t>Бисеров Алексей Валериевич</t>
  </si>
  <si>
    <t>+7 (950) 541-55-55'</t>
  </si>
  <si>
    <t>53.324987,83.614405</t>
  </si>
  <si>
    <t>ОБЩЕСТВО С ОГРАНИЧЕННОЙ ОТВЕТСТВЕННОСТЬЮ "ЗАБАЙКАЛЬСКИЙ ЗАВОД ЖЕЛЕЗОБЕТОННЫХ ИЗДЕЛИЙ"</t>
  </si>
  <si>
    <t>"ЗАБАЙКАЛЬСКИЙ ЗАВОД ЖЕЛЕЗОБЕТОННЫХ ИЗДЕЛИЙ"</t>
  </si>
  <si>
    <t>7536149855</t>
  </si>
  <si>
    <t>ЧИТИНСКАЯ ОБЛ.,КРАСНОЧИКОЙСКИЙ Р-Н,С БЫКОВО,УЛ ЗАРЕЧНАЯ, Д 15</t>
  </si>
  <si>
    <t>Свешникова Галина Евгеньевна</t>
  </si>
  <si>
    <t>+7 (924) 271-13-14'</t>
  </si>
  <si>
    <t>53.328106,83.619067</t>
  </si>
  <si>
    <t>Общество с ограниченной ответственностью "Завод железобетонных изделий"</t>
  </si>
  <si>
    <t>1834041616</t>
  </si>
  <si>
    <t>Г ИЖЕВСК,УЛ НОВОСМИРНОВСКАЯ,22</t>
  </si>
  <si>
    <t>Широбоков Андрей Рудольфович</t>
  </si>
  <si>
    <t>+7 (909) 067-97-72'</t>
  </si>
  <si>
    <t>zavodzhbi@mail.ru'</t>
  </si>
  <si>
    <t>53.306917,83.619597</t>
  </si>
  <si>
    <t>ПУБЛИЧНОЕ АКЦИОНЕРНОЕ ОБЩЕСТВО СТРОИТЕЛЬНО-МОНТАЖНОЕ УПРАВЛЕНИЕ "УРАЛМАШ"</t>
  </si>
  <si>
    <t>ПУБЛИЧНОЕ СТРОИТЕЛЬНО-МОНТАЖНОЕ УПРАВЛЕНИЕ "УРАЛМАШ"</t>
  </si>
  <si>
    <t>6663012347</t>
  </si>
  <si>
    <t>Г ЕКАТЕРИНБУРГ,УЛ ВОССТАНИЯ, Д 32</t>
  </si>
  <si>
    <t>Рыль Михаил Юрьевич</t>
  </si>
  <si>
    <t>+7 (343) 325-58-86', '+7 (343) 325-58-73', '+7 (343) 331-05-80', '+7 (343) 325-31-08', '+7 (343) 325-58-68', '+7 (343) 331-05-95', '+7 (343) 325-58-68', '+7 (343) 331-05-95'</t>
  </si>
  <si>
    <t>uralmash@mail.ru'</t>
  </si>
  <si>
    <t>53.308225,83.6239</t>
  </si>
  <si>
    <t>ОБЩЕСТВО С ОГРАНИЧЕННОЙ ОТВЕТСТВЕННОСТЬЮ "БСУ"</t>
  </si>
  <si>
    <t>"БСУ"</t>
  </si>
  <si>
    <t>6623113540</t>
  </si>
  <si>
    <t>СВЕРДЛОВСКАЯ ОБЛ.,Г БЕРЕЗОВСКИЙ,УЛ ШИЛОВСКАЯ Д 19</t>
  </si>
  <si>
    <t>Шатунов Андрей Анатольевич</t>
  </si>
  <si>
    <t>+7 (912) 230-47-28'</t>
  </si>
  <si>
    <t>ОБЩЕСТВО С ОГРАНИЧЕННОЙ ОТВЕТСТВЕННОСТЬЮ "Каменск-Уральский завод по производству стенового камня"</t>
  </si>
  <si>
    <t>"Каменск-Уральский завод по производству стенового камня"</t>
  </si>
  <si>
    <t>6612047278</t>
  </si>
  <si>
    <t>СВЕРДЛОВСКАЯ ОБЛ.,Г ПЕРВОУРАЛЬСК,П БИЛИМБАЙ,УЛ ЧАЩИХИНА</t>
  </si>
  <si>
    <t>Гейс Евгений Константинович</t>
  </si>
  <si>
    <t>+7 (904) 167-41-51'</t>
  </si>
  <si>
    <t>53.310204,83.625526</t>
  </si>
  <si>
    <t>ОБЩЕСТВО С ОГРАНИЧЕННОЙ ОТВЕТСТВЕННОСТЬЮ "ЗАВОД ДЕКОРАТИВНОГО КАМНЯ "КАМФАС"</t>
  </si>
  <si>
    <t>"ЗАВОД ДЕКОРАТИВНОГО КАМНЯ "КАМФАС"</t>
  </si>
  <si>
    <t>5917004534</t>
  </si>
  <si>
    <t>617473, ПЕРМСКИЙ КРАЙ, Г. КУНГУР, ТЕР ПРОМБАЗА</t>
  </si>
  <si>
    <t>Лобанова Оксана Владимировна</t>
  </si>
  <si>
    <t>55.302889,83.62761</t>
  </si>
  <si>
    <t>ОБЩЕСТВО С ОГРАНИЧЕННОЙ ОТВЕТСТВЕННОСТЬЮ "МАКРАПОЛИС"</t>
  </si>
  <si>
    <t>"МАКРАПОЛИС"</t>
  </si>
  <si>
    <t>3728004550</t>
  </si>
  <si>
    <t>http://makrapolis.ru</t>
  </si>
  <si>
    <t>Г ИВАНОВО,КОХОМСКОЕ ШОССЕ 1</t>
  </si>
  <si>
    <t>Малков Вадим Евгеньевич</t>
  </si>
  <si>
    <t>53.321313,83.633198</t>
  </si>
  <si>
    <t>3731011645</t>
  </si>
  <si>
    <t>Г ИВАНОВО,УЛ 13 БЕРЕЗНИКОВСКАЯ 1</t>
  </si>
  <si>
    <t>Ваганов Эдуард Вадимович</t>
  </si>
  <si>
    <t>pto@ivbeton.ru', '3731011645_370201001@eo.tensor'</t>
  </si>
  <si>
    <t>53.307057,83.633611</t>
  </si>
  <si>
    <t>ОБЩЕСТВО С ОГРАНИЧЕННОЙ ОТВЕТСТВЕННОСТЬЮ "ГАЗСТРОЙЖИЛЬЕ"</t>
  </si>
  <si>
    <t>"ГАЗСТРОЙЖИЛЬЕ"</t>
  </si>
  <si>
    <t>7224016899</t>
  </si>
  <si>
    <t>ТЮМЕНСКАЯ ОБЛ.,ТЮМЕНСКИЙ Р-Н,PП ВИНЗИЛИ,УЛ ВОКЗАЛЬНАЯ, Д 1</t>
  </si>
  <si>
    <t>+7 (919) 954-50-93'</t>
  </si>
  <si>
    <t>53.321932,83.634141</t>
  </si>
  <si>
    <t>ОБЩЕСТВО С ОГРАНИЧЕННОЙ ОТВЕТСТВЕННОСТЬЮ "ПРОИЗВОДСТВЕННО-СТРОИТЕЛЬНОЕ ОБЪЕДИНЕНИЕ "ТЕПЛИТ"</t>
  </si>
  <si>
    <t>"ПРОИЗВОДСТВЕННО-СТРОИТЕЛЬНОЕ ОБЪЕДИНЕНИЕ "ТЕПЛИТ"</t>
  </si>
  <si>
    <t>6603014413</t>
  </si>
  <si>
    <t>СВЕРДЛОВСКАЯ ОБЛ.,Г АСБЕСТ,РП РЕФТИНСКИЙ,УЛ ГАГАРИНА, Д 13</t>
  </si>
  <si>
    <t xml:space="preserve"> Директор Левченко Владимир Николаевич</t>
  </si>
  <si>
    <t>tulekpaeva@teplit.ru', 'sedko@teplit.ru', 'teplit@teplit.ru', 'kiseleva@teplit.ru', 'kim@teplit.ru'</t>
  </si>
  <si>
    <t>ОТКРЫТОЕ АКЦИОНЕРНОЕ ОБЩЕСТВО "ТЮМЕНСКИЙ ЗАВОД ЖЕЛЕЗОБЕТОННЫХ ИЗДЕЛИЙ № 1"</t>
  </si>
  <si>
    <t>ОТКРЫТОЕ "ТЮМЕНСКИЙ ЗАВОД ЖЕЛЕЗОБЕТОННЫХ ИЗДЕЛИЙ № 1"</t>
  </si>
  <si>
    <t>7203070253</t>
  </si>
  <si>
    <t>http://tzbi1.ru</t>
  </si>
  <si>
    <t>Г ТЮМЕНЬ,УЛ РЕСПУБЛИКИ, Д 249</t>
  </si>
  <si>
    <t>Бурлицкий Алексей Владимирович</t>
  </si>
  <si>
    <t>golysheva@e-dm', 'info@tzbi.ru', 'Efremovaua@yandex.ru', '89224798648@mail.ru', 'golysheva@indever.com', 'economist@tzbi.ru'</t>
  </si>
  <si>
    <t>53.332451,83.636333</t>
  </si>
  <si>
    <t>ОБЩЕСТВО С ОГРАНИЧЕННОЙ ОТВЕТСТВЕННОСТЬЮ "ЭКО-ПЛИТ"</t>
  </si>
  <si>
    <t>"ЭКО-ПЛИТ"</t>
  </si>
  <si>
    <t>7203121081</t>
  </si>
  <si>
    <t>http://ecoplit.ru</t>
  </si>
  <si>
    <t>Г ТЮМЕНЬ,Д ЗАЙКОВА,УЛ ТОПОЛИННАЯ, Д 2</t>
  </si>
  <si>
    <t>Кириллов Олег Аркадьевич</t>
  </si>
  <si>
    <t>Общество с ограниченной ответственностью "ПРОМСТРОЙКОМПЛЕКТ"</t>
  </si>
  <si>
    <t>"ПРОМСТРОЙКОМПЛЕКТ"</t>
  </si>
  <si>
    <t>7203366589</t>
  </si>
  <si>
    <t>Г ТЮМЕНЬ,УЛ РЕСПУБЛИКИ,Д 155А</t>
  </si>
  <si>
    <t>Жуков Андрей Викторович</t>
  </si>
  <si>
    <t>+7 (904) 875-61-97', '+7 (932) 326-61-80', '+7 (345) 221-56-15'</t>
  </si>
  <si>
    <t>53.306433,83.638812</t>
  </si>
  <si>
    <t>ОБЩЕСТВО С ОГРАНИЧЕННОЙ ОТВЕТСТВЕННОСТЬЮ "СПЕКТР-92"</t>
  </si>
  <si>
    <t>"СПЕКТР-92"</t>
  </si>
  <si>
    <t>7203038965</t>
  </si>
  <si>
    <t>Г ТЮМЕНЬ,УЛ КЕДРОВАЯ, Д 127</t>
  </si>
  <si>
    <t>Лезгиев Равиль Елчуевич</t>
  </si>
  <si>
    <t>53.345005,83.655207</t>
  </si>
  <si>
    <t>ОБЩЕСТВО С ОГРАНИЧЕННОЙ ОТВЕТСТВЕННОСТЬЮ "МАКСИМУС 2000"</t>
  </si>
  <si>
    <t>"МАКСИМУС 2000"</t>
  </si>
  <si>
    <t>7202121530</t>
  </si>
  <si>
    <t>Г ТЮМЕНЬ,УЛ САККО, Д 11/2</t>
  </si>
  <si>
    <t>Зырянов Александр Николаевич</t>
  </si>
  <si>
    <t>+7 (922) 477-95-25'</t>
  </si>
  <si>
    <t>53.372392,83.669157</t>
  </si>
  <si>
    <t>ОБЩЕСТВО С ОГРАНИЧЕННОЙ ОТВЕТСТВЕННОСТЬЮ ПРОИЗВОДСТВЕННАЯ КОМПАНИЯ "ЛИДЕР"</t>
  </si>
  <si>
    <t>ПРОИЗВОДСТВЕННАЯ КОМПАНИЯ "ЛИДЕР"</t>
  </si>
  <si>
    <t>7202257957</t>
  </si>
  <si>
    <t xml:space="preserve">г. Тюмень, ул. Комсомольская, д. 57, 3 этаж </t>
  </si>
  <si>
    <t>Звягин Антон Леонидович</t>
  </si>
  <si>
    <t>+7 (919) 929-42-12', '+7 (982) 922-86-46', '+7 (922) 474-64-24'</t>
  </si>
  <si>
    <t>lider72@yandex.ru', 'pk_lider72@mail.ru'</t>
  </si>
  <si>
    <t>53.326326,83.669346</t>
  </si>
  <si>
    <t>ОБЩЕСТВО С ОГРАНИЧЕННОЙ ОТВЕТСТВЕННОСТЬЮ ПРОИЗВОДСТВЕННО-КОММЕРЧЕСКАЯ ФИРМА "АУРА"</t>
  </si>
  <si>
    <t>ПРОИЗВОДСТВЕННО-КОММЕРЧЕСКАЯ ФИРМА "АУРА"</t>
  </si>
  <si>
    <t>7204035999</t>
  </si>
  <si>
    <t>Г ТЮМЕНЬ,УЛ БАКИНСКИХ КОМИССАРОВ, Д 6..</t>
  </si>
  <si>
    <t>Кулик Дмитрий Николаевич</t>
  </si>
  <si>
    <t>53.328741,83.684258</t>
  </si>
  <si>
    <t>1105020729</t>
  </si>
  <si>
    <t>169601, КОМИ РЕСПУБЛИКА, ГОРОД ПЕЧОРА, УЛИЦА ПУТЕЙСКАЯ, 1А</t>
  </si>
  <si>
    <t>Крюков Никита Александрович</t>
  </si>
  <si>
    <t>53.390557,83.68442</t>
  </si>
  <si>
    <t>ОБЩЕСТВО С ОГРАНИЧЕННОЙ ОТВЕТСТВЕННОСТЬЮ "АРХИТЕКТОНИКА"</t>
  </si>
  <si>
    <t>"АРХИТЕКТОНИКА"</t>
  </si>
  <si>
    <t>6629017987</t>
  </si>
  <si>
    <t>http://archikam.ru</t>
  </si>
  <si>
    <t>СВЕРДЛОВСКАЯ ОБЛ.,Г НОВОУРАЛЬСК,ПР КРАСНОГВАРДЕЙСКИЙ, Д 5, К 113</t>
  </si>
  <si>
    <t>Ахтямов Дамир Масигутович</t>
  </si>
  <si>
    <t>+7 (908) 636-30-00'</t>
  </si>
  <si>
    <t>53.330332,83.684608</t>
  </si>
  <si>
    <t>ОБЩЕСТВО С ОГРАНИЧЕННОЙ ОТВЕТСТВЕННОСТЬЮ "НОВОУРАЛЬСКИЙ БЕТОННЫЙ ЗАВОД"</t>
  </si>
  <si>
    <t>"НОВОУРАЛЬСКИЙ БЕТОННЫЙ ЗАВОД"</t>
  </si>
  <si>
    <t>6629013710</t>
  </si>
  <si>
    <t>СВЕРДЛОВСКАЯ ОБЛ.,Г НОВОУРАЛЬСК,ПР СТРОЙИНДУСТРИИ, Д 4</t>
  </si>
  <si>
    <t>Сгибнев Валерий Федорович</t>
  </si>
  <si>
    <t>nov_beton@mail.ru'</t>
  </si>
  <si>
    <t>53.393548,83.688013</t>
  </si>
  <si>
    <t>ОБЩЕСТВО С ОГРАНИЧЕННОЙ ОТВЕТСТВЕННОСТЬЮ "ДЕДОГОР"</t>
  </si>
  <si>
    <t>"ДЕДОГОР"</t>
  </si>
  <si>
    <t>6629002613</t>
  </si>
  <si>
    <t>http://dedogor.ru</t>
  </si>
  <si>
    <t>СВЕРДЛОВСКАЯ ОБЛ.,Г НОВОУРАЛЬСК,А/Я 14</t>
  </si>
  <si>
    <t xml:space="preserve"> Генеральный Директор Голдобин Александр Евгеньевич</t>
  </si>
  <si>
    <t>dedogor@bk.ru'</t>
  </si>
  <si>
    <t>53.67282,83.69555</t>
  </si>
  <si>
    <t>Общество с ограниченной ответственностью "СтройТехРесурс"</t>
  </si>
  <si>
    <t>"СтройТехРесурс"</t>
  </si>
  <si>
    <t>6684002413</t>
  </si>
  <si>
    <t>СВЕРДЛОВСКАЯ ОБЛ.,Г КИРОВГРАД,Г ВЕРХНИЙ ТАГИЛ,УЛ МАЯКОВСКОГО, Д 31, К 84</t>
  </si>
  <si>
    <t>Зыков Александр Иванович</t>
  </si>
  <si>
    <t>+7 (953) 006-67-00', '+7 (950) 649-36-59', '+7 (912) 618-08-65'</t>
  </si>
  <si>
    <t>ОБЩЕСТВО С ОГРАНИЧЕННОЙ ОТВЕТСТВЕННОСТЬЮ "СТРАТУС-ПЕРМЬ"</t>
  </si>
  <si>
    <t>"СТРАТУС-ПЕРМЬ"</t>
  </si>
  <si>
    <t>5904998350</t>
  </si>
  <si>
    <t>ПЕРМСКИЙ КРАЙ,КУНГУРСКИЙ Р-Н,С БЫМ,УЛ ОКТЯБРЬСКАЯ 24/Б</t>
  </si>
  <si>
    <t>Халиуллин Юрий Рафаилович</t>
  </si>
  <si>
    <t>53.394069,83.71366</t>
  </si>
  <si>
    <t>ОБЩЕСТВО С ОГРАНИЧЕННОЙ ОТВЕТСТВЕННОСТЬЮ "КОМПЛЕКТСТРОЙ"</t>
  </si>
  <si>
    <t>"КОМПЛЕКТСТРОЙ"</t>
  </si>
  <si>
    <t>2130023725</t>
  </si>
  <si>
    <t>Г ЧЕБОКСАРЫ,П СОСНОВКА,УЛ СОСНОВСКАЯ, Д 55</t>
  </si>
  <si>
    <t>Александрова Надежда Валерьевна</t>
  </si>
  <si>
    <t>53.334054,83.74635</t>
  </si>
  <si>
    <t>ЗАКРЫТОЕ АКЦИОНЕРНОЕ ОБЩЕСТВО "ЗАВОД ЖЕЛЕЗОБЕТОННЫХ ИЗДЕЛИЙ "АРЬЕВСКИЙ"</t>
  </si>
  <si>
    <t>ЗАКРЫТОЕ "ЗАВОД ЖЕЛЕЗОБЕТОННЫХ ИЗДЕЛИЙ "АРЬЕВСКИЙ"</t>
  </si>
  <si>
    <t>5235000047</t>
  </si>
  <si>
    <t>НИЖЕГОРОДСКАЯ ОБЛ.,УРЕНСКИЙ Р-Н,PП АРЬЯ,УЛ СТРОИТЕЛЕЙ Д 10</t>
  </si>
  <si>
    <t>Киселев Вадим Николаевич</t>
  </si>
  <si>
    <t>azgbi2002@mail.ru', 'buh_azgbi@mail.ru'</t>
  </si>
  <si>
    <t>ОБЩЕСТВО С ОГРАНИЧЕННОЙ ОТВЕТСТВЕННОСТЬЮ "ЯРКОЛЬЦО"</t>
  </si>
  <si>
    <t>"ЯРКОЛЬЦО"</t>
  </si>
  <si>
    <t>7602113597</t>
  </si>
  <si>
    <t>http://yarkolco.ru</t>
  </si>
  <si>
    <t>ЯРОСЛАВСКАЯ ОБЛ.,Г УГЛИЧ,П МЕБЕЛЬЩИКОВ</t>
  </si>
  <si>
    <t>+7 (930) 114-23-43'</t>
  </si>
  <si>
    <t>ОБЩЕСТВО С ОГРАНИЧЕННОЙ ОТВЕТСТВЕННОСТЬЮ "ЭКО"</t>
  </si>
  <si>
    <t>"ЭКО"</t>
  </si>
  <si>
    <t>7607026637</t>
  </si>
  <si>
    <t>http://ekoyar.ru</t>
  </si>
  <si>
    <t>Г ЯРОСЛАВЛЬ,КОСТРОМСКОЕ ШОССЕ, Д 14</t>
  </si>
  <si>
    <t>Галагаев Илья Владимирович</t>
  </si>
  <si>
    <t>+7 (960) 530-00-00'</t>
  </si>
  <si>
    <t>53.340253,83.75288</t>
  </si>
  <si>
    <t>ОБЩЕСТВО С ОГРАНИЧЕННОЙ ОТВЕТСТВЕННОСТЬЮ "СИЯН"</t>
  </si>
  <si>
    <t>"СИЯН"</t>
  </si>
  <si>
    <t>7607025760</t>
  </si>
  <si>
    <t>Г ЯРОСЛАВЛЬ,КОСТРОМСКОЕ ШОССЕ, Д 2В</t>
  </si>
  <si>
    <t>Сташко Татьяна Николаевна</t>
  </si>
  <si>
    <t>chernova@siyan.ru'</t>
  </si>
  <si>
    <t>53.34014,83.753896</t>
  </si>
  <si>
    <t>1106022944</t>
  </si>
  <si>
    <t>169710, Республика Коми, г Усинск, ул Ленина, д 9,..</t>
  </si>
  <si>
    <t>Объедкова Светлана Ивановна</t>
  </si>
  <si>
    <t>53.355815,83.775581</t>
  </si>
  <si>
    <t>ОБЩЕСТВО С ОГРАНИЧЕННОЙ ОТВЕТСТВЕННОСТЬЮ "НОВЫЙ ЗАВОД ЖБК"</t>
  </si>
  <si>
    <t>"НОВЫЙ ЗАВОД ЖБК"</t>
  </si>
  <si>
    <t>7604273010</t>
  </si>
  <si>
    <t>http://betonconstruct.ru</t>
  </si>
  <si>
    <t>Г ЯРОСЛАВЛЬ,УЛ ГАГАРИНА, Д 62</t>
  </si>
  <si>
    <t>Литонина Вероника Александровна</t>
  </si>
  <si>
    <t>53.346785,83.776856</t>
  </si>
  <si>
    <t>ОБЩЕСТВО С ОГРАНИЧЕННОЙ ОТВЕТСТВЕННОСТЬЮ "УРАЛСТРОЙСЕРВИС"</t>
  </si>
  <si>
    <t>"УРАЛСТРОЙСЕРВИС"</t>
  </si>
  <si>
    <t>5606002693</t>
  </si>
  <si>
    <t>ОРЕНБУРГСКАЯ ОБЛ.,Г МЕДНОГОРСК,УЛ 60 ЛЕТ ДОСААФ Д 9</t>
  </si>
  <si>
    <t>ОТКРЫТОЕ АКЦИОНЕРНОЕ ОБЩЕСТВО "СТРОЙКОНСТРУКЦИЯ"</t>
  </si>
  <si>
    <t>ОТКРЫТОЕ "СТРОЙКОНСТРУКЦИЯ"</t>
  </si>
  <si>
    <t>7627004173</t>
  </si>
  <si>
    <t>ЯРОСЛАВСКАЯ ОБЛ.,ЯРОСЛАВСКИЙ Р-Н,П ИВНЯКИ,БАЗА НЕЧЕРНОЗЕМЬЯ, Д 1</t>
  </si>
  <si>
    <t>Попов Алексей Борисович</t>
  </si>
  <si>
    <t>INFO@YARBETON.RU', 'glbuh@yarbeton.ru', 'dasha@rambler.ru', 'sklyar06@yandex.ru'</t>
  </si>
  <si>
    <t>7604280025</t>
  </si>
  <si>
    <t>Г ЯРОСЛАВЛЬ,УЛ АНДРОПОВА, Д 25/9</t>
  </si>
  <si>
    <t>Верховцева Ирина Юрьевна</t>
  </si>
  <si>
    <t>53.325508,83.779084</t>
  </si>
  <si>
    <t>ЗАКРЫТОЕ АКЦИОНЕРНОЕ ОБЩЕСТВО "ЖЕЛЕЗОБЕТОН"</t>
  </si>
  <si>
    <t>ЗАКРЫТОЕ "ЖЕЛЕЗОБЕТОН"</t>
  </si>
  <si>
    <t>7601000262</t>
  </si>
  <si>
    <t>Г ЯРОСЛАВЛЬ,ПРОСП ОКТЯБРЯ</t>
  </si>
  <si>
    <t>Паршиков Андрей Александрович</t>
  </si>
  <si>
    <t>beton@yaroslavl.ru', 'gbk@mail.ru', '735176@mail.ru'</t>
  </si>
  <si>
    <t>53.330827,83.780108</t>
  </si>
  <si>
    <t>ОБЩЕСТВО С ОГРАНИЧЕННОЙ ОТВЕТСТВЕННОСТЬЮ СТРОИТЕЛЬНАЯ КОМПАНИЯ "ПЕТРОСТРОЙ"</t>
  </si>
  <si>
    <t>СТРОИТЕЛЬНАЯ КОМПАНИЯ "ПЕТРОСТРОЙ"</t>
  </si>
  <si>
    <t>7606048317</t>
  </si>
  <si>
    <t>Г ЯРОСЛАВЛЬ,ПРОСП ОКТЯБРЯ, Д 56</t>
  </si>
  <si>
    <t>53.339683,83.782255</t>
  </si>
  <si>
    <t>ОБЩЕСТВО С ОГРАНИЧЕННОЙ ОТВЕТСТВЕННОСТЬЮ "СТАТУС ПРОФ"</t>
  </si>
  <si>
    <t>"СТАТУС ПРОФ"</t>
  </si>
  <si>
    <t>7604250920</t>
  </si>
  <si>
    <t>ЯРОСЛАВСКАЯ ОБЛ.,PП НЕКРАСОВСКОЕ,УЛ СОВЕТСКАЯ, Д 24</t>
  </si>
  <si>
    <t>Ранцевич Николай Васильевич</t>
  </si>
  <si>
    <t>+7 (910) 973-95-99'</t>
  </si>
  <si>
    <t>53.339156,83.785435</t>
  </si>
  <si>
    <t>ОБЩЕСТВО С ОГРАНИЧЕННОЙ ОТВЕТСТВЕННОСТЬЮ "ЕВРОСТРОЙ"</t>
  </si>
  <si>
    <t>"ЕВРОСТРОЙ"</t>
  </si>
  <si>
    <t>7622012131</t>
  </si>
  <si>
    <t>ЯРОСЛАВСКАЯ ОБЛ.,ПЕРЕСЛАВСКИЙ Р-Н,С НОВОЕ,Д 11,..</t>
  </si>
  <si>
    <t>Акопян Жора Липаритович</t>
  </si>
  <si>
    <t>+7 (905) 134-21-91'</t>
  </si>
  <si>
    <t>53.334209,83.794419</t>
  </si>
  <si>
    <t>6906005344</t>
  </si>
  <si>
    <t>ТВЕРСКАЯ ОБЛ.,Г БЕЖЕЦК,П СЕВЕРНЫЙ</t>
  </si>
  <si>
    <t>Позднякова Екатерина Алексеевна</t>
  </si>
  <si>
    <t>53.33479,83.796727</t>
  </si>
  <si>
    <t>5005029683</t>
  </si>
  <si>
    <t>МОСКОВСКАЯ ОБЛ.,ВОСКРЕСЕНСКИЙ Р-Н,Д ГОСТИЛОВО</t>
  </si>
  <si>
    <t>Сергеев Алексей Вячеславович</t>
  </si>
  <si>
    <t>53.334295,83.797832</t>
  </si>
  <si>
    <t>ОБЩЕСТВО С ОГРАНИЧЕННОЙ ОТВЕТСТВЕННОСТЬЮ "АВА-СМ"</t>
  </si>
  <si>
    <t>"АВА-СМ"</t>
  </si>
  <si>
    <t>6018010201</t>
  </si>
  <si>
    <t>http://ava-sm.ru</t>
  </si>
  <si>
    <t>Г ПСКОВ,УЛ КОММУНАЛЬНАЯ Д 63..</t>
  </si>
  <si>
    <t>Кирик Анна Ивановна</t>
  </si>
  <si>
    <t>+7 (911) 351-43-22'</t>
  </si>
  <si>
    <t>53.461617,83.918161</t>
  </si>
  <si>
    <t>ОБЩЕСТВО С ОГРАНИЧЕННОЙ ОТВЕТСТВЕННОСТЬЮ "ВИКОЛЬ"</t>
  </si>
  <si>
    <t>"ВИКОЛЬ"</t>
  </si>
  <si>
    <t>6037001932</t>
  </si>
  <si>
    <t>ПСКОВСКАЯ ОБЛ.,ПСКОВСКИЙ Р-Н,П/О РОДИНА,Д РОДИНА,УЛ ЮБИЛЕЙНАЯ Д 3</t>
  </si>
  <si>
    <t>Министров Владислав Альбертович</t>
  </si>
  <si>
    <t>53.412021,83.931079</t>
  </si>
  <si>
    <t>ОБЩЕСТВО С ОГРАНИЧЕННОЙ ОТВЕТСТВЕННОСТЬЮ "ТЕХБАЗИС"</t>
  </si>
  <si>
    <t>"ТЕХБАЗИС"</t>
  </si>
  <si>
    <t>3849033636</t>
  </si>
  <si>
    <t>ИРКУТСКАЯ ОБЛ.,Г БОДАЙБО,УЛ 60 ЛЕТ ОКТЯБРЯ Д 10 А</t>
  </si>
  <si>
    <t>Колозина Наталья Борисовна</t>
  </si>
  <si>
    <t>53.382469,83.939631</t>
  </si>
  <si>
    <t>ОБЩЕСТВО С ОГРАНИЧЕННОЙ ОТВЕТСТВЕННОСТЬЮ "ЯРОСЛАВСКИЙ ЗАВОД ЖБК"</t>
  </si>
  <si>
    <t>"ЯРОСЛАВСКИЙ ЗАВОД ЖБК"</t>
  </si>
  <si>
    <t>7602117464</t>
  </si>
  <si>
    <t>ЯРОСЛАВСКАЯ ОБЛ.,НЕКОУЗСКИЙ Р-Н,С НОВЫЙ НЕКОУЗ,ПЕРЕУЛОК БОЛЬНИЧНЫЙ, Д 5</t>
  </si>
  <si>
    <t>Павлов Сергей Владимирович</t>
  </si>
  <si>
    <t>53.387566,83.958262</t>
  </si>
  <si>
    <t>ОБЩЕСТВО С ОГРАНИЧЕННОЙ ОТВЕТСТВЕННОСТЬЮ "ЗАВОД БЭСТ"</t>
  </si>
  <si>
    <t>"ЗАВОД БЭСТ"</t>
  </si>
  <si>
    <t>6685093580</t>
  </si>
  <si>
    <t>СВЕРДЛОВСКАЯ ОБЛ.,Г НИЖНИЙ ТАГИЛ,ПОС РЕМЗАВОДА ЗДАНИЕ "СПЕЦСТРОЙ-1" КАБ 5</t>
  </si>
  <si>
    <t>Дедюхин Михаил Владимирович</t>
  </si>
  <si>
    <t>+7 (922) 215-30-42', '+7 (912) 225-79-85'</t>
  </si>
  <si>
    <t>53.352477,83.974854</t>
  </si>
  <si>
    <t>ОБЩЕСТВО С ОГРАНИЧЕННОЙ ОТВЕТСТВЕННОСТЬЮ "УЖБ"</t>
  </si>
  <si>
    <t>"УЖБ"</t>
  </si>
  <si>
    <t>5904051657</t>
  </si>
  <si>
    <t>Г ПЕРМЬ,УЛ МИРА 89</t>
  </si>
  <si>
    <t>Майзелес Михаил Яковлевич</t>
  </si>
  <si>
    <t>+7 (342) 205-56-56', '+7 (342) 205-59-59', '+7 (902) 799-91-28'</t>
  </si>
  <si>
    <t>53.394353,83.987682</t>
  </si>
  <si>
    <t>5907018760</t>
  </si>
  <si>
    <t>Г ПЕРМЬ,УЛ ГЕРОЕВ ХАСАНА 46</t>
  </si>
  <si>
    <t>Буторин Денис Сергеевич</t>
  </si>
  <si>
    <t>+7 (922) 646-92-91'</t>
  </si>
  <si>
    <t>53.408618,84.310123</t>
  </si>
  <si>
    <t>ОБЩЕСТВО С ОГРАНИЧЕННОЙ ОТВЕТСТВЕННОСТЬЮ "МРАМОРИТ-СТРОЙ"</t>
  </si>
  <si>
    <t>"МРАМОРИТ-СТРОЙ"</t>
  </si>
  <si>
    <t>5908023280</t>
  </si>
  <si>
    <t>Г ПЕРМЬ,УЛ ПРИЧАЛЬНАЯ 7/А</t>
  </si>
  <si>
    <t>Епишин Анатолий Анатольевич</t>
  </si>
  <si>
    <t>+7 (342) 292-65-93', '+7 (342) 252-06-40', '+7 (904) 846-69-43', '+7 (342) 246-25-05', '+7 (912) 492-32-81', '+7 (342) 254-40-17'</t>
  </si>
  <si>
    <t>55.234753,84.385878</t>
  </si>
  <si>
    <t>ОБЩЕСТВО С ОГРАНИЧЕННОЙ ОТВЕТСТВЕННОСТЬЮ "Мраморит - С"</t>
  </si>
  <si>
    <t>"Мраморит - С"</t>
  </si>
  <si>
    <t>5908018763</t>
  </si>
  <si>
    <t>Г ПЕРМЬ,УЛ ПРИЧАЛЬНАЯ 1/А</t>
  </si>
  <si>
    <t>+7 (342) 254-40-17', '+7 (342) 246-25-05', '+7 (904) 846-69-43', '+7 (912) 492-32-81'</t>
  </si>
  <si>
    <t>56.739317,84.715201</t>
  </si>
  <si>
    <t>ОБЩЕСТВО С ОГРАНИЧЕННОЙ ОТВЕТСТВЕННОСТЬЮ "УРАЛАГРОИНВЕСТ"</t>
  </si>
  <si>
    <t>"УРАЛАГРОИНВЕСТ"</t>
  </si>
  <si>
    <t>5905038338</t>
  </si>
  <si>
    <t>Г ПЕРМЬ,УЛ СТАХАНОВСКАЯ 53-37</t>
  </si>
  <si>
    <t>Коркин Сергей Григорьевич</t>
  </si>
  <si>
    <t>+7 (902) 836-87-32', '+7 (902) 227-66-49'</t>
  </si>
  <si>
    <t>56.51161,84.743004</t>
  </si>
  <si>
    <t>Общество с ограниченной ответственностью "КАМА-БЛОК"</t>
  </si>
  <si>
    <t>"КАМА-БЛОК"</t>
  </si>
  <si>
    <t>5916030443</t>
  </si>
  <si>
    <t>Г ПЕРМЬ,УЛ КАМЧАТОВСКАЯ 19</t>
  </si>
  <si>
    <t>Бабушкина Елена Александровна</t>
  </si>
  <si>
    <t>+7 (342) 287-07-48', '+7 (342) 206-05-56'</t>
  </si>
  <si>
    <t>56.420364,84.870744</t>
  </si>
  <si>
    <t>АКЦИОНЕРНОЕ ОБЩЕСТВО "ЗАКАМСКИЙ ЗАВОД ЖБК"</t>
  </si>
  <si>
    <t>"ЗАКАМСКИЙ ЗАВОД ЖБК"</t>
  </si>
  <si>
    <t>5908027912</t>
  </si>
  <si>
    <t>Г ПЕРМЬ,УЛ МИРГОРОДСКАЯ 3</t>
  </si>
  <si>
    <t>Болквадзе Руслан Давидович</t>
  </si>
  <si>
    <t>+7 (342) 255-10-48', '+7 (342) 287-13-00', '+7 (912) 061-55-55', '+7 (912) 283-06-20'</t>
  </si>
  <si>
    <t>56.607842,84.887039</t>
  </si>
  <si>
    <t>ОБЩЕСТВО С ОГРАНИЧЕННОЙ ОТВЕТСТВЕННОСТЬЮ "Бенар"</t>
  </si>
  <si>
    <t>"Бенар"</t>
  </si>
  <si>
    <t>5904991347</t>
  </si>
  <si>
    <t>Г ПЕРМЬ,УЛ БОЛЬШЕВИСТСКАЯ 51</t>
  </si>
  <si>
    <t>Виноградова Олеся Юрьевна</t>
  </si>
  <si>
    <t>+7 (926) 123-55-91'</t>
  </si>
  <si>
    <t>benar@gipsopolimer.com'</t>
  </si>
  <si>
    <t>55.724048,84.893211</t>
  </si>
  <si>
    <t>ОБЩЕСТВО С ОГРАНИЧЕННОЙ ОТВЕТСТВЕННОСТЬЮ "ПРОИЗВОДСТВЕННО-КОММЕРЧЕСКАЯ ФИРМА "ФАСАДНЫЕ СИСТЕМЫ"</t>
  </si>
  <si>
    <t>"ПРОИЗВОДСТВЕННО-КОММЕРЧЕСКАЯ ФИРМА "ФАСАДНЫЕ СИСТЕМЫ"</t>
  </si>
  <si>
    <t>5902838390</t>
  </si>
  <si>
    <t>Г ПЕРМЬ,УЛ ОКУЛОВА 80/111</t>
  </si>
  <si>
    <t>Санникова Анастасия Игоревна</t>
  </si>
  <si>
    <t>+7 (912) 785-19-63', '+7 (902) 790-42-03'</t>
  </si>
  <si>
    <t>ОБЩЕСТВО С ОГРАНИЧЕННОЙ ОТВЕТСТВЕННОСТЬЮ ЗАВОД "СИТАЛЛ"</t>
  </si>
  <si>
    <t>ЗАВОД "СИТАЛЛ"</t>
  </si>
  <si>
    <t>5904068146</t>
  </si>
  <si>
    <t>Г ПЕРМЬ,ПР КОМСОМОЛЬСКИЙ 8</t>
  </si>
  <si>
    <t>Сметанин Алексей Александрович</t>
  </si>
  <si>
    <t>+7 (342) 210-55-81', '+7 (342) 210-55-84', '+7 (342) 210-55-82', '+7 (342) 210-55-84', '+7 (342) 210-55-82'</t>
  </si>
  <si>
    <t>55.710352,84.904853</t>
  </si>
  <si>
    <t>ОБЩЕСТВО С ОГРАНИЧЕННОЙ ОТВЕТСТВЕННОСТЬЮ"ЭФФЕКТ"</t>
  </si>
  <si>
    <t>"ЭФФЕКТ"</t>
  </si>
  <si>
    <t>7610005274</t>
  </si>
  <si>
    <t>ЯРОСЛАВСКАЯ ОБЛ.,Г РЫБИНСК,УЛ ВОЛОЧАЕВСКАЯ, Д 83,..</t>
  </si>
  <si>
    <t>Барский Сергей Анатольевич</t>
  </si>
  <si>
    <t>+7 (910) 828-51-29'</t>
  </si>
  <si>
    <t>56.594618,84.914905</t>
  </si>
  <si>
    <t>ОБЩЕСТВО С ОГРАНИЧЕННОЙ ОТВЕТСТВЕННОСТЬЮ "ПЕРМСКИЙ ЗАВОД СТРОИТЕЛЬНЫХ ТЕХНОЛОГИЙ"</t>
  </si>
  <si>
    <t>"ПЕРМСКИЙ ЗАВОД СТРОИТЕЛЬНЫХ ТЕХНОЛОГИЙ"</t>
  </si>
  <si>
    <t>5904147359</t>
  </si>
  <si>
    <t>ПЕРМСКИЙ КРАЙ,ПЕРМСКИЙ Р-Н,П СЫЛВА,*УЛ ТИМИРЯЗЕВА 4 (ДОМ.АДРЕС)</t>
  </si>
  <si>
    <t>Дерябин Сергей Олегович</t>
  </si>
  <si>
    <t>+7 (342) 277-39-99'</t>
  </si>
  <si>
    <t>55.7227,84.934506</t>
  </si>
  <si>
    <t>АКЦИОНЕРНОЕ ОБЩЕСТВО "СПЕЦИАЛИЗИРОВАННЫЙ ЗАСТРОЙЩИК ПЗСП"</t>
  </si>
  <si>
    <t>"СПЕЦИАЛИЗИРОВАННЫЙ ЗАСТРОЙЩИК ПЗСП"</t>
  </si>
  <si>
    <t>5903004541</t>
  </si>
  <si>
    <t>Г ПЕРМЬ,УЛ ДОКУЧАЕВА 31</t>
  </si>
  <si>
    <t>Демкин Евгений Николаевич</t>
  </si>
  <si>
    <t>+7 (342) 213-73-10', '+7 (342) 213-71-71', '+7 (342) 213-71-47', '+7 (342) 270-11-77', '+7 (342) 213-74-44', '+7 (342) 213-71-64', '+7 (342) 213-71-47'</t>
  </si>
  <si>
    <t>demkin@pzsp.ru', 'buh@pzsp.ru'</t>
  </si>
  <si>
    <t>56.527282,84.941217</t>
  </si>
  <si>
    <t>ОБЩЕСТВО С ОГРАНИЧЕННОЙ ОТВЕТСТВЕННОСТЬЮ "НАЗАРОВСКИЙ ЗАВОД ЖЕЛЕЗОБЕТОННЫХ КОНСТРУКЦИЙ"</t>
  </si>
  <si>
    <t>"НАЗАРОВСКИЙ ЗАВОД ЖЕЛЕЗОБЕТОННЫХ КОНСТРУКЦИЙ"</t>
  </si>
  <si>
    <t>2456009290</t>
  </si>
  <si>
    <t>КРАСНОЯРСКИЙ КРАЙ,Г НАЗАРОВО,УЛ ШКОЛЬНАЯ Д 3</t>
  </si>
  <si>
    <t>Суртаев Николай Харитонович</t>
  </si>
  <si>
    <t>+7 (391) 201-88-27'</t>
  </si>
  <si>
    <t>56.507224,84.947056</t>
  </si>
  <si>
    <t>ОБЩЕСТВО С ОГРАНИЧЕННОЙ ОТВЕТСТВЕННОСТЬЮ "УРАЛТЕХНИКА-СТРОЙ"</t>
  </si>
  <si>
    <t>"УРАЛТЕХНИКА-СТРОЙ"</t>
  </si>
  <si>
    <t>5948026400</t>
  </si>
  <si>
    <t>Г ПЕРМЬ,УЛ КОММУНИСТИЧЕСКАЯ 64</t>
  </si>
  <si>
    <t>Маслохутдинов Илья Зуферович</t>
  </si>
  <si>
    <t>+7 (342) 236-69-44', '+7 (912) 788-30-67', '+7 (912) 244-95-71'</t>
  </si>
  <si>
    <t>56.485982,84.950748</t>
  </si>
  <si>
    <t>ОБЩЕСТВО С ОГРАНИЧЕННОЙ ОТВЕТСТВЕННОСТЬЮ "Завод железобетонных изделий "Стройиндустрия"</t>
  </si>
  <si>
    <t>"Завод железобетонных изделий "Стройиндустрия"</t>
  </si>
  <si>
    <t>5906062277</t>
  </si>
  <si>
    <t>Г ПЕРМЬ,УЛ ПЕРЕЕЗДНАЯ 1</t>
  </si>
  <si>
    <t>Долотова Ирина Геннадьевна</t>
  </si>
  <si>
    <t>+7 (342) 267-34-64', '+7 (342) 263-16-98', '+7 (342) 263-17-95', '+7 (342) 237-07-98', '+7 (342) 263-16-98'</t>
  </si>
  <si>
    <t>56.497218,84.963288</t>
  </si>
  <si>
    <t>7610065361</t>
  </si>
  <si>
    <t>ЯРОСЛАВСКАЯ ОБЛ.,Г РЫБИНСК,УЛ МОЛОГСКАЯ, Д 121</t>
  </si>
  <si>
    <t>Мельников Роман Сергеевич</t>
  </si>
  <si>
    <t>56.532569,84.965067</t>
  </si>
  <si>
    <t>Акционерное общество "ПЕРМТРАНСЖЕЛЕЗОБЕТОН"</t>
  </si>
  <si>
    <t>"ПЕРМТРАНСЖЕЛЕЗОБЕТОН"</t>
  </si>
  <si>
    <t>5916000030</t>
  </si>
  <si>
    <t>ПЕРМСКИЙ КРАЙ,Г КРАСНОКАМСК,PП ОВЕРЯТА,УЛ КОМСОМОЛЬСКАЯ 2</t>
  </si>
  <si>
    <t>Разутдинов Рамиль Равкатович</t>
  </si>
  <si>
    <t>+7 (965) 562-80-01', '+7 (342) 232-00-88'</t>
  </si>
  <si>
    <t>info@ptgb.ru', 'TVVolynceva@ptgb.ru'</t>
  </si>
  <si>
    <t>56.496552,84.966927</t>
  </si>
  <si>
    <t>ОБЩЕСТВО С ОГРАНИЧЕННОЙ ОТВЕТСТВЕННОСТЬЮ "НОВЫЙ ФУНДАМЕНТ"</t>
  </si>
  <si>
    <t>"НОВЫЙ ФУНДАМЕНТ"</t>
  </si>
  <si>
    <t>0236013836</t>
  </si>
  <si>
    <t>452558, БАШКОРТОСТАН РЕСПУБЛИКА, Р-Н МЕЧЕТЛИНСКИЙ, Д БОЛЬШЕКЫЗЫЛБАЕВО, УЛ. КООПЕРАТИВНАЯ, Д. 11</t>
  </si>
  <si>
    <t>Зинатулин Ильнур Ильфатович</t>
  </si>
  <si>
    <t>+7 (965) 666-13-99'</t>
  </si>
  <si>
    <t>56.476886,84.968822</t>
  </si>
  <si>
    <t>ОБЩЕСТВО С ОГРАНИЧЕННОЙ ОТВЕТСТВЕННОСТЬЮ "МКСМ"</t>
  </si>
  <si>
    <t>"МКСМ"</t>
  </si>
  <si>
    <t>7733271597</t>
  </si>
  <si>
    <t>ЧИТИНСКАЯ ОБЛ.,PП КАРЫМСКОЕ,УЛ ЗАВОДСКАЯ, Д 14</t>
  </si>
  <si>
    <t>Силаев Евгений Игоревич</t>
  </si>
  <si>
    <t>+7 (914) 369-14-37', '+7 (495) 491-26-45', '+7 (495) 490-47-00'</t>
  </si>
  <si>
    <t>56.491792,84.971409</t>
  </si>
  <si>
    <t>ОБЩЕСТВО С ОГРАНИЧЕННОЙ ОТВЕТСТВЕННОСТЬЮ "ВОЛЖСКИЙ ЖБК"</t>
  </si>
  <si>
    <t>"ВОЛЖСКИЙ ЖБК"</t>
  </si>
  <si>
    <t>7610046418</t>
  </si>
  <si>
    <t>ЯРОСЛАВСКАЯ ОБЛ.,Г РЫБИНСК,УЛ ЦЕЛИННАЯ, Д 2</t>
  </si>
  <si>
    <t>VGBK@mail.ru'</t>
  </si>
  <si>
    <t>56.498709,84.974149</t>
  </si>
  <si>
    <t>ОБЩЕСТВО С ОГРАНИЧЕННОЙ ОТВЕТСТВЕННОСТЬЮ "МАЛОЯЗСТРОЙКОМПЛЕКТ"</t>
  </si>
  <si>
    <t>"МАЛОЯЗСТРОЙКОМПЛЕКТ"</t>
  </si>
  <si>
    <t>0240804742</t>
  </si>
  <si>
    <t>452490, БАШКОРТОСТАН РЕСПУБЛИКА, Р-Н САЛАВАТСКИЙ, С МАЛОЯЗ, УЛ. Ф.ХАРИСОВА, Д.7,..</t>
  </si>
  <si>
    <t>Муратова Валентина Степановна</t>
  </si>
  <si>
    <t>+7 (919) 145-58-00'</t>
  </si>
  <si>
    <t>ОБЩЕСТВО С ОГРАНИЧЕННОЙ ОТВЕТСТВЕННОСТЬЮ "РЫБИНСКЭНЕРГОЖЕЛЕЗОБЕТОН"</t>
  </si>
  <si>
    <t>"РЫБИНСКЭНЕРГОЖЕЛЕЗОБЕТОН"</t>
  </si>
  <si>
    <t>7610056166</t>
  </si>
  <si>
    <t>ЯРОСЛАВСКАЯ ОБЛ.,РЫБИНСКИЙ Р-Н,П КАМЕННИКИ,УЛ ЗАВОДСКАЯ</t>
  </si>
  <si>
    <t>Уланов Николай Николаевич</t>
  </si>
  <si>
    <t>REZB@YANDEX.RU'</t>
  </si>
  <si>
    <t>56.486683,84.979988</t>
  </si>
  <si>
    <t>ОБЩЕСТВО С ОГРАНИЧЕННОЙ ОТВЕТСТВЕННОСТЬЮ "БЕТОНСТРОЙКОМПЛЕКС"</t>
  </si>
  <si>
    <t>"БЕТОНСТРОЙКОМПЛЕКС"</t>
  </si>
  <si>
    <t>0256023945</t>
  </si>
  <si>
    <t>453536, БАШКОРТОСТАН РЕСПУБЛИКА, Р-Н БЕЛОРЕЦКИЙ, С БУГАНАК, УЛ. МАЖИТА ГАФУРИ, Д. 15</t>
  </si>
  <si>
    <t>Третьяков Роман Александрович</t>
  </si>
  <si>
    <t>+7 (962) 520-24-53', '+7 (906) 104-82-22'</t>
  </si>
  <si>
    <t>vashereshenie2013@yandex.ru', 'vfshereshenie2013@yandex.ru'</t>
  </si>
  <si>
    <t>56.454279,84.983447</t>
  </si>
  <si>
    <t>ОБЩЕСТВО С ОГРАНИЧЕННОЙ ОТВЕТСТВЕННОСТЬЮ "РЕСУРС 35"</t>
  </si>
  <si>
    <t>"РЕСУРС 35"</t>
  </si>
  <si>
    <t>3525322772</t>
  </si>
  <si>
    <t>ВОЛОГОДСКАЯ ОБЛ.,КИЧМЕНГСКО-ГОРОДЕЦКИЙ Р-Н,С КОСКОВО</t>
  </si>
  <si>
    <t>56.472869,84.987839</t>
  </si>
  <si>
    <t>Общество с ограниченной ответственностью "Завод железобетонных изделий № 4"</t>
  </si>
  <si>
    <t>"Завод железобетонных изделий № 4"</t>
  </si>
  <si>
    <t>7206029119</t>
  </si>
  <si>
    <t>http://jbi-4.ru</t>
  </si>
  <si>
    <t>ТЮМЕНСКАЯ ОБЛ.,Г ТОБОЛЬСК,ПИОНЕРНАЯ БАЗА</t>
  </si>
  <si>
    <t>Козаков Александр Николаевич</t>
  </si>
  <si>
    <t>56.506116,85.013217</t>
  </si>
  <si>
    <t>ОБЩЕСТВО С ОГРАНИЧЕННОЙ ОТВЕТСТВЕННОСТЬЮ "НОВОТРОИЦКАЯ ПРОИЗВОДСТВЕННО-СТРОИТЕЛЬНАЯ КОМПАНИЯ"</t>
  </si>
  <si>
    <t>"НОВОТРОИЦКАЯ ПРОИЗВОДСТВЕННО-СТРОИТЕЛЬНАЯ КОМПАНИЯ"</t>
  </si>
  <si>
    <t>5607046887</t>
  </si>
  <si>
    <t>462353, Оренбургская область, г Новотроицк, ул 1 Мая дом 35</t>
  </si>
  <si>
    <t>Мусеян Серго Вазгенович</t>
  </si>
  <si>
    <t>buhnlk@mail.ru', 'piramida_stroi@mail.ru'</t>
  </si>
  <si>
    <t>56.517505,85.013576</t>
  </si>
  <si>
    <t>ОБЩЕСТВО С ОГРАНИЧЕННОЙ ОТВЕТСТВЕННОСТЬЮ "Завод архитектурно-строительных материалов"</t>
  </si>
  <si>
    <t>"Завод архитектурно-строительных материалов"</t>
  </si>
  <si>
    <t>5607043685</t>
  </si>
  <si>
    <t>462353, ОРЕНБУРГСКАЯ ОБЛАСТЬ, Г. НОВОТРОИЦК, УЛ. ПРОМЫШЛЕННАЯ, Д.27</t>
  </si>
  <si>
    <t>Панфилов Александр Анатольевич</t>
  </si>
  <si>
    <t>56.472844,85.016289</t>
  </si>
  <si>
    <t>АКЦИОНЕРНОЕ ОБЩЕСТВО "БОРОВИЧСКИЙ ЗАВОД ЖЕЛЕЗОБЕТОННЫХ ИЗДЕЛИЙ"</t>
  </si>
  <si>
    <t>"БОРОВИЧСКИЙ ЗАВОД ЖЕЛЕЗОБЕТОННЫХ ИЗДЕЛИЙ"</t>
  </si>
  <si>
    <t>5320000087</t>
  </si>
  <si>
    <t>НОВГОРОДСКАЯ ОБЛ.,Г БОРОВИЧИ,УЛ ЮГО-ЗАПАДНАЯ Д 3</t>
  </si>
  <si>
    <t>beton8166420562@yandex.ru'</t>
  </si>
  <si>
    <t>56.514366,85.016487</t>
  </si>
  <si>
    <t>5320009957</t>
  </si>
  <si>
    <t>НОВГОРОДСКАЯ ОБЛ.,Г БОРОВИЧИ,УЛ ОКУЛОВСКАЯ Д 10</t>
  </si>
  <si>
    <t>Федоров Эдуард Николаевич</t>
  </si>
  <si>
    <t>silikatnyy@mail.ru'</t>
  </si>
  <si>
    <t>ОБЩЕСТВО С ОГРАНИЧЕННОЙ ОТВЕТСТВЕННОСТЬЮ "НОВОБЕТОН"</t>
  </si>
  <si>
    <t>"НОВОБЕТОН"</t>
  </si>
  <si>
    <t>5607143009</t>
  </si>
  <si>
    <t>462353, ОРЕНБУРГСКАЯ ОБЛАСТЬ, ГОРОД НОВОТРОИЦК, УЛИЦА ЗАВОДСКАЯ, ДОМ 32</t>
  </si>
  <si>
    <t>Шалахов Эдуард Васильевич</t>
  </si>
  <si>
    <t>56.482578,85.021068</t>
  </si>
  <si>
    <t>ОБЩЕСТВО С ОГРАНИЧЕННОЙ ОТВЕТСТВЕННОСТЬЮ "МАСТЕК"</t>
  </si>
  <si>
    <t>"МАСТЕК"</t>
  </si>
  <si>
    <t>0256012904</t>
  </si>
  <si>
    <t>РЕСПУБЛИКА БАШКОРТОСТАН,Г БЕЛОРЕЦК,УЛ ТОЧИССКОГО,27</t>
  </si>
  <si>
    <t>Шлыченко Андрей Анатольевич</t>
  </si>
  <si>
    <t>+7 (968) 119-09-99'</t>
  </si>
  <si>
    <t>56.534038,85.022721</t>
  </si>
  <si>
    <t>ОБЩЕСТВО С ОГРАНИЧЕННОЙ ОТВЕТСТВЕННОСТЬЮ ЕКАТЕРИНБУРГСКИЙ ЗАВОД СТРОИТЕЛЬНЫХ КОНСТРУКЦИЙ "КРЕПОСТЬ"</t>
  </si>
  <si>
    <t>ЕКАТЕРИНБУРГСКИЙ ЗАВОД СТРОИТЕЛЬНЫХ КОНСТРУКЦИЙ "КРЕПОСТЬ"</t>
  </si>
  <si>
    <t>6619025851</t>
  </si>
  <si>
    <t>623045, СВЕРДЛОВСКАЯ ОБЛАСТЬ, НИЖНЕСЕРГИНСКИЙ РАЙОН, ПОСЕЛОК КЛЮЧЕВАЯ, УЛИЦА СТРОИТЕЛЕЙ, ДОМ 20,..</t>
  </si>
  <si>
    <t>Ладейщиков Николай Александрович</t>
  </si>
  <si>
    <t>56.532142,85.02379</t>
  </si>
  <si>
    <t>ОБЩЕСТВО С ОГРАНИЧЕННОЙ ОТВЕТСТВЕННОСТЬЮ "ТЕПЛЫЙ ДОМ +"</t>
  </si>
  <si>
    <t>"ТЕПЛЫЙ ДОМ +"</t>
  </si>
  <si>
    <t>5614083368</t>
  </si>
  <si>
    <t>462411, ОРЕНБУРГСКАЯ ОБЛ, ОРСК Г, КАНДАГАЧСКАЯ УЛ, ДОМ 33, КАБИНЕТ 1</t>
  </si>
  <si>
    <t>Бывшев Константин Сергеевич</t>
  </si>
  <si>
    <t>56.444867,85.024958</t>
  </si>
  <si>
    <t>5614057270</t>
  </si>
  <si>
    <t>462428, ОРЕНБУРГСКАЯ ОБЛ, ОРСК Г, МАШИНОСТРОИТЕЛЕЙ УЛ, ДОМ 16,..</t>
  </si>
  <si>
    <t>56.484625,85.032899</t>
  </si>
  <si>
    <t>ОБЩЕСТВО С ОГРАНИЧЕННОЙ ОТВЕТСТВЕННОСТЬЮ "ТЕПЛЫЙ ДОМ56"</t>
  </si>
  <si>
    <t>"ТЕПЛЫЙ ДОМ56"</t>
  </si>
  <si>
    <t>5614082847</t>
  </si>
  <si>
    <t>462428, ОРЕНБУРГСКАЯ ОБЛАСТЬ, ГОРОД ОРСК, УЛИЦА МАШИНОСТРОИТЕЛЕЙ, ДОМ 16,..</t>
  </si>
  <si>
    <t>56.417416,85.041505</t>
  </si>
  <si>
    <t>АКЦИОНЕРНОЕ ОБЩЕСТВО СПЕЦИАЛИЗИРОВАННЫЙ ЗАСТРОЙЩИК "КИРОВСКИЙ СЕЛЬСКИЙ СТРОИТЕЛЬНЫЙ КОМБИНАТ"</t>
  </si>
  <si>
    <t>СПЕЦИАЛИЗИРОВАННЫЙ ЗАСТРОЙЩИК "КИРОВСКИЙ СЕЛЬСКИЙ СТРОИТЕЛЬНЫЙ КОМБИНАТ"</t>
  </si>
  <si>
    <t>4345146992</t>
  </si>
  <si>
    <t>http://kirovssk.ru</t>
  </si>
  <si>
    <t>Г КИРОВ,П РАДУЖНЫЙ, УЛ ПРОИЗВОДСТВЕННАЯ, Д 9</t>
  </si>
  <si>
    <t>Крутихин Иван Денисович</t>
  </si>
  <si>
    <t>56.521487,85.108968</t>
  </si>
  <si>
    <t>5310016120</t>
  </si>
  <si>
    <t>НОВГОРОДСКАЯ ОБЛ.,НОВГОРОДСКИЙ Р-Н,PП ПАНКОВКА,УЛ ПРОМЫШЛЕННАЯ Д 6</t>
  </si>
  <si>
    <t>Филиппов Александр Леонидович</t>
  </si>
  <si>
    <t>zaosd@mail.ru', 'stroidet@bk.ru'</t>
  </si>
  <si>
    <t>ОБЩЕСТВО С ОГРАНИЧЕННОЙ ОТВЕТСТВЕННОСТЬЮ "ВЯТРЕМСТРОЙ"</t>
  </si>
  <si>
    <t>"ВЯТРЕМСТРОЙ"</t>
  </si>
  <si>
    <t>4312135794</t>
  </si>
  <si>
    <t>КИРОВСКАЯ ОБЛ.,Г КИРОВО-ЧЕПЕЦК,УЛ ЭНЕРГЕТИКОВ, Д 16</t>
  </si>
  <si>
    <t>Богачук Валерий Степанович</t>
  </si>
  <si>
    <t>+7 (912) 822-12-52'</t>
  </si>
  <si>
    <t>52.519125,85.125479</t>
  </si>
  <si>
    <t>ОБЩЕСТВО С ОГРАНИЧЕННОЙ ОТВЕТСТВЕННОСТЬЮ "ЭФФЕКТИВНЫЕ ТЕХНОЛОГИИ СТРОИТЕЛЬСТВА"</t>
  </si>
  <si>
    <t>"ЭФФЕКТИВНЫЕ ТЕХНОЛОГИИ СТРОИТЕЛЬСТВА"</t>
  </si>
  <si>
    <t>4345420797</t>
  </si>
  <si>
    <t>Г КИРОВ,УЛ ДЕРЕНДЯЕВА, Д 23 ОФИС 109</t>
  </si>
  <si>
    <t>Подлевских Екатерина Николаевна</t>
  </si>
  <si>
    <t>+7 (909) 133-73-65'</t>
  </si>
  <si>
    <t>1402011269</t>
  </si>
  <si>
    <t>РЕСПУБЛИКА САХА (ЯКУТИЯ),Г АЛДАН,УЛ СЛЕПНЕВА, Д 79</t>
  </si>
  <si>
    <t>Гаврильчик Александр Васильевич</t>
  </si>
  <si>
    <t>52.51399,85.126198</t>
  </si>
  <si>
    <t>ОБЩЕСТВО С ОГРАНИЧЕННОЙ ОТВЕТСТВЕННОСТЬЮ "СПТК"</t>
  </si>
  <si>
    <t>"СПТК"</t>
  </si>
  <si>
    <t>6161076837</t>
  </si>
  <si>
    <t>КИРОВСКАЯ ОБЛ.,PП ДАРОВСКОЙ,УЛ ПОБЕДЫ, Д 1</t>
  </si>
  <si>
    <t>Смирнов Сергей Юрьевич</t>
  </si>
  <si>
    <t>+7 (928) 226-51-28'</t>
  </si>
  <si>
    <t>ОБЩЕСТВО С ОГРАНИЧЕННОЙ ОТВЕТСТВЕННОСТЬЮ "ПРЕМИУМ ГРУПП"</t>
  </si>
  <si>
    <t>"ПРЕМИУМ ГРУПП"</t>
  </si>
  <si>
    <t>5610160251</t>
  </si>
  <si>
    <t>ОРЕНБУРГСКАЯ ОБЛ.,Г ОРСК,УЛ БРАТСКАЯ Д 50Б</t>
  </si>
  <si>
    <t>Джуламанов Нурале Киниспаевич</t>
  </si>
  <si>
    <t>+7 (987) 847-60-54'</t>
  </si>
  <si>
    <t>ОБЩЕСТВО С ОГРАНИЧЕННОЙ ОТВЕТСТВЕННОСТЬЮ "Эдаль"</t>
  </si>
  <si>
    <t>"Эдаль"</t>
  </si>
  <si>
    <t>0267019323</t>
  </si>
  <si>
    <t>453832, Республика Башкортостан, г Сибай, ул Кленовая,15а</t>
  </si>
  <si>
    <t>Гимадиев Эдуард Рафисович</t>
  </si>
  <si>
    <t>+7 (937) 332-57-68', '+7 (937) 332-57-88'</t>
  </si>
  <si>
    <t>52.50743,85.131067</t>
  </si>
  <si>
    <t>ОБЩЕСТВО С ОГРАНИЧЕННОЙ ОТВЕТСТВЕННОСТЬЮ "КОРПОРАЦИЯ-Р"</t>
  </si>
  <si>
    <t>"КОРПОРАЦИЯ-Р"</t>
  </si>
  <si>
    <t>0267020086</t>
  </si>
  <si>
    <t>453838, БАШКОРТОСТАН РЕСПУБЛИКА, Г. СИБАЙ, УЛ. КУЙБЫШЕВА, Д. 20</t>
  </si>
  <si>
    <t>Зайдуллин Роман Ринатович</t>
  </si>
  <si>
    <t>89093505101@bk.ru'</t>
  </si>
  <si>
    <t>52.492282,85.145413</t>
  </si>
  <si>
    <t>ОБЩЕСТВО С ОГРАНИЧЕННОЙ ОТВЕТСТВЕННОСТЬЮ "ПРОМПОЛИМЕР"</t>
  </si>
  <si>
    <t>"ПРОМПОЛИМЕР"</t>
  </si>
  <si>
    <t>0267024450</t>
  </si>
  <si>
    <t>453839, Республика Башкортостан, ГОРОД СИБАЙ, Г. СИБАЙ, УЛ РЕЧНАЯ, ЗД. 1</t>
  </si>
  <si>
    <t>Синицын Владислав Валерьевич</t>
  </si>
  <si>
    <t>SIN@YANDEX.RU'</t>
  </si>
  <si>
    <t>ОБЩЕСТВО С ОГРАНИЧЕННОЙ ОТВЕТСТВЕННОСТЬЮ "Новые технологии"</t>
  </si>
  <si>
    <t>"Новые технологии"</t>
  </si>
  <si>
    <t>0267017750</t>
  </si>
  <si>
    <t>453838, Республика Башкортостан, г Сибай, шоссе Индустриальное,1/3</t>
  </si>
  <si>
    <t>Карманов Михаил Петрович</t>
  </si>
  <si>
    <t>+7 (937) 312-19-22'</t>
  </si>
  <si>
    <t>technologii@yandex.ru'</t>
  </si>
  <si>
    <t>56.500676,85.178147</t>
  </si>
  <si>
    <t>0267018464</t>
  </si>
  <si>
    <t>453837, БАШКОРТОСТАН РЕСПУБЛИКА, ГОРОД СИБАЙ, ПРОЕЗД ЮЖНЫЙ ИНДУСТРИАЛЬНЫЙ, ДОМ 7</t>
  </si>
  <si>
    <t>Азов Илья Владимирович</t>
  </si>
  <si>
    <t>sibaybuh@yandex.ru', 'sibay2016@yandex.ru'</t>
  </si>
  <si>
    <t>52.504174,85.184894</t>
  </si>
  <si>
    <t>3528226450</t>
  </si>
  <si>
    <t>ВОЛОГОДСКАЯ ОБЛ.,ГРЯЗОВЕЦКИЙ Р-Н,С СИДОРОВО</t>
  </si>
  <si>
    <t>+7 (964) 305-21-16'</t>
  </si>
  <si>
    <t>52.535748,85.251495</t>
  </si>
  <si>
    <t>ОБЩЕСТВО С ОГРАНИЧЕННОЙ ОТВЕТСТВЕННОСТЬЮ "ЭНЕРГОРЕСУРС"</t>
  </si>
  <si>
    <t>"ЭНЕРГОРЕСУРС"</t>
  </si>
  <si>
    <t>0201010030</t>
  </si>
  <si>
    <t>453623, БАШКОРТОСТАН РЕСПУБЛИКА, РАЙОН АБЗЕЛИЛОВСКИЙ, СЕЛО ЯНГЕЛЬСКОЕ, УЛИЦА ТИТОВА, 1, -, -</t>
  </si>
  <si>
    <t>Галлямов Айдар Галимьянович</t>
  </si>
  <si>
    <t>51.981036,85.85457</t>
  </si>
  <si>
    <t>ОБЩЕСТВО С ОГРАНИЧЕННОЙ ОТВЕТСТВЕННОСТЬЮ "ИРИКЛИНСКИЙ ЦЕХ ЖБИ"</t>
  </si>
  <si>
    <t>"ИРИКЛИНСКИЙ ЦЕХ ЖБИ"</t>
  </si>
  <si>
    <t>5635042242</t>
  </si>
  <si>
    <t>462803, ОРЕНБУРГСКАЯ ОБЛАСТЬ, Р-Н НОВООРСКИЙ, П ЭНЕРГЕТИК, Д. 75,..</t>
  </si>
  <si>
    <t>Белашов Алексей Алексеевич</t>
  </si>
  <si>
    <t>enggbi@mail.ru'</t>
  </si>
  <si>
    <t>51.978695,85.873677</t>
  </si>
  <si>
    <t>ОБЩЕСТВО С ОГРАНИЧЕННОЙ ОТВЕТСТВЕННОСТЬЮ  "ВОСТОРГ"</t>
  </si>
  <si>
    <t xml:space="preserve"> "ВОСТОРГ"</t>
  </si>
  <si>
    <t>7455012669</t>
  </si>
  <si>
    <t>457693, Челябинская область, Верхнеуральский район, п Смеловский, пер Первомайский, д 5-а</t>
  </si>
  <si>
    <t>Рудик Дмитрий Владимирович</t>
  </si>
  <si>
    <t>+7 (919) 333-64-68', '+7 (904) 800-80-10'</t>
  </si>
  <si>
    <t>anna_fomf@mai.ru'</t>
  </si>
  <si>
    <t>51.983693,85.886092</t>
  </si>
  <si>
    <t>ОБЩЕСТВО С ОГРАНИЧЕННОЙ ОТВЕТСТВЕННОСТЬЮ "САТКИНСКАЯ БЕТОННАЯ КОМПАНИЯ"</t>
  </si>
  <si>
    <t>"САТКИНСКАЯ БЕТОННАЯ КОМПАНИЯ"</t>
  </si>
  <si>
    <t>7457009862</t>
  </si>
  <si>
    <t>456913, ЧЕЛЯБИНСКАЯ ОБЛАСТЬ, Р-Н САТКИНСКИЙ, Г. САТКА, МКР ЗАПАДНЫЙ, Д. 13,..</t>
  </si>
  <si>
    <t>Гилёв Сергей Николаевич</t>
  </si>
  <si>
    <t>+7 (908) 064-86-74'</t>
  </si>
  <si>
    <t>51.96771,85.897006</t>
  </si>
  <si>
    <t>АКЦИОНЕРНОЕ ОБЩЕСТВО "ПАРТНЕР"</t>
  </si>
  <si>
    <t>7456025445</t>
  </si>
  <si>
    <t>455017, Челябинская область, г Магнитогорск, ул Вокзальная, д 2, корп 1</t>
  </si>
  <si>
    <t>Альфер Василий Ростиславович</t>
  </si>
  <si>
    <t>NATAPSK@BK.RU'</t>
  </si>
  <si>
    <t>51.954585,85.946926</t>
  </si>
  <si>
    <t>ОБЩЕСТВО С ОГРАНИЧЕННОЙ ОТВЕТСТВЕННОСТЬЮ "АЙСБЕРГ"</t>
  </si>
  <si>
    <t>"АЙСБЕРГ"</t>
  </si>
  <si>
    <t>5321174960</t>
  </si>
  <si>
    <t>НОВГОРОДСКАЯ ОБЛ.,НОВГОРОДСКИЙ Р-Н,PП ПАНКОВКА,УЛ ОКТЯБРЬСКАЯ Д 3</t>
  </si>
  <si>
    <t>Агуреев Андрей Александрович</t>
  </si>
  <si>
    <t>55.334086,85.97339</t>
  </si>
  <si>
    <t>ОБЩЕСТВО С ОГРАНИЧЕННОЙ ОТВЕТСТВЕННОСТЬЮ "ЭЛЕФАНТ"</t>
  </si>
  <si>
    <t>"ЭЛЕФАНТ"</t>
  </si>
  <si>
    <t>7455021769</t>
  </si>
  <si>
    <t>455034, ЧЕЛЯБИНСКАЯ ОБЛАСТЬ, ГОРОД МАГНИТОГОРСК, УЛИЦА СОВЕТСКАЯ, ДОМ 174,..</t>
  </si>
  <si>
    <t>Манукян Самвел Андраники</t>
  </si>
  <si>
    <t>+7 (909) 093-12-63', '+7 (964) 246-52-53'</t>
  </si>
  <si>
    <t>ms@mail.ru'</t>
  </si>
  <si>
    <t>55.286404,85.975618</t>
  </si>
  <si>
    <t>ОБЩЕСТВО С ОГРАНИЧЕННОЙ ОТВЕТСТВЕННОСТЬЮ "УРАЛЬСКИЙ КАМЕНЬ"</t>
  </si>
  <si>
    <t>"УРАЛЬСКИЙ КАМЕНЬ"</t>
  </si>
  <si>
    <t>7455036116</t>
  </si>
  <si>
    <t>455008, ЧЕЛЯБИНСКАЯ ОБЛАСТЬ, ГОРОД МАГНИТОГОРСК, УЛИЦА ЖУКОВА, ДОМ 21,..</t>
  </si>
  <si>
    <t>Сарбулатов Тимур Васильевич</t>
  </si>
  <si>
    <t>51.894779,85.990323</t>
  </si>
  <si>
    <t>ОБЩЕСТВО С ОГРАНИЧЕННОЙ ОТВЕТСТВЕННОСТЬЮ "БЕТОНИТИ"</t>
  </si>
  <si>
    <t>"БЕТОНИТИ"</t>
  </si>
  <si>
    <t>7444059369</t>
  </si>
  <si>
    <t>455000, ЧЕЛЯБИНСКАЯ ОБЛ, МАГНИТОГОРСК Г, УРИЦКОГО УЛ, 20, 4</t>
  </si>
  <si>
    <t>Гречкина Ирина Раисовна</t>
  </si>
  <si>
    <t>+7 (964) 245-86-00'</t>
  </si>
  <si>
    <t>55.360955,85.991258</t>
  </si>
  <si>
    <t>ОБЩЕСТВО С ОГРАНИЧЕННОЙ ОТВЕТСТВЕННОСТЬЮ "ТЕХНО-ТРЕЙДИНГ"</t>
  </si>
  <si>
    <t>"ТЕХНО-ТРЕЙДИНГ"</t>
  </si>
  <si>
    <t>7455019671</t>
  </si>
  <si>
    <t>455021, ЧЕЛЯБИНСКАЯ ОБЛ., Г. Магнитогорск, УЛ. ВОРОШИЛОВА, Д. 26, ПОМЕЩ. 2</t>
  </si>
  <si>
    <t>Бугаева Олеся Вячеславовна</t>
  </si>
  <si>
    <t>+7 (982) 114-25-31'</t>
  </si>
  <si>
    <t>ОБЩЕСТВО С ОГРАНИЧЕННОЙ ОТВЕТСТВЕННОСТЬЮ "КАЛИПСО-СТРОЙДЕКОР"</t>
  </si>
  <si>
    <t>"КАЛИПСО-СТРОЙДЕКОР"</t>
  </si>
  <si>
    <t>7456043363</t>
  </si>
  <si>
    <t>455000, ЧЕЛЯБИНСКАЯ ОБЛ, МАГНИТОГОРСК Г, КОМСОМОЛЬСКАЯ УЛ, ДОМ 17,..</t>
  </si>
  <si>
    <t>Ненюков Константин Викторович</t>
  </si>
  <si>
    <t>54.293876,85.994222</t>
  </si>
  <si>
    <t>ОБЩЕСТВО С ОГРАНИЧЕННОЙ ОТВЕТСТВЕННОСТЬЮ "ФАСАД ПОЛИМЕР ПЛАСТ"</t>
  </si>
  <si>
    <t>"ФАСАД ПОЛИМЕР ПЛАСТ"</t>
  </si>
  <si>
    <t>7445036999</t>
  </si>
  <si>
    <t>http://fasadpolimer.com</t>
  </si>
  <si>
    <t>455021, ЧЕЛЯБИНСКАЯ ОБЛАСТЬ, ГОРОД МАГНИТОГОРСК, ПРОЕЗД СИРЕНЕВЫЙ, 23, 77</t>
  </si>
  <si>
    <t>Федорук Владимир Юрьевич</t>
  </si>
  <si>
    <t>51.892834,85.995596</t>
  </si>
  <si>
    <t>ОБЩЕСТВО С ОГРАНИЧЕННОЙ ОТВЕТСТВЕННОСТЬЮ "МАГСТРОЙ"</t>
  </si>
  <si>
    <t>"МАГСТРОЙ"</t>
  </si>
  <si>
    <t>7455034341</t>
  </si>
  <si>
    <t>455007, ЧЕЛЯБИНСКАЯ ОБЛАСТЬ, ГОРОД МАГНИТОГОРСК, УЛИЦА ЗАВОДСКАЯ, ДОМ 6, ЭТАЖ 3, ОФИС 5</t>
  </si>
  <si>
    <t>Аветисян Давит Агванович</t>
  </si>
  <si>
    <t>51.97424,86.001714</t>
  </si>
  <si>
    <t>7455041490</t>
  </si>
  <si>
    <t>455010, Челябинская область, городской округ МАГНИТОГОРСКИЙ, Город МАГНИТОГОРСК, УЛ ЧКАЛОВА, Д. 80,</t>
  </si>
  <si>
    <t>Мелконян Товмас Максимович</t>
  </si>
  <si>
    <t>55.322512,86.068513</t>
  </si>
  <si>
    <t>ОБЩЕСТВО С ОГРАНИЧЕННОЙ ОТВЕТСТВЕННОСТЬЮ "БРУ ТЕХНОСТРОЙ"</t>
  </si>
  <si>
    <t>"БРУ ТЕХНОСТРОЙ"</t>
  </si>
  <si>
    <t>7455034750</t>
  </si>
  <si>
    <t>455013, ЧЕЛЯБИНСКАЯ ОБЛАСТЬ, ГОРОД МАГНИТОГОРСК, УЛИЦА ЛАЗНИКА, ДОМ 52, ОФИС 1</t>
  </si>
  <si>
    <t>Привалова Людмила Викторовна</t>
  </si>
  <si>
    <t>55.393487,86.070606</t>
  </si>
  <si>
    <t>ОБЩЕСТВО С ОГРАНИЧЕННОЙ ОТВЕТСТВЕННОСТЬЮ "ЖЕЛЕЗОБЕТОН-2"</t>
  </si>
  <si>
    <t>"ЖЕЛЕЗОБЕТОН-2"</t>
  </si>
  <si>
    <t>3528004263</t>
  </si>
  <si>
    <t>ВОЛОГОДСКАЯ ОБЛ.,Г ЧЕРЕПОВЕЦ,УЛ СТРОЙИНДУСТРИИ, Д 9</t>
  </si>
  <si>
    <t>Чугунова Эльвира Викторовна</t>
  </si>
  <si>
    <t>+7 (921) 053-23-78'</t>
  </si>
  <si>
    <t>gb2belyaeva@mail.ru', '2@mail.ru'</t>
  </si>
  <si>
    <t>ОБЩЕСТВО С ОГРАНИЧЕННОЙ ОТВЕТСТВЕННОСТЬЮ "СЕВЕРПЛАСТСТРОЙ"</t>
  </si>
  <si>
    <t>"СЕВЕРПЛАСТСТРОЙ"</t>
  </si>
  <si>
    <t>3525343846</t>
  </si>
  <si>
    <t>ВОЛОГОДСКАЯ ОБЛ.,Г ЧЕРЕПОВЕЦ,СОВЕТСКИЙ ПРОСП, Д 35-А</t>
  </si>
  <si>
    <t>Аникиева Кира Юрьевна</t>
  </si>
  <si>
    <t>55.362521,86.070624</t>
  </si>
  <si>
    <t>3528090544</t>
  </si>
  <si>
    <t>ВОЛОГОДСКАЯ ОБЛ.,Г ЧЕРЕПОВЕЦ,УЛ БЕЛЯЕВА, Д 16-А</t>
  </si>
  <si>
    <t>Котенко Игорь Валериевич</t>
  </si>
  <si>
    <t>+7 (921) 540-32-65'</t>
  </si>
  <si>
    <t>55.392817,86.084242</t>
  </si>
  <si>
    <t>ОБЩЕСТВО С ОГРАНИЧЕННОЙ ОТВЕТСТВЕННОСТЬЮ "ЕВРОАЭРОБЕТОН"</t>
  </si>
  <si>
    <t>"ЕВРОАЭРОБЕТОН"</t>
  </si>
  <si>
    <t>4707036979</t>
  </si>
  <si>
    <t>ЛЕНИНГРАДСКАЯ ОБЛ.,Г СЛАНЦЫ,УЛ БАРАНОВА, 1</t>
  </si>
  <si>
    <t>+7 (812) 559-79-24', '+7 (812) 313-56-34'</t>
  </si>
  <si>
    <t>55.352015,86.084278</t>
  </si>
  <si>
    <t>ОБЩЕСТВО С ОГРАНИЧЕННОЙ ОТВЕТСТВЕННОСТЬЮ "КРОКК"</t>
  </si>
  <si>
    <t>"КРОКК"</t>
  </si>
  <si>
    <t>3528056568</t>
  </si>
  <si>
    <t>ВОЛОГОДСКАЯ ОБЛ.,Г ЧЕРЕПОВЕЦ,УЛ ЧКАЛОВА, Д 23-А</t>
  </si>
  <si>
    <t>Мамедов Разим Суджаддин Оглы</t>
  </si>
  <si>
    <t>+7 (951) 733-45-34'</t>
  </si>
  <si>
    <t>55.312363,86.106574</t>
  </si>
  <si>
    <t>АКЦИОНЕРНОЕ ОБЩЕСТВО "ЧЕРЕПОВЕЦКИЙ ЗАВОД СИЛИКАТНОГО КИРПИЧА"</t>
  </si>
  <si>
    <t>"ЧЕРЕПОВЕЦКИЙ ЗАВОД СИЛИКАТНОГО КИРПИЧА"</t>
  </si>
  <si>
    <t>3528008268</t>
  </si>
  <si>
    <t>http://silicatbrick.ru</t>
  </si>
  <si>
    <t>ВОЛОГОДСКАЯ ОБЛ.,Г ЧЕРЕПОВЕЦ,УЛ ЛЕДНЕВА, Д 2</t>
  </si>
  <si>
    <t>Окатов Сергей Анатольевич</t>
  </si>
  <si>
    <t>silcher@mail.ru'</t>
  </si>
  <si>
    <t>55.328253,86.130604</t>
  </si>
  <si>
    <t>ОБЩЕСТВО  С  ОГРАНИЧЕННОЙ   ОТВЕТСТВЕННОСТЬЮ  " БЛОК"</t>
  </si>
  <si>
    <t>7425002046</t>
  </si>
  <si>
    <t>ЧЕЛЯБИНСКАЯ ОБЛ.,АГАПОВСКИЙ Р-Н,С АГАПОВКА,УЛ ТРУДА, Д 9</t>
  </si>
  <si>
    <t>Максимов Антон Владимирович</t>
  </si>
  <si>
    <t>50.738549,86.149289</t>
  </si>
  <si>
    <t>ОБЩЕСТВО С ОГРАНИЧЕННОЙ ОТВЕТСТВЕННОСТЬЮ "ЖЕЛЕЗОБЕТОН-35"</t>
  </si>
  <si>
    <t>"ЖЕЛЕЗОБЕТОН-35"</t>
  </si>
  <si>
    <t>3525316352</t>
  </si>
  <si>
    <t>Г ВОЛОГДА,УЛ НОВГОРОДСКАЯ, Д 33-А,..</t>
  </si>
  <si>
    <t>Перов Евгений Владимирович</t>
  </si>
  <si>
    <t>54.663115,86.152882</t>
  </si>
  <si>
    <t>ОБЩЕСТВО С ОГРАНИЧЕННОЙ ОТВЕТСТВЕННОСТЬЮ "НАР"</t>
  </si>
  <si>
    <t>"НАР"</t>
  </si>
  <si>
    <t>1512008318</t>
  </si>
  <si>
    <t>РЕСПУБЛИКА СЕВЕРНАЯ ОСЕТИЯ-АЛАНИЯ,ПРИГОРОДНЫЙ Р-Н,С МИХАЙЛОВСКОЕ</t>
  </si>
  <si>
    <t>Торчинов Алихан Александрович</t>
  </si>
  <si>
    <t>+7 (928) 484-80-22'</t>
  </si>
  <si>
    <t>55.304775,86.1658</t>
  </si>
  <si>
    <t>ОБЩЕСТВО С ОГРАНИЧЕННОЙ ОТВЕТСТВЕННОСТЬЮ "ФОРЕСТРЕСУРС"</t>
  </si>
  <si>
    <t>"ФОРЕСТРЕСУРС"</t>
  </si>
  <si>
    <t>3525345427</t>
  </si>
  <si>
    <t>Г ВОЛОГДА,УЛ КОЗЛЕНСКАЯ, Д 35</t>
  </si>
  <si>
    <t>Пашкова Светлана Валентиновна</t>
  </si>
  <si>
    <t>+7 (921) 714-25-02'</t>
  </si>
  <si>
    <t>55.349962,86.167049</t>
  </si>
  <si>
    <t>ОБЩЕСТВО С ОГРАНИЧЕННОЙ ОТВЕТСТВЕННОСТЬЮ "ПРОИЗВОДСТВЕННАЯ КОМПАНИЯ СТРОЙБЛОК"</t>
  </si>
  <si>
    <t>"ПРОИЗВОДСТВЕННАЯ КОМПАНИЯ СТРОЙБЛОК"</t>
  </si>
  <si>
    <t>7455037222</t>
  </si>
  <si>
    <t>457670, ЧЕЛЯБИНСКАЯ ОБЛАСТЬ, ВЕРХНЕУРАЛЬСКИЙ РАЙОН, ГОРОД ВЕРХНЕУРАЛЬСК, УЛИЦА ЛЕНИНА, ДОМ 99</t>
  </si>
  <si>
    <t>Шумков Максим Сергеевич</t>
  </si>
  <si>
    <t>55.354543,86.170489</t>
  </si>
  <si>
    <t>ОБЩЕСТВО С ОГРАНИЧЕННОЙ ОТВЕТСТВЕННОСТЬЮ "РОДНИК"</t>
  </si>
  <si>
    <t>"РОДНИК"</t>
  </si>
  <si>
    <t>7425757488</t>
  </si>
  <si>
    <t>457677, ЧЕЛЯБИНСКАЯ ОБЛАСТЬ, РАЙОН ВЕРХНЕУРАЛЬСКИЙ, РАБОЧИЙ ПОСЕЛОК МЕЖОЗЕРНЫЙ, УЛИЦА СТРОИТЕЛЕЙ, ДОМ 6, ОФИС 1</t>
  </si>
  <si>
    <t>Тимохин Павел Анатольевич</t>
  </si>
  <si>
    <t>55.338167,86.185689</t>
  </si>
  <si>
    <t>ОБЩЕСТВО С ОГРАНИЧЕННОЙ ОТВЕТСТВЕННОСТЬЮ "ТЕТИС"</t>
  </si>
  <si>
    <t>"ТЕТИС"</t>
  </si>
  <si>
    <t>4707018465</t>
  </si>
  <si>
    <t>ЛЕНИНГРАДСКАЯ ОБЛ.,Г ИВАНГОРОД,УЛ ГАГАРИНА, 1..</t>
  </si>
  <si>
    <t>Исаханян Грачя Арташесович</t>
  </si>
  <si>
    <t>53.856705,86.646579</t>
  </si>
  <si>
    <t>ОБЩЕСТВО С ОГРАНИЧЕННОЙ ОТВЕТСТВЕННОСТЬЮ "Уралтехника - Север"</t>
  </si>
  <si>
    <t>"Уралтехника - Север"</t>
  </si>
  <si>
    <t>5911044354</t>
  </si>
  <si>
    <t>ПЕРМСКИЙ КРАЙ,Г БЕРЕЗНИКИ,ПР ЛЕНИНА 47-35</t>
  </si>
  <si>
    <t>Мартьянов Александр Борисович</t>
  </si>
  <si>
    <t>+7 (901) 268-90-75', '+7 (912) 788-30-67', '+7 (342) 236-69-48'</t>
  </si>
  <si>
    <t>53.959802,86.716971</t>
  </si>
  <si>
    <t>ОТКРЫТОЕ АКЦИОНЕРНОЕ ОБЩЕСТВО "ГУМБЕЙКААГРОПРОМСТРОЙДЕТАЛЬ"</t>
  </si>
  <si>
    <t>ОТКРЫТОЕ "ГУМБЕЙКААГРОПРОМСТРОЙДЕТАЛЬ"</t>
  </si>
  <si>
    <t>7425003057</t>
  </si>
  <si>
    <t>ЧЕЛЯБИНСКАЯ ОБЛ.,АГАПОВСКИЙ Р-Н,П ГУМБЕЙКА,УЛ СТАНЦИОННАЯ, Д 11</t>
  </si>
  <si>
    <t>Ушакова Тамара Николаевна</t>
  </si>
  <si>
    <t>56.709294,86.807045</t>
  </si>
  <si>
    <t>ОБЩЕСТВО С ОГРАНИЧЕННОЙ ОТВЕТСТВЕННОСТЬЮ "Тодос - М"</t>
  </si>
  <si>
    <t>"Тодос - М"</t>
  </si>
  <si>
    <t>5911013331</t>
  </si>
  <si>
    <t>ПЕРМСКИЙ КРАЙ,Г БЕРЕЗНИКИ,УЛ НОВОСОДОВАЯ 36</t>
  </si>
  <si>
    <t>Третьяков Виталий Евгеньевич</t>
  </si>
  <si>
    <t>+7 (912) 888-89-76'</t>
  </si>
  <si>
    <t>55.004158,86.948242</t>
  </si>
  <si>
    <t>ОБЩЕСТВО С ОГРАНИЧЕННОЙ ОТВЕТСТВЕННОСТЬЮ "ЗАПСИБНЕФТЕСТРОЙ"</t>
  </si>
  <si>
    <t>"ЗАПСИБНЕФТЕСТРОЙ"</t>
  </si>
  <si>
    <t>6681003909</t>
  </si>
  <si>
    <t>624350, СВЕРДЛОВСКАЯ ОБЛ, Г КАЧКАНАР, УЛ ПРОМЗОНА</t>
  </si>
  <si>
    <t>Головко Татьяна Степановна</t>
  </si>
  <si>
    <t>09@mail.ru'</t>
  </si>
  <si>
    <t>53.753576,87.104908</t>
  </si>
  <si>
    <t>ОБЩЕСТВО С ОГРАНИЧЕННОЙ ОТВЕТСТВЕННОСТЬЮ "КАЧКАНАРТРАНСЖЕЛЕЗОБЕТОН"</t>
  </si>
  <si>
    <t>"КАЧКАНАРТРАНСЖЕЛЕЗОБЕТОН"</t>
  </si>
  <si>
    <t>6681011498</t>
  </si>
  <si>
    <t>624350, СВЕРДЛОВСКАЯ ОБЛАСТЬ, ГОРОД КАЧКАНАР, УЛИЦА ПРОМЗОНА</t>
  </si>
  <si>
    <t>53.743135,87.115535</t>
  </si>
  <si>
    <t>ОБЩЕСТВО С ОГРАНИЧЕННОЙ ОТВЕТСТВЕННОСТЬЮ СТРОИТЕЛЬНО-ПРОИЗВОДСТВЕННАЯ КОМПАНИЯ "АРТ"</t>
  </si>
  <si>
    <t>СТРОИТЕЛЬНО-ПРОИЗВОДСТВЕННАЯ КОМПАНИЯ "АРТ"</t>
  </si>
  <si>
    <t>6681007269</t>
  </si>
  <si>
    <t>624351, СВЕРДЛОВСКАЯ ОБЛ, Г КАЧКАНАР, УЛ НЕКРАСОВА, Д 16</t>
  </si>
  <si>
    <t>Гимадиев Асгать Хуззатович</t>
  </si>
  <si>
    <t>+7 (953) 000-79-68', '+7 (922) 604-84-55', '+7 (982) 653-86-83', '+7 (950) 545-06-53'</t>
  </si>
  <si>
    <t>gtgzima1062@mail.ru'</t>
  </si>
  <si>
    <t>53.760512,87.12371</t>
  </si>
  <si>
    <t>ОБЩЕСТВО С ОГРАНИЧЕННОЙ ОТВЕТСТВЕННОСТЬЮ "ИНВИКТУМ"</t>
  </si>
  <si>
    <t>"ИНВИКТУМ"</t>
  </si>
  <si>
    <t>4909129802</t>
  </si>
  <si>
    <t>49-Магаданская область</t>
  </si>
  <si>
    <t>685000, МАГАДАНСКАЯ ОБЛ., Г. Магадан, ПЕР. МАРЧЕКАНСКИЙ, ЗД. 39</t>
  </si>
  <si>
    <t>Басов Илья Дмитриевич</t>
  </si>
  <si>
    <t>INVICTUM49@MAIL.RU'</t>
  </si>
  <si>
    <t>53.793108,87.123728</t>
  </si>
  <si>
    <t>ПРОИЗВОДСТВЕННЫЙ КООПЕРАТИВ "МАГАДАНСКИЙ ЗАВОД КРУПНОПАНЕЛЬНОГО ДОМОСТРОЕНИЯ"</t>
  </si>
  <si>
    <t>4909080681</t>
  </si>
  <si>
    <t>Г МАГАДАН,УЛ ЮЖНАЯ, Д 12</t>
  </si>
  <si>
    <t>Николенко Иван Иванович</t>
  </si>
  <si>
    <t>+7 (924) 690-51-80'</t>
  </si>
  <si>
    <t>4909080681_490901001@eo.tensor', 'magadan@mail.ru', 'magadan@mail.ru1', 'mzkpd@mail.ru'</t>
  </si>
  <si>
    <t>53.784597,87.1238</t>
  </si>
  <si>
    <t>ОБЩЕСТВО С ОГРАНИЧЕННОЙ ОТВЕТСТВЕННОСТЬЮ "МАГСТРОЙИНВЕСТ+"</t>
  </si>
  <si>
    <t>"МАГСТРОЙИНВЕСТ+"</t>
  </si>
  <si>
    <t>4909126978</t>
  </si>
  <si>
    <t>685000, МАГАДАНСКАЯ ОБЛАСТЬ, ГОРОД МАГАДАН, УЛИЦА ЮЖНАЯ, ДОМ 12А</t>
  </si>
  <si>
    <t>Тороян Левон Левикович</t>
  </si>
  <si>
    <t>+7 (914) 544-48-70'</t>
  </si>
  <si>
    <t>53.891168,87.125893</t>
  </si>
  <si>
    <t>ОБЩЕСТВО С ОГРАНИЧЕННОЙ ОТВЕТСТВЕННОСТЬЮ "Магаданстройзаказ"</t>
  </si>
  <si>
    <t>"Магаданстройзаказ"</t>
  </si>
  <si>
    <t>4909103681</t>
  </si>
  <si>
    <t>685000, МАГАДАНСКАЯ ОБЛАСТЬ, Г. МАГАДАН, УЛ. ЯКУТСКАЯ, Д.71</t>
  </si>
  <si>
    <t>Кривошлык Артём Романович</t>
  </si>
  <si>
    <t>53.768289,87.135064</t>
  </si>
  <si>
    <t>ОБЩЕСТВО С ОГРАНИЧЕННОЙ ОТВЕТСТВЕННОСТЬЮ "КОРК"</t>
  </si>
  <si>
    <t>"КОРК"</t>
  </si>
  <si>
    <t>4909130318</t>
  </si>
  <si>
    <t>685030, Магаданская область, городской округ ГОРОД МАГАДАН, Город МАГАДАН, УЛ ПРОЛЕТАРСКАЯ, Д. 84, К. 2, ОФИС 14</t>
  </si>
  <si>
    <t>Ковальчук Юрий Борисович</t>
  </si>
  <si>
    <t>KOVALCHUKYB@MAIL.RU'</t>
  </si>
  <si>
    <t>53.752383,87.136933</t>
  </si>
  <si>
    <t>ОБЩЕСТВО С ОГРАНИЧЕННОЙ ОТВЕТСТВЕННОСТЬЮ "СТРОЙЗАКАЗ"</t>
  </si>
  <si>
    <t>"СТРОЙЗАКАЗ"</t>
  </si>
  <si>
    <t>4909080956</t>
  </si>
  <si>
    <t>Г МАГАДАН,УЛ ЯКУТСКАЯ, Д 71</t>
  </si>
  <si>
    <t>Михайлов Александр Анатольевич</t>
  </si>
  <si>
    <t>zakaz@mail.ru'</t>
  </si>
  <si>
    <t>53.743577,87.154809</t>
  </si>
  <si>
    <t>ОТКРЫТОЕ АКЦИОНЕРНОЕ ОБЩЕСТВО "ЗАВОД СТРОЙДЕТАЛЬ"</t>
  </si>
  <si>
    <t>ОТКРЫТОЕ "ЗАВОД СТРОЙДЕТАЛЬ"</t>
  </si>
  <si>
    <t>4716001877</t>
  </si>
  <si>
    <t>ЛЕНИНГРАДСКАЯ ОБЛ.,Г ТОСНО,ШОССЕ МОСКОВСКОЕ, 15</t>
  </si>
  <si>
    <t>Логинов Олег Анатольевич</t>
  </si>
  <si>
    <t>+7 (495) 729-51-23'</t>
  </si>
  <si>
    <t>53.668915,87.158735</t>
  </si>
  <si>
    <t>АКЦИОНЕРНОЕ ОБЩЕСТВО "ГАТЧИНСКИЙ ССК"</t>
  </si>
  <si>
    <t>"ГАТЧИНСКИЙ ССК"</t>
  </si>
  <si>
    <t>4705002815</t>
  </si>
  <si>
    <t>ЛЕНИНГРАДСКАЯ ОБЛ.,Г ГАТЧИНА,ПРОМЗОНА 1 КВАРТАЛ 5 ПЛОЩАДКА 1, КОРП 1</t>
  </si>
  <si>
    <t>Торопов Алексей Валентинович</t>
  </si>
  <si>
    <t>eo@78stroy.ru'</t>
  </si>
  <si>
    <t>53.758724,87.162265</t>
  </si>
  <si>
    <t>ОБЩЕСТВО С ОГРАНИЧЕННОЙ ОТВЕТСТВЕННОСТЬЮ "БИТКОМ"</t>
  </si>
  <si>
    <t>"БИТКОМ"</t>
  </si>
  <si>
    <t>7459007356</t>
  </si>
  <si>
    <t>456970, ЧЕЛЯБИНСКАЯ ОБЛАСТЬ, РАЙОН НЯЗЕПЕТРОВСКИЙ, ГОРОД НЯЗЕПЕТРОВСК, УЛИЦА ЩЕРБАКОВА, ДОМ 9А, ПОМЕЩЕНИЕ 12</t>
  </si>
  <si>
    <t>Плешков Андрей Викторович</t>
  </si>
  <si>
    <t>+7 (919) 335-40-17'</t>
  </si>
  <si>
    <t>53.849392,87.19588</t>
  </si>
  <si>
    <t>6686064479</t>
  </si>
  <si>
    <t>СВЕРДЛОВСКАЯ ОБЛ.,Г СЕРОВ,УЛ КОРОЛЕНКО Д 8..</t>
  </si>
  <si>
    <t>Суслов Владимир Николаевич</t>
  </si>
  <si>
    <t>+7 (912) 660-00-86', '+7 (912) 217-98-05', '+7 (912) 217-29-14'</t>
  </si>
  <si>
    <t>53.763855,87.218751</t>
  </si>
  <si>
    <t>ОБЩЕСТВО С ОГРАНИЧЕННОЙ ОТВЕТСТВЕННОСТЬЮ "ЗЛАТОУСТОВСКИЙ ЗАВОД СТРОИТЕЛЬНЫХ МАТЕРИАЛОВ И ЖЕЛЕЗОБЕТОННЫХ ИЗДЕЛИЙ"</t>
  </si>
  <si>
    <t>"ЗЛАТОУСТОВСКИЙ ЗАВОД СТРОИТЕЛЬНЫХ МАТЕРИАЛОВ И ЖЕЛЕЗОБЕТОННЫХ ИЗДЕЛИЙ"</t>
  </si>
  <si>
    <t>7404054251</t>
  </si>
  <si>
    <t>456291, ЧЕЛЯБИНСКАЯ ОБЛ, ЗЛАТОУСТ Г, БАЛАШИХА П, ПРОИЗВОДСТВЕННЫЕ ПЛОЩАДИ</t>
  </si>
  <si>
    <t>Охотин Александр Владимирович</t>
  </si>
  <si>
    <t>+7 (965) 525-32-20'</t>
  </si>
  <si>
    <t>53.78048,87.224231</t>
  </si>
  <si>
    <t>ОБЩЕСТВО С ОГРАНИЧЕННОЙ ОТВЕТСТВЕННОСТЬЮ Научное производственное предприятие "Инженерно-технологическое бюро сварки"</t>
  </si>
  <si>
    <t>Научное производственное предприятие "Инженерно-технологическое бюро сварки"</t>
  </si>
  <si>
    <t>7404058305</t>
  </si>
  <si>
    <t>456217, Челябинская область, г Златоуст, ул Урицкого, д 7,..</t>
  </si>
  <si>
    <t>Ваганов Александр Владимирович</t>
  </si>
  <si>
    <t>+7 (951) 461-91-63'</t>
  </si>
  <si>
    <t>53.524402,87.272758</t>
  </si>
  <si>
    <t>6681008174</t>
  </si>
  <si>
    <t>624203, СВЕРДЛОВСКАЯ ОБЛ, Г ЛЕСНОЙ, УЛ ЧАПАЕВА, Д 6, КОМ 217</t>
  </si>
  <si>
    <t>Шуклин Вадим Васильевич</t>
  </si>
  <si>
    <t>+7 (953) 004-40-89'</t>
  </si>
  <si>
    <t>53.79296,87.29818</t>
  </si>
  <si>
    <t>ОБЩЕСТВО С ОГРАНИЧЕННОЙ ОТВЕТСТВЕННОСТЬЮ "ПРАЙМ"</t>
  </si>
  <si>
    <t>"ПРАЙМ"</t>
  </si>
  <si>
    <t>7810359640</t>
  </si>
  <si>
    <t>196158, город Санкт-Петербург, ул. Ленсовета, д. 80 литер а</t>
  </si>
  <si>
    <t>Прохошин Артем Вячеславович</t>
  </si>
  <si>
    <t>53.792603,87.30472</t>
  </si>
  <si>
    <t>ОТКРЫТОЕ АКЦИОНЕРНОЕ ОБЩЕСТВО "ГОЛОВНОЙ ЗАВОД"</t>
  </si>
  <si>
    <t>ОТКРЫТОЕ "ГОЛОВНОЙ ЗАВОД"</t>
  </si>
  <si>
    <t>7816222000</t>
  </si>
  <si>
    <t>Г САНКТ-ПЕТЕРБУРГ,ПРОЕЗД ГРУЗОВОЙ, 13</t>
  </si>
  <si>
    <t>Рулева Анна Игоревна</t>
  </si>
  <si>
    <t>+7 (812) 172-57-58', '+7 (921) 947-17-14', '+7 (812) 772-57-91', '+7 (812) 772-63-04'</t>
  </si>
  <si>
    <t>9471714@mail.ru'</t>
  </si>
  <si>
    <t>53.76707,87.597364</t>
  </si>
  <si>
    <t>ОБЩЕСТВО С ОГРАНИЧЕННОЙ ОТВЕТСТВЕННОСТЬЮ "САНКТ-ПЕТЕРБУРГСКИЙ ПРОМЫШЛЕННО - ИНДУСТРИАЛЬНЫЙ КОНЦЕРН"</t>
  </si>
  <si>
    <t>"САНКТ-ПЕТЕРБУРГСКИЙ ПРОМЫШЛЕННО - ИНДУСТРИАЛЬНЫЙ КОНЦЕРН"</t>
  </si>
  <si>
    <t>7816276870</t>
  </si>
  <si>
    <t>Г САНКТ-ПЕТЕРБУРГ,ШОССЕ ПЕТЕРГОФСКОЕ, 73</t>
  </si>
  <si>
    <t>Азаренок Александр Сергеевич</t>
  </si>
  <si>
    <t>+7 (812) 219-51-26'</t>
  </si>
  <si>
    <t>53.733916,87.685516</t>
  </si>
  <si>
    <t>АКЦИОНЕРНОЕ ОБЩЕСТВО "ДОМОСТРОИТЕЛЬНЫЙ КОМБИНАТ №3"</t>
  </si>
  <si>
    <t>"ДОМОСТРОИТЕЛЬНЫЙ КОМБИНАТ №3"</t>
  </si>
  <si>
    <t>7830000391</t>
  </si>
  <si>
    <t>Г САНКТ-ПЕТЕРБУРГ,УЛ АВТОВСКАЯ, 31</t>
  </si>
  <si>
    <t>Занкин Дмитрий Борисович</t>
  </si>
  <si>
    <t>+7 (812) 184-63-77', '+7 (812) 784-15-10', '+7 (812) 184-95-92', '+7 (812) 605-64-15', '+7 (812) 605-64-28'</t>
  </si>
  <si>
    <t>Gubanova@patriot-engineering'</t>
  </si>
  <si>
    <t>56.487498,88.977087</t>
  </si>
  <si>
    <t>ОБЩЕСТВО С ОГРАНИЧЕННОЙ ОТВЕТСТВЕННОСТЬЮ "МИА"</t>
  </si>
  <si>
    <t>"МИА"</t>
  </si>
  <si>
    <t>7811576599</t>
  </si>
  <si>
    <t>Г САНКТ-ПЕТЕРБУРГ,УЛ СОФИЙСКАЯ, 6</t>
  </si>
  <si>
    <t>Ахмедов Абдулгахид Магамбег Оглы</t>
  </si>
  <si>
    <t>+7 (812) 135-94-44', '+7 (911) 751-96-13'</t>
  </si>
  <si>
    <t>55.533659,89.185226</t>
  </si>
  <si>
    <t>ОБЩЕСТВО С ОГРАНИЧЕННОЙ ОТВЕТСТВЕННОСТЬЮ  "СТАНДАРТ 21"</t>
  </si>
  <si>
    <t xml:space="preserve"> "СТАНДАРТ 21"</t>
  </si>
  <si>
    <t>7810469851</t>
  </si>
  <si>
    <t>http://standard21.ru</t>
  </si>
  <si>
    <t xml:space="preserve"> СПБ, ЛАТЫШСКИХ СТРЕЛКОВ 2-2-107</t>
  </si>
  <si>
    <t>Шкунтик Филипп Игоревич</t>
  </si>
  <si>
    <t>+7 (812) 542-15-93', '+7 (921) 333-79-31', '+7 (911) 039-49-34'</t>
  </si>
  <si>
    <t>54.350421,89.278202</t>
  </si>
  <si>
    <t>Общество с ограниченной ответственностью "МАРМ"</t>
  </si>
  <si>
    <t>"МАРМ"</t>
  </si>
  <si>
    <t>7840488428</t>
  </si>
  <si>
    <t>Г САНКТ-ПЕТЕРБУРГ,УЛ СЕДОВА, 17 КОРП 2</t>
  </si>
  <si>
    <t>Ефанков Михаил Анатольевич</t>
  </si>
  <si>
    <t>+7 (905) 270-43-46'</t>
  </si>
  <si>
    <t>56.208069,89.526335</t>
  </si>
  <si>
    <t>ЗАКРЫТОЕ АКЦИОНЕРНОЕ ОБЩЕСТВО "ЖЕЛЕЗОБЕТОННЫЕ КОНСТРУКЦИИ И ДЕТАЛИ"</t>
  </si>
  <si>
    <t>ЗАКРЫТОЕ "ЖЕЛЕЗОБЕТОННЫЕ КОНСТРУКЦИИ И ДЕТАЛИ"</t>
  </si>
  <si>
    <t>7805106250</t>
  </si>
  <si>
    <t>Г САНКТ-ПЕТЕРБУРГ,УЛ ИВАНА ЧЕРНЫХ, 16</t>
  </si>
  <si>
    <t>Зубов Николай Алексеевич</t>
  </si>
  <si>
    <t>+7 (812) 252-26-84'</t>
  </si>
  <si>
    <t>56.010267,90.385034</t>
  </si>
  <si>
    <t>ОБЩЕСТВО С ОГРАНИЧЕННОЙ ОТВЕТСТВЕННОСТЬЮ "БЕТОННЫЙ ЗАВОД №1"</t>
  </si>
  <si>
    <t>"БЕТОННЫЙ ЗАВОД №1"</t>
  </si>
  <si>
    <t>6684024946</t>
  </si>
  <si>
    <t>623286, СВЕРДЛОВСКАЯ ОБЛ, Г РЕВДА, УЛ МИЧУРИНА, Д 38, ОФ 28</t>
  </si>
  <si>
    <t>Коблов Дмитрий Александрович</t>
  </si>
  <si>
    <t>+7 (904) 982-08-31'</t>
  </si>
  <si>
    <t>bru_kamensk@mail.ru'</t>
  </si>
  <si>
    <t>55.936121,90.428773</t>
  </si>
  <si>
    <t>ОБЩЕСТВО С ОГРАНИЧЕННОЙ ОТВЕТСТВЕННОСТЬЮ "ПТК "СТРОЙСИСТЕМА"</t>
  </si>
  <si>
    <t>"ПТК "СТРОЙСИСТЕМА"</t>
  </si>
  <si>
    <t>7839063212</t>
  </si>
  <si>
    <t>https://stroysistema.org</t>
  </si>
  <si>
    <t>г. Санкт-Петербург, наб. Обводного канала, д. 191, оф. 4А</t>
  </si>
  <si>
    <t>+7 (812) 213-35-40', '+7 (812) 213-35-40'</t>
  </si>
  <si>
    <t>mail@stroysistema.org'</t>
  </si>
  <si>
    <t>55.997421,90.443533</t>
  </si>
  <si>
    <t>ОБЩЕСТВО С ОГРАНИЧЕННОЙ ОТВЕТСТВЕННОСТЬЮ "ТРАНС-М"</t>
  </si>
  <si>
    <t>"ТРАНС-М"</t>
  </si>
  <si>
    <t>6623104802</t>
  </si>
  <si>
    <t>622022, СВЕРДЛОВСКАЯ ОБЛ, Г НИЖНИЙ ТАГИЛ, УЛ МАКСИМА ГОРЬКОГО, 1, 146, ОФ 417</t>
  </si>
  <si>
    <t>56.249847,90.487065</t>
  </si>
  <si>
    <t>ОБЩЕСТВО С ОГРАНИЧЕННОЙ ОТВЕТСТВЕННОСТЬЮ "ССК СТРОЙКОМПЛЕКТ"</t>
  </si>
  <si>
    <t>"ССК СТРОЙКОМПЛЕКТ"</t>
  </si>
  <si>
    <t>6658471472</t>
  </si>
  <si>
    <t>СВЕРДЛОВСКАЯ ОБЛ.,Г РЕВДА,УЛ ЭНГЕЛЬСА, Д 53</t>
  </si>
  <si>
    <t>Рахов Александр Валерьевич</t>
  </si>
  <si>
    <t>56.253852,90.488772</t>
  </si>
  <si>
    <t>ОБЩЕСТВО С ОГРАНИЧЕННОЙ ОТВЕТСТВЕННОСТЬЮ "ТАГИЛБЕТОНСТРОЙ"</t>
  </si>
  <si>
    <t>"ТАГИЛБЕТОНСТРОЙ"</t>
  </si>
  <si>
    <t>6623140021</t>
  </si>
  <si>
    <t>622002, СВЕРДЛОВСКАЯ ОБЛ, Г НИЖНИЙ ТАГИЛ, УЛ МАКСИМА ГОРЬКОГО, Д 1, ОФ 82</t>
  </si>
  <si>
    <t>Ефремовцев Павел Владимирович</t>
  </si>
  <si>
    <t>56.269501,90.49524</t>
  </si>
  <si>
    <t>ОБЩЕСТВО С ОГРАНИЧЕННОЙ ОТВЕТСТВЕННОСТЬЮ "ПРОИЗВОДСТВЕННАЯ СТРОИТЕЛЬНАЯ КОМПАНИЯ "БАЛТСТРОЙ"</t>
  </si>
  <si>
    <t>"ПРОИЗВОДСТВЕННАЯ СТРОИТЕЛЬНАЯ КОМПАНИЯ "БАЛТСТРОЙ"</t>
  </si>
  <si>
    <t>7825355825</t>
  </si>
  <si>
    <t>Г САНКТ-ПЕТЕРБУРГ,ПРОСП ЛИГОВСКИЙ, 29 ПОМ 12 Н</t>
  </si>
  <si>
    <t>Четверикова Наталья Алексеевна</t>
  </si>
  <si>
    <t>+7 (812) 584-34-90', '+7 (812) 442-17-17'</t>
  </si>
  <si>
    <t>56.275984,90.519683</t>
  </si>
  <si>
    <t>ОБЩЕСТВО С ОГРАНИЧЕННОЙ ОТВЕТСТВЕННОСТЬЮ "Бастион-НТ"</t>
  </si>
  <si>
    <t>"Бастион-НТ"</t>
  </si>
  <si>
    <t>6623094015</t>
  </si>
  <si>
    <t>622049, СВЕРДЛОВСКАЯ ОБЛ, Г НИЖНИЙ ТАГИЛ, ШОССЕ ЧЕРНОИСТОЧИНСКОЕ, СТР 76, ПОМ 33</t>
  </si>
  <si>
    <t>Володин Алексей Николаевич</t>
  </si>
  <si>
    <t>+7 (908) 900-59-38'</t>
  </si>
  <si>
    <t>olga@byx-plus', 'ok@yandex.ru'</t>
  </si>
  <si>
    <t>АКЦИОНЕРНОЕ ОБЩЕСТВО «ПРОИЗВОДСТВЕННОЕ ОБЪЕДИНЕНИЕ «БАРРИКАДА»</t>
  </si>
  <si>
    <t>«ПРОИЗВОДСТВЕННОЕ ОБЪЕДИНЕНИЕ «БАРРИКАДА»</t>
  </si>
  <si>
    <t>7830000578</t>
  </si>
  <si>
    <t>Г САНКТ-ПЕТЕРБУРГ,ПРОСП ЭНЕРГЕТИКОВ, 9</t>
  </si>
  <si>
    <t>Плескачевский Феликс Феликсович</t>
  </si>
  <si>
    <t>+7 (812) 320-56-42', '+7 (917) 260-90-13', '+7 (812) 458-89-30'</t>
  </si>
  <si>
    <t>info@barrikada.ru'</t>
  </si>
  <si>
    <t>53.80634,91.334248</t>
  </si>
  <si>
    <t>ОБЩЕСТВО С ОГРАНИЧЕННОЙ ОТВЕТСТВЕННОСТЬЮ "БЛОК СП"</t>
  </si>
  <si>
    <t>"БЛОК СП"</t>
  </si>
  <si>
    <t>6623121808</t>
  </si>
  <si>
    <t>622049, СВЕРДЛОВСКАЯ ОБЛ, Г НИЖНИЙ ТАГИЛ, ШОССЕ ЧЕРНОИСТОЧИНСКОЕ, Д 63,..</t>
  </si>
  <si>
    <t>Зырянов Павел Анатольевич</t>
  </si>
  <si>
    <t>+7 (996) 173-07-88'</t>
  </si>
  <si>
    <t>53.822187,91.343986</t>
  </si>
  <si>
    <t>ОБЩЕСТВО С ОГРАНИЧЕННОЙ ОТВЕТСТВЕННОСТЬЮ "БЛОК НТ"</t>
  </si>
  <si>
    <t>"БЛОК НТ"</t>
  </si>
  <si>
    <t>6623132408</t>
  </si>
  <si>
    <t>622049, СВЕРДЛОВСКАЯ ОБЛ, НИЖНИЙ ТАГИЛ Г, ЧЕРНОИСТОЧИНСКОЕ Ш, ДОМ 63,..</t>
  </si>
  <si>
    <t>53.81794,91.34572</t>
  </si>
  <si>
    <t>ОБЩЕСТВО С ОГРАНИЧЕННОЙ ОТВЕТСТВЕННОСТЬЮ "ЗАВОД СТРОИТЕЛЬНЫХ МАТЕРИАЛОВ И КОНСТРУКЦИЙ-НТ"</t>
  </si>
  <si>
    <t>"ЗАВОД СТРОИТЕЛЬНЫХ МАТЕРИАЛОВ И КОНСТРУКЦИЙ-НТ"</t>
  </si>
  <si>
    <t>6623134243</t>
  </si>
  <si>
    <t>622002, СВЕРДЛОВСКАЯ ОБЛАСТЬ, ГОРОД НИЖНИЙ ТАГИЛ, УЛИЦА КРАСНОАРМЕЙСКАЯ, ДОМ 84,..</t>
  </si>
  <si>
    <t>Долгоруков Станислав Германович</t>
  </si>
  <si>
    <t>53.593704,91.373675</t>
  </si>
  <si>
    <t>6623097961</t>
  </si>
  <si>
    <t>622049, СВЕРДЛОВСКАЯ ОБЛ, Г НИЖНИЙ ТАГИЛ, ПР-КТ УРАЛЬСКИЙ, 56, 2, 153</t>
  </si>
  <si>
    <t>Хайманов Алексей Геннадьевич</t>
  </si>
  <si>
    <t>+7 (912) 252-77-73'</t>
  </si>
  <si>
    <t>est@rambler.ru'</t>
  </si>
  <si>
    <t>53.716218,91.378203</t>
  </si>
  <si>
    <t>ЗАКРЫТОЕ АКЦИОНЕРНОЕ ОБЩЕСТВО "ЗАВОД ЖБИ-6"</t>
  </si>
  <si>
    <t>ЗАКРЫТОЕ "ЗАВОД ЖБИ-6"</t>
  </si>
  <si>
    <t>7806016425</t>
  </si>
  <si>
    <t>Г САНКТ-ПЕТЕРБУРГ,ПРОСП ИНДУСТРИАЛЬНЫЙ, 43</t>
  </si>
  <si>
    <t>Репкин Аркадий Захарович</t>
  </si>
  <si>
    <t>+7 (812) 520-41-04', '+7 (812) 520-55-69'</t>
  </si>
  <si>
    <t>zavod@gbi-6'</t>
  </si>
  <si>
    <t>АКЦИОНЕРНОЕ ОБЩЕСТВО  "ЭКСПЕРИМЕНТАЛЬНЫЙ ЗАВОД"</t>
  </si>
  <si>
    <t xml:space="preserve"> "ЭКСПЕРИМЕНТАЛЬНЫЙ ЗАВОД"</t>
  </si>
  <si>
    <t>7806037513</t>
  </si>
  <si>
    <t>Г САНКТ-ПЕТЕРБУРГ,ПРОСП ИНДУСТРИАЛЬНЫЙ, 44 КОРП 1</t>
  </si>
  <si>
    <t>Стерин Станислав Валерьевич</t>
  </si>
  <si>
    <t>+7 (812) 520-60-72', '+7 (812) 520-60-72', '+7 (812) 520-46-98', '+7 (812) 520-60-67'</t>
  </si>
  <si>
    <t>pmv@ezavodspb.ru'</t>
  </si>
  <si>
    <t>53.712844,91.378284</t>
  </si>
  <si>
    <t>ОБЩЕСТВО С ОГРАНИЧЕННОЙ ОТВЕТСТВЕННОСТЬЮ "НОВЫЙ ДОМ"</t>
  </si>
  <si>
    <t>"НОВЫЙ ДОМ"</t>
  </si>
  <si>
    <t>6684038138</t>
  </si>
  <si>
    <t>623119, СВЕРДЛОВСКАЯ ОБЛ, Г ПЕРВОУРАЛЬСК, УЛ ВАЙНЕРА, Д 29,..</t>
  </si>
  <si>
    <t>Сбоев Владимир Иванович</t>
  </si>
  <si>
    <t>abu@mail.ru'</t>
  </si>
  <si>
    <t>53.719122,91.379065</t>
  </si>
  <si>
    <t>ОБЩЕСТВО С ОГРАНИЧЕННОЙ ОТВЕТСТВЕННОСТЬЮ "ЖЕЛЕЗОБЕТОН СПБ"</t>
  </si>
  <si>
    <t>"ЖЕЛЕЗОБЕТОН СПБ"</t>
  </si>
  <si>
    <t>7805326858</t>
  </si>
  <si>
    <t xml:space="preserve"> С-ПЕТЕРБУРГ, УЛ. РЕНТГЕНА, 3</t>
  </si>
  <si>
    <t>+7 (812) 233-39-53', '+7 (812) 309-07-71'</t>
  </si>
  <si>
    <t>53.712375,91.380008</t>
  </si>
  <si>
    <t>ОБЩЕСТВО С ОГРАНИЧЕННОЙ ОТВЕТСТВЕННОСТЬЮ "ТАГИЛБЛОК"</t>
  </si>
  <si>
    <t>"ТАГИЛБЛОК"</t>
  </si>
  <si>
    <t>6623099197</t>
  </si>
  <si>
    <t>622030, СВЕРДЛОВСКАЯ ОБЛ, Г НИЖНИЙ ТАГИЛ, УЛ ИВАНА ФЕДОРОВА, Д 34</t>
  </si>
  <si>
    <t>Колчанов Сергей Юрьевич</t>
  </si>
  <si>
    <t>+7 (912) 230-09-26', '+7 (912) 230-09-34', '+7 (982) 653-00-02'</t>
  </si>
  <si>
    <t>tagilblok@list.ru'</t>
  </si>
  <si>
    <t>53.679919,91.382892</t>
  </si>
  <si>
    <t>ОБЩЕСТВО С ОГРАНИЧЕННОЙ ОТВЕТСТВЕННОСТЬЮ "СТРОЙБЛОК-НТ"</t>
  </si>
  <si>
    <t>"СТРОЙБЛОК-НТ"</t>
  </si>
  <si>
    <t>6623134395</t>
  </si>
  <si>
    <t>622036, СВЕРДЛОВСКАЯ ОБЛ, Г НИЖНИЙ ТАГИЛ, ПР-КТ МИРА, Д 33,..</t>
  </si>
  <si>
    <t>Шрейдерс Вадим Викторович</t>
  </si>
  <si>
    <t>+7 (922) 202-50-84'</t>
  </si>
  <si>
    <t>53.714571,91.386234</t>
  </si>
  <si>
    <t>ОБЩЕСТВО С ОГРАНИЧЕННОЙ ОТВЕТСТВЕННОСТЬЮ "ГСК ЗАВОД"</t>
  </si>
  <si>
    <t>"ГСК ЗАВОД"</t>
  </si>
  <si>
    <t>7816582532</t>
  </si>
  <si>
    <t xml:space="preserve"> СПБ, УЛ.НОВОСИБИРСКАЯ Д.18-5..</t>
  </si>
  <si>
    <t>Ткач Давид Тимофеевич</t>
  </si>
  <si>
    <t>+7 (921) 746-75-63'</t>
  </si>
  <si>
    <t>53.106887,91.390752</t>
  </si>
  <si>
    <t>ОБЩЕСТВО С ОГРАНИЧЕННОЙ ОТВЕТСТВЕННОСТЬЮ "АПОГЕЙ ТЕХНОЛОДЖИ РУС"</t>
  </si>
  <si>
    <t>"АПОГЕЙ ТЕХНОЛОДЖИ РУС"</t>
  </si>
  <si>
    <t>7838498411</t>
  </si>
  <si>
    <t xml:space="preserve"> С-ПЕТЕРБУРГ, РУСТАВЕЛИ, 2, 126,</t>
  </si>
  <si>
    <t>Нгуен Антон Заневич</t>
  </si>
  <si>
    <t>+7 (812) 309-87-06'</t>
  </si>
  <si>
    <t>53.67338,91.392917</t>
  </si>
  <si>
    <t>ОБЩЕСТВО С ОГРАНИЧЕННОЙ ОТВЕТСТВЕННОСТЬЮ "ПрофРесурс"</t>
  </si>
  <si>
    <t>"ПрофРесурс"</t>
  </si>
  <si>
    <t>7415080528</t>
  </si>
  <si>
    <t>456386, ЧЕЛЯБИНСКАЯ ОБЛАСТЬ, Г. МИАСС, С СМОРОДИНКА, УЛ. ДЕТСКАЯ, Д.34,..</t>
  </si>
  <si>
    <t>Мухтаров Ринат Мугамбарович</t>
  </si>
  <si>
    <t>+7 (951) 116-70-55', '+7 (351) 357-20-73', '+7 (908) 040-42-54'</t>
  </si>
  <si>
    <t>rn2701@mail.ru'</t>
  </si>
  <si>
    <t>53.715621,91.398693</t>
  </si>
  <si>
    <t>ОБЩЕСТВО С ОГРАНИЧЕННОЙ ОТВЕТСТВЕННОСТЬЮ "ГК-МОНОЛИТТРАНССТРОЙ"</t>
  </si>
  <si>
    <t>"ГК-МОНОЛИТТРАНССТРОЙ"</t>
  </si>
  <si>
    <t>6623115709</t>
  </si>
  <si>
    <t>622013, СВЕРДЛОВСКАЯ ОБЛ, Г НИЖНИЙ ТАГИЛ, УЛ КУЛИБИНА, ЗД 62, ОФ3</t>
  </si>
  <si>
    <t>Лазарев Александр Сергеевич</t>
  </si>
  <si>
    <t>+7 (922) 150-09-67', '+7 (904) 986-48-82'</t>
  </si>
  <si>
    <t>53.721189,91.402278</t>
  </si>
  <si>
    <t>ОБЩЕСТВО С ОГРАНИЧЕННОЙ ОТВЕТСТВЕННОСТЬЮ "ТЕХНЕЗИС"</t>
  </si>
  <si>
    <t>"ТЕХНЕЗИС"</t>
  </si>
  <si>
    <t>6629022401</t>
  </si>
  <si>
    <t>http://technezis.com</t>
  </si>
  <si>
    <t>624136, СВЕРДЛОВСКАЯ ОБЛ, Г НОВОУРАЛЬСК, ШОССЕ ОБЪЕЗДНОЕ, 15</t>
  </si>
  <si>
    <t>Макаров Юрий Викторович</t>
  </si>
  <si>
    <t>53.743161,91.415977</t>
  </si>
  <si>
    <t>ОБЩЕСТВО С ОГРАНИЧЕННОЙ ОТВЕТСТВЕННОСТЬЮ "ДЕКОБЕТОН"</t>
  </si>
  <si>
    <t>"ДЕКОБЕТОН"</t>
  </si>
  <si>
    <t>7814278086</t>
  </si>
  <si>
    <t xml:space="preserve"> С-ПЕТЕРБУРГ, ПР.ХУДОЖНИКОВ, 34/12, 422</t>
  </si>
  <si>
    <t>Шафран Иван Владимирович</t>
  </si>
  <si>
    <t>+7 (921) 845-01-90'</t>
  </si>
  <si>
    <t>53.088351,91.416049</t>
  </si>
  <si>
    <t>ОБЩЕСТВО С ОГРАНИЧЕННОЙ ОТВЕТСТВЕННОСТЬЮ "БетонМаркет"</t>
  </si>
  <si>
    <t>"БетонМаркет"</t>
  </si>
  <si>
    <t>6623080647</t>
  </si>
  <si>
    <t>622051, СВЕРДЛОВСКАЯ ОБЛ, Г НИЖНИЙ ТАГИЛ, ШОССЕ СЕВЕРНОЕ, 4</t>
  </si>
  <si>
    <t>Куценок Екатерина Александровна</t>
  </si>
  <si>
    <t>+7 (922) 600-08-00', '+7 (912) 645-50-05', '+7 (909) 021-35-55', '+7 (922) 227-46-36'</t>
  </si>
  <si>
    <t>53.700261,91.418627</t>
  </si>
  <si>
    <t>ОБЩЕСТВО С ОГРАНИЧЕННОЙ ОТВЕТСТВЕННОСТЬЮ "ПСК "СЭДЭС"</t>
  </si>
  <si>
    <t>"ПСК "СЭДЭС"</t>
  </si>
  <si>
    <t>6623132550</t>
  </si>
  <si>
    <t>622051, СВЕРДЛОВСКАЯ ОБЛ, Г НИЖНИЙ ТАГИЛ, ШОССЕ СЕВЕРНОЕ, СТР 15, ОФ 11</t>
  </si>
  <si>
    <t>Чернова Ольга Петровна</t>
  </si>
  <si>
    <t>+7 (343) 546-30-40'</t>
  </si>
  <si>
    <t>psk_sedes@mail.ru'</t>
  </si>
  <si>
    <t>ОБЩЕСТВО С ОГРАНИЧЕННОЙ ОТВЕТСТВЕННОСТЬЮ "ПРОМИНВЕСТ"</t>
  </si>
  <si>
    <t>"ПРОМИНВЕСТ"</t>
  </si>
  <si>
    <t>6682016026</t>
  </si>
  <si>
    <t>624130, СВЕРДЛОВСКАЯ ОБЛАСТЬ, ГОРОД НОВОУРАЛЬСК, ПРОЕЗД СТРОЙИНДУСТРИИ, ДОМ 9СТР1, ОФИС 1</t>
  </si>
  <si>
    <t>Климов Егор Максимович</t>
  </si>
  <si>
    <t>53.745302,91.42602</t>
  </si>
  <si>
    <t>ОБЩЕСТВО С ОГРАНИЧЕННОЙ ОТВЕТСТВЕННОСТЬЮ "СТЕП УРАЛ"</t>
  </si>
  <si>
    <t>"СТЕП УРАЛ"</t>
  </si>
  <si>
    <t>7415066298</t>
  </si>
  <si>
    <t>456388, ЧЕЛЯБИНСКАЯ ОБЛ, МИАСС Г, ЧЕРНОВСКОЕ С, ЧЕРНОРЕЧЕНСКАЯ УЛ, ДОМ 10</t>
  </si>
  <si>
    <t>Шмаков Олег Анатольевич</t>
  </si>
  <si>
    <t>+7 (902) 617-82-21'</t>
  </si>
  <si>
    <t>53.710404,91.428679</t>
  </si>
  <si>
    <t>ОБЩЕСТВО С ОГРАНИЧЕННОЙ ОТВЕТСТВЕННОСТЬЮ "ФАВОРИТ"</t>
  </si>
  <si>
    <t>"ФАВОРИТ"</t>
  </si>
  <si>
    <t>6616006508</t>
  </si>
  <si>
    <t>СВЕРДЛОВСКАЯ ОБЛ.,Г КИРОВГРАД,УЛ ШУРАЛИНСКАЯ, Д 60</t>
  </si>
  <si>
    <t>Васильев Александр Модестович</t>
  </si>
  <si>
    <t>53.704146,91.435066</t>
  </si>
  <si>
    <t>ОБЩЕСТВО С ОГРАНИЧЕННОЙ ОТВЕТСТВЕННОСТЬЮ "СТРОЙТЕПЛОБЛОК"</t>
  </si>
  <si>
    <t>"СТРОЙТЕПЛОБЛОК"</t>
  </si>
  <si>
    <t>6623026640</t>
  </si>
  <si>
    <t>СВЕРДЛОВСКАЯ ОБЛ.,Г НИЖНИЙ ТАГИЛ,УЛ ЮНОСТИ, Д 11, А</t>
  </si>
  <si>
    <t>Алексеев Александр Борисович</t>
  </si>
  <si>
    <t>+7 (912) 656-01-80'</t>
  </si>
  <si>
    <t>rozina@ubtuvz.ru', 'sedln@yandex.ru', 'lena_s@palladant.ru'</t>
  </si>
  <si>
    <t>53.721152,91.442396</t>
  </si>
  <si>
    <t>ОБЩЕСТВО С ОГРАНИЧЕННОЙ ОТВЕТСТВЕННОСТЬЮ "УРАЛЬСКИЙ АРБОЛИТ"</t>
  </si>
  <si>
    <t>"УРАЛЬСКИЙ АРБОЛИТ"</t>
  </si>
  <si>
    <t>7415096253</t>
  </si>
  <si>
    <t>456300, ЧЕЛЯБИНСКАЯ ОБЛАСТЬ, ГОРОД МИАСС, УЛИЦА ЛИХАЧЕВА, ДОМ 47,..</t>
  </si>
  <si>
    <t>Курочкин Виталий Владимирович</t>
  </si>
  <si>
    <t>+7 (951) 811-83-65', '+7 (900) 024-03-80'</t>
  </si>
  <si>
    <t>ОБЩЕСТВО С ОГРАНИЧЕННОЙ ОТВЕТСТВЕННОСТЬЮ "ЗАВОД ЖБИ "УРАЛ"</t>
  </si>
  <si>
    <t>"ЗАВОД ЖБИ "УРАЛ"</t>
  </si>
  <si>
    <t>7415094150</t>
  </si>
  <si>
    <t>456306, ЧЕЛЯБИНСКАЯ ОБЛАСТЬ, Г. МИАСС, Ш. ДИНАМОВСКОЕ, Д. 4, ОФИС 7</t>
  </si>
  <si>
    <t>Буриев Анвар Закирович</t>
  </si>
  <si>
    <t>53.710894,91.464055</t>
  </si>
  <si>
    <t>ОБЩЕСТВО С ОГРАНИЧЕННОЙ ОТВЕТСТВЕННОСТЬЮ "ПРОИЗВОДСТВЕННО-СТРОИТЕЛЬНАЯ КОМПАНИЯ "ЛЕГО 74"</t>
  </si>
  <si>
    <t>"ПРОИЗВОДСТВЕННО-СТРОИТЕЛЬНАЯ КОМПАНИЯ "ЛЕГО 74"</t>
  </si>
  <si>
    <t>7415098275</t>
  </si>
  <si>
    <t>456317, ЧЕЛЯБИНСКАЯ ОБЛ, МИАСС Г, 8 МАРТА УЛ, ДОМ 130,..</t>
  </si>
  <si>
    <t>Ахтямов Артём Флоридович</t>
  </si>
  <si>
    <t>+7 (951) 113-01-01'</t>
  </si>
  <si>
    <t>53.693533,91.514019</t>
  </si>
  <si>
    <t>ОБЩЕСТВО С ОГРАНИЧЕННОЙ ОТВЕТСТВЕННОСТЬЮ "Завод Железно-Бетонных Изделий Рудоуправления"</t>
  </si>
  <si>
    <t>"Завод Железно-Бетонных Изделий Рудоуправления"</t>
  </si>
  <si>
    <t>7415076810</t>
  </si>
  <si>
    <t>456320, ЧЕЛЯБИНСКАЯ ОБЛАСТЬ, ГОРОД МИАСС, ПРОСПЕКТ ОКТЯБРЯ, 69, 11</t>
  </si>
  <si>
    <t>Ижболдин Геннадий Васильевич</t>
  </si>
  <si>
    <t>+7 (902) 861-21-26', '+7 (351) 325-52-66'</t>
  </si>
  <si>
    <t>53.71019,91.516157</t>
  </si>
  <si>
    <t>ОБЩЕСТВО С ОГРАНИЧЕННОЙ ОТВЕТСТВЕННОСТЬЮ "ЗЖБИ АРКТИКА"</t>
  </si>
  <si>
    <t>"ЗЖБИ АРКТИКА"</t>
  </si>
  <si>
    <t>1105025710</t>
  </si>
  <si>
    <t>169840, Республика Коми, городской округ ИНТА, Город ИНТА, УЛ ИНДУСТРИАЛЬНАЯ, Д. 1,</t>
  </si>
  <si>
    <t>Коюшев Сергей Владимирович</t>
  </si>
  <si>
    <t>GREATCITY@BK.RU'</t>
  </si>
  <si>
    <t>ОБЩЕСТВО С ОГРАНИЧЕННОЙ ОТВЕТСТВЕННОСТЬЮ "ВЫБОР-КСМ ЕКАТЕРИНБУРГ"</t>
  </si>
  <si>
    <t>"ВЫБОР-КСМ ЕКАТЕРИНБУРГ"</t>
  </si>
  <si>
    <t>6679149308</t>
  </si>
  <si>
    <t>620000, СВЕРДЛОВСКАЯ ОБЛ, Г ЕКАТЕРИНБУРГ, СТР 15/4, ПОМ 14</t>
  </si>
  <si>
    <t>Передреев Максим Александрович</t>
  </si>
  <si>
    <t>PARTNER@PARTNER72.RU'</t>
  </si>
  <si>
    <t>ОБЩЕСТВО С ОГРАНИЧЕННОЙ ОТВЕТСТВЕННОСТЬЮ "ПСБ-БЛОК"</t>
  </si>
  <si>
    <t>"ПСБ-БЛОК"</t>
  </si>
  <si>
    <t>6679136179</t>
  </si>
  <si>
    <t>623391, СВЕРДЛОВСКАЯ ОБЛ, Г ПОЛЕВСКОЙ, С КУРГАНОВО, УЛ САДОВАЯ, ДВЛД 3</t>
  </si>
  <si>
    <t>Яхшибоев Эркин Махмудович</t>
  </si>
  <si>
    <t>+7 (343) 202-20-00', '+7 (950) 630-42-12'</t>
  </si>
  <si>
    <t>anna_yanichkina@mail.ru'</t>
  </si>
  <si>
    <t>54.312059,91.580548</t>
  </si>
  <si>
    <t>ОБЩЕСТВО С ОГРАНИЧЕННОЙ ОТВЕТСТВЕННОСТЬЮ ТОРГОВЫЙ ДОМ "УРАЛ-ПЛИТ"</t>
  </si>
  <si>
    <t>"УРАЛ-ПЛИТ"</t>
  </si>
  <si>
    <t>6686141331</t>
  </si>
  <si>
    <t>624070, Свердловская область, СРЕДНЕУРАЛЬСК, Г СРЕДНЕУРАЛЬСК, УЛ ЛЕНИНА, ЗД. 2Т</t>
  </si>
  <si>
    <t>Кадиров Руслан Элиханович</t>
  </si>
  <si>
    <t>R@YANDEX.RU'</t>
  </si>
  <si>
    <t>53.689571,91.657471</t>
  </si>
  <si>
    <t>ОБЩЕСТВО С ОГРАНИЧЕННОЙ ОТВЕТСТВЕННОСТЬЮ "ТСК Конкрит"</t>
  </si>
  <si>
    <t>"ТСК Конкрит"</t>
  </si>
  <si>
    <t>6606006080</t>
  </si>
  <si>
    <t>624070, СВЕРДЛОВСКАЯ ОБЛ, Г СРЕДНЕУРАЛЬСК, УЛ ЛЕНИНА, 3, ЛИТ А, ПОМ 8</t>
  </si>
  <si>
    <t>Лоскутов Андрей Александрович</t>
  </si>
  <si>
    <t>+7 (912) 243-37-20', '+7 (343) 268-97-63', '+7 (343) 344-66-05'</t>
  </si>
  <si>
    <t>53.72129,91.677899</t>
  </si>
  <si>
    <t>ОБЩЕСТВО С ОГРАНИЧЕННОЙ ОТВЕТСТВЕННОСТЬЮ "РЕГИОН БЕТОН"</t>
  </si>
  <si>
    <t>"РЕГИОН БЕТОН"</t>
  </si>
  <si>
    <t>6670424239</t>
  </si>
  <si>
    <t>620134, СВЕРДЛОВСКАЯ ОБЛ, Г ЕКАТЕРИНБУРГ, УЛ КАМСКАЯ, Д 21</t>
  </si>
  <si>
    <t>Богданович Владимир Борисович</t>
  </si>
  <si>
    <t>+7 (902) 260-54-94'</t>
  </si>
  <si>
    <t>53.700511,91.745191</t>
  </si>
  <si>
    <t>ОБЩЕСТВО С ОГРАНИЧЕННОЙ ОТВЕТСТВЕННОСТЬЮ "ЖБИ ВИАДУК"</t>
  </si>
  <si>
    <t>"ЖБИ ВИАДУК"</t>
  </si>
  <si>
    <t>6678108179</t>
  </si>
  <si>
    <t>620908, СВЕРДЛОВСКАЯ ОБЛ, Г ЕКАТЕРИНБУРГ, П ШУВАКИШ, УЛ ПЫШМИНСКАЯ, Д 100, ПОМ 1Д</t>
  </si>
  <si>
    <t>Слепченков Антон Анатольевич</t>
  </si>
  <si>
    <t>53.275763,92.342472</t>
  </si>
  <si>
    <t>ОБЩЕСТВО С ОГРАНИЧЕННОЙ ОТВЕТСТВЕННОСТЬЮ "СТРОЙ ЭКСПРЕСС"</t>
  </si>
  <si>
    <t>"СТРОЙ ЭКСПРЕСС"</t>
  </si>
  <si>
    <t>6658548238</t>
  </si>
  <si>
    <t>620105, СВЕРДЛОВСКАЯ ОБЛ, Г ЕКАТЕРИНБУРГ, УЛ ХРУСТАЛЬНОГОРСКАЯ, Д 85,..</t>
  </si>
  <si>
    <t>Ивонина Татьяна Юрьевна</t>
  </si>
  <si>
    <t>TATYANA@YANDEX.RU'</t>
  </si>
  <si>
    <t>55.962201,92.411679</t>
  </si>
  <si>
    <t>ОБЩЕСТВО С ОГРАНИЧЕННОЙ ОТВЕТСТВЕННОСТЬЮ "СВЯЗЬ 19"</t>
  </si>
  <si>
    <t>"СВЯЗЬ 19"</t>
  </si>
  <si>
    <t>6678101776</t>
  </si>
  <si>
    <t>620050, СВЕРДЛОВСКАЯ ОБЛ, Г ЕКАТЕРИНБУРГ, УЛ КУНАРСКАЯ, Д 20,..</t>
  </si>
  <si>
    <t>Ефимкин Иван Сергеевич</t>
  </si>
  <si>
    <t>sv19@uralmash.ru'</t>
  </si>
  <si>
    <t>56.078277,92.592734</t>
  </si>
  <si>
    <t>ОБЩЕСТВО С ОГРАНИЧЕННОЙ ОТВЕТСТВЕННОСТЬЮ "ТЕХСТРОЙТРЕЙД"</t>
  </si>
  <si>
    <t>"ТЕХСТРОЙТРЕЙД"</t>
  </si>
  <si>
    <t>6678114630</t>
  </si>
  <si>
    <t>620050, СВЕРДЛОВСКАЯ ОБЛ., Г. Екатеринбург, УЛ. ПАРОВОЗНИКОВ, СТР. 2А, ПОМЕЩ. 2</t>
  </si>
  <si>
    <t>Попков Олег Александрович</t>
  </si>
  <si>
    <t>POPKOV_O@INBOX.RU'</t>
  </si>
  <si>
    <t>56.177671,92.628056</t>
  </si>
  <si>
    <t>ОБЩЕСТВО С ОГРАНИЧЕННОЙ ОТВЕТСТВЕННОСТЬЮ Производственно-Коммерческая Фирма "ЖБИ-Спектр"</t>
  </si>
  <si>
    <t>Производственно-Коммерческая Фирма "ЖБИ-Спектр"</t>
  </si>
  <si>
    <t>6678043796</t>
  </si>
  <si>
    <t>620050, СВЕРДЛОВСКАЯ ОБЛ, Г ЕКАТЕРИНБУРГ, УЛИЦА МАНЕВРОВАЯ, 17, А, 1</t>
  </si>
  <si>
    <t>Гусев Евгений Борисович</t>
  </si>
  <si>
    <t>+7 (904) 545-41-68'</t>
  </si>
  <si>
    <t>56.168651,92.686617</t>
  </si>
  <si>
    <t>6659166721</t>
  </si>
  <si>
    <t>620050, СВЕРДЛОВСКАЯ ОБЛАСТЬ, ГОРОД ЕКАТЕРИНБУРГ, УЛИЦА ЭЛЕКТРОДЕПО, 1</t>
  </si>
  <si>
    <t>Есаулков Сергей Клавдиевич</t>
  </si>
  <si>
    <t>+7 (343) 310-58-09', '+7 (343) 310-96-10', '+7 (343) 310-40-45', '+7 (343) 310-50-16', '+7 (343) 310-58-09'</t>
  </si>
  <si>
    <t>56.075478,92.708473</t>
  </si>
  <si>
    <t>ОБЩЕСТВО С ОГРАНИЧЕННОЙ ОТВЕТСТВЕННОСТЬЮ " ГОССТРОЙ"</t>
  </si>
  <si>
    <t>" ГОССТРОЙ"</t>
  </si>
  <si>
    <t>6678040731</t>
  </si>
  <si>
    <t>620050, СВЕРДЛОВСКАЯ ОБЛ, Г ЕКАТЕРИНБУРГ, ПР-КТ СЕДОВА, 56,..</t>
  </si>
  <si>
    <t>Ковалевская Валерия Андреевна</t>
  </si>
  <si>
    <t>+7 (912) 286-00-06'</t>
  </si>
  <si>
    <t>56.040299,92.743292</t>
  </si>
  <si>
    <t>ОБЩЕСТВО С ОГРАНИЧЕННОЙ ОТВЕТСТВЕННОСТЬЮ "СТРОЙ - СИВ"</t>
  </si>
  <si>
    <t>"СТРОЙ - СИВ"</t>
  </si>
  <si>
    <t>6606035316</t>
  </si>
  <si>
    <t>http://stroy-siv.ru</t>
  </si>
  <si>
    <t>620110, СВЕРДЛОВСКАЯ ОБЛ, Г ЕКАТЕРИНБУРГ, УЛИЦА КРАСНОЛЕСЬЯ, ДОМ 76/11,..</t>
  </si>
  <si>
    <t>Столяр Игорь Владимирович</t>
  </si>
  <si>
    <t>+7 (908) 922-66-89'</t>
  </si>
  <si>
    <t>56.027077,92.780769</t>
  </si>
  <si>
    <t>ОБЩЕСТВО С ОГРАНИЧЕННОЙ ОТВЕТСТВЕННОСТЬЮ "АБЗ"</t>
  </si>
  <si>
    <t>"АБЗ"</t>
  </si>
  <si>
    <t>6658485404</t>
  </si>
  <si>
    <t>620043, СВЕРДЛОВСКАЯ ОБЛ, Г ЕКАТЕРИНБУРГ, УЛ РЕПИНА, Д 84, ЭТАЖ 2/ПОМ 13</t>
  </si>
  <si>
    <t>Карапетян Акоп Арменович</t>
  </si>
  <si>
    <t>+7 (965) 516-68-03'</t>
  </si>
  <si>
    <t>56.014947,92.784578</t>
  </si>
  <si>
    <t>ОБЩЕСТВО С ОГРАНИЧЕННОЙ ОТВЕТСТВЕННОСТЬЮ "УралТеплоДом"</t>
  </si>
  <si>
    <t>"УралТеплоДом"</t>
  </si>
  <si>
    <t>6679044552</t>
  </si>
  <si>
    <t>620131, СВЕРДЛОВСКАЯ ОБЛ, Г ЕКАТЕРИНБУРГ, УЛ ФРОЛОВА, Д 29,..</t>
  </si>
  <si>
    <t>Планков Алексей Николаевич</t>
  </si>
  <si>
    <t>+7 (908) 908-43-40'</t>
  </si>
  <si>
    <t>up@yandex.ru'</t>
  </si>
  <si>
    <t>56.02936,92.791037</t>
  </si>
  <si>
    <t>ОБЩЕСТВО С ОГРАНИЧЕННОЙ ОТВЕТСТВЕННОСТЬЮ "ДОРСТРОЙБЕТОН-ЕКАТЕРИНБУРГ"</t>
  </si>
  <si>
    <t>"ДОРСТРОЙБЕТОН-ЕКАТЕРИНБУРГ"</t>
  </si>
  <si>
    <t>6658539554</t>
  </si>
  <si>
    <t>620131, СВЕРДЛОВСКАЯ ОБЛ, Г ЕКАТЕРИНБУРГ, УЛ ТАТИЩЕВА, Д 80,..</t>
  </si>
  <si>
    <t>Енин Станислав Владимирович</t>
  </si>
  <si>
    <t>ural@mail.ru'</t>
  </si>
  <si>
    <t>56.021915,92.795744</t>
  </si>
  <si>
    <t>ОБЩЕСТВО С ОГРАНИЧЕННОЙ ОТВЕТСТВЕННОСТЬЮ "ФИБРОЦЕМЕНТ"</t>
  </si>
  <si>
    <t>"ФИБРОЦЕМЕНТ"</t>
  </si>
  <si>
    <t>6671110725</t>
  </si>
  <si>
    <t>620149, СВЕРДЛОВСКАЯ ОБЛ, Г ЕКАТЕРИНБУРГ, УЛ НАЧДИВА ОНУФРИЕВА, Д 24К1, ОФ 1</t>
  </si>
  <si>
    <t>Фадеев Сергей Сергеевич</t>
  </si>
  <si>
    <t>56.018821,92.797819</t>
  </si>
  <si>
    <t>ОБЩЕСТВО С ОГРАНИЧЕННОЙ ОТВЕТСТВЕННОСТЬЮ "АВК-КЛЕВЕР"</t>
  </si>
  <si>
    <t>"АВК-КЛЕВЕР"</t>
  </si>
  <si>
    <t>6686143402</t>
  </si>
  <si>
    <t>624097, Свердловская область, ВЕРХНЯЯ ПЫШМА, Г ВЕРХНЯЯ ПЫШМА, УЛ ОГНЕУПОРЩИКОВ, Д. 1Б</t>
  </si>
  <si>
    <t>Конышев Александр Васильевич</t>
  </si>
  <si>
    <t>56.025879,92.800317</t>
  </si>
  <si>
    <t>ОБЩЕСТВО С ОГРАНИЧЕННОЙ ОТВЕТСТВЕННОСТЬЮ "ЗАВОД ЖЕЛЕЗОБЕТОННЫХ ИЗДЕЛИЙ "ЛИДЕР"</t>
  </si>
  <si>
    <t>"ЗАВОД ЖЕЛЕЗОБЕТОННЫХ ИЗДЕЛИЙ "ЛИДЕР"</t>
  </si>
  <si>
    <t>6672298389</t>
  </si>
  <si>
    <t>620102, СВЕРДЛОВСКАЯ ОБЛ, Г ЕКАТЕРИНБУРГ, ВОЛГОГРАДСКАЯ УЛ, ДОМ 198,..</t>
  </si>
  <si>
    <t>Родионов Михаил Юрьевич</t>
  </si>
  <si>
    <t>+7 (343) 382-00-30', '+7 (922) 181-40-10'</t>
  </si>
  <si>
    <t>ОБЩЕСТВО С ОГРАНИЧЕННОЙ ОТВЕТСТВЕННОСТЬЮ "ЖБИ-СНГ"</t>
  </si>
  <si>
    <t>"ЖБИ-СНГ"</t>
  </si>
  <si>
    <t>6678073960</t>
  </si>
  <si>
    <t>620141, СВЕРДЛОВСКАЯ ОБЛ, Г ЕКАТЕРИНБУРГ, УЛ ПЕХОТИНЦЕВ, Д 9,..</t>
  </si>
  <si>
    <t>Шумилин Николай Валерьевич</t>
  </si>
  <si>
    <t>+7 (904) 984-75-74'</t>
  </si>
  <si>
    <t>56.002083,92.805904</t>
  </si>
  <si>
    <t>ОБЩЕСТВО С ОГРАНИЧЕННОЙ ОТВЕТСТВЕННОСТЬЮ "АРАМИЛЬСКИЙ ЗАВОД ЖБИ №  5"</t>
  </si>
  <si>
    <t>"АРАМИЛЬСКИЙ ЗАВОД ЖБИ №  5"</t>
  </si>
  <si>
    <t>6685069379</t>
  </si>
  <si>
    <t>Г ЕКАТЕРИНБУРГ,УЛ ТОКАРЕЙ 62 45</t>
  </si>
  <si>
    <t>Щербак Юрий Викторович</t>
  </si>
  <si>
    <t>+7 (922) 210-19-33'</t>
  </si>
  <si>
    <t>56.066645,92.821373</t>
  </si>
  <si>
    <t>6658552925</t>
  </si>
  <si>
    <t>620109, СВЕРДЛОВСКАЯ ОБЛ, Г ЕКАТЕРИНБУРГ, УЛ ТАТИЩЕВА, Д 53,..</t>
  </si>
  <si>
    <t>Трушков Сергей Валерьевич</t>
  </si>
  <si>
    <t>ОБЩЕСТВО С ОГРАНИЧЕННОЙ ОТВЕТСТВЕННОСТЬЮ "САЙДЕК"</t>
  </si>
  <si>
    <t>"САЙДЕК"</t>
  </si>
  <si>
    <t>6658528619</t>
  </si>
  <si>
    <t>620034, СВЕРДЛОВСКАЯ ОБЛАСТЬ, ГОРОД ЕКАТЕРИНБУРГ, УЛИЦА БЕБЕЛЯ, СООРУЖЕНИЕ 17, ОФИС 100</t>
  </si>
  <si>
    <t>Субботин Александр Сергеевич</t>
  </si>
  <si>
    <t>56.012038,92.823125</t>
  </si>
  <si>
    <t>ОБЩЕСТВО С ОГРАНИЧЕННОЙ ОТВЕТСТВЕННОСТЬЮ "СПАССКИЙ ЗАВОД ЖЕЛЕЗОБЕТОННЫХ КОНСТРУКЦИЙ"</t>
  </si>
  <si>
    <t>"СПАССКИЙ ЗАВОД ЖЕЛЕЗОБЕТОННЫХ КОНСТРУКЦИЙ"</t>
  </si>
  <si>
    <t>6658541916</t>
  </si>
  <si>
    <t>620028, СВЕРДЛОВСКАЯ ОБЛ, Г ЕКАТЕРИНБУРГ, УЛ ТАТИЩЕВА, Д 54,..</t>
  </si>
  <si>
    <t>Еремин Павел Леонидович</t>
  </si>
  <si>
    <t>56.039097,92.83191</t>
  </si>
  <si>
    <t>6671014330</t>
  </si>
  <si>
    <t>Г ЕКАТЕРИНБУРГ,УЛ ЧЕРЕПАНОВА Д 18..</t>
  </si>
  <si>
    <t>Старков Денис Ринатович</t>
  </si>
  <si>
    <t>+7 (343) 384-55-18', '+7 (343) 238-08-39'</t>
  </si>
  <si>
    <t>56.02191,92.839582</t>
  </si>
  <si>
    <t>ОБЩЕСТВО С ОГРАНИЧЕННОЙ ОТВЕТСТВЕННОСТЬЮ "ПОЛУР"</t>
  </si>
  <si>
    <t>"ПОЛУР"</t>
  </si>
  <si>
    <t>6658512658</t>
  </si>
  <si>
    <t>620102, СВЕРДЛОВСКАЯ ОБЛ, Г ЕКАТЕРИНБУРГ, УЛ ЯСНАЯ, Д 36, К 1,..</t>
  </si>
  <si>
    <t>Перминов Вячеслав Леонидович</t>
  </si>
  <si>
    <t>+7 (912) 660-16-60'</t>
  </si>
  <si>
    <t>56.021729,92.841747</t>
  </si>
  <si>
    <t>ОБЩЕСТВО С ОГРАНИЧЕННОЙ ОТВЕТСТВЕННОСТЬЮ "Авто-Лайт"</t>
  </si>
  <si>
    <t>"Авто-Лайт"</t>
  </si>
  <si>
    <t>6658385375</t>
  </si>
  <si>
    <t>620034, СВЕРДЛОВСКАЯ ОБЛ, Г ЕКАТЕРИНБУРГ, УЛИЦА ОПАЛИХИНСКАЯ, 26,..</t>
  </si>
  <si>
    <t>Вдовин Денис Владимирович</t>
  </si>
  <si>
    <t>+7 (922) 606-88-87'</t>
  </si>
  <si>
    <t>56.005933,92.841909</t>
  </si>
  <si>
    <t>ОБЩЕСТВО С ОГРАНИЧЕННОЙ ОТВЕТСТВЕННОСТЬЮ ЗАВОД ЖБИ "БЕРОТЕК"</t>
  </si>
  <si>
    <t>ЗАВОД ЖБИ "БЕРОТЕК"</t>
  </si>
  <si>
    <t>6658544226</t>
  </si>
  <si>
    <t>620028, СВЕРДЛОВСКАЯ ОБЛ, Г ЕКАТЕРИНБУРГ, УЛ ТАТИЩЕВА, Д 47А,..</t>
  </si>
  <si>
    <t>Кусма Евгений Сергеевич</t>
  </si>
  <si>
    <t>56.068283,92.844667</t>
  </si>
  <si>
    <t>ОБЩЕСТВО С ОГРАНИЧЕННОЙ ОТВЕТСТВЕННОСТЬЮ "Беротек"</t>
  </si>
  <si>
    <t>"Беротек"</t>
  </si>
  <si>
    <t>6670404560</t>
  </si>
  <si>
    <t>Баранов Сергей Николаевич</t>
  </si>
  <si>
    <t>+7 (343) 289-14-32'</t>
  </si>
  <si>
    <t>info@plitapb.ru'</t>
  </si>
  <si>
    <t>55.986631,92.845538</t>
  </si>
  <si>
    <t>ОБЩЕСТВО С ОГРАНИЧЕННОЙ ОТВЕТСТВЕННОСТЬЮ "Нео Консалтинг Групп - Проект"</t>
  </si>
  <si>
    <t>"Нео Консалтинг Групп - Проект"</t>
  </si>
  <si>
    <t>6671416382</t>
  </si>
  <si>
    <t>620146, СВЕРДЛОВСКАЯ ОБЛ, Г ЕКАТЕРИНБУРГ, УЛ ШАУМЯНА/ЧКАЛОВА, СТР 73/16, ОФ 508</t>
  </si>
  <si>
    <t>Неофитиди Иван Григорьевич</t>
  </si>
  <si>
    <t>+7 (343) 278-96-35'</t>
  </si>
  <si>
    <t>panfilova@vfk-audit'</t>
  </si>
  <si>
    <t>55.979248,92.84729</t>
  </si>
  <si>
    <t>ОБЩЕСТВО С ОГРАНИЧЕННОЙ ОТВЕТСТВЕННОСТЬЮ "ХОЛДИНГ 21"</t>
  </si>
  <si>
    <t>"ХОЛДИНГ 21"</t>
  </si>
  <si>
    <t>6658543529</t>
  </si>
  <si>
    <t>620102, СВЕРДЛОВСКАЯ ОБЛ, Г ЕКАТЕРИНБУРГ, УЛ ЯСНАЯ, Д 20Д..</t>
  </si>
  <si>
    <t>Крохалев Александр Николаевич</t>
  </si>
  <si>
    <t>2681111@MAIL.RU'</t>
  </si>
  <si>
    <t>56.010569,92.852572</t>
  </si>
  <si>
    <t>ОБЩЕСТВО С ОГРАНИЧЕННОЙ ОТВЕТСТВЕННОСТЬЮ "БЕХАТОН-66"</t>
  </si>
  <si>
    <t>"БЕХАТОН-66"</t>
  </si>
  <si>
    <t>6671106616</t>
  </si>
  <si>
    <t>620146, СВЕРДЛОВСКАЯ ОБЛ, Г ЕКАТЕРИНБУРГ, УЛ ШАУМЯНА, Д 81, Оф 411</t>
  </si>
  <si>
    <t>Дудин Григорий Николаевич</t>
  </si>
  <si>
    <t>ОБЩЕСТВО С ОГРАНИЧЕННОЙ ОТВЕТСТВЕННОСТЬЮ "Торгово-ПРОИЗВОДСТВЕННАЯ КОМПАНИЯ "ИОНА"</t>
  </si>
  <si>
    <t>"Торгово-ПРОИЗВОДСТВЕННАЯ КОМПАНИЯ "ИОНА"</t>
  </si>
  <si>
    <t>6671384941</t>
  </si>
  <si>
    <t>620146, СВЕРДЛОВСКАЯ ОБЛ, Г ЕКАТЕРИНБУРГ, УЛ ШАУМЯНА, Д 81, КАБ 413</t>
  </si>
  <si>
    <t>Белоус Евгений Валерьевич</t>
  </si>
  <si>
    <t>+7 (343) 311-01-22'</t>
  </si>
  <si>
    <t>ОБЩЕСТВО С ОГРАНИЧЕННОЙ ОТВЕТСТВЕННОСТЬЮ "КАМЫШЛОВСКИЙ ЗАВОД МОЗАИЧНЫХ ПЛИТ"</t>
  </si>
  <si>
    <t>"КАМЫШЛОВСКИЙ ЗАВОД МОЗАИЧНЫХ ПЛИТ"</t>
  </si>
  <si>
    <t>6613005457</t>
  </si>
  <si>
    <t>http://kzmp.org</t>
  </si>
  <si>
    <t>Г ЕКАТЕРИНБУРГ,УЛ ШАУМЯНА Д 73/А1 ОФ 511</t>
  </si>
  <si>
    <t>Галлямова Лейсан Анваровна</t>
  </si>
  <si>
    <t>+7 (917) 224-99-44'</t>
  </si>
  <si>
    <t>ОБЩЕСТВО С ОГРАНИЧЕННОЙ ОТВЕТСТВЕННОСТЬЮ "ЕКАСТРОЙ"</t>
  </si>
  <si>
    <t>"ЕКАСТРОЙ"</t>
  </si>
  <si>
    <t>6686074195</t>
  </si>
  <si>
    <t>Г ЕКАТЕРИНБУРГ,УЛ АМУНДСЕНА Д 54..</t>
  </si>
  <si>
    <t>Качкин Андрей Сергеевич</t>
  </si>
  <si>
    <t>+7 (343) 264-04-53', '+7 (922) 294-74-83'</t>
  </si>
  <si>
    <t>55.979828,92.85603</t>
  </si>
  <si>
    <t>ОБЩЕСТВО С ОГРАНИЧЕННОЙ ОТВЕТСТВЕННОСТЬЮ "АНРАЙ"</t>
  </si>
  <si>
    <t>"АНРАЙ"</t>
  </si>
  <si>
    <t>6606038162</t>
  </si>
  <si>
    <t>624090, СВЕРДЛОВСКАЯ ОБЛ, ВЕРХНЯЯ ПЫШМА Г, ул Свердлова, д 2, к 16</t>
  </si>
  <si>
    <t>Горонков Алексей Викторович</t>
  </si>
  <si>
    <t>56.007952,92.860171</t>
  </si>
  <si>
    <t>ОБЩЕСТВО С ОГРАНИЧЕННОЙ ОТВЕТСТВЕННОСТЬЮ "ЛУИ-БЕТОН"</t>
  </si>
  <si>
    <t>"ЛУИ-БЕТОН"</t>
  </si>
  <si>
    <t>6671101255</t>
  </si>
  <si>
    <t>620146, СВЕРДЛОВСКАЯ ОБЛ, Г ЕКАТЕРИНБУРГ, Б-Р ДЕНИСОВА-УРАЛЬСКОГО, Д 13,..</t>
  </si>
  <si>
    <t>Юрьев Иван Александрович</t>
  </si>
  <si>
    <t>beton@yandex.ru'</t>
  </si>
  <si>
    <t>56.015153,92.862705</t>
  </si>
  <si>
    <t>ОБЩЕСТВО С ОГРАНИЧЕННОЙ ОТВЕТСТВЕННОСТЬЮ "КМД-СИСТЕМ"</t>
  </si>
  <si>
    <t>"КМД-СИСТЕМ"</t>
  </si>
  <si>
    <t>6658242384</t>
  </si>
  <si>
    <t>http://penoblok-ek.ru</t>
  </si>
  <si>
    <t>Г ЕКАТЕРИНБУРГ,УЛ ПОСАДСКАЯ, Д 56, КОРП 1, К 39</t>
  </si>
  <si>
    <t>+7 (343) 382-85-50', '+7 (343) 383-57-92'</t>
  </si>
  <si>
    <t>55.978266,92.877168</t>
  </si>
  <si>
    <t>ОБЩЕСТВО С ОГРАНИЧЕННОЙ ОТВЕТСТВЕННОСТЬЮ "СК-УРАЛ"</t>
  </si>
  <si>
    <t>"СК-УРАЛ"</t>
  </si>
  <si>
    <t>6671089978</t>
  </si>
  <si>
    <t>620014, СВЕРДЛОВСКАЯ ОБЛ, ЕКАТЕРИНБУРГ Г, ШЕЙНКМАНА УЛ, ДОМ 45,..</t>
  </si>
  <si>
    <t>Гуряева Нина Михайловна</t>
  </si>
  <si>
    <t>+7 (343) 286-42-37'</t>
  </si>
  <si>
    <t>esk@mail.ru'</t>
  </si>
  <si>
    <t>55.970277,92.884435</t>
  </si>
  <si>
    <t>ОБЩЕСТВО С ОГРАНИЧЕННОЙ ОТВЕТСТВЕННОСТЬЮ "ИНТЕРТТРАНСГРУПП"</t>
  </si>
  <si>
    <t>"ИНТЕРТТРАНСГРУПП"</t>
  </si>
  <si>
    <t>6671093639</t>
  </si>
  <si>
    <t>620014, СВЕРДЛОВСКАЯ ОБЛАСТЬ, ГОРОД ЕКАТЕРИНБУРГ, УЛИЦА ШЕЙНКМАНА, ДОМ 55, ЭТАЖ/ОФИС 15/16.05</t>
  </si>
  <si>
    <t>Устинов-Колчанов Константин Сергеевич</t>
  </si>
  <si>
    <t>56.021709,92.888118</t>
  </si>
  <si>
    <t>ЗАКРЫТОЕ АКЦИОНЕРНОЕ ОБЩЕСТВО "БЕРЕЗОВСКИЙ ЗАВОД СТРОИТЕЛЬНЫХ КОНСТРУКЦИЙ"</t>
  </si>
  <si>
    <t>ЗАКРЫТОЕ "БЕРЕЗОВСКИЙ ЗАВОД СТРОИТЕЛЬНЫХ КОНСТРУКЦИЙ"</t>
  </si>
  <si>
    <t>6604011542</t>
  </si>
  <si>
    <t>Г ЕКАТЕРИНБУРГ,ПЕР ЦЕНТРАЛЬНЫЙ РЫНОК, Д 6, К 208 А</t>
  </si>
  <si>
    <t>Текунова Рузанна Ильнуровна</t>
  </si>
  <si>
    <t>+7 (912) 699-28-69'</t>
  </si>
  <si>
    <t>bzsk@list.ru', 'kurbanovaru@gmail.com'</t>
  </si>
  <si>
    <t>56.063585,92.895942</t>
  </si>
  <si>
    <t>ОБЩЕСТВО С ОГРАНИЧЕННОЙ ОТВЕТСТВЕНОСТЬЮ ЗАВОД ЖБИ "БАЗИСЛЭП"</t>
  </si>
  <si>
    <t>6658481456</t>
  </si>
  <si>
    <t>http://2mastaka.ru</t>
  </si>
  <si>
    <t>620012, СВЕРДЛОВСКАЯ ОБЛ, Г ЕКАТЕРИНБУРГ, УЛИЦА МАШИНОСТРОИТЕЛЕЙ, ДОМ 19, ОФИС 219</t>
  </si>
  <si>
    <t>Колбасов Андрей Станиславович</t>
  </si>
  <si>
    <t>VIT@YA.RU'</t>
  </si>
  <si>
    <t>56.038957,92.896877</t>
  </si>
  <si>
    <t>ОБЩЕСТВО С ОГРАНИЧЕННОЙ ОТВЕТСТВЕННОСТЬЮ "СТРОЙИНДУСТРИЯ-М"</t>
  </si>
  <si>
    <t>"СТРОЙИНДУСТРИЯ-М"</t>
  </si>
  <si>
    <t>6664082805</t>
  </si>
  <si>
    <t>Г ЕКАТЕРИНБУРГ,УЛ ОКРУЖНАЯ, Д 5, К 134</t>
  </si>
  <si>
    <t>Хлебников Евгений Викторович</t>
  </si>
  <si>
    <t>56.026418,92.897757</t>
  </si>
  <si>
    <t>6681005367</t>
  </si>
  <si>
    <t>Г ЕКАТЕРИНБУРГ,УЛ ТАГИЛЬСКАЯ, Д 2</t>
  </si>
  <si>
    <t>Садыков Антон Робертович</t>
  </si>
  <si>
    <t>+7 (343) 358-50-43', '+7 (912) 215-78-53', '+7 (963) 444-08-16'</t>
  </si>
  <si>
    <t>55.982104,92.900685</t>
  </si>
  <si>
    <t>ОБЩЕСТВО С ОГРАНИЧЕННОЙ ОТВЕТСТВЕННОСТЬЮ "ГАММАПЛИТ"</t>
  </si>
  <si>
    <t>"ГАММАПЛИТ"</t>
  </si>
  <si>
    <t>6686113616</t>
  </si>
  <si>
    <t>620012, СВЕРДЛОВСКАЯ ОБЛ, Г ЕКАТЕРИНБУРГ, КРАСНОЗНАМЕННАЯ УЛ, ДОМ 4А, ОФИС 4</t>
  </si>
  <si>
    <t>Бармина Марина Игоревна</t>
  </si>
  <si>
    <t>+7 (343) 376-77-77', '+7 (922) 219-09-77'</t>
  </si>
  <si>
    <t>gammaplit@yandex.ru'</t>
  </si>
  <si>
    <t>56.052064,92.911519</t>
  </si>
  <si>
    <t>ОБЩЕСТВО С ОГРАНИЧЕННОЙ ОТВЕТСТВЕННОСТЬЮ "КОМПАНИЯ "НОВЫЙ ДОМ"</t>
  </si>
  <si>
    <t>"КОМПАНИЯ "НОВЫЙ ДОМ"</t>
  </si>
  <si>
    <t>6629015605</t>
  </si>
  <si>
    <t>Г ЕКАТЕРИНБУРГ,УЛ ФРУНЗЕ Д 96 В ОФ 303</t>
  </si>
  <si>
    <t>Забелин Денис Юрьевич</t>
  </si>
  <si>
    <t>+7 (343) 257-18-35', '+7 (343) 257-03-33'</t>
  </si>
  <si>
    <t>56.047012,92.912202</t>
  </si>
  <si>
    <t>ОБЩЕСТВО С ОГРАНИЧЕННОЙ ОТВЕТСТВЕННОСТЬЮ "ЗАВОД ТРОТУАРНЫХ БЕТОННЫХ ИЗДЕЛИЙ "КОНКРИТ"</t>
  </si>
  <si>
    <t>"ЗАВОД ТРОТУАРНЫХ БЕТОННЫХ ИЗДЕЛИЙ "КОНКРИТ"</t>
  </si>
  <si>
    <t>6686076153</t>
  </si>
  <si>
    <t>http://concrete66.ru</t>
  </si>
  <si>
    <t>624091, СВЕРДЛОВСКАЯ ОБЛАСТЬ, ГОРОД ВЕРХНЯЯ ПЫШМА, УЛИЦА ПЕТРОВА, ДОМ 11, ПОМЕЩЕНИЕ 41</t>
  </si>
  <si>
    <t>+7 (343) 344-66-05', '+7 (343) 268-97-63', '+7 (343) 268-98-63'</t>
  </si>
  <si>
    <t>concrete66@mail.ru'</t>
  </si>
  <si>
    <t>56.056619,92.912633</t>
  </si>
  <si>
    <t>ОБЩЕСТВО С ОГРАНИЧЕННОЙ ОТВЕТСТВЕННОСТЬЮ "СтройКонсалтинг"</t>
  </si>
  <si>
    <t>"СтройКонсалтинг"</t>
  </si>
  <si>
    <t>6671406095</t>
  </si>
  <si>
    <t>620014, СВЕРДЛОВСКАЯ ОБЛ, Г ЕКАТЕРИНБУРГ, УЛ 8 МАРТА, 12 А, ПОМ 1020</t>
  </si>
  <si>
    <t>Шардаков Александр Николаевич</t>
  </si>
  <si>
    <t>+7 (922) 297-53-17', '+7 (343) 236-60-90'</t>
  </si>
  <si>
    <t>buh11@alterk.ru'</t>
  </si>
  <si>
    <t>56.06159,92.918032</t>
  </si>
  <si>
    <t>ОБЩЕСТВО С ОГРАНИЧЕННОЙ ОТВЕТСТВЕННОСТЬЮ "СПЕЦПРОМСТРОЙ"</t>
  </si>
  <si>
    <t>6676004287</t>
  </si>
  <si>
    <t>Г ЕКАТЕРИНБУРГ,УЛ ИНДУСТРИИ 53 90</t>
  </si>
  <si>
    <t>Родионова Надежда Ивановна</t>
  </si>
  <si>
    <t>+7 (909) 004-21-31', '+7 (950) 640-34-63', '+7 (919) 399-38-16'</t>
  </si>
  <si>
    <t>56.042713,92.918787</t>
  </si>
  <si>
    <t>ОБЩЕСТВО С ОГРАНИЧЕННОЙ ОТВЕТСТВЕННОСТЬЮ "Промстройбаза"</t>
  </si>
  <si>
    <t>"Промстройбаза"</t>
  </si>
  <si>
    <t>6671440709</t>
  </si>
  <si>
    <t>620014, СВЕРДЛОВСКАЯ ОБЛ, Г ЕКАТЕРИНБУРГ, УЛ ЧЕРНЫШЕВСКОГО, Д 16, ОФ 501</t>
  </si>
  <si>
    <t>Хоренженко Дмитрий Сергеевич</t>
  </si>
  <si>
    <t>+7 (922) 112-87-65'</t>
  </si>
  <si>
    <t>3802326@bk.ru'</t>
  </si>
  <si>
    <t>56.102097,92.919334</t>
  </si>
  <si>
    <t>ОБЩЕСТВО С ОГРАНИЧЕННОЙ ОТВЕТСТВЕННОСТЬЮ "ЖБИ-ПОВОЛЖЬЕ"</t>
  </si>
  <si>
    <t>"ЖБИ-ПОВОЛЖЬЕ"</t>
  </si>
  <si>
    <t>6679048959</t>
  </si>
  <si>
    <t>Г ЕКАТЕРИНБУРГ,УЛ БОЛЬШАКОВА, Д 99, К 72</t>
  </si>
  <si>
    <t>Ляпин Владимир Сергеевич</t>
  </si>
  <si>
    <t>+7 (343) 355-17-25', '+7 (963) 116-06-00'</t>
  </si>
  <si>
    <t>56.12128,92.922964</t>
  </si>
  <si>
    <t>ОБЩЕСТВО С ОГРАНИЧЕННОЙ ОТВЕТСТВЕННОСТЬЮ "УРАЛЬСКИЙ ТЕПЛОБЛОК"</t>
  </si>
  <si>
    <t>"УРАЛЬСКИЙ ТЕПЛОБЛОК"</t>
  </si>
  <si>
    <t>6679135457</t>
  </si>
  <si>
    <t>620085, СВЕРДЛОВСКАЯ ОБЛ, Г ЕКАТЕРИНБУРГ, УЛ 8 МАРТА, СТР 212, ОФ 13А</t>
  </si>
  <si>
    <t>Багаев Андрей Васильевич</t>
  </si>
  <si>
    <t>+7 (922) 126-09-09'</t>
  </si>
  <si>
    <t>56.11169,92.925326</t>
  </si>
  <si>
    <t>ОБЩЕСТВО С ОГРАНИЧЕННОЙ ОТВЕТСТВЕННОСТЬЮ ПРОИЗВОДСТВЕННАЯ КОМПАНИЯ "ЖБИ-СЕРВИС"</t>
  </si>
  <si>
    <t>ПРОИЗВОДСТВЕННАЯ КОМПАНИЯ "ЖБИ-СЕРВИС"</t>
  </si>
  <si>
    <t>6679062216</t>
  </si>
  <si>
    <t>620085, СВЕРДЛОВСКАЯ ОБЛ, Г ЕКАТЕРИНБУРГ, УЛ АГРОНОМИЧЕСКАЯ, 7, 112</t>
  </si>
  <si>
    <t>Шохрина Яна Валерьевна</t>
  </si>
  <si>
    <t>+7 (908) 910-18-37', '+7 (912) 243-58-02'</t>
  </si>
  <si>
    <t>aa230166@mail.ru'</t>
  </si>
  <si>
    <t>56.067128,92.927563</t>
  </si>
  <si>
    <t>ОБЩЕСТВО С ОГРАНИЧЕННОЙ ОТВЕТСТВЕННОСТЬЮ "НОВЭЛ ЕК"</t>
  </si>
  <si>
    <t>"НОВЭЛ ЕК"</t>
  </si>
  <si>
    <t>6670319562</t>
  </si>
  <si>
    <t>Г ЕКАТЕРИНБУРГ,УЛ ФЕРГАНСКАЯ Д 16 КОМ 110</t>
  </si>
  <si>
    <t>Рыжиков Артем Владимирович</t>
  </si>
  <si>
    <t>55.983837,92.928057</t>
  </si>
  <si>
    <t>ОБЩЕСТВО С ОГРАНИЧЕННОЙ ОТВЕТСТВЕННОСТЬЮ "СЕВЕРОУРАЛЬСКИЙ ЗАВОД ЖЕЛЕЗОБЕТОННЫХ КОНСТРУКЦИЙ"</t>
  </si>
  <si>
    <t>"СЕВЕРОУРАЛЬСКИЙ ЗАВОД ЖЕЛЕЗОБЕТОННЫХ КОНСТРУКЦИЙ"</t>
  </si>
  <si>
    <t>6679088380</t>
  </si>
  <si>
    <t>620085, СВЕРДЛОВСКАЯ ОБЛ, Г ЕКАТЕРИНБУРГ, УЛ ФЕРГАНСКАЯ, Д 16, ОФ 207-Б</t>
  </si>
  <si>
    <t>Лобов Константин Александрович</t>
  </si>
  <si>
    <t>+7 (343) 357-31-31', '+7 (925) 015-38-55'</t>
  </si>
  <si>
    <t>55.978428,92.933815</t>
  </si>
  <si>
    <t>ОБЩЕСТВО С ОГРАНИЧЕННОЙ ОТВЕТСТВЕННОСТЬЮ "СТРОЙПРОИЗВОДСТВО"</t>
  </si>
  <si>
    <t>"СТРОЙПРОИЗВОДСТВО"</t>
  </si>
  <si>
    <t>6686104308</t>
  </si>
  <si>
    <t>620091, СВЕРДЛОВСКАЯ ОБЛ, Г ЕКАТЕРИНБУРГ, ПР-КТ КОСМОНАВТОВ, СТР 17Ж, ПОМ 33</t>
  </si>
  <si>
    <t>Захарова Юлия Викторовна</t>
  </si>
  <si>
    <t>+7 (912) 295-56-79', '+7 (900) 206-90-05'</t>
  </si>
  <si>
    <t>56.058931,92.937597</t>
  </si>
  <si>
    <t>ОБЩЕСТВО С ОГРАНИЧЕННОЙ ОТВЕТСТВЕННОСТЬЮ "ВАЛЕНАБЕТОН"</t>
  </si>
  <si>
    <t>"ВАЛЕНАБЕТОН"</t>
  </si>
  <si>
    <t>6678089631</t>
  </si>
  <si>
    <t>620027, СВЕРДЛОВСКАЯ ОБЛ, ЕКАТЕРИНБУРГ Г, ФИЗКУЛЬТУРНИКОВ УЛ, ДОМ 30,..</t>
  </si>
  <si>
    <t>Лоскутов Валентин Анатольевич</t>
  </si>
  <si>
    <t>+7 (922) 294-63-25'</t>
  </si>
  <si>
    <t>56.059237,92.944281</t>
  </si>
  <si>
    <t>ОБЩЕСТВО С ОГРАНИЧЕННОЙ ОТВЕТСТВЕННОСТЬЮ "АРТ ГОРОД"</t>
  </si>
  <si>
    <t>"АРТ ГОРОД"</t>
  </si>
  <si>
    <t>6671105130</t>
  </si>
  <si>
    <t>620075, СВЕРДЛОВСКАЯ ОБЛ, Г ЕКАТЕРИНБУРГ, УЛ ПУШКИНА, СТР 9А, ОФ 505</t>
  </si>
  <si>
    <t>Космина Ирина Владимировна</t>
  </si>
  <si>
    <t>resurs99999@mail.ru'</t>
  </si>
  <si>
    <t>56.064062,92.944568</t>
  </si>
  <si>
    <t>ОБЩЕСТВО С ОГРАНИЧЕННОЙ ОТВЕТСТВЕННОСТЬЮ "ПЕРВЫЙ БЕТОННЫЙ"</t>
  </si>
  <si>
    <t>"ПЕРВЫЙ БЕТОННЫЙ"</t>
  </si>
  <si>
    <t>6671098027</t>
  </si>
  <si>
    <t>620142, СВЕРДЛОВСКАЯ ОБЛ, Г ЕКАТЕРИНБУРГ, УЛ СТЕПАНА РАЗИНА, Д 76, ПОМ 3</t>
  </si>
  <si>
    <t>Крюков Сергей Павлович</t>
  </si>
  <si>
    <t>56.017422,92.960163</t>
  </si>
  <si>
    <t>ОБЩЕСТВО С ОГРАНИЧЕННОЙ ОТВЕТСТВЕННОСТЬЮ "Завод "ДимМакс"</t>
  </si>
  <si>
    <t>"Завод "ДимМакс"</t>
  </si>
  <si>
    <t>6679018496</t>
  </si>
  <si>
    <t>620085, СВЕРДЛОВСКАЯ ОБЛ, Г ЕКАТЕРИНБУРГ, УЛ ТИТОВА, 25А, 66</t>
  </si>
  <si>
    <t>Никифоров Максим Владимирович</t>
  </si>
  <si>
    <t>+7 (922) 114-68-96', '+7 (343) 206-05-06'</t>
  </si>
  <si>
    <t>56.008903,92.969353</t>
  </si>
  <si>
    <t>ОБЩЕСТВО С ОГРАНИЧЕННОЙ ОТВЕТСТВЕННОСТЬЮ "БИНХЕН БАУ"</t>
  </si>
  <si>
    <t>"БИНХЕН БАУ"</t>
  </si>
  <si>
    <t>6671060471</t>
  </si>
  <si>
    <t>620142, СВЕРДЛОВСКАЯ ОБЛ, Г ЕКАТЕРИНБУРГ, УЛ ФРУНЗЕ, Д 40, ПОМ 3А</t>
  </si>
  <si>
    <t>Жужгов Даниил Андреевич</t>
  </si>
  <si>
    <t>+7 (343) 219-87-11', '+7 (343) 271-03-01', '+7 (342) 382-53-40'</t>
  </si>
  <si>
    <t>shlang_2000@mail.ru'</t>
  </si>
  <si>
    <t>56.083164,92.975309</t>
  </si>
  <si>
    <t>ОБЩЕСТВО С ОГРАНИЧЕННОЙ ОТВЕТСТВЕННОСТЬЮ "ЗАВОД ЖЕЛЕЗОБЕТОННЫХ ИЗДЕЛИЙ "ВЕРНЕР"</t>
  </si>
  <si>
    <t>"ЗАВОД ЖЕЛЕЗОБЕТОННЫХ ИЗДЕЛИЙ "ВЕРНЕР"</t>
  </si>
  <si>
    <t>6670353394</t>
  </si>
  <si>
    <t>http://bz-zhbi.ru</t>
  </si>
  <si>
    <t>Г ЕКАТЕРИНБУРГ,УЛ 8 МАРТА Д 179 В ОФ 16 А</t>
  </si>
  <si>
    <t>Шелухин Андрей Викторович</t>
  </si>
  <si>
    <t>+7 (912) 285-80-78', '+7 (343) 383-16-72', '+7 (912) 699-07-77', '+7 (912) 300-81-00'</t>
  </si>
  <si>
    <t>56.084285,92.980384</t>
  </si>
  <si>
    <t>ОБЩЕСТВО С ОГРАНИЧЕННОЙ ОТВЕТСТВЕННОСТЬЮ "ВИБРОКАМЕНЬ"</t>
  </si>
  <si>
    <t>"ВИБРОКАМЕНЬ"</t>
  </si>
  <si>
    <t>6678117960</t>
  </si>
  <si>
    <t>620027, СВЕРДЛОВСКАЯ ОБЛ, Г ЕКАТЕРИНБУРГ, УЛ МАМИНА-СИБИРЯКА, Д 40,..</t>
  </si>
  <si>
    <t>Козуля Александр Александрович</t>
  </si>
  <si>
    <t>56.081818,92.98042</t>
  </si>
  <si>
    <t>ОБЩЕСТВО С ОГРАНИЧЕННОЙ ОТВЕТСТВЕННОСТЬЮ "БРУСНИКА. МОБИЛЬНАЯ ИНДУСТРИАЛИЗАЦИЯ"</t>
  </si>
  <si>
    <t>"БРУСНИКА. МОБИЛЬНАЯ ИНДУСТРИАЛИЗАЦИЯ"</t>
  </si>
  <si>
    <t>7203460976</t>
  </si>
  <si>
    <t>620075, СВЕРДЛОВСКАЯ ОБЛ, Г ЕКАТЕРИНБУРГ, УЛ МАЛЫШЕВА, СТР 51, ОФ 6/19</t>
  </si>
  <si>
    <t xml:space="preserve"> Общество С Ограниченной Ответственностью "Брусника. Строительство И Девелопмент"</t>
  </si>
  <si>
    <t>+7 (343) 222-34-34'</t>
  </si>
  <si>
    <t>kochetkova@brusnika.ru'</t>
  </si>
  <si>
    <t>56.076775,92.986618</t>
  </si>
  <si>
    <t>ОБЩЕСТВО С ОГРАНИЧЕННОЙ ОТВЕТСТВЕННОСТЬЮ "ПК Престиж-10"</t>
  </si>
  <si>
    <t>"ПК Престиж-10"</t>
  </si>
  <si>
    <t>6673211983</t>
  </si>
  <si>
    <t>http://prestige10.ru</t>
  </si>
  <si>
    <t>620017, СВЕРДЛОВСКАЯ ОБЛ, Г ЕКАТЕРИНБУРГ, ул Баумана, д 1,..</t>
  </si>
  <si>
    <t>Гребенкин Константин Михайлович</t>
  </si>
  <si>
    <t>+7 (343) 383-60-46'</t>
  </si>
  <si>
    <t>56.078628,92.988136</t>
  </si>
  <si>
    <t>ОБЩЕСТВО С ОГРАНИЧЕННОЙ ОТВЕТСТВЕННОСТЬЮ "ФАРМ ИНТЕРНЕЙШНЛ 1"</t>
  </si>
  <si>
    <t>"ФАРМ ИНТЕРНЕЙШНЛ 1"</t>
  </si>
  <si>
    <t>6679144660</t>
  </si>
  <si>
    <t>620073, СВЕРДЛОВСКАЯ ОБЛ, Г ЕКАТЕРИНБУРГ, УЛ АКАДЕМИКА ШВАРЦА, Д 4,..</t>
  </si>
  <si>
    <t>Павловский Матвей Георгиевич</t>
  </si>
  <si>
    <t>PAVLOVSKIY@YANDEX.RU'</t>
  </si>
  <si>
    <t>56.082426,92.989223</t>
  </si>
  <si>
    <t>ОБЩЕСТВО С ОГРАНИЧЕННОЙ ОТВЕТСТВЕННОСТЬЮ "Уральский завод теплоэффективных блоков "</t>
  </si>
  <si>
    <t>"Уральский завод теплоэффективных блоков "</t>
  </si>
  <si>
    <t>6674330052</t>
  </si>
  <si>
    <t>620130, СВЕРДЛОВСКАЯ ОБЛ, Г ЕКАТЕРИНБУРГ, УЛ 8 МАРТА, Д 181К2,..</t>
  </si>
  <si>
    <t>Литвинов Александр Андреевич</t>
  </si>
  <si>
    <t>+7 (343) 256-82-76', '+7 (912) 658-21-62', '+7 (343) 256-82-76'</t>
  </si>
  <si>
    <t>56.080301,92.989969</t>
  </si>
  <si>
    <t>ОБЩЕСТВО С ОГРАНИЧЕННОЙ ОТВЕТСТВЕННОСТЬЮ "КОНКРИТ-ТРАНС"</t>
  </si>
  <si>
    <t>"КОНКРИТ-ТРАНС"</t>
  </si>
  <si>
    <t>6686069950</t>
  </si>
  <si>
    <t>Г ЕКАТЕРИНБУРГ,УЛ СТЕПАНА РАЗИНА Д 109-А ЛИТ А КОМ 15</t>
  </si>
  <si>
    <t>+7 (904) 387-39-23', '+7 (343) 344-66-05'</t>
  </si>
  <si>
    <t>56.068635,92.992287</t>
  </si>
  <si>
    <t>ОБЩЕСТВО С ОГРАНИЧЕННОЙ ОТВЕТСТВЕННОСТЬЮ "УРАЛЬСКАЯ ИНДУСТРИАЛЬНАЯ КОМПАНИЯ - 1"</t>
  </si>
  <si>
    <t>"УРАЛЬСКАЯ ИНДУСТРИАЛЬНАЯ КОМПАНИЯ - 1"</t>
  </si>
  <si>
    <t>6658095362</t>
  </si>
  <si>
    <t>СВЕРДЛОВСКАЯ ОБЛ.,Г ВЕРХНЯЯ ПЫШМА,УЛ ПРОМТАРСКАЯ Д 32 55 КВАРТАЛ</t>
  </si>
  <si>
    <t>Богатырев Александр Леонидович</t>
  </si>
  <si>
    <t>+7 (343) 385-11-04'</t>
  </si>
  <si>
    <t>56.021452,92.997174</t>
  </si>
  <si>
    <t>ОБЩЕСТВО С ОГРАНИЧЕННОЙ ОТВЕТСТВЕННОСТЬЮ Группа Компаний "Полур"</t>
  </si>
  <si>
    <t>Группа Компаний "Полур"</t>
  </si>
  <si>
    <t>6674377886</t>
  </si>
  <si>
    <t>620085, СВЕРДЛОВСКАЯ ОБЛ, Г ЕКАТЕРИНБУРГ, УЛ 8 МАРТА, СТР 267В, ОФ 201</t>
  </si>
  <si>
    <t>Волобуев Вячеслав Григорьевич</t>
  </si>
  <si>
    <t>+7 (343) 256-33-46'</t>
  </si>
  <si>
    <t>56.078397,92.997371</t>
  </si>
  <si>
    <t>ОБЩЕСТВО С ОГРАНИЧЕННОЙ ОТВЕТСТВЕННОСТЬЮ ПРОИЗВОДСТВЕННАЯ КОМПАНИЯ "ЮНИБРИК"</t>
  </si>
  <si>
    <t>ПРОИЗВОДСТВЕННАЯ КОМПАНИЯ "ЮНИБРИК"</t>
  </si>
  <si>
    <t>6671456963</t>
  </si>
  <si>
    <t>620026, СВЕРДЛОВСКАЯ ОБЛ, Г ЕКАТЕРИНБУРГ, УЛИЦА БЕЛИНСКОГО, ДОМ 86, ОФИС 609</t>
  </si>
  <si>
    <t>Сальников Евгений Геннадьевич</t>
  </si>
  <si>
    <t>+7 (343) 200-23-13', '+7 (343) 278-60-90', '+7 (343) 219-99-31', '+7 (912) 222-98-88'</t>
  </si>
  <si>
    <t>ОБЩЕСТВО С ОГРАНИЧЕННОЙ ОТВЕТСТВЕННОСТЬЮ "ЮНИКЛИНКЕР"</t>
  </si>
  <si>
    <t>"ЮНИКЛИНКЕР"</t>
  </si>
  <si>
    <t>6685107666</t>
  </si>
  <si>
    <t>620026, СВЕРДЛОВСКАЯ ОБЛ, ЕКАТЕРИНБУРГ Г, БЕЛИНСКОГО УЛ, ДОМ 86, ОФИС 614</t>
  </si>
  <si>
    <t>Храмцов Илья Андреевич</t>
  </si>
  <si>
    <t>info@ibekb.ru'</t>
  </si>
  <si>
    <t>ОБЩЕСТВО С ОГРАНИЧЕННОЙ ОТВЕТСТВЕННОСТЬЮ ПРОИЗВОДСТВЕННО-СТРОИТЕЛЬНАЯ КОМПАНИЯ "ЗАВОД ПОЛИСТИРОЛБЕТОН"</t>
  </si>
  <si>
    <t>ПРОИЗВОДСТВЕННО-СТРОИТЕЛЬНАЯ КОМПАНИЯ "ЗАВОД ПОЛИСТИРОЛБЕТОН"</t>
  </si>
  <si>
    <t>6686120772</t>
  </si>
  <si>
    <t>620017, СВЕРДЛОВСКАЯ ОБЛ, Г ЕКАТЕРИНБУРГ, ЭЛЕКТРИКОВ УЛ, ДОМ 9,..</t>
  </si>
  <si>
    <t>Бельченко Олег Петрович</t>
  </si>
  <si>
    <t>buh@zavodpb.ru'</t>
  </si>
  <si>
    <t>56.074695,92.998737</t>
  </si>
  <si>
    <t>ОБЩЕСТВО С ОГРАНИЧЕННОЙ ОТВЕТСТВЕННОСТЬЮ "ФЕРРУМ"</t>
  </si>
  <si>
    <t>"ФЕРРУМ"</t>
  </si>
  <si>
    <t>6671058056</t>
  </si>
  <si>
    <t>620142, СВЕРДЛОВСКАЯ ОБЛ, ЕКАТЕРИНБУРГ Г, ЩОРСА УЛ, ДОМ 56, ОФИС 6</t>
  </si>
  <si>
    <t>Дегтянников Юрий Аркадиевич</t>
  </si>
  <si>
    <t>34@mts-e'</t>
  </si>
  <si>
    <t>56.013291,93.010136</t>
  </si>
  <si>
    <t>6672277318</t>
  </si>
  <si>
    <t>620026, СВЕРДЛОВСКАЯ ОБЛ, Г ЕКАТЕРИНБУРГ, УЛИЦА КРАСНОАРМЕЙСКАЯ, ДОМ 78Б, ОФИС 603</t>
  </si>
  <si>
    <t>Шуплецов Александр Валерьевич</t>
  </si>
  <si>
    <t>+7 (343) 311-11-50', '+7 (343) 311-11-51', '+7 (343) 311-11-40', '+7 (343) 311-11-41', '+7 (343) 311-11-60', '+7 (922) 120-21-75', '+7 (343) 287-55-15'</t>
  </si>
  <si>
    <t>56.008389,93.018338</t>
  </si>
  <si>
    <t>6674131811</t>
  </si>
  <si>
    <t>http://gc-polur.ru</t>
  </si>
  <si>
    <t>Г ЕКАТЕРИНБУРГ,УЛ МОНТЕРСКАЯ Д 5 А</t>
  </si>
  <si>
    <t>+7 (343) 235-06-91'</t>
  </si>
  <si>
    <t>55.995277,93.026521</t>
  </si>
  <si>
    <t>ОБЩЕСТВО С ОГРАНИЧЕННОЙ ОТВЕТСТВЕННОСТЬЮ "ПРОФСАЙДИНГ"</t>
  </si>
  <si>
    <t>"ПРОФСАЙДИНГ"</t>
  </si>
  <si>
    <t>6685173186</t>
  </si>
  <si>
    <t>620026, СВЕРДЛОВСКАЯ ОБЛАСТЬ, ГОРОД ЕКАТЕРИНБУРГ, УЛИЦА ЭНГЕЛЬСА, ДОМ 36, ПОМЕЩЕНИЕ 245</t>
  </si>
  <si>
    <t>Сафьянов Евгений Рафаилович</t>
  </si>
  <si>
    <t>56.004771,93.036457</t>
  </si>
  <si>
    <t>ОБЩЕСТВО С ОГРАНИЧЕННОЙ ОТВЕТСТВЕННОСТЬЮ "МЕГАВЕСТ"</t>
  </si>
  <si>
    <t>"МЕГАВЕСТ"</t>
  </si>
  <si>
    <t>6685184029</t>
  </si>
  <si>
    <t>620026, СВЕРДЛОВСКАЯ ОБЛ, Г ЕКАТЕРИНБУРГ, УЛ ЭНГЕЛЬСА, Д 36, ПОМ 225</t>
  </si>
  <si>
    <t>Муратов Олег Ильдарович</t>
  </si>
  <si>
    <t>MEGAVEST@LIST.RU'</t>
  </si>
  <si>
    <t>56.000598,93.037957</t>
  </si>
  <si>
    <t>ОБЩЕСТВО С ОГРАНИЧЕННОЙ ОТВЕТСТВЕННОСТЬЮ "ТОПСАЙДИНГ"</t>
  </si>
  <si>
    <t>"ТОПСАЙДИНГ"</t>
  </si>
  <si>
    <t>6685182110</t>
  </si>
  <si>
    <t>620026, СВЕРДЛОВСКАЯ ОБЛ, Г ЕКАТЕРИНБУРГ, УЛ ЭНГЕЛЬСА, Д 36, ПОМ 259</t>
  </si>
  <si>
    <t>Угринов Андрей Викторович</t>
  </si>
  <si>
    <t>sayding20@bk.ru'</t>
  </si>
  <si>
    <t>56.004323,93.038334</t>
  </si>
  <si>
    <t>6685180320</t>
  </si>
  <si>
    <t>620026, СВЕРДЛОВСКАЯ ОБЛАСТЬ, ГОРОД ЕКАТЕРИНБУРГ, УЛИЦА ЭНГЕЛЬСА, ДОМ 36, ПОМЕЩЕНИЕ 24</t>
  </si>
  <si>
    <t>Уржумова Наталья Александровна</t>
  </si>
  <si>
    <t>56.032549,93.045988</t>
  </si>
  <si>
    <t>ОБЩЕСТВО С ОГРАНИЧЕННОЙ ОТВЕТСТВЕННОСТЬЮ "СТРОИТЕЛЬНО-ПРОИЗВОДСТВЕННОЕ ОБЪЕДИНЕНИЕ "ОБЛСТРОЙ""</t>
  </si>
  <si>
    <t>"СТРОИТЕЛЬНО-ПРОИЗВОДСТВЕННОЕ ОБЪЕДИНЕНИЕ "ОБЛСТРОЙ""</t>
  </si>
  <si>
    <t>6679108478</t>
  </si>
  <si>
    <t>620130, СВЕРДЛОВСКАЯ ОБЛ, ЕКАТЕРИНБУРГ Г, ЮЛИУСА ФУЧИКА УЛ, ДОМ 9,..</t>
  </si>
  <si>
    <t>Долбленников Сергей Юрьевич</t>
  </si>
  <si>
    <t>ekb@yandex.ru'</t>
  </si>
  <si>
    <t>56.106058,93.071392</t>
  </si>
  <si>
    <t>ОБЩЕСТВО С ОГРАНИЧЕННОЙ ОТВЕТСТВЕННОСТЬЮ "1Й БЕТОННЫЙ"</t>
  </si>
  <si>
    <t>"1Й БЕТОННЫЙ"</t>
  </si>
  <si>
    <t>6685187781</t>
  </si>
  <si>
    <t>620026, СВЕРДЛОВСКАЯ ОБЛ, Г ЕКАТЕРИНБУРГ, УЛ ЛУНАЧАРСКОГО, СТР 194, ОФ 308/2</t>
  </si>
  <si>
    <t>Сазанов Юрий Викторович</t>
  </si>
  <si>
    <t>56.035542,93.112302</t>
  </si>
  <si>
    <t>6686068089</t>
  </si>
  <si>
    <t>Г ЕКАТЕРИНБУРГ,ПР ЛЕНИНА Д 50-А ЛИТЕРА А К 444</t>
  </si>
  <si>
    <t>Хайрланамов Фанис Альтафович</t>
  </si>
  <si>
    <t>+7 (908) 923-32-08'</t>
  </si>
  <si>
    <t>56.037136,93.126603</t>
  </si>
  <si>
    <t>ОБЩЕСТВО С ОГРАНИЧЕННОЙ ОТВЕТСТВЕННОСТЬЮ "БАЖЕНОВСКИЙ ЗАВОД ЖЕЛЕЗОБЕТОННЫХ КОНСТРУКЦИЙ"</t>
  </si>
  <si>
    <t>"БАЖЕНОВСКИЙ ЗАВОД ЖЕЛЕЗОБЕТОННЫХ КОНСТРУКЦИЙ"</t>
  </si>
  <si>
    <t>6679011010</t>
  </si>
  <si>
    <t>620073, СВЕРДЛОВСКАЯ ОБЛ, Г ЕКАТЕРИНБУРГ, УЛ КРЕСТИНСКОГО, 44, ОФ 304</t>
  </si>
  <si>
    <t xml:space="preserve"> Общество С Ограниченной Ответственностью "Группа Компаний Пкл"</t>
  </si>
  <si>
    <t>+7 (343) 344-99-13', '+7 (343) 344-99-13'</t>
  </si>
  <si>
    <t>56.117401,93.329065</t>
  </si>
  <si>
    <t>ОБЩЕСТВО С ОГРАНИЧЕННОЙ ОТВЕТСТВЕННОСТЬЮ "ПРОИЗВОДСТВО СТРОИТЕЛЬНЫХ МАТЕРИАЛОВ ГАРАНТ"</t>
  </si>
  <si>
    <t>"ПРОИЗВОДСТВО СТРОИТЕЛЬНЫХ МАТЕРИАЛОВ ГАРАНТ"</t>
  </si>
  <si>
    <t>6686120518</t>
  </si>
  <si>
    <t>620135, СВЕРДЛОВСКАЯ ОБЛ, Г ЕКАТЕРИНБУРГ, УЛИЦА КРАСНЫХ КОМАНДИРОВ, ДОМ 17,..</t>
  </si>
  <si>
    <t>Котвицкий Евгений Борисович</t>
  </si>
  <si>
    <t>psmgarant@bk.ru'</t>
  </si>
  <si>
    <t>56.118179,93.329128</t>
  </si>
  <si>
    <t>ОБЩЕСТВО С ОГРАНИЧЕННОЙ ОТВЕТСТВЕННОСТЬЮ "ПРЕДПРИЯТИЕ СТРОИТЕЛЬНЫХ МАТЕРИАЛОВ ГАРАНТ"</t>
  </si>
  <si>
    <t>"ПРЕДПРИЯТИЕ СТРОИТЕЛЬНЫХ МАТЕРИАЛОВ ГАРАНТ"</t>
  </si>
  <si>
    <t>6686140024</t>
  </si>
  <si>
    <t>620091, СВЕРДЛОВСКАЯ ОБЛ, Г ЕКАТЕРИНБУРГ, УЛ КРАСНЫХ КОМАНДИРОВ, Д 17,..</t>
  </si>
  <si>
    <t>56.133146,93.352403</t>
  </si>
  <si>
    <t>ОБЩЕСТВО С ОГРАНИЧЕННОЙ ОТВЕТСТВЕННОСТЬЮ "Группа Компаний "НОВЫЕ СТРОИТЕЛЬНЫЕ ТЕХНОЛОГИИ"</t>
  </si>
  <si>
    <t>"Группа Компаний "НОВЫЕ СТРОИТЕЛЬНЫЕ ТЕХНОЛОГИИ"</t>
  </si>
  <si>
    <t>6670429477</t>
  </si>
  <si>
    <t>620075, СВЕРДЛОВСКАЯ ОБЛ, Г ЕКАТЕРИНБУРГ, УЛ ПЕРВОМАЙСКАЯ, Д 56, ПОМ 3, ОФ 702</t>
  </si>
  <si>
    <t>Будницкий Евгений Ильич</t>
  </si>
  <si>
    <t>+7 (908) 903-86-33'</t>
  </si>
  <si>
    <t>56.137636,93.364028</t>
  </si>
  <si>
    <t>ОБЩЕСТВО С ОГРАНИЧЕННОЙ ОТВЕТСТВЕННОСТЬЮ ЗАВОД ЖЕЛЕЗОБЕТОННЫХ КОНСТРУКЦИЙ "УРАЛЬСКИЙ"</t>
  </si>
  <si>
    <t>ЗАВОД ЖЕЛЕЗОБЕТОННЫХ КОНСТРУКЦИЙ "УРАЛЬСКИЙ"</t>
  </si>
  <si>
    <t>6671024723</t>
  </si>
  <si>
    <t>http://zavodgbk.su</t>
  </si>
  <si>
    <t>620075, СВЕРДЛОВСКАЯ ОБЛ, Г ЕКАТЕРИНБУРГ, УЛ ПЕРВОМАЙСКАЯ, Д 56, ОФ 705Б</t>
  </si>
  <si>
    <t>Купцов Александр Федорович</t>
  </si>
  <si>
    <t>+7 (965) 506-67-47'</t>
  </si>
  <si>
    <t>51.700162,94.392347</t>
  </si>
  <si>
    <t>ОБЩЕСТВО С ОГРАНИЧЕННОЙ ОТВЕТСТВЕННОСТЬЮ "ПЕРВОУРАЛЬСКИЙ ЗАВОД ЖЕЛЕЗОБЕТОННЫХ КОНСТРУКЦИЙ"</t>
  </si>
  <si>
    <t>"ПЕРВОУРАЛЬСКИЙ ЗАВОД ЖЕЛЕЗОБЕТОННЫХ КОНСТРУКЦИЙ"</t>
  </si>
  <si>
    <t>6685139643</t>
  </si>
  <si>
    <t>620089, СВЕРДЛОВСКАЯ ОБЛ, Г ЕКАТЕРИНБУРГ, УЛИЦА МАШИННАЯ, ДОМ 44, КОРПУС 3,..</t>
  </si>
  <si>
    <t>Аглямов Константин Альбертович</t>
  </si>
  <si>
    <t>51.717937,94.435421</t>
  </si>
  <si>
    <t>ОБЩЕСТВО С ОГРАНИЧЕННОЙ ОТВЕТСТВЕННОСТЬЮ "БК-ДЕКОР"</t>
  </si>
  <si>
    <t>"БК-ДЕКОР"</t>
  </si>
  <si>
    <t>6670450292</t>
  </si>
  <si>
    <t>620041, СВЕРДЛОВСКАЯ ОБЛ, Г ЕКАТЕРИНБУРГ, УРАЛЬСКАЯ УЛ, ДОМ 56А,..</t>
  </si>
  <si>
    <t>Кузьмин Александр Анатольевич</t>
  </si>
  <si>
    <t>+7 (912) 244-46-16'</t>
  </si>
  <si>
    <t>51.701825,94.475109</t>
  </si>
  <si>
    <t>ОБЩЕСТВО С ОГРАНИЧЕННОЙ ОТВЕТСТВЕННОСТЬЮ ЗЖБИ "СПЕЦСТРОЙ"</t>
  </si>
  <si>
    <t>ЗЖБИ "СПЕЦСТРОЙ"</t>
  </si>
  <si>
    <t>6685110563</t>
  </si>
  <si>
    <t>620089, СВЕРДЛОВСКАЯ ОБЛ, Г ЕКАТЕРИНБУРГ, УЛ МАШИННАЯ, СТР 42А, ОФ 208</t>
  </si>
  <si>
    <t>Табатчиков Владимир Петрович</t>
  </si>
  <si>
    <t>+7 (922) 114-12-35'</t>
  </si>
  <si>
    <t>51.689203,94.555849</t>
  </si>
  <si>
    <t>ОБЩЕСТВО С ОГРАНИЧЕННОЙ ОТВЕТСТВЕННОСТЬЮ "РАНДОР"</t>
  </si>
  <si>
    <t>"РАНДОР"</t>
  </si>
  <si>
    <t>6685178466</t>
  </si>
  <si>
    <t>620089, СВЕРДЛОВСКАЯ ОБЛ, Г ЕКАТЕРИНБУРГ, УЛ МАШИННАЯ, СТР 42А, ОФ 225</t>
  </si>
  <si>
    <t>Филимонов Евгений Викторович</t>
  </si>
  <si>
    <t>56.109893,94.599247</t>
  </si>
  <si>
    <t>ОБЩЕСТВО С ОГРАНИЧЕННОЙ ОТВЕТСТВЕННОСТЬЮ "ПКФ "МНК"</t>
  </si>
  <si>
    <t>"ПКФ "МНК"</t>
  </si>
  <si>
    <t>6671390663</t>
  </si>
  <si>
    <t>620100, СВЕРДЛОВСКАЯ ОБЛ, Г ЕКАТЕРИНБУРГ, УЛ ТКАЧЕЙ, СТР 25, ОФ 522-1</t>
  </si>
  <si>
    <t>Очеков Данила Олегович</t>
  </si>
  <si>
    <t>+7 (343) 283-01-51', '+7 (912) 659-00-60'</t>
  </si>
  <si>
    <t>55.665843,95.507659</t>
  </si>
  <si>
    <t>6674231051</t>
  </si>
  <si>
    <t>620142, СВЕРДЛОВСКАЯ ОБЛ, Г ЕКАТЕРИНБУРГ, УЛ ЩОРСА, СТР 7, ЛИТ А, ОФ 305</t>
  </si>
  <si>
    <t>Тринкеншу Дмитрий Владимирович</t>
  </si>
  <si>
    <t>+7 (343) 214-90-99', '+7 (343) 269-17-80'</t>
  </si>
  <si>
    <t>56.249006,95.601192</t>
  </si>
  <si>
    <t>ОБЩЕСТВО С ОГРАНИЧЕННОЙ ОТВЕТСТВЕННОСТЬЮ "СТРОЙ-ПЛЮС"</t>
  </si>
  <si>
    <t>"СТРОЙ-ПЛЮС"</t>
  </si>
  <si>
    <t>6685199811</t>
  </si>
  <si>
    <t>620100, Свердловская область, ГОРОД ЕКАТЕРИНБУРГ, Г ЕКАТЕРИНБУРГ, УЛ ВОСТОЧНАЯ, СТР. 160А</t>
  </si>
  <si>
    <t>Пшеницын Максим Олегович</t>
  </si>
  <si>
    <t>56.233824,95.692604</t>
  </si>
  <si>
    <t>ОБЩЕСТВО С ОГРАНИЧЕННОЙ ОТВЕТСТВЕННОСТЬЮ "ГОЛЕМ"</t>
  </si>
  <si>
    <t>"ГОЛЕМ"</t>
  </si>
  <si>
    <t>6672309513</t>
  </si>
  <si>
    <t>620089, СВЕРДЛОВСКАЯ ОБЛ, ЕКАТЕРИНБУРГ Г, МОРДВИНСКИЙ ПЕР, 5, 29</t>
  </si>
  <si>
    <t>Менщиков Дмитрий Александрович</t>
  </si>
  <si>
    <t>+7 (922) 168-62-20', '+7 (343) 382-14-67'</t>
  </si>
  <si>
    <t>58.409473,97.221232</t>
  </si>
  <si>
    <t>ОБЩЕСТВО С ОГРАНИЧЕННОЙ ОТВЕТСТВЕННОСТЬЮ "ПК ПРОМЭНЕРГОБЕТОН"</t>
  </si>
  <si>
    <t>"ПК ПРОМЭНЕРГОБЕТОН"</t>
  </si>
  <si>
    <t>6686046529</t>
  </si>
  <si>
    <t>http://promenergobeton.ru</t>
  </si>
  <si>
    <t>620017, СВЕРДЛОВСКАЯ ОБЛ, Г ЕКАТЕРИНБУРГ, УЛ СТАРЫХ БОЛЬШЕВИКОВ, 2, ОФ 3</t>
  </si>
  <si>
    <t>Коровникова Лариса Юрьевна</t>
  </si>
  <si>
    <t>+7 (343) 222-12-40'</t>
  </si>
  <si>
    <t>os5684@list.ru'</t>
  </si>
  <si>
    <t>58.380944,97.42876</t>
  </si>
  <si>
    <t>ОБЩЕСТВО С ОГРАНИЧЕННОЙ ОТВЕТСТВЕННОСТЬЮ "ПРОИЗВОДСТВЕННАЯ КОМПАНИЯ ТЕХНОКРИТ"</t>
  </si>
  <si>
    <t>"ПРОИЗВОДСТВЕННАЯ КОМПАНИЯ ТЕХНОКРИТ"</t>
  </si>
  <si>
    <t>6670470813</t>
  </si>
  <si>
    <t>620062, СВЕРДЛОВСКАЯ ОБЛ, Г ЕКАТЕРИНБУРГ, УЛ ПЕРВОМАЙСКАЯ, Д 75А, ОФ 72</t>
  </si>
  <si>
    <t>Казанцев Михаил Александрович</t>
  </si>
  <si>
    <t>uev@tehnokrit.ru'</t>
  </si>
  <si>
    <t>58.603412,99.179712</t>
  </si>
  <si>
    <t>ОБЩЕСТВО С ОГРАНИЧЕННОЙ ОТВЕТСТВЕННОСТЬЮ "УРАЛГАЗОБЕТОНСТРОЙ"</t>
  </si>
  <si>
    <t>"УРАЛГАЗОБЕТОНСТРОЙ"</t>
  </si>
  <si>
    <t>6670508753</t>
  </si>
  <si>
    <t>620137, Свердловская область, ГОРОД ЕКАТЕРИНБУРГ, Г ЕКАТЕРИНБУРГ, УЛ АКАДЕМИЧЕСКАЯ, Д. 4</t>
  </si>
  <si>
    <t>Ткаченко Александр Анатольевич</t>
  </si>
  <si>
    <t>URALGAZOBETONSTROY@YANDEX.RU'</t>
  </si>
  <si>
    <t>60.645436,56.860442</t>
  </si>
  <si>
    <t>ОБЩЕСТВО С ОГРАНИЧЕННОЙ ОТВЕТСТВЕННОСТЬЮ "СК УРАЛ ГРУПП"</t>
  </si>
  <si>
    <t>"СК УРАЛ ГРУПП"</t>
  </si>
  <si>
    <t>6670483114</t>
  </si>
  <si>
    <t>620137, СВЕРДЛОВСКАЯ ОБЛ, Г ЕКАТЕРИНБУРГ, СУЛИМОВА УЛ, ДОМ 25,..</t>
  </si>
  <si>
    <t>Нечуговский Андрей Алексеевич</t>
  </si>
  <si>
    <t>60.647017,56.886631</t>
  </si>
  <si>
    <t>6686088092</t>
  </si>
  <si>
    <t>620017, СВЕРДЛОВСКАЯ ОБЛ, Г ЕКАТЕРИНБУРГ, УЛ ФРОНТОВЫХ БРИГАД, СТР 29, ОФ 301/1</t>
  </si>
  <si>
    <t>Зиалтдинов Рустам Явдатович</t>
  </si>
  <si>
    <t>+7 (343) 278-10-30'</t>
  </si>
  <si>
    <t>60.647547,56.866839</t>
  </si>
  <si>
    <t>ОБЩЕСТВО С ОГРАНИЧЕННОЙ ОТВЕТСТВЕННОСТЬЮ "ГАРАНТ-ЕК"</t>
  </si>
  <si>
    <t>"ГАРАНТ-ЕК"</t>
  </si>
  <si>
    <t>6670435022</t>
  </si>
  <si>
    <t>620137, СВЕРДЛОВСКАЯ ОБЛ, Г ЕКАТЕРИНБУРГ, УЛ ВИЛОНОВА, СТР 45, ПОМ 40</t>
  </si>
  <si>
    <t>Казанбаев Александр Константинович</t>
  </si>
  <si>
    <t>+7 (922) 228-95-58'</t>
  </si>
  <si>
    <t>60.652712,56.832442</t>
  </si>
  <si>
    <t>ОБЩЕСТВО С ОГРАНИЧЕННОЙ ОТВЕТСТВЕННОСТЬЮ СК "ПОЛИМЕРБЕТОНГРУПП"</t>
  </si>
  <si>
    <t>СК "ПОЛИМЕРБЕТОНГРУПП"</t>
  </si>
  <si>
    <t>6671044134</t>
  </si>
  <si>
    <t>620078, СВЕРДЛОВСКАЯ ОБЛ, Г ЕКАТЕРИНБУРГ, УЛ БИБЛИОТЕЧНАЯ, Д 48,..</t>
  </si>
  <si>
    <t>Хизёв Алексей Юльевич</t>
  </si>
  <si>
    <t>neva_lux@mail.ru'</t>
  </si>
  <si>
    <t>60.65803,56.846553</t>
  </si>
  <si>
    <t>ОБЩЕСТВО С ОГРАНИЧЕННОЙ ОТВЕТСТВЕННОСТЬЮ "Уральский Завод Строительных Технологий"</t>
  </si>
  <si>
    <t>"Уральский Завод Строительных Технологий"</t>
  </si>
  <si>
    <t>6679070390</t>
  </si>
  <si>
    <t>Г ЕКАТЕРИНБУРГ,УЛ КОМСОМОЛЬСКАЯ Д 37 КОМ 304</t>
  </si>
  <si>
    <t>Клошко Никита Андреевич</t>
  </si>
  <si>
    <t>+7 (343) 287-32-25', '+7 (343) 227-08-07'</t>
  </si>
  <si>
    <t>60.664067,56.837588</t>
  </si>
  <si>
    <t>ОБЩЕСТВО С ОГРАНИЧЕННОЙ ОТВЕТСТВЕННОСТЬЮ "СТРОЙБЕТ"</t>
  </si>
  <si>
    <t>"СТРОЙБЕТ"</t>
  </si>
  <si>
    <t>6670491404</t>
  </si>
  <si>
    <t>620078, СВЕРДЛОВСКАЯ ОБЛАСТЬ, ГОРОД ЕКАТЕРИНБУРГ, УЛИЦА СТУДЕНЧЕСКАЯ, СТРОЕНИЕ 80, ПОМЕЩЕНИЕ 55</t>
  </si>
  <si>
    <t>Мешков Сергей Николаевич</t>
  </si>
  <si>
    <t>60.665324,56.862268</t>
  </si>
  <si>
    <t>ОБЩЕСТВО С ОГРАНИЧЕННОЙ ОТВЕТСТВЕННОСТЬЮ "ТИТАН"</t>
  </si>
  <si>
    <t>"ТИТАН"</t>
  </si>
  <si>
    <t>6670503498</t>
  </si>
  <si>
    <t>620137, СВЕРДЛОВСКАЯ ОБЛ., Г. Екатеринбург, УЛ. БЛЮХЕРА, СТР. 50, ОФИС 506А</t>
  </si>
  <si>
    <t>Берсенев Алексей Анатольевич</t>
  </si>
  <si>
    <t>TITANENERGY96@GMAIL.COM'</t>
  </si>
  <si>
    <t>60.667525,56.870317</t>
  </si>
  <si>
    <t>6673203855</t>
  </si>
  <si>
    <t>620091, СВЕРДЛОВСКАЯ ОБЛ, Г ЕКАТЕРИНБУРГ, УЛ ШЕФСКАЯ, 2А, 7</t>
  </si>
  <si>
    <t>+7 (343) 213-13-59', '+7 (343) 217-29-11', '+7 (343) 217-29-14', '+7 (343) 217-24-80'</t>
  </si>
  <si>
    <t>60.667983,56.865259</t>
  </si>
  <si>
    <t>ОБЩЕСТВО С ОГРАНИЧЕННОЙ ОТВЕТСТВЕННОСТЬЮ "СЛОН БЕТОН"</t>
  </si>
  <si>
    <t>"СЛОН БЕТОН"</t>
  </si>
  <si>
    <t>6670489807</t>
  </si>
  <si>
    <t>620137, СВЕРДЛОВСКАЯ ОБЛАСТЬ, ГОРОД ЕКАТЕРИНБУРГ, УЛИЦА БЛЮХЕРА, ДОМ 99,..</t>
  </si>
  <si>
    <t>Бакланов Александр Валерьевич</t>
  </si>
  <si>
    <t>baklanovalexandr93@gmail.com'</t>
  </si>
  <si>
    <t>60.67146,56.827793</t>
  </si>
  <si>
    <t>ОБЩЕСТВО С ОГРАНИЧЕННОЙ ОТВЕТСТВЕННОСТЬЮ "Б.Е.А.Л"</t>
  </si>
  <si>
    <t>"Б.Е.А.Л"</t>
  </si>
  <si>
    <t>6672321782</t>
  </si>
  <si>
    <t>620138, СВЕРДЛОВСКАЯ ОБЛ, Г ЕКАТЕРИНБУРГ, АННЫ БЫЧКОВОЙ УЛ, 14, 20</t>
  </si>
  <si>
    <t>Букреев Александр Александрович</t>
  </si>
  <si>
    <t>vpan@mail.ru'</t>
  </si>
  <si>
    <t>60.676634,56.832408</t>
  </si>
  <si>
    <t>ОБЩЕСТВО С ОГРАНИЧЕННОЙ ОТВЕТСТВЕННОСТЬЮ "ЛЕОН-ЕКБ"</t>
  </si>
  <si>
    <t>"ЛЕОН-ЕКБ"</t>
  </si>
  <si>
    <t>6670461311</t>
  </si>
  <si>
    <t>620092, СВЕРДЛОВСКАЯ ОБЛ, Г ЕКАТЕРИНБУРГ, УЛ НОВГОРОДЦЕВОЙ, Д 17,..</t>
  </si>
  <si>
    <t>Хорошавцев Евгений Васильевич</t>
  </si>
  <si>
    <t>+7 (912) 222-01-25'</t>
  </si>
  <si>
    <t>60.694043,56.84006</t>
  </si>
  <si>
    <t>ОБЩЕСТВО С ОГРАНИЧЕННОЙ ОТВЕТСТВЕННОСТЬЮ "ТЕРМОБЛОК"</t>
  </si>
  <si>
    <t>"ТЕРМОБЛОК"</t>
  </si>
  <si>
    <t>6670025844</t>
  </si>
  <si>
    <t>Г ЕКАТЕРИНБУРГ,УЛ ВЫСОЦКОГО, Д 42, КОРП 2, К 303</t>
  </si>
  <si>
    <t>+7 (343) 348-22-90'</t>
  </si>
  <si>
    <t>60.694801331,28.783149719</t>
  </si>
  <si>
    <t>ОБЩЕСТВО С ОГРАНИЧЕННОЙ ОТВЕТСТВЕННОСТЬЮ "СЕВЕРО-ЗАПАДНАЯ КОМПАНИЯ"</t>
  </si>
  <si>
    <t>"СЕВЕРО-ЗАПАДНАЯ КОМПАНИЯ"</t>
  </si>
  <si>
    <t>4704043255</t>
  </si>
  <si>
    <t>ЛЕНИНГРАДСКАЯ ОБЛ.,Г ВЫБОРГ,УЛ ТРАВЯНАЯ, 26</t>
  </si>
  <si>
    <t>60.698364,55.762611</t>
  </si>
  <si>
    <t>ОБЩЕСТВО С ОГРАНИЧЕННОЙ ОТВЕТСТВЕННОСТЬЮ "Си Групп Югра"</t>
  </si>
  <si>
    <t>"Си Групп Югра"</t>
  </si>
  <si>
    <t>8608055350</t>
  </si>
  <si>
    <t>456790, ЧЕЛЯБИНСКАЯ ОБЛАСТЬ, Г. ОЗЕРСК, УЛ. СЕМЕНОВА, Д. 22, КАБИНЕТ 515</t>
  </si>
  <si>
    <t>Тикинёв Лев Александрович</t>
  </si>
  <si>
    <t>60.699254,55.736508</t>
  </si>
  <si>
    <t>7422042121</t>
  </si>
  <si>
    <t>456783, ЧЕЛЯБИНСКАЯ ОБЛАСТЬ, ГОРОД ОЗЕРСК, УЛИЦА КЫШТЫМСКАЯ, ДОМ 79, КОРПУС 10/1, ПОМЕЩЕНИЕ 1</t>
  </si>
  <si>
    <t xml:space="preserve"> Генеральный Директор Ук Ооо "Нпро "Урал" Шацилло Владислав Вадимович</t>
  </si>
  <si>
    <t>60.700583,56.83581</t>
  </si>
  <si>
    <t>ОБЩЕСТВО С ОГРАНИЧЕННОЙ ОТВЕТСТВЕННОСТЬЮ "ОПЛ"</t>
  </si>
  <si>
    <t>"ОПЛ"</t>
  </si>
  <si>
    <t>6670250840</t>
  </si>
  <si>
    <t>620072, СВЕРДЛОВСКАЯ ОБЛ, Г ЕКАТЕРИНБУРГ, УЛ 40-ЛЕТИЯ КОМСОМОЛА, Д 1А, ЛИТ Н,..</t>
  </si>
  <si>
    <t>Нарзиддинов Иброхим Сироджович</t>
  </si>
  <si>
    <t>+7 (343) 267-91-79', '+7 (343) 361-17-54', '+7 (922) 298-89-65'</t>
  </si>
  <si>
    <t>60.707437,56.747107</t>
  </si>
  <si>
    <t>ОБЩЕСТВО С ОГРАНИЧЕННОЙ ОТВЕТСТВЕННОСТЬЮ "Сэдэс-НТ"</t>
  </si>
  <si>
    <t>"Сэдэс-НТ"</t>
  </si>
  <si>
    <t>6623102266</t>
  </si>
  <si>
    <t>620010, СВЕРДЛОВСКАЯ ОБЛ, Г ЕКАТЕРИНБУРГ, УЛ ВОДНАЯ, Д 19, ОФ 3</t>
  </si>
  <si>
    <t>Сломковский Денис Владимирович</t>
  </si>
  <si>
    <t>+7 (912) 614-56-44', '+7 (912) 290-09-89', '+7 (904) 170-71-07'</t>
  </si>
  <si>
    <t>stas@gmail.com', 'sv@mail.ru'</t>
  </si>
  <si>
    <t>60.713743,56.753197</t>
  </si>
  <si>
    <t>ОБЩЕСТВО С ОГРАНИЧЕННОЙ ОТВЕТСТВЕННОСТЬЮ "ТЕКТОНИКА"</t>
  </si>
  <si>
    <t>"ТЕКТОНИКА"</t>
  </si>
  <si>
    <t>6674226284</t>
  </si>
  <si>
    <t>Г ЕКАТЕРИНБУРГ,УЛ ЧЕРНЯХОВСКОГО Д 55 ОФ 31</t>
  </si>
  <si>
    <t>Уфимцев Сергей Васильевич</t>
  </si>
  <si>
    <t>+7 (343) 221-80-91'</t>
  </si>
  <si>
    <t>60.714794,56.753143</t>
  </si>
  <si>
    <t>ОБЩЕСТВО С ОГРАНИЧЕННОЙ ОТВЕТСТВЕННОСТЬЮ "ЖБИ-ЭНЕРГО"</t>
  </si>
  <si>
    <t>"ЖБИ-ЭНЕРГО"</t>
  </si>
  <si>
    <t>6679088158</t>
  </si>
  <si>
    <t>620010, СВЕРДЛОВСКАЯ ОБЛ, ЕКАТЕРИНБУРГ Г, ЧЕРНЯХОВСКОГО УЛ, ДОМ 57</t>
  </si>
  <si>
    <t>Власов Виктор Викторович</t>
  </si>
  <si>
    <t>vvv_80@mail.ru'</t>
  </si>
  <si>
    <t>60.743659973,46.316921234</t>
  </si>
  <si>
    <t>общество с ограниченной ответственностью "МеталлБетонСтрой"</t>
  </si>
  <si>
    <t>"МеталлБетонСтрой"</t>
  </si>
  <si>
    <t>3526020647</t>
  </si>
  <si>
    <t>ВОЛОГОДСКАЯ ОБЛ.,Г ВЕЛИКИЙ УСТЮГ,УЛ ВАСЕНДИНА, Д 3</t>
  </si>
  <si>
    <t>Митин Владимир Клавдиевич</t>
  </si>
  <si>
    <t>60.745211,56.789402</t>
  </si>
  <si>
    <t>ОБЩЕСТВО С ОГРАНИЧЕННОЙ ОТВЕТСТВЕННОСТЬЮ "СИСТЕМЫ КОМФОРТА"</t>
  </si>
  <si>
    <t>"СИСТЕМЫ КОМФОРТА"</t>
  </si>
  <si>
    <t>6685187414</t>
  </si>
  <si>
    <t>620082, СВЕРДЛОВСКАЯ ОБЛ., Г. Екатеринбург, ПЕР. СЛОБОДСКОЙ, СТР. 41, ОФИС 22</t>
  </si>
  <si>
    <t>Шмаков Виктор Юрьевич</t>
  </si>
  <si>
    <t>PRORABOW@MAIL.RU'</t>
  </si>
  <si>
    <t>60.756503,56.725832</t>
  </si>
  <si>
    <t>ОБЩЕСТВО С ОГРАНИЧЕННОЙ ОТВЕТСТВЕННОСТЬЮ "ТЕХСТРОЙ-ЖБИ"</t>
  </si>
  <si>
    <t>"ТЕХСТРОЙ-ЖБИ"</t>
  </si>
  <si>
    <t>6670469737</t>
  </si>
  <si>
    <t>624006, СВЕРДЛОВСКАЯ ОБЛ, Р-Н СЫСЕРТСКИЙ, П БОЛЬШОЙ ИСТОК, УЛ СВЕРДЛОВА, ЗД 42, СООР 2, ПОМ 37</t>
  </si>
  <si>
    <t>Вятчинов Алексей Викторович</t>
  </si>
  <si>
    <t>zakaz_teh909@mail.ru'</t>
  </si>
  <si>
    <t>60.764444,56.798093</t>
  </si>
  <si>
    <t>6685179300</t>
  </si>
  <si>
    <t>620007, СВЕРДЛОВСКАЯ ОБЛ, Г ЕКАТЕРИНБУРГ, УЛ ЛАТВИЙСКАЯ, Д 54, ОФ 16</t>
  </si>
  <si>
    <t>Слободян Денис Сергеевич</t>
  </si>
  <si>
    <t>oooheb@yandex.ru'</t>
  </si>
  <si>
    <t>60.765837,56.070519</t>
  </si>
  <si>
    <t>ОБЩЕСТВО С ОГРАНИЧЕННОЙ ОТВЕТСТВЕННОСТЬЮ "ПОБЕДИТЪ"</t>
  </si>
  <si>
    <t>"ПОБЕДИТЪ"</t>
  </si>
  <si>
    <t>7459003256</t>
  </si>
  <si>
    <t>456771, ЧЕЛЯБИНСКАЯ ОБЛАСТЬ, ГОРОД СНЕЖИНСК, УЛИЦА ПЕРВОМАЙСКАЯ, 3</t>
  </si>
  <si>
    <t>Атможитов Николай Александрович</t>
  </si>
  <si>
    <t>+7 (906) 860-24-10'</t>
  </si>
  <si>
    <t>60.769951,56.931996</t>
  </si>
  <si>
    <t>ОБЩЕСТВО С ОГРАНИЧЕННОЙ ОТВЕТСТВЕННОСТЬЮ "БЕРЕЗОВСКИЙ ЗАВОД ЖБИ"</t>
  </si>
  <si>
    <t>"БЕРЕЗОВСКИЙ ЗАВОД ЖБИ"</t>
  </si>
  <si>
    <t>6678036069</t>
  </si>
  <si>
    <t>623700, СВЕРДЛОВСКАЯ ОБЛАСТЬ, ГОРОД БЕРЕЗОВСКИЙ, ТЕРРИТОРИЯ ЗАПАДНАЯ ПРОМЗОНА, ДОМ 42</t>
  </si>
  <si>
    <t>+7 (343) 371-07-91', '+7 (343) 378-97-15', '+7 (912) 285-80-78', '+7 (343) 300-81-00', '+7 (343) 383-16-71', '+7 (343) 253-00-05', '+7 (343) 383-16-72'</t>
  </si>
  <si>
    <t>3789715@mail.ru', '3831671@mail.ru'</t>
  </si>
  <si>
    <t>60.777272,56.931347</t>
  </si>
  <si>
    <t>ОБЩЕСТВО С ОГРАНИЧЕННОЙ ОТВЕТСТВЕННОСТЬЮ "ПРОИЗВОДСТВЕННАЯ КОМПАНИЯ "ГРАНИТЪ"</t>
  </si>
  <si>
    <t>"ПРОИЗВОДСТВЕННАЯ КОМПАНИЯ "ГРАНИТЪ"</t>
  </si>
  <si>
    <t>6678116733</t>
  </si>
  <si>
    <t>623700, СВЕРДЛОВСКАЯ ОБЛ, Г БЕРЕЗОВСКИЙ, ТЕР ЗАПАДНАЯ ПРОМЗОНА, СТР 26</t>
  </si>
  <si>
    <t>Сидякина Анна Алексеевна</t>
  </si>
  <si>
    <t>60.779401,56.905745</t>
  </si>
  <si>
    <t>ОБЩЕСТВО С ОГРАНИЧЕННОЙ ОТВЕТСТВЕННОСТЬЮ "БЕТОНСТРОЙМАТЕРИАЛЫ"</t>
  </si>
  <si>
    <t>"БЕТОНСТРОЙМАТЕРИАЛЫ"</t>
  </si>
  <si>
    <t>6678038228</t>
  </si>
  <si>
    <t>623700, СВЕРДЛОВСКАЯ ОБЛ, Г БЕРЕЗОВСКИЙ, УЛ ЛЕНИНА, Д 2, КОРП Г</t>
  </si>
  <si>
    <t>Васильев Михаил Георгиевич</t>
  </si>
  <si>
    <t>+7 (919) 391-50-92', '+7 (912) 260-05-41', '+7 (343) 384-45-65'</t>
  </si>
  <si>
    <t>ekb@mail.ru', 'averkievdm@mail.ru'</t>
  </si>
  <si>
    <t>60.789947,56.932497</t>
  </si>
  <si>
    <t>ОБЩЕСТВО С ОГРАНИЧЕННОЙ ОТВЕТСТВЕННОСТЬЮ "ПРОИЗВОДСТВО ТЕХНОЛОГИИ СТРОИТЕЛЬСТВО"</t>
  </si>
  <si>
    <t>"ПРОИЗВОДСТВО ТЕХНОЛОГИИ СТРОИТЕЛЬСТВО"</t>
  </si>
  <si>
    <t>6670438746</t>
  </si>
  <si>
    <t>623700, СВЕРДЛОВСКАЯ ОБЛ, Г БЕРЕЗОВСКИЙ, ТЕР П.ЛЕНИНСКИЙ, Д 31</t>
  </si>
  <si>
    <t>Фефелов Андрей Васильевич</t>
  </si>
  <si>
    <t>+7 (963) 850-83-83', '+7 (343) 382-22-05'</t>
  </si>
  <si>
    <t>60.793765,56.931023</t>
  </si>
  <si>
    <t>ОБЩЕСТВО С ОГРАНИЧЕННОЙ ОТВЕТСТВЕННОСТЬЮ "М-БЕТОН"</t>
  </si>
  <si>
    <t>"М-БЕТОН"</t>
  </si>
  <si>
    <t>6678067959</t>
  </si>
  <si>
    <t>623700, СВЕРДЛОВСКАЯ ОБЛ, Г БЕРЕЗОВСКИЙ, П ЛЕНИНСКИЙ, Д 43</t>
  </si>
  <si>
    <t>Манукян Мелсик Размикович</t>
  </si>
  <si>
    <t>+7 (902) 878-52-53', '+7 (343) 312-14-12', '+7 (343) 312-24-12', '+7 (343) 379-00-73'</t>
  </si>
  <si>
    <t>mbeton2016@mail.ru', 'galimmar@mail.ru'</t>
  </si>
  <si>
    <t>60.7962,56.908778</t>
  </si>
  <si>
    <t>ОБЩЕСТВО С ОГРАНИЧЕННОЙ ОТВЕТСТВЕННОСТЬЮ ТОРГОВО-ПРОИЗВОДСТВЕННАЯ КОМПАНИЯ  "АРАКС"</t>
  </si>
  <si>
    <t>ТОРГОВО-ПРОИЗВОДСТВЕННАЯ КОМПАНИЯ  "АРАКС"</t>
  </si>
  <si>
    <t>6678055368</t>
  </si>
  <si>
    <t>623700, СВЕРДЛОВСКАЯ ОБЛ, Г БЕРЕЗОВСКИЙ, УЛ ПРОЛЕТАРСКАЯ, Д 2, КОРП Б</t>
  </si>
  <si>
    <t>Гридасов Евгений Витальевич</t>
  </si>
  <si>
    <t>+7 (904) 381-41-44'</t>
  </si>
  <si>
    <t>tpkarax@yandex.ru'</t>
  </si>
  <si>
    <t>ОБЩЕСТВО С ОГРАНИЧЕННОЙ ОТВЕТСТВЕННОСТЬЮ "ТОРГОВО-ПРОИЗВОДСТВЕННАЯ КОМПАНИЯ "КАПЛИТ"</t>
  </si>
  <si>
    <t>"ТОРГОВО-ПРОИЗВОДСТВЕННАЯ КОМПАНИЯ "КАПЛИТ"</t>
  </si>
  <si>
    <t>6678087680</t>
  </si>
  <si>
    <t>623700, СВЕРДЛОВСКАЯ ОБЛ, Г БЕРЕЗОВСКИЙ, УЛ ПРОЛЕТАРСКАЯ, Д 2Б, ОФ 3</t>
  </si>
  <si>
    <t>Гридасова Евгения Александровна</t>
  </si>
  <si>
    <t>+7 (950) 653-50-22'</t>
  </si>
  <si>
    <t>60.807779,56.750976</t>
  </si>
  <si>
    <t>ОБЩЕСТВО С ОГРАНИЧЕННОЙ ОТВЕТСТВЕННОСТЬЮ "Полистиролбетон-Монолит"</t>
  </si>
  <si>
    <t>"Полистиролбетон-Монолит"</t>
  </si>
  <si>
    <t>6672348632</t>
  </si>
  <si>
    <t>http://p-beton.sky.ru</t>
  </si>
  <si>
    <t>620910, СВЕРДЛОВСКАЯ ОБЛ, Г ЕКАТЕРИНБУРГ, ПЛ БАХЧИВАНДЖИ, 2</t>
  </si>
  <si>
    <t>Черепанов Александр Сергеевич</t>
  </si>
  <si>
    <t>60.811229,56.7668</t>
  </si>
  <si>
    <t>ОБЩЕСТВО С ОГРАНИЧЕННОЙ ОТВЕТСТВЕННОСТЬЮ "МДФ-97"</t>
  </si>
  <si>
    <t>"МДФ-97"</t>
  </si>
  <si>
    <t>6685146190</t>
  </si>
  <si>
    <t>620025, СВЕРДЛОВСКАЯ ОБЛ, Г ЕКАТЕРИНБУРГ, УЛИЦА ИСПЫТАТЕЛЕЙ, ДОМ 16Ж, ОФИС 5</t>
  </si>
  <si>
    <t>Мутаф Дмитрий Федорович</t>
  </si>
  <si>
    <t>+7 (343) 361-61-64'</t>
  </si>
  <si>
    <t>60.814696,56.761901</t>
  </si>
  <si>
    <t>ОБЩЕСТВО С ОГРАНИЧЕННОЙ ОТВЕТСТВЕННОСТЬЮ Строительная компания "Технология промышленных полов"</t>
  </si>
  <si>
    <t>Строительная компания "Технология промышленных полов"</t>
  </si>
  <si>
    <t>6672345649</t>
  </si>
  <si>
    <t>620025, СВЕРДЛОВСКАЯ ОБЛ, Г ЕКАТЕРИНБУРГ, УЛ АВИАТОРОВ, 1, А, 93</t>
  </si>
  <si>
    <t>Соколов Сергей Александрович</t>
  </si>
  <si>
    <t>+7 (343) 290-43-29', '+7 (922) 602-38-43', '+7 (904) 387-86-88'</t>
  </si>
  <si>
    <t>60.819754,56.765463</t>
  </si>
  <si>
    <t>ОБЩЕСТВО С ОГРАНИЧЕННОЙ ОТВЕТСТВЕННОСТЬЮ ЗАВОД "ЖБИ-ГРАНД"</t>
  </si>
  <si>
    <t>ЗАВОД "ЖБИ-ГРАНД"</t>
  </si>
  <si>
    <t>6685128070</t>
  </si>
  <si>
    <t>620025, СВЕРДЛОВСКАЯ ОБЛ, ЕКАТЕРИНБУРГ Г, ИСПЫТАТЕЛЕЙ УЛ, ДОМ 20</t>
  </si>
  <si>
    <t>Сазонов Павел Сергеевич</t>
  </si>
  <si>
    <t>+7 (902) 261-53-87'</t>
  </si>
  <si>
    <t>ОБЩЕСТВО С ОГРАНИЧЕННОЙ ОТВЕТСТВЕННОСТЬЮ "ЗАВОД ДОРОЖНЫХ СТРОИТЕЛЬНЫХ КОНСТРУКЦИЙ"</t>
  </si>
  <si>
    <t>"ЗАВОД ДОРОЖНЫХ СТРОИТЕЛЬНЫХ КОНСТРУКЦИЙ"</t>
  </si>
  <si>
    <t>6685149433</t>
  </si>
  <si>
    <t>620025, СВЕРДЛОВСКАЯ ОБЛ, Г ЕКАТЕРИНБУРГ, УЛ ИСПЫТАТЕЛЕЙ, Д 20, ПОМ 45</t>
  </si>
  <si>
    <t>Казанцев Евгений Валентинович</t>
  </si>
  <si>
    <t>+7 (922) 181-81-26', '+7 (922) 181-81-58', '+7 (922) 202-01-90'</t>
  </si>
  <si>
    <t>zdsk@bk.ru', 'zdsk87@mail.ru', 'pg@yandex.ru', 'olga_2580@mail.ru'</t>
  </si>
  <si>
    <t>60.821433,56.762745</t>
  </si>
  <si>
    <t>ОБЩЕСТВО С ОГРАНИЧЕННОЙ ОТВЕТСТВЕННОСТЬЮ "УРАЛТЕХМАРКЕТ"</t>
  </si>
  <si>
    <t>"УРАЛТЕХМАРКЕТ"</t>
  </si>
  <si>
    <t>6672255427</t>
  </si>
  <si>
    <t>620060, СВЕРДЛОВСКАЯ ОБЛ, Г ЕКАТЕРИНБУРГ, ПР ГОРНИСТОВ, СТР 16, ПОМ 8</t>
  </si>
  <si>
    <t>Шестминцев Андрей Юрьевич</t>
  </si>
  <si>
    <t>+7 (343) 213-33-30'</t>
  </si>
  <si>
    <t>60.821766,56.755867</t>
  </si>
  <si>
    <t>ОБЩЕСТВО С ОГРАНИЧЕННОЙ ОТВЕТСТВЕННОСТЬЮ "Планета ЖБИ"</t>
  </si>
  <si>
    <t>"Планета ЖБИ"</t>
  </si>
  <si>
    <t>6685051364</t>
  </si>
  <si>
    <t>620025, СВЕРДЛОВСКАЯ ОБЛ, Г ЕКАТЕРИНБУРГ, УЛ БАХЧИВАНДЖИ, Д 13, КОРП А,..</t>
  </si>
  <si>
    <t>Черновал Владимир Владимирович</t>
  </si>
  <si>
    <t>+7 (902) 872-31-55', '+7 (343) 278-94-28'</t>
  </si>
  <si>
    <t>gbi@mail.ru', 'buh@mail.ru'</t>
  </si>
  <si>
    <t>60.8235,56.766825</t>
  </si>
  <si>
    <t>ОБЩЕСТВО С ОГРАНИЧЕННОЙ ОТВЕТСТВЕННОСТЬЮ "УРАЛЬСКИЙ ЗАВОД ТЕПЛОЭФФЕКТИВНЫХ БЛОКОВ"</t>
  </si>
  <si>
    <t>"УРАЛЬСКИЙ ЗАВОД ТЕПЛОЭФФЕКТИВНЫХ БЛОКОВ"</t>
  </si>
  <si>
    <t>6685122544</t>
  </si>
  <si>
    <t>620060, СВЕРДЛОВСКАЯ ОБЛАСТЬ, ГОРОД ЕКАТЕРИНБУРГ, ПРОЕЗД ГОРНИСТОВ, ДОМ 10</t>
  </si>
  <si>
    <t>Мингазитдинов Денис Мансурович</t>
  </si>
  <si>
    <t>+7 (343) 201-90-22'</t>
  </si>
  <si>
    <t>60.833785,56.508565</t>
  </si>
  <si>
    <t>ОБЩЕСТВО С ОГРАНИЧЕННОЙ ОТВЕТСТВЕННОСТЬЮ "СЫСЕРТСКИЙ ЗАВОД ЖЕЛЕЗОБЕТОННЫХ ИЗДЕЛИЙ"</t>
  </si>
  <si>
    <t>"СЫСЕРТСКИЙ ЗАВОД ЖЕЛЕЗОБЕТОННЫХ ИЗДЕЛИЙ"</t>
  </si>
  <si>
    <t>6685189500</t>
  </si>
  <si>
    <t>624022, СВЕРДЛОВСКАЯ ОБЛ, Р-Н СЫСЕРТСКИЙ, Г СЫСЕРТЬ, УЛ САМСТРОЯ, ЗД 17</t>
  </si>
  <si>
    <t>Заруднев Андрей Анатольевич</t>
  </si>
  <si>
    <t>17@YANDEX.RU'</t>
  </si>
  <si>
    <t>60.853665,50.823772</t>
  </si>
  <si>
    <t>5609095329</t>
  </si>
  <si>
    <t>ОРЕНБУРГСКАЯ ОБЛ.,СВЕТЛИНСКИЙ Р-Н,П СВЕТЛЫЙ,УЛ СОВЕТСКАЯ Д 3..</t>
  </si>
  <si>
    <t>Шепель Максим Игоревич</t>
  </si>
  <si>
    <t>+7 (922) 855-92-31'</t>
  </si>
  <si>
    <t>60.876078,55.499357</t>
  </si>
  <si>
    <t>ОБЩЕСТВО С ОГРАНИЧЕННОЙ ОТВЕТСТВЕННОСТЬЮ "ПИРАМИДА"</t>
  </si>
  <si>
    <t>"ПИРАМИДА"</t>
  </si>
  <si>
    <t>7438026679</t>
  </si>
  <si>
    <t>456880, Челябинская область, муниципальный район АРГАЯШСКИЙ, Село АРГАЯШ, сельское поселение АРГАЯШСКОЕ, УЛ ПУШКИНА, Д. 64А, КАБИНЕТ 201</t>
  </si>
  <si>
    <t>Безрукова Елена Валерьевна</t>
  </si>
  <si>
    <t>60.916089,56.484158</t>
  </si>
  <si>
    <t>ОБЩЕСТВО С ОГРАНИЧЕННОЙ ОТВЕТСТВЕННОСТЬЮ "ТВИНБЛОК"</t>
  </si>
  <si>
    <t>"ТВИНБЛОК"</t>
  </si>
  <si>
    <t>6678115031</t>
  </si>
  <si>
    <t>624021, СВЕРДЛОВСКАЯ ОБЛ, Р-Н СЫСЕРТСКИЙ, П ГАБИЕВСКИЙ, ТЕР ИНДУСТРИАЛЬНЫЙ ПАРК ГАБИЕВСКИЙ, ЗД 1, ПОМ 5</t>
  </si>
  <si>
    <t xml:space="preserve"> Общество С Ограниченной Ответственностью "Атомстройкомплекс-Промышленность"</t>
  </si>
  <si>
    <t>60.939113,56.747047</t>
  </si>
  <si>
    <t>6683010852</t>
  </si>
  <si>
    <t>624055, СВЕРДЛОВСКАЯ ОБЛ, Р-Н БЕЛОЯРСКИЙ, П ПРОХЛАДНЫЙ, УЛ СВЕРДЛОВА, Д 22Б</t>
  </si>
  <si>
    <t>+7 (922) 182-82-07', '+7 (922) 106-29-00'</t>
  </si>
  <si>
    <t>60.963412,56.710347</t>
  </si>
  <si>
    <t>ОБЩЕСТВО С ОГРАНИЧЕННОЙ ОТВЕТСТВЕННОСТЬЮ "ЖБИ-Форт"</t>
  </si>
  <si>
    <t>"ЖБИ-Форт"</t>
  </si>
  <si>
    <t>6679064750</t>
  </si>
  <si>
    <t>624000, СВЕРДЛОВСКАЯ ОБЛ, Р-Н СЫСЕРТСКИЙ, П СВЕТЛЫЙ, Д 50-Б</t>
  </si>
  <si>
    <t>Несытых Николай Николаевич</t>
  </si>
  <si>
    <t>+7 (922) 615-08-00', '+7 (343) 278-94-28', '+7 (912) 609-30-01'</t>
  </si>
  <si>
    <t>buh@mail.ru'</t>
  </si>
  <si>
    <t>60.965694,56.710421</t>
  </si>
  <si>
    <t>ОБЩЕСТВО С ОГРАНИЧЕННОЙ ОТВЕТСТВЕННОСТЬЮ "АРАМИЛЬСКИЙ ЗАВОД ЖЕЛЕЗОБЕТОННЫХ ИЗДЕЛИЙ"</t>
  </si>
  <si>
    <t>"АРАМИЛЬСКИЙ ЗАВОД ЖЕЛЕЗОБЕТОННЫХ ИЗДЕЛИЙ"</t>
  </si>
  <si>
    <t>6685181050</t>
  </si>
  <si>
    <t>624002, СВЕРДЛОВСКАЯ ОБЛ, Р-Н СЫСЕРТСКИЙ, П СВЕТЛЫЙ, Д 50-А</t>
  </si>
  <si>
    <t>Самсонов Владимир Михайлович</t>
  </si>
  <si>
    <t>89090013828@mail.ru'</t>
  </si>
  <si>
    <t>ОБЩЕСТВО С ОГРАНИЧЕННОЙ ОТВЕТСТВЕННОСТЬЮ "ГРУППА КОМПАНИЙ "ТУМС"</t>
  </si>
  <si>
    <t>"ГРУППА КОМПАНИЙ "ТУМС"</t>
  </si>
  <si>
    <t>6685114705</t>
  </si>
  <si>
    <t>624013, СВЕРДЛОВСКАЯ ОБЛ, Р-Н СЫСЕРТСКИЙ, Д КЛЮЧИ, УЛ ЛЕНИНА, Д 1/3</t>
  </si>
  <si>
    <t>Кобелева Нина Александровна</t>
  </si>
  <si>
    <t>+7 (902) 254-54-08', '+7 (904) 544-10-90'</t>
  </si>
  <si>
    <t>ОБЩЕСТВО С ОГРАНИЧЕННОЙ ОТВЕТСТВЕННОСТЬЮ "АБЦ-СТРОЙ"</t>
  </si>
  <si>
    <t>"АБЦ-СТРОЙ"</t>
  </si>
  <si>
    <t>7460016098</t>
  </si>
  <si>
    <t>456510, ЧЕЛЯБИНСКАЯ ОБЛ, СОСНОВСКИЙ Р-Н, КЛЮЧИ Д, ПРОМЗОНА УЛ, ДОМ 10</t>
  </si>
  <si>
    <t>Турчина Ольга Алексеевна</t>
  </si>
  <si>
    <t>+7 (904) 304-22-60'</t>
  </si>
  <si>
    <t>turchina@mail.ru'</t>
  </si>
  <si>
    <t>61.231676,54.790521</t>
  </si>
  <si>
    <t>АКЦИОНЕРНОЕ ОБЩЕСТВО  "ЗАУРАЛЬСКИЙ ГАЗОБЕТОН"</t>
  </si>
  <si>
    <t xml:space="preserve"> "ЗАУРАЛЬСКИЙ ГАЗОБЕТОН"</t>
  </si>
  <si>
    <t>7430036940</t>
  </si>
  <si>
    <t>456580, Челябинская область, муниципальный район ЕМАНЖЕЛИНСКИЙ, РП ЗАУРАЛЬСКИЙ, городское поселение ЗАУРАЛЬСКОЕ, УЛ ТРУДА, Д. 1А, К. 3, ОФИС 303</t>
  </si>
  <si>
    <t>Филонов Александр Александрович</t>
  </si>
  <si>
    <t>61.243968964,46.897075653</t>
  </si>
  <si>
    <t>ОБЩЕСТВО С ОГРАНИЧЕННОЙ ОТВЕТСТВЕННОСТЬЮ "КОТЛАССКИЙ ЗАВОД"</t>
  </si>
  <si>
    <t>"КОТЛАССКИЙ ЗАВОД"</t>
  </si>
  <si>
    <t>2904026260</t>
  </si>
  <si>
    <t>АРХАНГЕЛЬСКАЯ ОБЛ.,Г КОТЛАС,PП ВЫЧЕГОДСКИЙ</t>
  </si>
  <si>
    <t>Мизгирев Иван Владимирович</t>
  </si>
  <si>
    <t>61.249198914,46.866836548</t>
  </si>
  <si>
    <t>ОБЩЕСТВО С ОГРАНИЧЕННОЙ ОТВЕТСТВЕННОСТЬЮ "ПАРУС"</t>
  </si>
  <si>
    <t>"ПАРУС"</t>
  </si>
  <si>
    <t>2904000209</t>
  </si>
  <si>
    <t>АРХАНГЕЛЬСКАЯ ОБЛ.,Г КОТЛАС,РП ВЫЧЕГОДСКИЙ,УЛ ЛЕНИНА, Д 64,..</t>
  </si>
  <si>
    <t>Пахтусов Евгений Анатольевич</t>
  </si>
  <si>
    <t>+7 (921) 495-50-77', '+7 (921) 296-17-78'</t>
  </si>
  <si>
    <t>61.251592,54.454313</t>
  </si>
  <si>
    <t>ОБЩЕСТВО С ОГРАНИЧЕННОЙ ОТВЕТСТВЕННОСТЬЮ "СТРОЙКОН"</t>
  </si>
  <si>
    <t>"СТРОЙКОН"</t>
  </si>
  <si>
    <t>7424020966</t>
  </si>
  <si>
    <t>ЧЕЛЯБИНСКАЯ ОБЛ.,Г ЮЖНОУРАЛЬСК,УЛ ЗАВОДСКАЯ, Д 7</t>
  </si>
  <si>
    <t>Боровская Татьяна Михайловна</t>
  </si>
  <si>
    <t>+7 (912) 798-34-52'</t>
  </si>
  <si>
    <t>61.259793,55.154877</t>
  </si>
  <si>
    <t>ОБЩЕСТВО С ОГРАНИЧЕННОЙ ОТВЕТСТВЕННОСТЬЮ "БЛАГОСТРОЙ ПЛЮС"</t>
  </si>
  <si>
    <t>"БЛАГОСТРОЙ ПЛЮС"</t>
  </si>
  <si>
    <t>7453308759</t>
  </si>
  <si>
    <t>454902, Челябинская область, городской округ ЧЕЛЯБИНСКИЙ, Город ЧЕЛЯБИНСК, внутригородской район городского округа ЦЕНТРАЛЬНЫЙ, УЛ ЛАЗУРИТОВАЯ, Д. 10,</t>
  </si>
  <si>
    <t>Звездина Татьяна Петровна</t>
  </si>
  <si>
    <t>+7 (982) 318-70-72'</t>
  </si>
  <si>
    <t>61.283015,55.169617</t>
  </si>
  <si>
    <t>7460018360</t>
  </si>
  <si>
    <t>454003, Челябинская область, городской округ ЧЕЛЯБИНСКИЙ, Город ЧЕЛЯБИНСК, внутригородской район городского округа КАЛИНИНСКИЙ, УЛ 250-ЛЕТИЯ ЧЕЛЯБИНСКА, Д. 44А,..</t>
  </si>
  <si>
    <t>Бычков Андрей Николаевич</t>
  </si>
  <si>
    <t>+7 (912) 607-90-68', '+7 (906) 863-30-70'</t>
  </si>
  <si>
    <t>SHROMANAT@MAIL.COM'</t>
  </si>
  <si>
    <t>61.286427466479,73.401414575928</t>
  </si>
  <si>
    <t>АКЦИОНЕРНОЕ ОБЩЕСТВО "ЗАВОД ПРОМЫШЛЕННЫХ СТРОИТЕЛЬНЫХ ДЕТАЛЕЙ"</t>
  </si>
  <si>
    <t>"ЗАВОД ПРОМЫШЛЕННЫХ СТРОИТЕЛЬНЫХ ДЕТАЛЕЙ"</t>
  </si>
  <si>
    <t>8602061069</t>
  </si>
  <si>
    <t>http://zavodpsd.ru</t>
  </si>
  <si>
    <t>ТЮМЕНСКАЯ ОБЛ.,ХАНТЫ-МАНСИЙСКИЙ АВТ. ОКРУГ,Г СУРГУТ,УЛ ПРОМЫШЛЕННАЯ, Д 12</t>
  </si>
  <si>
    <t>Книжник Андрей Иванович</t>
  </si>
  <si>
    <t>zpsd@mail.ru', 'zpsd_plan@mail.ru', 'zpsd@mail.ru', 'zavodraschet@mail.ru', 'zavodborzova@rambler.ru', 'zpsd_plan2@mail.ru', 'shafann@mail.ru', 'surgut@zavodpsd.ru'</t>
  </si>
  <si>
    <t>61.289384,55.218677</t>
  </si>
  <si>
    <t>ОБЩЕСТВО С ОГРАНИЧЕННОЙ ОТВЕТСТВЕННОСТЬЮ "ПРОИЗВОДСТВЕННО-КОММЕРЧЕСКАЯ ФИРМА "УРАЛТОРГ"</t>
  </si>
  <si>
    <t>"ПРОИЗВОДСТВЕННО-КОММЕРЧЕСКАЯ ФИРМА "УРАЛТОРГ"</t>
  </si>
  <si>
    <t>7448234163</t>
  </si>
  <si>
    <t>454030, ЧЕЛЯБИНСКАЯ ОБЛ., Г. Челябинск, УЛ. МАРШАЛА ЧУЙКОВА, Д. 29,..</t>
  </si>
  <si>
    <t>Стафеев Максим Игоревич</t>
  </si>
  <si>
    <t>DDM180@MAIL.RU'</t>
  </si>
  <si>
    <t>61.291306,55.20524</t>
  </si>
  <si>
    <t>ОБЩЕСТВО С ОГРАНИЧЕННОЙ ОТВЕТСТВЕННОСТЬЮ ПРОИЗВОДСТВЕННАЯ КОМПАНИЯ "БЕТОНДЕТАЛЬ"</t>
  </si>
  <si>
    <t>ПРОИЗВОДСТВЕННАЯ КОМПАНИЯ "БЕТОНДЕТАЛЬ"</t>
  </si>
  <si>
    <t>7448209590</t>
  </si>
  <si>
    <t>454076, ЧЕЛЯБИНСКАЯ ОБЛАСТЬ, Г. ЧЕЛЯБИНСК, УЛ. ХАРИСА ЮСУПОВА, Д. 66,..</t>
  </si>
  <si>
    <t>Воеводин Андрей Сергеевич</t>
  </si>
  <si>
    <t>+7 (922) 750-48-85', '+7 (351) 248-25-18'</t>
  </si>
  <si>
    <t>61.298062,55.218975</t>
  </si>
  <si>
    <t>ОБЩЕСТВО С ОГРАНИЧЕННОЙ ОТВЕТСТВЕННОСТЬЮ "Объединенные фасадные технологии-Челябинск"</t>
  </si>
  <si>
    <t>"Объединенные фасадные технологии-Челябинск"</t>
  </si>
  <si>
    <t>7451307380</t>
  </si>
  <si>
    <t>454014, Челябинская область, г Челябинск, ул Профессора Благих, д 81, офис 41</t>
  </si>
  <si>
    <t>Яцун Игорь Николаевич</t>
  </si>
  <si>
    <t>+7 (351) 790-02-77', '+7 (351) 309-54-52', '+7 (351) 267-48-67'</t>
  </si>
  <si>
    <t>61.301242,55.160283</t>
  </si>
  <si>
    <t>ОБЩЕСТВО С ОГРАНИЧЕННОЙ ОТВЕТСТВЕННОСТЬЮ "АСН"</t>
  </si>
  <si>
    <t>"АСН"</t>
  </si>
  <si>
    <t>7453299977</t>
  </si>
  <si>
    <t>454004, ЧЕЛЯБИНСКАЯ ОБЛ, ЧЕЛЯБИНСК Г, АКАДЕМИКА САХАРОВА УЛ, ДОМ 2,..</t>
  </si>
  <si>
    <t>Попов Станислав Валерьевич</t>
  </si>
  <si>
    <t>+7 (922) 750-75-31', '+7 (351) 247-78-17'</t>
  </si>
  <si>
    <t>61.303227,55.17592</t>
  </si>
  <si>
    <t>ОБЩЕСТВО С ОГРАНИЧЕННОЙ ОТВЕТСТВЕННОСТЬЮ "СТРОЙ ДОМ"</t>
  </si>
  <si>
    <t>"СТРОЙ ДОМ"</t>
  </si>
  <si>
    <t>7447305164</t>
  </si>
  <si>
    <t>454128, Челябинская область, ЧЕЛЯБИНСКИЙ, 4 КАЛИНИНСКИЙ, Г ЧЕЛЯБИНСК, УЛ ЧИЧЕРИНА, Д. 35А</t>
  </si>
  <si>
    <t>Бумагин Максим Геннадьевич</t>
  </si>
  <si>
    <t>ОБЩЕСТВО С ОГРАНИЧЕННОЙ ОТВЕТСТВЕННОСТЬЮ "ФЭБЭС"</t>
  </si>
  <si>
    <t>"ФЭБЭС"</t>
  </si>
  <si>
    <t>6683015949</t>
  </si>
  <si>
    <t>624250, СВЕРДЛОВСКАЯ ОБЛАСТЬ, ГОРОД ЗАРЕЧНЫЙ, УЛИЦА КУРЧАТОВА, ДОМ 29, КОРПУС 2</t>
  </si>
  <si>
    <t>Бабушкин Александр Игнатьевич</t>
  </si>
  <si>
    <t>61.317277,55.231709</t>
  </si>
  <si>
    <t>ОБЩЕСТВО С ОГРАНИЧЕННОЙ ОТВЕТСТВЕННОСТЬЮ "ЖБИ74"</t>
  </si>
  <si>
    <t>"ЖБИ74"</t>
  </si>
  <si>
    <t>7448047460</t>
  </si>
  <si>
    <t>Г ЧЕЛЯБИНСК,УЛ РАДОНЕЖСКАЯ, Д 28</t>
  </si>
  <si>
    <t>Арбузов Сергей Петрович</t>
  </si>
  <si>
    <t>+7 (351) 721-32-22', '+7 (351) 721-29-83', '+7 (351) 721-32-22'</t>
  </si>
  <si>
    <t>econ@jbi74.ru'</t>
  </si>
  <si>
    <t>61.323484,55.207531</t>
  </si>
  <si>
    <t>ОБЩЕСТВО С ОГРАНИЧЕННОЙ ОТВЕТСТВЕННОСТЬЮ "АТЛАСТЕК"</t>
  </si>
  <si>
    <t>"АТЛАСТЕК"</t>
  </si>
  <si>
    <t>7448241114</t>
  </si>
  <si>
    <t>454138, Челябинская область, городской округ ЧЕЛЯБИНСКИЙ, Город ЧЕЛЯБИНСК, внутригородской район городского округа КУРЧАТОВСКИЙ, УЛ МОЛОДОГВАРДЕЙЦЕВ, Д. 1Д, ОФИС 113</t>
  </si>
  <si>
    <t>Мисько Ольга Александровна</t>
  </si>
  <si>
    <t>ОБЩЕСТВО С ОГРАНИЧЕННОЙ ОТВЕТСТВЕННОСТЬЮ "ГОРОДСКИЕ СТРОИТЕЛЬНЫЕ ТЕХНОЛОГИИ"</t>
  </si>
  <si>
    <t>"ГОРОДСКИЕ СТРОИТЕЛЬНЫЕ ТЕХНОЛОГИИ"</t>
  </si>
  <si>
    <t>6677016260</t>
  </si>
  <si>
    <t>623751, СВЕРДЛОВСКАЯ ОБЛ, Р-Н РЕЖЕВСКИЙ, Г РЕЖ, УЛ КУРСКАЯ, Д 5</t>
  </si>
  <si>
    <t>Джанунц Григорь Николаевич</t>
  </si>
  <si>
    <t>REZH@YANDEX.RU'</t>
  </si>
  <si>
    <t>61.337803,55.175046</t>
  </si>
  <si>
    <t>ОБЩЕСТВО С ОГРАНИЧЕННОЙ ОТВЕТСТВЕННОСТЬЮ "МОДЕРН СТОУН"</t>
  </si>
  <si>
    <t>"МОДЕРН СТОУН"</t>
  </si>
  <si>
    <t>7447236496</t>
  </si>
  <si>
    <t>http://modern-stone.su</t>
  </si>
  <si>
    <t>454021, ЧЕЛЯБИНСКАЯ ОБЛАСТЬ, Г. ЧЕЛЯБИНСК, УЛ. МОЛОДОГВАРДЕЙЦЕВ, Д.65,..</t>
  </si>
  <si>
    <t>Труханов Дмитрий Алексеевич</t>
  </si>
  <si>
    <t>+7 (351) 776-67-09', '+7 (351) 276-67-09'</t>
  </si>
  <si>
    <t>61.337866,55.111845</t>
  </si>
  <si>
    <t>ОБЩЕСТВО С ОГРАНИЧЕННОЙ ОТВЕТСТВЕННОСТЬЮ "СТРОЙПОДРЯД 74"</t>
  </si>
  <si>
    <t>"СТРОЙПОДРЯД 74"</t>
  </si>
  <si>
    <t>7451419189</t>
  </si>
  <si>
    <t>454087, ЧЕЛЯБИНСКАЯ ОБЛ, ЧЕЛЯБИНСК Г, КУЗНЕЦОВА УЛ, ДОМ 35,..</t>
  </si>
  <si>
    <t>Иоффе Никита Леонидович</t>
  </si>
  <si>
    <t>+7 (951) 787-37-77'</t>
  </si>
  <si>
    <t>61.344208,55.178115</t>
  </si>
  <si>
    <t>ОБЩЕСТВО С ОГРАНИЧЕННОЙ ОТВЕТСТВЕННОСТЬЮ "ЩИТ"</t>
  </si>
  <si>
    <t>"ЩИТ"</t>
  </si>
  <si>
    <t>7447249174</t>
  </si>
  <si>
    <t>Г ЧЕЛЯБИНСК,УЛ БРАТЬЕВ КАШИРИНЫХ, Д 101,..</t>
  </si>
  <si>
    <t>Наумова Любовь Ивановна</t>
  </si>
  <si>
    <t>+7 (351) 797-39-90', '+7 (950) 722-67-62', '+7 (902) 649-01-21', '+7 (912) 068-01-51'</t>
  </si>
  <si>
    <t>61.345915,55.113679</t>
  </si>
  <si>
    <t>ОБЩЕСТВО С ОГРАНИЧЕННОЙ ОТВЕТСТВЕННОСТЬЮ "ЗБЗ ГРАНИТ"</t>
  </si>
  <si>
    <t>"ЗБЗ ГРАНИТ"</t>
  </si>
  <si>
    <t>7451084158</t>
  </si>
  <si>
    <t>Г ЧЕЛЯБИНСК,УЛ ЯРОСЛАВСКАЯ, Д 2,..</t>
  </si>
  <si>
    <t>Задоя Анатолий Иванович</t>
  </si>
  <si>
    <t>+7 (351) 269-11-98', '+7 (351) 269-11-86'</t>
  </si>
  <si>
    <t>61.346355,55.195555</t>
  </si>
  <si>
    <t>7448155987</t>
  </si>
  <si>
    <t>454138, ЧЕЛЯБИНСКАЯ ОБЛАСТЬ, Г. ЧЕЛЯБИНСК, ПР-КТ КОМСОМОЛЬСКИЙ, Д.32 Д, ОФИС 3</t>
  </si>
  <si>
    <t>Жадан Александр Николаевич</t>
  </si>
  <si>
    <t>+7 (351) 239-02-12', '+7 (351) 239-02-10'</t>
  </si>
  <si>
    <t>7448155987_744801001@eo.tensor'</t>
  </si>
  <si>
    <t>61.352194,55.174949</t>
  </si>
  <si>
    <t>ОБЩЕСТВО С ОГРАНИЧЕННОЙ ОТВЕТСТВЕННОСТЬЮ "ЖБИ-СТРОЙ 74"</t>
  </si>
  <si>
    <t>"ЖБИ-СТРОЙ 74"</t>
  </si>
  <si>
    <t>7447305894</t>
  </si>
  <si>
    <t>454016, Челябинская область, городской округ ЧЕЛЯБИНСКИЙ, Город ЧЕЛЯБИНСК, внутригородской район городского округа КАЛИНИНСКИЙ, УЛ УНИВЕРСИТЕТСКАЯ НАБЕРЕЖНАЯ, Д. 28, НЕЖ.ПОМ. №3 (КВ.3,4)</t>
  </si>
  <si>
    <t>Бопп Павел Викторович</t>
  </si>
  <si>
    <t>61.353389,55.108081</t>
  </si>
  <si>
    <t>ОБЩЕСТВО С ОГРАНИЧЕННОЙ ОТВЕТСТВЕННОСТЬЮ "Полистрой"</t>
  </si>
  <si>
    <t>"Полистрой"</t>
  </si>
  <si>
    <t>7451340500</t>
  </si>
  <si>
    <t>454045, ЧЕЛЯБИНСКАЯ ОБЛ., Г. Челябинск, УЛ. БЛЮХЕРА, Д. 111, ПОМЕЩ. АВТОМОЙКА КОМ. 2</t>
  </si>
  <si>
    <t>Кузнецов Виктор Александрович</t>
  </si>
  <si>
    <t>+7 (351) 248-61-05', '+7 (351) 262-58-49'</t>
  </si>
  <si>
    <t>61.355141,55.099191</t>
  </si>
  <si>
    <t>ОБЩЕСТВО С ОГРАНИЧЕННОЙ ОТВЕТСТВЕННОСТЬЮ "ЗАВОД ЖБИ СТРОЙБИЗНЕС"</t>
  </si>
  <si>
    <t>"ЗАВОД ЖБИ СТРОЙБИЗНЕС"</t>
  </si>
  <si>
    <t>7460020295</t>
  </si>
  <si>
    <t>454045, ЧЕЛЯБИНСКАЯ ОБЛАСТЬ, ГОРОД ЧЕЛЯБИНСК, УЛИЦА МАСЛОБАЗОВАЯ, ДОМ 5, КОМНАТА 3, ОФИС 1</t>
  </si>
  <si>
    <t>Васильченко Сергей Михайлович</t>
  </si>
  <si>
    <t>+7 (952) 509-41-78', '+7 (951) 478-77-17', '+7 (351) 217-90-20'</t>
  </si>
  <si>
    <t>buh@sb74.biz'</t>
  </si>
  <si>
    <t>61.355868,55.205137</t>
  </si>
  <si>
    <t>ОБЩЕСТВО С ОГРАНИЧЕННОЙ ОТВЕТСТВЕННОСТЬЮ Торговый дом "Спец ЖБИ"</t>
  </si>
  <si>
    <t>"Спец ЖБИ"</t>
  </si>
  <si>
    <t>7448149824</t>
  </si>
  <si>
    <t>454008, ЧЕЛЯБИНСКАЯ ОБЛАСТЬ, ГОРОД ЧЕЛЯБИНСК, УЛИЦА ПРОИЗВОДСТВЕННАЯ, 4, А</t>
  </si>
  <si>
    <t>Березин Евгений Владимирович</t>
  </si>
  <si>
    <t>+7 (922) 724-55-55', '+7 (919) 340-43-43'</t>
  </si>
  <si>
    <t>ОБЩЕСТВО С ОГРАНИЧЕННОЙ ОТВЕТСТВЕННОСТЬЮ "СПЕЦ ЖБИ"</t>
  </si>
  <si>
    <t>"СПЕЦ ЖБИ"</t>
  </si>
  <si>
    <t>7448178110</t>
  </si>
  <si>
    <t>454008, ЧЕЛЯБИНСКАЯ ОБЛАСТЬ, ГОРОД ЧЕЛЯБИНСК, УЛИЦА ПРОИЗВОДСТВЕННАЯ, ДОМ 4-А, ПОМЕЩЕНИЕ 1</t>
  </si>
  <si>
    <t>+7 (919) 340-43-43'</t>
  </si>
  <si>
    <t>3404343@mail.ru'</t>
  </si>
  <si>
    <t>61.359605,55.181349</t>
  </si>
  <si>
    <t>ОБЩЕСТВО С ОГРАНИЧЕННОЙ ОТВЕТСТВЕННОСТЬЮ "ЗАВОД ЖЕЛЕЗОБЕТОННЫХ ИЗДЕЛИЙ ЧЕЛЭНЕРПРОМ"</t>
  </si>
  <si>
    <t>"ЗАВОД ЖЕЛЕЗОБЕТОННЫХ ИЗДЕЛИЙ ЧЕЛЭНЕРПРОМ"</t>
  </si>
  <si>
    <t>7450061479</t>
  </si>
  <si>
    <t>454018, ЧЕЛЯБИНСКАЯ ОБЛ., Г. Челябинск, УЛ. АРГАЯШСКАЯ, Д. 17</t>
  </si>
  <si>
    <t>Новиков Леонид Анатольевич</t>
  </si>
  <si>
    <t>+7 (922) 230-10-12', '+7 (922) 735-90-25'</t>
  </si>
  <si>
    <t>61.36460495,63.566379547</t>
  </si>
  <si>
    <t>ОБЩЕСТВО С ОГРАНИЧЕННОЙ ОТВЕТСТВЕННОСТЬЮ "СОВБЛОККОМПЛЕКТ"</t>
  </si>
  <si>
    <t>"СОВБЛОККОМПЛЕКТ"</t>
  </si>
  <si>
    <t>8615010801</t>
  </si>
  <si>
    <t>ТЮМЕНСКАЯ ОБЛ.,ХАНТЫ-МАНСИЙСКИЙ АВТ. ОКРУГ,СОВЕТСКИЙ Р-Н,Г СОВЕТСКИЙ,ПРОМБАЗА ОАО "СОВЕТСКЛЕС"</t>
  </si>
  <si>
    <t>Зобнин Алексей Сергеевич</t>
  </si>
  <si>
    <t>+7 (922) 406-05-30'</t>
  </si>
  <si>
    <t>61.367295,55.184659</t>
  </si>
  <si>
    <t>ОБЩЕСТВО С ОГРАНИЧЕННОЙ ОТВЕТСТВЕННОСТЬЮ "ЖБИ ХОЛДИНГ"</t>
  </si>
  <si>
    <t>"ЖБИ ХОЛДИНГ"</t>
  </si>
  <si>
    <t>7448225747</t>
  </si>
  <si>
    <t>454018, Челябинская область, городской округ ЧЕЛЯБИНСКИЙ, Город ЧЕЛЯБИНСК, внутригородской район городского округа КАЛИНИНСКИЙ, УЛ ТЕПЛИЧНАЯ, Д. 21, ОФИС 212</t>
  </si>
  <si>
    <t>Голованов Алексей Александрович</t>
  </si>
  <si>
    <t>+7 (904) 301-01-43'</t>
  </si>
  <si>
    <t>61.368572235,63.576171875</t>
  </si>
  <si>
    <t>ОБЩЕСТВО С ОГРАНИЧЕННОЙ ОТВЕТСТВЕННОСТЬЮ "СОВЕТСКИЙ ЗАВОД СТРОИТЕЛЬНЫХ МАТЕРИАЛОВ 1"</t>
  </si>
  <si>
    <t>"СОВЕТСКИЙ ЗАВОД СТРОИТЕЛЬНЫХ МАТЕРИАЛОВ 1"</t>
  </si>
  <si>
    <t>8622014300</t>
  </si>
  <si>
    <t>ТЮМЕНСКАЯ ОБЛ.,ХАНТЫ-МАНСИЙСКИЙ АВТ. ОКРУГ,СОВЕТСКИЙ Р-Н,Г СОВЕТСКИЙ,УЛ КАЛИНИНА, Д 35А</t>
  </si>
  <si>
    <t>Барыкин Евгений Николаевич</t>
  </si>
  <si>
    <t>61.368732,55.13039</t>
  </si>
  <si>
    <t>ОБЩЕСТВО С ОГРАНИЧЕННОЙ ОТВЕТСТВЕННОСТЬЮ "Лидер"</t>
  </si>
  <si>
    <t>"Лидер"</t>
  </si>
  <si>
    <t>7451344180</t>
  </si>
  <si>
    <t>http://lider-biz.ru</t>
  </si>
  <si>
    <t>454087, ЧЕЛЯБИНСКАЯ ОБЛ, ЧЕЛЯБИНСК Г, БЛЮХЕРА УЛ, 59А</t>
  </si>
  <si>
    <t>Однобурцев Дмитрий Андреевич</t>
  </si>
  <si>
    <t>+7 (351) 729-35-31', '+7 (912) 083-38-02', '+7 (351) 729-35-27', '+7 (351) 729-35-29'</t>
  </si>
  <si>
    <t>nikitina174@mail.ru'</t>
  </si>
  <si>
    <t>7451418065</t>
  </si>
  <si>
    <t>454087, ЧЕЛЯБИНСКАЯ ОБЛ, ЧЕЛЯБИНСК Г, БЛЮХЕРА УЛ, ДОМ 59А, ПОМЕЩЕНИЕ 16</t>
  </si>
  <si>
    <t>Хакимов Серик Тулепбергенович</t>
  </si>
  <si>
    <t>+7 (351) 262-48-70', '+7 (351) 729-35-27'</t>
  </si>
  <si>
    <t>ОБЩЕСТВО С ОГРАНИЧЕННОЙ ОТВЕТСТВЕННОСТЬЮ "БРИК ХАУС"</t>
  </si>
  <si>
    <t>"БРИК ХАУС"</t>
  </si>
  <si>
    <t>7451454056</t>
  </si>
  <si>
    <t>454087, ЧЕЛЯБИНСКАЯ ОБЛАСТЬ, ГОРОД ЧЕЛЯБИНСК, УЛИЦА БЛЮХЕРА, ДОМ 59А, ОФИС  10</t>
  </si>
  <si>
    <t>+7 (351) 729-35-27'</t>
  </si>
  <si>
    <t>61.373996,55.089578</t>
  </si>
  <si>
    <t>7449138617</t>
  </si>
  <si>
    <t>454053, ЧЕЛЯБИНСКАЯ ОБЛАСТЬ, ГОРОД ЧЕЛЯБИНСК, ТРАКТ ТРОИЦКИЙ, ДОМ 19/3, СКЛАД 47 ОФИС 1</t>
  </si>
  <si>
    <t>Звонарева Наталья Владимировна</t>
  </si>
  <si>
    <t>+7 (351) 286-04-57'</t>
  </si>
  <si>
    <t>ngolik@list.ru'</t>
  </si>
  <si>
    <t>61.374742,55.157701</t>
  </si>
  <si>
    <t>ОБЩЕСТВО С ОГРАНИЧЕННОЙ ОТВЕТСТВЕННОСТЬЮ "ЗАВОД ЖБИ "ПАРТНЕР+"</t>
  </si>
  <si>
    <t>"ЗАВОД ЖБИ "ПАРТНЕР+"</t>
  </si>
  <si>
    <t>7453335907</t>
  </si>
  <si>
    <t>454080, ЧЕЛЯБИНСКАЯ ОБЛАСТЬ, Г. ЧЕЛЯБИНСК, УЛ. СОНИ КРИВОЙ, Д. 52, НЕЖ.ПОМЕЩ. 10</t>
  </si>
  <si>
    <t>Мухамедзянова Регина Мухарраловна</t>
  </si>
  <si>
    <t>+7 (351) 220-32-33', '+7 (351) 217-48-88'</t>
  </si>
  <si>
    <t>61.375568,55.148102</t>
  </si>
  <si>
    <t>ОБЩЕСТВО С ОГРАНИЧЕННОЙ ОТВЕТСТВЕННОСТЬЮ ПРОИЗВОДСТВЕННАЯ КОМПАНИЯ "КАМЕННАЯ ФАБРИКА"</t>
  </si>
  <si>
    <t>ПРОИЗВОДСТВЕННАЯ КОМПАНИЯ "КАМЕННАЯ ФАБРИКА"</t>
  </si>
  <si>
    <t>7447249255</t>
  </si>
  <si>
    <t>454048, ЧЕЛЯБИНСКАЯ ОБЛАСТЬ, Г. ЧЕЛЯБИНСК, УЛ. ХУДЯКОВА, Д. 10, ОФИС 7</t>
  </si>
  <si>
    <t>Иванов Алексей Николаевич</t>
  </si>
  <si>
    <t>+7 (965) 853-49-28', '+7 (351) 217-06-07'</t>
  </si>
  <si>
    <t>61.378829,55.168861</t>
  </si>
  <si>
    <t>ОБЩЕСТВО С ОГРАНИЧЕННОЙ ОТВЕТСТВЕННОСТЬЮ "ИНСИ БЛОК"</t>
  </si>
  <si>
    <t>"ИНСИ БЛОК"</t>
  </si>
  <si>
    <t>7451422819</t>
  </si>
  <si>
    <t>454080, ЧЕЛЯБИНСКАЯ ОБЛАСТЬ, ГОРОД ЧЕЛЯБИНСК, УЛИЦА ТРУДА, ДОМ 156, ЭТ, ПОМ 2, 42</t>
  </si>
  <si>
    <t>Глинских Дмитрий Юрьевич</t>
  </si>
  <si>
    <t>+7 (982) 333-95-68'</t>
  </si>
  <si>
    <t>61.379179,55.12394</t>
  </si>
  <si>
    <t>ОБЩЕСТВО С ОГРАНИЧЕННОЙ ОТВЕТСТВЕННОСТЬЮ "ЧЕЛЯБЭНЕРГОФОНД"</t>
  </si>
  <si>
    <t>"ЧЕЛЯБЭНЕРГОФОНД"</t>
  </si>
  <si>
    <t>7451401939</t>
  </si>
  <si>
    <t>454087, ЧЕЛЯБИНСКАЯ ОБЛАСТЬ, ГОРОД ЧЕЛЯБИНСК, УЛИЦА ПОЛЕТАЕВСКАЯ, ДОМ 2А, ОФИС 26</t>
  </si>
  <si>
    <t>Бутин Сергей Александрович</t>
  </si>
  <si>
    <t>+7 (900) 026-88-33', '+7 (351) 730-69-50'</t>
  </si>
  <si>
    <t>energofond74@mail.ru'</t>
  </si>
  <si>
    <t>61.379916,55.189902</t>
  </si>
  <si>
    <t>ОБЩЕСТВО С ОГРАНИЧЕННОЙ ОТВЕТСТВЕННОСТЬЮ "БРЭНД"</t>
  </si>
  <si>
    <t>"БРЭНД"</t>
  </si>
  <si>
    <t>7453190521</t>
  </si>
  <si>
    <t>454008, ЧЕЛЯБИНСКАЯ ОБЛ, ЧЕЛЯБИНСК Г, КРАСНОЗНАМЕННАЯ УЛ, ДОМ 9,..</t>
  </si>
  <si>
    <t>Боровиков Евгений Васильевич</t>
  </si>
  <si>
    <t>+7 (351) 264-05-67', '+7 (351) 247-32-00', '+7 (351) 729-96-97'</t>
  </si>
  <si>
    <t>61.38112,55.039791</t>
  </si>
  <si>
    <t>ОБЩЕСТВО С ОГРАНИЧЕННОЙ ОТВЕТСТВЕННОСТЬЮ "Арт-бетон"</t>
  </si>
  <si>
    <t>"Арт-бетон"</t>
  </si>
  <si>
    <t>7451340468</t>
  </si>
  <si>
    <t>454904, Челябинская область, г Челябинск, ул Громова, д 5-а,..</t>
  </si>
  <si>
    <t>Бубнов Александр Юрьевич</t>
  </si>
  <si>
    <t>+7 (351) 280-16-38', '+7 (904) 972-29-99'</t>
  </si>
  <si>
    <t>61.384444,55.092108</t>
  </si>
  <si>
    <t>ОБЩЕСТВО С ОГРАНИЧЕННОЙ ОТВЕТСТВЕННОСТЬЮ "БАЙТИЛ"</t>
  </si>
  <si>
    <t>"БАЙТИЛ"</t>
  </si>
  <si>
    <t>7451459022</t>
  </si>
  <si>
    <t>454053, Челябинская область, городской округ ЧЕЛЯБИНСКИЙ, Город ЧЕЛЯБИНСК, внутригородской район городского округа СОВЕТСКИЙ, ТРАКТ ТРОИЦКИЙ, Д. 21, ОФИС 231</t>
  </si>
  <si>
    <t>Осинцева Вероника Евгеньевна</t>
  </si>
  <si>
    <t>61.387965,55.162263</t>
  </si>
  <si>
    <t>ОБЩЕСТВО С ОГРАНИЧЕННОЙ ОТВЕТСТВЕННОСТЬЮ "ЛУИБЕТОН"</t>
  </si>
  <si>
    <t>"ЛУИБЕТОН"</t>
  </si>
  <si>
    <t>7453345711</t>
  </si>
  <si>
    <t>454080, Челябинская область, городской округ ЧЕЛЯБИНСКИЙ, Город ЧЕЛЯБИНСК, внутригородской район городского округа ЦЕНТРАЛЬНЫЙ, ПР-КТ СВЕРДЛОВСКИЙ, Д. 60, ПОМЕЩ. 27</t>
  </si>
  <si>
    <t>Волосевич Денис Александрович</t>
  </si>
  <si>
    <t>61.388064,55.105753</t>
  </si>
  <si>
    <t>ОБЩЕСТВО С ОГРАНИЧЕННОЙ ОТВЕТСТВЕННОСТЬЮ "МИБЛ ПРОИЗВОДСТВЕННАЯ КОМПАНИЯ"</t>
  </si>
  <si>
    <t>"МИБЛ ПРОИЗВОДСТВЕННАЯ КОМПАНИЯ"</t>
  </si>
  <si>
    <t>7451426154</t>
  </si>
  <si>
    <t>454053, ЧЕЛЯБИНСКАЯ ОБЛ, ЧЕЛЯБИНСК Г, ТРОИЦКИЙ ТРАКТ, ДОМ 54, СКЛАД 3</t>
  </si>
  <si>
    <t>Комлач Виктор Григорьевич</t>
  </si>
  <si>
    <t>+7 (951) 489-09-96', '+7 (351) 262-90-40'</t>
  </si>
  <si>
    <t>ОБЩЕСТВО С ОГРАНИЧЕННОЙ ОТВЕТСТВЕННОСТЬЮ "БАЛВИС"</t>
  </si>
  <si>
    <t>"БАЛВИС"</t>
  </si>
  <si>
    <t>7452142691</t>
  </si>
  <si>
    <t>454053, ЧЕЛЯБИНСКАЯ ОБЛ, ЧЕЛЯБИНСК Г, ТРОИЦКИЙ ТРАКТ, ДОМ 54, ОФИС 101</t>
  </si>
  <si>
    <t>Федоров Игорь Владимирович</t>
  </si>
  <si>
    <t>+7 (900) 096-72-94', '+7 (351) 262-90-40'</t>
  </si>
  <si>
    <t>61.392259,55.166701</t>
  </si>
  <si>
    <t>7453316478</t>
  </si>
  <si>
    <t>454091, ЧЕЛЯБИНСКАЯ ОБЛ, ЧЕЛЯБИНСК Г, КРАСНАЯ УЛ, ДОМ 4, ПОМЕЩЕНИЕ 2/3</t>
  </si>
  <si>
    <t>Гольдфарб Леонид Александрович</t>
  </si>
  <si>
    <t>+7 (351) 750-13-95', '+7 (351) 211-31-83'</t>
  </si>
  <si>
    <t>ОБЩЕСТВО С ОГРАНИЧЕННОЙ ОТВЕТСТВЕННОСТЬЮ "АСИЯ"</t>
  </si>
  <si>
    <t>"АСИЯ"</t>
  </si>
  <si>
    <t>7460057182</t>
  </si>
  <si>
    <t>454047, Челябинская область, ЧЕЛЯБИНСКИЙ, 4 МЕТАЛЛУРГИЧЕСКИЙ, Г ЧЕЛЯБИНСК, УЛ ТРУДОВАЯ, Д. 23</t>
  </si>
  <si>
    <t>Галина Асия Фаридовна</t>
  </si>
  <si>
    <t>61.394828,55.160504</t>
  </si>
  <si>
    <t>ОБЩЕСТВО С ОГРАНИЧЕННОЙ ОТВЕТСТВЕННОСТЬЮ "АИСТ"</t>
  </si>
  <si>
    <t>"АИСТ"</t>
  </si>
  <si>
    <t>7453151667</t>
  </si>
  <si>
    <t>Г ЧЕЛЯБИНСК,ПРОСП ЛЕНИНА, Д 62,..</t>
  </si>
  <si>
    <t>Красильников Сергей Владимирович</t>
  </si>
  <si>
    <t>+7 (351) 230-78-63', '+7 (900) 020-34-22'</t>
  </si>
  <si>
    <t>61.39525,55.178558</t>
  </si>
  <si>
    <t>ОБЩЕСТВО С ОГРАНИЧЕННОЙ ОТВЕТСТВЕННОСТЬЮ "СВЯЗЬСТРОЙСНАБ"</t>
  </si>
  <si>
    <t>"СВЯЗЬСТРОЙСНАБ"</t>
  </si>
  <si>
    <t>7453240275</t>
  </si>
  <si>
    <t>454084, ЧЕЛЯБИНСКАЯ ОБЛ, ЧЕЛЯБИНСК Г, КАСЛИНСКАЯ УЛ, ДОМ 77, ОФИС 431</t>
  </si>
  <si>
    <t>Култышев Сергей Васильевич</t>
  </si>
  <si>
    <t>+7 (351) 210-55-35', '+7 (351) 247-34-68'</t>
  </si>
  <si>
    <t>61.398951,55.159912</t>
  </si>
  <si>
    <t>ОБЩЕСТВО С ОГРАНИЧЕННОЙ ОТВЕТСТВЕННОСТЬЮ "БЕТОНСТРОЙПОДРЯД"</t>
  </si>
  <si>
    <t>"БЕТОНСТРОЙПОДРЯД"</t>
  </si>
  <si>
    <t>7453285100</t>
  </si>
  <si>
    <t>454091, ЧЕЛЯБИНСКАЯ ОБЛАСТЬ, ГОРОД ЧЕЛЯБИНСК, ПРОСПЕКТ ЛЕНИНА, ДОМ 55А, ОФИС 505</t>
  </si>
  <si>
    <t>+7 (904) 309-26-31'</t>
  </si>
  <si>
    <t>sp74@yandex.ru'</t>
  </si>
  <si>
    <t>61.399185,55.149177</t>
  </si>
  <si>
    <t>ОБЩЕСТВО С ОГРАНИЧЕННОЙ ОТВЕТСТВЕННОСТЬЮ "НОВОСМОЛИНСКИЙ ЗАВОД СТРОИТЕЛЬНЫХ МАТЕРИАЛОВ"</t>
  </si>
  <si>
    <t>"НОВОСМОЛИНСКИЙ ЗАВОД СТРОИТЕЛЬНЫХ МАТЕРИАЛОВ"</t>
  </si>
  <si>
    <t>7451403453</t>
  </si>
  <si>
    <t>454092, ЧЕЛЯБИНСКАЯ ОБЛ., Г. Челябинск, УЛ. ЕЛЬКИНА, Д. 81А, ОФИС 1</t>
  </si>
  <si>
    <t>Волков Дмитрий Викторович</t>
  </si>
  <si>
    <t>+7 (351) 261-98-45', '+7 (900) 061-95-91'</t>
  </si>
  <si>
    <t>zsm@chel-si'</t>
  </si>
  <si>
    <t>ОБЩЕСТВО С ОГРАНИЧЕННОЙ ОТВЕТСТВЕННОСТЬЮ "РОМБ"</t>
  </si>
  <si>
    <t>"РОМБ"</t>
  </si>
  <si>
    <t>7451448574</t>
  </si>
  <si>
    <t>454092, ЧЕЛЯБИНСКАЯ ОБЛАСТЬ, ГОРОД ЧЕЛЯБИНСК, УЛИЦА ЕЛЬКИНА, ДОМ 81А, ПОМЕЩЕНИЕ 8 ОФИС 17</t>
  </si>
  <si>
    <t>Петрова Юлия Даниловна</t>
  </si>
  <si>
    <t>61.401224,55.164639</t>
  </si>
  <si>
    <t>ОБЩЕСТВО С ОГРАНИЧЕННОЙ ОТВЕТСТВЕННОСТЬЮ "СМЕСИ И БЕТОН"</t>
  </si>
  <si>
    <t>"СМЕСИ И БЕТОН"</t>
  </si>
  <si>
    <t>7453345158</t>
  </si>
  <si>
    <t>454091, Челябинская область, ЧЕЛЯБИНСКИЙ, 4 ЦЕНТРАЛЬНЫЙ, Г ЧЕЛЯБИНСК, УЛ КИРОВА, Д. 159</t>
  </si>
  <si>
    <t xml:space="preserve"> Акционерное Общество Апри "Флай Плэнинг"</t>
  </si>
  <si>
    <t>INFO@FLYPLANING.RU'</t>
  </si>
  <si>
    <t>61.402554,55.159902</t>
  </si>
  <si>
    <t>ОБЩЕСТВО С ОГРАНИЧЕННОЙ ОТВЕТСТВЕННОСТЬЮ "ПСМ-ОВКОР"</t>
  </si>
  <si>
    <t>"ПСМ-ОВКОР"</t>
  </si>
  <si>
    <t>7447300720</t>
  </si>
  <si>
    <t>454006, Челябинская область, городской округ ЧЕЛЯБИНСКИЙ, Город ЧЕЛЯБИНСК, внутригородской район городского округа КАЛИНИНСКИЙ, УЛ РОССИЙСКАЯ, Д. 1, ПОМЕЩ. № 9 (1 ЭТАЖ)</t>
  </si>
  <si>
    <t>Исаев Павел Андреевич</t>
  </si>
  <si>
    <t>PSMOVKOR174@YANDEX.RU'</t>
  </si>
  <si>
    <t>ОБЩЕСТВО С ОГРАНИЧЕННОЙ ОТВЕТСТВЕННОСТЬЮ "СФЕРА СТРОИТЕЛЬНЫХ ТЕХНОЛОГИЙ"</t>
  </si>
  <si>
    <t>"СФЕРА СТРОИТЕЛЬНЫХ ТЕХНОЛОГИЙ"</t>
  </si>
  <si>
    <t>7450041673</t>
  </si>
  <si>
    <t>Г ЧЕЛЯБИНСК,ШОССЕ МЕТАЛЛУРГОВ, Д 27-П</t>
  </si>
  <si>
    <t>Лакомкин Максим Николаевич</t>
  </si>
  <si>
    <t>+7 (351) 721-20-36', '+7 (909) 071-19-78', '+7 (900) 020-34-22'</t>
  </si>
  <si>
    <t>61.408473,55.162073</t>
  </si>
  <si>
    <t>ОБЩЕСТВО С ОГРАНИЧЕННОЙ ОТВЕТСТВЕННОСТЬЮ "СТРОЙИНЖЕНИРИНГ"</t>
  </si>
  <si>
    <t>"СТРОЙИНЖЕНИРИНГ"</t>
  </si>
  <si>
    <t>7453264220</t>
  </si>
  <si>
    <t>454091, ЧЕЛЯБИНСКАЯ ОБЛ, ЧЕЛЯБИНСК Г, ПУШКИНА УЛ, ДОМ 48, ОФИС 1</t>
  </si>
  <si>
    <t>modula@inbox.ru'</t>
  </si>
  <si>
    <t>ОБЩЕСТВО С ОГРАНИЧЕННОЙ ОТВЕТСТВЕННОСТЬЮ "ЗАВОД ЖЕЛЕЗОБЕТОННЫХ ИЗДЕЛИЙ ЭНЕРГИЯ"</t>
  </si>
  <si>
    <t>"ЗАВОД ЖЕЛЕЗОБЕТОННЫХ ИЗДЕЛИЙ ЭНЕРГИЯ"</t>
  </si>
  <si>
    <t>7203401378</t>
  </si>
  <si>
    <t>454038, Челябинская область, городской округ ЧЕЛЯБИНСКИЙ, Город ЧЕЛЯБИНСК, внутригородской район городского округа МЕТАЛЛУРГИЧЕСКИЙ, Ш МЕТАЛЛУРГОВ, Д. 13П, ОФИС 15</t>
  </si>
  <si>
    <t>Чигинцева Ксения Андреевна</t>
  </si>
  <si>
    <t>ОБЩЕСТВО С ОГРАНИЧЕННОЙ ОТВЕТСТВЕННОСТЬЮ "КСМИ 74"</t>
  </si>
  <si>
    <t>"КСМИ 74"</t>
  </si>
  <si>
    <t>7460038687</t>
  </si>
  <si>
    <t>454038, ЧЕЛЯБИНСКАЯ ОБЛАСТЬ, Г. ЧЕЛЯБИНСК, Ш. МЕТАЛЛУРГОВ, Д. 5П, ПОМЕЩ. 6</t>
  </si>
  <si>
    <t>Бойчук Ирина Михайловна</t>
  </si>
  <si>
    <t>+7 (351) 735-40-30'</t>
  </si>
  <si>
    <t>ОБЩЕСТВО С ОГРАНИЧЕННОЙ ОТВЕТСТВЕННОСТЬЮ "РОМАЛИН"</t>
  </si>
  <si>
    <t>"РОМАЛИН"</t>
  </si>
  <si>
    <t>6683016220</t>
  </si>
  <si>
    <t>624030, СВЕРДЛОВСКАЯ ОБЛ, Р-Н БЕЛОЯРСКИЙ, ПГТ БЕЛОЯРСКИЙ, УЛ ЛЕНИНА, СТР 277Б, ОФ 1</t>
  </si>
  <si>
    <t>Рахматуллин Ренат Валиевич</t>
  </si>
  <si>
    <t>marmur62@mail.ru'</t>
  </si>
  <si>
    <t>61.417627,55.151652</t>
  </si>
  <si>
    <t>ОБЩЕСТВО С ОГРАНИЧЕННОЙ ОТВЕТСТВЕННОСТЬЮ "ЭКСПРЕСС-СТРОЙ"</t>
  </si>
  <si>
    <t>"ЭКСПРЕСС-СТРОЙ"</t>
  </si>
  <si>
    <t>7451388660</t>
  </si>
  <si>
    <t>454091, ЧЕЛЯБИНСКАЯ ОБЛАСТЬ, Г. ЧЕЛЯБИНСК, УЛ. РОССИЙСКАЯ, Д. 262,..</t>
  </si>
  <si>
    <t>Петров Алексей Александрович</t>
  </si>
  <si>
    <t>+7 (912) 800-00-25', '+7 (922) 760-63-85'</t>
  </si>
  <si>
    <t>kabest174@yandex.ru'</t>
  </si>
  <si>
    <t>61.417735,55.133951</t>
  </si>
  <si>
    <t>ОБЩЕСТВО С ОГРАНИЧЕННОЙ ОТВЕТСТВЕННОСТЬЮ "ЗАВОД ТРОТУАРНОЙ ПЛИТКИ "ЧЕЛСИ"</t>
  </si>
  <si>
    <t>"ЗАВОД ТРОТУАРНОЙ ПЛИТКИ "ЧЕЛСИ"</t>
  </si>
  <si>
    <t>7451343300</t>
  </si>
  <si>
    <t>454901, ЧЕЛЯБИНСКАЯ ОБЛАСТЬ, Г. ЧЕЛЯБИНСК, УЛ. УФИМСКИЙ ТРАКТ, ТЕРРИТОРИЯ ДО КОЛЬЦА НА 4 КМ.</t>
  </si>
  <si>
    <t>61.420789,55.187049</t>
  </si>
  <si>
    <t>ОБЩЕСТВО С ОГРАНИЧЕННОЙ ОТВЕТСТВЕННОСТЬЮ "ПРОИЗВОДСТВЕННОЕ ПРЕДПРИЯТИЕ ДОБРЫНЯ"</t>
  </si>
  <si>
    <t>"ПРОИЗВОДСТВЕННОЕ ПРЕДПРИЯТИЕ ДОБРЫНЯ"</t>
  </si>
  <si>
    <t>7447247089</t>
  </si>
  <si>
    <t>454081, ЧЕЛЯБИНСКАЯ ОБЛАСТЬ, ГОРОД ЧЕЛЯБИНСК, УЛИЦА КУДРЯВЦЕВА, ДОМ 19А, ОФИС 3А</t>
  </si>
  <si>
    <t>Вилкова Яна Юрьевна</t>
  </si>
  <si>
    <t>+7 (351) 235-45-29', '+7 (904) 930-20-58'</t>
  </si>
  <si>
    <t>ОБЩЕСТВО С ОГРАНИЧЕННОЙ ОТВЕТСТВЕННОСТЬЮ "УРАЛЬСКИЙ ЗАВОД ВИБРОЛИТЫХ ИЗДЕЛИЙ"</t>
  </si>
  <si>
    <t>"УРАЛЬСКИЙ ЗАВОД ВИБРОЛИТЫХ ИЗДЕЛИЙ"</t>
  </si>
  <si>
    <t>7460052145</t>
  </si>
  <si>
    <t>454038, ЧЕЛЯБИНСКАЯ ОБЛ., Г. Челябинск, УЛ. МОНТАЖНИКОВ, Д. 5В, ЛИТЕР А, ПОМЕЩ. 2</t>
  </si>
  <si>
    <t>Бородулин Сергей Васильевич</t>
  </si>
  <si>
    <t>61.43377,55.142545</t>
  </si>
  <si>
    <t>7449147386</t>
  </si>
  <si>
    <t>454108, Челябинская область, городской округ ЧЕЛЯБИНСКИЙ, Город ЧЕЛЯБИНСК, внутригородской район городского округа ЛЕНИНСКИЙ, УЛ ПОГРАНИЧНАЯ, Д. 19,..</t>
  </si>
  <si>
    <t>Дильмухаметов Руслан Маратович</t>
  </si>
  <si>
    <t>61.438819,55.203072</t>
  </si>
  <si>
    <t>ОБЩЕСТВО С ОГРАНИЧЕННОЙ ОТВЕТСТВЕННОСТЬЮ "ЧЕЛЯБИНСКИЙ ЗАВОД ЖЕЛЕЗОБЕТОННЫХ ИЗДЕЛИЙ №1"</t>
  </si>
  <si>
    <t>"ЧЕЛЯБИНСКИЙ ЗАВОД ЖЕЛЕЗОБЕТОННЫХ ИЗДЕЛИЙ №1"</t>
  </si>
  <si>
    <t>7447188267</t>
  </si>
  <si>
    <t>454081, ЧЕЛЯБИНСКАЯ ОБЛАСТЬ, ГОРОД ЧЕЛЯБИНСК, УЛИЦА ГЕРОЕВ ТАНКОГРАДА, ДОМ 1 А, ОФИС 3</t>
  </si>
  <si>
    <t>Можайцева Мария Юрьевна</t>
  </si>
  <si>
    <t>+7 (351) 771-74-73', '+7 (351) 225-16-38'</t>
  </si>
  <si>
    <t>ОБЩЕСТВО С ОГРАНИЧЕННОЙ ОТВЕТСТВЕННОСТЬЮ "ЦЕХ ПАНЕЛЬНОГО ПРОИЗВОДСТВА ЖБИ № 1"</t>
  </si>
  <si>
    <t>"ЦЕХ ПАНЕЛЬНОГО ПРОИЗВОДСТВА ЖБИ № 1"</t>
  </si>
  <si>
    <t>7447303544</t>
  </si>
  <si>
    <t>454081, ЧЕЛЯБИНСКАЯ ОБЛ., Г. Челябинск, УЛ. ГЕРОЕВ ТАНКОГРАДА, Д. 1А, ОФИС 1</t>
  </si>
  <si>
    <t>Ковалев Владислав Сергеевич</t>
  </si>
  <si>
    <t>61.440606,55.139653</t>
  </si>
  <si>
    <t>ОБЩЕСТВО С ОГРАНИЧЕННОЙ ОТВЕТСТВЕННОСТЬЮ "ЖБИ-КОМПЛЕКТ74"</t>
  </si>
  <si>
    <t>"ЖБИ-КОМПЛЕКТ74"</t>
  </si>
  <si>
    <t>7449115377</t>
  </si>
  <si>
    <t>454010, Челябинская область, г Челябинск, ул Гагарина, д 16,..</t>
  </si>
  <si>
    <t>Кутикова Наталья Валерьевна</t>
  </si>
  <si>
    <t>+7 (951) 818-20-03', '+7 (351) 776-11-98'</t>
  </si>
  <si>
    <t>komplekt779@yandex.ru'</t>
  </si>
  <si>
    <t>61.441792,55.209195</t>
  </si>
  <si>
    <t>ОБЩЕСТВО С ОГРАНИЧЕННОЙ ОТВЕТСТВЕННОСТЬЮ "АвтоКом"</t>
  </si>
  <si>
    <t>"АвтоКом"</t>
  </si>
  <si>
    <t>7447192150</t>
  </si>
  <si>
    <t>454081, ЧЕЛЯБИНСКАЯ ОБЛ, ЧЕЛЯБИНСК Г, ГЕРОЕВ ТАНКОГРАДА УЛ, 61П</t>
  </si>
  <si>
    <t>Гайсин Илья Рахимьянович</t>
  </si>
  <si>
    <t>+7 (351) 278-58-58'</t>
  </si>
  <si>
    <t>61.442268,55.126735</t>
  </si>
  <si>
    <t>7449139106</t>
  </si>
  <si>
    <t>454010, ЧЕЛЯБИНСКАЯ ОБЛАСТЬ, ГОРОД ЧЕЛЯБИНСК, УЛИЦА ГОНЧАРЕНКО, ДОМ 36</t>
  </si>
  <si>
    <t>Сахарных Мария Васильевна</t>
  </si>
  <si>
    <t>+7 (908) 576-83-20'</t>
  </si>
  <si>
    <t>61.444244,55.192086</t>
  </si>
  <si>
    <t>ОБЩЕСТВО С ОГРАНИЧЕННОЙ ОТВЕТСТВЕННОСТЬЮ "ТравникиЭКО"</t>
  </si>
  <si>
    <t>"ТравникиЭКО"</t>
  </si>
  <si>
    <t>7420016567</t>
  </si>
  <si>
    <t>454074, ЧЕЛЯБИНСКАЯ ОБЛАСТЬ, ГОРОД ЧЕЛЯБИНСК, УЛИЦА ФЕРРОСПЛАВНАЯ, ДОМ 76, ОФИС 3</t>
  </si>
  <si>
    <t>Радионов Игорь Анатольевич</t>
  </si>
  <si>
    <t>+7 (951) 489-61-37'</t>
  </si>
  <si>
    <t>2008@bk.ru'</t>
  </si>
  <si>
    <t>ОБЩЕСТВО С ОГРАНИЧЕННОЙ ОТВЕТСТВЕННОСТЬЮ "ЛЮКСБЕТОН"</t>
  </si>
  <si>
    <t>"ЛЮКСБЕТОН"</t>
  </si>
  <si>
    <t>7447268667</t>
  </si>
  <si>
    <t>454074, ЧЕЛЯБИНСКАЯ ОБЛАСТЬ, ГОРОД ЧЕЛЯБИНСК, УЛИЦА ФЕРРОСПЛАВНАЯ, ДОМ 76, ОФИС 10</t>
  </si>
  <si>
    <t>+7 (900) 097-05-95', '+7 (951) 489-61-37'</t>
  </si>
  <si>
    <t>61.44711,55.159156</t>
  </si>
  <si>
    <t>7452116740</t>
  </si>
  <si>
    <t>454007, ЧЕЛЯБИНСКАЯ ОБЛАСТЬ, Г. ЧЕЛЯБИНСК, УЛ. 40-ЛЕТИЯ ОКТЯБРЯ, Д. 30Б, ОФИС 59</t>
  </si>
  <si>
    <t>Шаляпин Эдуард Борисович</t>
  </si>
  <si>
    <t>+7 (912) 793-33-54'</t>
  </si>
  <si>
    <t>USK14@YANDEX.RU'</t>
  </si>
  <si>
    <t>61.448601,55.170095</t>
  </si>
  <si>
    <t>ОБЩЕСТВО С ОГРАНИЧЕННОЙ ОТВЕТСТВЕННОСТЬЮ ПРОИЗВОДСТВЕННО СТРОИТЕЛЬНАЯ КОМПАНИЯ "СТРОЙПЕНОБЕТОН"</t>
  </si>
  <si>
    <t>ПРОИЗВОДСТВЕННО СТРОИТЕЛЬНАЯ КОМПАНИЯ "СТРОЙПЕНОБЕТОН"</t>
  </si>
  <si>
    <t>7452120698</t>
  </si>
  <si>
    <t>454071, Челябинская область, г Челябинск, ул Салютная, д 21-А,..</t>
  </si>
  <si>
    <t>Грицюк Валерий Николаевич</t>
  </si>
  <si>
    <t>+7 (351) 903-03-75', '+7 (351) 235-67-85', '+7 (351) 222-52-55'</t>
  </si>
  <si>
    <t>74spbbuh@mail.ru'</t>
  </si>
  <si>
    <t>61.45577,55.199758</t>
  </si>
  <si>
    <t>ПРОИЗВОДСТВЕННЫЙ КООПЕРАТИВ "БЕТОФОРМ"</t>
  </si>
  <si>
    <t>7447240037</t>
  </si>
  <si>
    <t>454074, ЧЕЛЯБИНСКАЯ ОБЛАСТЬ, Г. ЧЕЛЯБИНСК, УЛ. ВАЛДАЙСКАЯ, Д.20-П, ПОМЕЩЕНИЕ 5</t>
  </si>
  <si>
    <t>Филатов Данила Викторович</t>
  </si>
  <si>
    <t>+7 (912) 801-26-32', '+7 (912) 281-30-87'</t>
  </si>
  <si>
    <t>89127794402@mail.ru'</t>
  </si>
  <si>
    <t>ОБЩЕСТВО С ОГРАНИЧЕННОЙ ОТВЕТСТВЕННОСТЬЮ "ЛЕГИОН.ПРОИЗВОДСТВО"</t>
  </si>
  <si>
    <t>"ЛЕГИОН.ПРОИЗВОДСТВО"</t>
  </si>
  <si>
    <t>7448201672</t>
  </si>
  <si>
    <t>454074, ЧЕЛЯБИНСКАЯ ОБЛ., Г. Челябинск, УЛ. ВАЛДАЙСКАЯ, Д. 20П, ОФИС 201</t>
  </si>
  <si>
    <t>Ялалов Радмир Ражапович</t>
  </si>
  <si>
    <t>+7 (351) 281-30-80', '+7 (351) 281-30-87'</t>
  </si>
  <si>
    <t>61.458815,55.197389</t>
  </si>
  <si>
    <t>ОБЩЕСТВО С ОГРАНИЧЕННОЙ ОТВЕТСТВЕННОСТЬЮ "АВТОБИЗНЕССЕРВИС"</t>
  </si>
  <si>
    <t>"АВТОБИЗНЕССЕРВИС"</t>
  </si>
  <si>
    <t>7447162075</t>
  </si>
  <si>
    <t>454074, ЧЕЛЯБИНСКАЯ ОБЛАСТЬ, Г. ЧЕЛЯБИНСК, УЛ. ВАЛДАЙСКАЯ, Д.4, К.П</t>
  </si>
  <si>
    <t>Прокопьева Наталья Сергеевна</t>
  </si>
  <si>
    <t>+7 (351) 235-10-88', '+7 (351) 231-27-32', '+7 (351) 773-05-77'</t>
  </si>
  <si>
    <t>61.467699,55.187599</t>
  </si>
  <si>
    <t>ОБЩЕСТВО С ОГРАНИЧЕННОЙ ОТВЕТСТВЕННОСТЬЮ "ЧЕЛЯБСТРОЙМАТЕРИАЛЫ"</t>
  </si>
  <si>
    <t>"ЧЕЛЯБСТРОЙМАТЕРИАЛЫ"</t>
  </si>
  <si>
    <t>7452150999</t>
  </si>
  <si>
    <t>454077, ЧЕЛЯБИНСКАЯ ОБЛАСТЬ, ГОРОД ЧЕЛЯБИНСК, УЛИЦА РЖЕВСКАЯ, ДОМ 37,..</t>
  </si>
  <si>
    <t>Алавацкий Станислав</t>
  </si>
  <si>
    <t>+7 (351) 777-33-43'</t>
  </si>
  <si>
    <t>61.470942,55.224254</t>
  </si>
  <si>
    <t>ОБЩЕСТВО С ОГРАНИЧЕННОЙ ОТВЕТСТВЕННОСТЬЮ "СТРОЙПРОМБЕТОН"</t>
  </si>
  <si>
    <t>"СТРОЙПРОМБЕТОН"</t>
  </si>
  <si>
    <t>7460047547</t>
  </si>
  <si>
    <t>454038, ЧЕЛЯБИНСКАЯ ОБЛАСТЬ, ГОРОД ЧЕЛЯБИНСК, УЛИЦА СКЛАДСКАЯ, ДОМ 1, ОФИС 1</t>
  </si>
  <si>
    <t>61.486564,55.180239</t>
  </si>
  <si>
    <t>ОБЩЕСТВО С ОГРАНИЧЕННОЙ ОТВЕТСТВЕННОСТЬЮ "МАСТЕРСВЯЗЬ-КОМПЛЕКТ"</t>
  </si>
  <si>
    <t>"МАСТЕРСВЯЗЬ-КОМПЛЕКТ"</t>
  </si>
  <si>
    <t>7452140493</t>
  </si>
  <si>
    <t>454077, ЧЕЛЯБИНСКАЯ ОБЛАСТЬ, ГОРОД ЧЕЛЯБИНСК, УЛИЦА ХОХРЯКОВА, ДОМ 16,..</t>
  </si>
  <si>
    <t>Яковлев Александр Владимирович</t>
  </si>
  <si>
    <t>+7 (919) 118-10-40', '+7 (919) 270-82-49'</t>
  </si>
  <si>
    <t>61.489124,55.121283</t>
  </si>
  <si>
    <t>ОБЩЕСТВО С ОГРАНИЧЕННОЙ ОТВЕТСТВЕННОСТЬЮ "СТРОЙ-Д"</t>
  </si>
  <si>
    <t>"СТРОЙ-Д"</t>
  </si>
  <si>
    <t>7449046701</t>
  </si>
  <si>
    <t>Г ЧЕЛЯБИНСК,УЛ НАХИМОВА, Д 20-П</t>
  </si>
  <si>
    <t>Курепин Валентин Михайлович</t>
  </si>
  <si>
    <t>+7 (351) 237-02-11'</t>
  </si>
  <si>
    <t>61.492798,55.158524</t>
  </si>
  <si>
    <t>ОБЩЕСТВО С ОГРАНИЧЕННОЙ ОТВЕТСТВЕННОСТЬЮ "АТОЛЛ"</t>
  </si>
  <si>
    <t>"АТОЛЛ"</t>
  </si>
  <si>
    <t>7451409470</t>
  </si>
  <si>
    <t>454079, ЧЕЛЯБИНСКАЯ ОБЛАСТЬ, ГОРОД ЧЕЛЯБИНСК, УЛИЦА ЛИНЕЙНАЯ, ДОМ 90, ОФИС 1</t>
  </si>
  <si>
    <t>Сметанин Сергей Викторович</t>
  </si>
  <si>
    <t>+7 (982) 108-21-34'</t>
  </si>
  <si>
    <t>61.569137,54.089597</t>
  </si>
  <si>
    <t>ОБЩЕСТВО С ОГРАНИЧЕННОЙ ОТВЕТСТВЕННОСТЬЮ "БОБРОВСКИЙ ЗАВОД ЖЕЛЕЗОБЕТОННЫХ КОНСТРУКЦИЙ "ЭНЕРГИЯ"</t>
  </si>
  <si>
    <t>"БОБРОВСКИЙ ЗАВОД ЖЕЛЕЗОБЕТОННЫХ КОНСТРУКЦИЙ "ЭНЕРГИЯ"</t>
  </si>
  <si>
    <t>7424032841</t>
  </si>
  <si>
    <t>ЧЕЛЯБИНСКАЯ ОБЛ.,ТРОИЦКИЙ Р-Н,П КВАРЦИТНЫЙ,УЛ СИБИРСКАЯ, Д 21, ОФИС 17</t>
  </si>
  <si>
    <t>Радионова Ольга Михайловна</t>
  </si>
  <si>
    <t>+7 (912) 898-02-16', '+7 (912) 085-55-47'</t>
  </si>
  <si>
    <t>energy@sinai-group'</t>
  </si>
  <si>
    <t>61.597093,55.058652</t>
  </si>
  <si>
    <t>ОБЩЕСТВО С ОГРАНИЧЕННОЙ ОТВЕТСТВЕННОСТЬЮ "Фабрика стульев"</t>
  </si>
  <si>
    <t>"Фабрика стульев"</t>
  </si>
  <si>
    <t>7411078704</t>
  </si>
  <si>
    <t>456653, ЧЕЛЯБИНСКАЯ ОБЛ, КОПЕЙСК Г, МИРА УЛ, 2</t>
  </si>
  <si>
    <t>Пшеничникова Оксана Николаевна</t>
  </si>
  <si>
    <t>+7 (951) 479-04-92', '+7 (351) 726-40-01', '+7 (351) 246-00-01', '+7 (351) 264-00-01'</t>
  </si>
  <si>
    <t>61.605932,55.101854</t>
  </si>
  <si>
    <t>ОБЩЕСТВО С ОГРАНИЧЕННОЙ ОТВЕТСТВЕННОСТЬЮ "СТРОИТЕЛЬНАЯ КОМПЛЕКТАЦИЯ"</t>
  </si>
  <si>
    <t>"СТРОИТЕЛЬНАЯ КОМПЛЕКТАЦИЯ"</t>
  </si>
  <si>
    <t>7430037319</t>
  </si>
  <si>
    <t>456610, Челябинская область, городской округ КОПЕЙСКИЙ, Город КОПЕЙСК, ПР-КТ СЛАВЫ, Д. 32Б,..</t>
  </si>
  <si>
    <t>Кошелев Дмитрий Сергеевич</t>
  </si>
  <si>
    <t>SUVENIR_75@MAIL.RU'</t>
  </si>
  <si>
    <t>61.641075,147.879162</t>
  </si>
  <si>
    <t>ОБЩЕСТВО С ОГРАНИЧЕННОЙ ОТВЕТСТВЕННОСТЬЮ "ТРАНСЭНЕРГОСТРОЙ"</t>
  </si>
  <si>
    <t>"ТРАНСЭНЕРГОСТРОЙ"</t>
  </si>
  <si>
    <t>4906001681</t>
  </si>
  <si>
    <t>686070, МАГАДАНСКАЯ ОБЛАСТЬ, РАЙОН ТЕНЬКИНСКИЙ, ПОСЕЛОК ОМЧАК, УЛИЦА ШКОЛЬНАЯ, ДОМ 8-А</t>
  </si>
  <si>
    <t>Полторацкий Андрей Владимирович</t>
  </si>
  <si>
    <t>+7 (914) 865-77-53'</t>
  </si>
  <si>
    <t>ОБЩЕСТВО С ОГРАНИЧЕННОЙ ОТВЕТСТВЕННОСТЬЮ "Сервис-Норд"</t>
  </si>
  <si>
    <t>"Сервис-Норд"</t>
  </si>
  <si>
    <t>4909101878</t>
  </si>
  <si>
    <t>686070, МАГАДАНСКАЯ ОБЛАСТЬ, Р-Н ТЕНЬКИНСКИЙ, П ОМЧАК, УЛ. ШКОЛЬНАЯ, Д. 8А</t>
  </si>
  <si>
    <t>Семиволков Владимир Ильич</t>
  </si>
  <si>
    <t>+7 (914) 854-65-00', '+7 (914) 865-77-53'</t>
  </si>
  <si>
    <t>61.676158905,50.80178833</t>
  </si>
  <si>
    <t>ПРОИЗВОДСТВЕННЫЙ КООПЕРАТИВ "ЗАВОД ЖЕЛЕЗОБЕТОННЫХ ИЗДЕЛИЙ-С"</t>
  </si>
  <si>
    <t>1101411009</t>
  </si>
  <si>
    <t>Г СЫКТЫВКАР,УЛ ИНДУСТРИАЛЬНАЯ, Д 5</t>
  </si>
  <si>
    <t>Полетаева Нина Анатольевна</t>
  </si>
  <si>
    <t>61.72141661482,50.749604809448</t>
  </si>
  <si>
    <t>ОБЩЕСТВО С ОГРАНИЧЕННОЙ ОТВЕТСТВЕННОСТЬЮ "КВСМ"</t>
  </si>
  <si>
    <t>"КВСМ"</t>
  </si>
  <si>
    <t>1101034336</t>
  </si>
  <si>
    <t>Г СЫКТЫВКАР,УЛ МЕЛИОРАТОРОВ, Д 1</t>
  </si>
  <si>
    <t>Шмаров Александр Владимирович</t>
  </si>
  <si>
    <t>+7 (912) 180-73-86'</t>
  </si>
  <si>
    <t>buh@yandex.ru'</t>
  </si>
  <si>
    <t>61.816139221,34.317497253</t>
  </si>
  <si>
    <t>1001130011</t>
  </si>
  <si>
    <t>Г ПЕТРОЗАВОДСК,УЛ ЗАЙЦЕВА,70В</t>
  </si>
  <si>
    <t>Филатова Светлана Юрьевна</t>
  </si>
  <si>
    <t>ОБЩЕСТВО С ОГРАНИЧЕННОЙ ОТВЕТСТВЕННОСТЬЮ "ПРОФЛАЙН"</t>
  </si>
  <si>
    <t>"ПРОФЛАЙН"</t>
  </si>
  <si>
    <t>6677011470</t>
  </si>
  <si>
    <t>623782, СВЕРДЛОВСКАЯ ОБЛ, Р-Н АРТЕМОВСКИЙ, Г АРТЕМОВСКИЙ, УЛ ПУШКИНА, Д 105</t>
  </si>
  <si>
    <t>Биганяков Артур Маратович</t>
  </si>
  <si>
    <t>+7 (912) 241-47-09'</t>
  </si>
  <si>
    <t>ОБЩЕСТВО С ОГРАНИЧЕННОЙ ОТВЕТСТВЕННОСТЬЮ "ДУПЛИТ"</t>
  </si>
  <si>
    <t>"ДУПЛИТ"</t>
  </si>
  <si>
    <t>6612043393</t>
  </si>
  <si>
    <t>623418, СВЕРДЛОВСКАЯ ОБЛ, Г КАМЕНСК-УРАЛЬСКИЙ, ПР-КТ ПОБЕДЫ, Д 62,..</t>
  </si>
  <si>
    <t>Матьякубов Алексей Александрович</t>
  </si>
  <si>
    <t>+7 (953) 607-89-44', '+7 (909) 021-21-85', '+7 (902) 448-94-16'</t>
  </si>
  <si>
    <t>duplit@mail.ru'</t>
  </si>
  <si>
    <t>ОБЩЕСТВО С ОГРАНИЧЕННОЙ ОТВЕТСТВЕННОСТЬЮ "АРТБЕТОН"</t>
  </si>
  <si>
    <t>"АРТБЕТОН"</t>
  </si>
  <si>
    <t>6677013140</t>
  </si>
  <si>
    <t>623780, СВЕРДЛОВСКАЯ ОБЛ, Р-Н АРТЕМОВСКИЙ, Г АРТЕМОВСКИЙ, УЛ ЛЕНИНА, Д 19</t>
  </si>
  <si>
    <t>Семиохин Михаил Николаевич</t>
  </si>
  <si>
    <t>ОБЩЕСТВО С ОГРАНИЧЕННОЙ ОТВЕТСТВЕННОСТЬЮ "Авалон"</t>
  </si>
  <si>
    <t>"Авалон"</t>
  </si>
  <si>
    <t>6602013368</t>
  </si>
  <si>
    <t>623784, СВЕРДЛОВСКАЯ ОБЛАСТЬ, РАЙОН АРТЕМОВСКИЙ, ГОРОД АРТЕМОВСКИЙ, УЛИЦА ДЗЕРЖИНСКОГО, 1, 3</t>
  </si>
  <si>
    <t>Дынул Владимир Евгеньевич</t>
  </si>
  <si>
    <t>+7 (963) 851-09-03'</t>
  </si>
  <si>
    <t>ОБЩЕСТВО С ОГРАНИЧЕННОЙ ОТВЕТСТВЕННОСТЬЮ "СТРОЙПАРТНЕР-КУ"</t>
  </si>
  <si>
    <t>"СТРОЙПАРТНЕР-КУ"</t>
  </si>
  <si>
    <t>6612048987</t>
  </si>
  <si>
    <t>623417, СВЕРДЛОВСКАЯ ОБЛ, КАМЕНСК-УРАЛЬСКИЙ Г, ОКТЯБРЬСКАЯ УЛ, Д 128,..</t>
  </si>
  <si>
    <t>Зенько Максим Павлович</t>
  </si>
  <si>
    <t>vipmak@yandex.ru'</t>
  </si>
  <si>
    <t>ОБЩЕСТВО С ОГРАНИЧЕННОЙ ОТВЕТСТВЕННОСТЬЮ "УРАЛГЕОМЕТРИК"</t>
  </si>
  <si>
    <t>"УРАЛГЕОМЕТРИК"</t>
  </si>
  <si>
    <t>6612055014</t>
  </si>
  <si>
    <t>623408, СВЕРДЛОВСКАЯ ОБЛ, Г КАМЕНСК-УРАЛЬСКИЙ, УЛИЦА ЧЕЛЯБИНСКАЯ, ДОМ 12,..</t>
  </si>
  <si>
    <t>Бахтиева Раиса Гарифовна</t>
  </si>
  <si>
    <t>6612047430</t>
  </si>
  <si>
    <t>623400, СВЕРДЛОВСКАЯ ОБЛ, Г КАМЕНСК-УРАЛЬСКИЙ, УЛ РЯБОВА, Д 14</t>
  </si>
  <si>
    <t>Киршанов Константин Владимирович</t>
  </si>
  <si>
    <t>+7 (912) 610-42-85'</t>
  </si>
  <si>
    <t>mikhaleva@open.ru'</t>
  </si>
  <si>
    <t>61.982521057,129.686676025</t>
  </si>
  <si>
    <t>1435019440</t>
  </si>
  <si>
    <t>Г ЯКУТСК,ПОКРОВСКИЙ ТРАКТ 6 КМ</t>
  </si>
  <si>
    <t>Дереповский Александр Сергеевич</t>
  </si>
  <si>
    <t>+7 (914) 235-03-43'</t>
  </si>
  <si>
    <t>dsk_peo@mail.ru', 'dsk431860@mail.ru'</t>
  </si>
  <si>
    <t>62.03484726,129.729415894</t>
  </si>
  <si>
    <t>1435186948</t>
  </si>
  <si>
    <t>Г ЯКУТСК,УЛ КУРАШОВА, Д 43,..</t>
  </si>
  <si>
    <t>62.054489136,129.740783691</t>
  </si>
  <si>
    <t>ОТКРЫТОЕ АКЦИОНЕРНОЕ ОБЩЕСТВО "ЯКУТСКИЙ КОМБИНАТ СТРОИТЕЛЬНЫХ МАТЕРИАЛОВ И КОНСТРУКЦИЙ"</t>
  </si>
  <si>
    <t>ОТКРЫТОЕ "ЯКУТСКИЙ КОМБИНАТ СТРОИТЕЛЬНЫХ МАТЕРИАЛОВ И КОНСТРУКЦИЙ"</t>
  </si>
  <si>
    <t>1435015580</t>
  </si>
  <si>
    <t>Г ЯКУТСК,Г ЯКУТСК,УЛ ДЗЕРЖИНСКОГО, Д 56</t>
  </si>
  <si>
    <t>Сластина Лидия Яковлевна</t>
  </si>
  <si>
    <t>+7 (411) 247-43-54'</t>
  </si>
  <si>
    <t>JKSMK@mail.ru'</t>
  </si>
  <si>
    <t>62.061435699,129.728775024</t>
  </si>
  <si>
    <t>ОБЩЕСТВО С ОГРАНИЧЕННОЙ ОТВЕТСТВЕННОСТЬЮ "ДАЙКИРИ"</t>
  </si>
  <si>
    <t>"ДАЙКИРИ"</t>
  </si>
  <si>
    <t>1435092231</t>
  </si>
  <si>
    <t>Г ЯКУТСК,УЛ ПЕКАРСКОГО, 106</t>
  </si>
  <si>
    <t>Чгрикян Эдгар Саркисович</t>
  </si>
  <si>
    <t>+7 (924) 761-27-17', '+7 (914) 286-32-23'</t>
  </si>
  <si>
    <t>62.074447632,129.739700317</t>
  </si>
  <si>
    <t>ОБЩЕСТВО С ОГРАНИЧЕННОЙ ОТВЕТСТВЕННОСТЬЮ ПРОИЗВОДСТВЕННО-СТРОИТЕЛЬНАЯ КОМПАНИЯ "БЕТОНСНАБ"</t>
  </si>
  <si>
    <t>ПРОИЗВОДСТВЕННО-СТРОИТЕЛЬНАЯ КОМПАНИЯ "БЕТОНСНАБ"</t>
  </si>
  <si>
    <t>1431012958</t>
  </si>
  <si>
    <t>Г ЯКУТСК,УЛ АВТОСТРАДА 50 ЛЕТ ОКТЯБРЯ, Д 1</t>
  </si>
  <si>
    <t>Абрамов Дмитрий Сергеевич</t>
  </si>
  <si>
    <t>+7 (924) 865-25-25'</t>
  </si>
  <si>
    <t>62.085960388,49.582176208</t>
  </si>
  <si>
    <t>ОБЩЕСТВО С ОГРАНИЧЕННОЙ ОТВЕТСТВЕННОСТЬЮ "БСЦ"</t>
  </si>
  <si>
    <t>"БСЦ"</t>
  </si>
  <si>
    <t>1116006719</t>
  </si>
  <si>
    <t>РЕСПУБЛИКА КОМИ,УСТЬ-ВЫМСКИЙ Р-Н,РП ЖЕШАРТ,УЛ МОЛОДЕЖНАЯ, Д 2</t>
  </si>
  <si>
    <t>Ячменева Зинаида Федоровна</t>
  </si>
  <si>
    <t>62.934635162,40.143943787</t>
  </si>
  <si>
    <t>ОБЩЕСТВО С ОГРАНИЧЕННОЙ ОТВЕТСТВЕННОСТЬЮ "САВИНСКИЙ ЗАВОД ЖБИ"</t>
  </si>
  <si>
    <t>"САВИНСКИЙ ЗАВОД ЖБИ"</t>
  </si>
  <si>
    <t>2920009470</t>
  </si>
  <si>
    <t>АРХАНГЕЛЬСКАЯ ОБЛ.,ПЛЕСЕЦКИЙ Р-Н,РП САВИНСКИЙ</t>
  </si>
  <si>
    <t>Зейкан Сергей Михайлович</t>
  </si>
  <si>
    <t>+7 (921) 070-55-99'</t>
  </si>
  <si>
    <t>ОБЩЕСТВО С ОГРАНИЧЕННОЙ ОТВЕТСТВЕННОСТЬЮ "ГАММА"</t>
  </si>
  <si>
    <t>"ГАММА"</t>
  </si>
  <si>
    <t>4506006942</t>
  </si>
  <si>
    <t>45-Курганская область</t>
  </si>
  <si>
    <t>641730, КУРГАНСКАЯ ОБЛ, ДАЛМАТОВСКИЙ Р-Н, Г ДАЛМАТОВО, УЛ М ГОРЬКОГО, Д 106, ОФ 3</t>
  </si>
  <si>
    <t>Широков Сергей Геннадьевич</t>
  </si>
  <si>
    <t>+7 (919) 571-53-33'</t>
  </si>
  <si>
    <t>Dalmatovo@inbox.ru'</t>
  </si>
  <si>
    <t>ОБЩЕСТВО С ОГРАНИЧЕННОЙ ОТВЕТСТВЕННОСТЬЮ "Эдельвейс"</t>
  </si>
  <si>
    <t>"Эдельвейс"</t>
  </si>
  <si>
    <t>6676001800</t>
  </si>
  <si>
    <t>623851, СВЕРДЛОВСКАЯ ОБЛ, Г ИРБИТ, УЛ СОВЕТСКАЯ, Д 100, ОФ 419</t>
  </si>
  <si>
    <t>Филиппов Владимир Юрьевич</t>
  </si>
  <si>
    <t>+7 (950) 553-40-46'</t>
  </si>
  <si>
    <t>lola@yandex.ru'</t>
  </si>
  <si>
    <t>ОБЩЕСТВО С ОГРАНИЧЕННОЙ ОТВЕТСТВЕННОСТЬЮ "ШАДРИНСКИЙ ЗАВОД ЖБИ №3"</t>
  </si>
  <si>
    <t>"ШАДРИНСКИЙ ЗАВОД ЖБИ №3"</t>
  </si>
  <si>
    <t>4502028230</t>
  </si>
  <si>
    <t>641853, КУРГАНСКАЯ ОБЛ, ШАДРИНСКИЙ Р-Н, С КАНАШИ, УЛ СОВЕТСКАЯ, Д 1А</t>
  </si>
  <si>
    <t>Пестерев Александр Владимирович</t>
  </si>
  <si>
    <t>+7 (922) 563-38-47'</t>
  </si>
  <si>
    <t>zavodgbi@gmail.com'</t>
  </si>
  <si>
    <t>ОБЩЕСТВО С ОГРАНИЧЕННОЙ ОТВЕТСТВЕННОСТЬЮ "СТРОЙСЕРВИСКОМ"</t>
  </si>
  <si>
    <t>"СТРОЙСЕРВИСКОМ"</t>
  </si>
  <si>
    <t>8622026873</t>
  </si>
  <si>
    <t>628240, ХАНТЫ-МАНСИЙСКИЙ АВТОНОМНЫЙ ОКРУГ - ЮГРА А.ОКР., Советский Р-Н, Г. Советский, УЛ. СОЛОВЬИНАЯ, Д. 16</t>
  </si>
  <si>
    <t>Петров Илья Геннадиевич</t>
  </si>
  <si>
    <t>+7 (346) 753-49-11'</t>
  </si>
  <si>
    <t>8622027436</t>
  </si>
  <si>
    <t>628240, Ханты-Мансийский автономный округ - Югра, СОВЕТСКИЙ, 1 СОВЕТСКИЙ, Г СОВЕТСКИЙ, УЛ СОЛОВЬИНАЯ, Д. 5</t>
  </si>
  <si>
    <t>Крылов Евгений Валерьевич</t>
  </si>
  <si>
    <t>STANISLAVLARIN@YANDEX.RU'</t>
  </si>
  <si>
    <t>ОБЩЕСТВО С ОГРАНИЧЕННОЙ ОТВЕТСТВЕННОСТЬЮ "СОВЕТСКИЙ ЗАВОД ЖБК"</t>
  </si>
  <si>
    <t>"СОВЕТСКИЙ ЗАВОД ЖБК"</t>
  </si>
  <si>
    <t>8622023801</t>
  </si>
  <si>
    <t>628240, ХАНТЫ-МАНСИЙСКИЙ АВТОНОМНЫЙ ОКРУГ - ЮГРА А.ОКР., Р-Н Советский, Г. Советский, ПР-Д N 5 (ЮЖНАЯ ПРОМЫШЛЕННАЯ ЗОНА), СТР. 3</t>
  </si>
  <si>
    <t>Полевой Даниил Борисович</t>
  </si>
  <si>
    <t>+7 (902) 825-12-07', '+7 (346) 753-31-03'</t>
  </si>
  <si>
    <t>89505370604@mail.ru'</t>
  </si>
  <si>
    <t>ЗАКРЫТОЕ АКЦИОНЕРНОЕ ОБЩЕСТВО "ШАДРИНСКИЙ ЗАВОД ЖЕЛЕЗОБЕТОННЫХ ИЗДЕЛИЙ И МЕТАЛЛОКОНСТРУКЦИЙ"</t>
  </si>
  <si>
    <t>ЗАКРЫТОЕ "ШАДРИНСКИЙ ЗАВОД ЖЕЛЕЗОБЕТОННЫХ ИЗДЕЛИЙ И МЕТАЛЛОКОНСТРУКЦИЙ"</t>
  </si>
  <si>
    <t>4502018714</t>
  </si>
  <si>
    <t>http://zavod.gis.ru</t>
  </si>
  <si>
    <t>641870, КУРГАНСКАЯ ОБЛ, Г ШАДРИНСК, УЛ ДЕМЬЯНА БЕДНОГО, Д 5</t>
  </si>
  <si>
    <t>Хорошавцев Игорь Александрович</t>
  </si>
  <si>
    <t>+7 (965) 504-19-77'</t>
  </si>
  <si>
    <t>64.061845,67.501856</t>
  </si>
  <si>
    <t>ОБЩЕСТВО С ОГРАНИЧЕННОЙ ОТВЕТСТВЕННОСТЬЮ "ЖБИ Воркута"</t>
  </si>
  <si>
    <t>"ЖБИ Воркута"</t>
  </si>
  <si>
    <t>1103007916</t>
  </si>
  <si>
    <t>169900, КОМИ РЕСПУБЛИКА, Г. ВОРКУТА, ПЛ. ЦЕНТРАЛЬНАЯ, Д.1</t>
  </si>
  <si>
    <t>Громов Вячеслав Александрович</t>
  </si>
  <si>
    <t>nikitina@bk.ru'</t>
  </si>
  <si>
    <t>ОБЩЕСТВО С ОГРАНИЧЕННОЙ ОТВЕТСТВЕННОСТЬЮ "Воркута ЖБИ"</t>
  </si>
  <si>
    <t>"Воркута ЖБИ"</t>
  </si>
  <si>
    <t>1103044548</t>
  </si>
  <si>
    <t>169900, Республика Коми, г Воркута, площадь Центральная, д 1</t>
  </si>
  <si>
    <t>Имамеева Яна Андреевна</t>
  </si>
  <si>
    <t>+7 (912) 111-04-09'</t>
  </si>
  <si>
    <t>64.427604675,40.810173035</t>
  </si>
  <si>
    <t>ОТКРЫТОЕ АКЦИОНЕРНОЕ ОБЩЕСТВО "Новодвинский завод железобетонных изделий № 2"</t>
  </si>
  <si>
    <t>ОТКРЫТОЕ "Новодвинский завод железобетонных изделий № 2"</t>
  </si>
  <si>
    <t>2903006342</t>
  </si>
  <si>
    <t>АРХАНГЕЛЬСКАЯ ОБЛ.,Г НОВОДВИНСК,УЛ ДЕКАБРИСТОВ, Д 16</t>
  </si>
  <si>
    <t>Тищенков Алексей Владимирович</t>
  </si>
  <si>
    <t>+7 (921) 481-98-43', '+7 (921) 296-73-65'</t>
  </si>
  <si>
    <t>ZAVOD2@MAIL.RU'</t>
  </si>
  <si>
    <t>64.522331238,40.677494049</t>
  </si>
  <si>
    <t>ОБЩЕСТВО С ОГРАНИЧЕННОЙ ОТВЕТСТВЕННОСТЬЮ "АРХАНГЕЛЬСКИЙ КОМБИНАТ СТРОИТЕЛЬНЫХ КОНСТРУКЦИЙ"</t>
  </si>
  <si>
    <t>"АРХАНГЕЛЬСКИЙ КОМБИНАТ СТРОИТЕЛЬНЫХ КОНСТРУКЦИЙ"</t>
  </si>
  <si>
    <t>2901161374</t>
  </si>
  <si>
    <t>Г АРХАНГЕЛЬСК,УЛ ДАЧНАЯ, Д 59, КОРП 1</t>
  </si>
  <si>
    <t>Виноградов Андрей Вячеславович</t>
  </si>
  <si>
    <t>64.538215637,40.566162109</t>
  </si>
  <si>
    <t>ОБЩЕСТВО С ОГРАНИЧЕННОЙ ОТВЕТСТВЕННОСТЬЮ "ПОМОРИННОТЕХ"</t>
  </si>
  <si>
    <t>"ПОМОРИННОТЕХ"</t>
  </si>
  <si>
    <t>2901158999</t>
  </si>
  <si>
    <t>Г АРХАНГЕЛЬСК,УЛ УРИЦКОГО, Д 47, КОРП 1, ОФИС 25</t>
  </si>
  <si>
    <t>Палицын Андрей Владимирович</t>
  </si>
  <si>
    <t>+7 (911) 596-15-55', '+7 (921) 493-99-32'</t>
  </si>
  <si>
    <t>64.560020447,39.783149719</t>
  </si>
  <si>
    <t>ОБЩЕСТВО С ОГРАНИЧЕННОЙ ОТВЕТСТВЕННОСТЬЮ "АРКОС-М"</t>
  </si>
  <si>
    <t>"АРКОС-М"</t>
  </si>
  <si>
    <t>2902038077</t>
  </si>
  <si>
    <t>АРХАНГЕЛЬСКАЯ ОБЛ.,Г СЕВЕРОДВИНСК,ШОССЕ АРХАНГЕЛЬСКОЕ, Д 77</t>
  </si>
  <si>
    <t>Тархов Виктор Валентинович</t>
  </si>
  <si>
    <t>ARKOSM@MAIL.RU'</t>
  </si>
  <si>
    <t>64.578987122,39.864078522</t>
  </si>
  <si>
    <t>АКЦИОНЕРНОЕ ОБЩЕСТВО "СЕВЕРОДВИНСКИЙ ЗАВОД СТРОИТЕЛЬНЫХ МАТЕРИАЛОВ"</t>
  </si>
  <si>
    <t>"СЕВЕРОДВИНСКИЙ ЗАВОД СТРОИТЕЛЬНЫХ МАТЕРИАЛОВ"</t>
  </si>
  <si>
    <t>2902060876</t>
  </si>
  <si>
    <t>АРХАНГЕЛЬСКАЯ ОБЛ.,Г СЕВЕРОДВИНСК,АРХАНГЕЛЬСКОЕ ШОССЕ, Д 31</t>
  </si>
  <si>
    <t>Бедрин Александр Николаевич</t>
  </si>
  <si>
    <t>szsm2013@yandex.ru', 'szsm2018@yandex.ru'</t>
  </si>
  <si>
    <t>64.58430481,40.597667694</t>
  </si>
  <si>
    <t>АКЦИОНЕРНОЕ ОБЩЕСТВО "КУЗНЕЧЕВСКИЙ КОМБИНАТ СТРОИТЕЛЬНЫХ КОНСТРУКЦИЙ И МАТЕРИАЛОВ"</t>
  </si>
  <si>
    <t>"КУЗНЕЧЕВСКИЙ КОМБИНАТ СТРОИТЕЛЬНЫХ КОНСТРУКЦИЙ И МАТЕРИАЛОВ"</t>
  </si>
  <si>
    <t>2901023416</t>
  </si>
  <si>
    <t>Г АРХАНГЕЛЬСК,ТАЛАЖСКОЕ ШОССЕ, Д 23</t>
  </si>
  <si>
    <t>Кузнецов Михаил Аркадьевич</t>
  </si>
  <si>
    <t>kckm@kckm.info', '2901023416@nalog.expertc'</t>
  </si>
  <si>
    <t>64.590446472,39.874271393</t>
  </si>
  <si>
    <t>ОБЩЕСТВО С ОГРАНИЧЕННОЙ ОТВЕТСТВЕННОСТЬЮ "ДОСТУПНЫЕ ТЕХНОЛОГИИ"</t>
  </si>
  <si>
    <t>"ДОСТУПНЫЕ ТЕХНОЛОГИИ"</t>
  </si>
  <si>
    <t>2901240185</t>
  </si>
  <si>
    <t>http://in4me.ru</t>
  </si>
  <si>
    <t>АРХАНГЕЛЬСКАЯ ОБЛ.,Г СЕВЕРОДВИНСК,УЛ ДВИНСКАЯ, Д 1</t>
  </si>
  <si>
    <t>Тихонов Сергей Владимирович</t>
  </si>
  <si>
    <t>ОБЩЕСТВО С ОГРАНИЧЕННОЙ ОТВЕТСТВЕННОСТЬЮ "ЗАВОД ЖБИ-5"</t>
  </si>
  <si>
    <t>"ЗАВОД ЖБИ-5"</t>
  </si>
  <si>
    <t>7224084024</t>
  </si>
  <si>
    <t>625525, Тюменская область, муниципальный район ТЮМЕНСКИЙ, Село КАМЕНКА, сельское поселение КАМЕНСКОЕ, УЛ ИРБИТСКАЯ, Д. 46,</t>
  </si>
  <si>
    <t>Кузь Виталий Сергеевич</t>
  </si>
  <si>
    <t>ARKHIMEDOOO@YANDEX.RU'</t>
  </si>
  <si>
    <t>6634001911</t>
  </si>
  <si>
    <t>СВЕРДЛОВСКАЯ ОБЛ.,Г ТАВДА,УЛ КАРДОНСКАЯ, Д 24А</t>
  </si>
  <si>
    <t>Заргаров Ширин Али Оглы</t>
  </si>
  <si>
    <t>+7 (922) 136-64-30'</t>
  </si>
  <si>
    <t>ОБЩЕСТВО С ОГРАНИЧЕННОЙ ОТВЕТСТВЕННОСТЬЮ "Промышленно-гражданская строительная компания"</t>
  </si>
  <si>
    <t>"Промышленно-гражданская строительная компания"</t>
  </si>
  <si>
    <t>7203274521</t>
  </si>
  <si>
    <t>625535, ТЮМЕНСКАЯ ОБЛ, ТЮМЕНСКИЙ Р-Н, ГОРЬКОВКА С, МОЛОДЕЖНАЯ УЛ, 6</t>
  </si>
  <si>
    <t>Сергеев Игорь Вячеславович</t>
  </si>
  <si>
    <t>+7 (919) 928-81-52'</t>
  </si>
  <si>
    <t>ОБЩЕСТВО С ОГРАНИЧЕННОЙ ОТВЕТСТВЕННОСТЬЮ "ПОЛИФАСАД-РЕГИОН"</t>
  </si>
  <si>
    <t>"ПОЛИФАСАД-РЕГИОН"</t>
  </si>
  <si>
    <t>4501206144</t>
  </si>
  <si>
    <t>640032, КУРГАНСКАЯ ОБЛ, Г КУРГАН, УЛ ФЕСТИВАЛЬНАЯ, Д 5</t>
  </si>
  <si>
    <t>Калинин Олег Николаевич</t>
  </si>
  <si>
    <t>+7 (909) 173-26-02', '+7 (909) 175-43-51', '+7 (912) 835-40-09'</t>
  </si>
  <si>
    <t>region@mail.ru'</t>
  </si>
  <si>
    <t>ОБЩЕСТВО С ОГРАНИЧЕННОЙ ОТВЕТСТВЕННОСТЬЮ ПРОИЗВОДСТВЕННАЯ КОМПАНИЯ "МЕТАЛЛ-45"</t>
  </si>
  <si>
    <t>ПРОИЗВОДСТВЕННАЯ КОМПАНИЯ "МЕТАЛЛ-45"</t>
  </si>
  <si>
    <t>4501205415</t>
  </si>
  <si>
    <t>640007, КУРГАНСКАЯ ОБЛ, Г КУРГАН, УЛ ГУБАНОВА, Д 20,..</t>
  </si>
  <si>
    <t>Павлов Антон Александрович</t>
  </si>
  <si>
    <t>mew1975@yandex.ru'</t>
  </si>
  <si>
    <t>ОБЩЕСТВО С ОГРАНИЧЕННОЙ ОТВЕТСТВЕННОСТЬЮ "СТРОИТЕЛЬНАЯ КОМПАНИЯ "АТРИБУТ-СТРОЙ"</t>
  </si>
  <si>
    <t>"СТРОИТЕЛЬНАЯ КОМПАНИЯ "АТРИБУТ-СТРОЙ"</t>
  </si>
  <si>
    <t>4500000447</t>
  </si>
  <si>
    <t>640014, Курганская область, ГОРОД КУРГАН, Г КУРГАН, УЛ 9 МАЯ, Д. 147</t>
  </si>
  <si>
    <t>Ведмедь Алексей Григорьевич</t>
  </si>
  <si>
    <t>ASK@KURGAN.RU'</t>
  </si>
  <si>
    <t>ОБЩЕСТВО С ОГРАНИЧЕННОЙ ОТВЕТСТВЕННОСТЬЮ "КОМБИНАТ  КАРКАСНО-СТРОИТЕЛЬНЫХ ТЕХНОЛОГИЙ"</t>
  </si>
  <si>
    <t>"КОМБИНАТ  КАРКАСНО-СТРОИТЕЛЬНЫХ ТЕХНОЛОГИЙ"</t>
  </si>
  <si>
    <t>4501216368</t>
  </si>
  <si>
    <t>640007, КУРГАНСКАЯ ОБЛ, Г КУРГАН, ПР-КТ МАШИНОСТРОИТЕЛЕЙ, Д 34, СТР 2, ОФ 1</t>
  </si>
  <si>
    <t>Иванушкин Алексей Александрович</t>
  </si>
  <si>
    <t>ОБЩЕСТВО С ОГРАНИЧЕННОЙ ОТВЕТСТВЕННОСТЬЮ ПРОИЗВОДСТВЕННАЯ КОМПАНИЯ "АСОВ"</t>
  </si>
  <si>
    <t>ПРОИЗВОДСТВЕННАЯ КОМПАНИЯ "АСОВ"</t>
  </si>
  <si>
    <t>4501194918</t>
  </si>
  <si>
    <t>640014, КУРГАНСКАЯ ОБЛ, Г КУРГАН, УЛ С ЮЛАЕВА, Д 111</t>
  </si>
  <si>
    <t>Струнина Ольга Васильевна</t>
  </si>
  <si>
    <t>partnerplus45@mail.ru'</t>
  </si>
  <si>
    <t>ОБЩЕСТВО С ОГРАНИЧЕННОЙ ОТВЕТСТВЕННОСТЬЮ "КУРГАНСКИЙ ЗАВОД ЖЕЛЕЗОБЕТОННЫХ ИЗДЕЛИЙ №8"</t>
  </si>
  <si>
    <t>"КУРГАНСКИЙ ЗАВОД ЖЕЛЕЗОБЕТОННЫХ ИЗДЕЛИЙ №8"</t>
  </si>
  <si>
    <t>4501222435</t>
  </si>
  <si>
    <t>640002, КУРГАНСКАЯ ОБЛ, Г КУРГАН, УЛ УРИЦКОГО, Д 36, ОФ 305</t>
  </si>
  <si>
    <t>Галактионов Андрей Геннадьевич</t>
  </si>
  <si>
    <t>+7 (352) 592-23-84'</t>
  </si>
  <si>
    <t>zhbi8kurgan@yandex.ru'</t>
  </si>
  <si>
    <t>4501192621</t>
  </si>
  <si>
    <t>640000, КУРГАНСКАЯ ОБЛ, Г КУРГАН, УЛ ГОГОЛЯ, 60, 29</t>
  </si>
  <si>
    <t>Ворончихин Константин Сергеевич</t>
  </si>
  <si>
    <t>+7 (912) 972-27-69'</t>
  </si>
  <si>
    <t>ОБЩЕСТВО С ОГРАНИЧЕННОЙ ОТВЕТСТВЕННОСТЬЮ "ДорСтройЭлемент"</t>
  </si>
  <si>
    <t>"ДорСтройЭлемент"</t>
  </si>
  <si>
    <t>4501172135</t>
  </si>
  <si>
    <t>640014, КУРГАНСКАЯ ОБЛ, Г КУРГАН, УЛ ПРОМЫШЛЕННАЯ, Д 11</t>
  </si>
  <si>
    <t>Новопашин Александр Николаевич</t>
  </si>
  <si>
    <t>+7 (912) 835-07-77'</t>
  </si>
  <si>
    <t>ОБЩЕСТВО С ОГРАНИЧЕННОЙ ОТВЕТСТВЕННОСТЬЮ ПРОИЗВОДСТВЕННО-СТРОИТЕЛЬНАЯ КОМПАНИЯ "ЛИДЕР"</t>
  </si>
  <si>
    <t>ПРОИЗВОДСТВЕННО-СТРОИТЕЛЬНАЯ КОМПАНИЯ "ЛИДЕР"</t>
  </si>
  <si>
    <t>7203511564</t>
  </si>
  <si>
    <t>625043, ТЮМЕНСКАЯ ОБЛАСТЬ, ГОРОД ТЮМЕНЬ, УЛИЦА ЦЕНТРАЛЬНАЯ (ЭНЕРГОСТРОИТЕЛЬ ТЕР. СНТ), УЧАСТОК 128</t>
  </si>
  <si>
    <t>Звягин Леонид Викторович</t>
  </si>
  <si>
    <t>+7 (982) 975-53-57'</t>
  </si>
  <si>
    <t>7224036278</t>
  </si>
  <si>
    <t>625507, ТЮМЕНСКАЯ ОБЛАСТЬ, Р-Н ТЮМЕНСКИЙ, С ЛУГОВОЕ, УЛ. РОМАШКОВАЯ, Д.3</t>
  </si>
  <si>
    <t>Нежельская Ольга Олеговна</t>
  </si>
  <si>
    <t>65.433393,62.14681</t>
  </si>
  <si>
    <t>8610014577</t>
  </si>
  <si>
    <t>ТЮМЕНСКАЯ ОБЛ.,ХАНТЫ-МАНСИЙСКИЙ АВТ. ОКРУГ,Г НЯГАНЬ,УЛ ЗО ЛЕТ ПОБЕДЫ, Д 5..</t>
  </si>
  <si>
    <t>Давлетьярова Эльвира Флюровна</t>
  </si>
  <si>
    <t>+7 (908) 887-04-48'</t>
  </si>
  <si>
    <t>ОБЩЕСТВО С ОГРАНИЧЕННОЙ ОТВЕТСТВЕННОСТЬЮ ПРОИЗВОДСТВЕННАЯ КОМПАНИЯ "Теплый Дом"</t>
  </si>
  <si>
    <t>ПРОИЗВОДСТВЕННАЯ КОМПАНИЯ "Теплый Дом"</t>
  </si>
  <si>
    <t>7203289479</t>
  </si>
  <si>
    <t>625017, ТЮМЕНСКАЯ ОБЛАСТЬ, ГОРОД ТЮМЕНЬ, УЛИЦА АВТОРЕМОНТНАЯ, 49, 203</t>
  </si>
  <si>
    <t>Мясников Николай Владимирович</t>
  </si>
  <si>
    <t>+7 (912) 077-99-78'</t>
  </si>
  <si>
    <t>info@gktd72.ru', 'groop@mail.ru', 'zakaz@gktd72.ru'</t>
  </si>
  <si>
    <t>ОБЩЕСТВО С ОГРАНИЧЕННОЙ ОТВЕТСТВЕННОСТЬЮ "МИЛЛЕНИУМ"</t>
  </si>
  <si>
    <t>"МИЛЛЕНИУМ"</t>
  </si>
  <si>
    <t>7203364221</t>
  </si>
  <si>
    <t>625041, ТЮМЕНСКАЯ ОБЛАСТЬ, ГОРОД ТЮМЕНЬ, УЛИЦА КРАСНОДАРСКАЯ, ДОМ 28</t>
  </si>
  <si>
    <t>Лебзак Федор Николаевич</t>
  </si>
  <si>
    <t>+7 (908) 874-49-44'</t>
  </si>
  <si>
    <t>info@vicom72.ru', 'pravo@mail.ru'</t>
  </si>
  <si>
    <t>ОБЩЕСТВО С ОГРАНИЧЕННОЙ ОТВЕТСТВЕННОСТЬЮ "Тюменский завод стеновых материалов"</t>
  </si>
  <si>
    <t>"Тюменский завод стеновых материалов"</t>
  </si>
  <si>
    <t>7203274835</t>
  </si>
  <si>
    <t>625017, ТЮМЕНСКАЯ ОБЛАСТЬ, ГОРОД ТЮМЕНЬ, УЛИЦА АВТОРЕМОНТНАЯ, 12, -, -</t>
  </si>
  <si>
    <t>Мазанов Павел Владимирович</t>
  </si>
  <si>
    <t>ОБЩЕСТВО С ОГРАНИЧЕННОЙ ОТВЕТСТВЕННОСТЬЮ "ГРУППА КОМПАНИЙ ТВОЙ ДОМ"</t>
  </si>
  <si>
    <t>"ГРУППА КОМПАНИЙ ТВОЙ ДОМ"</t>
  </si>
  <si>
    <t>7203390687</t>
  </si>
  <si>
    <t>625017, ТЮМЕНСКАЯ ОБЛАСТЬ, ГОРОД ТЮМЕНЬ, УЛИЦА АВТОРЕМОНТНАЯ, ДОМ 12</t>
  </si>
  <si>
    <t>oootzsm@mail.ru'</t>
  </si>
  <si>
    <t>ОБЩЕСТВО С ОГРАНИЧЕННОЙ ОТВЕТСТВЕННОСТЬЮ "УНИВЕРСАЛ-С"</t>
  </si>
  <si>
    <t>"УНИВЕРСАЛ-С"</t>
  </si>
  <si>
    <t>7204089320</t>
  </si>
  <si>
    <t>Г ТЮМЕНЬ,УЛ БАБАРЫНКА, Д 1 КОРП 3 СТР 5</t>
  </si>
  <si>
    <t>Фетисов Вячеслав Викторович</t>
  </si>
  <si>
    <t>ОБЩЕСТВО С ОГРАНИЧЕННОЙ ОТВЕТСТВЕННОСТЬЮ "ПИФАГОР"</t>
  </si>
  <si>
    <t>"ПИФАГОР"</t>
  </si>
  <si>
    <t>7203529441</t>
  </si>
  <si>
    <t>625018, ТЮМЕНСКАЯ ОБЛ., Г. Тюмень, УЛ. КРЕМЛЕВСКАЯ, Д. 102,..</t>
  </si>
  <si>
    <t>Субботин Алексей Николаевич</t>
  </si>
  <si>
    <t>ОБЩЕСТВО С ОГРАНИЧЕННОЙ ОТВЕТСТВЕННОСТЬЮ "ПРОИЗВОДСТВЕННАЯ КОМПАНИЯ ФИБРОБЕТОН-УРАЛ"</t>
  </si>
  <si>
    <t>"ПРОИЗВОДСТВЕННАЯ КОМПАНИЯ ФИБРОБЕТОН-УРАЛ"</t>
  </si>
  <si>
    <t>7203307431</t>
  </si>
  <si>
    <t>625049, ТЮМЕНСКАЯ ОБЛАСТЬ, ГОРОД ТЮМЕНЬ, УЛИЦА МОСКОВСКИЙ ТРАКТ, ДОМ 100, ОФИС 207</t>
  </si>
  <si>
    <t>Малышкин Олег Николаевич</t>
  </si>
  <si>
    <t>oollgga@yandex.ru', 'ural@mail.ru'</t>
  </si>
  <si>
    <t>ОБЩЕСТВО С ОГРАНИЧЕННОЙ ОТВЕТСТВЕННОСТЬЮ "ЮРИГБЛОК72"</t>
  </si>
  <si>
    <t>"ЮРИГБЛОК72"</t>
  </si>
  <si>
    <t>7203496154</t>
  </si>
  <si>
    <t>625049, ТЮМЕНСКАЯ ОБЛАСТЬ, ГОРОД ТЮМЕНЬ, УЛИЦА МОСКОВСКИЙ ТРАКТ, ДОМ 17</t>
  </si>
  <si>
    <t>Семенов Юрий Александрович</t>
  </si>
  <si>
    <t>+7 (904) 494-81-99', '+7 (919) 924-32-60', '+7 (919) 927-94-72'</t>
  </si>
  <si>
    <t>ОБЩЕСТВО С ОГРАНИЧЕННОЙ ОТВЕТСТВЕННОСТЬЮ "ЖБИ-72"</t>
  </si>
  <si>
    <t>"ЖБИ-72"</t>
  </si>
  <si>
    <t>7203520791</t>
  </si>
  <si>
    <t>625001, ТЮМЕНСКАЯ ОБЛ., Г. Тюмень, УЛ. ВОЕННАЯ, Д. 21,..</t>
  </si>
  <si>
    <t>Рыльских Дмитрий Павлович</t>
  </si>
  <si>
    <t>BYXLENA2008@YANDEX.RU', '89199463999@mail.ru'</t>
  </si>
  <si>
    <t>ОБЩЕСТВО С ОГРАНИЧЕННОЙ ОТВЕТСТВЕННОСТЬЮ "АУРА СТРОЙ"</t>
  </si>
  <si>
    <t>"АУРА СТРОЙ"</t>
  </si>
  <si>
    <t>7203414472</t>
  </si>
  <si>
    <t>625032, ТЮМЕНСКАЯ ОБЛАСТЬ, ГОРОД ТЮМЕНЬ, УЛИЦА ПАНФИЛОВЦЕВ, ДОМ 86, СТРОЕНИЕ 1, ОФИС 8</t>
  </si>
  <si>
    <t>Кулик Алексей Дмитриевич</t>
  </si>
  <si>
    <t>+7 (922) 488-75-87'</t>
  </si>
  <si>
    <t>ОБЩЕСТВО С ОГРАНИЧЕННОЙ ОТВЕТСТВЕННОСТЬЮ "ПРОСТОРЫ СИБИРИ"</t>
  </si>
  <si>
    <t>"ПРОСТОРЫ СИБИРИ"</t>
  </si>
  <si>
    <t>7204207662</t>
  </si>
  <si>
    <t>625008, ТЮМЕНСКАЯ ОБЛАСТЬ, Г. ТЮМЕНЬ, УЛ. САМАРЦЕВА, Д. 29,..</t>
  </si>
  <si>
    <t>Токмаков Андрей Алексеевич</t>
  </si>
  <si>
    <t>+7 (912) 999-98-99', '+7 (912) 922-77-79'</t>
  </si>
  <si>
    <t>2010@mail.ru', 'blumaln@mail.ru', 'steklobuh72@mail.ru'</t>
  </si>
  <si>
    <t>ОБЩЕСТВО С ОГРАНИЧЕННОЙ ОТВЕТСТВЕННОСТЬЮ Строительная компания "ТюменьСтройРесурс"</t>
  </si>
  <si>
    <t>Строительная компания "ТюменьСтройРесурс"</t>
  </si>
  <si>
    <t>7224047625</t>
  </si>
  <si>
    <t>http://606050.ru</t>
  </si>
  <si>
    <t>625501, Тюменская область, Тюменский район, д Патрушева, ул Трактовая, д 42в</t>
  </si>
  <si>
    <t>Лимарь Иван Анатольевич</t>
  </si>
  <si>
    <t>ОБЩЕСТВО С ОГРАНИЧЕННОЙ ОТВЕТСТВЕННОСТЬЮ "СТРОИТЕЛЬНОЕ УПРАВЛЕНИЕ - 881"</t>
  </si>
  <si>
    <t>"СТРОИТЕЛЬНОЕ УПРАВЛЕНИЕ - 881"</t>
  </si>
  <si>
    <t>7202130005</t>
  </si>
  <si>
    <t>Г ТЮМЕНЬ,УЛ ПЕРВОМАЙСКАЯ, Д 6 К 609</t>
  </si>
  <si>
    <t>Ломакин Артём Александрович</t>
  </si>
  <si>
    <t>+7 (922) 043-14-13', '+7 (922) 485-44-65'</t>
  </si>
  <si>
    <t>ОБЩЕСТВО С ОГРАНИЧЕННОЙ ОТВЕТСТВЕННОСТЬЮ "Комплект-Центр ЖБИ"</t>
  </si>
  <si>
    <t>"Комплект-Центр ЖБИ"</t>
  </si>
  <si>
    <t>7204150127</t>
  </si>
  <si>
    <t>http://990379.ru</t>
  </si>
  <si>
    <t>625062, ТЮМЕНСКАЯ ОБЛАСТЬ, ГОРОД ТЮМЕНЬ, УЛИЦА ФЕДЮНИНСКОГО, 7, 1, 59</t>
  </si>
  <si>
    <t>Игнатьев Антон Викторович</t>
  </si>
  <si>
    <t>ОБЩЕСТВО С ОГРАНИЧЕННОЙ ОТВЕТСТВЕННОСТЬЮ "Стройтехника"</t>
  </si>
  <si>
    <t>"Стройтехника"</t>
  </si>
  <si>
    <t>7204154890</t>
  </si>
  <si>
    <t>625007, ТЮМЕНСКАЯ ОБЛАСТЬ, ГОРОД ТЮМЕНЬ, УЛИЦА ДЕМЬЯНА БЕДНОГО, 102, -, 51</t>
  </si>
  <si>
    <t>Жуков Олег Анатольевич</t>
  </si>
  <si>
    <t>+7 (922) 265-00-49'</t>
  </si>
  <si>
    <t>ОБЩЕСТВО С ОГРАНИЧЕННОЙ ОТВЕТСТВЕННОСТЬЮ Торговый дом "ЖБИ-Комплект+"</t>
  </si>
  <si>
    <t>"ЖБИ-Комплект+"</t>
  </si>
  <si>
    <t>7203336030</t>
  </si>
  <si>
    <t>Г ТЮМЕНЬ,УЛ СЕВЕРНАЯ,Д 60</t>
  </si>
  <si>
    <t>Токарев Константин Николаевич</t>
  </si>
  <si>
    <t>+7 (922) 263-69-60'</t>
  </si>
  <si>
    <t>7203532451</t>
  </si>
  <si>
    <t>625048, Тюменская область, ГОРОД ТЮМЕНЬ, Г ТЮМЕНЬ, УЛ МАКСИМА ГОРЬКОГО, Д. 83</t>
  </si>
  <si>
    <t>Климов Игорь Васильевич</t>
  </si>
  <si>
    <t>OOOZSM22@BK.RU'</t>
  </si>
  <si>
    <t>ОБЩЕСТВО С ОГРАНИЧЕННОЙ ОТВЕТСТВЕННОСТЬЮ "СМУ ГенСтрой-Тюмень"</t>
  </si>
  <si>
    <t>"СМУ ГенСтрой-Тюмень"</t>
  </si>
  <si>
    <t>7202238785</t>
  </si>
  <si>
    <t>625000, ТЮМЕНСКАЯ ОБЛАСТЬ, Г. ТЮМЕНЬ, УЛ. РЕСПУБЛИКИ, Д. 53, ОФИС 203</t>
  </si>
  <si>
    <t>Киселев Олег Владимирович</t>
  </si>
  <si>
    <t>+7 (345) 258-66-51'</t>
  </si>
  <si>
    <t>ОБЩЕСТВО С ОГРАНИЧЕННОЙ ОТВЕТСТВЕННОСТЬЮ "ТЮМЕНЬ-КОНСТРУКТИВ"</t>
  </si>
  <si>
    <t>"ТЮМЕНЬ-КОНСТРУКТИВ"</t>
  </si>
  <si>
    <t>7203539087</t>
  </si>
  <si>
    <t>625000, Тюменская область, ГОРОД ТЮМЕНЬ, Г ТЮМЕНЬ, УЛ СОВЕТСКАЯ, Д. 55, ПОМЕЩ. 12</t>
  </si>
  <si>
    <t>Беличенко Виктор Алексеевич</t>
  </si>
  <si>
    <t>GKTIS72@GMAIL.COM'</t>
  </si>
  <si>
    <t>ОБЩЕСТВО С ОГРАНИЧЕННОЙ ОТВЕТСТВЕННОСТЬЮ "СИБСТРОЙТРЕЙД"</t>
  </si>
  <si>
    <t>"СИБСТРОЙТРЕЙД"</t>
  </si>
  <si>
    <t>7203478814</t>
  </si>
  <si>
    <t>625007, ТЮМЕНСКАЯ ОБЛАСТЬ, ГОРОД ТЮМЕНЬ, УЛИЦА ДЕПУТАТСКАЯ, ДОМ 129,..</t>
  </si>
  <si>
    <t>Маркарян Гарик Грайкович</t>
  </si>
  <si>
    <t>ОБЩЕСТВО С ОГРАНИЧЕННОЙ ОТВЕТСТВЕННОСТЬЮ "МИР ПОДОКОННИКОВ"</t>
  </si>
  <si>
    <t>"МИР ПОДОКОННИКОВ"</t>
  </si>
  <si>
    <t>7203376153</t>
  </si>
  <si>
    <t>625048, ТЮМЕНСКАЯ ОБЛАСТЬ, ГОРОД ТЮМЕНЬ, УЛИЦА МОРИСА ТОРЕЗА, ДОМ 2,..</t>
  </si>
  <si>
    <t>Медведев Андрей Владимирович</t>
  </si>
  <si>
    <t>+7 (908) 873-29-00'</t>
  </si>
  <si>
    <t>ОБЩЕСТВО С ОГРАНИЧЕННОЙ ОТВЕТСТВЕННОСТЬЮ "ТПК "ОМЕГА"</t>
  </si>
  <si>
    <t>"ТПК "ОМЕГА"</t>
  </si>
  <si>
    <t>7203343101</t>
  </si>
  <si>
    <t>625002, ТЮМЕНСКАЯ ОБЛАСТЬ, ГОРОД ТЮМЕНЬ, УЛИЦА КОМСОМОЛЬСКАЯ, ДОМ 60,..</t>
  </si>
  <si>
    <t>Хрусталев Владимир Николаевич</t>
  </si>
  <si>
    <t>+7 (922) 040-99-77'</t>
  </si>
  <si>
    <t>tpkomega1@yandex.ru', 'tpkomega@yandex.ru'</t>
  </si>
  <si>
    <t>ОБЩЕСТВО С ОГРАНИЧЕННОЙ ОТВЕТСТВЕННОСТЬЮ "ПОЛИМЕРСТРОЙРЕСУРС"</t>
  </si>
  <si>
    <t>"ПОЛИМЕРСТРОЙРЕСУРС"</t>
  </si>
  <si>
    <t>7204201830</t>
  </si>
  <si>
    <t>http://polimerresurs.ru</t>
  </si>
  <si>
    <t>Г ТЮМЕНЬ,УЛ ШАРОВСКОЙ,Д 5..</t>
  </si>
  <si>
    <t>Пушников Андрей Владимирович</t>
  </si>
  <si>
    <t>+7 (908) 866-64-74'</t>
  </si>
  <si>
    <t>ОБЩЕСТВО С ОГРАНИЧЕННОЙ ОТВЕТСТВЕННОСТЬЮ "ТКСМ"</t>
  </si>
  <si>
    <t>"ТКСМ"</t>
  </si>
  <si>
    <t>7203463590</t>
  </si>
  <si>
    <t>625026, ТЮМЕНСКАЯ ОБЛАСТЬ, ГОРОД ТЮМЕНЬ, УЛИЦА 50 ЛЕТ ВЛКСМ, ДОМ 51, ОФИС 302</t>
  </si>
  <si>
    <t>Шаталов Константин Валерьевич</t>
  </si>
  <si>
    <t>ОБЩЕСТВО С ОГРАНИЧЕННОЙ ОТВЕТСТВЕННОСТЬЮ "СнабБлокКомплект-Тюмень"</t>
  </si>
  <si>
    <t>"СнабБлокКомплект-Тюмень"</t>
  </si>
  <si>
    <t>7204188650</t>
  </si>
  <si>
    <t>625026, ТЮМЕНСКАЯ ОБЛАСТЬ, ГОРОД ТЮМЕНЬ, УЛИЦА ТАЙМЫРСКАЯ, ДОМ 72, КОМНАТА 911</t>
  </si>
  <si>
    <t>Фомин Владимир Алексеевич</t>
  </si>
  <si>
    <t>+7 (922) 264-89-22', '+7 (932) 323-61-62', '+7 (912) 382-35-39'</t>
  </si>
  <si>
    <t>INFO@SBKT72.RU', 'tumkontora72@gmail.com', 'sbkk@list.ru'</t>
  </si>
  <si>
    <t>ОБЩЕСТВО С ОГРАНИЧЕННОЙ ОТВЕТСТВЕННОСТЬЮ "ПСК АРСЕНАЛ"</t>
  </si>
  <si>
    <t>"ПСК АРСЕНАЛ"</t>
  </si>
  <si>
    <t>7203440151</t>
  </si>
  <si>
    <t>625007, ТЮМЕНСКАЯ ОБЛ., УЛ. 30 ЛЕТ ПОБЕДЫ, Д. 38, ОФИС 612</t>
  </si>
  <si>
    <t>Торопов Глеб Леонидович</t>
  </si>
  <si>
    <t>+7 (982) 920-70-70'</t>
  </si>
  <si>
    <t>group@mail.ru'</t>
  </si>
  <si>
    <t>ОБЩЕСТВО С ОГРАНИЧЕННОЙ ОТВЕТСТВЕННОСТЬЮ "ТПК ТРЕЙД"</t>
  </si>
  <si>
    <t>"ТПК ТРЕЙД"</t>
  </si>
  <si>
    <t>7203509893</t>
  </si>
  <si>
    <t>625033, ТЮМЕНСКАЯ ОБЛАСТЬ, ГОРОД ТЮМЕНЬ, УЛИЦА ФЕДЮНИНСКОГО, ДОМ 62,..</t>
  </si>
  <si>
    <t>Фишер Роман Викторович</t>
  </si>
  <si>
    <t>+7 (922) 262-62-62'</t>
  </si>
  <si>
    <t>treid_plus72@mail.ru'</t>
  </si>
  <si>
    <t>ОБЩЕСТВО С ОГРАНИЧЕННОЙ ОТВЕТСТВЕННОСТЬЮ "КОМПЛЕКТСТРОЙСНАБЖЕНИЕ"</t>
  </si>
  <si>
    <t>"КОМПЛЕКТСТРОЙСНАБЖЕНИЕ"</t>
  </si>
  <si>
    <t>7203211994</t>
  </si>
  <si>
    <t>625046, ТЮМЕНСКАЯ ОБЛАСТЬ, ГОРОД ТЮМЕНЬ, УЛИЦА ОЛИМПИЙСКАЯ, 10, 42</t>
  </si>
  <si>
    <t>Грициенко Вадим Александрович</t>
  </si>
  <si>
    <t>+7 (922) 260-02-19', '+7 (906) 827-62-76'</t>
  </si>
  <si>
    <t>ОБЩЕСТВО С ОГРАНИЧЕННОЙ ОТВЕТСТВЕННОСТЬЮ "АСТАР"</t>
  </si>
  <si>
    <t>"АСТАР"</t>
  </si>
  <si>
    <t>7203443699</t>
  </si>
  <si>
    <t>625059, ТЮМЕНСКАЯ ОБЛАСТЬ, ГОРОД ТЮМЕНЬ, УЛИЦА ЗИМНЯЯ, ДОМ 62</t>
  </si>
  <si>
    <t>Лазовик Александр Сергеевич</t>
  </si>
  <si>
    <t>aktivdebet@gmail.com'</t>
  </si>
  <si>
    <t>ОБЩЕСТВО С ОГРАНИЧЕННОЙ ОТВЕТСТВЕННОСТЬЮ ТОРГОВО-ПРОИЗВОДСТВЕННАЯ КОМПАНИЯ "СИБИРЬСТРОЙСНАБ"</t>
  </si>
  <si>
    <t>ТОРГОВО-ПРОИЗВОДСТВЕННАЯ КОМПАНИЯ "СИБИРЬСТРОЙСНАБ"</t>
  </si>
  <si>
    <t>7203425805</t>
  </si>
  <si>
    <t>625023, ТЮМЕНСКАЯ ОБЛАСТЬ, ГОРОД ТЮМЕНЬ, УЛИЦА ХАРЬКОВСКАЯ, ДОМ 77, ОФИС 207</t>
  </si>
  <si>
    <t>Мостовой Роман Юрьевич</t>
  </si>
  <si>
    <t>+7 (345) 258-20-88'</t>
  </si>
  <si>
    <t>ОБЩЕСТВО С ОГРАНИЧЕННОЙ ОТВЕТСТВЕННОСТЬЮ "СИБИРЬСТРОЙСНАБ"</t>
  </si>
  <si>
    <t>"СИБИРЬСТРОЙСНАБ"</t>
  </si>
  <si>
    <t>7203515103</t>
  </si>
  <si>
    <t>625023, ТЮМЕНСКАЯ ОБЛ., Г. Тюмень, УЛ. ХАРЬКОВСКАЯ, Д. 77, ОФИС 511</t>
  </si>
  <si>
    <t>ОБЩЕСТВО С ОГРАНИЧЕННОЙ ОТВЕТСТВЕННОСТЬЮ "ЗАВОД ЖЕЛЕЗОБЕТОННЫХ ИЗДЕЛИЙ АРСЕНАЛ"</t>
  </si>
  <si>
    <t>"ЗАВОД ЖЕЛЕЗОБЕТОННЫХ ИЗДЕЛИЙ АРСЕНАЛ"</t>
  </si>
  <si>
    <t>7203489051</t>
  </si>
  <si>
    <t>625059, ТЮМЕНСКАЯ ОБЛ., Г. Тюмень, УЛ. ГОЛЫШЕВА, Д. 1А, СТР. 2</t>
  </si>
  <si>
    <t>Рыбалко Евгений Геннадьевич</t>
  </si>
  <si>
    <t>ОБЩЕСТВО С ОГРАНИЧЕННОЙ ОТВЕТСТВЕННОСТЬЮ "УРАЛСТРОЙИНВЕСТ"</t>
  </si>
  <si>
    <t>"УРАЛСТРОЙИНВЕСТ"</t>
  </si>
  <si>
    <t>6671071850</t>
  </si>
  <si>
    <t>625051, ТЮМЕНСКАЯ ОБЛ., Г. Тюмень, УЛ. 30 ЛЕТ ПОБЕДЫ, Д. 113А, ОФИС 414</t>
  </si>
  <si>
    <t>Дегтянников Александр Сергеевич</t>
  </si>
  <si>
    <t>+7 (922) 222-22-97'</t>
  </si>
  <si>
    <t>ОБЩЕСТВО С ОГРАНИЧЕННОЙ ОТВЕТСТВЕННОСТЬЮ "ПРОИЗВОДСТВЕННАЯ КОМПАНИЯ "БЕТОН-СЕРВИС"</t>
  </si>
  <si>
    <t>"ПРОИЗВОДСТВЕННАЯ КОМПАНИЯ "БЕТОН-СЕРВИС"</t>
  </si>
  <si>
    <t>7203539440</t>
  </si>
  <si>
    <t>625013, Тюменская область, ГОРОД ТЮМЕНЬ, Г ТЮМЕНЬ, УЛ ПЕРМЯКОВА, Д. 1</t>
  </si>
  <si>
    <t>Бойчевский Владимир Анатольевич</t>
  </si>
  <si>
    <t>SERVIS_TOB@MAIL.RU'</t>
  </si>
  <si>
    <t>ОБЩЕСТВО С ОГРАНИЧЕННОЙ ОТВЕТСТВЕННОСТЬЮ "ПРОИЗВОДСТВЕННАЯ КОМПАНИЯ "ЗАУРАЛЬЕ"</t>
  </si>
  <si>
    <t>"ПРОИЗВОДСТВЕННАЯ КОМПАНИЯ "ЗАУРАЛЬЕ"</t>
  </si>
  <si>
    <t>4510029149</t>
  </si>
  <si>
    <t>641304, КУРГАНСКАЯ ОБЛ, КЕТОВСКИЙ Р-Н, С КОЛТАШЕВО, УЛ ГАГАРИНА, Д 16</t>
  </si>
  <si>
    <t>Давыдов Михаил Ростиславович</t>
  </si>
  <si>
    <t>+7 (919) 579-68-98', '+7 (912) 978-16-00'</t>
  </si>
  <si>
    <t>zaural@mail.ru', 'blaginina@kurgan-telecom'</t>
  </si>
  <si>
    <t>7203488795</t>
  </si>
  <si>
    <t>625019, ТЮМЕНСКАЯ ОБЛАСТЬ, Г. ТЮМЕНЬ, УЛ. ЭНЕРГЕТИКОВ, Д. 96, СТР. 1, ОФИС 5</t>
  </si>
  <si>
    <t>Моисеева Екатерина Григорьевна</t>
  </si>
  <si>
    <t>ОБЩЕСТВО С ОГРАНИЧЕННОЙ ОТВЕТСТВЕННОСТЬЮ "ДЕКОР ПРЕМИУМ"</t>
  </si>
  <si>
    <t>"ДЕКОР ПРЕМИУМ"</t>
  </si>
  <si>
    <t>7203396181</t>
  </si>
  <si>
    <t>625059, ТЮМЕНСКАЯ ОБЛАСТЬ, Г. ТЮМЕНЬ, УЛ. МЕЛИОРАТОРОВ, Д. 1, К. 3, СТРОЕНИЕ 3</t>
  </si>
  <si>
    <t>Федотов Василий Петрович</t>
  </si>
  <si>
    <t>SHITIHIN@TOIR.RU', 'newkimm@rambler.ru'</t>
  </si>
  <si>
    <t>ОБЩЕСТВО С ОГРАНИЧЕННОЙ ОТВЕТСТВЕННОСТЬЮ ПРОИЗВОДСТВЕННАЯ КОМПАНИЯ "ТЮМЕНЬСТРОЙРЕСУРС"</t>
  </si>
  <si>
    <t>ПРОИЗВОДСТВЕННАЯ КОМПАНИЯ "ТЮМЕНЬСТРОЙРЕСУРС"</t>
  </si>
  <si>
    <t>7202230056</t>
  </si>
  <si>
    <t>625046, ТЮМЕНСКАЯ ОБЛАСТЬ, ГОРОД ТЮМЕНЬ, УЛИЦА 30 ЛЕТ ПОБЕДЫ, ДОМ 144/1</t>
  </si>
  <si>
    <t>+7 (922) 260-88-21', '+7 (929) 269-60-40'</t>
  </si>
  <si>
    <t>ОБЩЕСТВО С ОГРАНИЧЕННОЙ ОТВЕТСТВЕННОСТЬЮ "ЖБИ-Промжелдортранс"</t>
  </si>
  <si>
    <t>"ЖБИ-Промжелдортранс"</t>
  </si>
  <si>
    <t>7203251027</t>
  </si>
  <si>
    <t>625019, ТЮМЕНСКАЯ ОБЛАСТЬ, ГОРОД ТЮМЕНЬ, УЛИЦА ГИЛЕВСКАЯ РОЩА, ДОМ 8, КОРПУС 2</t>
  </si>
  <si>
    <t>Гаврилов Владимир Иванович</t>
  </si>
  <si>
    <t>+7 (919) 953-39-70'</t>
  </si>
  <si>
    <t>7203404192</t>
  </si>
  <si>
    <t>625019, ТЮМЕНСКАЯ ОБЛАСТЬ, ГОРОД ТЮМЕНЬ, УЛИЦА 50 ЛЕТ ОКТЯБРЯ, ДОМ 113</t>
  </si>
  <si>
    <t>Струнина Татьяна Дмитриевна</t>
  </si>
  <si>
    <t>+7 (902) 813-63-22'</t>
  </si>
  <si>
    <t>gelezobeton72@mail.ru', 'gelezobeton72@bk.ru'</t>
  </si>
  <si>
    <t>Общество с ограниченной ответственностью "Оргтехстрой"</t>
  </si>
  <si>
    <t>"Оргтехстрой"</t>
  </si>
  <si>
    <t>7203192325</t>
  </si>
  <si>
    <t>Г ТЮМЕНЬ,УЛ ЧЕКИСТОВ, Д 1А</t>
  </si>
  <si>
    <t>Файт Анатолий Владимирович</t>
  </si>
  <si>
    <t>ОБЩЕСТВО С ОГРАНИЧЕННОЙ ОТВЕТСТВЕННОСТЬЮ "БЛОК-КОМПЛЕКТ"</t>
  </si>
  <si>
    <t>"БЛОК-КОМПЛЕКТ"</t>
  </si>
  <si>
    <t>7203417473</t>
  </si>
  <si>
    <t>625019, ТЮМЕНСКАЯ ОБЛАСТЬ, ГОРОД ТЮМЕНЬ, УЛИЦА ГИЛЕВСКАЯ РОЩА, ДОМ 4, ОФИС 601</t>
  </si>
  <si>
    <t>Баранчук Юрий Александрович</t>
  </si>
  <si>
    <t>+7 (922) 072-25-57'</t>
  </si>
  <si>
    <t>7204178933</t>
  </si>
  <si>
    <t>625019, ТЮМЕНСКАЯ ОБЛАСТЬ, Г. ТЮМЕНЬ, УЛ. РЕСПУБЛИКИ, Д. 249, ОФИС 63А</t>
  </si>
  <si>
    <t>Берегов Михаил Павлович</t>
  </si>
  <si>
    <t>ОБЩЕСТВО С ОГРАНИЧЕННОЙ ОТВЕТСТВЕННОСТЬЮ "ТСК ГРУПП"</t>
  </si>
  <si>
    <t>"ТСК ГРУПП"</t>
  </si>
  <si>
    <t>7204202512</t>
  </si>
  <si>
    <t>625059, ТЮМЕНСКАЯ ОБЛАСТЬ, Г. ТЮМЕНЬ, ТРАКТ ВЕЛИЖАНСКИЙ 6 КМ, Д. 7А, СТР. 5</t>
  </si>
  <si>
    <t>Каркишко Светлана Леонидовна</t>
  </si>
  <si>
    <t>+7 (922) 045-98-88', '+7 (922) 436-84-58'</t>
  </si>
  <si>
    <t>buh72@mail.ru', 'tskgroup@list.ru'</t>
  </si>
  <si>
    <t>7203202118</t>
  </si>
  <si>
    <t>625019, ТЮМЕНСКАЯ ОБЛАСТЬ, ГОРОД ТЮМЕНЬ, УЛИЦА ЧЕКИСТОВ, ДОМ 25, КОРПУС 2, ЭТАЖ 2</t>
  </si>
  <si>
    <t>Чемеков Алексей Юрьевич</t>
  </si>
  <si>
    <t>+7 (908) 873-45-15'</t>
  </si>
  <si>
    <t>7203144804</t>
  </si>
  <si>
    <t>Г ТЮМЕНЬ,Д МАТМАСЫ,УЛ СТРОИТЕЛЕЙ, Д 19</t>
  </si>
  <si>
    <t>Хнкоян Аршалуйс Овакимович</t>
  </si>
  <si>
    <t>7203418244</t>
  </si>
  <si>
    <t>625019, ТЮМЕНСКАЯ ОБЛАСТЬ, ГОРОД ТЮМЕНЬ, УЛИЦА РЕСПУБЛИКИ, ДОМ 256, КОРПУС 4, ОФИС 10</t>
  </si>
  <si>
    <t>Давыдов Сергей Анатольевич</t>
  </si>
  <si>
    <t>ОБЩЕСТВО С ОГРАНИЧЕННОЙ ОТВЕТСТВЕННОСТЬЮ "СИБИРСКАЯ КАЗНА"</t>
  </si>
  <si>
    <t>"СИБИРСКАЯ КАЗНА"</t>
  </si>
  <si>
    <t>7203144473</t>
  </si>
  <si>
    <t>Г ТЮМЕНЬ,УЛ ЧЕКИСТОВ, Д 36 СТР 4</t>
  </si>
  <si>
    <t>Глушкова Татьяна Владимировна</t>
  </si>
  <si>
    <t>ОБЩЕСТВО С ОГРАНИЧЕННОЙ ОТВЕТСТВЕННОСТЬЮ "ЗАВОД СТРОИТЕЛЬНЫХ МАТЕРИАЛОВ "ЭКО-ПЛИТ-К"</t>
  </si>
  <si>
    <t>"ЗАВОД СТРОИТЕЛЬНЫХ МАТЕРИАЛОВ "ЭКО-ПЛИТ-К"</t>
  </si>
  <si>
    <t>7203362344</t>
  </si>
  <si>
    <t>625014, ТЮМЕНСКАЯ ОБЛАСТЬ, Г. ТЮМЕНЬ, УЛ. В.С.ВЫСОЦКОГО, Д. 28, СТР. 3</t>
  </si>
  <si>
    <t>Глушков Дмитрий Сергеевич</t>
  </si>
  <si>
    <t>+7 (922) 071-05-72'</t>
  </si>
  <si>
    <t>info@ecoplit.ru', 'ecoplit72@yandex.ru'</t>
  </si>
  <si>
    <t>ОБЩЕСТВО С ОГРАНИЧЕННОЙ ОТВЕТСТВЕННОСТЬЮ "ЗАВОД СТРОИТЕЛЬНЫХ МАТЕРИАЛОВ "ЭКО-ПЛИТ"</t>
  </si>
  <si>
    <t>"ЗАВОД СТРОИТЕЛЬНЫХ МАТЕРИАЛОВ "ЭКО-ПЛИТ"</t>
  </si>
  <si>
    <t>7203370360</t>
  </si>
  <si>
    <t>625014, ТЮМЕНСКАЯ ОБЛАСТЬ, ГОРОД ТЮМЕНЬ, УЛИЦА В.С.ВЫСОЦКОГО, ДОМ 28, СТРОЕНИЕ 3</t>
  </si>
  <si>
    <t>Глушков Сергей Леонидович</t>
  </si>
  <si>
    <t>ecoplit72@yandex.ru'</t>
  </si>
  <si>
    <t>ОБЩЕСТВО С ОГРАНИЧЕННОЙ ОТВЕТСТВЕННОСТЬЮ "КБН"</t>
  </si>
  <si>
    <t>"КБН"</t>
  </si>
  <si>
    <t>7203534770</t>
  </si>
  <si>
    <t>625014, Тюменская область, ГОРОД ТЮМЕНЬ, Г ТЮМЕНЬ, УЛ В.С.ВЫСОЦКОГО, Д. 28,СТР. 3</t>
  </si>
  <si>
    <t>89220710572@MAIL.RU'</t>
  </si>
  <si>
    <t>7203348759</t>
  </si>
  <si>
    <t>625034, ТЮМЕНСКАЯ ОБЛАСТЬ, Г. ТЮМЕНЬ, УЛ. КАМЧАТСКАЯ, Д. 194</t>
  </si>
  <si>
    <t>Тараканов Александр Сергеевич</t>
  </si>
  <si>
    <t>+7 (908) 871-04-89'</t>
  </si>
  <si>
    <t>ОБЩЕСТВО С ОГРАНИЧЕННОЙ ОТВЕТСТВЕННОСТЬЮ "СК ЛИДЕР"</t>
  </si>
  <si>
    <t>"СК ЛИДЕР"</t>
  </si>
  <si>
    <t>7224080365</t>
  </si>
  <si>
    <t>625504, ТЮМЕНСКАЯ ОБЛАСТЬ, ТЮМЕНСКИЙ РАЙОН, РАБОЧИЙ ПОСЕЛОК БОРОВСКИЙ, УЛИЦА ГЕРЦЕНА, ДОМ 10, СТРОЕНИЕ 2</t>
  </si>
  <si>
    <t>Филатов Дмитрий Анатольевич</t>
  </si>
  <si>
    <t>sklider72@bk.ru'</t>
  </si>
  <si>
    <t>ОБЩЕСТВО С ОГРАНИЧЕННОЙ ОТВЕТСТВЕННОСТЬЮ "ЗАВОД КЕРАМЗИТОБЕТОННЫХ БЛОКОВ"</t>
  </si>
  <si>
    <t>"ЗАВОД КЕРАМЗИТОБЕТОННЫХ БЛОКОВ"</t>
  </si>
  <si>
    <t>7224081993</t>
  </si>
  <si>
    <t>625530, ТЮМЕНСКАЯ ОБЛАСТЬ, Р-Н ТЮМЕНСКИЙ, РП ВИНЗИЛИ, УЛ. ВОКЗАЛЬНАЯ, Д. 1, СТР. 1А, ОФИС 10</t>
  </si>
  <si>
    <t>Жалнин Денис Викторович</t>
  </si>
  <si>
    <t>+7 (982) 969-32-64'</t>
  </si>
  <si>
    <t>hr@gmail.com', 'silkina@yandex.ru', 'silkina@gmail.com'</t>
  </si>
  <si>
    <t>ОБЩЕСТВО С ОГРАНИЧЕННОЙ ОТВЕТСТВЕННОСТЬЮ "ЗАУРАЛЬСКИЙ БЕТОН СТРОЙ КОМПЛЕКС"</t>
  </si>
  <si>
    <t>"ЗАУРАЛЬСКИЙ БЕТОН СТРОЙ КОМПЛЕКС"</t>
  </si>
  <si>
    <t>4505017204</t>
  </si>
  <si>
    <t>641230, КУРГАНСКАЯ ОБЛ, ВАРГАШИНСКИЙ Р-Н, РП ВАРГАШИ, УЛ СОЦИАЛИСТИЧЕСКАЯ, Д 67, ОФ 26</t>
  </si>
  <si>
    <t>Орлов Александр Валерьевич</t>
  </si>
  <si>
    <t>ОБЩЕСТВО С ОГРАНИЧЕННОЙ ОТВЕТСТВЕННОСТЬЮ "ПРОИЗВОДСТВЕННАЯ КОМПАНИЯ АВТОТЕХ"</t>
  </si>
  <si>
    <t>"ПРОИЗВОДСТВЕННАЯ КОМПАНИЯ АВТОТЕХ"</t>
  </si>
  <si>
    <t>7203359140</t>
  </si>
  <si>
    <t>625512, ТЮМЕНСКАЯ ОБЛАСТЬ, РАЙОН ТЮМЕНСКИЙ, СЕЛО КАСКАРА, УЛИЦА МИРА, ДОМ 18</t>
  </si>
  <si>
    <t>Манашева Татьяна Яковлевна</t>
  </si>
  <si>
    <t>+7 (961) 779-14-07'</t>
  </si>
  <si>
    <t>avtoteh@yandex.ru', 'gepakolesya@yandex.ru'</t>
  </si>
  <si>
    <t>ОБЩЕСТВО С ОГРАНИЧЕННОЙ ОТВЕТСТВЕННОСТЬЮ "ПК ИНТЕРФАС"</t>
  </si>
  <si>
    <t>"ПК ИНТЕРФАС"</t>
  </si>
  <si>
    <t>7224077563</t>
  </si>
  <si>
    <t>626020, ТЮМЕНСКАЯ ОБЛ, НИЖНЕТАВДИНСКИЙ Р-Н, НИЖНЯЯ ТАВДА С, ЕСЕНИНА УЛ, ДОМ 14</t>
  </si>
  <si>
    <t>Третьяков Иван Игоревич</t>
  </si>
  <si>
    <t>+7 (982) 909-23-96'</t>
  </si>
  <si>
    <t>ОБЩЕСТВО С ОГРАНИЧЕННОЙ ОТВЕТСТВЕННОСТЬЮ "ВЫБОР-КСМ"</t>
  </si>
  <si>
    <t>"ВЫБОР-КСМ"</t>
  </si>
  <si>
    <t>7202260759</t>
  </si>
  <si>
    <t>627015, ТЮМЕНСКАЯ ОБЛАСТЬ, ГОРОД ЯЛУТОРОВСК, УЛИЦА ИШИМСКАЯ, ДОМ 149, ПОМЕЩЕНИЕ 3</t>
  </si>
  <si>
    <t>binom@binom72.ru', 'noviy2015@yandex.ru', 'artanovskiy@partner72.ru', 'eremina@partner72.ru', 'usova_lh@partner72.ru'</t>
  </si>
  <si>
    <t>ОБЩЕСТВО С ОГРАНИЧЕННОЙ ОТВЕТСТВЕННОСТЬЮ "ЗАВОДОУКОВСКИЙ ЗАВОД ЖБИ"</t>
  </si>
  <si>
    <t>"ЗАВОДОУКОВСКИЙ ЗАВОД ЖБИ"</t>
  </si>
  <si>
    <t>7207018960</t>
  </si>
  <si>
    <t>627180, ТЮМЕНСКАЯ ОБЛ., Р-Н Упоровский, С. Упорово, ПЕР. МОЛОДЕЖНЫЙ, ВЛД. 2, СТР. 3, КАБИНЕТ 4/1</t>
  </si>
  <si>
    <t>Кох Олег Геннадьевич</t>
  </si>
  <si>
    <t>ksm@yandex.ru', 'torg@mail.ru', 'ipguliev@mail.ru'</t>
  </si>
  <si>
    <t>ОБЩЕСТВО С ОГРАНИЧЕННОЙ ОТВЕТСТВЕННОСТЬЮ "БАЗА"</t>
  </si>
  <si>
    <t>"БАЗА"</t>
  </si>
  <si>
    <t>7207020912</t>
  </si>
  <si>
    <t>627015, ТЮМЕНСКАЯ ОБЛАСТЬ, ГОРОД ЯЛУТОРОВСК, УЛИЦА ИШИМСКАЯ, ДОМ 141, СТРОЕНИЕ 3, ПОМЕЩЕНИЕ 1</t>
  </si>
  <si>
    <t>Курилова Анна Павловна</t>
  </si>
  <si>
    <t>+7 (912) 398-90-54'</t>
  </si>
  <si>
    <t>buhgalter@paritet-72', 'info@baza72.ru'</t>
  </si>
  <si>
    <t>ОБЩЕСТВО С ОГРАНИЧЕННОЙ ОТВЕТСТВЕННОСТЬЮ "ЯЛУТОРОВСКИЙ БЛОК"</t>
  </si>
  <si>
    <t>"ЯЛУТОРОВСКИЙ БЛОК"</t>
  </si>
  <si>
    <t>7207021867</t>
  </si>
  <si>
    <t>627018, Тюменская область, ГОРОД ЯЛУТОРОВСК, Г ЯЛУТОРОВСК, УЛ ВОРОШИЛОВА, ЗД. 43,СТР. 7</t>
  </si>
  <si>
    <t>Чикишева Евгения Михайловна</t>
  </si>
  <si>
    <t>OOOBLOK22@BK.RU'</t>
  </si>
  <si>
    <t>ОБЩЕСТВО С ОГРАНИЧЕННОЙ ОТВЕТСТВЕННОСТЬЮ "СТРОЙ - БЛОК"</t>
  </si>
  <si>
    <t>"СТРОЙ - БЛОК"</t>
  </si>
  <si>
    <t>7215001984</t>
  </si>
  <si>
    <t>627143, ТЮМЕНСКАЯ ОБЛАСТЬ, Г. ЗАВОДОУКОВСК, УЛ. РЕВОЛЮЦИОННАЯ, Д.94А</t>
  </si>
  <si>
    <t>Богомолов Александр Алексеевич</t>
  </si>
  <si>
    <t>+7 (902) 812-16-26', '+7 (912) 384-93-39', '+7 (890) 887-59-34', '+7 (952) 677-79-29'</t>
  </si>
  <si>
    <t>ОБЩЕСТВО С ОГРАНИЧЕННОЙ ОТВЕТСТВЕННОСТЬЮ "СТРОЙ-КОМПЛЕКТ"</t>
  </si>
  <si>
    <t>"СТРОЙ-КОМПЛЕКТ"</t>
  </si>
  <si>
    <t>7215002681</t>
  </si>
  <si>
    <t>627145, Тюменская область, г Заводоуковск, ул Ишимская, д 33, корп 3</t>
  </si>
  <si>
    <t>Брандт Наталья Серажутиновна</t>
  </si>
  <si>
    <t>+7 (902) 622-07-53'</t>
  </si>
  <si>
    <t>66.638735,66.528552</t>
  </si>
  <si>
    <t>ОБЩЕСТВО С ОГРАНИЧЕННОЙ ОТВЕТСТВЕННОСТЬЮ "ЗАВОД ЖБИ №1"</t>
  </si>
  <si>
    <t>"ЗАВОД ЖБИ №1"</t>
  </si>
  <si>
    <t>8901038759</t>
  </si>
  <si>
    <t>629008, ЯМАЛО-НЕНЕЦКИЙ АВТОНОМНЫЙ ОКРУГ, ГОРОД САЛЕХАРД, УЛИЦА РЕСПУБЛИКИ, ДОМ 94, КОРПУС А</t>
  </si>
  <si>
    <t>Мирончук Михаил Иванович</t>
  </si>
  <si>
    <t>+7 (349) 223-33-71'</t>
  </si>
  <si>
    <t>mim_15@list.ru', 'tsentr@list.ru'</t>
  </si>
  <si>
    <t>66.644133,66.539516</t>
  </si>
  <si>
    <t>ОБЩЕСТВО С ОГРАНИЧЕННОЙ ОТВЕТСТВЕННОСТЬЮ "АРКТИК СТОУН"</t>
  </si>
  <si>
    <t>"АРКТИК СТОУН"</t>
  </si>
  <si>
    <t>8901038371</t>
  </si>
  <si>
    <t>629002, ЯМАЛО-НЕНЕЦКИЙ АВТОНОМНЫЙ ОКРУГ, Г. САЛЕХАРД, УЛ. БРОДНЕВА, Д. 44А, ОФИС 1</t>
  </si>
  <si>
    <t>Безручко Станислав Константинович</t>
  </si>
  <si>
    <t>+7 (910) 641-12-73'</t>
  </si>
  <si>
    <t>arktikstoun@gmail.com'</t>
  </si>
  <si>
    <t>66.684908,63.709474</t>
  </si>
  <si>
    <t>ОБЩЕСТВО С ОГРАНИЧЕННОЙ ОТВЕТСТВЕННОСТЬЮ "КАНЕФОРА"</t>
  </si>
  <si>
    <t>"КАНЕФОРА"</t>
  </si>
  <si>
    <t>8611010913</t>
  </si>
  <si>
    <t>628162, ХАНТЫ-МАНСИЙСКИЙ АВТОНОМНЫЙ ОКРУГ - ЮГРА АВТОНОМНЫЙ ОКРУГ, ГОРОД БЕЛОЯРСКИЙ, УЛИЦА ЦЕНТРАЛЬНАЯ, ДОМ 31, КОМНАТА 18</t>
  </si>
  <si>
    <t>Радевич Ирина Николаевна</t>
  </si>
  <si>
    <t>+7 (904) 465-69-66'</t>
  </si>
  <si>
    <t>67.362218492749,79.006131356196</t>
  </si>
  <si>
    <t>ОБЩЕСТВО С ОГРАНИЧЕННОЙ ОТВЕТСТВЕННОСТЬЮ  "ИСПОЛИН"</t>
  </si>
  <si>
    <t xml:space="preserve"> "ИСПОЛИН"</t>
  </si>
  <si>
    <t>7203347233</t>
  </si>
  <si>
    <t>ТЮМЕНСКАЯ ОБЛ.,ЯМАЛО-НЕНЕЦКИЙ АВТ. ОКРУГ,ТАЗОВСКИЙ Р-Н,П ГАЗСАЛЕ,УЛ МОЛОДЕЖНАЯ,Д 4..</t>
  </si>
  <si>
    <t>Пашаян Александр Манвелович</t>
  </si>
  <si>
    <t>+7 (904) 490-82-62'</t>
  </si>
  <si>
    <t>ОБЩЕСТВО С ОГРАНИЧЕННОЙ ОТВЕТСТВЕННОСТЬЮ "Тобольская многофункциональная компания "ГЕРМЕС"</t>
  </si>
  <si>
    <t>"Тобольская многофункциональная компания "ГЕРМЕС"</t>
  </si>
  <si>
    <t>7206047950</t>
  </si>
  <si>
    <t>626156, ТЮМЕНСКАЯ ОБЛАСТЬ, Г. ТОБОЛЬСК, УЛ. ГРАБОВСКОГО, Д.34</t>
  </si>
  <si>
    <t>Тимофейчева Евгения Анатольевна</t>
  </si>
  <si>
    <t>+7 (932) 484-37-10'</t>
  </si>
  <si>
    <t>tea78@mail.ru'</t>
  </si>
  <si>
    <t>ОБЩЕСТВО С ОГРАНИЧЕННОЙ ОТВЕТСТВЕННОСТЬЮ "СТРОИТЕЛЬНАЯ ПРОИЗВОДСТВЕННАЯ КОМПАНИЯ ЯМАЛ МОНОЛИТ"</t>
  </si>
  <si>
    <t>"СТРОИТЕЛЬНАЯ ПРОИЗВОДСТВЕННАЯ КОМПАНИЯ ЯМАЛ МОНОЛИТ"</t>
  </si>
  <si>
    <t>8901030340</t>
  </si>
  <si>
    <t>ТЮМЕНСКАЯ ОБЛ.,ЯМАЛО-НЕНЕЦКИЙ АВТ. ОКРУГ,Г НАДЫМ,ЗДАНИЕ ДОМА ПРИРОДЫ</t>
  </si>
  <si>
    <t>Жданова Ольга Владимировна</t>
  </si>
  <si>
    <t>+7 (912) 307-77-65'</t>
  </si>
  <si>
    <t>ОБЩЕСТВО С ОГРАНИЧЕННОЙ ОТВЕТСТВЕННОСТЬЮ "БЕТОН СТРОЙ"</t>
  </si>
  <si>
    <t>"БЕТОН СТРОЙ"</t>
  </si>
  <si>
    <t>7220005374</t>
  </si>
  <si>
    <t>627303, ТЮМЕНСКАЯ ОБЛАСТЬ, Р-Н ГОЛЫШМАНОВСКИЙ, РП ГОЛЫШМАНОВО, УЛ. ГАГАРИНА, Д. 48А</t>
  </si>
  <si>
    <t>Рябков Виталий Борисович</t>
  </si>
  <si>
    <t>+7 (902) 623-09-95'</t>
  </si>
  <si>
    <t>ОБЩЕСТВО С ОГРАНИЧЕННОЙ ОТВЕТСТВЕННОСТЬЮ "КОМБИНАТ СТРОИТЕЛЬНЫХ КОНСТРУКЦИЙ"</t>
  </si>
  <si>
    <t>"КОМБИНАТ СТРОИТЕЛЬНЫХ КОНСТРУКЦИЙ"</t>
  </si>
  <si>
    <t>8601071096</t>
  </si>
  <si>
    <t>628011, Ханты-Мансийский автономный округ - Югра, городской округ ГОРОД ХАНТЫ-МАНСИЙСК, Город ХАНТЫ-МАНСИЙСК, УЛ ЛЕНИНА, Д. 40,..</t>
  </si>
  <si>
    <t>Белоусов Сергей Николаевич</t>
  </si>
  <si>
    <t>60BS@MAIL.RU'</t>
  </si>
  <si>
    <t>ОБЩЕСТВО С ОГРАНИЧЕННОЙ ОТВЕТСТВЕННОСТЬЮ "БАСТИОН 86"</t>
  </si>
  <si>
    <t>"БАСТИОН 86"</t>
  </si>
  <si>
    <t>8601051886</t>
  </si>
  <si>
    <t>628001, Ханты-Мансийский Автономный округ - Югра Автономный округ, Г. Ханты-Мансийск, УЛ. Ямская, Д.4,..</t>
  </si>
  <si>
    <t>Корнеев Алексей Сергеевич</t>
  </si>
  <si>
    <t>+7 (908) 883-39-93'</t>
  </si>
  <si>
    <t>korneevas1973@yandex.ru'</t>
  </si>
  <si>
    <t>ОБЩЕСТВО С ОГРАНИЧЕННОЙ ОТВЕТСТВЕННОСТЬЮ "Северный ЛПК"</t>
  </si>
  <si>
    <t>"Северный ЛПК"</t>
  </si>
  <si>
    <t>8601046068</t>
  </si>
  <si>
    <t>628002, ХАНТЫ-МАНСИЙСКИЙ АВТОНОМНЫЙ ОКРУГ - ЮГРА АВТОНОМНЫЙ ОКРУГ, ГОРОД ХАНТЫ-МАНСИЙСК, УЛИЦА ЛЕРМОНТОВА, 24, 16</t>
  </si>
  <si>
    <t>Уразаев Василий Николаевич</t>
  </si>
  <si>
    <t>+7 (902) 814-91-78'</t>
  </si>
  <si>
    <t>ОБЩЕСТВО С ОГРАНИЧЕННОЙ ОТВЕТСТВЕННОСТЬЮ "ЮГРАРЕСУРС"</t>
  </si>
  <si>
    <t>"ЮГРАРЕСУРС"</t>
  </si>
  <si>
    <t>8601068720</t>
  </si>
  <si>
    <t>628007, ХАНТЫ-МАНСИЙСКИЙ АВТОНОМНЫЙ ОКРУГ - ЮГРА АВТОНОМНЫЙ ОКРУГ, ГОРОД ХАНТЫ-МАНСИЙСК, УЛИЦА СТРОИТЕЛЕЙ, ДОМ 1, КОМ/ОФИС 201</t>
  </si>
  <si>
    <t>Филатова Вера Геннадьевна</t>
  </si>
  <si>
    <t>+7 (982) 501-11-77'</t>
  </si>
  <si>
    <t>ОБЩЕСТВО С ОГРАНИЧЕННОЙ ОТВЕТСТВЕННОСТЬЮ "ПРОИЗВОДСТВЕННО СТРОИТЕЛЬНАЯ КОМПАНИЯ МЕРКУРИЙ"</t>
  </si>
  <si>
    <t>"ПРОИЗВОДСТВЕННО СТРОИТЕЛЬНАЯ КОМПАНИЯ МЕРКУРИЙ"</t>
  </si>
  <si>
    <t>7205031806</t>
  </si>
  <si>
    <t>627750, ТЮМЕНСКАЯ ОБЛАСТЬ, ГОРОД ИШИМ, УЛИЦА БЕРЕГОВАЯ, ДОМ 21,..</t>
  </si>
  <si>
    <t>Фишов Максим Вячеславович</t>
  </si>
  <si>
    <t>+7 (345) 515-52-22'</t>
  </si>
  <si>
    <t>ОБЩЕСТВО С ОГРАНИЧЕННОЙ ОТВЕТСТВЕННОСТЬЮ "МАСТЕР-БЕТОН"</t>
  </si>
  <si>
    <t>"МАСТЕР-БЕТОН"</t>
  </si>
  <si>
    <t>7205018450</t>
  </si>
  <si>
    <t>627756, ТЮМЕНСКАЯ ОБЛАСТЬ, ГОРОД ИШИМ, УЛИЦА СУВОРОВА, ДОМ 38/3</t>
  </si>
  <si>
    <t>Поплавский Александр Викторович</t>
  </si>
  <si>
    <t>7205029405</t>
  </si>
  <si>
    <t>627753, ТЮМЕНСКАЯ ОБЛАСТЬ, Г. ИШИМ, УЛ. 30 ЛЕТ ВЛКСМ, Д. 28</t>
  </si>
  <si>
    <t>Королев Дмитрий Владимирович</t>
  </si>
  <si>
    <t>+7 (902) 624-07-77'</t>
  </si>
  <si>
    <t>24@mail.ru', 'baunti88@inbox.ru'</t>
  </si>
  <si>
    <t>ОБЩЕСТВО С ОГРАНИЧЕННОЙ ОТВЕТСТВЕННОСТЬЮ "ТРОТУАРДИЗАЙН"</t>
  </si>
  <si>
    <t>"ТРОТУАРДИЗАЙН"</t>
  </si>
  <si>
    <t>8603216124</t>
  </si>
  <si>
    <t>ТЮМЕНСКАЯ ОБЛ.,ХАНТЫ-МАНСИЙСКИЙ АВТ. ОКРУГ,Г НЕФТЕЮГАНСК,5 МИКРОРАЙОН,Д 37..</t>
  </si>
  <si>
    <t>Хусаинов Марат Салаватович</t>
  </si>
  <si>
    <t>+7 (919) 531-46-64'</t>
  </si>
  <si>
    <t>ОБЩЕСТВО С ОГРАНИЧЕННОЙ ОТВЕТСТВЕННОСТЬЮ "ЮГАНСК-СТРОЙ"</t>
  </si>
  <si>
    <t>"ЮГАНСК-СТРОЙ"</t>
  </si>
  <si>
    <t>8604071016</t>
  </si>
  <si>
    <t>628303, ХАНТЫ-МАНСИЙСКИЙ АВТОНОМНЫЙ ОКРУГ - ЮГРА АВТОНОМНЫЙ ОКРУГ, ГОРОД НЕФТЕЮГАНСК, МИКРОРАЙОН 9-Й, ДОМ 17, ПОМЕЩЕНИЕ 2</t>
  </si>
  <si>
    <t>Кокрина Евгения Алексеевна</t>
  </si>
  <si>
    <t>+7 (929) 246-03-00'</t>
  </si>
  <si>
    <t>ОБЩЕСТВО С ОГРАНИЧЕННОЙ ОТВЕТСТВЕННОСТЬЮ "ЮГРАГРУПП"</t>
  </si>
  <si>
    <t>"ЮГРАГРУПП"</t>
  </si>
  <si>
    <t>9721056609</t>
  </si>
  <si>
    <t>628452, ХАНТЫ-МАНСИЙСКИЙ АВТОНОМНЫЙ ОКРУГ - ЮГРА АВТОНОМНЫЙ ОКРУГ, Р-Н СУРГУТСКИЙ, П СОЛНЕЧНЫЙ, УЛ. ЮНОСТИ, Д. 1А, КАБ. 11</t>
  </si>
  <si>
    <t>Волкова Наталья Владимировна</t>
  </si>
  <si>
    <t>+7 (922) 763-68-31'</t>
  </si>
  <si>
    <t>ОБЩЕСТВО С ОГРАНИЧЕННОЙ ОТВЕТСТВЕННОСТЬЮ "ЖЕЛЕЗОБЕТОННЫЙ КОМПЛЕКС"</t>
  </si>
  <si>
    <t>"ЖЕЛЕЗОБЕТОННЫЙ КОМПЛЕКС"</t>
  </si>
  <si>
    <t>8602184670</t>
  </si>
  <si>
    <t>628403, ХАНТЫ-МАНСИЙСКИЙ АВТОНОМНЫЙ ОКРУГ - ЮГРА АВТОНОМНЫЙ ОКРУГ, Г. СУРГУТ, УЛ. 30 ЛЕТ ПОБЕДЫ, Д.21,..</t>
  </si>
  <si>
    <t>Павлов Сергей Михайлович</t>
  </si>
  <si>
    <t>ОБЩЕСТВО С ОГРАНИЧЕННОЙ ОТВЕТСТВЕННОСТЬЮ "СИБСТРОЙ-КОМПЛЕКТ"</t>
  </si>
  <si>
    <t>"СИБСТРОЙ-КОМПЛЕКТ"</t>
  </si>
  <si>
    <t>8602200883</t>
  </si>
  <si>
    <t>628401, ХАНТЫ-МАНСИЙСКИЙ АВТОНОМНЫЙ ОКРУГ - ЮГРА АВТОНОМНЫЙ ОКРУГ, ГОРОД СУРГУТ, УЛИЦА ПРОМЫШЛЕННАЯ, ДОМ 33, КАБИНЕТ 212</t>
  </si>
  <si>
    <t>Силаев Игорь Владимирович</t>
  </si>
  <si>
    <t>lepolina@yandex.ru'</t>
  </si>
  <si>
    <t>ОБЩЕСТВО С ОГРАНИЧЕННОЙ ОТВЕТСТВЕННОСТЬЮ "ЭКСПЕРТПЛИТ"</t>
  </si>
  <si>
    <t>"ЭКСПЕРТПЛИТ"</t>
  </si>
  <si>
    <t>8602296134</t>
  </si>
  <si>
    <t>628406, ХАНТЫ-МАНСИЙСКИЙ АВТОНОМНЫЙ ОКРУГ - ЮГРА АВТОНОМНЫЙ ОКРУГ, ГОРОД СУРГУТ, УЛИЦА УНИВЕРСИТЕТСКАЯ, ДОМ 31,..</t>
  </si>
  <si>
    <t>Василюк Александр Иванович</t>
  </si>
  <si>
    <t>skvarcova@mail.ru', '138202@mail.ru'</t>
  </si>
  <si>
    <t>ОБЩЕСТВО С ОГРАНИЧЕННОЙ ОТВЕТСТВЕННОСТЬЮ "ДКВ"</t>
  </si>
  <si>
    <t>"ДКВ"</t>
  </si>
  <si>
    <t>8602267817</t>
  </si>
  <si>
    <t>628406, ХАНТЫ-МАНСИЙСКИЙ АВТОНОМНЫЙ ОКРУГ - ЮГРА АО, СУРГУТ Г, КОМПЛЕКТОВОЧНАЯ УЛ, СТРОЕНИЕ 5</t>
  </si>
  <si>
    <t>Дывдык Константин Васильевич</t>
  </si>
  <si>
    <t>+7 (909) 045-85-93'</t>
  </si>
  <si>
    <t>ОБЩЕСТВО С ОГРАНИЧЕННОЙ ОТВЕТСТВЕННОСТЬЮ "ДОМОСТРОИТЕЛЬНЫЙ КОМБИНАТ "СИБПРОМСТРОЙ"</t>
  </si>
  <si>
    <t>"ДОМОСТРОИТЕЛЬНЫЙ КОМБИНАТ "СИБПРОМСТРОЙ"</t>
  </si>
  <si>
    <t>8602289810</t>
  </si>
  <si>
    <t>628406, ХАНТЫ-МАНСИЙСКИЙ АВТОНОМНЫЙ ОКРУГ - ЮГРА АВТОНОМНЫЙ ОКРУГ, ГОРОД СУРГУТ, УЛИЦА БАЗОВАЯ, ДОМ 2, КОРПУС 1, ПОМЕЩЕНИЯ 30, 31</t>
  </si>
  <si>
    <t>Кожаев Андрей Владимирович</t>
  </si>
  <si>
    <t>buh@zavodjbi.ru', 'ugoria@mail.ru', 'mail@zavodjbi.ru', 'ro@zavodjbi.ru', 'zamgb@zavodjbi.ru'</t>
  </si>
  <si>
    <t>8602300831</t>
  </si>
  <si>
    <t>628406, Ханты-Мансийский автономный округ - Югра, городской округ ГОРОД СУРГУТ, Город СУРГУТ, УЛ ЭНЕРГОСТРОИТЕЛЕЙ, Д. 5/1, СООР. 3, ПОМЕЩ. 1</t>
  </si>
  <si>
    <t>Артамонова Октябрина Ивановна</t>
  </si>
  <si>
    <t>+7 (922) 411-33-91'</t>
  </si>
  <si>
    <t>VELES186@BK.RU'</t>
  </si>
  <si>
    <t>ОБЩЕСТВО С ОГРАНИЧЕННОЙ ОТВЕТСТВЕННОСТЬЮ "Стропан"</t>
  </si>
  <si>
    <t>"Стропан"</t>
  </si>
  <si>
    <t>5528205566</t>
  </si>
  <si>
    <t>646503, ОМСКАЯ ОБЛАСТЬ, Р-Н ТАРСКИЙ, С ОРЛОВО, УЛ. КЛИНСКАЯ, Д. 2А</t>
  </si>
  <si>
    <t>Мехедов Роман</t>
  </si>
  <si>
    <t>+7 (913) 962-63-53'</t>
  </si>
  <si>
    <t>ОБЩЕСТВО С ОГРАНИЧЕННОЙ ОТВЕТСТВЕННОСТЬЮ "СТРОЙПОЛИМЕРГРУПП"</t>
  </si>
  <si>
    <t>"СТРОЙПОЛИМЕРГРУПП"</t>
  </si>
  <si>
    <t>8617036756</t>
  </si>
  <si>
    <t>628454, ХАНТЫ-МАНСИЙСКИЙ АВТОНОМНЫЙ ОКРУГ - ЮГРА АВТОНОМНЫЙ ОКРУГ, РАЙОН СУРГУТСКИЙ, СЕЛО ЛОКОСОВО, УЛИЦА РАБОЧАЯ, ДОМ 8</t>
  </si>
  <si>
    <t>Житниковский Дмитрий Станиславович</t>
  </si>
  <si>
    <t>svechnikov@rambler.ru', 'buhsbsh@mail.ru', 'svechnikov@mail.ru'</t>
  </si>
  <si>
    <t>ОБЩЕСТВО С ОГРАНИЧЕННОЙ ОТВЕТСТВЕННОСТЬЮ "ВТК-СОЮЗ"</t>
  </si>
  <si>
    <t>"ВТК-СОЮЗ"</t>
  </si>
  <si>
    <t>8605016113</t>
  </si>
  <si>
    <t>ТЮМЕНСКАЯ ОБЛ.,ХАНТЫ-МАНСИЙСКИЙ АВТ. ОКРУГ,Г МЕГИОН,ПРОСП ПОБЕДЫ, Д 26..</t>
  </si>
  <si>
    <t>Куприянчук Людмила Александровна</t>
  </si>
  <si>
    <t>+7 (904) 456-09-03'</t>
  </si>
  <si>
    <t>ОБЩЕСТВО С ОГРАНИЧЕННОЙ ОТВЕТСТВЕННОСТЬЮ "Строй-Бетон"</t>
  </si>
  <si>
    <t>"Строй-Бетон"</t>
  </si>
  <si>
    <t>8605024322</t>
  </si>
  <si>
    <t>628681, ХАНТЫ-МАНСИЙСКИЙ АВТОНОМНЫЙ ОКРУГ - ЮГРА АВТОНОМНЫЙ ОКРУГ, ГОРОД МЕГИОН, УЛИЦА СУТОРМИНА, 37</t>
  </si>
  <si>
    <t>Верига Николай Васильевич</t>
  </si>
  <si>
    <t>+7 (904) 467-09-44'</t>
  </si>
  <si>
    <t>stroi_beton@mail.ru', 'CBS86@MAIL.RU'</t>
  </si>
  <si>
    <t>ОБЩЕСТВО С ОГРАНИЧЕННОЙ ОТВЕТСТВЕННОСТЬЮ "НижневартовскСтройБетон"</t>
  </si>
  <si>
    <t>"НижневартовскСтройБетон"</t>
  </si>
  <si>
    <t>8603194400</t>
  </si>
  <si>
    <t>628613, Тюменская область, г Нижневартовск, ул Авиаторов, д 2, корп А</t>
  </si>
  <si>
    <t>Жеребцов Андрей Александрович</t>
  </si>
  <si>
    <t>+7 (346) 651-57-11'</t>
  </si>
  <si>
    <t>nika530@mail.ru'</t>
  </si>
  <si>
    <t>8603188879</t>
  </si>
  <si>
    <t>628600, ХАНТЫ-МАНСИЙСКИЙ АВТОНОМНЫЙ ОКРУГ - ЮГРА АВТОНОМНЫЙ ОКРУГ, ГОРОД НИЖНЕВАРТОВСК, УЛИЦА 2П-2, 53 "А", 1</t>
  </si>
  <si>
    <t>Алсынбаева Елена Салимчановна</t>
  </si>
  <si>
    <t>+7 (904) 469-21-21'</t>
  </si>
  <si>
    <t>ОБЩЕСТВО С ОГРАНИЧЕННОЙ ОТВЕТСТВЕННОСТЬЮ ЗАВОД "ПРЕССПЛИТКАМ"</t>
  </si>
  <si>
    <t>ЗАВОД "ПРЕССПЛИТКАМ"</t>
  </si>
  <si>
    <t>8603236579</t>
  </si>
  <si>
    <t>628609, ХАНТЫ-МАНСИЙСКИЙ АВТОНОМНЫЙ ОКРУГ - ЮГРА АВТОНОМНЫЙ ОКРУГ, ГОРОД НИЖНЕВАРТОВСК, УЛИЦА ИНДУСТРИАЛЬНАЯ, ДОМ 65, СТРОЕНИЕ 13</t>
  </si>
  <si>
    <t>Великий Сергей Сергеевич</t>
  </si>
  <si>
    <t>+7 (932) 420-82-33'</t>
  </si>
  <si>
    <t>8603235945</t>
  </si>
  <si>
    <t>628621, ХАНТЫ-МАНСИЙСКИЙ АВТОНОМНЫЙ ОКРУГ - ЮГРА АВТОНОМНЫЙ ОКРУГ, Г. НИЖНЕВАРТОВСК, УЛ. ИНДУСТРИАЛЬНАЯ, Д. 111, К. Д, ПАНЕЛЬ 2</t>
  </si>
  <si>
    <t>Казаринсков Юрий Николаевич</t>
  </si>
  <si>
    <t>+7 (346) 631-60-00'</t>
  </si>
  <si>
    <t>vektornv@list.ru'</t>
  </si>
  <si>
    <t>АКЦИОНЕРНОЕ ОБЩЕСТВО "ЗАВОД СТРОИТЕЛЬНЫХ МАТЕРИАЛОВ"</t>
  </si>
  <si>
    <t>8603009400</t>
  </si>
  <si>
    <t>ТЮМЕНСКАЯ ОБЛ.,ХАНТЫ-МАНСИЙСКИЙ АВТ. ОКРУГ,Г НИЖНЕВАРТОВСК,2 УЧАСТОК, ПРОМЗОНА</t>
  </si>
  <si>
    <t>Алехно Андрей Васильевич</t>
  </si>
  <si>
    <t>Zsm73@mail.ru'</t>
  </si>
  <si>
    <t>ОБЩЕСТВО С ОГРАНИЧЕННОЙ ОТВЕТСТВЕННОСТЬЮ "МЕТЭКС"</t>
  </si>
  <si>
    <t>"МЕТЭКС"</t>
  </si>
  <si>
    <t>8620015354</t>
  </si>
  <si>
    <t>628634, ХАНТЫ-МАНСИЙСКИЙ АВТОНОМНЫЙ ОКРУГ - ЮГРА АО, НИЖНЕВАРТОВСКИЙ Р-Н, ИЗЛУЧИНСК ПГТ, ВАХТОВЫЙ ПОСЕЛОК СТРОИТЕЛЕЙ №2, СУ 2</t>
  </si>
  <si>
    <t>Клаузер Эдуард Георгиевич</t>
  </si>
  <si>
    <t>ОБЩЕСТВО С ОГРАНИЧЕННОЙ ОТВЕТСТВЕННОСТЬЮ "НОВЫЕ ТЕХНОЛОГИИ СТРОИТЕЛЬСТВА"</t>
  </si>
  <si>
    <t>"НОВЫЕ ТЕХНОЛОГИИ СТРОИТЕЛЬСТВА"</t>
  </si>
  <si>
    <t>5452003687</t>
  </si>
  <si>
    <t>632387, НОВОСИБИРСКАЯ ОБЛАСТЬ, КУЙБЫШЕВСКИЙ РАЙОН, Г КУЙБЫШЕВ, УЛ ВОИНСКАЯ, 6</t>
  </si>
  <si>
    <t>Коченко Кирилл Леонидович</t>
  </si>
  <si>
    <t>+7 (913) 201-66-39', '+7 (952) 926-00-62'</t>
  </si>
  <si>
    <t>ОБЩЕСТВО С ОГРАНИЧЕННОЙ ОТВЕТСТВЕННОСТЬЮ "МЕТАЛЛИСТ"</t>
  </si>
  <si>
    <t>"МЕТАЛЛИСТ"</t>
  </si>
  <si>
    <t>5428100834</t>
  </si>
  <si>
    <t>НОВОСИБИРСКАЯ ОБЛ.,Г КУЙБЫШЕВ,УЛ ПРОМЫШЛЕННАЯ, 6</t>
  </si>
  <si>
    <t>Симанов Максим Александрович</t>
  </si>
  <si>
    <t>5452005010</t>
  </si>
  <si>
    <t>632383, НОВОСИБИРСКАЯ ОБЛАСТЬ, КУЙБЫШЕВСКИЙ РАЙОН, Г КУЙБЫШЕВ, УЛ ПРОМЫШЛЕННАЯ, 6 КОМ 22</t>
  </si>
  <si>
    <t>Шумеев Андрей Андреевич</t>
  </si>
  <si>
    <t>kmetallist@mail.ru', 'k_zgb@mail.ru'</t>
  </si>
  <si>
    <t>ОБЩЕСТВО С ОГРАНИЧЕННОЙ ОТВЕТСТВЕННОСТЬЮ "МОНОЛИТСИБ"</t>
  </si>
  <si>
    <t>"МОНОЛИТСИБ"</t>
  </si>
  <si>
    <t>5424950365</t>
  </si>
  <si>
    <t>633161, НОВОСИБИРСКАЯ ОБЛАСТЬ, РАЙОН КОЛЫВАНСКИЙ, РАБОЧИЙ ПОСЕЛОК КОЛЫВАНЬ, УЛИЦА ГАГАРИНА, ДОМ 3</t>
  </si>
  <si>
    <t>Ушаков Дмитрий Васильевич</t>
  </si>
  <si>
    <t>+7 (953) 780-05-30', '+7 (913) 916-71-90'</t>
  </si>
  <si>
    <t>5424404341</t>
  </si>
  <si>
    <t>633161, НОВОСИБИРСКАЯ ОБЛАСТЬ, КОЛЫВАНСКИЙ РАЙОН, РП КОЛЫВАНЬ, ПРОСПЕКТ РЕВОЛЮЦИОННЫЙ, 23</t>
  </si>
  <si>
    <t>Герлина Наталья Александровна</t>
  </si>
  <si>
    <t>+7 (913) 370-33-83'</t>
  </si>
  <si>
    <t>5410095044</t>
  </si>
  <si>
    <t>633162, НОВОСИБИРСКАЯ ОБЛАСТЬ, КОЛЫВАНСКИЙ РАЙОН, РП КОЛЫВАНЬ, , ПРОСПЕКТ РЕВОЛЮЦИОННЫЙ, 23 ОФИС 5</t>
  </si>
  <si>
    <t>ОБЩЕСТВО С ОГРАНИЧЕННОЙ ОТВЕТСТВЕННОСТЬЮ "МОШКОВСКИЕ СТРОИТЕЛЬНЫЕ МАТЕРИАЛЫ"</t>
  </si>
  <si>
    <t>"МОШКОВСКИЕ СТРОИТЕЛЬНЫЕ МАТЕРИАЛЫ"</t>
  </si>
  <si>
    <t>5432001931</t>
  </si>
  <si>
    <t>633131, НОВОСИБИРСКАЯ ОБЛАСТЬ, МОШКОВСКИЙ РАЙОН , РП МОШКОВО, УЛ ЛИНЕЙНАЯ, 61/9 СКЛАД 5</t>
  </si>
  <si>
    <t>Старовойтов Антон Юрьевич</t>
  </si>
  <si>
    <t>+7 (963) 947-59-53', '+7 (383) 271-12-69', '+7 (913) 467-86-88'</t>
  </si>
  <si>
    <t>ОБЩЕСТВО С ОГРАНИЧЕННОЙ ОТВЕТСТВЕННОСТЬЮ "ЛарАнт"</t>
  </si>
  <si>
    <t>"ЛарАнт"</t>
  </si>
  <si>
    <t>7024034259</t>
  </si>
  <si>
    <t>634501, ТОМСКАЯ ОБЛ., Г. Северск, ПОС. Самусь, УЛ СУДОСТРОИТЕЛЕЙ, Д. 4</t>
  </si>
  <si>
    <t>Овчинников Анатолий Андреевич</t>
  </si>
  <si>
    <t>ОБЩЕСТВО С ОГРАНИЧЕННОЙ ОТВЕТСТВЕННОСТЬЮ "ЗАВОД ДОРОЖНО-СТРОИТЕЛЬНЫХ МАТЕРИАЛОВ"</t>
  </si>
  <si>
    <t>"ЗАВОД ДОРОЖНО-СТРОИТЕЛЬНЫХ МАТЕРИАЛОВ"</t>
  </si>
  <si>
    <t>7014065586</t>
  </si>
  <si>
    <t>634515, ТОМСКАЯ ОБЛАСТЬ, Р-Н ТОМСКИЙ, С ЗОРКАЛЬЦЕВО, УЛ. ЮЖНАЯ, Д. 7А</t>
  </si>
  <si>
    <t>Курносова Юлия Сергеевна</t>
  </si>
  <si>
    <t>ОБЩЕСТВО С ОГРАНИЧЕННОЙ ОТВЕТСТВЕННОСТЬЮ "Томский ГазоБетон"</t>
  </si>
  <si>
    <t>"Томский ГазоБетон"</t>
  </si>
  <si>
    <t>7014051470</t>
  </si>
  <si>
    <t>634508, ТОМСКАЯ ОБЛАСТЬ, РАЙОН ТОМСКИЙ, ДЕРЕВНЯ КИСЛОВКА, УЛИЦА МИРА, 18</t>
  </si>
  <si>
    <t>Семисошенко Николай Викторович</t>
  </si>
  <si>
    <t>ОБЩЕСТВО С ОГРАНИЧЕННОЙ ОТВЕТСТВЕННОСТЬЮ "Завод строительных конструкций ХИМСТРОЙ"</t>
  </si>
  <si>
    <t>"Завод строительных конструкций ХИМСТРОЙ"</t>
  </si>
  <si>
    <t>7024034763</t>
  </si>
  <si>
    <t>636000, ТОМСКАЯ ОБЛАСТЬ, Г. СЕВЕРСК, УЛ. ТРАНСПОРТНАЯ, Д. 34, ОФИС 24</t>
  </si>
  <si>
    <t>Мякишев Сергей Юрьевич</t>
  </si>
  <si>
    <t>ОБЩЕСТВО С ОГРАНИЧЕННОЙ ОТВЕТСТВЕННОСТЬЮ "ТЕПЛОСЕРВИС"</t>
  </si>
  <si>
    <t>"ТЕПЛОСЕРВИС"</t>
  </si>
  <si>
    <t>4230026265</t>
  </si>
  <si>
    <t>652050, КЕМЕРОВСКАЯ ОБЛАСТЬ - КУЗБАСС, ГОРОД ЮРГА, УЛИЦА ШОССЕЙНАЯ, 50/1</t>
  </si>
  <si>
    <t>Чернышов Максим Анатольевич</t>
  </si>
  <si>
    <t>ОБЩЕСТВО С ОГРАНИЧЕННОЙ ОТВЕТСТВЕННОСТЬЮ "БЕТАРТ"</t>
  </si>
  <si>
    <t>"БЕТАРТ"</t>
  </si>
  <si>
    <t>4230031434</t>
  </si>
  <si>
    <t>652050, КЕМЕРОВСКАЯ ОБЛАСТЬ - КУЗБАСС, ГОРОД ЮРГА, УЛИЦА ШОССЕЙНАЯ, ДОМ 50/1</t>
  </si>
  <si>
    <t>+7 (923) 481-90-77', '+7 (923) 614-70-07', '+7 (923) 501-54-84'</t>
  </si>
  <si>
    <t>ОБЩЕСТВО С ОГРАНИЧЕННОЙ ОТВЕТСТВЕННОСТЬЮ "ЮРГА-МОНОЛИТ"</t>
  </si>
  <si>
    <t>"ЮРГА-МОНОЛИТ"</t>
  </si>
  <si>
    <t>4230009319</t>
  </si>
  <si>
    <t>652057, КЕМЕРОВСКАЯ ОБЛАСТЬ - КУЗБАСС, ГОРОД ЮРГА, УЛИЦА ПУШКИНА, 8"А", 54</t>
  </si>
  <si>
    <t>Сайфулин Руслан Фаэтович</t>
  </si>
  <si>
    <t>+7 (905) 915-89-04', '+7 (906) 937-14-50'</t>
  </si>
  <si>
    <t>7024039480</t>
  </si>
  <si>
    <t>636037, Томская область, г Северск, ул Калинина, д 119,..</t>
  </si>
  <si>
    <t>Генадьев Александр Валентинович</t>
  </si>
  <si>
    <t>+7 (906) 956-42-90'</t>
  </si>
  <si>
    <t>ka_premium@mail.ru'</t>
  </si>
  <si>
    <t>ОБЩЕСТВО С ОГРАНИЧЕННОЙ ОТВЕТСТВЕННОСТЬЮ "Строительная компания Юрга-Железобетон"</t>
  </si>
  <si>
    <t>"Строительная компания Юрга-Железобетон"</t>
  </si>
  <si>
    <t>4230000676</t>
  </si>
  <si>
    <t>652055, КЕМЕРОВСКАЯ ОБЛАСТЬ - КУЗБАСС, ГОРОД ЮРГА, УЛИЦА МОСКОВСКАЯ, ДОМ 5</t>
  </si>
  <si>
    <t>Лоскутов Валерий Леонидович</t>
  </si>
  <si>
    <t>ОБЩЕСТВО С ОГРАНИЧЕННОЙ ОТВЕТСТВЕННОСТЬЮ "РЕГИОН-ПРОФИЛЬ"</t>
  </si>
  <si>
    <t>"РЕГИОН-ПРОФИЛЬ"</t>
  </si>
  <si>
    <t>7017445770</t>
  </si>
  <si>
    <t>634024, Томская область, городской округ ГОРОД ТОМСК, Город ТОМСК, ПЕР ПЕРЕВАЛОЧНЫЙ, Д. 6, ПОМЕЩ. П004</t>
  </si>
  <si>
    <t>Тихонов Евгений Васильевич</t>
  </si>
  <si>
    <t>7017418840</t>
  </si>
  <si>
    <t>634009, ТОМСКАЯ ОБЛАСТЬ, ГОРОД ТОМСК, ПРОСПЕКТ ЛЕНИНА, ДОМ 186, ОФИС 408</t>
  </si>
  <si>
    <t>Борисов Егор Николаевич</t>
  </si>
  <si>
    <t>ОБЩЕСТВО С ОГРАНИЧЕННОЙ ОТВЕТСТВЕННОСТЬЮ "СИБТЕПЛОПАНЕЛЬ"</t>
  </si>
  <si>
    <t>"СИБТЕПЛОПАНЕЛЬ"</t>
  </si>
  <si>
    <t>7017421539</t>
  </si>
  <si>
    <t>634050, Томская область, городской округ ГОРОД ТОМСК, Город ТОМСК, УЛ НАБЕРЕЖНАЯ РЕКИ УШАЙКИ, Д. 10, ОФИС 301</t>
  </si>
  <si>
    <t>Васильев Виталий Владимирович</t>
  </si>
  <si>
    <t>+7 (909) 542-56-65'</t>
  </si>
  <si>
    <t>ОБЩЕСТВО С ОГРАНИЧЕННОЙ ОТВЕТСТВЕННОСТЬЮ "ПРОСТОР-СМ"</t>
  </si>
  <si>
    <t>"ПРОСТОР-СМ"</t>
  </si>
  <si>
    <t>7017399450</t>
  </si>
  <si>
    <t>634003, Томская область, г Томск, ул Пушкина, д 32</t>
  </si>
  <si>
    <t>Дорогин Евгений Андреевич</t>
  </si>
  <si>
    <t>+7 (905) 991-46-39'</t>
  </si>
  <si>
    <t>ОБЩЕСТВО С ОГРАНИЧЕННОЙ ОТВЕТСТВЕННОСТЬЮ "АВЕНЮ ПРОМАЛЬП"</t>
  </si>
  <si>
    <t>"АВЕНЮ ПРОМАЛЬП"</t>
  </si>
  <si>
    <t>7017427379</t>
  </si>
  <si>
    <t>634027, ТОМСКАЯ ОБЛАСТЬ, ГОРОД ТОМСК, УЛИЦА МОСТОВАЯ, ДОМ 18</t>
  </si>
  <si>
    <t>Мошенко Юлия Евгеньевна</t>
  </si>
  <si>
    <t>ОБЩЕСТВО С ОГРАНИЧЕННОЙ ОТВЕТСТВЕННОСТЬЮ Производственный комплекс "Руд-Медиум"</t>
  </si>
  <si>
    <t>Производственный комплекс "Руд-Медиум"</t>
  </si>
  <si>
    <t>7017258025</t>
  </si>
  <si>
    <t>634003, ТОМСКАЯ ОБЛАСТЬ, ГОРОД ТОМСК, ПЕРЕУЛОК КУСТАРНЫЙ, 5, 2</t>
  </si>
  <si>
    <t>ОБЩЕСТВО С ОГРАНИЧЕННОЙ ОТВЕТСТВЕННОСТЬЮ "ТРИ КАМНЯ"</t>
  </si>
  <si>
    <t>"ТРИ КАМНЯ"</t>
  </si>
  <si>
    <t>7017493332</t>
  </si>
  <si>
    <t>634061, Томская область, ГОРОД ТОМСК, Г ТОМСК, ПР-КТ ФРУНЗЕ, Д. 88</t>
  </si>
  <si>
    <t>Плесовских Станислав Сергеевич</t>
  </si>
  <si>
    <t>SCORPI4@BK.RU'</t>
  </si>
  <si>
    <t>ОБЩЕСТВО С ОГРАНИЧЕННОЙ ОТВЕТСТВЕННОСТЬЮ "ЗАВОД ТОМСКИЙ"</t>
  </si>
  <si>
    <t>"ЗАВОД ТОМСКИЙ"</t>
  </si>
  <si>
    <t>7017479779</t>
  </si>
  <si>
    <t>634003, ТОМСКАЯ ОБЛАСТЬ, Г. ТОМСК, УЛ. АЧИНСКАЯ, Д. 9, ОФИС 209</t>
  </si>
  <si>
    <t>Фофанцев Михаил Александрович</t>
  </si>
  <si>
    <t>ОБЩЕСТВО С ОГРАНИЧЕННОЙ ОТВЕТСТВЕННОСТЬЮ "СТРОЙМИКС"</t>
  </si>
  <si>
    <t>"СТРОЙМИКС"</t>
  </si>
  <si>
    <t>7017426777</t>
  </si>
  <si>
    <t>634003, ТОМСКАЯ ОБЛАСТЬ, ГОРОД ТОМСК, УЛИЦА ПАРТИЗАНСКАЯ, ДОМ 4/1,..</t>
  </si>
  <si>
    <t>Акопян Азат Саркисович</t>
  </si>
  <si>
    <t>ОБЩЕСТВО С ОГРАНИЧЕННОЙ ОТВЕТСТВЕННОСТЬЮ КОМПАНИЯ "ПРОЕКТСТРОЙИНВЕСТ"</t>
  </si>
  <si>
    <t>КОМПАНИЯ "ПРОЕКТСТРОЙИНВЕСТ"</t>
  </si>
  <si>
    <t>7017427442</t>
  </si>
  <si>
    <t>ОБЩЕСТВО С ОГРАНИЧЕННОЙ ОТВЕТСТВЕННОСТЬЮ "ЗАВОД СТРОИТЕЛЬНЫХ МАТЕРИАЛОВ "БЕФОРМ"</t>
  </si>
  <si>
    <t>"ЗАВОД СТРОИТЕЛЬНЫХ МАТЕРИАЛОВ "БЕФОРМ"</t>
  </si>
  <si>
    <t>7017353744</t>
  </si>
  <si>
    <t>http://beform.ru</t>
  </si>
  <si>
    <t>634003, ТОМСКАЯ ОБЛАСТЬ, Г. ТОМСК, ПЕР. АСФАЛЬТОВЫЙ, Д.15</t>
  </si>
  <si>
    <t>Куценко Дмитрий Эдуардович</t>
  </si>
  <si>
    <t>+7 (923) 401-38-17', '+7 (913) 115-12-37'</t>
  </si>
  <si>
    <t>1@beform.ru'</t>
  </si>
  <si>
    <t>ОБЩЕСТВО С ОГРАНИЧЕННОЙ ОТВЕТСТВЕННОСТЬЮ "ТОМСКГАЗБЛОК"</t>
  </si>
  <si>
    <t>"ТОМСКГАЗБЛОК"</t>
  </si>
  <si>
    <t>7017429464</t>
  </si>
  <si>
    <t>634045, ТОМСКАЯ ОБЛАСТЬ, Г. ТОМСК, УЛ. НЕФТЯНАЯ, Д. 7,..</t>
  </si>
  <si>
    <t>Жмуров Павел Николаевич</t>
  </si>
  <si>
    <t>ОБЩЕСТВО С ОГРАНИЧЕННОЙ ОТВЕТСТВЕННОСТЬЮ "КАЗАРЯН"</t>
  </si>
  <si>
    <t>"КАЗАРЯН"</t>
  </si>
  <si>
    <t>7017483729</t>
  </si>
  <si>
    <t>634021, ТОМСКАЯ ОБЛАСТЬ, ГОРОД ТОМСК, УЛИЦА ГЕРЦЕНА, ДОМ 65/1, СТРОЕНИЕ 1, ОФИС 218</t>
  </si>
  <si>
    <t>Казарян Арам Гургенович</t>
  </si>
  <si>
    <t>7017479264</t>
  </si>
  <si>
    <t>634049, ТОМСКАЯ ОБЛАСТЬ, ГОРОД ТОМСК, ПЕРЕУЛОК КАРСКИЙ, ДОМ 6, ПОМЕЩЕНИЕ 59</t>
  </si>
  <si>
    <t>Зубков Дмитрий Викторович</t>
  </si>
  <si>
    <t>ОБЩЕСТВО С ОГРАНИЧЕННОЙ ОТВЕТСТВЕННОСТЬЮ "БЕТОН МЕТАЛЛ"</t>
  </si>
  <si>
    <t>"БЕТОН МЕТАЛЛ"</t>
  </si>
  <si>
    <t>7017493741</t>
  </si>
  <si>
    <t>Томская область, ГОРОД ТОМСК, Г ТОМСК, УЛ РАКЕТНАЯ, Д. 4/1</t>
  </si>
  <si>
    <t>Карачун Александр Сергеевич</t>
  </si>
  <si>
    <t>ОБЩЕСТВО С ОГРАНИЧЕННОЙ ОТВЕТСТВЕННОСТЬЮ "ЗКПД ТОМСКОЙ ДОМОСТРОИТЕЛЬНОЙ КОМПАНИИ"</t>
  </si>
  <si>
    <t>"ЗКПД ТОМСКОЙ ДОМОСТРОИТЕЛЬНОЙ КОМПАНИИ"</t>
  </si>
  <si>
    <t>7017026930</t>
  </si>
  <si>
    <t>Г ТОМСК,ЕЛИЗАРОВЫХ УЛ, Д 79, КОРП 1</t>
  </si>
  <si>
    <t>Ефремов Николай Борисович</t>
  </si>
  <si>
    <t>zkpdtdsk@mail.tomsknet', 'kpdtdsk@gmail.com'</t>
  </si>
  <si>
    <t>ОБЩЕСТВО С ОГРАНИЧЕННОЙ ОТВЕТСТВЕННОСТЬЮ "Инвестиционно-промышленно-строительная компания "СтройГород"</t>
  </si>
  <si>
    <t>"Инвестиционно-промышленно-строительная компания "СтройГород"</t>
  </si>
  <si>
    <t>7017259533</t>
  </si>
  <si>
    <t>http://stroygorod.tomsk.ru</t>
  </si>
  <si>
    <t>634049, ТОМСКАЯ ОБЛАСТЬ, Г. ТОМСК, УЛ. РАКЕТНАЯ, Д. 6А</t>
  </si>
  <si>
    <t>Костарев Станислав Дмитриевич</t>
  </si>
  <si>
    <t>ОБЩЕСТВО С ОГРАНИЧЕННОЙ ОТВЕТСТВЕННОСТЬЮ "СТРОЙГОРОД"</t>
  </si>
  <si>
    <t>"СТРОЙГОРОД"</t>
  </si>
  <si>
    <t>7017347780</t>
  </si>
  <si>
    <t>634059, ТОМСКАЯ ОБЛАСТЬ, ГОРОД ТОМСК, УЛИЦА РАКЕТНАЯ, 6A</t>
  </si>
  <si>
    <t>Костарев Дмитрий Викторович</t>
  </si>
  <si>
    <t>+7 (913) 810-60-15'</t>
  </si>
  <si>
    <t>650946@mail.ru'</t>
  </si>
  <si>
    <t>ОБЩЕСТВО С ОГРАНИЧЕННОЙ ОТВЕТСТВЕННОСТЬЮ "СВ МОДУЛЬ"</t>
  </si>
  <si>
    <t>"СВ МОДУЛЬ"</t>
  </si>
  <si>
    <t>7017490412</t>
  </si>
  <si>
    <t>634021, Томская область, ГОРОД ТОМСК, Г ТОМСК, УЛ ЧЕРНОМОРСКАЯ, Д. 41</t>
  </si>
  <si>
    <t>Пузанов Александр Геннадьевич</t>
  </si>
  <si>
    <t>4380090@MAIL.RU'</t>
  </si>
  <si>
    <t>ОБЩЕСТВО С ОГРАНИЧЕННОЙ ОТВЕТСТВЕННОСТЬЮ "ЗАВОД ЭКО БЕТОН"</t>
  </si>
  <si>
    <t>"ЗАВОД ЭКО БЕТОН"</t>
  </si>
  <si>
    <t>7017493124</t>
  </si>
  <si>
    <t>634015, Томская область, ГОРОД ТОМСК, Г ТОМСК, УЛ АЛЕКСАНДРА УГРЮМОВА, Д. 5</t>
  </si>
  <si>
    <t>BETONZAVOD22@MAIL.RU'</t>
  </si>
  <si>
    <t>ОБЩЕСТВО С ОГРАНИЧЕННОЙ ОТВЕТСТВЕННОСТЬЮ "ЖБК-40"</t>
  </si>
  <si>
    <t>"ЖБК-40"</t>
  </si>
  <si>
    <t>7017306896</t>
  </si>
  <si>
    <t>634015, ТОМСКАЯ ОБЛАСТЬ, ГОРОД ТОМСК, УЛИЦА АЛЕКСАНДРА УГРЮМОВА, ДОМ 3/1, ПОМЕЩЕНИЕ 15, 16</t>
  </si>
  <si>
    <t>ОБЩЕСТВО С ОГРАНИЧЕННОЙ ОТВЕТСТВЕННОСТЬЮ "ЗСК СТРОЙ"</t>
  </si>
  <si>
    <t>"ЗСК СТРОЙ"</t>
  </si>
  <si>
    <t>7014062793</t>
  </si>
  <si>
    <t>634507, ТОМСКАЯ ОБЛАСТЬ, Р-Н ТОМСКИЙ, П ЗОНАЛЬНАЯ СТАНЦИЯ, УЛ. ВИТАЛИЯ ГРАЧЁВА, Д. 1, ОФИС 231</t>
  </si>
  <si>
    <t>Кориновский Василий Романович</t>
  </si>
  <si>
    <t>+7 (913) 877-99-73'</t>
  </si>
  <si>
    <t>ОБЩЕСТВО С ОГРАНИЧЕННОЙ ОТВЕТСТВЕННОСТЬЮ "ПЛИТКИНЪ"</t>
  </si>
  <si>
    <t>"ПЛИТКИНЪ"</t>
  </si>
  <si>
    <t>7017400225</t>
  </si>
  <si>
    <t>634021, ТОМСКАЯ ОБЛАСТЬ, ГОРОД ТОМСК, УЛИЦА 1-Я ЗАРЕЧНАЯ, ДОМ 12</t>
  </si>
  <si>
    <t>Кушпилев Денис Александрович</t>
  </si>
  <si>
    <t>+7 (909) 541-91-38'</t>
  </si>
  <si>
    <t>ОБЩЕСТВО С ОГРАНИЧЕННОЙ ОТВЕТСТВЕННОСТЬЮ "ТОМСКИЙ АРБОЛИТ"</t>
  </si>
  <si>
    <t>"ТОМСКИЙ АРБОЛИТ"</t>
  </si>
  <si>
    <t>7017494181</t>
  </si>
  <si>
    <t>634507, Томская область, ГОРОД ТОМСК, Г ТОМСК, УЛ МЕЛИОРАТИВНАЯ, Д. 10,СТР. 12</t>
  </si>
  <si>
    <t>Филимоненко Александр Витальевич</t>
  </si>
  <si>
    <t>ОБЩЕСТВО С ОГРАНИЧЕННОЙ ОТВЕТСТВЕННОСТЬЮ "ЗСМ СОЗВЕЗДИЕ"</t>
  </si>
  <si>
    <t>"ЗСМ СОЗВЕЗДИЕ"</t>
  </si>
  <si>
    <t>7017441694</t>
  </si>
  <si>
    <t>634040, ТОМСКАЯ ОБЛАСТЬ, ГОРОД ТОМСК, УЛИЦА ВЛАДИМИРА ВЫСОЦКОГО, ДОМ 30/3, СТРОЕНИЕ 1</t>
  </si>
  <si>
    <t>Абрамян Слава Тигранович</t>
  </si>
  <si>
    <t>ОБЩЕСТВО С ОГРАНИЧЕННОЙ ОТВЕТСТВЕННОСТЬЮ "СОЗВЕЗДИЕ-ПЛИТКА"</t>
  </si>
  <si>
    <t>"СОЗВЕЗДИЕ-ПЛИТКА"</t>
  </si>
  <si>
    <t>7017483944</t>
  </si>
  <si>
    <t>634040, ТОМСКАЯ ОБЛАСТЬ, ГОРОД ТОМСК, УЛИЦА ВЛАДИМИРА ВЫСОЦКОГО, ДОМ 30/3, СТРОЕНИЕ 1, ОФИС 1</t>
  </si>
  <si>
    <t>PLITKA@MAIL.RU'</t>
  </si>
  <si>
    <t>ОБЩЕСТВО С ОГРАНИЧЕННОЙ ОТВЕТСТВЕННОСТЬЮ "СТРОЙКА СИБИРИ"</t>
  </si>
  <si>
    <t>"СТРОЙКА СИБИРИ"</t>
  </si>
  <si>
    <t>7014057465</t>
  </si>
  <si>
    <t>634538, ТОМСКАЯ ОБЛАСТЬ, РАЙОН ТОМСКИЙ, СЕЛО КОРНИЛОВО, УЛИЦА ПРОЛЕТАРСКАЯ, ДОМ 14-А, СТРОЕНИЕ 5, ПОМЕЩЕНИЕ 1011-1013</t>
  </si>
  <si>
    <t>Сокольников Вячеслав Владимирович</t>
  </si>
  <si>
    <t>+7 (953) 928-38-41'</t>
  </si>
  <si>
    <t>stroikasibiri@yandex.ru', 'filchagova@gmail.com'</t>
  </si>
  <si>
    <t>ОБЩЕСТВО С ОГРАНИЧЕННОЙ ОТВЕТСТВЕННОСТЬЮ "Кемеровский ДСК"</t>
  </si>
  <si>
    <t>"Кемеровский ДСК"</t>
  </si>
  <si>
    <t>4205193907</t>
  </si>
  <si>
    <t>650021, КЕМЕРОВСКАЯ ОБЛАСТЬ - КУЗБАСС, Г. КЕМЕРОВО, УЛ. ГРУЗОВАЯ, Д.21, К.Г</t>
  </si>
  <si>
    <t>Сычев Дмитрий Аркадьевич</t>
  </si>
  <si>
    <t>ОБЩЕСТВО С ОГРАНИЧЕННОЙ ОТВЕТСТВЕННОСТЬЮ "ЖБ МОНОЛИТ"</t>
  </si>
  <si>
    <t>"ЖБ МОНОЛИТ"</t>
  </si>
  <si>
    <t>4205315626</t>
  </si>
  <si>
    <t>650905, КЕМЕРОВСКАЯ ОБЛАСТЬ - КУЗБАСС, ГОРОД КЕМЕРОВО, УЛИЦА МАСАЛЬСКАЯ, ДОМ 3 Б</t>
  </si>
  <si>
    <t>Родин Игорь Сергеевич</t>
  </si>
  <si>
    <t>+7 (913) 423-73-90', '+7 (905) 905-50-41'</t>
  </si>
  <si>
    <t>Общество с ограниченной ответственностью "ТРОТУАРСТРОЙ"</t>
  </si>
  <si>
    <t>"ТРОТУАРСТРОЙ"</t>
  </si>
  <si>
    <t>4205385060</t>
  </si>
  <si>
    <t>650021, КЕМЕРОВСКАЯ ОБЛАСТЬ - КУЗБАСС, Г КЕМЕРОВО, УЛ ШАТУРСКАЯ, Д 3 А, ОФИС 1</t>
  </si>
  <si>
    <t>Федотов Виктор Александрович</t>
  </si>
  <si>
    <t>+7 (903) 909-06-04'</t>
  </si>
  <si>
    <t>ОБЩЕСТВО С ОГРАНИЧЕННОЙ ОТВЕТСТВЕННОСТЬЮ "БЕТОНДЕТАЛЬ"</t>
  </si>
  <si>
    <t>"БЕТОНДЕТАЛЬ"</t>
  </si>
  <si>
    <t>4205404964</t>
  </si>
  <si>
    <t>650021, Кемеровская область - Кузбасс, городской округ КЕМЕРОВСКИЙ, Город КЕМЕРОВО, УЛ ШАТУРСКАЯ, Д. 3А, ОФИС 2</t>
  </si>
  <si>
    <t>Михайлова Ольга Александровна</t>
  </si>
  <si>
    <t>ОБЩЕСТВО С ОГРАНИЧЕННОЙ ОТВЕТСТВЕННОСТЬЮ "АЛДЕН"</t>
  </si>
  <si>
    <t>"АЛДЕН"</t>
  </si>
  <si>
    <t>4205378601</t>
  </si>
  <si>
    <t>650024, КЕМЕРОВСКАЯ ОБЛАСТЬ - КУЗБАСС, ГОРОД КЕМЕРОВО, УЛИЦА БАЗОВАЯ, ДОМ 1, КОРПУС А, ОФИС 1</t>
  </si>
  <si>
    <t>Коробейников Денис Валерьевич</t>
  </si>
  <si>
    <t>lolal82@mail.ru', '42ase@mail.ru'</t>
  </si>
  <si>
    <t>4205063827</t>
  </si>
  <si>
    <t>650044, КЕМЕРОВСКАЯ ОБЛАСТЬ - КУЗБАСС, Г. КЕМЕРОВО, УЛ. ШАХТЕРСКАЯ, Д.9, К.1</t>
  </si>
  <si>
    <t>Редекоп Юрий Георгиевич</t>
  </si>
  <si>
    <t>+7 (903) 993-83-93'</t>
  </si>
  <si>
    <t>4205194428</t>
  </si>
  <si>
    <t>650044, КЕМЕРОВСКАЯ ОБЛАСТЬ - КУЗБАСС, Г. КЕМЕРОВО, УЛ. ШАХТЕРСКАЯ, Д.9</t>
  </si>
  <si>
    <t>Архипов Анатолий Анатольевич</t>
  </si>
  <si>
    <t>4205134771</t>
  </si>
  <si>
    <t>650000, КЕМЕРОВСКАЯ ОБЛАСТЬ - КУЗБАСС, КЕМЕРОВО Г, КУЗНЕЦКИЙ ПР-КТ, ДОМ 15, ЛИТЕР Е, ПОМЕЩЕНИЕ 14</t>
  </si>
  <si>
    <t>Бондарь Андрей Петрович</t>
  </si>
  <si>
    <t>ОБЩЕСТВО С ОГРАНИЧЕННОЙ ОТВЕТСТВЕННОСТЬЮ "СТЕЛЛА ПАМЯТЬ"</t>
  </si>
  <si>
    <t>"СТЕЛЛА ПАМЯТЬ"</t>
  </si>
  <si>
    <t>4205278445</t>
  </si>
  <si>
    <t>http://st-pamyat.ru</t>
  </si>
  <si>
    <t>650044, КЕМЕРОВСКАЯ ОБЛАСТЬ - КУЗБАСС, ГОРОД КЕМЕРОВО, УЛИЦА ПРОЕЗДНАЯ, ДОМ 2А, КОРПУС 1</t>
  </si>
  <si>
    <t>Суворов Артем Александрович</t>
  </si>
  <si>
    <t>+7 (923) 480-77-44', '+7 (384) 236-33-36', '+7 (384) 234-89-77', '+7 (903) 907-36-90'</t>
  </si>
  <si>
    <t>oooshans@yandex.ru', '09@yandex.ru'</t>
  </si>
  <si>
    <t>ОБЩЕСТВО С ОГРАНИЧЕННОЙ ОТВЕТСТВЕННОСТЬЮ "ПЕРЕРАБОТКА"</t>
  </si>
  <si>
    <t>"ПЕРЕРАБОТКА"</t>
  </si>
  <si>
    <t>4205362841</t>
  </si>
  <si>
    <t>650043, Кемеровская область - Кузбасс, городской округ КЕМЕРОВСКИЙ, Город КЕМЕРОВО, УЛ 50 ЛЕТ ОКТЯБРЯ, ЗД. 11, К. 1, ОФИС 213</t>
  </si>
  <si>
    <t>Екимов Лев Викторович</t>
  </si>
  <si>
    <t>tatiyana_k56@mail.ru'</t>
  </si>
  <si>
    <t>ОБЩЕСТВО С ОГРАНИЧЕННОЙ ОТВЕТСТВЕННОСТЬЮ "ЛЕКОДОМ"</t>
  </si>
  <si>
    <t>"ЛЕКОДОМ"</t>
  </si>
  <si>
    <t>4205385246</t>
  </si>
  <si>
    <t>650040, Кемеровская область - Кузбасс, городской округ КЕМЕРОВСКИЙ, Город КЕМЕРОВО, УЛ ДРУЖБЫ, Д. 30/7,..</t>
  </si>
  <si>
    <t>Глазырин Игорь Вячиславович</t>
  </si>
  <si>
    <t>okuneva_80@mail.ru', 'glazyrin78kem@gmail.com'</t>
  </si>
  <si>
    <t>ОБЩЕСТВО С ОГРАНИЧЕННОЙ ОТВЕТСТВЕННОСТЬЮ "СИРО"</t>
  </si>
  <si>
    <t>"СИРО"</t>
  </si>
  <si>
    <t>4207023940</t>
  </si>
  <si>
    <t>650070, КЕМЕРОВСКАЯ ОБЛАСТЬ - КУЗБАСС, Г. КЕМЕРОВО, УЛ. ТУХАЧЕВСКОГО, Д.45,..</t>
  </si>
  <si>
    <t>Оганесян Сирекан Гургенович</t>
  </si>
  <si>
    <t>ОБЩЕСТВО С ОГРАНИЧЕННОЙ ОТВЕТСТВЕННОСТЬЮ "БЕТОНАРТ-СЕРВИС"</t>
  </si>
  <si>
    <t>"БЕТОНАРТ-СЕРВИС"</t>
  </si>
  <si>
    <t>4205187318</t>
  </si>
  <si>
    <t>650070, КЕМЕРОВСКАЯ ОБЛАСТЬ - КУЗБАСС, ГОРОД КЕМЕРОВО, УЛИЦА ТЕРЕШКОВОЙ, ДОМ 75, ОФИС 1</t>
  </si>
  <si>
    <t>Князькина Дарья Евгеньевна</t>
  </si>
  <si>
    <t>ОБЩЕСТВО С ОГРАНИЧЕННОЙ ОТВЕТСТВЕННОСТЬЮ "АЛЬТЕРНАТИВА ГАРАНТ"</t>
  </si>
  <si>
    <t>"АЛЬТЕРНАТИВА ГАРАНТ"</t>
  </si>
  <si>
    <t>4205316041</t>
  </si>
  <si>
    <t>Г КЕМЕРОВО,ПРОСП ЛЕНИНА,Д 139..</t>
  </si>
  <si>
    <t>Калинин Евгений Сергеевич</t>
  </si>
  <si>
    <t>+7 (913) 437-50-42'</t>
  </si>
  <si>
    <t>ОБЩЕСТВО С ОГРАНИЧЕННОЙ ОТВЕТСТВЕННОСТЬЮ "ИЖМОРСКИЙ ЗАВОД СТРОИТЕЛЬНЫХ МАТЕРИАЛОВ"</t>
  </si>
  <si>
    <t>"ИЖМОРСКИЙ ЗАВОД СТРОИТЕЛЬНЫХ МАТЕРИАЛОВ"</t>
  </si>
  <si>
    <t>4246021576</t>
  </si>
  <si>
    <t>650065, КЕМЕРОВСКАЯ ОБЛАСТЬ - КУЗБАСС, Г. Кемерово, ПР-КТ ЛЕНИНГРАДСКИЙ, Д. 24А,..</t>
  </si>
  <si>
    <t>Орловский Олег Александрович</t>
  </si>
  <si>
    <t>+7 (913) 299-32-92'</t>
  </si>
  <si>
    <t>4205377647</t>
  </si>
  <si>
    <t>630003, КЕМЕРОВСКАЯ ОБЛАСТЬ - КУЗБАСС, ГОРОД КЕМЕРОВО, ПРОСПЕКТ ЛЕНИНГРАДСКИЙ, ДОМ 38, КОРПУС А,..</t>
  </si>
  <si>
    <t>Кравченко Михаил Витальевич</t>
  </si>
  <si>
    <t>ОБЩЕСТВО С ОГРАНИЧЕННОЙ ОТВЕТСТВЕННОСТЬЮ "ГАРАНТИЯ"</t>
  </si>
  <si>
    <t>"ГАРАНТИЯ"</t>
  </si>
  <si>
    <t>7003000837</t>
  </si>
  <si>
    <t>ТОМСКАЯ ОБЛ.,ЗЫРЯНСКИЙ Р-Н,С МИХАЙЛОВКА,Д 34</t>
  </si>
  <si>
    <t>Стародубцев Евгений Михайлович</t>
  </si>
  <si>
    <t>+7 (953) 913-73-33'</t>
  </si>
  <si>
    <t>ОБЩЕСТВО С ОГРАНИЧЕННОЙ ОТВЕТСТВЕННОСТЬЮ "СИБСТРОЙХОЛДИНГ"</t>
  </si>
  <si>
    <t>"СИБСТРОЙХОЛДИНГ"</t>
  </si>
  <si>
    <t>2439008017</t>
  </si>
  <si>
    <t>КРАСНОЯРСКИЙ КРАЙ,ТЮХТЕТСКИЙ Р-Н,Д ДВИНКА,УЛ КИРОВА Д 13</t>
  </si>
  <si>
    <t>Червонный Сергей Андреевич</t>
  </si>
  <si>
    <t>ОБЩЕСТВО С ОГРАНИЧЕННОЙ ОТВЕТСТВЕННОСТЬЮ "ЖЕЛЕЗОБЕТОН КРАСНОЯРСКСТРОЙ"</t>
  </si>
  <si>
    <t>"ЖЕЛЕЗОБЕТОН КРАСНОЯРСКСТРОЙ"</t>
  </si>
  <si>
    <t>2464122370</t>
  </si>
  <si>
    <t>КРАСНОЯРСКИЙ КРАЙ,Г ШАРЫПОВО,МКР-Н 1 Д 13</t>
  </si>
  <si>
    <t>Азарова Альбина Николаевна</t>
  </si>
  <si>
    <t>2444300754</t>
  </si>
  <si>
    <t>КРАСНОЯРСКИЙ КРАЙ,Г БОГОТОЛ,УЛ БОГАШЕВА Д 10</t>
  </si>
  <si>
    <t>Бальчонок Сергей Александрович</t>
  </si>
  <si>
    <t>+7 (960) 764-40-70'</t>
  </si>
  <si>
    <t>ОБЩЕСТВО С ОГРАНИЧЕННОЙ ОТВЕТСТВЕННОСТЬЮ "СИБСТРОЙКОМПЛЕКТ"</t>
  </si>
  <si>
    <t>"СИБСТРОЙКОМПЛЕКТ"</t>
  </si>
  <si>
    <t>2456016603</t>
  </si>
  <si>
    <t>662205, КРАСНОЯРСКИЙ КРАЙ, ГОРОД НАЗАРОВО, УЛИЦА КУТУЗОВА, ДОМ 9</t>
  </si>
  <si>
    <t>Тихонович Вадим Васильевич</t>
  </si>
  <si>
    <t>ssk2400@mail.ru'</t>
  </si>
  <si>
    <t>2456016508</t>
  </si>
  <si>
    <t>662213, КРАСНОЯРСКИЙ КРАЙ, НАЗАРОВСКИЙ РАЙОН, ПОСЕЛОК ПРЕОБРАЖЕНСКИЙ, УЛИЦА МОЛОДЕЖНАЯ, ДОМ 11,..</t>
  </si>
  <si>
    <t>Василевский Михаил Петрович</t>
  </si>
  <si>
    <t>ru@mail.ru'</t>
  </si>
  <si>
    <t>ОБЩЕСТВО С ОГРАНИЧЕННОЙ ОТВЕТСТВЕННОСТЬЮ "СИББЛОК"</t>
  </si>
  <si>
    <t>"СИББЛОК"</t>
  </si>
  <si>
    <t>2456016272</t>
  </si>
  <si>
    <t>662201, КРАСНОЯРСКИЙ КРАЙ, ГОРОД НАЗАРОВО, МИКРОРАЙОН БЕРЕЗОВАЯ РОЩА, ВЛАДЕНИЕ 2, ЗД. 7</t>
  </si>
  <si>
    <t>Елизарьев Николай Константинович</t>
  </si>
  <si>
    <t>+7 (902) 982-20-48'</t>
  </si>
  <si>
    <t>ОБЩЕСТВО С ОГРАНИЧЕННОЙ ОТВЕТСТВЕННОСТЬЮ "ЛЕГИОН"</t>
  </si>
  <si>
    <t>"ЛЕГИОН"</t>
  </si>
  <si>
    <t>2443049270</t>
  </si>
  <si>
    <t>662150, КРАСНОЯРСКИЙ КРАЙ, ГОРОД АЧИНСК, МИКРОРАЙОН 5-Й, СТРОЕНИЕ 38"А"</t>
  </si>
  <si>
    <t>Чесницкий Андрей Анатольевич</t>
  </si>
  <si>
    <t>+7 (965) 901-11-81'</t>
  </si>
  <si>
    <t>Общество с ограниченной ответственностью "Универсал +"</t>
  </si>
  <si>
    <t>"Универсал +"</t>
  </si>
  <si>
    <t>2443028175</t>
  </si>
  <si>
    <t>662161, КРАСНОЯРСКИЙ КРАЙ, Г. АЧИНСК, МКР 4-Й, Д.40, -, -</t>
  </si>
  <si>
    <t>Сеидов Эмин Ахмед Оглы</t>
  </si>
  <si>
    <t>2443041803</t>
  </si>
  <si>
    <t>662150, Красноярский край, г Ачинск, тер 3-й микрорайон Привокзального района, д 19б,..</t>
  </si>
  <si>
    <t>Черновалов Виктор Михайлович</t>
  </si>
  <si>
    <t>+7 (903) 921-86-71'</t>
  </si>
  <si>
    <t>ОБЩЕСТВО С ОГРАНИЧЕННОЙ ОТВЕТСТВЕННОСТЬЮ ПРОИЗВОДСТВЕННО-КОММЕРЧЕСКАЯ ФИРМА "КОМПЛЕКС-СТРОЙ"</t>
  </si>
  <si>
    <t>ПРОИЗВОДСТВЕННО-КОММЕРЧЕСКАЯ ФИРМА "КОМПЛЕКС-СТРОЙ"</t>
  </si>
  <si>
    <t>2443032830</t>
  </si>
  <si>
    <t>662150, КРАСНОЯРСКИЙ КРАЙ, ГОРОД АЧИНСК, УЛИЦА САЯНСКАЯ, ЗДАНИЕ 8</t>
  </si>
  <si>
    <t>Котегов Игорь Юрьевич</t>
  </si>
  <si>
    <t>ОБЩЕСТВО С ОГРАНИЧЕННОЙ ОТВЕТСТВЕННОСТЬЮ "Строй-Подряд"</t>
  </si>
  <si>
    <t>"Строй-Подряд"</t>
  </si>
  <si>
    <t>2443038279</t>
  </si>
  <si>
    <t>662150, КРАСНОЯРСКИЙ КРАЙ, Г. АЧИНСК, УЛ. САЯНСКАЯ, СТРОЕНИЕ 8</t>
  </si>
  <si>
    <t>Котегова Светлана Владимировна</t>
  </si>
  <si>
    <t>ОБЩЕСТВО С ОГРАНИЧЕННОЙ ОТВЕТСТВЕННОСТЬЮ "Ковчег"</t>
  </si>
  <si>
    <t>"Ковчег"</t>
  </si>
  <si>
    <t>2461221453</t>
  </si>
  <si>
    <t>663090, КРАСНОЯРСКИЙ КРАЙ, Г. Дивногорск, УЛ. ГИДРОСТРОИТЕЛЕЙ, Д. 2Г/16, ПОМЕЩ. 3</t>
  </si>
  <si>
    <t>Михайлова Анна Владимировна</t>
  </si>
  <si>
    <t>+7 (923) 280-95-98'</t>
  </si>
  <si>
    <t>annmikann@gmail.com'</t>
  </si>
  <si>
    <t>2411025090</t>
  </si>
  <si>
    <t>663011, Красноярский край, Емельяновский район, п Элита, ул. Городская, д. 31А-1</t>
  </si>
  <si>
    <t>Саросек Денис Викторович</t>
  </si>
  <si>
    <t>gbuxkdsk@bk.ru'</t>
  </si>
  <si>
    <t>2411017124</t>
  </si>
  <si>
    <t>КРАСНОЯРСКИЙ КРАЙ,РП ЕМЕЛЬЯНОВО,УЛ ЗЕЛЕНАЯ Д 15</t>
  </si>
  <si>
    <t>Плиев Алихан Усманович</t>
  </si>
  <si>
    <t>ОБЩЕСТВО С ОГРАНИЧЕННОЙ ОТВЕТСТВЕННОСТЬЮ "АСНОВА"</t>
  </si>
  <si>
    <t>"АСНОВА"</t>
  </si>
  <si>
    <t>2463113608</t>
  </si>
  <si>
    <t>663020, КРАСНОЯРСКИЙ КРАЙ, РАЙОН ЕМЕЛЬЯНОВСКИЙ, ПОСЕЛОК ГОРОДСКОГО ТИПА ЕМЕЛЬЯНОВО, ТЕРРИТОРИЯ АЭРОПОРТ КРАСНОЯРСК, ЗД 53, КАБИНЕТ 2</t>
  </si>
  <si>
    <t>Завьялов Сергей Владимирович</t>
  </si>
  <si>
    <t>asnova2018@bk.ru', 'dyygan@hotmail.com'</t>
  </si>
  <si>
    <t>ОБЩЕСТВО С ОГРАНИЧЕННОЙ ОТВЕТСТВЕННОСТЬЮ "СТРОЙ-М"</t>
  </si>
  <si>
    <t>"СТРОЙ-М"</t>
  </si>
  <si>
    <t>2411028599</t>
  </si>
  <si>
    <t>663011, КРАСНОЯРСКИЙ КРАЙ, РАЙОН ЕМЕЛЬЯНОВСКИЙ, ДЕРЕВНЯ МИНИНО, УЛИЦА ОСЕННЯЯ, ДОМ 33</t>
  </si>
  <si>
    <t>Сувейзда Светлана Леонидовна</t>
  </si>
  <si>
    <t>+7 (952) 749-14-66'</t>
  </si>
  <si>
    <t>ОБЩЕСТВО С ОГРАНИЧЕННОЙ ОТВЕТСТВЕННОСТЬЮ "НОВОДЕЛ"</t>
  </si>
  <si>
    <t>"НОВОДЕЛ"</t>
  </si>
  <si>
    <t>2463255232</t>
  </si>
  <si>
    <t>660030, КРАСНОЯРСКИЙ КРАЙ, ГОРОД КРАСНОЯРСК, УЛИЦА 2-Я БОТАНИЧЕСКАЯ, ДОМ 2,..</t>
  </si>
  <si>
    <t>Чивильдеева Наталья Степановна</t>
  </si>
  <si>
    <t>+7 (391) 274-74-21'</t>
  </si>
  <si>
    <t>2463205270</t>
  </si>
  <si>
    <t>660062, КРАСНОЯРСКИЙ КРАЙ, Г. КРАСНОЯРСК, УЛ. ВЫСОТНАЯ, Д.4</t>
  </si>
  <si>
    <t>Морозова Олеся Анатольевна</t>
  </si>
  <si>
    <t>+7 (960) 762-60-91'</t>
  </si>
  <si>
    <t>ОБЩЕСТВО С ОГРАНИЧЕННОЙ ОТВЕТСТВЕННОСТЬЮ "А-БЕТОН"</t>
  </si>
  <si>
    <t>"А-БЕТОН"</t>
  </si>
  <si>
    <t>2463117641</t>
  </si>
  <si>
    <t>660041, КРАСНОЯРСКИЙ КРАЙ, ГОРОД КРАСНОЯРСК, ПРОСПЕКТ СВОБОДНЫЙ, ДОМ 64И</t>
  </si>
  <si>
    <t>ОБЩЕСТВО С ОГРАНИЧЕННОЙ ОТВЕТСТВЕННОСТЬЮ "УНИВЕРСАЛ +"</t>
  </si>
  <si>
    <t>"УНИВЕРСАЛ +"</t>
  </si>
  <si>
    <t>2463115411</t>
  </si>
  <si>
    <t>660062, КРАСНОЯРСКИЙ КРАЙ, ГОРОД КРАСНОЯРСК, УЛИЦА ТЕЛЕВИЗОРНАЯ, ДОМ 7А, СТРОЕНИЕ 5, ОФИС 2-35</t>
  </si>
  <si>
    <t>Теплюк Евгений Сергеевич</t>
  </si>
  <si>
    <t>universal_plus2018@mail.ru'</t>
  </si>
  <si>
    <t>ОБЩЕСТВО С ОГРАНИЧЕННОЙ ОТВЕТСТВЕННОСТЬЮ "СТРОЙСИБИНВЕСТ"</t>
  </si>
  <si>
    <t>"СТРОЙСИБИНВЕСТ"</t>
  </si>
  <si>
    <t>2463065873</t>
  </si>
  <si>
    <t>Г КРАСНОЯРСК,УЛ ТЕЛЕВИЗОРНАЯ Д 1 КОРПУС 6 ОФИС 310</t>
  </si>
  <si>
    <t>Симонян Ваграм Арутович</t>
  </si>
  <si>
    <t>ОБЩЕСТВО С ОГРАНИЧЕННОЙ ОТВЕТСТВЕННОСТЬЮ "СОВРЕМЕННЫЕ КОНСТРУКЦИОННЫЕ ЭЛЕМЕНТЫ"</t>
  </si>
  <si>
    <t>"СОВРЕМЕННЫЕ КОНСТРУКЦИОННЫЕ ЭЛЕМЕНТЫ"</t>
  </si>
  <si>
    <t>2465202765</t>
  </si>
  <si>
    <t>660041, КРАСНОЯРСКИЙ КРАЙ, ГОРОД КРАСНОЯРСК, УЛИЦА АКАДЕМИКА КИРЕНСКОГО, ДОМ 89, СТРОЕНИЕ 1, ПОМЕЩЕНИЕ 22 КОМНАТА 24</t>
  </si>
  <si>
    <t>Гуль Александр Иванович</t>
  </si>
  <si>
    <t>+7 (391) 252-20-84'</t>
  </si>
  <si>
    <t>ОБЩЕСТВО С ОГРАНИЧЕННОЙ ОТВЕТСТВЕННОСТЬЮ "СИБФОРВАРД"</t>
  </si>
  <si>
    <t>"СИБФОРВАРД"</t>
  </si>
  <si>
    <t>2460103009</t>
  </si>
  <si>
    <t>660062, КРАСНОЯРСКИЙ КРАЙ, ГОРОД КРАСНОЯРСК, УЛИЦА ТЕЛЕВИЗОРНАЯ, ЗД 4Б/9</t>
  </si>
  <si>
    <t>Плиев Алексей Алиханович</t>
  </si>
  <si>
    <t>+7 (905) 971-43-57'</t>
  </si>
  <si>
    <t>ОБЩЕСТВО С ОГРАНИЧЕННОЙ ОТВЕТСТВЕННОСТЬЮ "ТОРГОВО-ПРОМЫШЛЕННАЯ КОМПАНИЯ СТРОЙКОМ"</t>
  </si>
  <si>
    <t>"ТОРГОВО-ПРОМЫШЛЕННАЯ КОМПАНИЯ СТРОЙКОМ"</t>
  </si>
  <si>
    <t>2460103030</t>
  </si>
  <si>
    <t>660062, КРАСНОЯРСКИЙ КРАЙ, ГОРОД КРАСНОЯРСК, УЛИЦА ТЕЛЕВИЗОРНАЯ, ДОМ 4Б</t>
  </si>
  <si>
    <t>Лапшаков Дмитрий Александрович</t>
  </si>
  <si>
    <t>ОБЩЕСТВО С ОГРАНИЧЕННОЙ ОТВЕТСТВЕННОСТЬЮ "ПОБЕДА"</t>
  </si>
  <si>
    <t>"ПОБЕДА"</t>
  </si>
  <si>
    <t>2463109739</t>
  </si>
  <si>
    <t>660100, КРАСНОЯРСКИЙ КРАЙ, ГОРОД КРАСНОЯРСК, УЛИЦА ЧКАЛОВА, ДОМ 14Б</t>
  </si>
  <si>
    <t>Патюков Роман Владимирович</t>
  </si>
  <si>
    <t>+7 (923) 354-86-82'</t>
  </si>
  <si>
    <t>ОБЩЕСТВО С ОГРАНИЧЕННОЙ ОТВЕТСТВЕННОСТЬЮ "САРМАТ24"</t>
  </si>
  <si>
    <t>"САРМАТ24"</t>
  </si>
  <si>
    <t>2411027683</t>
  </si>
  <si>
    <t>660015, КРАСНОЯРСКИЙ КРАЙ, Р-Н ЕМЕЛЬЯНОВСКИЙ, П СОЛОНЦЫ, УЛ. МОЛОДЕЖНАЯ, Д. 22-2 Б, СТР. 2</t>
  </si>
  <si>
    <t>Ильченко Константин Сергеевич</t>
  </si>
  <si>
    <t>ОБЩЕСТВО С ОГРАНИЧЕННОЙ ОТВЕТСТВЕННОСТЬЮ "ЛИНИЯ"</t>
  </si>
  <si>
    <t>"ЛИНИЯ"</t>
  </si>
  <si>
    <t>2411030975</t>
  </si>
  <si>
    <t>660015, КРАСНОЯРСКИЙ КРАЙ, Р-Н Емельяновский, п. Солонцы, ПЛ-КА КУБЕКОВСКАЯ ПРОМЗОНА, СТР. 4/1</t>
  </si>
  <si>
    <t>Весновский Вадим Валерьевич</t>
  </si>
  <si>
    <t>ОБЩЕСТВО С ОГРАНИЧЕННОЙ ОТВЕТСТВЕННОСТЬЮ "ЗЕЛЁНАЯ ЗОНА"</t>
  </si>
  <si>
    <t>"ЗЕЛЁНАЯ ЗОНА"</t>
  </si>
  <si>
    <t>2463248676</t>
  </si>
  <si>
    <t>660001, КРАСНОЯРСКИЙ КРАЙ, ГОРОД КРАСНОЯРСК, УЛИЦА КОПЫЛОВА, ДОМ 17,..</t>
  </si>
  <si>
    <t>Улас Евгений Александрович</t>
  </si>
  <si>
    <t>+7 (391) 297-83-31'</t>
  </si>
  <si>
    <t>vavabo82@yandex.ru'</t>
  </si>
  <si>
    <t>ОБЩЕСТВО С ОГРАНИЧЕННОЙ ОТВЕТСТВЕННОСТЬЮ "Бетонорастворный завод"</t>
  </si>
  <si>
    <t>"Бетонорастворный завод"</t>
  </si>
  <si>
    <t>2465242800</t>
  </si>
  <si>
    <t>660048, КРАСНОЯРСКИЙ КРАЙ, Г. КРАСНОЯРСК, УЛ. МАЕРЧАКА, ЗД 67А/8</t>
  </si>
  <si>
    <t>Белов Андрей Николаевич</t>
  </si>
  <si>
    <t>ОБЩЕСТВО С ОГРАНИЧЕННОЙ ОТВЕТСТВЕННОСТЬЮ "БРАГОР"</t>
  </si>
  <si>
    <t>"БРАГОР"</t>
  </si>
  <si>
    <t>2460087043</t>
  </si>
  <si>
    <t>660075, КРАСНОЯРСКИЙ КРАЙ, ГОРОД КРАСНОЯРСК, УЛИЦА КРАСНОЙ ГВАРДИИ, ДОМ 21, ОФИС 614</t>
  </si>
  <si>
    <t>Горохов Роман Сергеевич</t>
  </si>
  <si>
    <t>bragor@mail.ru'</t>
  </si>
  <si>
    <t>2460068594</t>
  </si>
  <si>
    <t>660075, КРАСНОЯРСКИЙ КРАЙ, КРАСНОЯРСК Г, ЖЕЛЕЗНОДОРОЖНИКОВ УЛ, ДОМ 17, ПОМЕЩЕНИЕ 15, КОМНАТА 18</t>
  </si>
  <si>
    <t>ОБЩЕСТВО С ОГРАНИЧЕННОЙ ОТВЕТСТВЕННОСТЬЮ "АКТИВСТРОЙ"</t>
  </si>
  <si>
    <t>"АКТИВСТРОЙ"</t>
  </si>
  <si>
    <t>2460119626</t>
  </si>
  <si>
    <t>660021, Красноярский край, городской округ ГОРОД КРАСНОЯРСК, Город КРАСНОЯРСК, УЛ РОБЕСПЬЕРА, Д. 7, ПОМЕЩ. 37 ОФИС 403</t>
  </si>
  <si>
    <t>Гавло Сергей Михайлович</t>
  </si>
  <si>
    <t>9029460090@MAIL.RU'</t>
  </si>
  <si>
    <t>ПРОИЗВОДСТВЕННЫЙ КООПЕРАТИВ "НАДЁЖНЫЙ"</t>
  </si>
  <si>
    <t>2411029828</t>
  </si>
  <si>
    <t>660015, КРАСНОЯРСКИЙ КРАЙ, Р-Н ЕМЕЛЬЯНОВСКИЙ, П СОЛОНЦЫ, УЛ. НОВОСТРОЕК, ЗД. 4 "А", СТР. 1, ПОМЕЩ. 7</t>
  </si>
  <si>
    <t>Плешкова Любовь Николаевна</t>
  </si>
  <si>
    <t>ОБЩЕСТВО С ОГРАНИЧЕННОЙ ОТВЕТСТВЕННОСТЬЮ "СКЭБЭКС +"</t>
  </si>
  <si>
    <t>"СКЭБЭКС +"</t>
  </si>
  <si>
    <t>2464152582</t>
  </si>
  <si>
    <t>660012, КРАСНОЯРСКИЙ КРАЙ, ГОРОД КРАСНОЯРСК, УЛИЦА СУДОСТРОИТЕЛЬНАЯ, ДОМ 113,..</t>
  </si>
  <si>
    <t>Лазицкий Андрей Михайлович</t>
  </si>
  <si>
    <t>+7 (923) 557-15-35'</t>
  </si>
  <si>
    <t>ОБЩЕСТВО С ОГРАНИЧЕННОЙ ОТВЕТСТВЕННОСТЬЮ "НОВЫЕ ЗАБОРЫ"</t>
  </si>
  <si>
    <t>"НОВЫЕ ЗАБОРЫ"</t>
  </si>
  <si>
    <t>2464046249</t>
  </si>
  <si>
    <t>Г КРАСНОЯРСК,УЛ СВЕРДЛОВСКАЯ Д 53</t>
  </si>
  <si>
    <t>Колмакова Екатерина Юрьевна</t>
  </si>
  <si>
    <t>+7 (391) 251-05-67'</t>
  </si>
  <si>
    <t>ОБЩЕСТВО С ОГРАНИЧЕННОЙ ОТВЕТСТВЕННОСТЬЮ "СОВРЕМЕННЫЕ СТРОИТЕЛЬНЫЕ СИСТЕМЫ"</t>
  </si>
  <si>
    <t>"СОВРЕМЕННЫЕ СТРОИТЕЛЬНЫЕ СИСТЕМЫ"</t>
  </si>
  <si>
    <t>2458014418</t>
  </si>
  <si>
    <t>660077, КРАСНОЯРСКИЙ КРАЙ, Г. КРАСНОЯРСК, УЛ. АЛЕКСЕЕВА, Д. 49, ОФИС 8-15</t>
  </si>
  <si>
    <t>Ряжева Мадина Владимировна</t>
  </si>
  <si>
    <t>+7 (908) 206-84-00'</t>
  </si>
  <si>
    <t>ОБЩЕСТВО С ОГРАНИЧЕННОЙ ОТВЕТСТВЕННОСТЬЮ "КРАСНОЯРСКИЙ ЗАВОД ЖЕЛЕЗОБЕТОННЫХ ИЗДЕЛИЙ"</t>
  </si>
  <si>
    <t>"КРАСНОЯРСКИЙ ЗАВОД ЖЕЛЕЗОБЕТОННЫХ ИЗДЕЛИЙ"</t>
  </si>
  <si>
    <t>2462064789</t>
  </si>
  <si>
    <t>660041, Красноярский край, городской округ ГОРОД КРАСНОЯРСК, Город КРАСНОЯРСК, ПР-КТ СВОБОДНЫЙ, Д. 60А, ОФИС 3-20</t>
  </si>
  <si>
    <t>Лавриненко Наталья Валериевна</t>
  </si>
  <si>
    <t>ОБЩЕСТВО С ОГРАНИЧЕННОЙ ОТВЕТСТВЕННОСТЬЮ "ПРОИЗВОДСТВЕННО-СТРОИТЕЛЬНАЯ КОМПАНИЯ "ЖЕЛЕЗОБЕТОН"</t>
  </si>
  <si>
    <t>"ПРОИЗВОДСТВЕННО-СТРОИТЕЛЬНАЯ КОМПАНИЯ "ЖЕЛЕЗОБЕТОН"</t>
  </si>
  <si>
    <t>2465166059</t>
  </si>
  <si>
    <t>660111, КРАСНОЯРСКИЙ КРАЙ, Г. КРАСНОЯРСК, УЛ. ПОГРАНИЧНИКОВ, Д. 44, ОФИС 11, 9</t>
  </si>
  <si>
    <t>Абасов Мислим Магарамович</t>
  </si>
  <si>
    <t>+7 (965) 899-44-44'</t>
  </si>
  <si>
    <t>2465178907</t>
  </si>
  <si>
    <t>660135, КРАСНОЯРСКИЙ КРАЙ, ГОРОД КРАСНОЯРСК, УЛИЦА ВЗЛЕТНАЯ, ДОМ 5А, ПОМЕЩЕНИЕ 16, КАБИНЕТ 220/1</t>
  </si>
  <si>
    <t>Пермин Андрей Викторович</t>
  </si>
  <si>
    <t>natalya@list.ru', 'stroibeton24@mail.ru'</t>
  </si>
  <si>
    <t>2404011690</t>
  </si>
  <si>
    <t>660078, КРАСНОЯРСКИЙ КРАЙ, Г. КРАСНОЯРСК, УЛ. СВЕРДЛОВСКАЯ, Д.33,..</t>
  </si>
  <si>
    <t>Ошарова Татьяна Владимировна</t>
  </si>
  <si>
    <t>ОБЩЕСТВО С ОГРАНИЧЕННОЙ ОТВЕТСТВЕННОСТЬЮ "ТЕРРА"</t>
  </si>
  <si>
    <t>"ТЕРРА"</t>
  </si>
  <si>
    <t>2466136120</t>
  </si>
  <si>
    <t>Г КРАСНОЯРСК,УЛ ДИКТАТУРЫ ПРОЛЕТАРИАТА Д 10 ОФ 1-06</t>
  </si>
  <si>
    <t>Кузнецова Светлана Александровна</t>
  </si>
  <si>
    <t>+7 (391) 293-75-80', '+7 (391) 293-62-70'</t>
  </si>
  <si>
    <t>ОБЩЕСТВО С ОГРАНИЧЕННОЙ ОТВЕТСТВЕННОСТЬЮ "Живи"</t>
  </si>
  <si>
    <t>"Живи"</t>
  </si>
  <si>
    <t>2466253307</t>
  </si>
  <si>
    <t>660060, КРАСНОЯРСКИЙ КРАЙ, Г. КРАСНОЯРСК, УЛ. КИРОВА, Д.43, ПОМЕЩЕНИЕ 118</t>
  </si>
  <si>
    <t>Дельянов Александр Владиславович</t>
  </si>
  <si>
    <t>+7 (909) 003-55-21'</t>
  </si>
  <si>
    <t>ОБЩЕСТВО С ОГРАНИЧЕННОЙ ОТВЕТСТВЕННОСТЬЮ "СтройКонструкция"</t>
  </si>
  <si>
    <t>"СтройКонструкция"</t>
  </si>
  <si>
    <t>2464246015</t>
  </si>
  <si>
    <t>660079, Красноярский край, г Красноярск, ул Парашютная, д 19 А,..</t>
  </si>
  <si>
    <t>Чернов Антон Александрович</t>
  </si>
  <si>
    <t>+7 (391) 261-44-35'</t>
  </si>
  <si>
    <t>sk_krsk@list.ru'</t>
  </si>
  <si>
    <t>ОБЩЕСТВО С ОГРАНИЧЕННОЙ ОТВЕТСТВЕННОСТЬЮ "РЕГИОНПРОМ"</t>
  </si>
  <si>
    <t>"РЕГИОНПРОМ"</t>
  </si>
  <si>
    <t>2464105159</t>
  </si>
  <si>
    <t>http://opr124.ru</t>
  </si>
  <si>
    <t>Г КРАСНОЯРСК,УЛ ЭЛЕКТРИКОВ Д 160</t>
  </si>
  <si>
    <t>Жук Олег Владимирович</t>
  </si>
  <si>
    <t>+7 (391) 201-60-27', '+7 (913) 538-61-59', '+7 (391) 201-60-27'</t>
  </si>
  <si>
    <t>o@mail.ru'</t>
  </si>
  <si>
    <t>ОБЩЕСТВО С ОГРАНИЧЕННОЙ ОТВЕТСТВЕННОСТЬЮ ДОМОСТРОИТЕЛЬНЫЙ КОМБИНАТ "НЕОПАНВАЛМОНОЛИТ"</t>
  </si>
  <si>
    <t>ДОМОСТРОИТЕЛЬНЫЙ КОМБИНАТ "НЕОПАНВАЛМОНОЛИТ"</t>
  </si>
  <si>
    <t>2460119680</t>
  </si>
  <si>
    <t>660075, КРАСНОЯРСКИЙ КРАЙ, Г. Красноярск, УЛ. МАЕРЧАКА, Д. 18В, ПОМЕЩ. 3, ОФИС 2-08</t>
  </si>
  <si>
    <t>Ярков Антон Владимирович</t>
  </si>
  <si>
    <t>IARKOV@KOMPOTECH.RU'</t>
  </si>
  <si>
    <t>ОБЩЕСТВО С ОГРАНИЧЕННОЙ ОТВЕТСТВЕННОСТЬЮ "СИБСТРОЙ24"</t>
  </si>
  <si>
    <t>"СИБСТРОЙ24"</t>
  </si>
  <si>
    <t>2466179050</t>
  </si>
  <si>
    <t>660118, КРАСНОЯРСКИЙ КРАЙ, ГОРОД КРАСНОЯРСК, ШОССЕ СЕВЕРНОЕ, ДОМ 35Г</t>
  </si>
  <si>
    <t>Жорокулова Гулфина Турсунбаевна</t>
  </si>
  <si>
    <t>2967557@mail.ru'</t>
  </si>
  <si>
    <t>ОБЩЕСТВО С ОГРАНИЧЕННОЙ ОТВЕТСТВЕННОСТЬЮ  "СИБИРЬ ТК"</t>
  </si>
  <si>
    <t xml:space="preserve"> "СИБИРЬ ТК"</t>
  </si>
  <si>
    <t>2458011255</t>
  </si>
  <si>
    <t>660135, КРАСНОЯРСКИЙ КРАЙ, КРАСНОЯРСК Г, МОЛОКОВА УЛ, ДОМ 66,..</t>
  </si>
  <si>
    <t>Кравцова Мария Андреевна</t>
  </si>
  <si>
    <t>+7 (391) 250-23-97'</t>
  </si>
  <si>
    <t>ОБЩЕСТВО С ОГРАНИЧЕННОЙ ОТВЕТСТВЕННОСТЬЮ " СИБИРСКИЙ РЕГИОН "</t>
  </si>
  <si>
    <t>" СИБИРСКИЙ РЕГИОН "</t>
  </si>
  <si>
    <t>2465106701</t>
  </si>
  <si>
    <t>660020, Красноярский край, КРАСНОЯРСК Г, ул Дудинская, д 2</t>
  </si>
  <si>
    <t>Макеев Александр Яковлевич</t>
  </si>
  <si>
    <t>+7 (902) 942-47-16'</t>
  </si>
  <si>
    <t>ОБЩЕСТВО С ОГРАНИЧЕННОЙ ОТВЕТСТВЕННОСТЬЮ "Новый Камень"</t>
  </si>
  <si>
    <t>"Новый Камень"</t>
  </si>
  <si>
    <t>2464219653</t>
  </si>
  <si>
    <t>660079, КРАСНОЯРСКИЙ КРАЙ, Г. КРАСНОЯРСК, УЛ. 60 ЛЕТ ОКТЯБРЯ, Д.111</t>
  </si>
  <si>
    <t>Тиманюк Наталья Геннадьевна</t>
  </si>
  <si>
    <t>+7 (391) 294-41-69'</t>
  </si>
  <si>
    <t>ОБЩЕСТВО С ОГРАНИЧЕННОЙ ОТВЕТСТВЕННОСТЬЮ "ПК ФАБРИКА БЛАГОУСТРОЙСТВА"</t>
  </si>
  <si>
    <t>"ПК ФАБРИКА БЛАГОУСТРОЙСТВА"</t>
  </si>
  <si>
    <t>2465168994</t>
  </si>
  <si>
    <t>660098, КРАСНОЯРСКИЙ КРАЙ, Г. КРАСНОЯРСК, УЛ. АЛЕКСЕЕВА, Д. 22,..</t>
  </si>
  <si>
    <t>Викторов Антон Владимирович</t>
  </si>
  <si>
    <t>salut77@mail.ru', 'fabrika24@list.ru'</t>
  </si>
  <si>
    <t>ОБЩЕСТВО С ОГРАНИЧЕННОЙ ОТВЕТСТВЕННОСТЬЮ "СВОЙ БЕТОН"</t>
  </si>
  <si>
    <t>"СВОЙ БЕТОН"</t>
  </si>
  <si>
    <t>2465167870</t>
  </si>
  <si>
    <t>660077, КРАСНОЯРСКИЙ КРАЙ, ГОРОД КРАСНОЯРСК, УЛИЦА АВИАТОРОВ, ДОМ 39, ПОМЕЩЕНИЕ 221</t>
  </si>
  <si>
    <t>Сосиев Арсен Исмаилович</t>
  </si>
  <si>
    <t>arsgrupp90@mail.ru', 'eniseylift@mail.ru'</t>
  </si>
  <si>
    <t>ОБЩЕСТВО С ОГРАНИЧЕННОЙ ОТВЕТСТВЕННОСТЬЮ ПРОИЗВОДСТВЕННАЯ КОМПАНИЯ "ПАВЕТОН"</t>
  </si>
  <si>
    <t>ПРОИЗВОДСТВЕННАЯ КОМПАНИЯ "ПАВЕТОН"</t>
  </si>
  <si>
    <t>2465312743</t>
  </si>
  <si>
    <t>660098, КРАСНОЯРСКИЙ КРАЙ, КРАСНОЯРСК Г, 9 МАЯ УЛ, ДОМ 61, ПОМЕЩЕНИЕ 84</t>
  </si>
  <si>
    <t>Лобацевич Анастасия Александровна</t>
  </si>
  <si>
    <t>+7 (905) 976-20-31', '+7 (963) 191-67-01'</t>
  </si>
  <si>
    <t>inetep@yandex.ru', 'paveton@yandex.ru'</t>
  </si>
  <si>
    <t>ОБЩЕСТВО С ОГРАНИЧЕННОЙ ОТВЕТСТВЕННОСТЬЮ "ПРОИЗВОДСТВЕННАЯ ФИРМА АТЛАНТ"</t>
  </si>
  <si>
    <t>"ПРОИЗВОДСТВЕННАЯ ФИРМА АТЛАНТ"</t>
  </si>
  <si>
    <t>2465165665</t>
  </si>
  <si>
    <t>660125, КРАСНОЯРСКИЙ КРАЙ, ГОРОД КРАСНОЯРСК, УЛИЦА 9 МАЯ, ДОМ 36А,..</t>
  </si>
  <si>
    <t>Гаврищук Галина Викторовна</t>
  </si>
  <si>
    <t>ronanaz@yandex.ru'</t>
  </si>
  <si>
    <t>ОБЩЕСТВО С ОГРАНИЧЕННОЙ ОТВЕТСТВЕННОСТЬЮ "АСФАЛЬТОБЕТОННЫЙ ЗАВОД МЕГА"</t>
  </si>
  <si>
    <t>"АСФАЛЬТОБЕТОННЫЙ ЗАВОД МЕГА"</t>
  </si>
  <si>
    <t>2465345770</t>
  </si>
  <si>
    <t>660077, Красноярский край, ГОРОД КРАСНОЯРСК, Г КРАСНОЯРСК, УЛ ВЕСНЫ, Д. 21</t>
  </si>
  <si>
    <t>Казарян Маргарит Гургеновна</t>
  </si>
  <si>
    <t>0902@MAIL.RU'</t>
  </si>
  <si>
    <t>ОБЩЕСТВО С ОГРАНИЧЕННОЙ ОТВЕТСТВЕННОСТЬЮ "МОНОЛИТРЕСУРС"</t>
  </si>
  <si>
    <t>"МОНОЛИТРЕСУРС"</t>
  </si>
  <si>
    <t>2448006104</t>
  </si>
  <si>
    <t>660132, КРАСНОЯРСКИЙ КРАЙ, Г. КРАСНОЯРСК, ТРАКТ ЕНИСЕЙСКИЙ, Д. 51Д, ПОМЕЩ. 5</t>
  </si>
  <si>
    <t>Некрасова Ольга Валерьевна</t>
  </si>
  <si>
    <t>+7 (913) 596-09-07'</t>
  </si>
  <si>
    <t>monolit@mail.ru'</t>
  </si>
  <si>
    <t>ОБЩЕСТВО С ОГРАНИЧЕННОЙ ОТВЕТСТВЕННОСТЬЮ "СТРОИТЕЛЬНЫЕ СИСТЕМЫ СИБИРИ"</t>
  </si>
  <si>
    <t>"СТРОИТЕЛЬНЫЕ СИСТЕМЫ СИБИРИ"</t>
  </si>
  <si>
    <t>2465183939</t>
  </si>
  <si>
    <t>660119, КРАСНОЯРСКИЙ КРАЙ, Г. КРАСНОЯРСК, УЛ. СВЕТЛОВА, Д. 7/1,..</t>
  </si>
  <si>
    <t>Кадыров Эркин Закирович</t>
  </si>
  <si>
    <t>ОБЩЕСТВО С ОГРАНИЧЕННОЙ ОТВЕТСТВЕННОСТЬЮ "НОРМЕД"</t>
  </si>
  <si>
    <t>"НОРМЕД"</t>
  </si>
  <si>
    <t>2465305802</t>
  </si>
  <si>
    <t>660119, КРАСНОЯРСКИЙ КРАЙ, Г. КРАСНОЯРСК, УЛ. МИКУЦКОГО, Д. 3, ОФИС 531</t>
  </si>
  <si>
    <t>+7 (902) 913-30-84'</t>
  </si>
  <si>
    <t>ELENA03@LIST.RU'</t>
  </si>
  <si>
    <t>ОБЩЕСТВО С ОГРАНИЧЕННОЙ ОТВЕТСТВЕННОСТЬЮ "ВАЛЬТ"</t>
  </si>
  <si>
    <t>"ВАЛЬТ"</t>
  </si>
  <si>
    <t>2465310400</t>
  </si>
  <si>
    <t>660125, Красноярский край, КРАСНОЯРСК Г, просп. Комсомольский, ДОМ 18, ОФИС 325</t>
  </si>
  <si>
    <t>Керобян Тигран Акобович</t>
  </si>
  <si>
    <t>241414@mail.ru', '2414514@mail.ru', 'limurad@mail.ru'</t>
  </si>
  <si>
    <t>ОБЩЕСТВО С ОГРАНИЧЕННОЙ ОТВЕТСТВЕННОСТЬЮ Группа Компаний "Железобетон КЖС"</t>
  </si>
  <si>
    <t>Группа Компаний "Железобетон КЖС"</t>
  </si>
  <si>
    <t>2464243173</t>
  </si>
  <si>
    <t>660079, КРАСНОЯРСКИЙ КРАЙ, Г. КРАСНОЯРСК, УЛ. МУСОРГСКОГО, Д.10</t>
  </si>
  <si>
    <t>Елисеев Анатолий Николаевич</t>
  </si>
  <si>
    <t>2737039@bk.ru', 'golden@yandex.ru'</t>
  </si>
  <si>
    <t>ОБЩЕСТВО С ОГРАНИЧЕННОЙ ОТВЕТСТВЕННОСТЬЮ "АРМО-БЕТОН"</t>
  </si>
  <si>
    <t>"АРМО-БЕТОН"</t>
  </si>
  <si>
    <t>2464147670</t>
  </si>
  <si>
    <t>660052, КРАСНОЯРСКИЙ КРАЙ, ГОРОД КРАСНОЯРСК, УЛИЦА ЗАТОНСКАЯ, ДОМ 46А</t>
  </si>
  <si>
    <t>a2948010@yandex.ru', 'warrior76@yandex.ru'</t>
  </si>
  <si>
    <t>ОБЩЕСТВО С ОГРАНИЧЕННОЙ ОТВЕТСТВЕННОСТЬЮ "СЕКРЕТ ПОБЕДЫ"</t>
  </si>
  <si>
    <t>"СЕКРЕТ ПОБЕДЫ"</t>
  </si>
  <si>
    <t>2465086357</t>
  </si>
  <si>
    <t>Г КРАСНОЯРСК,ПРОСП КОМСОМОЛЬСКИЙ Д 1-Ж</t>
  </si>
  <si>
    <t>Ханагян Декард Валикоевич</t>
  </si>
  <si>
    <t>+7 (391) 275-44-37'</t>
  </si>
  <si>
    <t>2465119362</t>
  </si>
  <si>
    <t>660131, КРАСНОЯРСКИЙ КРАЙ, КРАСНОЯРСК Г, ЯСТЫНСКАЯ УЛ, ДОМ 2Ж, ПОМЕЩЕНИЕ 165</t>
  </si>
  <si>
    <t>Сухарьков Станислав Игорьевич</t>
  </si>
  <si>
    <t>+7 (391) 201-89-95'</t>
  </si>
  <si>
    <t>mail@regcot.com'</t>
  </si>
  <si>
    <t>ОБЩЕСТВО С ОГРАНИЧЕННОЙ ОТВЕТСТВЕННОСТЬЮ "Т1"</t>
  </si>
  <si>
    <t>"Т1"</t>
  </si>
  <si>
    <t>2465263824</t>
  </si>
  <si>
    <t>660127, КРАСНОЯРСКИЙ КРАЙ, ГОРОД КРАСНОЯРСК, УЛИЦА МАТЕ ЗАЛКИ, ДОМ 9, ОФИС 294</t>
  </si>
  <si>
    <t>Петерс Татьяна Николаевна</t>
  </si>
  <si>
    <t>2051605@mail.ru'</t>
  </si>
  <si>
    <t>2462043718</t>
  </si>
  <si>
    <t>660037, Красноярский край, г Красноярск, ул. Крайняя, д. 12,..</t>
  </si>
  <si>
    <t>Давтян Ваге Каренович</t>
  </si>
  <si>
    <t>+7 (960) 774-09-99'</t>
  </si>
  <si>
    <t>ОБЩЕСТВО С ОГРАНИЧЕННОЙ ОТВЕТСТВЕННОСТЬЮ "Арсенал"</t>
  </si>
  <si>
    <t>"Арсенал"</t>
  </si>
  <si>
    <t>2464220553</t>
  </si>
  <si>
    <t>660037, КРАСНОЯРСКИЙ КРАЙ, КРАСНОЯРСК Г, МОСКОВСКАЯ УЛ, 28, 63</t>
  </si>
  <si>
    <t>Распопов Юрий Николаевич</t>
  </si>
  <si>
    <t>+7 (391) 240-51-82', '+7 (391) 264-80-07'</t>
  </si>
  <si>
    <t>ОБЩЕСТВО С ОГРАНИЧЕННОЙ ОТВЕТСТВЕННОСТЬЮ "ЗАВОД СБОРНОГО ЖЕЛЕЗОБЕТОНА"</t>
  </si>
  <si>
    <t>"ЗАВОД СБОРНОГО ЖЕЛЕЗОБЕТОНА"</t>
  </si>
  <si>
    <t>2465202772</t>
  </si>
  <si>
    <t>660111, КРАСНОЯРСКИЙ КРАЙ, Г. КРАСНОЯРСК, УЛ. БАШИЛОВСКАЯ, ЗД. 8, СТР. 9, ПОМЕЩ. 1 КОМНАТА 12</t>
  </si>
  <si>
    <t>+7 (391) 252-20-82'</t>
  </si>
  <si>
    <t>ОБЩЕСТВО С ОГРАНИЧЕННОЙ ОТВЕТСТВЕННОСТЬЮ "СТРОЙТРАНСКОМПЛЕКТ"</t>
  </si>
  <si>
    <t>"СТРОЙТРАНСКОМПЛЕКТ"</t>
  </si>
  <si>
    <t>2465142690</t>
  </si>
  <si>
    <t>660111, КРАСНОЯРСКИЙ КРАЙ, КРАСНОЯРСК Г, БАШИЛОВСКАЯ УЛ, ДОМ 18, СТРОЕНИЕ 57</t>
  </si>
  <si>
    <t>Камалиев Александр Борисович</t>
  </si>
  <si>
    <t>stk24@mail.ru'</t>
  </si>
  <si>
    <t>2465335557</t>
  </si>
  <si>
    <t>660111, КРАСНОЯРСКИЙ КРАЙ, ГОРОД КРАСНОЯРСК, УЛИЦА БАШИЛОВСКАЯ, ДОМ 11, СТРОЕНИЕ 14, ПОМ 2-03</t>
  </si>
  <si>
    <t>Чернявская Дарья Амировна</t>
  </si>
  <si>
    <t>2465143975</t>
  </si>
  <si>
    <t>660111, КРАСНОЯРСКИЙ КРАЙ, Г. КРАСНОЯРСК, УЛ. БАШИЛОВСКАЯ, Д. 5, СТР. 6</t>
  </si>
  <si>
    <t>ooobastion@mail.ru', '03@mail.ru'</t>
  </si>
  <si>
    <t>2465162696</t>
  </si>
  <si>
    <t>660111, КРАСНОЯРСКИЙ КРАЙ, ГОРОД КРАСНОЯРСК, УЛИЦА БАШИЛОВСКАЯ, ДОМ 6, ОФИС 204</t>
  </si>
  <si>
    <t>Штакин Илья Николаевич</t>
  </si>
  <si>
    <t>partnercbu@mail.ru', 'beton24@mail.ru'</t>
  </si>
  <si>
    <t>ОБЩЕСТВО С ОГРАНИЧЕННОЙ ОТВЕТСТВЕННОСТЬЮ "КРАСНОЯРСКИЙ ЖЕЛЕЗОБЕТОННЫЙ ЗАВОД"</t>
  </si>
  <si>
    <t>"КРАСНОЯРСКИЙ ЖЕЛЕЗОБЕТОННЫЙ ЗАВОД"</t>
  </si>
  <si>
    <t>2465344343</t>
  </si>
  <si>
    <t>660111, Красноярский край, ГОРОД КРАСНОЯРСК, Г КРАСНОЯРСК, УЛ БАШИЛОВСКАЯ, Д. 8, КОМ. 37</t>
  </si>
  <si>
    <t>Крюков Дмитрий Александрович</t>
  </si>
  <si>
    <t>K_ZHBZ@MAIL.RU'</t>
  </si>
  <si>
    <t>2463099752</t>
  </si>
  <si>
    <t>660111, КРАСНОЯРСКИЙ КРАЙ, ГОРОД КРАСНОЯРСК, УЛИЦА БАШИЛОВСКАЯ, ЗДАНИЕ 8, СТРОЕНИЕ 1, ПОМЕЩЕНИЕ 3 КОМНАТА 4</t>
  </si>
  <si>
    <t>+7 (999) 441-03-16'</t>
  </si>
  <si>
    <t>psm24@mail.ru', 'lioness_2006@mail.ru'</t>
  </si>
  <si>
    <t>ОБЩЕСТВО С ОГРАНИЧЕННОЙ ОТВЕТСТВЕННОСТЬЮ "МК БЕТОН"</t>
  </si>
  <si>
    <t>"МК БЕТОН"</t>
  </si>
  <si>
    <t>2465136689</t>
  </si>
  <si>
    <t>660055, КРАСНОЯРСКИЙ КРАЙ, Г. КРАСНОЯРСК, УЛ. ПОГРАНИЧНИКОВ, Д. 127, ОФИС 6</t>
  </si>
  <si>
    <t>Ворошилов Кирилл Васильевич</t>
  </si>
  <si>
    <t>ОБЩЕСТВО С ОГРАНИЧЕННОЙ ОТВЕТСТВЕННОСТЬЮ "КРАСИНВЕСТСТРОЙ"</t>
  </si>
  <si>
    <t>"КРАСИНВЕСТСТРОЙ"</t>
  </si>
  <si>
    <t>2462067490</t>
  </si>
  <si>
    <t>660123, КРАСНОЯРСКИЙ КРАЙ, ГОРОД КРАСНОЯРСК, ПРОСПЕКТ ИМ.ГАЗЕТЫ "КРАСНОЯРСКИЙ РАБОЧИЙ", ДОМ 30А, СТРОЕНИЕ 28 КОРП. 1, ОФИС 10,11</t>
  </si>
  <si>
    <t>Кенс Александр Сергеевич</t>
  </si>
  <si>
    <t>1990@yandex.ru'</t>
  </si>
  <si>
    <t>ОБЩЕСТВО С ОГРАНИЧЕННОЙ ОТВЕТСТВЕННОСТЬЮ " БЛОК-93 "</t>
  </si>
  <si>
    <t>" БЛОК-93 "</t>
  </si>
  <si>
    <t>2465022650</t>
  </si>
  <si>
    <t>Хисматов Марат Мирзаханович</t>
  </si>
  <si>
    <t>+7 (902) 914-03-31'</t>
  </si>
  <si>
    <t>ОБЩЕСТВО С ОГРАНИЧЕННОЙ ОТВЕТСТВЕННОСТЬЮ "ЖЕЛЕЗОБЕТОН-М"</t>
  </si>
  <si>
    <t>"ЖЕЛЕЗОБЕТОН-М"</t>
  </si>
  <si>
    <t>2465147610</t>
  </si>
  <si>
    <t>660111, КРАСНОЯРСКИЙ КРАЙ, ГОРОД КРАСНОЯРСК, УЛИЦА ПОГРАНИЧНИКОВ, ДОМ 44</t>
  </si>
  <si>
    <t>+7 (905) 976-25-96'</t>
  </si>
  <si>
    <t>2465264923</t>
  </si>
  <si>
    <t>660111, КРАСНОЯРСКИЙ КРАЙ, Г. КРАСНОЯРСК, УЛ. ПОГРАНИЧНИКОВ, Д.44</t>
  </si>
  <si>
    <t>Суслов Алексей Николаевич</t>
  </si>
  <si>
    <t>+7 (391) 274-97-99', '+7 (391) 274-97-80'</t>
  </si>
  <si>
    <t>ОБЩЕСТВО С ОГРАНИЧЕННОЙ ОТВЕТСТВЕННОСТЬЮ "МонолитТеплоСтрой"</t>
  </si>
  <si>
    <t>"МонолитТеплоСтрой"</t>
  </si>
  <si>
    <t>2465231452</t>
  </si>
  <si>
    <t>http://монолиттеплострой.рф</t>
  </si>
  <si>
    <t>660111, Красноярский край, КРАСНОЯРСК Г, ул Пограничников, д 105 А, строение 48</t>
  </si>
  <si>
    <t>Кузнецов Эрик Олегович</t>
  </si>
  <si>
    <t>golden@yandex.ru', 'mtstroy24@mail.ru'</t>
  </si>
  <si>
    <t>ОБЩЕСТВО С ОГРАНИЧЕННОЙ ОТВЕТСТВЕННОСТЬЮ "КРАСНОЯРСКИЙ ЗАВОД ЖЕЛЕЗОБЕТОННЫХ И МЕТАЛЛИЧЕСКИХ КОНСТРУКЦИЙ"</t>
  </si>
  <si>
    <t>"КРАСНОЯРСКИЙ ЗАВОД ЖЕЛЕЗОБЕТОННЫХ И МЕТАЛЛИЧЕСКИХ КОНСТРУКЦИЙ"</t>
  </si>
  <si>
    <t>2462067620</t>
  </si>
  <si>
    <t>660004, КРАСНОЯРСКИЙ КРАЙ, ГОРОД КРАСНОЯРСК, ПРОЕЗД ЗАВОДСКОЙ, ДОМ 2Г, КАБИНЕТ 1</t>
  </si>
  <si>
    <t>Самохвалова Любовь Сергеевна</t>
  </si>
  <si>
    <t>info@kgbmk.ru'</t>
  </si>
  <si>
    <t>ОБЩЕСТВО С ОГРАНИЧЕННОЙ ОТВЕТСТВЕННОСТЬЮ "СИББЕТОНСТРОЙ"</t>
  </si>
  <si>
    <t>"СИББЕТОНСТРОЙ"</t>
  </si>
  <si>
    <t>2464259744</t>
  </si>
  <si>
    <t>660013, КРАСНОЯРСКИЙ КРАЙ, ГОРОД КРАСНОЯРСК, УЛИЦА БОГДАНА ХМЕЛЬНИЦКОГО, ДОМ 3, СТРОЕНИЕ 4</t>
  </si>
  <si>
    <t>Гулеев Алексей Владимирович</t>
  </si>
  <si>
    <t>2147100@mail.ru', '217100@mail.ru', '9769696@mail.ru', 'krsk@bk.ru'</t>
  </si>
  <si>
    <t>ОБЩЕСТВО С ОГРАНИЧЕННОЙ ОТВЕТСТВЕННОСТЬЮ "БЛОКПОСТ - СВ"</t>
  </si>
  <si>
    <t>"БЛОКПОСТ - СВ"</t>
  </si>
  <si>
    <t>2462065302</t>
  </si>
  <si>
    <t>660092, КРАСНОЯРСКИЙ КРАЙ, Г. КРАСНОЯРСК, УЛ. ШЕВЧЕНКО, Д. 9,..</t>
  </si>
  <si>
    <t>Быков Валерий Николаевич</t>
  </si>
  <si>
    <t>ОБЩЕСТВО С ОГРАНИЧЕННОЙ ОТВЕТСТВЕННОСТЬЮ "БЕТОН ЛОГИСТИКА"</t>
  </si>
  <si>
    <t>"БЕТОН ЛОГИСТИКА"</t>
  </si>
  <si>
    <t>2462054981</t>
  </si>
  <si>
    <t>660124, КРАСНОЯРСКИЙ КРАЙ, КРАСНОЯРСК Г, ТАМБОВСКАЯ УЛ, ДОМ 35 "Г", СТРОЕНИЕ 2</t>
  </si>
  <si>
    <t>Ананин Виктор Александрович</t>
  </si>
  <si>
    <t>2880404@mail.ru'</t>
  </si>
  <si>
    <t>ОБЩЕСТВО С ОГРАНИЧЕННОЙ ОТВЕТСТВЕННОСТЬЮ "КЛАРУСГРУПП"</t>
  </si>
  <si>
    <t>"КЛАРУСГРУПП"</t>
  </si>
  <si>
    <t>2462059524</t>
  </si>
  <si>
    <t>660092, КРАСНОЯРСКИЙ КРАЙ, ГОРОД КРАСНОЯРСК, УЛИЦА ШЕВЧЕНКО, ДОМ 62,..</t>
  </si>
  <si>
    <t>Ильичев Евгений Сергеевич</t>
  </si>
  <si>
    <t>+7 (929) 320-82-14'</t>
  </si>
  <si>
    <t>ОБЩЕСТВО С ОГРАНИЧЕННОЙ ОТВЕТСТВЕННОСТЬЮ "МОСТОКОНСТРУКЦИЯ"</t>
  </si>
  <si>
    <t>"МОСТОКОНСТРУКЦИЯ"</t>
  </si>
  <si>
    <t>2462070983</t>
  </si>
  <si>
    <t>660124, КРАСНОЯРСКИЙ КРАЙ, Г. Красноярск, УЛ. ТАМБОВСКАЯ, Д. 31</t>
  </si>
  <si>
    <t>Грачёва Валерия Сергеевна</t>
  </si>
  <si>
    <t>INFO@KRASMOST.RU'</t>
  </si>
  <si>
    <t>ОБЩЕСТВО С ОГРАНИЧЕННОЙ ОТВЕТСТВЕННОСТЬЮ "ГОСТ"</t>
  </si>
  <si>
    <t>"ГОСТ"</t>
  </si>
  <si>
    <t>2462046821</t>
  </si>
  <si>
    <t>660004, КРАСНОЯРСКИЙ КРАЙ, Г. КРАСНОЯРСК, УЛ. 26 БАКИНСКИХ КОМИССАРОВ, Д. 1К, СТР. 2, КАБИНЕТ 9</t>
  </si>
  <si>
    <t>Шилов Николай Александрович</t>
  </si>
  <si>
    <t>2887277@mail.ru'</t>
  </si>
  <si>
    <t>2465331390</t>
  </si>
  <si>
    <t>660111, КРАСНОЯРСКИЙ КРАЙ, ГОРОД КРАСНОЯРСК, УЛИЦА ПОГРАНИЧНИКОВ, ДОМ 10, ПОМЕЩЕНИЕ 24</t>
  </si>
  <si>
    <t>Идт Константин Владимирович</t>
  </si>
  <si>
    <t>ОБЩЕСТВО С ОГРАНИЧЕННОЙ ОТВЕТСТВЕННОСТЬЮ "СЕПТИК-КОМПЛЕКТ"</t>
  </si>
  <si>
    <t>"СЕПТИК-КОМПЛЕКТ"</t>
  </si>
  <si>
    <t>2404018046</t>
  </si>
  <si>
    <t>662520, КРАСНОЯРСКИЙ КРАЙ, РАЙОН БЕРЕЗОВСКИЙ, ПОСЕЛОК ГОРОДСКОГО ТИПА БЕРЕЗОВКА, УЛИЦА ЗАВОДСКАЯ, ДОМ 60,..</t>
  </si>
  <si>
    <t>Ременников Сергей Александрович</t>
  </si>
  <si>
    <t>+7 (923) 355-56-62'</t>
  </si>
  <si>
    <t>22129166@mail.ru', '3012594@mail.ru'</t>
  </si>
  <si>
    <t>2404006160</t>
  </si>
  <si>
    <t>КРАСНОЯРСКИЙ КРАЙ,РП БЕРЕЗОВКА,29 КМ СЕВЕРНОГО ШОССЕ</t>
  </si>
  <si>
    <t>Неумывака Валерий Викторович</t>
  </si>
  <si>
    <t>+7 (391) 242-64-43'</t>
  </si>
  <si>
    <t>ОБЩЕСТВО С ОГРАНИЧЕННОЙ ОТВЕТСТВЕННОСТЬЮ  "ПАРУС ТК"</t>
  </si>
  <si>
    <t xml:space="preserve"> "ПАРУС ТК"</t>
  </si>
  <si>
    <t>2458011262</t>
  </si>
  <si>
    <t>662501, КРАСНОЯРСКИЙ КРАЙ, ГОРОД СОСНОВОБОРСК, УЛИЦА ВЕСЕННЯЯ, 18, 127</t>
  </si>
  <si>
    <t>Рукосуева Любовь Анатольевна</t>
  </si>
  <si>
    <t>ОБЩЕСТВО С ОГРАНИЧЕННОЙ ОТВЕТСТВЕННОСТЬЮ "АРБОЛИТ-Т"</t>
  </si>
  <si>
    <t>"АРБОЛИТ-Т"</t>
  </si>
  <si>
    <t>2458015098</t>
  </si>
  <si>
    <t>662501, КРАСНОЯРСКИЙ КРАЙ, ГОРОД СОСНОВОБОРСК, УЛИЦА ВЕСЕННЯЯ, ДОМ 13,..</t>
  </si>
  <si>
    <t>Полтараков Валерий Викторович</t>
  </si>
  <si>
    <t>28221458@astralreport.ru'</t>
  </si>
  <si>
    <t>ОБЩЕСТВО С ОГРАНИЧЕННОЙ ОТВЕТСТВЕННОСТЬЮ "МОНТАЖ-СТРОЙ. РЕСУРС"</t>
  </si>
  <si>
    <t>"МОНТАЖ-СТРОЙ. РЕСУРС"</t>
  </si>
  <si>
    <t>2458010170</t>
  </si>
  <si>
    <t>http://r24.fssprus.ru</t>
  </si>
  <si>
    <t>662500, КРАСНОЯРСКИЙ КРАЙ, Г. СОСНОВОБОРСК, УЛ. ЗАВОДСКАЯ, Д.1</t>
  </si>
  <si>
    <t>Катран Владимир Павлович</t>
  </si>
  <si>
    <t>+7 (391) 293-43-01', '+7 (391) 250-70-52'</t>
  </si>
  <si>
    <t>ОБЩЕСТВО С ОГРАНИЧЕННОЙ ОТВЕТСТВЕННОСТЬЮ "ВЫБОР-СИБИРЬ"</t>
  </si>
  <si>
    <t>"ВЫБОР-СИБИРЬ"</t>
  </si>
  <si>
    <t>2458015002</t>
  </si>
  <si>
    <t>662500, Красноярский край, городской округ ГОРОД СОСНОВОБОРСК, Город СОСНОВОБОРСК, УЛ ЗАВОДСКАЯ, ЗД. 1, К. 29А, СТР. 2,</t>
  </si>
  <si>
    <t>ОБЩЕСТВО С ОГРАНИЧЕННОЙ ОТВЕТСТВЕННОСТЬЮ "Аметист-Арт"</t>
  </si>
  <si>
    <t>"Аметист-Арт"</t>
  </si>
  <si>
    <t>2453017408</t>
  </si>
  <si>
    <t>663690, Красноярский край, городской округ ЗАТО ГОРОД ЗЕЛЕНОГОРСК, Город ЗЕЛЕНОГОРСК, УЛ ГАГАРИНА, Д. 19,..</t>
  </si>
  <si>
    <t>Бабаев Андрей Александрович</t>
  </si>
  <si>
    <t>aktivconsalt24@mail.ru', '2400122@mail.ru', 'mbu070@mail.ru'</t>
  </si>
  <si>
    <t>2416006542</t>
  </si>
  <si>
    <t>663650, КРАСНОЯРСКИЙ КРАЙ, ИРБЕЙСКИЙ РАЙОН, СЕЛО ЮДИНО, УЛИЦА НАБЕРЕЖНАЯ, ДОМ 2</t>
  </si>
  <si>
    <t>Анохин Алексей Русланович</t>
  </si>
  <si>
    <t>anohin@mail.ru'</t>
  </si>
  <si>
    <t>ОБЩЕСТВО С ОГРАНИЧЕННОЙ ОТВЕТСТВЕННОСТЬЮ "БАЗИСТЕХНОБЕТОН"</t>
  </si>
  <si>
    <t>"БАЗИСТЕХНОБЕТОН"</t>
  </si>
  <si>
    <t>2450032214</t>
  </si>
  <si>
    <t>663634, КРАСНОЯРСКИЙ КРАЙ, КАНСКИЙ Р-Н, КАРЬЕРНЫЙ П, НАГОРНАЯ УЛ, ДОМ 2</t>
  </si>
  <si>
    <t>Мальцев Александр Михайлович</t>
  </si>
  <si>
    <t>ОБЩЕСТВО С ОГРАНИЧЕННОЙ ОТВЕТСТВЕННОСТЬЮ "Канский комбинат строительных конструкций"</t>
  </si>
  <si>
    <t>"Канский комбинат строительных конструкций"</t>
  </si>
  <si>
    <t>2450026154</t>
  </si>
  <si>
    <t>663606, КРАСНОЯРСКИЙ КРАЙ, ГОРОД КАНСК, ПЕРЕУЛОК ПАНЕЛЬНЫЙ, ЗД 2, СТР 2</t>
  </si>
  <si>
    <t>Шаров Виталий Петрович</t>
  </si>
  <si>
    <t>ОБЩЕСТВО С ОГРАНИЧЕННОЙ ОТВЕТСТВЕННОСТЬЮ "БАЗИС-БЕТОН"</t>
  </si>
  <si>
    <t>"БАЗИС-БЕТОН"</t>
  </si>
  <si>
    <t>2463094000</t>
  </si>
  <si>
    <t>Г КРАСНОЯРСК,П ЛАЛЕТИНО КРАСНОЯРСКИЙ ЛПК</t>
  </si>
  <si>
    <t>Мерман Владимир Эрихович</t>
  </si>
  <si>
    <t>Общество с ограниченной ответственностью "Богучанский завод строительных материалов"</t>
  </si>
  <si>
    <t>"Богучанский завод строительных материалов"</t>
  </si>
  <si>
    <t>2407066023</t>
  </si>
  <si>
    <t>663432, Красноярский край, муниципальный район БОГУЧАНСКИЙ, Село БОГУЧАНЫ, сельское поселение БОГУЧАНСКИЙ СЕЛЬСОВЕТ, УЛ ДЕКАБРИСТОВ, ЗД. 17, ОФИС 4</t>
  </si>
  <si>
    <t>Черепанова Анна Сергеевна</t>
  </si>
  <si>
    <t>ОТКРЫТОЕ АКЦИОНЕРНОЕ ОБЩЕСТВО "КОДИНСКИЙ ЗАВОД КРУПНОПАНЕЛЬНОГО ДОМОСТРОЕНИЯ И СТРОЙМАТЕРИАЛОВ"</t>
  </si>
  <si>
    <t>"КОДИНСКИЙ ЗАВОД КРУПНОПАНЕЛЬНОГО ДОМОСТРОЕНИЯ И СТРОЙМАТЕРИАЛОВ"</t>
  </si>
  <si>
    <t>2420002639</t>
  </si>
  <si>
    <t>КРАСНОЯРСКИЙ КРАЙ,Г КОДИНСК,ПИОНЕРБАЗА А/Я 598</t>
  </si>
  <si>
    <t>Купряков Владимир Степанович</t>
  </si>
  <si>
    <t>+7 (963) 269-42-16'</t>
  </si>
  <si>
    <t>55.013576508,82.941894531</t>
  </si>
  <si>
    <t>СИБСТРОЙРЕСУРС</t>
  </si>
  <si>
    <t>Производство стальной арматуры</t>
  </si>
  <si>
    <t>23.61</t>
  </si>
  <si>
    <t>23.62, 23.63</t>
  </si>
  <si>
    <t>www.site.ru</t>
  </si>
  <si>
    <t xml:space="preserve"> +7 (383) 337-89-49 , +7 (383) 266-61-84 '</t>
  </si>
  <si>
    <t>pochta@yandex.ru</t>
  </si>
  <si>
    <t>55.172825,37.419459</t>
  </si>
  <si>
    <t>Общество с ограниченной ответственностью «Чеховский Металлургический Завод»</t>
  </si>
  <si>
    <t>ООО «ЧМЗ»</t>
  </si>
  <si>
    <t>5027302311</t>
  </si>
  <si>
    <t>Московская область,г Чехов, ул Гагарина, д. 1</t>
  </si>
  <si>
    <t>ГОЛОВАНЕНКО ВЛАДИСЛАВ ЮРЬЕВИЧ</t>
  </si>
  <si>
    <t xml:space="preserve"> '</t>
  </si>
  <si>
    <t>zakaz@metallexport.ru</t>
  </si>
  <si>
    <t>59.136016846,37.868976593</t>
  </si>
  <si>
    <t>ПУБЛИЧНОЕ АКЦИОНЕРНОЕ ОБЩЕСТВО "СЕВЕРСТАЛЬ"</t>
  </si>
  <si>
    <t>ПАО "СЕВЕРСТАЛЬ"</t>
  </si>
  <si>
    <t>3528000597</t>
  </si>
  <si>
    <t>www.severstal.ru</t>
  </si>
  <si>
    <t>ВОЛОГОДСКАЯ ОБЛ.,Г ЧЕРЕПОВЕЦ,УЛ МИРА, Д 3</t>
  </si>
  <si>
    <t>УПРАВЛЯЮЩАЯ ОРГАНИЗАЦИЯ АО "СЕВЕРСТАЛЬ МЕНЕДЖМЕНТ"</t>
  </si>
  <si>
    <t>+7 (8202) 53-21-29, +7 (8202) 53-09-09'</t>
  </si>
  <si>
    <t>severstal@severstal.com</t>
  </si>
  <si>
    <t>55.26390486642,61.413400406676</t>
  </si>
  <si>
    <t>ПУБЛИЧНОЕ АКЦИОНЕРНОЕ ОБЩЕСТВО "ЧЕЛЯБИНСКИЙ МЕТАЛЛУРГИЧЕСКИЙ КОМБИНАТ"</t>
  </si>
  <si>
    <t>ПАО "ЧМК"</t>
  </si>
  <si>
    <t>7450001007</t>
  </si>
  <si>
    <t>https://mechel.ru</t>
  </si>
  <si>
    <t>г. Челябинск, ул. 2-я Павелецкая, д. 14</t>
  </si>
  <si>
    <t>НУГУМАНОВ РАШИД ФАСХИЕВИЧ</t>
  </si>
  <si>
    <t>+7 (351) 725-30-66'</t>
  </si>
  <si>
    <t>sekr_kommerc@mechel.ru</t>
  </si>
  <si>
    <t>53.893386841,87.279579163</t>
  </si>
  <si>
    <t>АКЦИОНЕРНОЕ ОБЩЕСТВО "ЕВРАЗ ОБЪЕДИНЕННЫЙ ЗАПАДНО-СИБИРСКИЙ МЕТАЛЛУРГИЧЕСКИЙ КОМБИНАТ"</t>
  </si>
  <si>
    <t>АО "ЕВРАЗ ЗСМК"</t>
  </si>
  <si>
    <t>4218000951</t>
  </si>
  <si>
    <t>www.zsmk.ru</t>
  </si>
  <si>
    <t>КЕМЕРОВСКАЯ ОБЛ.,Г НОВОКУЗНЕЦК,ШОССЕ КОСМИЧЕСКОЕ,Д 16</t>
  </si>
  <si>
    <t>УПРАВЛЯЮЩАЯ КОМПАНИЯ ОБЩЕСТВО С ОГРАНИЧЕННОЙ ОТВЕТСТВЕННОСТЬЮ "ЕВРАЗ"</t>
  </si>
  <si>
    <t xml:space="preserve"> +7 (3843) 59-00-09, +7 (3843) 59-16-21, +7 (3843) 59-56-64, +7 (3843) 59-59-71, +7 (3843) 59-72-45'</t>
  </si>
  <si>
    <t>krilova_zv@nkmk.ru</t>
  </si>
  <si>
    <t>53.954797225983,58.344533610318</t>
  </si>
  <si>
    <t>Открытое акционерное общество «Белорусский металлургический завод — управляющая компания холдинга «Белорусская металлургическая компания»</t>
  </si>
  <si>
    <t>ОАО «БМК»</t>
  </si>
  <si>
    <t>0400074854</t>
  </si>
  <si>
    <t>Беларусь</t>
  </si>
  <si>
    <t>www.belsteel.com</t>
  </si>
  <si>
    <t>Беларусь, Гомельская обл., г. Жлобин, ул. Промышленная, д. 37</t>
  </si>
  <si>
    <t>+375 (2334) 5 55 56'</t>
  </si>
  <si>
    <t>ofwork@bmz.gomel.by</t>
  </si>
  <si>
    <t>58.294425964,57.814884186</t>
  </si>
  <si>
    <t>АКЦИОНЕРНОЕ ОБЩЕСТВО "ЧУСОВСКОЙ МЕТАЛЛУРГИЧЕСКИЙ ЗАВОД"</t>
  </si>
  <si>
    <t>АО "ЧМЗ"</t>
  </si>
  <si>
    <t>5921002018</t>
  </si>
  <si>
    <t>59-Пермская область</t>
  </si>
  <si>
    <t>25.93.1</t>
  </si>
  <si>
    <t>http://chmz.ru</t>
  </si>
  <si>
    <t>ПЕРМСКИЙ КРАЙ,Г ЧУСОВОЙ,УЛ ТРУДОВАЯ 13</t>
  </si>
  <si>
    <t>УПРАВЛЯЮЩАЯ КОМПАНИЯ АКЦИОНЕРНОЕ ОБЩЕСТВО "ОБЪЕДИНЕННАЯ МЕТАЛЛУРГИЧЕСКАЯ КОМПАНИЯ"</t>
  </si>
  <si>
    <t>+7 (34256) 6-31-21, +7 (495) 231-77-71, +7 (34256) 6-31-04, +7 (34256) 6-38-42'</t>
  </si>
  <si>
    <t>sokolova_na@chmz.ru</t>
  </si>
  <si>
    <t>53.414848328,59.052864075</t>
  </si>
  <si>
    <t>ПУБЛИЧНОЕ АКЦИОНЕРНОЕ ОБЩЕСТВО "МАГНИТОГОРСКИЙ МЕТАЛЛУРГИЧЕСКИЙ КОМБИНАТ"</t>
  </si>
  <si>
    <t>ПАО "ММК"</t>
  </si>
  <si>
    <t>7414003633</t>
  </si>
  <si>
    <t>www.mmk.ru</t>
  </si>
  <si>
    <t>ШИЛЯЕВ ПАВЕЛ ВЛАДИМИРОВИЧ</t>
  </si>
  <si>
    <t>+7 (3519) 24-44-24, +7 (3519) 24-30-04, +7 (3519) 24-74-16, +7 (3519) 24-54-67, +7 (3519) 24-16-30'</t>
  </si>
  <si>
    <t>infommk@mmk.ru</t>
  </si>
  <si>
    <t>50.557891846,136.957458496</t>
  </si>
  <si>
    <t>ОТКРЫТОЕ АКЦИОНЕРНОЕ ОБЩЕСТВО "АМУРМЕТАЛЛ"</t>
  </si>
  <si>
    <t>ОАО "АМУРМЕТАЛЛ"</t>
  </si>
  <si>
    <t>2703000858</t>
  </si>
  <si>
    <t>www.amurstal.com</t>
  </si>
  <si>
    <t>ХАБАРОВСКИЙ КРАЙ,Г КОМСОМОЛЬСК-НА-АМУРЕ,УЛ ВАГОННАЯ, Д 30</t>
  </si>
  <si>
    <t>СААКЯН АЛЬБЕРТ ГАРЕГИНОВИЧ</t>
  </si>
  <si>
    <t>+7 (42172) 4-44-23'</t>
  </si>
  <si>
    <t>amurmetal@amurmetal.ru</t>
  </si>
  <si>
    <t>51.335820051066,37.876035062538</t>
  </si>
  <si>
    <t>АКЦИОНЕРНОЕ ОБЩЕСТВО "ОСКОЛЬСКИЙ ЭЛЕКТРОМЕТАЛЛУРГИЧЕСКИЙ КОМБИНАТ ИМЕНИ АЛЕКСЕЯ АЛЕКСЕЕВИЧА УГАРОВА"</t>
  </si>
  <si>
    <t>АО "ОЭМК ИМ. А.А. УГАРОВА"</t>
  </si>
  <si>
    <t>3128005752</t>
  </si>
  <si>
    <t>www.oemk.oskol.ru</t>
  </si>
  <si>
    <t>Белгородская область, город Старый Оскол, пр-кт Алексея Угарова, д.218 здание 2</t>
  </si>
  <si>
    <t>Кирилл Чернов</t>
  </si>
  <si>
    <t>+7 (4725) 37-27-07, +7 (4725) 37-50-09'</t>
  </si>
  <si>
    <t>info@oemk.ru</t>
  </si>
  <si>
    <t>53.406631654783,59.061138303513</t>
  </si>
  <si>
    <t>ОТКРЫТОЕ АКЦИОНЕРНОЕ ОБЩЕСТВО "МАГНИТОГОРСКИЙ МЕТИЗНО-КАЛИБРОВОЧНЫЙ ЗАВОД "ММК-МЕТИЗ"</t>
  </si>
  <si>
    <t>ОАО "ММК-МЕТИЗ"</t>
  </si>
  <si>
    <t>7414001428</t>
  </si>
  <si>
    <t>24.34</t>
  </si>
  <si>
    <t>https://mmk-metiz.ru</t>
  </si>
  <si>
    <t>ЧЕЛЯБИНСКАЯ ОБЛ.,Г МАГНИТОГОРСК,УЛ МЕТИЗНИКОВ, Д 5</t>
  </si>
  <si>
    <t>ДУБОВСКИЙ СЕРГЕЙ ВАСИЛЬЕВИЧ</t>
  </si>
  <si>
    <t>+7 (800) 350-28-89, +7 (3519) 25-81-69'</t>
  </si>
  <si>
    <t>info@mmk-metiz.ru</t>
  </si>
  <si>
    <t>58.076065063,60.696006775</t>
  </si>
  <si>
    <t>ОТКРЫТОЕ АКЦИОНЕРНОЕ ОБЩЕСТВО "САЛДИНСКИЙ МЕТАЛЛУРГИЧЕСКИЙ ЗАВОД"</t>
  </si>
  <si>
    <t>ОАО "САЛДИНСКИЙ МЕТЗАВОД"</t>
  </si>
  <si>
    <t>6622001378</t>
  </si>
  <si>
    <t>СВЕРДЛОВСКАЯ ОБЛ.,Г НИЖНЯЯ САЛДА,УЛ СТРОИТЕЛЕЙ, Д 3</t>
  </si>
  <si>
    <t>ТРУБИЦЫН ИЛЬЯ ГЛЕБОВИЧ</t>
  </si>
  <si>
    <t>'</t>
  </si>
  <si>
    <t>56.801883698,59.936359406</t>
  </si>
  <si>
    <t>ОАО "Нижнесергинский метизно-металлургический завод"</t>
  </si>
  <si>
    <t>ОАО «НСММЗ»</t>
  </si>
  <si>
    <t>6646009256-2.1</t>
  </si>
  <si>
    <t>27.16.1</t>
  </si>
  <si>
    <t>https://ural.nlmk.com/ru/</t>
  </si>
  <si>
    <t>СВЕРДЛОВСКАЯ ОБЛ.,Г РЕВДА,УЛ К ЛИБКНЕХТА, Д 3</t>
  </si>
  <si>
    <t>ШАДРИН ЮРИЙ ВАСИЛЬЕВИЧ</t>
  </si>
  <si>
    <t>+7 (34397) 2-60-97, 2-68-81'</t>
  </si>
  <si>
    <t>nsmmz@mh.ru</t>
  </si>
  <si>
    <t>АКЦИОНЕРНОЕ ОБЩЕСТВО "БЕЛОРЕЦКИЙ МЕТАЛЛУРГИЧЕСКИЙ КОМБИНАТ"</t>
  </si>
  <si>
    <t>АО "БМК"</t>
  </si>
  <si>
    <t>0256006322</t>
  </si>
  <si>
    <t>www.bmk.ufanet.ru</t>
  </si>
  <si>
    <t>БАШКОРТОСТАН РЕСПУБЛИКА, Р-Н БЕЛОРЕЦКИЙ, Г. БЕЛОРЕЦК, УЛ. БЛЮХЕРА, Д.1</t>
  </si>
  <si>
    <t>ФЕДОРОВ СЕРГЕЙ ВЛАДИМИРОВИЧ</t>
  </si>
  <si>
    <t>+7 (34792) 5-27-74, +7 (34792) 5-21-92, +7 (34792) 5-15-45'</t>
  </si>
  <si>
    <t>pomgd@belmk.ru, belmet@belmk.ru</t>
  </si>
  <si>
    <t>59.131271362,37.870578766</t>
  </si>
  <si>
    <t>ОТКРЫТОЕ АКЦИОНЕРНОЕ ОБЩЕСТВО "СЕВЕРСТАЛЬ-МЕТИЗ"</t>
  </si>
  <si>
    <t>ОАО "СЕВЕРСТАЛЬ-МЕТИЗ"</t>
  </si>
  <si>
    <t>3528090760</t>
  </si>
  <si>
    <t>http://severstalmetiz.com</t>
  </si>
  <si>
    <t>ВОЛОГОДСКАЯ ОБЛАСТЬ, Г., ЧЕРЕПОВЕЦ, УЛ., 50-ЛЕТИЯ ОКТЯБРЯ, Д.1/33</t>
  </si>
  <si>
    <t>УПРАВЛЯЮЩАЯ КОМПАНИЯ АКЦИОНЕРНОЕ ОБЩЕСТВО "СЕВЕРСТАЛЬ МЕНЕДЖМЕНТ"</t>
  </si>
  <si>
    <t>+7 (8202) 53-81-60'</t>
  </si>
  <si>
    <t>info@severstalmetiz.com</t>
  </si>
  <si>
    <t>54.155034,37.717330</t>
  </si>
  <si>
    <t>ОБЩЕСТВО С ОГРАНИЧЕННОЙ ОТВЕТСТВЕННОСТЬЮ "ТУЛАЧЕРМЕТ-СТАЛЬ"</t>
  </si>
  <si>
    <t>ООО "ТУЛАЧЕРМЕТ-СТАЛЬ"</t>
  </si>
  <si>
    <t>7105519283</t>
  </si>
  <si>
    <t>http://tula-steel.ru</t>
  </si>
  <si>
    <t>ТУЛЬСКАЯ ОБЛАСТЬ, Г. ТУЛА, УЛ. ПРЖЕВАЛЬСКОГО, Д. 2</t>
  </si>
  <si>
    <t>ЛЕЩЕВ ЕВГЕНИЙ АЛЕКСАНДРОВИЧ</t>
  </si>
  <si>
    <t>+7 (4872) 771-771'</t>
  </si>
  <si>
    <t>tulasteel@tulachermet.ru OFFICE@TULA-STEEL.RU</t>
  </si>
  <si>
    <t>55.232428,36.679722</t>
  </si>
  <si>
    <t>ООО "АБИНСКИЙ ЭЛЕКТРОМЕТАЛЛУРГИЧЕСКИЙ ЗАВОД"</t>
  </si>
  <si>
    <t>ООО "АЭМЗ"</t>
  </si>
  <si>
    <t>2323025302</t>
  </si>
  <si>
    <t>abinmetall.ru</t>
  </si>
  <si>
    <t>Краснодарский край, Р-Н АБИНСКИЙ, Г. АБИНСК, УЛ. ПРОМЫШЛЕННАЯ, Д.4</t>
  </si>
  <si>
    <t>Федотов Владимир Александрович</t>
  </si>
  <si>
    <t>+7 (861) 504-18-70'</t>
  </si>
  <si>
    <t>buh@abinmetall.ru</t>
  </si>
  <si>
    <t>47.714252472,40.228874207</t>
  </si>
  <si>
    <t>ОБЩЕСТВО С ОГРАНИЧЕННОЙ ОТВЕТСТВЕННОСТЬЮ "РОСТОВСКИЙ ЭЛЕКТРОМЕТАЛЛУРГИЧЕСКИЙ ЗАВОДЪ"</t>
  </si>
  <si>
    <t>ООО "РЭМЗ"</t>
  </si>
  <si>
    <t>6155054289</t>
  </si>
  <si>
    <t>http://remzltd.ru</t>
  </si>
  <si>
    <t>РОСТОВСКАЯ ОБЛ.,Г ШАХТЫ,УЛ ИОНОВА, 112</t>
  </si>
  <si>
    <t>ШАДРИН АЛЕКСАНДР ВЛАДИСЛАВОВИЧ</t>
  </si>
  <si>
    <t>+7 (8636) 26-82-70, +7 (909) 408-33-37'</t>
  </si>
  <si>
    <t>remz@remzltd.com</t>
  </si>
  <si>
    <t>ОБЩЕСТВО С ОГРАНИЧЕННОЙ ОТВЕТСТВЕННОСТЬЮ "НЛМК - КАЛУГА"</t>
  </si>
  <si>
    <t>ООО "НЛМК - КАЛУГА"</t>
  </si>
  <si>
    <t>4003033040</t>
  </si>
  <si>
    <t>https://kaluga.nlmk.com/ru/</t>
  </si>
  <si>
    <t>КАЛУЖСКАЯ ОБЛАСТЬ, Р-Н, БОРОВСКИЙ, С., ВОРСИНО, УЛ., ЛЫСКИНА, ВЛД. 6, СТР. 1</t>
  </si>
  <si>
    <t>КРУЛИК АЛЕКСЕЙ ИГОРЕВИЧ</t>
  </si>
  <si>
    <t>+7 (48438) 2-98-98'</t>
  </si>
  <si>
    <t>sp-kl-info@nlmk.com</t>
  </si>
  <si>
    <t>56.980135,60.547393</t>
  </si>
  <si>
    <t>ФИЛИАЛ ОБЩЕСТВА С ОГРАНИЧЕННОЙ ОТВЕТСТВЕННОСТЬЮ "УПРАВЛЯЮЩАЯ МЕТАЛЛУРГИЧЕСКАЯ КОМПАНИЯ - СТАЛЬ" В ГОРОДЕ ТЮМЕНИ - "МЕТАЛЛУРГИЧЕСКИЙ ЗАВОД "ЭЛЕКТРОСТАЛЬ ТЮМЕНИ"</t>
  </si>
  <si>
    <t>ООО "УМК-Сталь"</t>
  </si>
  <si>
    <t>6606021264</t>
  </si>
  <si>
    <t>27.14</t>
  </si>
  <si>
    <t>mmc-steel.ru</t>
  </si>
  <si>
    <t>СВЕРДЛОВСКАЯ ОБЛ, Г ВЕРХНЯЯ ПЫШМА, ПР-КТ УСПЕНСКИЙ, Д 125, КАБ 66</t>
  </si>
  <si>
    <t>ШРЕЙДЕР АЛЕКСЕЙ ВАСИЛЬЕВИЧ</t>
  </si>
  <si>
    <t xml:space="preserve"> +7 (3452) 53-29-44, +7 (3452) 53-29-07, +7 (3452) 53-28-88, +7 (3452) 53-44-25, +7 (34385) 5-37-54'</t>
  </si>
  <si>
    <t>steel@steel.ugmk.com</t>
  </si>
  <si>
    <t>56.664825439,59.30657196</t>
  </si>
  <si>
    <t>АКЦИОНЕРНОЕ ОБЩЕСТВО "НЛМК-УРАЛ"</t>
  </si>
  <si>
    <t>АО "НЛМК-УРАЛ"</t>
  </si>
  <si>
    <t>6646009256-2.2</t>
  </si>
  <si>
    <t>СВЕРДЛОВСКАЯ ОБЛ.,Г НИЖНИЕ СЕРГИ,УЛ ЛЕНИНА, Д 34</t>
  </si>
  <si>
    <t>ШАЛЯЕВ СЕРГЕЙ ВАСИЛЬЕВИЧ</t>
  </si>
  <si>
    <t>+7 (34397) 2-68-49, +7 (34397) 2-67-54, +7 (34397) 2-65-47, +7 (960) 140-19-45, +7 (4742) 90-75-54'</t>
  </si>
  <si>
    <t>cs-sp-dbu@cscentr.com, borozdina_tp@nlmk.com, moiseeva_nv@nlmk.ru, karpova_sm@cscentr.com, ponomarev_aa@nlmk.com, vasilevich_tf@nlmk.com, pshenichnikova_oi@cscentr.com</t>
  </si>
  <si>
    <t>51.950694,47.775102</t>
  </si>
  <si>
    <t>АКЦИОНЕРНОЕ ОБЩЕСТВО "МЕТАЛЛУРГИЧЕСКИЙ ЗАВОД БАЛАКОВО"</t>
  </si>
  <si>
    <t>АО "МЗ БАЛАКОВО"</t>
  </si>
  <si>
    <t>6439067450</t>
  </si>
  <si>
    <t>http://balakovo.severstal.com</t>
  </si>
  <si>
    <t>САРАТОВСКАЯ ОБЛАСТЬ, Р-Н, БАЛАКОВСКИЙ, С., БЫКОВ ОТРОГ, Ш., МЕТАЛЛУРГОВ, Д. 2</t>
  </si>
  <si>
    <t>СЫЧЕВ АЛЕКСАНДР ВЛАДИМИРОВИЧ</t>
  </si>
  <si>
    <t xml:space="preserve"> 8 8453 66 90 00'</t>
  </si>
  <si>
    <t>PRIEMNAYA@BALMETALL.RU</t>
  </si>
  <si>
    <t>47.753655,40.177151</t>
  </si>
  <si>
    <t>ОБЩЕСТВО С ОГРАНИЧЕННОЙ ОТВЕТСТВЕННОСТЬЮ "НОВОРОССИЙСКИЙ ПРОКАТНЫЙ ЗАВОД"</t>
  </si>
  <si>
    <t>ООО "НОВОРОССИЙСКИЙ ПРОКАТНЫЙ ЗАВОД"</t>
  </si>
  <si>
    <t>2315995868</t>
  </si>
  <si>
    <t>ooonpz.ru</t>
  </si>
  <si>
    <t>Ростовская область, г. Шахты, ул. Чаплыгина, 54</t>
  </si>
  <si>
    <t>Сторчак Иван Владимирович</t>
  </si>
  <si>
    <t>+7(863)303-36-56'</t>
  </si>
  <si>
    <t>info@ooonpz.ru</t>
  </si>
  <si>
    <t>54.187728,37.560673</t>
  </si>
  <si>
    <t>ОБЩЕСТВО С ОГРАНИЧЕННОЙ ОТВЕТСТВЕННОСТЬЮ "ТУЛА - СТАЛЬ"</t>
  </si>
  <si>
    <t>ООО "ТУЛА - СТАЛЬ"</t>
  </si>
  <si>
    <t>7104519516</t>
  </si>
  <si>
    <t>46.90</t>
  </si>
  <si>
    <t>tulasteel.ru</t>
  </si>
  <si>
    <t>ТУЛЬСКАЯ ОБЛАСТЬ, Г. ТУЛА, ПР-Д ИНШИНСКИЙ, Д. 1, ОФИС 22</t>
  </si>
  <si>
    <t>ДЕЛЬЦОВ ДМИТРИЙ ВАЛЕРЬЕВИЧ</t>
  </si>
  <si>
    <t>zakaz@tulasteel.ru</t>
  </si>
  <si>
    <t>56.148238,47.259379</t>
  </si>
  <si>
    <t>Общество с ограниченной ответветственностью "ЧЕБОКСАРСКИЙ СТРОЙКОМБИНАТ"</t>
  </si>
  <si>
    <t>ООО "ЧЕБОКСАРСКИЙ СТРОЙКОМБИНАТ"</t>
  </si>
  <si>
    <t>Производство заполнителей для легкого бетона</t>
  </si>
  <si>
    <t>2130118984</t>
  </si>
  <si>
    <t>https://skb21.ru/</t>
  </si>
  <si>
    <t>428032, ЧУВАШСКАЯ РЕСПУБЛИКА - ЧУВАШИЯ, ЧЕБОКСАРЫ Г, РЕЧНИКОВ ПЛ, ДОМ 3, ОФИС 17</t>
  </si>
  <si>
    <t>+7 (800) 700-75-74'</t>
  </si>
  <si>
    <t>Общество с ограниченной ответветственностью "ЕВРОБЛОК"</t>
  </si>
  <si>
    <t>ООО "ЕВРОБЛОК"</t>
  </si>
  <si>
    <t>https://euroblok-kzn.ru/</t>
  </si>
  <si>
    <t>422625, РТ, Лаишевский район, с. Песчаные Ковали, улица Октябрьская, дом 23а.</t>
  </si>
  <si>
    <t>+7 (917) 220 19 21, +7 (84378)-4-56-80'</t>
  </si>
  <si>
    <t>evro.blok@bk.ru</t>
  </si>
  <si>
    <t>56.829724,53.127067</t>
  </si>
  <si>
    <t>Общество с ограниченной ответветственностью "ИЖЕВСКИЙ ЗАВОД КИРПИЧА И КЕРАМЗИТА"</t>
  </si>
  <si>
    <t>ООО "ИЖЕВСКИЙ ЗАВОД КИРПИЧА И КЕРАМЗИТА"</t>
  </si>
  <si>
    <t>1832143242</t>
  </si>
  <si>
    <t>https://www.izkm.ru/</t>
  </si>
  <si>
    <t>426006, Удмуртская Республика, г. Ижевск, ул. О.Кошевого, д.2</t>
  </si>
  <si>
    <t>+7 (3412) 655-350'</t>
  </si>
  <si>
    <t>zavod_izkm@mail.ru</t>
  </si>
  <si>
    <t>Общество с ограниченной ответветственностью "НПК"</t>
  </si>
  <si>
    <t>ООО "НПК"</t>
  </si>
  <si>
    <t>https://zhbikzn.ru/</t>
  </si>
  <si>
    <t>420021, ТАТАРСТАН РЕСПУБЛИКА, Г. КАЗАНЬ, УЛ. МОСКОВСКАЯ, Д. 53/6, КВ. 25</t>
  </si>
  <si>
    <t>+7 (960) 048-14-72, +7 (960) 048-13-07, +7 (843) 258 14 72'</t>
  </si>
  <si>
    <t>oksanamarkova@bk.ru</t>
  </si>
  <si>
    <t>44.895654,38.874729</t>
  </si>
  <si>
    <t>Акционерное общество КСМ "ЭНЕМСКИЙ"</t>
  </si>
  <si>
    <t>АО КСМ "ЭНЕМСКИЙ"</t>
  </si>
  <si>
    <t>0106002505</t>
  </si>
  <si>
    <t>http://ksm-enem.ru/</t>
  </si>
  <si>
    <t>385132, АДЫГЕЯ РЕСПУБЛИКА, РАЙОН ТАХТАМУКАЙСКИЙ, ПОСЕЛОК ГОРОДСКОГО ТИПА ЭНЕМ, УЛИЦА ПЕРОВА, ДОМ 101</t>
  </si>
  <si>
    <t>+7 (861) 238-70-17, +7 (918) 478-00-90'</t>
  </si>
  <si>
    <t>keramzit-ksm@mail.ru</t>
  </si>
  <si>
    <t>Общество с ограниченной ответветственностью "ФБИ"</t>
  </si>
  <si>
    <t>ООО "ФБИ"</t>
  </si>
  <si>
    <t>0105065460-1</t>
  </si>
  <si>
    <t>https://fabrikabi.ru/</t>
  </si>
  <si>
    <t>8 (877) 256-07-28, 8 (918) 426-52-56'</t>
  </si>
  <si>
    <t>fabrikabi@mail.ru</t>
  </si>
  <si>
    <t>44.599489,40.742344</t>
  </si>
  <si>
    <t>0105065460-2</t>
  </si>
  <si>
    <t>352507, Краснодарский край, г. Лабинск, ул. Фрунзе, 2 корпус 1</t>
  </si>
  <si>
    <t>9 (877) 256-07-28, 8 (918) 426-52-56'</t>
  </si>
  <si>
    <t>Общество с ограниченной ответветственностью "ТД "Партнер +"</t>
  </si>
  <si>
    <t>ООО "ТД "Партнер +"</t>
  </si>
  <si>
    <t>7453214885</t>
  </si>
  <si>
    <t>https://partner-stroi.ru/</t>
  </si>
  <si>
    <t>454080, ЧЕЛЯБИНСКАЯ ОБЛАСТЬ, Г. ЧЕЛЯБИНСК, УЛ. СОНИ КРИВОЙ, Д. 52</t>
  </si>
  <si>
    <t>+7 (351) 220-32-33, +7 (932) 207-88-22'</t>
  </si>
  <si>
    <t>tdpartner74@gmail.com,</t>
  </si>
  <si>
    <t>54.912294,73.283645</t>
  </si>
  <si>
    <t>Общество с ограниченной ответветственностью "ПКФ "ОМСКСТРОЙМЕТАЛЛ"</t>
  </si>
  <si>
    <t>ООО "ПКФ "ОМСКСТРОЙМЕТАЛЛ"</t>
  </si>
  <si>
    <t>5501257239</t>
  </si>
  <si>
    <t>https://omstroymetall.ru/</t>
  </si>
  <si>
    <t>644036, г. Омск, 3-я Казахстанская улица, 30А</t>
  </si>
  <si>
    <t>+7(3812) 38-50-96, +7(3812) 59-37-30'</t>
  </si>
  <si>
    <t>osm_55@mail.ru</t>
  </si>
  <si>
    <t>55.083951,73.262040</t>
  </si>
  <si>
    <t>Общество с ограниченной ответветственностью "ОМСТРОЙСНАБ"</t>
  </si>
  <si>
    <t>ООО "ОМСТРОЙСНАБ"</t>
  </si>
  <si>
    <t>5504242054</t>
  </si>
  <si>
    <t>https://beton55.ru/</t>
  </si>
  <si>
    <t>644035, ОМСКАЯ ОБЛАСТЬ, Г ОМСК, УЛ. КОМБИНАТСКАЯ, Д. 30</t>
  </si>
  <si>
    <t>+7 (3812) 99-20-83'</t>
  </si>
  <si>
    <t>info@beton55.ru</t>
  </si>
  <si>
    <t>58.278097,59.705282</t>
  </si>
  <si>
    <t>Общество с ограниченной ответветственностью "КУШВИНСКИЙ КЕРАМЗИТОВЫЙ ЗАВОД"</t>
  </si>
  <si>
    <t>ООО "КУШВИНСКИЙ КЕРАМЗИТОВЫЙ ЗАВОД"</t>
  </si>
  <si>
    <t>6681005769</t>
  </si>
  <si>
    <t>https://kushvakeramzit.ru/</t>
  </si>
  <si>
    <t>624300, СВЕРДЛОВСКАЯ ОБЛ, Г КУШВА, ТЕР ПРОМЫШЛЕННЫЙ Р-Н КЕРАМЗИТОВОГО ЗАВОДА</t>
  </si>
  <si>
    <t>+7 (34344) 3-27-80, +7 (34344) 3-29-67, +7 (34344) 2-23-67, +7 (919) 384-63-12, 2-20-26'</t>
  </si>
  <si>
    <t>sale@kushvakeramzit.ru, office@kushvakeramzit.ru</t>
  </si>
  <si>
    <t>46.411427,48.132227</t>
  </si>
  <si>
    <t>Общество с ограниченной ответветственностью "КИРИКИЛИНСКИЙ КЕРАМЗИТНЫЙ ЗАВОД"</t>
  </si>
  <si>
    <t>ООО "КИРИКИЛИНСКИЙ КЕРАМЗИТНЫЙ ЗАВОД"</t>
  </si>
  <si>
    <t>3016051969</t>
  </si>
  <si>
    <t>http://kkzastra.narod.ru/</t>
  </si>
  <si>
    <t>414032, АСТРАХАНСКАЯ ОБЛАСТЬ, Г. АСТРАХАНЬ, УЛ. КРАМАТОРСКАЯ, Д.192</t>
  </si>
  <si>
    <t>+7 (8512) 50-99-07, +7 (8512) 70-16-57'</t>
  </si>
  <si>
    <t>kkzO7@mail.ru</t>
  </si>
  <si>
    <t>54.763550,56.253698</t>
  </si>
  <si>
    <t>Общество с ограниченной ответветственностью "УФИМСКАЯ ГИПСОВАЯ КОМПАНИЯ</t>
  </si>
  <si>
    <t>ООО "УФИМСКАЯ ГИПСОВАЯ КОМПАНИЯ</t>
  </si>
  <si>
    <t>0273037634</t>
  </si>
  <si>
    <t>https://xn--80aabrlgks8ay2d.xn--p1ai/</t>
  </si>
  <si>
    <t>450069, БАШКОРТОСТАН РЕСПУБЛИКА, Г. УФА, УЛ. ПРОИЗВОДСТВЕННАЯ, Д.8</t>
  </si>
  <si>
    <t>+7 (347) 225-23-50'</t>
  </si>
  <si>
    <t>keramzit@barkraft.ru</t>
  </si>
  <si>
    <t>43.186865,46.851292</t>
  </si>
  <si>
    <t>http://dagkeramzit.ru/</t>
  </si>
  <si>
    <t>368121, ДАГЕСТАН РЕСПУБЛИКА, Г. КИЗИЛЮРТ, ПР-КТ ИМ ШАМИЛЯ, Д.1</t>
  </si>
  <si>
    <t>+7 (964) 000-64-05, +7 (963) 370-74-40'</t>
  </si>
  <si>
    <t>info@dagkeramzit.ru</t>
  </si>
  <si>
    <t>Общество с ограниченной ответветственностью "ДСК "СУОР"</t>
  </si>
  <si>
    <t>ООО "ДСК "СУОР"</t>
  </si>
  <si>
    <t>https://dsk-suor.ru/</t>
  </si>
  <si>
    <t>429965, Чувашская Респ., г. Новочебоксарск, ул. Промышленная, 73</t>
  </si>
  <si>
    <t>+7 (8352) 30-64-33'</t>
  </si>
  <si>
    <t>info@dsk-suor.ru</t>
  </si>
  <si>
    <t>44.84354943140267,38.87884629371979</t>
  </si>
  <si>
    <t>Общество с ограниченной ответветственностью "КБЗ"</t>
  </si>
  <si>
    <t>ООО "КБЗ"</t>
  </si>
  <si>
    <t>2312237062</t>
  </si>
  <si>
    <t>https://krasnodar-blok.ru/</t>
  </si>
  <si>
    <t>353250, Россия, Краснодарский край Северский район,
 ст. Новодмитриевская
 ул. Горького 130</t>
  </si>
  <si>
    <t>+7 (999) 070-70-70, +7 (988) 333-2-333'</t>
  </si>
  <si>
    <t>89990707070@mail.ru</t>
  </si>
  <si>
    <t>55.729975,37.747388</t>
  </si>
  <si>
    <t>Общество с ограниченной ответветственностью "ГК ГЕКОН"</t>
  </si>
  <si>
    <t>ООО "ГК ГЕКОН"</t>
  </si>
  <si>
    <t>9724068730</t>
  </si>
  <si>
    <t>Фактический адрес: 109 202, Рязанский проспект, д.27 Юр. адрес: 115569, г. Москва, ул. Домодедовская, д. 4, помещ. 27, ком. 1, офис 2</t>
  </si>
  <si>
    <t>89259714861'</t>
  </si>
  <si>
    <t>GRIHARR@GMAIL.COM</t>
  </si>
  <si>
    <t>53.321313,83.620873</t>
  </si>
  <si>
    <t>Акционерное общество "ЗЯБ"</t>
  </si>
  <si>
    <t>АО "ЗЯБ"</t>
  </si>
  <si>
    <t>2222001009</t>
  </si>
  <si>
    <t>https://aozyb.ru/</t>
  </si>
  <si>
    <t>656922, АЛТАЙСКИЙ КРАЙ, ГОРОД БАРНАУЛ, УЛИЦА ГАЗОБЕТОННАЯ, 51</t>
  </si>
  <si>
    <t>+7 (3852) 314-743, +7 (913) 251-06-78'</t>
  </si>
  <si>
    <t>tarasova-info@yandex.ru</t>
  </si>
  <si>
    <t>59.452370,56.741357</t>
  </si>
  <si>
    <t>Общество с ограниченной ответветственностью "Тодос-М"</t>
  </si>
  <si>
    <t>ООО "Тодос-М"</t>
  </si>
  <si>
    <t>http://www.todos-m.ru/</t>
  </si>
  <si>
    <t>618400, ПЕРМСКИЙ КРАЙ, Г. БЕРЕЗНИКИ, УЛ. НОВОСОДОВАЯ, Д.36</t>
  </si>
  <si>
    <t>+7 (3424) 23-09-60, +7 (3424) 23-09-55'</t>
  </si>
  <si>
    <t>todos-m@mail.ru</t>
  </si>
  <si>
    <t>58.072484,55.875552</t>
  </si>
  <si>
    <t>Акционерное общество "Пермтрансжелезобетон"</t>
  </si>
  <si>
    <t>АО "Пермтрансжелезобетон"</t>
  </si>
  <si>
    <t>https://www.ptgb.ru/</t>
  </si>
  <si>
    <t>617050, ПЕРМСКИЙ КРАЙ, ГОРОД КРАСНОКАМСК, РАБОЧИЙ ПОСЕЛОК ОВЕРЯТА, УЛИЦА КОМСОМОЛЬСКАЯ, ДОМ 2</t>
  </si>
  <si>
    <t>+7 (800) 550-09-97, +7 (342) 232-00-88'</t>
  </si>
  <si>
    <t>zapros@ptgb.ru</t>
  </si>
  <si>
    <t>58.687112,59.532252</t>
  </si>
  <si>
    <t>624350, Свердловская область, Качканар, территория Промышленная Зона, 9-й квартал, 55</t>
  </si>
  <si>
    <t>57.971732,56.260130</t>
  </si>
  <si>
    <t>Общество с ограниченной ответветственностью "Пермский завод неавтоклавного газобетона"</t>
  </si>
  <si>
    <t>ООО "Пермский завод неавтоклавного газобетона"</t>
  </si>
  <si>
    <t>www.pzng.ru</t>
  </si>
  <si>
    <t>614064, Россия, Пермский край, г. Пермь, ул. Героев Хасана, д. 46, оф. 128</t>
  </si>
  <si>
    <t>8 (3422) 04-49-00, 8 (3422) 04-30-10'</t>
  </si>
  <si>
    <t>pzng@mail.ru</t>
  </si>
  <si>
    <t>58.038894653,56.161453247</t>
  </si>
  <si>
    <t>Акционерное общество «ПЗСП»</t>
  </si>
  <si>
    <t>АО «ПЗСП»</t>
  </si>
  <si>
    <t>https://pzsp.ru/</t>
  </si>
  <si>
    <t>614031, Пермский край, город Пермь, ул. Докучаева, д.31</t>
  </si>
  <si>
    <t>8 (3422) 13-73-10'</t>
  </si>
  <si>
    <t>demkin@pzsp.ru, buh@pzsp.ru</t>
  </si>
  <si>
    <t>55.082622528,73.207817078</t>
  </si>
  <si>
    <t>Общество с ограниченной ответветственностью "Комбинат пористых материалов"</t>
  </si>
  <si>
    <t>ООО "Комбинат пористых материалов"</t>
  </si>
  <si>
    <t>5503095431</t>
  </si>
  <si>
    <t>http://omskblok.ru</t>
  </si>
  <si>
    <t>644040, Омская область, г. Омск, ул. Комбинатская, д. 46</t>
  </si>
  <si>
    <t>8 (3812) 35-59-15, 8 (3812) 40-61-31, 8 (3812) 23-49-83'</t>
  </si>
  <si>
    <t>ozayab@mail.ru</t>
  </si>
  <si>
    <t>45.019940,39.049703</t>
  </si>
  <si>
    <t>Общество с ограниченной ответветственностью "Газоблок Юг"</t>
  </si>
  <si>
    <t>ООО "Газоблок Юг"</t>
  </si>
  <si>
    <t>2311261577</t>
  </si>
  <si>
    <t>https://masix23.ru/</t>
  </si>
  <si>
    <t>350058, КРАСНОДАРСКИЙ КРАЙ, Г. КРАСНОДАР, УЛ. СТАРОКУБАНСКАЯ, Д. 118, ОФИС 415</t>
  </si>
  <si>
    <t xml:space="preserve"> +7 (861) 225-93-73'</t>
  </si>
  <si>
    <t>45.114153,39.385397</t>
  </si>
  <si>
    <t>Общество с ограниченной ответветственностью "Комбинат стеновых материалов Кубани"</t>
  </si>
  <si>
    <t>ООО "Комбинат стеновых материалов Кубани"</t>
  </si>
  <si>
    <t>2310124190</t>
  </si>
  <si>
    <t>http://www.ksmk.ru/</t>
  </si>
  <si>
    <t>353225, Краснодарский край,
 Динской район, станица Васюринская, автодорога Темрюк-Краснодар-Кропоткин км. 184-340, промзона №10/1</t>
  </si>
  <si>
    <t>+7 (86162) 7-26-28'</t>
  </si>
  <si>
    <t>ksmk@inbox.ru</t>
  </si>
  <si>
    <t>45.386744,40.736793</t>
  </si>
  <si>
    <t>Общество с ограниченной ответветственностью «Комбинат стеновых материалов Кубани-Регион»</t>
  </si>
  <si>
    <t>ООО «Комбинат стеновых материалов Кубани-Регион»</t>
  </si>
  <si>
    <t>2310132392</t>
  </si>
  <si>
    <t>352190, Краснодарский край, г. Гулькевичи, Промзона д. 2</t>
  </si>
  <si>
    <t>+7 (86160) 5-31-32'</t>
  </si>
  <si>
    <t>dzheliev_ao@v-k-b.ru</t>
  </si>
  <si>
    <t>48.784025,44.823759</t>
  </si>
  <si>
    <t>Общество с ограниченной ответветственностью "ГБЗ-1"</t>
  </si>
  <si>
    <t>ООО "ГБЗ-1"</t>
  </si>
  <si>
    <t>3435011003</t>
  </si>
  <si>
    <t>www.gazobeton-volga.ru</t>
  </si>
  <si>
    <t>404131, ВОЛГОГРАДСКАЯ ОБЛАСТЬ, ГОРОД ВОЛЖСКИЙ, УЛИЦА АЛЕКСАНДРОВА, 48</t>
  </si>
  <si>
    <t xml:space="preserve"> +7 (8443) 55-02-32, +7 (8443) 55-07-65'</t>
  </si>
  <si>
    <t>zakaz@gbz1.ru</t>
  </si>
  <si>
    <t>Общество с ограниченной ответветственностью "ДСК "ГРАС Саратов"</t>
  </si>
  <si>
    <t>ООО "ДСК "ГРАС Саратов"</t>
  </si>
  <si>
    <t>www.dskgras.ru</t>
  </si>
  <si>
    <t>+7 (927) 222-40-33, +7 (845) 239-04-25'</t>
  </si>
  <si>
    <t>Общество с ограниченной ответветственностью "ГАЗОБЕТОННЫЙ ЗАВОД"</t>
  </si>
  <si>
    <t>ООО "ГАЗОБЕТОННЫЙ ЗАВОД"</t>
  </si>
  <si>
    <t>https://agb65.ru/</t>
  </si>
  <si>
    <t>+7 (4242) 32-19-00'</t>
  </si>
  <si>
    <t>45.241150,39.658949</t>
  </si>
  <si>
    <t>Общество с ограниченной ответветственностью "ГЛАВСТРОЙ-УСТЬ-ЛАБИНСК"</t>
  </si>
  <si>
    <t>ООО "ГЛАВСТРОЙ-УСТЬ-ЛАБИНСК"</t>
  </si>
  <si>
    <t>2356046080</t>
  </si>
  <si>
    <t>https://xn--80accc6ahceydrln.xn--p1ai/</t>
  </si>
  <si>
    <t>352332, КРАСНОДАРСКИЙ КРАЙ, РАЙОН УСТЬ-ЛАБИНСКИЙ, ГОРОД УСТЬ-ЛАБИНСК, УЛИЦА КОММУНАЛЬНАЯ, 39</t>
  </si>
  <si>
    <t>8 (800) 25-088-25, 8 (988) 354-31-35, 8 (989) 852-18-27'</t>
  </si>
  <si>
    <t>info@gsblock.ru</t>
  </si>
  <si>
    <t>Общество с ограниченной ответветственностью "ИНСИ БЛОК"</t>
  </si>
  <si>
    <t>ООО "ИНСИ БЛОК"</t>
  </si>
  <si>
    <t>https://gazo-beton.ru/</t>
  </si>
  <si>
    <t>456591, Челябинская область, п. Зауральский, ул. Труда, д. 1а</t>
  </si>
  <si>
    <t>+7 (351) 216-12-81'</t>
  </si>
  <si>
    <t>zakaz@insi-blok.ru</t>
  </si>
  <si>
    <t>54.02295918706475,102.04641144358244</t>
  </si>
  <si>
    <t>Общество с ограниченной ответветственностью «Саянскгазобетон»</t>
  </si>
  <si>
    <t>ООО «Саянскгазобетон»</t>
  </si>
  <si>
    <t>3814018958</t>
  </si>
  <si>
    <t>http://silex.ru/</t>
  </si>
  <si>
    <t>666301, ИРКУТСКАЯ ОБЛАСТЬ, Г. САЯНСК, ТЕР ПРОМЫШЛЕННЫЙ УЗЕЛ ПРОМПЛОЩАДКА, КОРПУС 18</t>
  </si>
  <si>
    <t>+7 (39553) 4-44-44'</t>
  </si>
  <si>
    <t>skirta@bgazobeton.ru</t>
  </si>
  <si>
    <t>45.00160722914975,41.92658570777464</t>
  </si>
  <si>
    <t>Общество с ограниченной ответветственностью "ГАЗОБЕТОН СК"</t>
  </si>
  <si>
    <t>ООО "ГАЗОБЕТОН СК"</t>
  </si>
  <si>
    <t>2635236531</t>
  </si>
  <si>
    <t>355042, СТАВРОПОЛЬСКИЙ КРАЙ, Г СТАВРОПОЛЬ, ПРОЕЗД 1 ЮГО-ЗАПАДНЫЙ, Д 3, ОФИС 1</t>
  </si>
  <si>
    <t>bs77782@mail.ru</t>
  </si>
  <si>
    <t>57.122493,61.700679</t>
  </si>
  <si>
    <t>Общество с ограниченной ответветственностью "ПСО "ТЕПЛИТ"</t>
  </si>
  <si>
    <t>ООО "ПСО "ТЕПЛИТ"</t>
  </si>
  <si>
    <t>https://twinblock.ru/</t>
  </si>
  <si>
    <t>624285, Свердловская область, Рефтинский городской округ, пгт Рефтинский</t>
  </si>
  <si>
    <t>+7 (343) 312-38-80'</t>
  </si>
  <si>
    <t>saa@teplit.ru</t>
  </si>
  <si>
    <t>55.488927,65.339519</t>
  </si>
  <si>
    <t>Общество с ограниченной ответветственностью "ТД ПОРАБЛОК"</t>
  </si>
  <si>
    <t>ООО "ТД ПОРАБЛОК"</t>
  </si>
  <si>
    <t>7447293825</t>
  </si>
  <si>
    <t>https://gazobeton-blok.ru/</t>
  </si>
  <si>
    <t>640023, Курган, проспект Маршала Голикова, 29</t>
  </si>
  <si>
    <t>+7 (351) 200-35-40'</t>
  </si>
  <si>
    <t>chel@gazobeton-blok.ru</t>
  </si>
  <si>
    <t>52.339852,104.263916</t>
  </si>
  <si>
    <t>Общество с ограниченной ответветственностью "Алит-тм"</t>
  </si>
  <si>
    <t>ООО "Алит-тм"</t>
  </si>
  <si>
    <t>3808208943</t>
  </si>
  <si>
    <t>https://alit.su/</t>
  </si>
  <si>
    <t>664014, ИРКУТСКАЯ ОБЛАСТЬ, Г. ИРКУТСК, ТЕР НЕФТЕБАЗА, Д. 13А</t>
  </si>
  <si>
    <t>+7 (3952) 62-22-28, +7 (3952) 72-82-87'</t>
  </si>
  <si>
    <t>alit@alit.su</t>
  </si>
  <si>
    <t>42.688156128,46.872936249</t>
  </si>
  <si>
    <t xml:space="preserve"> "СТАНДАРТ"</t>
  </si>
  <si>
    <t>Производство товарного бетона</t>
  </si>
  <si>
    <t>0533010482</t>
  </si>
  <si>
    <t>23.63</t>
  </si>
  <si>
    <t>РЕСПУБЛИКА ДАГЕСТАН,УНЦУКУЛЬСКИЙ Р-Н,УНЦУКУЛЬСКОЕ,РП ШАМИЛЬКАЛА</t>
  </si>
  <si>
    <t>Бисултанов Карахма Шираевич</t>
  </si>
  <si>
    <t>42.883579254,47.629943848</t>
  </si>
  <si>
    <t>ОБЩЕСТВО С ОГРАНИЧЕННОЙ ОТВЕТСТВЕННОСТЬЮ "ИСТОК"</t>
  </si>
  <si>
    <t xml:space="preserve"> "ИСТОК"</t>
  </si>
  <si>
    <t>0545018670</t>
  </si>
  <si>
    <t>РЕСПУБЛИКА ДАГЕСТАН,Г КАСПИЙСК,УЛ МАХАЧКАЛИНСКАЯ Д 56</t>
  </si>
  <si>
    <t>Исмаилов Расим Ясинович</t>
  </si>
  <si>
    <t>42.99143219,47.487159729</t>
  </si>
  <si>
    <t>ПЕРЕРАБАТЫВАЮЩИЙ СЕЛЬСКОХОЗЯЙСТВЕННЫЙ КООПЕРАТИВ " ЮГРОСАГРО "</t>
  </si>
  <si>
    <t>0560031812</t>
  </si>
  <si>
    <t>Г МАХАЧКАЛА,УЛ МАКАРОВА Д 22</t>
  </si>
  <si>
    <t>Гасанов Мусалав Муртазалиевич</t>
  </si>
  <si>
    <t>43.024246216,44.680335999</t>
  </si>
  <si>
    <t>ОБЩЕСТВО С ОГРАНИЧЕННОЙ ОТВЕТСТВЕННОСТЬЮ "ИРКОМТЭК"</t>
  </si>
  <si>
    <t xml:space="preserve"> "ИРКОМТЭК"</t>
  </si>
  <si>
    <t>1502045536</t>
  </si>
  <si>
    <t>Г ВЛАДИКАВКАЗ,ПРОСП МИРА, 1</t>
  </si>
  <si>
    <t>Пагаев Альберт Измаилович</t>
  </si>
  <si>
    <t>43.026168823,44.704399109</t>
  </si>
  <si>
    <t xml:space="preserve"> "МОНОЛИТСТРОЙ"</t>
  </si>
  <si>
    <t>1512019214</t>
  </si>
  <si>
    <t>Г ВЛАДИКАВКАЗ,УЛ ШМУЛЕВИЧА, 41</t>
  </si>
  <si>
    <t>Гаджинов Владимир Зелимханович</t>
  </si>
  <si>
    <t>+7 (928) 070-71-72'</t>
  </si>
  <si>
    <t>43.027748108,44.689781189</t>
  </si>
  <si>
    <t xml:space="preserve"> "БЕТОНГРУПП"</t>
  </si>
  <si>
    <t>1513043749</t>
  </si>
  <si>
    <t>Г ВЛАДИКАВКАЗ,УЛ ФРУНЗЕ, 31,..</t>
  </si>
  <si>
    <t>Галуаев Владимир Ильич</t>
  </si>
  <si>
    <t>+7 (867) 240-31-07'</t>
  </si>
  <si>
    <t>43.128120422,131.916213989</t>
  </si>
  <si>
    <t>ОБЩЕСТВО С ОГРАНИЧЕННОЙ ОТВЕТСТВЕННОСТЬЮ "ГОРОДСКОЙ БЕТОННЫЙ УЗЕЛ"</t>
  </si>
  <si>
    <t xml:space="preserve"> "ГОРОДСКОЙ БЕТОННЫЙ УЗЕЛ"</t>
  </si>
  <si>
    <t>2502051563</t>
  </si>
  <si>
    <t>Г ВЛАДИВОСТОК,УЛ ТОЛСТОГО, 86</t>
  </si>
  <si>
    <t>Иванцова Екатерина Юрьевна</t>
  </si>
  <si>
    <t>+7 (914) 715-14-03'</t>
  </si>
  <si>
    <t>43.129096985,131.946258545</t>
  </si>
  <si>
    <t>ОБЩЕСТВО С ОГРАНИЧЕННОЙ ОТВЕТСТВЕННОСТЬЮ "БЕАТОН"</t>
  </si>
  <si>
    <t xml:space="preserve"> "БЕАТОН"</t>
  </si>
  <si>
    <t>2538100912</t>
  </si>
  <si>
    <t>Г ВЛАДИВОСТОК,УЛ САБАНЕЕВА, 13 К 104</t>
  </si>
  <si>
    <t>Чуперко Вадим Ильич</t>
  </si>
  <si>
    <t>+7 (423) 240-36-95', '+7 (423) 233-21-81'</t>
  </si>
  <si>
    <t>43.330188751,132.106246948</t>
  </si>
  <si>
    <t>Общество с ограниченной ответственностью "Основа"</t>
  </si>
  <si>
    <t xml:space="preserve"> "Основа"</t>
  </si>
  <si>
    <t>2508112325</t>
  </si>
  <si>
    <t>ПРИМОРСКИЙ КРАЙ,Г АРТЕМ,УЛ 1-Я РАБОЧАЯ, 72</t>
  </si>
  <si>
    <t>Гречка Андрей Анатольевич</t>
  </si>
  <si>
    <t>+7 (914) 709-57-45'</t>
  </si>
  <si>
    <t>43.367164612,132.023666382</t>
  </si>
  <si>
    <t>ОБЩЕСТВО С ОГРАНИЧЕННОЙ ОТВЕТСТВЕННОСТЬЮ "МОНОЛИТ-ДВ"</t>
  </si>
  <si>
    <t xml:space="preserve"> "МОНОЛИТ-ДВ"</t>
  </si>
  <si>
    <t>2521010481</t>
  </si>
  <si>
    <t>ПРИМОРСКИЙ КРАЙ,НАДЕЖДИНСКИЙ Р-Н,П НОВЫЙ,УЛ МИРА, 35</t>
  </si>
  <si>
    <t>Родин Иван Владимирович</t>
  </si>
  <si>
    <t>43.432640076,39.926319122</t>
  </si>
  <si>
    <t xml:space="preserve"> "КУБ"</t>
  </si>
  <si>
    <t>2308042550</t>
  </si>
  <si>
    <t>КРАСНОДАРСКИЙ КРАЙ,Г СОЧИ,УЛ УЛЬЯНОВА, Д 101,..</t>
  </si>
  <si>
    <t>Селин Владимир Петрович</t>
  </si>
  <si>
    <t>+7 (918) 037-99-93'</t>
  </si>
  <si>
    <t>43.45098114,39.917858124</t>
  </si>
  <si>
    <t>ОБЩЕСТВО С ОГРАНИЧЕННОЙ ОТВЕТСТВЕННОСТЬЮ "САН ПАРЕЛЬ"</t>
  </si>
  <si>
    <t xml:space="preserve"> "САН ПАРЕЛЬ"</t>
  </si>
  <si>
    <t>2317034394</t>
  </si>
  <si>
    <t>КРАСНОДАРСКИЙ КРАЙ,Г СОЧИ,УЛ ГАСТЕЛЛО, Д 42</t>
  </si>
  <si>
    <t>Сокаева Эльма Амурхановна</t>
  </si>
  <si>
    <t>+7 (918) 404-42-48'</t>
  </si>
  <si>
    <t>43.466625214,39.97064209</t>
  </si>
  <si>
    <t>ОБЩЕСТВО С ОГРАНИЧЕННОЙ ОТВЕТСТВЕННОСТЬЮ "ШТЕТЕРЮГ"</t>
  </si>
  <si>
    <t xml:space="preserve"> "ШТЕТЕРЮГ"</t>
  </si>
  <si>
    <t>2317041761</t>
  </si>
  <si>
    <t>КРАСНОДАРСКИЙ КРАЙ,Г СОЧИ,УЛ КОСТРОМСКАЯ, ПРОМБАЗА</t>
  </si>
  <si>
    <t>Мамедов Роман Романович</t>
  </si>
  <si>
    <t>43.502475739,39.892425537</t>
  </si>
  <si>
    <t>ОБЩЕСТВО С ОГРАНИЧЕННОЙ ОТВЕТСТВЕННОСТЬЮ "СОЧИТРАНСУНИВЕРСАЛ"</t>
  </si>
  <si>
    <t xml:space="preserve"> "СОЧИТРАНСУНИВЕРСАЛ"</t>
  </si>
  <si>
    <t>2319033068</t>
  </si>
  <si>
    <t>КРАСНОДАРСКИЙ КРАЙ,Г СОЧИ,УЛ АПШЕРОНСКАЯ, Д 78</t>
  </si>
  <si>
    <t>Галотин Илья Владимирович</t>
  </si>
  <si>
    <t>43.55709717309,39.793996605926</t>
  </si>
  <si>
    <t>ОБЩЕСТВО С ОГРАНИЧЕННОЙ ОТВЕТСТВЕННОСТЬЮ "АЛЬПИКАСТРОЙСЕРВИС"</t>
  </si>
  <si>
    <t xml:space="preserve"> "АЛЬПИКАСТРОЙСЕРВИС"</t>
  </si>
  <si>
    <t>2319032882</t>
  </si>
  <si>
    <t>КРАСНОДАРСКИЙ КРАЙ,Г СОЧИ,УЛ АЛЛЕЯ ЧЕЛТЕНХЭМА, Д 8</t>
  </si>
  <si>
    <t>Чантурия Андрей Святославович</t>
  </si>
  <si>
    <t>+7 (918) 404-06-88'</t>
  </si>
  <si>
    <t>43.563194275,39.76499939</t>
  </si>
  <si>
    <t>ОБЩЕСТВО С ОГРАНИЧЕННОЙ ОТВЕТСТВЕННОСТЬЮ "АЛЬБАТРОС 21"</t>
  </si>
  <si>
    <t xml:space="preserve"> "АЛЬБАТРОС 21"</t>
  </si>
  <si>
    <t>2320100304</t>
  </si>
  <si>
    <t>http://альбатрос21.рф</t>
  </si>
  <si>
    <t>КРАСНОДАРСКИЙ КРАЙ,Г СОЧИ,УЛ ВОЗРОЖДЕНИЯ, Д 14,..</t>
  </si>
  <si>
    <t>Синцов Константин Сергеевич</t>
  </si>
  <si>
    <t>+7 (909) 115-64-68'</t>
  </si>
  <si>
    <t>43.585372925,39.727313995</t>
  </si>
  <si>
    <t>ОБЩЕСТВО С ОГРАНИЧЕННОЙ ОТВЕТСТВЕННОСТЬЮ "АТЛАНТ ГРУПП"</t>
  </si>
  <si>
    <t xml:space="preserve"> "АТЛАНТ ГРУПП"</t>
  </si>
  <si>
    <t>2320119633</t>
  </si>
  <si>
    <t>КРАСНОДАРСКИЙ КРАЙ,Г СОЧИ,ПЕР ГОРЬКОГО, Д 12</t>
  </si>
  <si>
    <t>Мкртчян Гагик Арташович</t>
  </si>
  <si>
    <t>43.592697144,39.717956543</t>
  </si>
  <si>
    <t>ОБЩЕСТВО С ОГРАНИЧЕННОЙ ОТВЕТСТВЕННОСТЬЮ  "АЛЬЯНС-БЕТОН"</t>
  </si>
  <si>
    <t xml:space="preserve">  "АЛЬЯНС-БЕТОН"</t>
  </si>
  <si>
    <t>2320080760</t>
  </si>
  <si>
    <t xml:space="preserve"> КРАСНОДАРСКИЙ КРАЙ, ЦЕНТРАЛЬНЫЙ РАЙОН Г.СОЧИ, УЛ.ЧАЙКОВСКОГО, 8, 50</t>
  </si>
  <si>
    <t>Матулян Арутюн Суренович</t>
  </si>
  <si>
    <t>+7 (918) 304-92-26'</t>
  </si>
  <si>
    <t>43.602661133,39.717937469</t>
  </si>
  <si>
    <t>ОБЩЕСТВО С ОГРАНИЧЕННОЙ ОТВЕТСТВЕННОСТЬЮ "ВАШ ВЫБОР"</t>
  </si>
  <si>
    <t xml:space="preserve"> "ВАШ ВЫБОР"</t>
  </si>
  <si>
    <t>2320142199</t>
  </si>
  <si>
    <t>КРАСНОДАРСКИЙ КРАЙ,Г СОЧИ,УЛ ГОСПИТАЛЬНАЯ, Д 3</t>
  </si>
  <si>
    <t>Мельник Василий Васильевич</t>
  </si>
  <si>
    <t>43.625350952,39.729045868</t>
  </si>
  <si>
    <t>ОБЩЕСТВО С ОГРАНИЧЕННОЙ ОТВЕТСТВЕННОСТЬЮ "БИЭМ"</t>
  </si>
  <si>
    <t xml:space="preserve"> "БИЭМ"</t>
  </si>
  <si>
    <t>2320085102</t>
  </si>
  <si>
    <t>КРАСНОДАРСКИЙ КРАЙ,Г СОЧИ,УЛ ПАСЕЧНАЯ, Д 61, К 3</t>
  </si>
  <si>
    <t>Солодкин Михаил Зиновьевич</t>
  </si>
  <si>
    <t>43.631874084,39.717311859</t>
  </si>
  <si>
    <t>ОБЩЕСТВО С ОГРАНИЧЕННОЙ ОТВЕТСТВЕННОСТЬЮ "ФРИИЛАНСЕ"</t>
  </si>
  <si>
    <t xml:space="preserve"> "ФРИИЛАНСЕ"</t>
  </si>
  <si>
    <t>2320152535</t>
  </si>
  <si>
    <t>КРАСНОДАРСКИЙ КРАЙ,Г СОЧИ,ПЕР ВИНОГРАДНЫЙ, Д 8</t>
  </si>
  <si>
    <t>Куприянова Елена Александровна</t>
  </si>
  <si>
    <t>43.667289734,39.679885864</t>
  </si>
  <si>
    <t>ОБЩЕСТВО С ОГРАНИЧЕННОЙ ОТВЕТСТВЕННОСТЬЮ "ЦЕНТР ЕВРОПЕЙСКИХ ИССЛЕДОВАНИЙ "ВОСТОК"</t>
  </si>
  <si>
    <t xml:space="preserve"> "ЦЕНТР ЕВРОПЕЙСКИХ ИССЛЕДОВАНИЙ "ВОСТОК"</t>
  </si>
  <si>
    <t>2320036962</t>
  </si>
  <si>
    <t>КРАСНОДАРСКИЙ КРАЙ,Г СОЧИ,ШОССЕ БАРАНОВСКОЕ, Д 2</t>
  </si>
  <si>
    <t>Русских Ирина Михайловна</t>
  </si>
  <si>
    <t>43.820392609,131.993972778</t>
  </si>
  <si>
    <t>ОБЩЕСТВО С ОГРАНИЧЕННОЙ ОТВЕТСТВЕННОСТЬЮ "ФИБРАРТА"</t>
  </si>
  <si>
    <t xml:space="preserve"> "ФИБРАРТА"</t>
  </si>
  <si>
    <t>7806513956</t>
  </si>
  <si>
    <t xml:space="preserve"> С-ПЕТЕРБУРГ, УЛ.САДОВАЯ, 94, 21</t>
  </si>
  <si>
    <t>Щиплецов Виктор Владимирович</t>
  </si>
  <si>
    <t>+7 (917) 220-13-95'</t>
  </si>
  <si>
    <t>43.836816788575,39.51060135826</t>
  </si>
  <si>
    <t>ОБЩЕСТВО С ОГРАНИЧЕННОЙ ОТВЕТСТВЕННОСТЬЮ "ЛОО"</t>
  </si>
  <si>
    <t xml:space="preserve"> "ЛОО"</t>
  </si>
  <si>
    <t>2318002003</t>
  </si>
  <si>
    <t>КРАСНОДАРСКИЙ КРАЙ,Г СОЧИ,УЛ АЧМИЗОВА, Д 37</t>
  </si>
  <si>
    <t>Гвашев Амурби Юнусович</t>
  </si>
  <si>
    <t>43.912612914067,39.339799042484</t>
  </si>
  <si>
    <t xml:space="preserve"> "ДЕДАЛ"</t>
  </si>
  <si>
    <t>2318034012</t>
  </si>
  <si>
    <t>КРАСНОДАРСКИЙ КРАЙ,Г СОЧИ,УЛ КАЛАРАШ, Д 127</t>
  </si>
  <si>
    <t>Кешишян Руслан Вагинакович</t>
  </si>
  <si>
    <t>+7 (862) 272-25-74'</t>
  </si>
  <si>
    <t>43.932201385,39.30790329</t>
  </si>
  <si>
    <t xml:space="preserve"> "БРИЗ"</t>
  </si>
  <si>
    <t>2318025297</t>
  </si>
  <si>
    <t>КРАСНОДАРСКИЙ КРАЙ,Г СОЧИ,УЛ НОВАЯ, Д 6</t>
  </si>
  <si>
    <t>Карибов Эдуард Юрьевич</t>
  </si>
  <si>
    <t>+7 (918) 903-22-67', '+7 (918) 408-86-86'</t>
  </si>
  <si>
    <t>44.060043335,43.061786652</t>
  </si>
  <si>
    <t>ОБЩЕСТВО С ОГРАНИЧЕННОЙ ОТВЕТСТВЕННОСТЬЮ "ВАГО"</t>
  </si>
  <si>
    <t xml:space="preserve"> "ВАГО"</t>
  </si>
  <si>
    <t>2632048040</t>
  </si>
  <si>
    <t>СТАВРОПОЛЬСКИЙ КРАЙ,Г ПЯТИГОРСК,УЛ ОРДЖОНИКИДЗЕ, Д 11</t>
  </si>
  <si>
    <t>Панасенко Виталий Владимирович</t>
  </si>
  <si>
    <t>+7 (928) 342-76-72'</t>
  </si>
  <si>
    <t>44.093604858077,39.08997549633</t>
  </si>
  <si>
    <t>ОБЩЕСТВО С ОГРАНИЧЕННОЙ ОТВЕТСТВЕННОСТЬЮ "МЕТАЛЛСТРОЙ"</t>
  </si>
  <si>
    <t xml:space="preserve"> "МЕТАЛЛСТРОЙ"</t>
  </si>
  <si>
    <t>2322024433</t>
  </si>
  <si>
    <t>КРАСНОДАРСКИЙ КРАЙ,Г ТУАПСЕ,УЛ ИНДУСТРИАЛЬНАЯ, Д 17</t>
  </si>
  <si>
    <t>Коровицын Дмитрий Геннадьевич</t>
  </si>
  <si>
    <t>44.103164673,42.935005188</t>
  </si>
  <si>
    <t>ОБЩЕСТВО С ОГРАНИЧЕННОЙ ОТВЕТСТВЕННОСТЬЮ "КОМФОРТ"</t>
  </si>
  <si>
    <t xml:space="preserve"> "КОМФОРТ"</t>
  </si>
  <si>
    <t>0902012685</t>
  </si>
  <si>
    <t>КАРАЧАЕВО-ЧЕРКЕССКАЯ РЕСПУБЛИКА,КАРАЧАЕВСКИЙ Р-Н,PП ПРАВОКУБАНСКИЙ,КАРАЧАЕВСКОЕ,ПРОМЫШЛЕННАЯ ЗОНА</t>
  </si>
  <si>
    <t>Дудов Мухатдин Ахматович</t>
  </si>
  <si>
    <t>+7 (928) 636-10-35', '+7 (928) 395-19-17'</t>
  </si>
  <si>
    <t>44.134590149,43.459136963</t>
  </si>
  <si>
    <t>ОБЩЕСТВО С ОГРАНИЧЕННОЙ ОТВЕТСТВЕННОСТЬЮ "РЕМСТРОЙКОМПЛЕКТ"</t>
  </si>
  <si>
    <t xml:space="preserve"> "РЕМСТРОЙКОМПЛЕКТ"</t>
  </si>
  <si>
    <t>2625025732</t>
  </si>
  <si>
    <t>СТАВРОПОЛЬСКИЙ КРАЙ,Г ГЕОРГИЕВСК,УЛ ГАСТЕЛЛО, Д 5</t>
  </si>
  <si>
    <t>Ненашева Наталья Степановна</t>
  </si>
  <si>
    <t>44.228397369,42.057491302</t>
  </si>
  <si>
    <t>Общество с ограниченной ответственностью "ТЭССО и А+А"</t>
  </si>
  <si>
    <t xml:space="preserve"> "ТЭССО и А+А"</t>
  </si>
  <si>
    <t>0917006691</t>
  </si>
  <si>
    <t>Г ЧЕРКЕССК,ГЛАВПОЧТАМТ,УЛ РЕВОЛЮЦИОННАЯ, Д 7,..</t>
  </si>
  <si>
    <t>Джанкезов Абрек Альбертович</t>
  </si>
  <si>
    <t>+7 (928) 394-98-37', '+7 (928) 384-34-68'</t>
  </si>
  <si>
    <t>44.559833527,38.083335876</t>
  </si>
  <si>
    <t>ОБЩЕСТВО С ОГРАНИЧЕННОЙ ОТВЕТСТВЕННОСТЬЮ "АРМАВИРСКИЙ БЕТОННЫЙ ЗАВОД"</t>
  </si>
  <si>
    <t xml:space="preserve"> "АРМАВИРСКИЙ БЕТОННЫЙ ЗАВОД"</t>
  </si>
  <si>
    <t>2372009705</t>
  </si>
  <si>
    <t>КРАСНОДАРСКИЙ КРАЙ,Г ГЕЛЕНДЖИК,УЛ ОСТРОВСКОГО, Д 27, К 40</t>
  </si>
  <si>
    <t>Припутнев Евгений Николаевич</t>
  </si>
  <si>
    <t>44.569019318,38.090969086</t>
  </si>
  <si>
    <t>"ЭРИДАН"</t>
  </si>
  <si>
    <t>2304006181</t>
  </si>
  <si>
    <t>КРАСНОДАРСКИЙ КРАЙ,Г ГЕЛЕНДЖИК,УЛ КИРОВА, Д 138</t>
  </si>
  <si>
    <t>Шабанов Константин Васильевич</t>
  </si>
  <si>
    <t>bagira00@inbox.ru', 'alga2014@yandex.ru', 'bagira00@inbox.ru'</t>
  </si>
  <si>
    <t>44.570381165,38.024318695</t>
  </si>
  <si>
    <t>ОБЩЕСТВО С ОГРАНИЧЕННОЙ ОТВЕТСТВЕННОСТЬЮ "КРЕДО"</t>
  </si>
  <si>
    <t xml:space="preserve"> "КРЕДО"</t>
  </si>
  <si>
    <t>2304032368</t>
  </si>
  <si>
    <t>КРАСНОДАРСКИЙ КРАЙ,Г ГЕЛЕНДЖИК,С АРХИПО-ОСИПОВКА,УЛ ПОЧТОВАЯ, Д 19 А, К 4</t>
  </si>
  <si>
    <t>Купцов Павел Николаевич</t>
  </si>
  <si>
    <t>lanakameneva@rambler.ru', '3770004@mail.ru', 'PAVEL2012@YANDEX.RU'</t>
  </si>
  <si>
    <t>44.570899963,38.093170166</t>
  </si>
  <si>
    <t>ОБЩЕСТВО С ОГРАНИЧЕННОЙ ОТВЕТСТВЕННОСТЬЮ " РОДОС "</t>
  </si>
  <si>
    <t xml:space="preserve"> " РОДОС "</t>
  </si>
  <si>
    <t>2304042616</t>
  </si>
  <si>
    <t>КРАСНОДАРСКИЙ КРАЙ,Г ГЕЛЕНДЖИК,УЛ КИРОВА, 150</t>
  </si>
  <si>
    <t>+7 (988) 330-00-99'</t>
  </si>
  <si>
    <t>44.73097229,37.812149048</t>
  </si>
  <si>
    <t>ОБЩЕСТВО С ОГРАНИЧЕННОЙ ОТВЕТСТВЕННОСТЬЮ "МЕЛОН"</t>
  </si>
  <si>
    <t xml:space="preserve"> "МЕЛОН"</t>
  </si>
  <si>
    <t>2315098716</t>
  </si>
  <si>
    <t>КРАСНОДАРСКИЙ КРАЙ,Г НОВОРОССИЙСК,ШОССЕ СУХУМСКОЕ, Д 76</t>
  </si>
  <si>
    <t>Пузырев Сергей Алексеевич</t>
  </si>
  <si>
    <t>+7 (988) 762-00-88'</t>
  </si>
  <si>
    <t>44.759386007096,37.715361061373</t>
  </si>
  <si>
    <t xml:space="preserve"> "МОНОЛИТ"</t>
  </si>
  <si>
    <t>2315108604</t>
  </si>
  <si>
    <t>КРАСНОДАРСКИЙ КРАЙ,Г НОВОРОССИЙСК,ЦЕМДОЛИНА УЛ ФАБРИЧНАЯ, 58</t>
  </si>
  <si>
    <t>Комаров Виктор Викторович</t>
  </si>
  <si>
    <t>44.78169632,44.149978638</t>
  </si>
  <si>
    <t>ОБЩЕСТВО С ОГРАНИЧЕННОЙ ОТВЕТСТВЕННОСТЬЮ "ПРОМСЕРВИС"</t>
  </si>
  <si>
    <t xml:space="preserve"> "ПРОМСЕРВИС"</t>
  </si>
  <si>
    <t>2624021911</t>
  </si>
  <si>
    <t>СТАВРОПОЛЬСКИЙ КРАЙ,Г БУДЕННОВСК,УЛ ПОЛЮЩЕНКО, Д 184</t>
  </si>
  <si>
    <t>Арбузов Александр Николаевич</t>
  </si>
  <si>
    <t>44.806762695,44.141887665</t>
  </si>
  <si>
    <t xml:space="preserve"> "ЛАГУНА"</t>
  </si>
  <si>
    <t>2624026684</t>
  </si>
  <si>
    <t>СТАВРОПОЛЬСКИЙ КРАЙ,Г БУДЕННОВСК,УЛ РОЗЫ ЛЮКСЕМБУРГ, Д 35,..</t>
  </si>
  <si>
    <t>Пурас Александр Николаевич</t>
  </si>
  <si>
    <t>44.841151253915,38.661902297528</t>
  </si>
  <si>
    <t>ОБЩЕСТВО С ОГРАНИЧЕННОЙ ОТВЕТСТВЕННОСТЬЮ "КУБАНЬ-ТЕПЛОСТЕН"</t>
  </si>
  <si>
    <t xml:space="preserve"> "КУБАНЬ-ТЕПЛОСТЕН"</t>
  </si>
  <si>
    <t>2348025978</t>
  </si>
  <si>
    <t>КРАСНОДАРСКИЙ КРАЙ,СЕВЕРСКИЙ Р-Н,СТ-ЦА СЕВЕРСКАЯ,УЛ ДЗЕРЖИНСКОГО, Д 68</t>
  </si>
  <si>
    <t>Шейко Сергей Юрьевич</t>
  </si>
  <si>
    <t>kubants@bk.ru'</t>
  </si>
  <si>
    <t>44.88948822,37.3373909</t>
  </si>
  <si>
    <t>ОБЩЕСТВО С ОГРАНИЧЕННОЙ ОТВЕТСТВЕННОСТЬЮ "ОТРАДНЕНСКИЙ БЕТОННЫЙ ЗАВОД"</t>
  </si>
  <si>
    <t xml:space="preserve"> "ОТРАДНЕНСКИЙ БЕТОННЫЙ ЗАВОД"</t>
  </si>
  <si>
    <t>2345006374</t>
  </si>
  <si>
    <t>КРАСНОДАРСКИЙ КРАЙ,Г АНАПА,УЛ ПАРКОВАЯ 60</t>
  </si>
  <si>
    <t>Галустян Георгий Аведикович</t>
  </si>
  <si>
    <t>+7 (918) 412-41-07'</t>
  </si>
  <si>
    <t>44.89723587,37.335285187</t>
  </si>
  <si>
    <t xml:space="preserve"> "ЕВРОБЕТОН"</t>
  </si>
  <si>
    <t>2301056811</t>
  </si>
  <si>
    <t>КРАСНОДАРСКИЙ КРАЙ,Г АНАПА,УЛ ТУРГЕНЕВА, Д 250, К 4</t>
  </si>
  <si>
    <t>Мкртычян Норайр Михайлович</t>
  </si>
  <si>
    <t>90142@bk.ru'</t>
  </si>
  <si>
    <t>44.923851013,37.320556641</t>
  </si>
  <si>
    <t>ОБЩЕСТВО С ОГРАНИЧЕННОЙ ОТВЕТСТВЕННОСТЬЮ " СТРОЙМАРКЕТ "</t>
  </si>
  <si>
    <t xml:space="preserve"> " СТРОЙМАРКЕТ "</t>
  </si>
  <si>
    <t>2301041364</t>
  </si>
  <si>
    <t>КРАСНОДАРСКИЙ КРАЙ,Г АНАПА,МИКРОРАЙОН-12, Д 20,..</t>
  </si>
  <si>
    <t>Кярунц Феликс Альбертович</t>
  </si>
  <si>
    <t>45.00345993,39.033973694</t>
  </si>
  <si>
    <t xml:space="preserve"> "БЕТОНСЕРВИС"</t>
  </si>
  <si>
    <t>2312136674</t>
  </si>
  <si>
    <t>http://ooobetonservis.ru</t>
  </si>
  <si>
    <t>Г КРАСНОДАР,УЛ СТАРОКУБАНСКАЯ, Д 2</t>
  </si>
  <si>
    <t>Коротин Эдуард Владимирович</t>
  </si>
  <si>
    <t>+7 (861) 222-74-65'</t>
  </si>
  <si>
    <t>45.020980835,38.967273712</t>
  </si>
  <si>
    <t>ОБЩЕСТВО С ОГРАНИЧЕННОЙ ОТВЕТСТВЕННОСТЬЮ "ВАЛАНН ПРОЕКТ"</t>
  </si>
  <si>
    <t xml:space="preserve"> "ВАЛАНН ПРОЕКТ"</t>
  </si>
  <si>
    <t>2317072209</t>
  </si>
  <si>
    <t>Г КРАСНОДАР,УЛ МИРА, 38</t>
  </si>
  <si>
    <t>Васильева Оксана Ивановна</t>
  </si>
  <si>
    <t>+7 (908) 687-08-81'</t>
  </si>
  <si>
    <t>45.02753067,38.961036682</t>
  </si>
  <si>
    <t xml:space="preserve"> "ГРАНДПЛЮС"</t>
  </si>
  <si>
    <t>2320212784</t>
  </si>
  <si>
    <t>Г КРАСНОДАР,УЛ ГИМНАЗИЧЕСКАЯ 15А</t>
  </si>
  <si>
    <t>Магомедов Тимур Салимханович</t>
  </si>
  <si>
    <t>45.056655884,42.018859863</t>
  </si>
  <si>
    <t>ОБЩЕСТВО С ОГРАНИЧЕННОЙ ОТВЕТСТВЕННОСТЬЮ "ТОРГ-ОПТ"</t>
  </si>
  <si>
    <t xml:space="preserve"> "ТОРГ-ОПТ"</t>
  </si>
  <si>
    <t>2634037974</t>
  </si>
  <si>
    <t>Г СТАВРОПОЛЬ,УЛ СЕЛЕКЦИОННАЯ, Д 3</t>
  </si>
  <si>
    <t>Шереметов Алексей Андреевич</t>
  </si>
  <si>
    <t>45.059890747,38.944519043</t>
  </si>
  <si>
    <t>ОБЩЕСТВО С ОГРАНИЧЕННОЙ ОТВЕТСТВЕННОСТЬЮ "МОНОЛИТ-СЕРВИС"</t>
  </si>
  <si>
    <t xml:space="preserve"> "МОНОЛИТ-СЕРВИС"</t>
  </si>
  <si>
    <t>2311071248</t>
  </si>
  <si>
    <t>http://monolitservis.ru</t>
  </si>
  <si>
    <t>Г КРАСНОДАР,УЛ АТАРБЕКОВА, 1</t>
  </si>
  <si>
    <t>Бондаренко Николай Николаевич</t>
  </si>
  <si>
    <t>+7 (861) 226-51-00'</t>
  </si>
  <si>
    <t>45.066763765675,41.936398568534</t>
  </si>
  <si>
    <t>ОБЩЕСТВО С ОГРАНИЧЕННОЙ ОТВЕТСТВЕННОСТЬЮ "РЕГИОНТЕХСТРОЙ"</t>
  </si>
  <si>
    <t xml:space="preserve"> "РЕГИОНТЕХСТРОЙ"</t>
  </si>
  <si>
    <t>2636037176</t>
  </si>
  <si>
    <t>Г СТАВРОПОЛЬ,УЛ БУЙНАКСКОГО, Д 3, КОРП 5</t>
  </si>
  <si>
    <t>Цапко Денис Анатольевич</t>
  </si>
  <si>
    <t>+7 (903) 419-89-11'</t>
  </si>
  <si>
    <t>45.069545746,39.000518799</t>
  </si>
  <si>
    <t>ОБЩЕСТВО С ОГРАНИЧЕННОЙ ОТВЕТСТВЕННОСТЬЮ "СМУ-ЮГСТРОЙ"</t>
  </si>
  <si>
    <t xml:space="preserve"> "СМУ-ЮГСТРОЙ"</t>
  </si>
  <si>
    <t>2312000930</t>
  </si>
  <si>
    <t>Г КРАСНОДАР,УЛ МОСКОВСКАЯ, Д 5</t>
  </si>
  <si>
    <t>Виниченко Иван Николаевич</t>
  </si>
  <si>
    <t>+7 (861) 252-04-95', '+7 (861) 252-04-95'</t>
  </si>
  <si>
    <t>45.069694519,38.908267975</t>
  </si>
  <si>
    <t>ОБЩЕСТВО С ОГРАНИЧЕННОЙ ОТВЕТСТВЕННОСТЬЮ "ТОРГОВО-ПРОМЫШЛЕННАЯ КОМПАНИЯ "МОЛОТ"</t>
  </si>
  <si>
    <t xml:space="preserve"> "ТОРГОВО-ПРОМЫШЛЕННАЯ КОМПАНИЯ "МОЛОТ"</t>
  </si>
  <si>
    <t>2311064402</t>
  </si>
  <si>
    <t>Г КРАСНОДАР,УЛ КРАСНЫХ ПАРТИЗАН, Д 65/3</t>
  </si>
  <si>
    <t>Большеченко Дмитрий Геннадьевич</t>
  </si>
  <si>
    <t>+7 (861) 270-61-35', '+7 (861) 222-24-33'</t>
  </si>
  <si>
    <t>45.102054596,38.990982056</t>
  </si>
  <si>
    <t>ОБЩЕСТВО С ОГРАНИЧЕННОЙ ОТВЕТСТВЕННОСТЬЮ "ГАЛАПРОФ"</t>
  </si>
  <si>
    <t xml:space="preserve"> "ГАЛАПРОФ"</t>
  </si>
  <si>
    <t>2311098916</t>
  </si>
  <si>
    <t>Г КРАСНОДАР,УЛ ВОЛГОГРАДСКАЯ, Д 139</t>
  </si>
  <si>
    <t>Вострецов Руслан Закирович</t>
  </si>
  <si>
    <t>+7 (861) 228-23-08', '+7 (861) 228-21-50', '+7 (988) 621-86-66', '+7 (861) 228-21-51'</t>
  </si>
  <si>
    <t>galaprol_07@mail.ru'</t>
  </si>
  <si>
    <t>45.127681732,38.986339569</t>
  </si>
  <si>
    <t>ОБЩЕСТВО С ОГРАНИЧЕННОЙ ОТВЕТСТВЕННОСТЬЮ "БЕТОНСТРОЙЮГ"</t>
  </si>
  <si>
    <t xml:space="preserve"> "БЕТОНСТРОЙЮГ"</t>
  </si>
  <si>
    <t>2311089975</t>
  </si>
  <si>
    <t>http://kuban-beton.ru</t>
  </si>
  <si>
    <t>Г КРАСНОДАР,УЛ 7-Я УРОЖАЙНАЯ, Д 2</t>
  </si>
  <si>
    <t>Капран Наталья Ивановна</t>
  </si>
  <si>
    <t>+7 (861) 430-59-75', '+7 (953) 107-35-35'</t>
  </si>
  <si>
    <t>45.132881165,39.027423859</t>
  </si>
  <si>
    <t>ОБЩЕСТВО С ОГРАНИЧЕННОЙ ОТВЕТСТВЕННОСТЬЮ "КРАСНОДАРСКИЙ БЕТОННО - СТРОИТЕЛЬНЫЙ КОМБИНАТ"</t>
  </si>
  <si>
    <t xml:space="preserve"> "КРАСНОДАРСКИЙ БЕТОННО - СТРОИТЕЛЬНЫЙ КОМБИНАТ"</t>
  </si>
  <si>
    <t>2311076060</t>
  </si>
  <si>
    <t>Г КРАСНОДАР,РОСТОВСКОЕ ШОССЕ, 72</t>
  </si>
  <si>
    <t>Кузнецов Сергей Вячеславович</t>
  </si>
  <si>
    <t>+7 (861) 480-29-90'</t>
  </si>
  <si>
    <t>45.141407013,39.744403839</t>
  </si>
  <si>
    <t>ОБЩЕСТВО С ОГРАНИЧЕННОЙ ОТВЕТСТВЕННОСТЬЮ "КУБАНЬБЕТОН"</t>
  </si>
  <si>
    <t xml:space="preserve"> "КУБАНЬБЕТОН"</t>
  </si>
  <si>
    <t>2312237489</t>
  </si>
  <si>
    <t>КРАСНОДАРСКИЙ КРАЙ,УСТЬ-ЛАБИНСКИЙ Р-Н,СТ-ЦА НЕКРАСОВСКАЯ,УЛ ПОЧТОВАЯ 55</t>
  </si>
  <si>
    <t>Караджян Смбат Григорьевич</t>
  </si>
  <si>
    <t>+7 (918) 022-03-03'</t>
  </si>
  <si>
    <t>45.223886144917,39.213527766621</t>
  </si>
  <si>
    <t>ОБЩЕСТВО С ОГРАНИЧЕННОЙ ОТВЕТСТВЕННОСТЬЮ "КУЩЕВСКИЙ БЕТОННЫЙ ЗАВОД"</t>
  </si>
  <si>
    <t xml:space="preserve"> "КУЩЕВСКИЙ БЕТОННЫЙ ЗАВОД"</t>
  </si>
  <si>
    <t>2371001566</t>
  </si>
  <si>
    <t>КРАСНОДАРСКИЙ КРАЙ,ДИНСКОЙ Р-Н,СТ-ЦА ДИНСКАЯ,УЛ НОВАЯ, Д 138</t>
  </si>
  <si>
    <t>Мелконян Карен Рубенович</t>
  </si>
  <si>
    <t>+7 (861) 685-69-39'</t>
  </si>
  <si>
    <t>45.480072021,41.206764221</t>
  </si>
  <si>
    <t>ОБЩЕСТВО С ОГРАНИЧЕННОЙ ОТВЕТСТВЕННОСТЬЮ "РЕГИОНАЛЬНАЯ ДОРОЖНО-СТРОИТЕЛЬНАЯ КОМПАНИЯ БЕТОН ГРУПП"</t>
  </si>
  <si>
    <t xml:space="preserve"> "РЕГИОНАЛЬНАЯ ДОРОЖНО-СТРОИТЕЛЬНАЯ КОМПАНИЯ БЕТОН ГРУПП"</t>
  </si>
  <si>
    <t>2618021310</t>
  </si>
  <si>
    <t>СТАВРОПОЛЬСКИЙ КРАЙ,Г НОВОАЛЕКСАНДРОВСК,УЛ КАВКАЗСКАЯ, Д 7</t>
  </si>
  <si>
    <t>Мусаев Магомед Мурадович</t>
  </si>
  <si>
    <t>+7 (928) 220-64-64'</t>
  </si>
  <si>
    <t>46.056472778,38.185958862</t>
  </si>
  <si>
    <t xml:space="preserve"> "ЛИДЕР"</t>
  </si>
  <si>
    <t>2317075231</t>
  </si>
  <si>
    <t>КРАСНОДАРСКИЙ КРАЙ,Г ПРИМОРСКО-АХТАРСК,УЛ КОМИССАРА ШЕВЧЕНКО, Д 101/3, К 3</t>
  </si>
  <si>
    <t>Сарян Грикор Ваграмович</t>
  </si>
  <si>
    <t>+7 (918) 609-89-69'</t>
  </si>
  <si>
    <t>47.122253418,39.700897217</t>
  </si>
  <si>
    <t xml:space="preserve"> "ЭКОБЕТОН"</t>
  </si>
  <si>
    <t>5404024479</t>
  </si>
  <si>
    <t>РОСТОВСКАЯ ОБЛ.,Г БАТАЙСК,КВАРТАЛ АВИАГОРОДОК, 11В</t>
  </si>
  <si>
    <t>Потехин Владимир Владимирович</t>
  </si>
  <si>
    <t>+7 (383) 341-40-30', '+7 (383) 364-01-84'</t>
  </si>
  <si>
    <t>47.234416962,39.711681366</t>
  </si>
  <si>
    <t>ОБЩЕСТВО С ОГРАНИЧЕННОЙ ОТВЕТСТВЕННОСТЬЮ "КОМБИНАТ СТРОИТЕЛЬНЫХ МАТЕРИАЛОВ № 1"</t>
  </si>
  <si>
    <t xml:space="preserve"> "КОМБИНАТ СТРОИТЕЛЬНЫХ МАТЕРИАЛОВ № 1"</t>
  </si>
  <si>
    <t>6165107003</t>
  </si>
  <si>
    <t>Г РОСТОВ-НА-ДОНУ,ПРОСП ВОРОШИЛОВСКИЙ, 105</t>
  </si>
  <si>
    <t>Юртов Денис Валерьевич</t>
  </si>
  <si>
    <t>+7 (989) 523-60-83'</t>
  </si>
  <si>
    <t>47.235143174061,39.77713892226</t>
  </si>
  <si>
    <t>ОБЩЕСТВО С ОГРАНИЧЕННОЙ ОТВЕТСТВЕННОСТЬЮ "РОСТОВСКАЯ БЕТОННАЯ КОМПАНИЯ"</t>
  </si>
  <si>
    <t xml:space="preserve"> "РОСТОВСКАЯ БЕТОННАЯ КОМПАНИЯ"</t>
  </si>
  <si>
    <t>6167058552</t>
  </si>
  <si>
    <t>Г РОСТОВ-НА-ДОНУ,УЛ ВИТИ ЧЕРЕВИЧКИНА, 87</t>
  </si>
  <si>
    <t>Петренко Максим Александрович</t>
  </si>
  <si>
    <t>+7 (863) 251-08-29'</t>
  </si>
  <si>
    <t>47.237514496,39.69128418</t>
  </si>
  <si>
    <t>ОБЩЕСТВО С ОГРАНИЧЕННОЙ ОТВЕТСТВЕННОСТЬЮ "БРЗ"</t>
  </si>
  <si>
    <t xml:space="preserve"> "БРЗ"</t>
  </si>
  <si>
    <t>6143085780</t>
  </si>
  <si>
    <t>Г РОСТОВ-НА-ДОНУ,ПЕР ДОЛОМАНОВСКИЙ, 130</t>
  </si>
  <si>
    <t>Ковалева Лариса Викторовна</t>
  </si>
  <si>
    <t>+7 (988) 569-17-61', '+7 (988) 569-19-36', '+7 (863) 922-77-86', '+7 (863) 927-78-68', '+7 (863) 922-36-32'</t>
  </si>
  <si>
    <t>47.290002730344,39.704790944096</t>
  </si>
  <si>
    <t>ОБЩЕСТВО С ОГРАНИЧЕННОЙ ОТВЕТСТВЕННОСТЬЮ "АМАКС"</t>
  </si>
  <si>
    <t xml:space="preserve"> "АМАКС"</t>
  </si>
  <si>
    <t>6168065136</t>
  </si>
  <si>
    <t xml:space="preserve"> РОСТОВСКАЯ ОБЛ., Г.РОСТОВ Н/Д, ДОБРОВОЛЬСКОГО, 20,</t>
  </si>
  <si>
    <t>Абрамян Сергей Сергеевич</t>
  </si>
  <si>
    <t>+7 (863) 270-73-10', '+7 (905) 429-01-23'</t>
  </si>
  <si>
    <t>47.717300415,40.198440552</t>
  </si>
  <si>
    <t>ОБЩЕСТВО С ОГРАНИЧЕННОЙ ОТВЕТСТВЕННОСТЬЮ "ФЛАВИЯ ДОН"</t>
  </si>
  <si>
    <t xml:space="preserve"> "ФЛАВИЯ ДОН"</t>
  </si>
  <si>
    <t>6101001202</t>
  </si>
  <si>
    <t>РОСТОВСКАЯ ОБЛ.,Г ШАХТЫ,УЛ СОВЕТСКАЯ, 252</t>
  </si>
  <si>
    <t>Кашников Марат Юрьевич</t>
  </si>
  <si>
    <t>+7 (918) 560-07-50', '+7 (916) 140-29-59'</t>
  </si>
  <si>
    <t>48.374530792,135.095321655</t>
  </si>
  <si>
    <t>2723178381</t>
  </si>
  <si>
    <t>Г ХАБАРОВСК,УЛ МОНТАЖНАЯ,"АВТОСТОЯНКА"</t>
  </si>
  <si>
    <t>Брилев Денис Александрович</t>
  </si>
  <si>
    <t>+7 (984) 174-49-91'</t>
  </si>
  <si>
    <t>48.489345551,135.077575684</t>
  </si>
  <si>
    <t>ОБЩЕСТВО С ОГРАНИЧЕННОЙ ОТВЕТСТВЕННОСТЬЮ "ДАЛЬСПЕЦАВТО"</t>
  </si>
  <si>
    <t xml:space="preserve"> "ДАЛЬСПЕЦАВТО"</t>
  </si>
  <si>
    <t>2721149890</t>
  </si>
  <si>
    <t>Г ХАБАРОВСК,УЛ МОСКОВСКАЯ, Д 9, ОФ 25</t>
  </si>
  <si>
    <t>Ясаков Сергей Сергеевич</t>
  </si>
  <si>
    <t>+7 (951) 000-26-73', '+7 (963) 566-98-82'</t>
  </si>
  <si>
    <t>48.509033203,135.072463989</t>
  </si>
  <si>
    <t>2724002422</t>
  </si>
  <si>
    <t>Г ХАБАРОВСК,32,УЛ БОЛЬШАЯ, Д 99, ОФ 84</t>
  </si>
  <si>
    <t>Мамыкин Сергей Борисович</t>
  </si>
  <si>
    <t>48.528358459,135.122802734</t>
  </si>
  <si>
    <t>ОБЩЕСТВО С ОГРАНИЧЕННОЙ ОТВЕТСТВЕННОСТЬЮ "ДАЛЬНЕВОСТОЧНАЯ ТРАНСПОРТНАЯ КОМПАНИЯ "ХАБАВТОСТРОЙ"</t>
  </si>
  <si>
    <t xml:space="preserve"> "ДАЛЬНЕВОСТОЧНАЯ ТРАНСПОРТНАЯ КОМПАНИЯ "ХАБАВТОСТРОЙ"</t>
  </si>
  <si>
    <t>2724075540</t>
  </si>
  <si>
    <t>Г ХАБАРОВСК,УЛ ЯРОВАЯ, Д 6</t>
  </si>
  <si>
    <t>Верхушин Василий Павлович</t>
  </si>
  <si>
    <t>48.713424683,44.522064209</t>
  </si>
  <si>
    <t>Общество с ограниченной ответственностью "Сити-Инвест"</t>
  </si>
  <si>
    <t xml:space="preserve"> "Сити-Инвест"</t>
  </si>
  <si>
    <t>3444109527</t>
  </si>
  <si>
    <t>Г ВОЛГОГРАД,УЛ МИРА,19А</t>
  </si>
  <si>
    <t>+7 (917) 335-55-88'</t>
  </si>
  <si>
    <t>48.756526947,44.453777313</t>
  </si>
  <si>
    <t>ОБЩЕСТВО С ОГРАНИЧЕННОЙ ОТВЕТСТВЕННОСТЬЮ "РБУ-1"</t>
  </si>
  <si>
    <t xml:space="preserve"> "РБУ-1"</t>
  </si>
  <si>
    <t>3443068109</t>
  </si>
  <si>
    <t>http://rbu-1.ru</t>
  </si>
  <si>
    <t>Г ВОЛГОГРАД,ШОССЕ АВИАТОРОВ,8</t>
  </si>
  <si>
    <t>Земцов Дмитрий Николаевич</t>
  </si>
  <si>
    <t>48.820186615,44.86566925</t>
  </si>
  <si>
    <t>ОБЩЕСТВО С ОГРАНИЧЕННОЙ ОТВЕТСТВЕННОСТЬЮ ПРОИЗВОДСТВЕННО-КОММЕРЧЕСКАЯ ФИРМА "ТИБЕТ"</t>
  </si>
  <si>
    <t xml:space="preserve"> ПРОИЗВОДСТВЕННО-КОММЕРЧЕСКАЯ ФИРМА "ТИБЕТ"</t>
  </si>
  <si>
    <t>3435078752</t>
  </si>
  <si>
    <t>ВОЛГОГРАДСКАЯ ОБЛ.,Г ВОЛЖСКИЙ,УЛ АЛЕКСАНДРОВА,78Г</t>
  </si>
  <si>
    <t>Тимишев Александр Захарьевич</t>
  </si>
  <si>
    <t>48.841995239,44.553905487</t>
  </si>
  <si>
    <t>ОБЩЕСТВО С ОГРАНИЧЕННОЙ ОТВЕТСТВЕННОСТЬЮ "МЕТРЕСУРСЫ"</t>
  </si>
  <si>
    <t xml:space="preserve"> "МЕТРЕСУРСЫ"</t>
  </si>
  <si>
    <t>3441030893</t>
  </si>
  <si>
    <t>Г ВОЛГОГРАД,УЛ КОСТЮЧЕНКО,2</t>
  </si>
  <si>
    <t>Якушина Елена Павловна</t>
  </si>
  <si>
    <t>+7 (902) 650-02-74'</t>
  </si>
  <si>
    <t>50.18309021,39.585353851</t>
  </si>
  <si>
    <t>ОБЩЕСТВО С ОГРАНИЧЕННОЙ ОТВЕТСТВЕННОСТЬЮ "ОСТРОГОЖСКБЕТОН"</t>
  </si>
  <si>
    <t xml:space="preserve"> "ОСТРОГОЖСКБЕТОН"</t>
  </si>
  <si>
    <t>3619021724</t>
  </si>
  <si>
    <t>ВОРОНЕЖСКАЯ ОБЛ.,Г РОССОШЬ,УЛ КРАСИНА Д 34</t>
  </si>
  <si>
    <t>Сенцов Андрей Сергеевич</t>
  </si>
  <si>
    <t>+7 (951) 551-54-47'</t>
  </si>
  <si>
    <t>50.29675293,127.540847778</t>
  </si>
  <si>
    <t>ОТКРЫТОЕ "ВОСТОКАГРОМАШСТРОЙ"</t>
  </si>
  <si>
    <t xml:space="preserve"> "ВОСТОКАГРОМАШСТРОЙ"</t>
  </si>
  <si>
    <t>2801022225</t>
  </si>
  <si>
    <t>Г БЛАГОВЕЩЕНСК,УЛ ПИОНЕРСКАЯ, Д 204</t>
  </si>
  <si>
    <t>Зинченко Сергей Михайлович</t>
  </si>
  <si>
    <t>50.42439613758,36.981876731738</t>
  </si>
  <si>
    <t>ОБЩЕСТВО С ОГРАНИЧЕННОЙ ОТВЕТСТВЕННОСТЬЮ "ЛИРА"</t>
  </si>
  <si>
    <t xml:space="preserve"> "ЛИРА"</t>
  </si>
  <si>
    <t>3120011948</t>
  </si>
  <si>
    <t>БЕЛГОРОДСКАЯ ОБЛ.,ШЕБЕКИНСКИЙ Р-Н,С РЖЕВКА,УЛ ПЕРВОМАЙСКАЯ, Д 40</t>
  </si>
  <si>
    <t>Покотилов Владимир Иванович</t>
  </si>
  <si>
    <t>50.579986572,36.564781189</t>
  </si>
  <si>
    <t>ОБЩЕСТВО С ОГРАНИЧЕННОЙ ОТВЕТСТВЕННОСТЬЮ "СПЕЦСТРОЙАЛЬЯНС"</t>
  </si>
  <si>
    <t xml:space="preserve"> "СПЕЦСТРОЙАЛЬЯНС"</t>
  </si>
  <si>
    <t>3122510318</t>
  </si>
  <si>
    <t>308027 , Г БЕЛГОРОД,ПЕР АПАНАСЕНКО, Д 5</t>
  </si>
  <si>
    <t>Сегеда Сергей Иванович</t>
  </si>
  <si>
    <t>+7 (910) 227-31-68'</t>
  </si>
  <si>
    <t>sspectehstroy@yandex.ru'</t>
  </si>
  <si>
    <t>50.595981598,36.672271729</t>
  </si>
  <si>
    <t>ОБЩЕСТВО С ОГРАНИЧЕННОЙ ОТВЕТСТВЕННОСТЬЮ "СТРОЙКА"</t>
  </si>
  <si>
    <t xml:space="preserve"> "СТРОЙКА"</t>
  </si>
  <si>
    <t>3123139600</t>
  </si>
  <si>
    <t>Г БЕЛГОРОД,УЛ К ЗАСЛОНОВА, Д 183</t>
  </si>
  <si>
    <t>Шаталов Эдуард Иванович</t>
  </si>
  <si>
    <t>+7 (919) 227-92-09'</t>
  </si>
  <si>
    <t>51.131183624,133.02796936</t>
  </si>
  <si>
    <t>ОБЩЕСТВО С ОГРАНИЧЕННОЙ ОТВЕТСТВЕННОСТЬЮ "ПРОИЗВОДСТВЕННО-ТОРГОВАЯ КОМПАНИЯ "ПРОМБЕТОН"</t>
  </si>
  <si>
    <t xml:space="preserve"> "ПРОИЗВОДСТВЕННО-ТОРГОВАЯ КОМПАНИЯ "ПРОМБЕТОН"</t>
  </si>
  <si>
    <t>2709014906</t>
  </si>
  <si>
    <t>ХАБАРОВСКИЙ КРАЙ,РП ЧЕГДОМЫН,УЛ ЦЕНТРАЛЬНАЯ, Д 22</t>
  </si>
  <si>
    <t>Никонович Александр Трофимович</t>
  </si>
  <si>
    <t>prombeton@mail.ru', 'prombeton@mail.ru'</t>
  </si>
  <si>
    <t>51.274887085,37.506721497</t>
  </si>
  <si>
    <t>Общество с ограниченной ответственностью "СТРОЙ-БЕТОН"</t>
  </si>
  <si>
    <t xml:space="preserve"> "СТРОЙ-БЕТОН"</t>
  </si>
  <si>
    <t>3128093798</t>
  </si>
  <si>
    <t>БЕЛГОРОДСКАЯ ОБЛ.,Г ГУБКИН,УЛ АГОШКОВА, Д 2</t>
  </si>
  <si>
    <t>Хадеев Юрий Николаевич</t>
  </si>
  <si>
    <t>51.473060608,58.444858551</t>
  </si>
  <si>
    <t>5609176842</t>
  </si>
  <si>
    <t>ОРЕНБУРГСКАЯ ОБЛ.,Г ГАЙ,ШОССЕ ОРСКОЕ</t>
  </si>
  <si>
    <t>Курманаев Ильяс Фаридович</t>
  </si>
  <si>
    <t>+7 (922) 625-21-56', '+7 (922) 812-18-31'</t>
  </si>
  <si>
    <t>51.552402496,46.019477844</t>
  </si>
  <si>
    <t>ОБЩЕСТВО С ОГРАНИЧЕННОЙ ОТВЕТСТВЕННОСТЬЮ "ДОМОСТРОЙ-1"</t>
  </si>
  <si>
    <t xml:space="preserve"> "ДОМОСТРОЙ-1"</t>
  </si>
  <si>
    <t>6452927916</t>
  </si>
  <si>
    <t>Г САРАТОВ,УЛ ТАНКИСТОВ, Д 28, ОФИС 211</t>
  </si>
  <si>
    <t>Аборвалов Денис Валерьевич</t>
  </si>
  <si>
    <t>51.588623047,45.969009399</t>
  </si>
  <si>
    <t>ОБЩЕСТВО С ОГРАНИЧЕННОЙ ОТВЕТСТВЕННОСТЬЮ "ГЛОБАЛ - БЕТОН"</t>
  </si>
  <si>
    <t xml:space="preserve"> "ГЛОБАЛ - БЕТОН"</t>
  </si>
  <si>
    <t>6453072519</t>
  </si>
  <si>
    <t>Г САРАТОВ,ПЕСЧАНО-УМЕТСКИЙ ТРАКТ, Д 10 А</t>
  </si>
  <si>
    <t>Балыков Николай Михайлович</t>
  </si>
  <si>
    <t>51.601577759,45.906597137</t>
  </si>
  <si>
    <t>ОБЩЕСТВО С ОГРАНИЧЕННОЙ ОТВЕТСТВЕННОСТЬЮ "ГАРАНТ-БЕТОН"</t>
  </si>
  <si>
    <t xml:space="preserve"> "ГАРАНТ-БЕТОН"</t>
  </si>
  <si>
    <t>6453087201</t>
  </si>
  <si>
    <t>Г САРАТОВ,УЛ 3 СТЕПНАЯ, Д 4,..</t>
  </si>
  <si>
    <t>Вертянкин Сергей Александрович</t>
  </si>
  <si>
    <t>51.656440735,36.067054749</t>
  </si>
  <si>
    <t>4632074935</t>
  </si>
  <si>
    <t>Г КУРСК,П АККУМУЛЯТОР</t>
  </si>
  <si>
    <t>51.660827637,39.157821655</t>
  </si>
  <si>
    <t xml:space="preserve"> "СТК"</t>
  </si>
  <si>
    <t>3662208479</t>
  </si>
  <si>
    <t>Г ВОРОНЕЖ,УЛ КОНСТРУКТОРОВ Д 31</t>
  </si>
  <si>
    <t>Фошин Владимир Михайлович</t>
  </si>
  <si>
    <t>+7 (473) 220-72-71', '+7 (473) 229-67-44'</t>
  </si>
  <si>
    <t>51.666845526391,39.196709645538</t>
  </si>
  <si>
    <t>ОБЩЕСТВО С ОГРАНИЧЕННОЙ ОТВЕТСТВЕННОСТЬЮ "СТРОЙТРАНСТЕХНОЛОГИИ"</t>
  </si>
  <si>
    <t xml:space="preserve"> "СТРОЙТРАНСТЕХНОЛОГИИ"</t>
  </si>
  <si>
    <t>3625009757</t>
  </si>
  <si>
    <t>Г ВОРОНЕЖ,УЛ СРЕДНЕМОСКОВСКАЯ Д 7/9</t>
  </si>
  <si>
    <t>Бондарев Игорь Анатольевич</t>
  </si>
  <si>
    <t>+7 (905) 651-74-73'</t>
  </si>
  <si>
    <t>51.670074463,39.221149445</t>
  </si>
  <si>
    <t>ОБЩЕСТВО С ОГРАНИЧЕННОЙ ОТВЕТСТВЕННОСТЬЮ "АВТОБЕТОНСЕРВИС"</t>
  </si>
  <si>
    <t xml:space="preserve"> "АВТОБЕТОНСЕРВИС"</t>
  </si>
  <si>
    <t>3662199697</t>
  </si>
  <si>
    <t>Г ВОРОНЕЖ,УЛ ПРОЛЕТАРСКАЯ Д 68..</t>
  </si>
  <si>
    <t>Карташов Иван Николаевич</t>
  </si>
  <si>
    <t>51.675057318842,39.1933143042</t>
  </si>
  <si>
    <t>ОБЩЕСТВО С ОГРАНИЧЕННОЙ ОТВЕТСТВЕННОСТЬЮ СТРОИТЕЛЬНАЯ КОМПАНИЯ "БЕТОНПРОМСТРОЙ"</t>
  </si>
  <si>
    <t xml:space="preserve"> СТРОИТЕЛЬНАЯ КОМПАНИЯ "БЕТОНПРОМСТРОЙ"</t>
  </si>
  <si>
    <t>3662205830</t>
  </si>
  <si>
    <t>Г ВОРОНЕЖ,УЛ 3-ГО ИНТЕРНАЦИОНАЛА Д 5..</t>
  </si>
  <si>
    <t>Самуйленко Николай Сергеевич</t>
  </si>
  <si>
    <t>+7 (980) 343-72-55'</t>
  </si>
  <si>
    <t>51.675632477,39.261024475</t>
  </si>
  <si>
    <t>ОБЩЕСТВО С ОГРАНИЧЕННОЙ ОТВЕТСТВЕННОСТЬЮ "РЕКА"</t>
  </si>
  <si>
    <t xml:space="preserve"> "РЕКА"</t>
  </si>
  <si>
    <t>3605007906</t>
  </si>
  <si>
    <t>Г ВОРОНЕЖ,ПЕРЕУЛОК СЕРАФИМОВИЧА Д 4</t>
  </si>
  <si>
    <t>Адарченко Илья Викторович</t>
  </si>
  <si>
    <t>51.685554504,39.122169495</t>
  </si>
  <si>
    <t>ОБЩЕСТВО С ОГРАНИЧЕННОЙ ОТВЕТСТВЕННОСТЬЮ "ФОРММАТЕРИАЛЫ"</t>
  </si>
  <si>
    <t xml:space="preserve"> "ФОРММАТЕРИАЛЫ"</t>
  </si>
  <si>
    <t>3650002018</t>
  </si>
  <si>
    <t>http://formmat.ru</t>
  </si>
  <si>
    <t>Г ВОРОНЕЖ,УЛ АНТОНОВА-ОВСЕЕНКО Д 1 А</t>
  </si>
  <si>
    <t>Бережной Андрей Александрович</t>
  </si>
  <si>
    <t>+7 (473) 296-45-56', '+7 (473) 222-33-66', '+7 (473) 222-33-55', '+7 (473) 222-33-54'</t>
  </si>
  <si>
    <t>620525@nalog.ktkt'</t>
  </si>
  <si>
    <t>51.70003891,39.223461151</t>
  </si>
  <si>
    <t xml:space="preserve"> "МБЕТОН"</t>
  </si>
  <si>
    <t>3606004746</t>
  </si>
  <si>
    <t>Г ВОРОНЕЖ,УЛ БЕРЕЗОВАЯ РОЩА Д 16..</t>
  </si>
  <si>
    <t>Соболь Владислав Александрович</t>
  </si>
  <si>
    <t>+7 (920) 218-37-59'</t>
  </si>
  <si>
    <t>51.704502106,39.152835846</t>
  </si>
  <si>
    <t>3666193216</t>
  </si>
  <si>
    <t>Г ВОРОНЕЖ,УЛ ЛИЗЮКОВА Д 77..</t>
  </si>
  <si>
    <t>Осиненко Сергей Викторович</t>
  </si>
  <si>
    <t>+7 (473) 268-22-23'</t>
  </si>
  <si>
    <t>51.759250641,49.333236694</t>
  </si>
  <si>
    <t>ОБЩЕСТВО С ОГРАНИЧЕННОЙ ОТВЕТСТВЕННОСТЬЮ "АКТИВПРО"</t>
  </si>
  <si>
    <t xml:space="preserve"> "АКТИВПРО"</t>
  </si>
  <si>
    <t>6161078136</t>
  </si>
  <si>
    <t>КУРСКАЯ ОБЛ.,МЕДВЕНСКИЙ Р-Н,С ЛЮБИЦКОЕ</t>
  </si>
  <si>
    <t>+7 (918) 535-51-24', '+7 (966) 206-23-22'</t>
  </si>
  <si>
    <t>51.765907288,55.295253754</t>
  </si>
  <si>
    <t>ОБЩЕСТВО С ОГРАНИЧЕННОЙ ОТВЕТСТВЕННОСТЬЮ "ЮРФАКТ"</t>
  </si>
  <si>
    <t xml:space="preserve"> "ЮРФАКТ"</t>
  </si>
  <si>
    <t>5638027764</t>
  </si>
  <si>
    <t>ОРЕНБУРГСКАЯ ОБЛ.,ОРЕНБУРГСКИЙ Р-Н,П ПРИГОРОДНЫЙ,УЛ ВОСТОЧНАЯ Д 13</t>
  </si>
  <si>
    <t xml:space="preserve"> Конкурсный Управляющий Жарылгасынов Сабыржан Оспанович</t>
  </si>
  <si>
    <t>51.785286763583,107.57445964384</t>
  </si>
  <si>
    <t>ОБЩЕСТВО С ОГРАНИЧЕННОЙ ОТВЕТСТВЕННОСТЬЮ "БЕТОНТЕХСЕРВИС"</t>
  </si>
  <si>
    <t xml:space="preserve"> "БЕТОНТЕХСЕРВИС"</t>
  </si>
  <si>
    <t>0323118458</t>
  </si>
  <si>
    <t>Дашицыденова Галина Дашиевна</t>
  </si>
  <si>
    <t>51.800270081,55.144428253</t>
  </si>
  <si>
    <t>ОБЩЕСТВО С ОГРАНИЧЕННОЙ ОТВЕТСТВЕННОСТЬЮ "РИМИТ"</t>
  </si>
  <si>
    <t xml:space="preserve"> "РИМИТ"</t>
  </si>
  <si>
    <t>5609025346</t>
  </si>
  <si>
    <t>Г ОРЕНБУРГ,УЛ МОНТАЖНИКОВ Д 16</t>
  </si>
  <si>
    <t>Стилик Павел Владимирович</t>
  </si>
  <si>
    <t>+7 (905) 885-09-66'</t>
  </si>
  <si>
    <t>51.834013826136,107.58216403778</t>
  </si>
  <si>
    <t>ОБЩЕСТВО С ОГРАНИЧЕННОЙ ОТВЕТСТВЕННОСТЬЮ "МАГНАТ"</t>
  </si>
  <si>
    <t xml:space="preserve"> "МАГНАТ"</t>
  </si>
  <si>
    <t>0326040344</t>
  </si>
  <si>
    <t>Г УЛАН-УДЭ,УЛ РАНЖУРОВА 4..</t>
  </si>
  <si>
    <t>Дамдинова Дарима Дарижаповна</t>
  </si>
  <si>
    <t>+7 (902) 168-19-99', '+7 (301) 220-43-63', '+7 (924) 457-51-37', '+7 (924) 774-03-94'</t>
  </si>
  <si>
    <t>52.024120331,34.486431122</t>
  </si>
  <si>
    <t>ОБЩЕСТВО С ОГРАНИЧЕННОЙ ОТВЕТСТВЕННОСТЬЮ "СТРОЙЭКОСЕРВИС"</t>
  </si>
  <si>
    <t xml:space="preserve"> "СТРОЙЭКОСЕРВИС"</t>
  </si>
  <si>
    <t>3102636295</t>
  </si>
  <si>
    <t>БЕЛГОРОДСКАЯ ОБЛ.,ЧЕРНЯНСКИЙ Р-Н,С ПРИЛЕПЫ</t>
  </si>
  <si>
    <t>Вахонина Светлана Васильевна</t>
  </si>
  <si>
    <t>+7 (904) 094-39-86'</t>
  </si>
  <si>
    <t>52.034526825,113.499580383</t>
  </si>
  <si>
    <t>ОБЩЕСТВО С ОГРАНИЧЕННОЙ ОТВЕТСТВЕННОСТЬЮ "ЕВРОБЕТОН-ВЛАДИМИР"</t>
  </si>
  <si>
    <t xml:space="preserve"> "ЕВРОБЕТОН-ВЛАДИМИР"</t>
  </si>
  <si>
    <t>3327139366</t>
  </si>
  <si>
    <t>Г ЧИТА,УЛ БУТИНА, Д 39</t>
  </si>
  <si>
    <t>Воробьев Владимир Вадимович</t>
  </si>
  <si>
    <t>+7 (905) 140-88-70'</t>
  </si>
  <si>
    <t>52.039775848,113.496299744</t>
  </si>
  <si>
    <t>ОБЩЕСТВО С ОГРАНИЧЕННОЙ ОТВЕТСТВЕННОСТЬЮ "РЕГИОНАЛЬНОЕ УПРАВЛЕНИЕ СТРОИТЕЛЬСТВА"</t>
  </si>
  <si>
    <t xml:space="preserve"> "РЕГИОНАЛЬНОЕ УПРАВЛЕНИЕ СТРОИТЕЛЬСТВА"</t>
  </si>
  <si>
    <t>7536071278</t>
  </si>
  <si>
    <t>Г ЧИТА,УЛ ЧКАЛОВА, Д 158</t>
  </si>
  <si>
    <t>Конев Владимир Михайлович</t>
  </si>
  <si>
    <t>52.27633667,104.290359497</t>
  </si>
  <si>
    <t>ОБЩЕСТВО С ОГРАНИЧЕННОЙ ОТВЕТСТВЕННОСТЬЮ "АВТОТРАНСПОРТНОЕ ПРЕДПРИЯТИЕ "ПЧЕЛЫ"</t>
  </si>
  <si>
    <t xml:space="preserve"> "АВТОТРАНСПОРТНОЕ ПРЕДПРИЯТИЕ "ПЧЕЛЫ"</t>
  </si>
  <si>
    <t>3811080267</t>
  </si>
  <si>
    <t>Г ИРКУТСК,УЛ ЛАПИНА Д 43 Б</t>
  </si>
  <si>
    <t>Радюк Никита Алексеевич</t>
  </si>
  <si>
    <t>52.27885437,104.202880859</t>
  </si>
  <si>
    <t>ОБЩЕСТВО С ОГРАНИЧЕННОЙ ОТВЕТСТВЕННОСТЬЮ "СТРОЙПРОМ"</t>
  </si>
  <si>
    <t xml:space="preserve"> "СТРОЙПРОМ"</t>
  </si>
  <si>
    <t>3816022484</t>
  </si>
  <si>
    <t>Г ИРКУТСК,УЛ РАКИТНАЯ Д 4</t>
  </si>
  <si>
    <t>Копытко Виталий Игоревич</t>
  </si>
  <si>
    <t>+7 (902) 174-64-88'</t>
  </si>
  <si>
    <t>52.341175079,35.357330322</t>
  </si>
  <si>
    <t>"АГРОПРОМДОР"</t>
  </si>
  <si>
    <t>4606000359</t>
  </si>
  <si>
    <t>http://agropromdor.ru</t>
  </si>
  <si>
    <t>КУРСКАЯ ОБЛ.,Г ЖЕЛЕЗНОГОРСК,УЛ ГАГАРИНА, 18/2</t>
  </si>
  <si>
    <t>Митасов Владимир Викторович</t>
  </si>
  <si>
    <t>info@agropromdor.ru', 'nfo@agropromdor.ru', 'info@agropromdor.ru'</t>
  </si>
  <si>
    <t>52.350135803,104.263824463</t>
  </si>
  <si>
    <t>ОБЩЕСТВО С ОГРАНИЧЕННОЙ ОТВЕТСТВЕННОСТЬЮ "ПРОИЗВОДСТВЕННО-СТРОИТЕЛЬНАЯ КОМПАНИЯ "ВОСТСИБСТРОЙ"</t>
  </si>
  <si>
    <t xml:space="preserve"> "ПРОИЗВОДСТВЕННО-СТРОИТЕЛЬНАЯ КОМПАНИЯ "ВОСТСИБСТРОЙ"</t>
  </si>
  <si>
    <t>3808096323</t>
  </si>
  <si>
    <t>Г ИРКУТСК,УЛ ПОЛЯРНАЯ Д 209 А</t>
  </si>
  <si>
    <t>52.523586273,52.735462189</t>
  </si>
  <si>
    <t>ОБЩЕСТВО С ОГРАНИЧЕННОЙ ОТВЕТСТВЕННОСТЬЮ "ОРЕНБУРГСКАЯ БЕТОННАЯ КОМПАНИЯ"</t>
  </si>
  <si>
    <t xml:space="preserve"> "ОРЕНБУРГСКАЯ БЕТОННАЯ КОМПАНИЯ"</t>
  </si>
  <si>
    <t>5609097598</t>
  </si>
  <si>
    <t>ОРЕНБУРГСКАЯ ОБЛ.,ТОЦКИЙ Р-Н,С ТОЦКОЕ,ПЕР КОЛХОЗНЫЙ Д 2</t>
  </si>
  <si>
    <t>Кадысев Игорь Владимирович</t>
  </si>
  <si>
    <t>52.605329365671,41.527595992768</t>
  </si>
  <si>
    <t>ОБЩЕСТВО С ОГРАНИЧЕННОЙ ОТВЕТСТВЕННОСТЬЮ "КОТОВСКАЯ СТРОИТЕЛЬНО-МОНТАЖНАЯ ОРГАНИЗАЦИЯ"</t>
  </si>
  <si>
    <t xml:space="preserve"> "КОТОВСКАЯ СТРОИТЕЛЬНО-МОНТАЖНАЯ ОРГАНИЗАЦИЯ"</t>
  </si>
  <si>
    <t>6825005152</t>
  </si>
  <si>
    <t>ТАМБОВСКАЯ ОБЛ.,Г КОТОВСК,ПРОЕЗД ЖЕЛЕЗНОДОРОЖНЫЙ, Д 4</t>
  </si>
  <si>
    <t>Болотова Ирина Николаевна</t>
  </si>
  <si>
    <t>+7 (910) 658-68-88'</t>
  </si>
  <si>
    <t>52.654449463,41.450180054</t>
  </si>
  <si>
    <t>ОБЩЕСТВО С ОГРАНИЧЕННОЙ ОТВЕТСТВЕННОСТЬЮ "ВОТУМ"</t>
  </si>
  <si>
    <t xml:space="preserve"> "ВОТУМ"</t>
  </si>
  <si>
    <t>6820019955</t>
  </si>
  <si>
    <t>ТАМБОВСКАЯ ОБЛ.,ТАМБОВСКИЙ Р-Н,П СТРОИТЕЛЬ,ДСУ-2</t>
  </si>
  <si>
    <t>Вотановский Василий Викторович</t>
  </si>
  <si>
    <t>+7 (910) 753-45-61', '+7 (475) 270-00-01'</t>
  </si>
  <si>
    <t>52.938289642,49.679958344</t>
  </si>
  <si>
    <t>ОБЩЕСТВО С ОГРАНИЧЕННОЙ ОТВЕТСТВЕННОСТЬЮ "БЕТОН  ПЛЮС"</t>
  </si>
  <si>
    <t xml:space="preserve"> "БЕТОН  ПЛЮС"</t>
  </si>
  <si>
    <t>6335010629</t>
  </si>
  <si>
    <t>САМАРСКАЯ ОБЛ.,Г ЧАПАЕВСК,УЛ КУБАНСКАЯ, Д 34</t>
  </si>
  <si>
    <t>Петрищев Сергей Николаевич</t>
  </si>
  <si>
    <t>+7 (927) 743-09-11'</t>
  </si>
  <si>
    <t>52.943080518189,42.033996831403</t>
  </si>
  <si>
    <t>ОБЩЕСТВО С ОГРАНИЧЕННОЙ ОТВЕТСТВЕННОСТЬЮ "ТАМБОВСКИЙ БЕТОННЫЙ ЗАВОД"</t>
  </si>
  <si>
    <t xml:space="preserve"> "ТАМБОВСКИЙ БЕТОННЫЙ ЗАВОД"</t>
  </si>
  <si>
    <t>6829112941</t>
  </si>
  <si>
    <t>ТАМБОВСКАЯ ОБЛ.,БОНДАРСКИЙ Р-Н,С БОНДАРИ,УЛ ДАЛЬНЯЯ ДАЧНАЯ 3</t>
  </si>
  <si>
    <t>Засыпкин Владимир Александрович</t>
  </si>
  <si>
    <t>52.991046906,78.647949219</t>
  </si>
  <si>
    <t>ОБЩЕСТВО С ОГРАНИЧЕННОЙ ОТВЕТСТВЕННОСТЬЮ "ЖЕЛЕЗО-БЕТОННЫЕ ИЗДЕЛИЯ"</t>
  </si>
  <si>
    <t xml:space="preserve"> "ЖЕЛЕЗО-БЕТОННЫЕ ИЗДЕЛИЯ"</t>
  </si>
  <si>
    <t>2210003900</t>
  </si>
  <si>
    <t>АЛТАЙСКИЙ КРАЙ,Г СЛАВГОРОД,3-Й МИКРОРАЙОН, Д 18,..</t>
  </si>
  <si>
    <t>Межевикин Сергей Викторович</t>
  </si>
  <si>
    <t>53.052310944,158.632919312</t>
  </si>
  <si>
    <t>ОБЩЕСТВО С ОГРАНИЧЕННОЙ ОТВЕТСТВЕННОСТЬЮ "ЛИМАН "</t>
  </si>
  <si>
    <t xml:space="preserve"> "ЛИМАН "</t>
  </si>
  <si>
    <t>4101097490</t>
  </si>
  <si>
    <t>Г ПЕТРОПАВЛОВСК-КАМЧАТСКИЙ,УЛ АВТОМОБИЛИСТОВ, Д 15,..</t>
  </si>
  <si>
    <t>Завизион Сергей Сергеевич</t>
  </si>
  <si>
    <t>53.097015381,49.960128784</t>
  </si>
  <si>
    <t>ОБЩЕСТВО С ОГРАНИЧЕННОЙ ОТВЕТСТВЕННОСТЬЮ  "БЕРОС"</t>
  </si>
  <si>
    <t xml:space="preserve">  "БЕРОС"</t>
  </si>
  <si>
    <t>6330016000</t>
  </si>
  <si>
    <t>http://beros63.ru</t>
  </si>
  <si>
    <t>САМАРСКАЯ ОБЛ.,Г НОВОКУЙБЫШЕВСК,УЛ ОСТРОВСКОГО, Д 15 А</t>
  </si>
  <si>
    <t>Денисов Юрий Иванович</t>
  </si>
  <si>
    <t>ooodenis@bk.ru'</t>
  </si>
  <si>
    <t>53.190792084,50.090103149</t>
  </si>
  <si>
    <t>ОБЩЕСТВО С ОГРАНИЧЕННОЙ ОТВЕТСТВЕННОСТЬЮ "НОВОКУЙБЫШЕВСКАЯ ПРОМЫШЛЕННАЯ КОМПАНИЯ"</t>
  </si>
  <si>
    <t xml:space="preserve"> "НОВОКУЙБЫШЕВСКАЯ ПРОМЫШЛЕННАЯ КОМПАНИЯ"</t>
  </si>
  <si>
    <t>6330059042</t>
  </si>
  <si>
    <t>Г САМАРА,УЛ НЕКРАСОВСКАЯ, Д 22,..</t>
  </si>
  <si>
    <t>+7 (846) 377-40-94'</t>
  </si>
  <si>
    <t>53.19373703,50.135894775</t>
  </si>
  <si>
    <t>ОБЩЕСТВО С ОГРАНИЧЕННОЙ ОТВЕТСТВЕННОСТЬЮ ФИРМА "ТРЕСТ 12"</t>
  </si>
  <si>
    <t xml:space="preserve"> ФИРМА "ТРЕСТ 12"</t>
  </si>
  <si>
    <t>6319054555</t>
  </si>
  <si>
    <t>Г САМАРА,УЛ ЧЕРНОРЕЧЕНСКАЯ, Д 31,..</t>
  </si>
  <si>
    <t>Лысенков Антон Сергеевич</t>
  </si>
  <si>
    <t>+7 (846) 951-95-32', '+7 (927) 760-01-18', '+7 (846) 203-11-58', '+7 (846) 951-86-37'</t>
  </si>
  <si>
    <t>makardva_tv@mail.ru'</t>
  </si>
  <si>
    <t>53.199996948,50.150192261</t>
  </si>
  <si>
    <t>Общество с ограниченной ответственностью "МАНГ-Бетон"</t>
  </si>
  <si>
    <t xml:space="preserve"> "МАНГ-Бетон"</t>
  </si>
  <si>
    <t>6321315469</t>
  </si>
  <si>
    <t>Г САМАРА,УЛ ЧЕРНОРЕЧЕНСКАЯ, Д 67</t>
  </si>
  <si>
    <t>Гаврилов Антон Геннадьевич</t>
  </si>
  <si>
    <t>+7 (927) 268-01-61'</t>
  </si>
  <si>
    <t>53.206863403,50.296096802</t>
  </si>
  <si>
    <t xml:space="preserve"> "СТРОЙИНДУСТРИЯ"</t>
  </si>
  <si>
    <t>6319096121</t>
  </si>
  <si>
    <t>Г САМАРА,УЛ БЕРЕГОВАЯ, Д 14</t>
  </si>
  <si>
    <t>Калькаев Виталий Петрович</t>
  </si>
  <si>
    <t>+7 (846) 229-04-27', '+7 (846) 372-49-25', '+7 (846) 372-49-24', '+7 (846) 229-04-27'</t>
  </si>
  <si>
    <t>53.226913452,44.955993652</t>
  </si>
  <si>
    <t xml:space="preserve"> "ЖИЛСТРОЙ"</t>
  </si>
  <si>
    <t>5834022667</t>
  </si>
  <si>
    <t>Г ПЕНЗА,УЛ УРОЖАЙНАЯ,4 А</t>
  </si>
  <si>
    <t>Фазульянов Анвар Аскарович</t>
  </si>
  <si>
    <t>+7 (937) 414-45-09', '+7 (965) 637-14-56'</t>
  </si>
  <si>
    <t>s@group-master', 'buh@group-master', 'osnova58@yandex.ru'</t>
  </si>
  <si>
    <t>53.239594028909,44.867635185303</t>
  </si>
  <si>
    <t>ОБЩЕСТВО С ОГРАНИЧЕННОЙ ОТВЕТСТВЕННОСТЬЮ "ПЕНЗЕНСКИЕ ГРУЗОВЫЕ ПЕРЕВОЗКИ"</t>
  </si>
  <si>
    <t xml:space="preserve"> "ПЕНЗЕНСКИЕ ГРУЗОВЫЕ ПЕРЕВОЗКИ"</t>
  </si>
  <si>
    <t>5835071219</t>
  </si>
  <si>
    <t>Г ПЕНЗА,УЛ ПОБОЧИНСКАЯ,1 А</t>
  </si>
  <si>
    <t>Попов Евгений Борисович</t>
  </si>
  <si>
    <t>+7 (927) 289-68-40'</t>
  </si>
  <si>
    <t>53.316162109,83.728179932</t>
  </si>
  <si>
    <t>ОБЩЕСТВО С ОГРАНИЧЕННОЙ ОТВЕТСТВЕННОСТЬЮ "СТРОЙБЫТ"</t>
  </si>
  <si>
    <t xml:space="preserve"> "СТРОЙБЫТ"</t>
  </si>
  <si>
    <t>5027068125</t>
  </si>
  <si>
    <t>МОСКОВСКАЯ ОБЛ.,ЛЮБЕРЕЦКИЙ Р-Н,PП МАЛАХОВКА,УЛ ПРОСЕЧНАЯ, Д 16</t>
  </si>
  <si>
    <t>Ососов Сергей Анатолиевич</t>
  </si>
  <si>
    <t>53.359792532101,83.773918758973</t>
  </si>
  <si>
    <t>ОБЩЕСТВО С ОГРАНИЧЕННОЙ ОТВЕТСТВЕННОСТЬЮ СТРОИТЕЛЬНАЯ КОМПАНИЯ "КУБ"</t>
  </si>
  <si>
    <t xml:space="preserve"> СТРОИТЕЛЬНАЯ КОМПАНИЯ "КУБ"</t>
  </si>
  <si>
    <t>2223600196</t>
  </si>
  <si>
    <t>Г БАРНАУЛ,УЛ 9-ГО МАЯ,5</t>
  </si>
  <si>
    <t>Ряполов Евгений Юрьевич</t>
  </si>
  <si>
    <t>+7 (923) 793-60-60'</t>
  </si>
  <si>
    <t>53.446620941,58.986427307</t>
  </si>
  <si>
    <t>ОБЩЕСТВО С ОГРАНИЧЕННОЙ ОТВЕТСТВЕННОСТЬЮ "ЮСИМ"</t>
  </si>
  <si>
    <t xml:space="preserve"> "ЮСИМ"</t>
  </si>
  <si>
    <t>7430019599</t>
  </si>
  <si>
    <t>ЧЕЛЯБИНСКАЯ ОБЛ.,Г МАГНИТОГОРСК,АБОНЕНТСКИЙ ЯЩИК 9</t>
  </si>
  <si>
    <t>Мохняк Иван Романович</t>
  </si>
  <si>
    <t>+7 (982) 318-85-03'</t>
  </si>
  <si>
    <t>53.47277832,55.652217865</t>
  </si>
  <si>
    <t>ОБЩЕСТВО С ОГРАНИЧЕННОЙ ОТВЕТСТВЕННОСТЬЮ "БЕТОНСТАНДАРТ"</t>
  </si>
  <si>
    <t xml:space="preserve"> "БЕТОНСТАНДАРТ"</t>
  </si>
  <si>
    <t>0278903630</t>
  </si>
  <si>
    <t>РЕСПУБЛИКА БАШКОРТОСТАН,СТЕРЛИТАМАКСКИЙ Р-Н,С ТЮРЮШЛЯ</t>
  </si>
  <si>
    <t>Закиров Эдуард Талгатович</t>
  </si>
  <si>
    <t>+7 (347) 280-32-33'</t>
  </si>
  <si>
    <t>53.543193817,34.644054413</t>
  </si>
  <si>
    <t>ОБЩЕСТВО С ОГРАНИЧЕННОЙ ОТВЕТСТВЕННОСТЬЮ "ВИТАЛАН ПЛЮС"</t>
  </si>
  <si>
    <t xml:space="preserve"> "ВИТАЛАН ПЛЮС"</t>
  </si>
  <si>
    <t>4027119480</t>
  </si>
  <si>
    <t>КАЛУЖСКАЯ ОБЛ.,ЖИЗДРИНСКИЙ Р-Н,Д УЛЕМЕЦ</t>
  </si>
  <si>
    <t>Линков Андрей Анатольевич</t>
  </si>
  <si>
    <t>+7 (910) 914-17-67'</t>
  </si>
  <si>
    <t>53.704152,91.374618</t>
  </si>
  <si>
    <t>ОБЩЕСТВО С ОГРАНИЧЕННОЙ ОТВЕТСТВЕННОСТЬЮ "ШТЕТЕР"</t>
  </si>
  <si>
    <t xml:space="preserve"> "ШТЕТЕР"</t>
  </si>
  <si>
    <t>1901059040</t>
  </si>
  <si>
    <t>Г АБАКАН,УЛ ЗАВОДСКАЯ Д 1</t>
  </si>
  <si>
    <t>Качанов Игорь Борисович</t>
  </si>
  <si>
    <t>53.970067083822,38.358718817289</t>
  </si>
  <si>
    <t>ОБЩЕСТВО С ОГРАНИЧЕННОЙ ОТВЕТСТВЕННОСТЬЮ "РАСТВОР И БЕТОН"</t>
  </si>
  <si>
    <t xml:space="preserve"> "РАСТВОР И БЕТОН"</t>
  </si>
  <si>
    <t>7114009627</t>
  </si>
  <si>
    <t>ТУЛЬСКАЯ ОБЛ.,Г ДОНСКОЙ,МИКРОР-Н ЦЕНТРАЛЬНЫЙ УЛ ГЕРЦЕНА Д 60-Б</t>
  </si>
  <si>
    <t>Парамонов Евгений Владимирович</t>
  </si>
  <si>
    <t>+7 (906) 627-04-50', '+7 (903) 843-21-21'</t>
  </si>
  <si>
    <t>54.062850952,61.629951477</t>
  </si>
  <si>
    <t>ОБЩЕСТВО С ОГРАНИЧЕННОЙ ОТВЕТСТВЕННОСТЬЮ "АРС БЕТОН"</t>
  </si>
  <si>
    <t xml:space="preserve"> "АРС БЕТОН"</t>
  </si>
  <si>
    <t>6432018599</t>
  </si>
  <si>
    <t>САРАТОВСКАЯ ОБЛ.,ИВАНТЕЕВСКИЙ Р-Н,П МИРНЫЙ,УЛ ЦЕНТРАЛЬНАЯ Д 2</t>
  </si>
  <si>
    <t>Темнов Олег Игоревич</t>
  </si>
  <si>
    <t>+7 (906) 306-40-00'</t>
  </si>
  <si>
    <t>54.124210358,37.601974487</t>
  </si>
  <si>
    <t>ЗАКРЫТОЕ "ТУЛА-БЕТОН"</t>
  </si>
  <si>
    <t>7104050055</t>
  </si>
  <si>
    <t>Г ТУЛА,УЛ СКУРАТОВСКАЯ, Д 92</t>
  </si>
  <si>
    <t>Лежебоков Дмитрий Александрович</t>
  </si>
  <si>
    <t>+7 (950) 919-62-02', '+7 (910) 153-02-61', '+7 (915) 683-68-87'</t>
  </si>
  <si>
    <t>54.188591003,37.60043335</t>
  </si>
  <si>
    <t>ОБЩЕСТВО С ОГРАНИЧЕННОЙ ОТВЕТСТВЕННОСТЬЮ "АТЛАС - ДАНА №3"</t>
  </si>
  <si>
    <t xml:space="preserve"> "АТЛАС - ДАНА №3"</t>
  </si>
  <si>
    <t>7106050364</t>
  </si>
  <si>
    <t>Г ТУЛА,УЛ ГОГОЛЕВСКАЯ Д 69</t>
  </si>
  <si>
    <t>Никитенко Наталия Юрьевна</t>
  </si>
  <si>
    <t>54.191612244,37.625011444</t>
  </si>
  <si>
    <t>ОБЩЕСТВО С ОГРАНИЧЕННОЙ ОТВЕТСТВЕННОСТЬЮ "БОКАТУЕВ БЕТОН"</t>
  </si>
  <si>
    <t xml:space="preserve"> "БОКАТУЕВ БЕТОН"</t>
  </si>
  <si>
    <t>7115501863</t>
  </si>
  <si>
    <t>Г ТУЛА,УЛ СТАРОНИКИТСКАЯ Д 1..</t>
  </si>
  <si>
    <t>Бокатуев Виктор Анатольевич</t>
  </si>
  <si>
    <t>+7 (920) 787-96-56'</t>
  </si>
  <si>
    <t>54.206756592,37.68522644</t>
  </si>
  <si>
    <t xml:space="preserve"> "МОНОЛИТРЕСУРС"</t>
  </si>
  <si>
    <t>7111505017</t>
  </si>
  <si>
    <t>Г ТУЛА,УЛ ВИЛЬЯМСА Д 20..</t>
  </si>
  <si>
    <t>Назаренко Руслан Владимирович</t>
  </si>
  <si>
    <t>+7 (910) 588-96-88'</t>
  </si>
  <si>
    <t>54.215122223,37.670108795</t>
  </si>
  <si>
    <t>ОБЩЕСТВО С ОГРАНИЧЕННОЙ ОТВЕТСТВЕННОСТЬЮ "ПРОИЗВОДСТВЕННО-КОММЕРЧЕСКОЕ ПРЕДПРИЯТИЕ "ПРОМСТРОЙДЕТАЛЬ"</t>
  </si>
  <si>
    <t xml:space="preserve"> "ПРОИЗВОДСТВЕННО-КОММЕРЧЕСКОЕ ПРЕДПРИЯТИЕ "ПРОМСТРОЙДЕТАЛЬ"</t>
  </si>
  <si>
    <t>7105026552</t>
  </si>
  <si>
    <t>Г ТУЛА,УЛ КИРОВА Д 169</t>
  </si>
  <si>
    <t>54.219264984,61.245414734</t>
  </si>
  <si>
    <t>ОБЩЕСТВО С ОГРАНИЧЕННОЙ ОТВЕТСТВЕННОСТЬЮ "СТРОИТЕЛЬ МП"</t>
  </si>
  <si>
    <t xml:space="preserve"> "СТРОИТЕЛЬ МП"</t>
  </si>
  <si>
    <t>7456024956</t>
  </si>
  <si>
    <t>ЧЕЛЯБИНСКАЯ ОБЛ.,ТРОИЦКИЙ Р-Н,П РОДНИКИ</t>
  </si>
  <si>
    <t>Теновский Ярослав Владиславович</t>
  </si>
  <si>
    <t>+7 (911) 923-86-88', '+7 (351) 923-67-67'</t>
  </si>
  <si>
    <t>54.235401154,48.30488205</t>
  </si>
  <si>
    <t>ОБЩЕСТВО С ОГРАНИЧЕННОЙ ОТВЕТСТВЕННОСТЬЮ "ПЛЕЯДА"</t>
  </si>
  <si>
    <t xml:space="preserve"> "ПЛЕЯДА"</t>
  </si>
  <si>
    <t>6714017949</t>
  </si>
  <si>
    <t>УЛЬЯНОВСКАЯ ОБЛ.,Г УЛЬЯНОВСК,ПР ГАЯ</t>
  </si>
  <si>
    <t>Литвинов Сергей Анатольевич</t>
  </si>
  <si>
    <t>54.319065094,86.326332092</t>
  </si>
  <si>
    <t>ОБЩЕСТВО С ОГРАНИЧЕННОЙ ОТВЕТСТВЕННОСТЬЮ "БЕЛОВСКИЙ ЗАВОД СБОРНОГО ЖЕЛЕЗОБЕТОНА"</t>
  </si>
  <si>
    <t xml:space="preserve"> "БЕЛОВСКИЙ ЗАВОД СБОРНОГО ЖЕЛЕЗОБЕТОНА"</t>
  </si>
  <si>
    <t>4202019280</t>
  </si>
  <si>
    <t>КЕМЕРОВСКАЯ ОБЛ.,Г БЕЛОВО,УЛ КРАСНОЯРСКАЯ,Д 1</t>
  </si>
  <si>
    <t>Арвачёв Виталий Юрьевич</t>
  </si>
  <si>
    <t>zsjb@mail.ru'</t>
  </si>
  <si>
    <t>54.491104126,36.221240997</t>
  </si>
  <si>
    <t>ОБЩЕСТВО С ОГРАНИЧЕННОЙ ОТВЕТСТВЕННОСТЬЮ "ПРОИЗВОДСТВЕННО-КОММЕРЧЕСКОЕ ПРЕДПРИЯТИЕ "ПРОТОН"</t>
  </si>
  <si>
    <t xml:space="preserve"> "ПРОИЗВОДСТВЕННО-КОММЕРЧЕСКОЕ ПРЕДПРИЯТИЕ "ПРОТОН"</t>
  </si>
  <si>
    <t>4027029808</t>
  </si>
  <si>
    <t>Г КАЛУГА,УЛ АКАДЕМИЧЕСКАЯ Д 2</t>
  </si>
  <si>
    <t>Кутиян Ирина Ивановна</t>
  </si>
  <si>
    <t>54.512874603,36.334953308</t>
  </si>
  <si>
    <t>"МОНОЛИТ-ТУР"</t>
  </si>
  <si>
    <t>4029007711</t>
  </si>
  <si>
    <t>Г КАЛУГА,УЛ ТУРБОСТРОИТЕЛЕЙ, Д 28</t>
  </si>
  <si>
    <t>Мельников Алексей Борисович</t>
  </si>
  <si>
    <t>54.53483963,52.833301544</t>
  </si>
  <si>
    <t>ОБЩЕСТВО С ОГРАНИЧЕННОЙ ОТВЕТСТВЕННОСТЬЮ "АВАНТАЖ"</t>
  </si>
  <si>
    <t xml:space="preserve"> "АВАНТАЖ"</t>
  </si>
  <si>
    <t>1645021830</t>
  </si>
  <si>
    <t>РЕСПУБЛИКА ТАТАРСТАН (ТАТАРСТАН),Г БУГУЛЬМА,УЛ РАДИЩЕВА Д 10</t>
  </si>
  <si>
    <t>Кадоркин Сергей Геннадьевич</t>
  </si>
  <si>
    <t>54.553699493,36.264972687</t>
  </si>
  <si>
    <t>ОТКРЫТОЕ "РАСТВОР"</t>
  </si>
  <si>
    <t xml:space="preserve"> "РАСТВОР"</t>
  </si>
  <si>
    <t>4028015847</t>
  </si>
  <si>
    <t>Г КАЛУГА,УЛ МОСКОВСКАЯ Д 290</t>
  </si>
  <si>
    <t>Ильин Евгений Евгеньевич</t>
  </si>
  <si>
    <t>+7 (920) 614-65-99'</t>
  </si>
  <si>
    <t>RASTVOR@KALUGA.RU', '4028015847_402801001@eo.tensor'</t>
  </si>
  <si>
    <t>54.555728912,36.296588898</t>
  </si>
  <si>
    <t>ОБЩЕСТВО С ОГРАНИЧЕННОЙ ОТВЕТСТВЕННОСТЬЮ "ИНВЕНЦИЯ"</t>
  </si>
  <si>
    <t xml:space="preserve"> "ИНВЕНЦИЯ"</t>
  </si>
  <si>
    <t>4007000470</t>
  </si>
  <si>
    <t>КАЛУЖСКАЯ ОБЛ.,ЖУКОВСКИЙ Р-Н,PП БЕЛОУСОВО,УЛ ПРОМЫШЛЕННАЯ, Д 5</t>
  </si>
  <si>
    <t xml:space="preserve"> Генеральный Директор Рыбаков Валерий Александрович</t>
  </si>
  <si>
    <t>+7 (495) 761-44-07', '+7 (926) 230-22-30'</t>
  </si>
  <si>
    <t>54.569869995,33.178943634</t>
  </si>
  <si>
    <t>ОБЩЕСТВО С ОГРАНИЧЕННОЙ ОТВЕТСТВЕННОСТЬЮ КОМБИНАТ ЖЕЛЕЗОБЕТОННЫХ МОСТОВЫХ КОНСТРУКЦИЙ "БЕТОН ЭКСПРЕСС"</t>
  </si>
  <si>
    <t xml:space="preserve"> КОМБИНАТ ЖЕЛЕЗОБЕТОННЫХ МОСТОВЫХ КОНСТРУКЦИЙ "БЕТОН ЭКСПРЕСС"</t>
  </si>
  <si>
    <t>6732112088</t>
  </si>
  <si>
    <t>СМОЛЕНСКАЯ ОБЛ.,Г ЕЛЬНЯ,УЛ ЛЬНОЗАВОДСКАЯ Д 29</t>
  </si>
  <si>
    <t>Дудоладов Константин Юрьевич</t>
  </si>
  <si>
    <t>+7 (904) 362-22-99'</t>
  </si>
  <si>
    <t>54.578979492,22.185274124</t>
  </si>
  <si>
    <t>ОБЩЕСТВО С ОГРАНИЧЕННОЙ ОТВЕТСТВЕННОСТЬЮ " ЭДИЛЬ "</t>
  </si>
  <si>
    <t xml:space="preserve"> " ЭДИЛЬ "</t>
  </si>
  <si>
    <t>3902003421</t>
  </si>
  <si>
    <t>КАЛИНИНГРАДСКАЯ ОБЛ.,Г ГУСЕВ,УЛ ПОБЕДЫ, 51</t>
  </si>
  <si>
    <t>Мельников Александр Сергеевич</t>
  </si>
  <si>
    <t>Gusevcement@yandex.ru'</t>
  </si>
  <si>
    <t>54.737003326,55.994068146</t>
  </si>
  <si>
    <t>ОБЩЕСТВО С ОГРАНИЧЕННОЙ ОТВЕТСТВЕННОСТЬЮ "БАШЦЕМЕНТ"</t>
  </si>
  <si>
    <t xml:space="preserve"> "БАШЦЕМЕНТ"</t>
  </si>
  <si>
    <t>0276094849</t>
  </si>
  <si>
    <t>Г УФА,УЛ ЗАВОДСКАЯ,11/1</t>
  </si>
  <si>
    <t>Файзуллин Илнур Науфилович</t>
  </si>
  <si>
    <t>+7 (347) 228-01-26', '+7 (347) 291-23-80'</t>
  </si>
  <si>
    <t>54.755602578984,20.525827370829</t>
  </si>
  <si>
    <t>ОБЩЕСТВО С ОГРАНИЧЕННОЙ ОТВЕТСТВЕННОСТЬЮ "БЕТОНИКУМ"</t>
  </si>
  <si>
    <t xml:space="preserve"> "БЕТОНИКУМ"</t>
  </si>
  <si>
    <t>3906968572</t>
  </si>
  <si>
    <t>Г КАЛИНИНГРАД,УЛ НЕМАНСКАЯ, 59,..</t>
  </si>
  <si>
    <t>Гридасов Игорь Петрович</t>
  </si>
  <si>
    <t>54.764896393,42.725772858</t>
  </si>
  <si>
    <t>ОБЩЕСТВО С ОГРАНИЧЕННОЙ ОТВЕТСТВЕННОСТЬЮ "НК-Бетон"</t>
  </si>
  <si>
    <t xml:space="preserve"> "НК-Бетон"</t>
  </si>
  <si>
    <t>1327024185</t>
  </si>
  <si>
    <t>РЕСПУБЛИКА МОРДОВИЯ,ТЕНЬГУШЕВСКИЙ Р-Н,С ТЕНЬГУШЕВО</t>
  </si>
  <si>
    <t>Нугаев Рафаэль Рясимович</t>
  </si>
  <si>
    <t>+7 (917) 073-61-51'</t>
  </si>
  <si>
    <t>54.776912689,56.031459808</t>
  </si>
  <si>
    <t>ОБЩЕСТВО С ОГРАНИЧЕННОЙ ОТВЕТСТВЕННОСТЬЮ "НАУЧНО-ИССЛЕДОВАТЕЛЬСКАЯ ИННОВАЦИОННАЯ ФИРМА "БАШИНВЕСТ"</t>
  </si>
  <si>
    <t xml:space="preserve"> "НАУЧНО-ИССЛЕДОВАТЕЛЬСКАЯ ИННОВАЦИОННАЯ ФИРМА "БАШИНВЕСТ"</t>
  </si>
  <si>
    <t>0276004972</t>
  </si>
  <si>
    <t>http://betonrb.ru</t>
  </si>
  <si>
    <t>Г УФА,ПРОСПЕКТ ОКТЯБРЯ,132/3</t>
  </si>
  <si>
    <t>Винников Дмитрий Павлович</t>
  </si>
  <si>
    <t>+7 (347) 251-57-99', '+7 (347) 293-52-59'</t>
  </si>
  <si>
    <t>54.807292938,56.056632996</t>
  </si>
  <si>
    <t>ОБЩЕСТВО С ОГРАНИЧЕННОЙ ОТВЕТСТВЕННОСТЬЮ "УПРАВЛЕНИЕ ПРОИЗВОДСТВЕННО-ТЕХНИЧЕСКОЙ КОМПЛЕКТАЦИИ ЭКОЛОГ БАШСПЕЦНЕФТЕСТРОЙ"</t>
  </si>
  <si>
    <t xml:space="preserve"> "УПРАВЛЕНИЕ ПРОИЗВОДСТВЕННО-ТЕХНИЧЕСКОЙ КОМПЛЕКТАЦИИ ЭКОЛОГ БАШСПЕЦНЕФТЕСТРОЙ"</t>
  </si>
  <si>
    <t>0273060440</t>
  </si>
  <si>
    <t>Г УФА,УЛ ЦВЕТОЧНАЯ,3/1</t>
  </si>
  <si>
    <t>Шарипов Дмитрий Айратович</t>
  </si>
  <si>
    <t>+7 (347) 284-12-61'</t>
  </si>
  <si>
    <t>54.832572937,20.533060074</t>
  </si>
  <si>
    <t>ОБЩЕСТВО С ОГРАНИЧЕННОЙ ОТВЕТСТВЕННОСТЬЮ "ЕВРАЗИЯТРЕЙД"</t>
  </si>
  <si>
    <t xml:space="preserve"> "ЕВРАЗИЯТРЕЙД"</t>
  </si>
  <si>
    <t>5528032031</t>
  </si>
  <si>
    <t>ОМСКАЯ ОБЛ.,ТЮКАЛИНСКИЙ Р-Н,С МАЛИНОВКА</t>
  </si>
  <si>
    <t>Кудрин Евгений Владимирович</t>
  </si>
  <si>
    <t>54.840125103872,83.112599506561</t>
  </si>
  <si>
    <t>Общество с ограниченной ответственностью "РБУ Конкрит"</t>
  </si>
  <si>
    <t xml:space="preserve"> "РБУ Конкрит"</t>
  </si>
  <si>
    <t>5433193947</t>
  </si>
  <si>
    <t>Г НОВОСИБИРСК,ПРОСП АК ЛАВРЕНТЬЕВА, 17 КОМН 333</t>
  </si>
  <si>
    <t>Набеев Ринат Русланович</t>
  </si>
  <si>
    <t>+7 (923) 248-72-71', '+7 (383) 363-26-19', '+7 (383) 380-85-82'</t>
  </si>
  <si>
    <t>54.85408783,38.563957214</t>
  </si>
  <si>
    <t>ОБЩЕСТВО С ОГРАНИЧЕННОЙ ОТВЕТСТВЕННОСТЬЮ "РБУ-ЛИКИНО"</t>
  </si>
  <si>
    <t xml:space="preserve"> "РБУ-ЛИКИНО"</t>
  </si>
  <si>
    <t>5034047542</t>
  </si>
  <si>
    <t>МОСКОВСКАЯ ОБЛ.,Г ОЗЕРЫ,УЛ ЛЕНИНА, Д 13</t>
  </si>
  <si>
    <t>Ивлев Дмитрий Борисович</t>
  </si>
  <si>
    <t>+7 (915) 396-41-86'</t>
  </si>
  <si>
    <t>54.871471405,37.223609924</t>
  </si>
  <si>
    <t>ОБЩЕСТВО С ОГРАНИЧЕННОЙ ОТВЕТСТВЕННОСТЬЮ "НАШ БЕТОН"</t>
  </si>
  <si>
    <t xml:space="preserve"> "НАШ БЕТОН"</t>
  </si>
  <si>
    <t>5003111639</t>
  </si>
  <si>
    <t>МОСКОВСКАЯ ОБЛ.,Г ПРОТВИНО,ЦЕНТРАЛЬНЫЙ ПР, Д 3</t>
  </si>
  <si>
    <t>Денгаев Загид Денгаевич</t>
  </si>
  <si>
    <t>+7 (909) 999-08-18'</t>
  </si>
  <si>
    <t>54.880889893,61.189678192</t>
  </si>
  <si>
    <t>ОБЩЕСТВО С ОГРАНИЧЕННОЙ ОТВЕТСТВЕННОСТЬЮ "АЦЕИД"</t>
  </si>
  <si>
    <t xml:space="preserve"> "АЦЕИД"</t>
  </si>
  <si>
    <t>7412006332</t>
  </si>
  <si>
    <t>ЧЕЛЯБИНСКАЯ ОБЛ.,КОРКИНСКИЙ Р-Н,PП ПЕРВОМАЙСКИЙ,УЛ ЗАВОДСКАЯ, Д 3</t>
  </si>
  <si>
    <t>Истомин Владимир Сергеевич</t>
  </si>
  <si>
    <t>Aseid@inbox.ru'</t>
  </si>
  <si>
    <t>54.882743835,61.340492249</t>
  </si>
  <si>
    <t>ОБЩЕСТВО С ОГРАНИЧЕННОЙ ОТВЕТСТВЕННОСТЬЮ "ЮЖНО-УРАЛЬСКАЯ ИНВЕСТИЦИОННАЯ КОМПАНИЯ"</t>
  </si>
  <si>
    <t xml:space="preserve"> "ЮЖНО-УРАЛЬСКАЯ ИНВЕСТИЦИОННАЯ КОМПАНИЯ"</t>
  </si>
  <si>
    <t>7412010716</t>
  </si>
  <si>
    <t>ЧЕЛЯБИНСКАЯ ОБЛ.,Г КОРКИНО,УЛ КЕРАМИКОВ, Д 1</t>
  </si>
  <si>
    <t>Третьякова Татьяна Викторовна</t>
  </si>
  <si>
    <t>+7 (922) 708-90-60'</t>
  </si>
  <si>
    <t>54.900716876099,52.28890034011</t>
  </si>
  <si>
    <t>ОБЩЕСТВО С ОГРАНИЧЕННОЙ ОТВЕТСТВЕННОСТЬЮ "ФЛАГМАН"</t>
  </si>
  <si>
    <t xml:space="preserve"> "ФЛАГМАН"</t>
  </si>
  <si>
    <t>1659164002</t>
  </si>
  <si>
    <t>РЕСПУБЛИКА ТАТАРСТАН (ТАТАРСТАН),Г АЛЬМЕТЬЕВСК,УЛ БЕЛОГЛАЗОВА Д 139 "А"</t>
  </si>
  <si>
    <t>Галиуллин Айдар Асхатович</t>
  </si>
  <si>
    <t>+7 (917) 850-23-23'</t>
  </si>
  <si>
    <t>54.915447235,37.412845612</t>
  </si>
  <si>
    <t>общество с ограниченной ответственностью "БЕТОНСТРОЙ"</t>
  </si>
  <si>
    <t xml:space="preserve"> "БЕТОНСТРОЙ"</t>
  </si>
  <si>
    <t>5028030928</t>
  </si>
  <si>
    <t>МОСКОВСКАЯ ОБЛ.,Г СЕРПУХОВ,УЛ СОВЕТСКАЯ, Д 19</t>
  </si>
  <si>
    <t>Трунов Сергей Владимирович</t>
  </si>
  <si>
    <t>+7 (925) 141-57-57'</t>
  </si>
  <si>
    <t>54.940319061,73.511657715</t>
  </si>
  <si>
    <t>Общество с ограниченной ответственностью "Мастер-Бетон"</t>
  </si>
  <si>
    <t xml:space="preserve"> "Мастер-Бетон"</t>
  </si>
  <si>
    <t>5506055236</t>
  </si>
  <si>
    <t>Г ОМСК,УЛ БАРАБИНСКАЯ, 44</t>
  </si>
  <si>
    <t>Криворотько Александр Борисович</t>
  </si>
  <si>
    <t>+7 (962) 050-49-26'</t>
  </si>
  <si>
    <t>54.946624756,73.311004639</t>
  </si>
  <si>
    <t>ОБЩЕСТВО С ОГРАНИЧЕННОЙ ОТВЕТСТВЕННОСТЬЮ "КСМ"</t>
  </si>
  <si>
    <t xml:space="preserve"> "КСМ"</t>
  </si>
  <si>
    <t>5507084737</t>
  </si>
  <si>
    <t>Г ОМСК,УЛ ТУРГЕНЕВА, 60</t>
  </si>
  <si>
    <t>Лайнвебер Владимир Викторович</t>
  </si>
  <si>
    <t>+7 (913) 668-37-38'</t>
  </si>
  <si>
    <t>skluna@mail.ru'</t>
  </si>
  <si>
    <t>54.989686964541,73.378859550403</t>
  </si>
  <si>
    <t>ОБЩЕСТВО С ОГРАНИЧЕННОЙ ОТВЕТСТВЕННОСТЬЮ "ЖЕЛДОРСПЕЦСЕРВИС"</t>
  </si>
  <si>
    <t xml:space="preserve"> "ЖЕЛДОРСПЕЦСЕРВИС"</t>
  </si>
  <si>
    <t>5503095167</t>
  </si>
  <si>
    <t>Г ОМСК,УЛ К ЛИБКНЕХТА, 35</t>
  </si>
  <si>
    <t>Сокольский Андрей Иосифович</t>
  </si>
  <si>
    <t>54.991729736,61.481712341</t>
  </si>
  <si>
    <t>ОБЩЕСТВО С ОГРАНИЧЕННОЙ ОТВЕТСТВЕННОСТЬЮ "СТРОИТЕЛЬНЫЕ РАСТВОРЫ"</t>
  </si>
  <si>
    <t xml:space="preserve"> "СТРОИТЕЛЬНЫЕ РАСТВОРЫ"</t>
  </si>
  <si>
    <t>7449125960</t>
  </si>
  <si>
    <t>ЧЕЛЯБИНСКАЯ ОБЛ.,Г КОПЕЙСК,УЛ ГАГАРИНА, Д 1</t>
  </si>
  <si>
    <t>Коротаев Дмитрий Александрович</t>
  </si>
  <si>
    <t>+7 (912) 777-42-24', '+7 (351) 248-22-22'</t>
  </si>
  <si>
    <t>55.011146545,73.339164734</t>
  </si>
  <si>
    <t>ОБЩЕСТВО С ОГРАНИЧЕННОЙ ОТВЕТСТВЕННОСТЬЮ "Бетон Экспресс"</t>
  </si>
  <si>
    <t xml:space="preserve"> "Бетон Экспресс"</t>
  </si>
  <si>
    <t>5501247128</t>
  </si>
  <si>
    <t>Г ОМСК,УЛ КРАСНЫЙ ПУТЬ, 86</t>
  </si>
  <si>
    <t>Сентерёв Александр Александрович</t>
  </si>
  <si>
    <t>+7 (913) 618-44-67', '+7 (961) 882-68-12'</t>
  </si>
  <si>
    <t>irusik1979@list.ru', 'ck@mail.ru'</t>
  </si>
  <si>
    <t>55.03395462,82.918540955</t>
  </si>
  <si>
    <t>ОБЩЕСТВО С ОГРАНИЧЕННОЙ ОТВЕТСТВЕННОСТЬЮ "ФИШТ"</t>
  </si>
  <si>
    <t xml:space="preserve"> "ФИШТ"</t>
  </si>
  <si>
    <t>5452116867</t>
  </si>
  <si>
    <t>Г НОВОСИБИРСК,ПРОСПЕКТ КРАСНЫЙ, 35</t>
  </si>
  <si>
    <t>Соломатов Дмитрий Леонидович</t>
  </si>
  <si>
    <t>+7 (913) 928-71-13', '+7 (913) 905-42-46', '+7 (913) 207-03-32'</t>
  </si>
  <si>
    <t>marikuch77@gmail.com', 'skovitin@mail.ru'</t>
  </si>
  <si>
    <t>55.041481018,73.264144897</t>
  </si>
  <si>
    <t>ОБЩЕСТВО С ОГРАНИЧЕННОЙ ОТВЕТСТВЕННОСТЬЮ "МОНОЛИТ 1"</t>
  </si>
  <si>
    <t xml:space="preserve"> "МОНОЛИТ 1"</t>
  </si>
  <si>
    <t>5501258715</t>
  </si>
  <si>
    <t>Г ОМСК,УЛ НЕФТЕЗАВОДСКАЯ, 36 Д,..</t>
  </si>
  <si>
    <t>Карловский Андрей Степанович</t>
  </si>
  <si>
    <t>55.044136047,73.19947052</t>
  </si>
  <si>
    <t>ОБЩЕСТВО С ОГРАНИЧЕННОЙ ОТВЕТСТВЕННОСТЬЮ "ТРЕСТ 777"</t>
  </si>
  <si>
    <t xml:space="preserve"> "ТРЕСТ 777"</t>
  </si>
  <si>
    <t>5501104507</t>
  </si>
  <si>
    <t>Г ОМСК,ПРОСП МИРА, 140</t>
  </si>
  <si>
    <t>+7 (913) 628-20-31'</t>
  </si>
  <si>
    <t>55.061439514,47.601280212</t>
  </si>
  <si>
    <t>ОБЩЕСТВО С ОГРАНИЧЕННОЙ ОТВЕТСТВЕННОСТЬЮ "АГРОХИМИЯ"</t>
  </si>
  <si>
    <t xml:space="preserve"> "АГРОХИМИЯ"</t>
  </si>
  <si>
    <t>2103005117</t>
  </si>
  <si>
    <t>ЧУВАШСКАЯ РЕСПУБЛИКА - ЧУВАШИЯ,БАТЫРЕВСКИЙ Р-Н,С БАТЫРЕВО,УЛ КОМАРОВА, Д 13А</t>
  </si>
  <si>
    <t>Михайлова Кристина Александровна</t>
  </si>
  <si>
    <t>+7 (835) 326-20-90'</t>
  </si>
  <si>
    <t>55.063812256,38.743198395</t>
  </si>
  <si>
    <t>ОБЩЕСТВО С ОГРАНИЧЕННОЙ ОТВЕТСТВЕННОСТЬЮ "АСФАЛЬТО-БЕТОННЫЙ ЗАВОД"</t>
  </si>
  <si>
    <t xml:space="preserve"> "АСФАЛЬТО-БЕТОННЫЙ ЗАВОД"</t>
  </si>
  <si>
    <t>5022044561</t>
  </si>
  <si>
    <t>МОСКОВСКАЯ ОБЛ.,Г КОЛОМНА,УЛ АСТАХОВА, Д 8</t>
  </si>
  <si>
    <t>Полунин Пётр Леонидович</t>
  </si>
  <si>
    <t>+7 (496) 612-24-48'</t>
  </si>
  <si>
    <t>55.065997361702,38.836385709623</t>
  </si>
  <si>
    <t>ОБЩЕСТВО С ОГРАНИЧЕННОЙ ОТВЕТСТВЕННОСТЬЮ "ЦБИ-3"</t>
  </si>
  <si>
    <t xml:space="preserve"> "ЦБИ-3"</t>
  </si>
  <si>
    <t>5022027453</t>
  </si>
  <si>
    <t>http://cbi3.com</t>
  </si>
  <si>
    <t>МОСКОВСКАЯ ОБЛ.,Г КОЛОМНА,УЛ СВЕРДЛОВА, Д 23</t>
  </si>
  <si>
    <t>Скабелкин Максим Евгеньевич</t>
  </si>
  <si>
    <t>+7 (496) 613-70-34', '+7 (916) 143-92-17'</t>
  </si>
  <si>
    <t>55.067287445,82.928947449</t>
  </si>
  <si>
    <t>ОБЩЕСТВО С ОГРАНИЧЕННОЙ ОТВЕТСТВЕННОСТЬЮ "АБК-БЕТОН"</t>
  </si>
  <si>
    <t xml:space="preserve"> "АБК-БЕТОН"</t>
  </si>
  <si>
    <t>5406754382</t>
  </si>
  <si>
    <t>Г НОВОСИБИРСК,НОВОСИБИРСКАЯ ОБЛ НОВОСИБИРСК Г УЛ ЗАЛЕССКОГО  Д 4</t>
  </si>
  <si>
    <t>Молчанов Владимир Евгеньевич</t>
  </si>
  <si>
    <t>+7 (913) 902-48-46', '+7 (983) 310-57-75'</t>
  </si>
  <si>
    <t>ОБЩЕСТВО С ОГРАНИЧЕННОЙ ОТВЕТСТВЕННОСТЬЮ "КОМБИНАТ ПОРИСТЫХ МАТЕРИАЛОВ"</t>
  </si>
  <si>
    <t xml:space="preserve"> "КОМБИНАТ ПОРИСТЫХ МАТЕРИАЛОВ"</t>
  </si>
  <si>
    <t>Г ОМСК,УЛ КОМБИНАТСКАЯ, 46</t>
  </si>
  <si>
    <t>+7 (913) 156-41-46', '+7 (960) 987-82-05', '+7 (923) 046-00-25', '+7 (913) 157-01-41', '+7 (923) 046-00-27', '+7 (923) 046-00-21', '+7 (913) 676-81-48', '+7 (960) 987-82-05'</t>
  </si>
  <si>
    <t>55.086250305,36.589584351</t>
  </si>
  <si>
    <t>ОБЩЕСТВО С ОГРАНИЧЕННОЙ ОТВЕТСТВЕННОСТЬЮ "НСС"</t>
  </si>
  <si>
    <t xml:space="preserve"> "НСС"</t>
  </si>
  <si>
    <t>4025412892</t>
  </si>
  <si>
    <t>КАЛУЖСКАЯ ОБЛ.,Г ОБНИНСК,УЛ МЕНДЕЛЕЕВА Д 14</t>
  </si>
  <si>
    <t>Фарбер Владимир Моисеевич</t>
  </si>
  <si>
    <t>55.094600677,38.76537323</t>
  </si>
  <si>
    <t>5031114014</t>
  </si>
  <si>
    <t>МОСКОВСКАЯ ОБЛ.,Г КОЛОМНА,ПЛ СОВЕТСКАЯ, Д 2</t>
  </si>
  <si>
    <t>Ужахов Вадим Сергеевич</t>
  </si>
  <si>
    <t>+7 (926) 533-06-33'</t>
  </si>
  <si>
    <t>55.161167145,37.4245224</t>
  </si>
  <si>
    <t>ОБЩЕСТВО С ОГРАНИЧЕННОЙ ОТВЕТСТВЕННОСТЬЮ "ЗАВОД СТРОИТЕЛЬНЫХ МАТЕРИАЛОВ БЕТОНАР"</t>
  </si>
  <si>
    <t xml:space="preserve"> "ЗАВОД СТРОИТЕЛЬНЫХ МАТЕРИАЛОВ БЕТОНАР"</t>
  </si>
  <si>
    <t>5048015220</t>
  </si>
  <si>
    <t>МОСКОВСКАЯ ОБЛ.,Г ЧЕХОВ,УЛ КОМСОМОЛЬСКАЯ, ВЛАДЕНИЕ 3</t>
  </si>
  <si>
    <t>Алдошина Елена Ивановна</t>
  </si>
  <si>
    <t>+7 (926) 591-57-89'</t>
  </si>
  <si>
    <t>55.165523529,39.061443329</t>
  </si>
  <si>
    <t>ОБЩЕСТВО С ОГРАНИЧЕННОЙ ОТВЕТСТВЕННОСТЬЮ "СТРОЙ ГРАД"</t>
  </si>
  <si>
    <t xml:space="preserve"> "СТРОЙ ГРАД"</t>
  </si>
  <si>
    <t>5022068650</t>
  </si>
  <si>
    <t>МОСКОВСКАЯ ОБЛ.,КОЛОМЕНСКИЙ Р-Н,Д СУРИНО</t>
  </si>
  <si>
    <t>Макеев Александр Алексеевич</t>
  </si>
  <si>
    <t>+7 (963) 999-00-01'</t>
  </si>
  <si>
    <t>55.189048767,61.38791275</t>
  </si>
  <si>
    <t>ОБЩЕСТВО С ОГРАНИЧЕННОЙ ОТВЕТСТВЕННОСТЬЮ "РАСТВОР-СТРОЙ"</t>
  </si>
  <si>
    <t xml:space="preserve"> "РАСТВОР-СТРОЙ"</t>
  </si>
  <si>
    <t>7448022169</t>
  </si>
  <si>
    <t>Г ЧЕЛЯБИНСК,СВЕРДЛОВСКИЙ ПРОСП, Д 7-А</t>
  </si>
  <si>
    <t>Манжукова Светлана Михайловна</t>
  </si>
  <si>
    <t>+7 (351) 725-79-92', '+7 (909) 081-66-82', '+7 (909) 267-22-20'</t>
  </si>
  <si>
    <t>55.351097107,86.067123413</t>
  </si>
  <si>
    <t xml:space="preserve"> "ТЕХНОБЕТОН"</t>
  </si>
  <si>
    <t>4250010048</t>
  </si>
  <si>
    <t>Г КЕМЕРОВО,УЛ ДАРВИНА,Д 2..</t>
  </si>
  <si>
    <t>Попов Владимир Николаевич</t>
  </si>
  <si>
    <t>+7 (384) 453-17-40'</t>
  </si>
  <si>
    <t>55.371822540356,36.714361746197</t>
  </si>
  <si>
    <t xml:space="preserve"> "КОМБИНАТ ПРОИЗВОДСТВЕННЫХ ПРЕДПРИЯТИЙ"</t>
  </si>
  <si>
    <t>5030045216</t>
  </si>
  <si>
    <t>МОСКОВСКАЯ ОБЛ.,Г НАРО-ФОМИНСК,ТУРГЕНЕВСКИЙ ТУПИК, Д 1</t>
  </si>
  <si>
    <t>Дорощин Владимир Андреевич</t>
  </si>
  <si>
    <t>55.380199432,36.730255127</t>
  </si>
  <si>
    <t>ОБЩЕСТВО С ОГРАНИЧЕННОЙ ОТВЕТСТВЕННОСТЬЮ "МГН"</t>
  </si>
  <si>
    <t xml:space="preserve"> "МГН"</t>
  </si>
  <si>
    <t>5030043138</t>
  </si>
  <si>
    <t>МОСКОВСКАЯ ОБЛ.,Г НАРО-ФОМИНСК,УЛ ЛЕНИНА, Д 15</t>
  </si>
  <si>
    <t>Макорин Геннадий Николаевич</t>
  </si>
  <si>
    <t>+7 (496) 343-02-82', '+7 (906) 719-52-62'</t>
  </si>
  <si>
    <t>55.380828857,36.734828949</t>
  </si>
  <si>
    <t>ОБЩЕСТВО С ОГРАНИЧЕННОЙ ОТВЕТСТВЕННОСТЬЮ "ОСТОВ"</t>
  </si>
  <si>
    <t xml:space="preserve"> "ОСТОВ"</t>
  </si>
  <si>
    <t>5030055126</t>
  </si>
  <si>
    <t>МОСКОВСКАЯ ОБЛ.,Г НАРО-ФОМИНСК,Д 1, ОФИС 2</t>
  </si>
  <si>
    <t>Шаповалов Игорь Леонидович</t>
  </si>
  <si>
    <t>55.405464172,36.723987579</t>
  </si>
  <si>
    <t>Общество с ограниченной ответственностью "РЕГИОН-СНАБ"</t>
  </si>
  <si>
    <t xml:space="preserve"> "РЕГИОН-СНАБ"</t>
  </si>
  <si>
    <t>5043050245</t>
  </si>
  <si>
    <t>МОСКОВСКАЯ ОБЛ.,Г НАРО-ФОМИНСК,УЛ ПЕШЕХОНОВА, Д 2,..</t>
  </si>
  <si>
    <t>Грибанов Сергей Павлович</t>
  </si>
  <si>
    <t>+7 (926) 164-88-11'</t>
  </si>
  <si>
    <t>55.424495697,36.058540344</t>
  </si>
  <si>
    <t>ОБЩЕСТВО С ОГРАНИЧЕННОЙ ОТВЕТСТВЕННОСТЬЮ "БЕТОН-ТРАНС СЕРВИС"</t>
  </si>
  <si>
    <t xml:space="preserve"> "БЕТОН-ТРАНС СЕРВИС"</t>
  </si>
  <si>
    <t>5077019564</t>
  </si>
  <si>
    <t>http://betontranserv.ru</t>
  </si>
  <si>
    <t>МОСКОВСКАЯ ОБЛ.,СЕРПУХОВСКИЙ Р-Н,Д БОРИСОВО,АОЗТ "СЕРПУХОВСКИЙ"</t>
  </si>
  <si>
    <t>Фадеева Наталья Владимировна</t>
  </si>
  <si>
    <t>+7 (496) 776-09-91'</t>
  </si>
  <si>
    <t>55.51524353,47.472702026</t>
  </si>
  <si>
    <t>ОБЩЕСТВО С ОГРАНИЧЕННОЙ ОТВЕТСТВЕННОСТЬЮ "РАСТВОРОБЕТОННЫЙ УЗЕЛ ГЕОЛОГ"</t>
  </si>
  <si>
    <t xml:space="preserve"> "РАСТВОРОБЕТОННЫЙ УЗЕЛ ГЕОЛОГ"</t>
  </si>
  <si>
    <t>2123008638</t>
  </si>
  <si>
    <t>ЧУВАШСКАЯ РЕСПУБЛИКА - ЧУВАШИЯ,Г КАНАШ,УЛ ПОЛЕВАЯ, Д 8</t>
  </si>
  <si>
    <t>Елисеев Сергей Николаевич</t>
  </si>
  <si>
    <t>55.539150238,89.18649292</t>
  </si>
  <si>
    <t>ОБЩЕСТВО С ОГРАНИЧЕННОЙ ОТВЕТСТВЕННОСТЬЮ "ТОРГОВЫЙ ДОМ ЖЕЛЕЗОБЕТОНА"</t>
  </si>
  <si>
    <t xml:space="preserve"> "ТОРГОВЫЙ ДОМ ЖЕЛЕЗОБЕТОНА"</t>
  </si>
  <si>
    <t>2459013640</t>
  </si>
  <si>
    <t>КРАСНОЯРСКИЙ КРАЙ,Г ШАРЫПОВО,УЛ ЗАВОДСКАЯ Д 8А</t>
  </si>
  <si>
    <t>55.553440094,38.064411163</t>
  </si>
  <si>
    <t>ОБЩЕСТВО С ОГРАНИЧЕННОЙ ОТВЕТСТВЕННОСТЬЮ "БЕТО-С"</t>
  </si>
  <si>
    <t xml:space="preserve"> "БЕТО-С"</t>
  </si>
  <si>
    <t>5027117742</t>
  </si>
  <si>
    <t>МОСКОВСКАЯ ОБЛ.,РАМЕНСКИЙ Р-Н,Д ЧУЛКОВО,КОНТОРА ЗАО ПХ "ЧУЛКОВСКОЕ"</t>
  </si>
  <si>
    <t>Синяк Василий Васильевич</t>
  </si>
  <si>
    <t>+7 (926) 566-50-21'</t>
  </si>
  <si>
    <t>55.557041168,38.254611969</t>
  </si>
  <si>
    <t>ОБЩЕСТВО С ОГРАНИЧЕННОЙ ОТВЕТСТВЕННОСТЬЮ "ПРОИЗВОДСТВЕННЫЕ ПРЕДПРИЯТИЯ"</t>
  </si>
  <si>
    <t xml:space="preserve"> "ПРОИЗВОДСТВЕННЫЕ ПРЕДПРИЯТИЯ"</t>
  </si>
  <si>
    <t>5040089043</t>
  </si>
  <si>
    <t>МОСКОВСКАЯ ОБЛ.,Г РАМЕНСКОЕ,ТРАНСПОРТНЫЙ ПР, Д 1 Б</t>
  </si>
  <si>
    <t>Шнякин Василий Валентинович</t>
  </si>
  <si>
    <t>+7 (906) 039-29-32'</t>
  </si>
  <si>
    <t>55.561927795,38.118011475</t>
  </si>
  <si>
    <t>ОБЩЕСТВО С ОГРАНИЧЕННОЙ ОТВЕТСТВЕННОСТЬЮ "ИНВЕСТ ЦЕНТР"</t>
  </si>
  <si>
    <t xml:space="preserve"> "ИНВЕСТ ЦЕНТР"</t>
  </si>
  <si>
    <t>5013053873</t>
  </si>
  <si>
    <t>МОСКОВСКАЯ ОБЛ.,Г ЖУКОВСКИЙ,УЛ НАРКОМВОД, ПРОМБАЗА ОАО СМУ "ЖУКОВСКСТРОЙ"</t>
  </si>
  <si>
    <t>Буслаев Сергей Геннадиевич</t>
  </si>
  <si>
    <t>+7 (495) 540-75-00', '+7 (495) 790-79-06'</t>
  </si>
  <si>
    <t>55.562072086875,37.385103515063</t>
  </si>
  <si>
    <t>Общество с ограниченной ответственностью "Торговый Дом "ЕвроМастер"</t>
  </si>
  <si>
    <t xml:space="preserve"> "Торговый Дом "ЕвроМастер"</t>
  </si>
  <si>
    <t>7724867841</t>
  </si>
  <si>
    <t>Г МОСКВА,УЛ.ЛЕСНАЯ Д.51-9</t>
  </si>
  <si>
    <t>Ксенофонтова Елена Александровна</t>
  </si>
  <si>
    <t>55.577545166,37.900039673</t>
  </si>
  <si>
    <t>ОБЩЕСТВО С ОГРАНИЧЕННОЙ ОТВЕТСТВЕННОСТЬЮ " СТРОЙСЕРВИС"</t>
  </si>
  <si>
    <t xml:space="preserve"> " СТРОЙСЕРВИС"</t>
  </si>
  <si>
    <t>5026009060</t>
  </si>
  <si>
    <t>МОСКОВСКАЯ ОБЛ.,Г ЛЫТКАРИНО</t>
  </si>
  <si>
    <t>Гуреева Клавдия Денисовна</t>
  </si>
  <si>
    <t>55.592090607,37.536159515</t>
  </si>
  <si>
    <t>ОБЩЕСТВО С ОГРАНИЧЕННОЙ ОТВЕТСТВЕННОСТЬЮ "НЕРУДСТРОЙМАТЕРИАЛЫ"</t>
  </si>
  <si>
    <t xml:space="preserve"> "НЕРУДСТРОЙМАТЕРИАЛЫ"</t>
  </si>
  <si>
    <t>7720765528</t>
  </si>
  <si>
    <t>Г МОСКВА,ПР КАРАМЗИНА, Д 5</t>
  </si>
  <si>
    <t>Полоусов Владимир Васильевич</t>
  </si>
  <si>
    <t>55.601837158,38.090686798</t>
  </si>
  <si>
    <t>ОБЩЕСТВО С ОГРАНИЧЕННОЙ ОТВЕТСТВЕННОСТЬЮ "ВАИР"</t>
  </si>
  <si>
    <t xml:space="preserve"> "ВАИР"</t>
  </si>
  <si>
    <t>5013057412</t>
  </si>
  <si>
    <t>МОСКОВСКАЯ ОБЛ.,Г ЖУКОВСКИЙ,НАБ ЦИОЛКОВСКОГО, Д 18</t>
  </si>
  <si>
    <t>Яременко Алексей Анатольевич</t>
  </si>
  <si>
    <t>+7 (926) 264-44-75'</t>
  </si>
  <si>
    <t>55.603168488,38.09740448</t>
  </si>
  <si>
    <t>ОБЩЕСТВО С ОГРАНИЧЕННОЙ ОТВЕТСТВЕННОСТЬЮ "СТИЛЬСЕЛЬХОЗСТРОЙ"</t>
  </si>
  <si>
    <t xml:space="preserve"> "СТИЛЬСЕЛЬХОЗСТРОЙ"</t>
  </si>
  <si>
    <t>5042129608</t>
  </si>
  <si>
    <t>МОСКОВСКАЯ ОБЛ.,Г ЖУКОВСКИЙ,УЛ МОЛОДЕЖНАЯ, Д 5,..</t>
  </si>
  <si>
    <t>Фоменко Элина Дмитриевна</t>
  </si>
  <si>
    <t>+7 (925) 829-49-95'</t>
  </si>
  <si>
    <t>55.646598816,37.852771759</t>
  </si>
  <si>
    <t xml:space="preserve"> "ФАВОРИТ"</t>
  </si>
  <si>
    <t>5027115819</t>
  </si>
  <si>
    <t>МОСКОВСКАЯ ОБЛ.,ЛЮБЕРЕЦКИЙ Р-Н,Г КОТЕЛЬНИКИ,МИКРОРАЙОН СИЛИКАТ, Д 41</t>
  </si>
  <si>
    <t>Гевондян Бениамин Рафикович</t>
  </si>
  <si>
    <t>+7 (945) 550-50-04', '+7 (495) 551-52-72'</t>
  </si>
  <si>
    <t>55.646827000029,37.864181668434</t>
  </si>
  <si>
    <t>ОБЩЕСТВО С ОГРАНИЧЕННОЙ ОТВЕТСТВЕННОСТЬЮ "БЕТРАСТ"</t>
  </si>
  <si>
    <t xml:space="preserve"> "БЕТРАСТ"</t>
  </si>
  <si>
    <t>5027107712</t>
  </si>
  <si>
    <t>МОСКОВСКАЯ ОБЛ.,ЛЮБЕРЕЦКИЙ Р-Н,Г КОТЕЛЬНИКИ,УЛ АСФАЛЬТОВАЯ, Д 21</t>
  </si>
  <si>
    <t>Трещинкина Татьяна Рудольфовна</t>
  </si>
  <si>
    <t>55.647258759,37.854606628</t>
  </si>
  <si>
    <t>"РАСТРО+"</t>
  </si>
  <si>
    <t>5027067227</t>
  </si>
  <si>
    <t>МОСКОВСКАЯ ОБЛ.,ЛЮБЕРЕЦКИЙ Р-Н,Г КОТЕЛЬНИКИ,МИКРОРАЙОН "СИЛИКАТ", Д 2</t>
  </si>
  <si>
    <t>Коваленко Сергей Анатольевич</t>
  </si>
  <si>
    <t>55.649292075843,37.628253725184</t>
  </si>
  <si>
    <t>ОТКРЫТОЕ "КОМБИНАТ "МОСИНЖБЕТОН"</t>
  </si>
  <si>
    <t xml:space="preserve"> "КОМБИНАТ "МОСИНЖБЕТОН"</t>
  </si>
  <si>
    <t>7724208292</t>
  </si>
  <si>
    <t>Г МОСКВА,ПЕР 2-Й КОТЛЯКОВСКИЙ, Д 6 А</t>
  </si>
  <si>
    <t>Белов Александр Федорович</t>
  </si>
  <si>
    <t>+7 (495) 231-26-04', '+7 (964) 620-10-97'</t>
  </si>
  <si>
    <t>egukova@mosingbeton.ru', 'nkochkina@mosingbeton.ru', 'NPoznukhova@mosingbeton.ru', 'npoznukhova@mosinjbeton.ru', 'egukova@mosingbeton.ru', 'nkochkina@mosingbeton.ru', 'NPoznukhova@mosingbeton.ru'</t>
  </si>
  <si>
    <t>55.654026031,51.851783752</t>
  </si>
  <si>
    <t>1651051046</t>
  </si>
  <si>
    <t>РЕСПУБЛИКА ТАТАРСТАН (ТАТАРСТАН),Г НИЖНЕКАМСК,УЛ ГАГАРИНА Д 52 ПОМ 5</t>
  </si>
  <si>
    <t>Мотигуллин Булат Фатихович</t>
  </si>
  <si>
    <t>55.655384064,37.380062103</t>
  </si>
  <si>
    <t>ОБЩЕСТВО С ОГРАНИЧЕННОЙ ОТВЕТСТВЕННОСТЬЮ "МСА СТАР-КРОСС"</t>
  </si>
  <si>
    <t xml:space="preserve"> "МСА СТАР-КРОСС"</t>
  </si>
  <si>
    <t>7732116207</t>
  </si>
  <si>
    <t>Г МОСКВА,УЛ НАРО-ФОМИНСКАЯ, Д 19</t>
  </si>
  <si>
    <t>Панас Василий Васильевич</t>
  </si>
  <si>
    <t>+7 (925) 787-00-09'</t>
  </si>
  <si>
    <t>55.666671753,37.2838974</t>
  </si>
  <si>
    <t xml:space="preserve"> "БЕТОН-СЕРВИС"</t>
  </si>
  <si>
    <t>5032089730</t>
  </si>
  <si>
    <t>МОСКОВСКАЯ ОБЛ.,Г ОДИНЦОВО,УЛ КОМСОМОЛЬСКАЯ, Д 6</t>
  </si>
  <si>
    <t>Бурченкова Елена Викторовна</t>
  </si>
  <si>
    <t>SERVIS2003@YANDEX.RU'</t>
  </si>
  <si>
    <t>55.713998113776,37.072172000706</t>
  </si>
  <si>
    <t>ОБЩЕСТВО С ОГРАНИЧЕННОЙ ОТВЕТСТВЕННОСТЬЮ "СК СИГМА"</t>
  </si>
  <si>
    <t xml:space="preserve"> "СК СИГМА"</t>
  </si>
  <si>
    <t>5009090618</t>
  </si>
  <si>
    <t>http://sk-promstroinvest.ru</t>
  </si>
  <si>
    <t>МОСКОВСКАЯ ОБЛ.,ОДИНЦОВСКИЙ Р-Н,С УСПЕНСКОЕ,П ГОРКИ Д 29..</t>
  </si>
  <si>
    <t>Авсетов Тимур Авсетович</t>
  </si>
  <si>
    <t>55.727523804,37.608860016</t>
  </si>
  <si>
    <t>ОБЩЕСТВО С ОГРАНИЧЕННОЙ ОТВЕТСТВЕННОСТЬЮ "ПСК СТРОЙНЕРУД"</t>
  </si>
  <si>
    <t xml:space="preserve"> "ПСК СТРОЙНЕРУД"</t>
  </si>
  <si>
    <t>7706218795</t>
  </si>
  <si>
    <t>Г МОСКВА,ПРОСП ЛЕНИНСКИЙ, Д 4, СТР 1 А</t>
  </si>
  <si>
    <t>Соловьева Наталья Анатольевна</t>
  </si>
  <si>
    <t>+7 (495) 353-21-83', '+7 (916) 213-81-74', '+7 (495) 353-21-83'</t>
  </si>
  <si>
    <t>ga3532183@strnerud.ru', 'h3536083@yandex.ru', 'se3532183@strnerud.ru', 'se3536083@strnerud.ru'</t>
  </si>
  <si>
    <t>55.732051849,36.853809357</t>
  </si>
  <si>
    <t>ОБЩЕСТВО С ОГРАНИЧЕННОЙ ОТВЕТСТВЕННОСТЬЮ "НАШ ГОРОД"</t>
  </si>
  <si>
    <t xml:space="preserve"> "НАШ ГОРОД"</t>
  </si>
  <si>
    <t>5015005755</t>
  </si>
  <si>
    <t>МОСКОВСКАЯ ОБЛ.,Г ЗВЕНИГОРОД,УЛ ПОЧТОВАЯ, Д 8</t>
  </si>
  <si>
    <t>Широбоков Александр Михайлович</t>
  </si>
  <si>
    <t>+7 (495) 597-72-21'</t>
  </si>
  <si>
    <t>55.738933563,38.023399353</t>
  </si>
  <si>
    <t>ОБЩЕСТВО С ОГРАНИЧЕННОЙ ОТВЕТСТВЕННОСТЬЮ "КАПСТРОЙ"</t>
  </si>
  <si>
    <t xml:space="preserve"> "КАПСТРОЙ"</t>
  </si>
  <si>
    <t>5009092750</t>
  </si>
  <si>
    <t>МОСКОВСКАЯ ОБЛ.,Г ЖЕЛЕЗНОДОРОЖНЫЙ,УЛ КАЛИНИНА, 15..</t>
  </si>
  <si>
    <t>Садуллаев Шамиль Назимович</t>
  </si>
  <si>
    <t>55.752738953,49.20880127</t>
  </si>
  <si>
    <t>ОБЩЕСТВО С ОГРАНИЧЕННОЙ ОТВЕТСТВЕННОСТЬЮ "БСУ-2"</t>
  </si>
  <si>
    <t xml:space="preserve"> "БСУ-2"</t>
  </si>
  <si>
    <t>1655292606</t>
  </si>
  <si>
    <t>Г КАЗАНЬ,УЛ ЗОРГЕ Д 61А</t>
  </si>
  <si>
    <t>Марьин Петр Яковлевич</t>
  </si>
  <si>
    <t>+7 (843) 934-52-29'</t>
  </si>
  <si>
    <t>55.759506226,49.101566315</t>
  </si>
  <si>
    <t>ЗАКРЫТОЕ "КАЗМОНОЛИТСТРОЙ"</t>
  </si>
  <si>
    <t>1659041466</t>
  </si>
  <si>
    <t>Г КАЗАНЬ,УЛ МЕХОВЩИКОВ Д 86</t>
  </si>
  <si>
    <t>Эльфолей Лилия Атласовна</t>
  </si>
  <si>
    <t>+7 (843) 264-25-29', '+7 (987) 065-87-47'</t>
  </si>
  <si>
    <t>55.76210022,37.863895416</t>
  </si>
  <si>
    <t>ОБЩЕСТВО С ОГРАНИЧЕННОЙ ОТВЕТСТВЕННОСТЬЮ "КРАСНОГОРСКИЙ БЕТОННЫЙ ЗАВОД"</t>
  </si>
  <si>
    <t xml:space="preserve"> "КРАСНОГОРСКИЙ БЕТОННЫЙ ЗАВОД"</t>
  </si>
  <si>
    <t>5017098770</t>
  </si>
  <si>
    <t>МОСКОВСКАЯ ОБЛ.,Г РЕУТОВ,ПРОСП МИРА, Д 4</t>
  </si>
  <si>
    <t>Шаров Алексей Владимирович</t>
  </si>
  <si>
    <t>55.769420624,37.633907318</t>
  </si>
  <si>
    <t>7729343200</t>
  </si>
  <si>
    <t>Г МОСКВА,М ГОЛОВИН ПЕР, Д 3, СТ Р1</t>
  </si>
  <si>
    <t>Марченков Сергей Викторович</t>
  </si>
  <si>
    <t>+7 (495) 737-55-00'</t>
  </si>
  <si>
    <t>55.769849,49.134486</t>
  </si>
  <si>
    <t>ОБЩЕСТВО С ОГРАНИЧЕННОЙ ОТВЕТСТВЕННОСТЬЮ " СТРОЙ УЮТ ПЛЮС "</t>
  </si>
  <si>
    <t xml:space="preserve"> " СТРОЙ УЮТ ПЛЮС "</t>
  </si>
  <si>
    <t>1656031188</t>
  </si>
  <si>
    <t>Г КАЗАНЬ,УЛ ЭСПЕРАНТО Д 45А</t>
  </si>
  <si>
    <t>Четверкин Сергей Викторович</t>
  </si>
  <si>
    <t>+7 (843) 251-03-75', '+7 (966) 240-10-56'</t>
  </si>
  <si>
    <t>55.775827381656,37.645955298862</t>
  </si>
  <si>
    <t>ОБЩЕСТВО С ОГРАНИЧЕННОЙ ОТВЕТСТВЕННОСТЬЮ "БЕТОЛЮКС"</t>
  </si>
  <si>
    <t xml:space="preserve"> "БЕТОЛЮКС"</t>
  </si>
  <si>
    <t>7724930116</t>
  </si>
  <si>
    <t>Г МОСКВА,УЛ БОЛЬШАЯ СПАССКАЯ, Д 10/1</t>
  </si>
  <si>
    <t>Журило Анатолий Иосифович</t>
  </si>
  <si>
    <t>+7 (495) 755-62-82'</t>
  </si>
  <si>
    <t>info@betolux.org'</t>
  </si>
  <si>
    <t>55.77897644,37.596614838</t>
  </si>
  <si>
    <t>ОБЩЕСТВО С ОГРАНИЧЕННОЙ ОТВЕТСТВЕННОСТЬЮ "ВОСХОД СП"</t>
  </si>
  <si>
    <t xml:space="preserve"> "ВОСХОД СП"</t>
  </si>
  <si>
    <t>7733250533</t>
  </si>
  <si>
    <t>Г МОСКВА,ПЛ МИУССКАЯ, Д 9</t>
  </si>
  <si>
    <t>Моргунова Наталья Федоровна</t>
  </si>
  <si>
    <t>+7 (495) 214-61-14'</t>
  </si>
  <si>
    <t>55.78571701,49.125770569</t>
  </si>
  <si>
    <t>ОБЩЕСТВО С ОГРАНИЧЕННОЙ ОТВЕТСТВЕННОСТЬЮ"ПРОИЗВОДСТВЕННО-КОММЕРЧЕСКОЕ ПРЕДПРИЯТИЕ "БЕТОН-КОМПЛЕКТ"</t>
  </si>
  <si>
    <t>"ПРОИЗВОДСТВЕННО-КОММЕРЧЕСКОЕ ПРЕДПРИЯТИЕ "БЕТОН-КОМПЛЕКТ"</t>
  </si>
  <si>
    <t>1660243153</t>
  </si>
  <si>
    <t>Г КАЗАНЬ,УЛ ПЕТЕРБУРГСКАЯ Д 11</t>
  </si>
  <si>
    <t>Муфлиханов Искандер Ильдарович</t>
  </si>
  <si>
    <t>55.797286987,38.877861023</t>
  </si>
  <si>
    <t>ОБЩЕСТВО С ОГРАНИЧЕННОЙ ОТВЕТСТВЕННОСТЬЮ "НИКС-К"</t>
  </si>
  <si>
    <t xml:space="preserve"> "НИКС-К"</t>
  </si>
  <si>
    <t>5021012239</t>
  </si>
  <si>
    <t>http://niks-k.ru</t>
  </si>
  <si>
    <t>МОСКОВСКАЯ ОБЛ.,ПОДОЛЬСКИЙ Р-Н,С КРАСНАЯ ПАХРА,УЛ ЗАВОДСКАЯ, Д 25</t>
  </si>
  <si>
    <t>Никишин Сергей Владимирович</t>
  </si>
  <si>
    <t>55.803497314,37.806549072</t>
  </si>
  <si>
    <t xml:space="preserve"> "СТРОИТЕЛЬНЫЕ ТЕХНОЛОГИИ"</t>
  </si>
  <si>
    <t>7708256940</t>
  </si>
  <si>
    <t>Г МОСКВА,СИРЕНЕВЫЙ БУЛЬВ, Д 39</t>
  </si>
  <si>
    <t>Айрапетян Эдгар Цатурович</t>
  </si>
  <si>
    <t>+7 (495) 166-48-64'</t>
  </si>
  <si>
    <t>55.820323944,38.993255615</t>
  </si>
  <si>
    <t>ОБЩЕСТВО С ОГРАНИЧЕННОЙ ОТВЕТСТВЕННОСТЬЮ "ИНВЕСТСТРОЙБЕТОН"</t>
  </si>
  <si>
    <t xml:space="preserve"> "ИНВЕСТСТРОЙБЕТОН"</t>
  </si>
  <si>
    <t>5028032562</t>
  </si>
  <si>
    <t>МОСКОВСКАЯ ОБЛ.,Г ОРЕХОВО-ЗУЕВО,ПР БЕЛЯЦКОГО, Д 7,..</t>
  </si>
  <si>
    <t>Шапенков Сергей Анатольевич</t>
  </si>
  <si>
    <t>+7 (963) 711-42-46'</t>
  </si>
  <si>
    <t>55.825241089,37.418827057</t>
  </si>
  <si>
    <t>ОБЩЕСТВО С ОГРАНИЧЕННОЙ ОТВЕТСТВЕННОСТЬЮ "БЕТОННЫЙ ЗАВОД № 222"</t>
  </si>
  <si>
    <t xml:space="preserve"> "БЕТОННЫЙ ЗАВОД № 222"</t>
  </si>
  <si>
    <t>7714167174</t>
  </si>
  <si>
    <t>http://бетон-краснодар.рф</t>
  </si>
  <si>
    <t>Г МОСКВА,УЛ ЛЕТНАЯ, Д 98</t>
  </si>
  <si>
    <t>Губанов Виктор Серафимович</t>
  </si>
  <si>
    <t>+7 (495) 739-89-05'</t>
  </si>
  <si>
    <t>gagina@krost.net', 'golo@krost.net'</t>
  </si>
  <si>
    <t>55.831600189,48.661987305</t>
  </si>
  <si>
    <t>ОБЩЕСТВО С ОГРАНИЧЕННОЙ ОТВЕТСТВЕННОСТЬЮ "РБУ 24 КАЗАНЬ"</t>
  </si>
  <si>
    <t xml:space="preserve"> "РБУ 24 КАЗАНЬ"</t>
  </si>
  <si>
    <t>1658185962</t>
  </si>
  <si>
    <t>РЕСПУБЛИКА ТАТАРСТАН (ТАТАРСТАН),ЗЕЛЕНОДОЛЬСКИЙ Р-Н,РП ВАСИЛЬЕВО,УЛ ЛЕНИНА Д 38</t>
  </si>
  <si>
    <t>Носков Александр Владимирович</t>
  </si>
  <si>
    <t>+7 (917) 264-43-09'</t>
  </si>
  <si>
    <t>55.877140045,48.936157227</t>
  </si>
  <si>
    <t>ОБЩЕСТВО С ОГРАНИЧЕННОЙ ОТВЕТСТВЕННОСТЬЮ "ФОРТРЕСС-Д"</t>
  </si>
  <si>
    <t xml:space="preserve"> "ФОРТРЕСС-Д"</t>
  </si>
  <si>
    <t>1655344290</t>
  </si>
  <si>
    <t>Г КАЗАНЬ,УЛ АВТОСЕРВИСНАЯ Д 29</t>
  </si>
  <si>
    <t>Кадыров Динар Нурисламович</t>
  </si>
  <si>
    <t>+7 (965) 596-66-15'</t>
  </si>
  <si>
    <t>55.881252289,38.475662231</t>
  </si>
  <si>
    <t>ОБЩЕСТВО С ОГРАНИЧЕННОЙ ОТВЕТСТВЕННОСТЬЮ "БОГОРОДСКИЙ РАСТВОРО-БЕТОННЫЙ УЗЕЛ"</t>
  </si>
  <si>
    <t xml:space="preserve"> "БОГОРОДСКИЙ РАСТВОРО-БЕТОННЫЙ УЗЕЛ"</t>
  </si>
  <si>
    <t>5031050522</t>
  </si>
  <si>
    <t>http://bogorodskbeton.ru</t>
  </si>
  <si>
    <t>МОСКОВСКАЯ ОБЛ.,Г НОГИНСК,УЛ ИЛЬИЧА, Д 2, ЗДАНИЕ ЛЕСОПИЛЬНОГО ЦЕХА</t>
  </si>
  <si>
    <t>Щербаков Александр Динарьевич</t>
  </si>
  <si>
    <t>+7 (903) 681-07-29', '+7 (496) 515-25-04'</t>
  </si>
  <si>
    <t>55.8841362,37.633163452</t>
  </si>
  <si>
    <t>ОБЩЕСТВО С ОГРАНИЧЕННОЙ ОТВЕТСТВЕННОСТЬЮ "СТРОЙЦЕНТРОБЕТОН"</t>
  </si>
  <si>
    <t xml:space="preserve"> "СТРОЙЦЕНТРОБЕТОН"</t>
  </si>
  <si>
    <t>7715184013</t>
  </si>
  <si>
    <t>http://sz-beton.ru</t>
  </si>
  <si>
    <t>Г МОСКВА,УЛ ЧЕРМЯНСКАЯ, Д 1, СТР 1</t>
  </si>
  <si>
    <t>Мазаев Сергей Игоревич</t>
  </si>
  <si>
    <t>+7 (495) 592-21-52'</t>
  </si>
  <si>
    <t>niversalbeton@mail.ru', 'umiversalbeton@mail.ru', 'universalbeton@mail.ru', 'universalveton@mail.ru'</t>
  </si>
  <si>
    <t>55.88514328,37.622837067</t>
  </si>
  <si>
    <t>"АСФАЛЬТОБЕТОН-МЕДВЕДКОВО"</t>
  </si>
  <si>
    <t>7715009710</t>
  </si>
  <si>
    <t>Г МОСКВА,УЛ ЧЕРМЯНСКАЯ, Д 5</t>
  </si>
  <si>
    <t>Гочелашвили Муртаз Александрович</t>
  </si>
  <si>
    <t>+7 (495) 473-03-01', '+7 (495) 737-55-00', '+7 (495) 473-03-01'</t>
  </si>
  <si>
    <t>abzmed@eurocem.ru', 'poronkin@eurocem.ru', 'tvperepelova@eurocem.ru'</t>
  </si>
  <si>
    <t>55.901451111,37.793758392</t>
  </si>
  <si>
    <t>ОБЩЕСТВО С ОГРАНИЧЕННОЙ ОТВЕТСТВЕННОСТЬЮ "КОРОЛЁВСКАЯ НЕФТЕБАЗА"</t>
  </si>
  <si>
    <t xml:space="preserve"> "КОРОЛЁВСКАЯ НЕФТЕБАЗА"</t>
  </si>
  <si>
    <t>5018036342</t>
  </si>
  <si>
    <t>МОСКОВСКАЯ ОБЛ.,Г КОРОЛЕВ,ПР ЯРОСЛАВСКИЙ, СТР 1</t>
  </si>
  <si>
    <t>Сороченков Андрей Алексеевич</t>
  </si>
  <si>
    <t>55.908481598,37.989269257</t>
  </si>
  <si>
    <t>ОБЩЕСТВО С ОГРАНИЧЕННОЙ ОТВЕТСТВЕННОСТЬЮ "БЕТОН ТРАНС СЕРВИС"</t>
  </si>
  <si>
    <t xml:space="preserve"> "БЕТОН ТРАНС СЕРВИС"</t>
  </si>
  <si>
    <t>9715311152</t>
  </si>
  <si>
    <t>МОСКОВСКАЯ ОБЛ.,Г ЩЕЛКОВО,УЛ 8 МАРТА, Д 15,..</t>
  </si>
  <si>
    <t>Труфанов Александр Сергеевич</t>
  </si>
  <si>
    <t>+7 (915) 111-13-22'</t>
  </si>
  <si>
    <t>55.910209656,38.5041008</t>
  </si>
  <si>
    <t xml:space="preserve"> "БАЗА-БЕТОН"</t>
  </si>
  <si>
    <t>5031070409</t>
  </si>
  <si>
    <t>МОСКОВСКАЯ ОБЛ.,НОГИНСКИЙ Р-Н,Д ЖИЛИНО,ЗДАНИЕ СКЛАДА ООО "СЕЛЬХОЗХИМ-БОГОРОДСК"</t>
  </si>
  <si>
    <t>Смирнов Михаил Юрьевич</t>
  </si>
  <si>
    <t>+7 (496) 511-96-02', '+7 (916) 506-55-06'</t>
  </si>
  <si>
    <t>55.911247253,37.396595001</t>
  </si>
  <si>
    <t>ОБЩЕСТВО С ОГРАНИЧЕННОЙ ОТВЕТСТВЕННОСТЬЮ "СТРОЙБЕТОНМОНОЛИТ"</t>
  </si>
  <si>
    <t xml:space="preserve"> "СТРОЙБЕТОНМОНОЛИТ"</t>
  </si>
  <si>
    <t>5047050341</t>
  </si>
  <si>
    <t>http://sbmonolit.ru</t>
  </si>
  <si>
    <t>МОСКОВСКАЯ ОБЛ.,Г ХИМКИ</t>
  </si>
  <si>
    <t>Лундышев Василий Юрьевич</t>
  </si>
  <si>
    <t>sbm4@yandex.ru'</t>
  </si>
  <si>
    <t>55.913387299,37.52947998</t>
  </si>
  <si>
    <t>ЗАКРЫТОЕ "БЕТАС"</t>
  </si>
  <si>
    <t>5008019806</t>
  </si>
  <si>
    <t>http://betas.su</t>
  </si>
  <si>
    <t>МОСКОВСКАЯ ОБЛ.,Г ДОЛГОПРУДНЫЙ,ПРОЕЗД СТРОИТЕЛЕЙ, Д 1</t>
  </si>
  <si>
    <t xml:space="preserve"> Конкурсный Управляющий Замошников Игорь Анатольевич</t>
  </si>
  <si>
    <t>+7 (495) 485-47-21', '+7 (985) 687-61-47'</t>
  </si>
  <si>
    <t>tvbetas@mail.ru'</t>
  </si>
  <si>
    <t>55.916633606,49.151817322</t>
  </si>
  <si>
    <t xml:space="preserve"> "ПЕРВЫЙ БЕТОННЫЙ"</t>
  </si>
  <si>
    <t>3123358000</t>
  </si>
  <si>
    <t>БЕЛГОРОДСКАЯ ОБЛ.,АЛЕКСЕЕВСКИЙ Р-Н,С ЩЕРБАКОВО</t>
  </si>
  <si>
    <t>Шевченко Светлана Алексеевна</t>
  </si>
  <si>
    <t>+7 (909) 208-80-32'</t>
  </si>
  <si>
    <t>55.920955658,37.819709778</t>
  </si>
  <si>
    <t>ОБЩЕСТВО С ОГРАНИЧЕННОЙ ОТВЕТСТВЕННОСТЬЮ "ТЕХНОРЕЗЕРВ"</t>
  </si>
  <si>
    <t xml:space="preserve"> "ТЕХНОРЕЗЕРВ"</t>
  </si>
  <si>
    <t>5018090050</t>
  </si>
  <si>
    <t>МОСКОВСКАЯ ОБЛ.,Г КОРОЛЕВ,УЛ ЦИОЛКОВСКОГО, Д 17/21,..</t>
  </si>
  <si>
    <t>Тетерин Николай Алексеевич</t>
  </si>
  <si>
    <t>+7 (495) 512-33-39'</t>
  </si>
  <si>
    <t>55.924160004,37.820098877</t>
  </si>
  <si>
    <t>ОБЩЕСТВО С ОГРАНИЧЕННОЙ ОТВЕТСТВЕННОСТЬЮ "ЕАС АСФАЛЬТ + БЕТОН"</t>
  </si>
  <si>
    <t xml:space="preserve"> "ЕАС АСФАЛЬТ + БЕТОН"</t>
  </si>
  <si>
    <t>5044093097</t>
  </si>
  <si>
    <t>МОСКОВСКАЯ ОБЛ.,Г КОРОЛЕВ,УЛ КАРЛА МАРКСА, Д 3</t>
  </si>
  <si>
    <t>Исраелян Пайлак Сурикович</t>
  </si>
  <si>
    <t>+7 (985) 200-24-02', '+7 (915) 073-04-12'</t>
  </si>
  <si>
    <t>Kulinich@easbeton.ru'</t>
  </si>
  <si>
    <t>55.953323364,49.498054504</t>
  </si>
  <si>
    <t>ОБЩЕСТВО С ОГРАНИЧЕННОЙ ОТВЕТСТВЕННОСТЬЮ "ПСК "СТРОЙБЕТОНСЕРВИС"</t>
  </si>
  <si>
    <t xml:space="preserve"> "ПСК "СТРОЙБЕТОНСЕРВИС"</t>
  </si>
  <si>
    <t>1658183690</t>
  </si>
  <si>
    <t>РЕСПУБЛИКА ТАТАРСТАН (ТАТАРСТАН),ВЫСОКОГОРСКИЙ Р-Н,С ШАПШИ</t>
  </si>
  <si>
    <t>Гарипов Фархат Габдрахманович</t>
  </si>
  <si>
    <t>55.960956573,37.92307663</t>
  </si>
  <si>
    <t xml:space="preserve"> "НОВЫЕ СТРОИТЕЛЬНЫЕ ТЕХНОЛОГИИ"</t>
  </si>
  <si>
    <t>5016015837</t>
  </si>
  <si>
    <t>МОСКОВСКАЯ ОБЛ.,Г ИВАНТЕЕВКА,УЛ ТОЛМАЧЕВА, Д 27</t>
  </si>
  <si>
    <t>Васильев Андрей Георгиевич</t>
  </si>
  <si>
    <t>5433333@mail.ru'</t>
  </si>
  <si>
    <t>55.968959808,37.913463593</t>
  </si>
  <si>
    <t>ОБЩЕСТВО С ОГРАНИЧЕННОЙ ОТВЕТСТВЕННОСТЬЮ "ТУБЕТОН"</t>
  </si>
  <si>
    <t xml:space="preserve"> "ТУБЕТОН"</t>
  </si>
  <si>
    <t>5075024939</t>
  </si>
  <si>
    <t>МОСКОВСКАЯ ОБЛ.,Г ИВАНТЕЕВКА,УЛ НОВАЯ СЛОБОДА, Д 9</t>
  </si>
  <si>
    <t>Воронин Андрей Васильевич</t>
  </si>
  <si>
    <t>+7 (903) 130-76-02', '+7 (985) 167-43-43'</t>
  </si>
  <si>
    <t>55.96934407037,36.54713395531</t>
  </si>
  <si>
    <t>ОБЩЕСТВО С ОГРАНИЧЕННОЙ ОТВЕТСТВЕННОСТЬЮ "ТРАНСДОРГРУПП"</t>
  </si>
  <si>
    <t xml:space="preserve"> "ТРАНСДОРГРУПП"</t>
  </si>
  <si>
    <t>7743046992</t>
  </si>
  <si>
    <t>МОСКОВСКАЯ ОБЛ.,ИСТРИНСКИЙ Р-Н,П РУМЯНЦЕВО,ВОЛОКОЛАМСКОЕ ШОССЕ, Д 120</t>
  </si>
  <si>
    <t>Шелковин Александр Викторович</t>
  </si>
  <si>
    <t>+7 (495) 992-37-52'</t>
  </si>
  <si>
    <t>55.982635498,92.926483154</t>
  </si>
  <si>
    <t>ОБЩЕСТВО С ОГРАНИЧЕННОЙ ОТВЕТСТВЕННОСТЬЮ "ЦЕМА"</t>
  </si>
  <si>
    <t xml:space="preserve"> "ЦЕМА"</t>
  </si>
  <si>
    <t>2450018210</t>
  </si>
  <si>
    <t>Г КРАСНОЯРСК,УЛ МУСОРГСКОГО Д 12</t>
  </si>
  <si>
    <t>Путинцев Юрий Ипадьевич</t>
  </si>
  <si>
    <t>56.015808394186,92.880690932684</t>
  </si>
  <si>
    <t>2464052570</t>
  </si>
  <si>
    <t>Г КРАСНОЯРСК,УЛ ПАРИЖСКОЙ КОММУНЫ Д 33 ОФ 810</t>
  </si>
  <si>
    <t>Крюков Игорь Владимирович</t>
  </si>
  <si>
    <t>aleshkina_m@villagio.ru', 'anisimov_s@villagio.ru'</t>
  </si>
  <si>
    <t>56.017505646,37.470542908</t>
  </si>
  <si>
    <t>ОБЩЕСТВО С ОГРАНИЧЕННОЙ ОТВЕТСТВЕННОСТЬЮ "ГРАНИТСТРОЙ"</t>
  </si>
  <si>
    <t xml:space="preserve"> "ГРАНИТСТРОЙ"</t>
  </si>
  <si>
    <t>5025021354</t>
  </si>
  <si>
    <t>http://mosgbi.ru</t>
  </si>
  <si>
    <t>МОСКОВСКАЯ ОБЛ.,Г ЛОБНЯ,БУКИНСКОЕ ШОССЕ, Д 27</t>
  </si>
  <si>
    <t>Сиромолот Сергей Викторович</t>
  </si>
  <si>
    <t>+7 (495) 773-54-64', '+7 (495) 737-55-00'</t>
  </si>
  <si>
    <t>56.0753479,47.2146492</t>
  </si>
  <si>
    <t>ОБЩЕСТВО С ОГРАНИЧЕННОЙ ОТВЕТСТВЕННОСТЬЮ "ПРОДТОРГСЕРВИС"</t>
  </si>
  <si>
    <t xml:space="preserve"> "ПРОДТОРГСЕРВИС"</t>
  </si>
  <si>
    <t>2127310913</t>
  </si>
  <si>
    <t>Г ЧЕБОКСАРЫ,ИШЛЕЙСКИЙ ПРОЕЗД, 13</t>
  </si>
  <si>
    <t>Мешков Алексей Владимирович</t>
  </si>
  <si>
    <t>PRODTORGSERVIS21@MAIL.RU', 'prodtorgservis21@mail.ru'</t>
  </si>
  <si>
    <t>56.075389862,92.993888855</t>
  </si>
  <si>
    <t>ОБЩЕСТВО С ОГРАНИЧЕННОЙ ОТВЕТСТВЕННОСТЬЮ "БЕТОН-ГАРАНТ"</t>
  </si>
  <si>
    <t xml:space="preserve"> "БЕТОН-ГАРАНТ"</t>
  </si>
  <si>
    <t>2462044623</t>
  </si>
  <si>
    <t>Г КРАСНОЯРСК,УЛ ПРОМБАЗА</t>
  </si>
  <si>
    <t>Алексеев Николай Николаевич</t>
  </si>
  <si>
    <t>+7 (913) 537-48-57'</t>
  </si>
  <si>
    <t>56.092658997,47.50327301</t>
  </si>
  <si>
    <t>ОБЩЕСТВО С ОГРАНИЧЕННОЙ ОТВЕТСТВЕННОСТЬЮ "МАРКА"</t>
  </si>
  <si>
    <t xml:space="preserve"> "МАРКА"</t>
  </si>
  <si>
    <t>2124019086</t>
  </si>
  <si>
    <t>ЧУВАШСКАЯ РЕСПУБЛИКА - ЧУВАШИЯ,Г НОВОЧЕБОКСАРСК,УЛ ПРОМЫШЛЕННАЯ, Д 73</t>
  </si>
  <si>
    <t>Россев Никита Валерьевич</t>
  </si>
  <si>
    <t>+7 (909) 305-01-40'</t>
  </si>
  <si>
    <t>56.097412,47.280301</t>
  </si>
  <si>
    <t xml:space="preserve"> "БЕТОН ПЛЮС"</t>
  </si>
  <si>
    <t>2130151131</t>
  </si>
  <si>
    <t>Г ЧЕБОКСАРЫ,ПРОСП 9-ОЙ ПЯТИЛЕТКИ, 15-77</t>
  </si>
  <si>
    <t>Величаев Анатолий Геннадьевич</t>
  </si>
  <si>
    <t>+7 (903) 345-88-14'</t>
  </si>
  <si>
    <t>56.113559723,94.589279175</t>
  </si>
  <si>
    <t>ОБЩЕСТВО С ОГРАНИЧЕННОЙ ОТВЕТСТВЕННОСТЬЮ "КРАСБЕТОН"</t>
  </si>
  <si>
    <t xml:space="preserve"> "КРАСБЕТОН"</t>
  </si>
  <si>
    <t>2465298680</t>
  </si>
  <si>
    <t>http://krasbeton.ru</t>
  </si>
  <si>
    <t>КРАСНОЯРСКИЙ КРАЙ,Г ЗЕЛЕНОГОРСК,ГРЭС-2</t>
  </si>
  <si>
    <t>Концевик Евгений Эдуардович</t>
  </si>
  <si>
    <t>56.115947723,38.875347137</t>
  </si>
  <si>
    <t xml:space="preserve"> "АТЛАНТ"</t>
  </si>
  <si>
    <t>3316011967</t>
  </si>
  <si>
    <t>ВЛАДИМИРСКАЯ ОБЛ.,Г КИРЖАЧ,П КРАСНЫЙ ОКТЯБРЬ,УЛ СВЕРДЛОВА,2</t>
  </si>
  <si>
    <t>56.11876297,38.145427704</t>
  </si>
  <si>
    <t>ОБЩЕСТВО С ОГРАНИЧЕННОЙ ОТВЕТСТВЕННОСТЬЮ "КРАСНОАРМЕЙСКИЙ БЕТОННЫЙ ЗАВОД"</t>
  </si>
  <si>
    <t xml:space="preserve"> "КРАСНОАРМЕЙСКИЙ БЕТОННЫЙ ЗАВОД"</t>
  </si>
  <si>
    <t>5023006914</t>
  </si>
  <si>
    <t>МОСКОВСКАЯ ОБЛ.,Г КРАСНОАРМЕЙСК,ПОС УКСА</t>
  </si>
  <si>
    <t>Болтовский Игорь Владимирович</t>
  </si>
  <si>
    <t>56.146011353,101.616874695</t>
  </si>
  <si>
    <t>ОБЩЕСТВО С ОГРАНИЧЕННОЙ ОТВЕТСТВЕННОСТЬЮ "ТАНТЬЕМА"</t>
  </si>
  <si>
    <t xml:space="preserve"> "ТАНТЬЕМА"</t>
  </si>
  <si>
    <t>3804999927</t>
  </si>
  <si>
    <t>ИРКУТСКАЯ ОБЛ.,Г БРАТСК,УЛ ЮЖНАЯ Д 20</t>
  </si>
  <si>
    <t>Павлив Владимир Ильич</t>
  </si>
  <si>
    <t>56.152118683,40.396003723</t>
  </si>
  <si>
    <t>ОБЩЕСТВО С ОГРАНИЧЕННОЙ ОТВЕТСТВЕННОСТЬЮ "МЕГА - СТРОЙ"</t>
  </si>
  <si>
    <t xml:space="preserve"> "МЕГА - СТРОЙ"</t>
  </si>
  <si>
    <t>3328436883</t>
  </si>
  <si>
    <t>Г ВЛАДИМИР,ПРОМЫШЛЕННЫЙ ПРОЕЗД,5А,ОФИС 616</t>
  </si>
  <si>
    <t>Смирнов Алексей Евгеньевич</t>
  </si>
  <si>
    <t>56.228271484,30.533630371</t>
  </si>
  <si>
    <t>ОБЩЕСТВО С ОГРАНИЧЕННОЙ ОТВЕТСТВЕННОСТЬЮ "БЕТОН12"</t>
  </si>
  <si>
    <t xml:space="preserve"> "БЕТОН12"</t>
  </si>
  <si>
    <t>1215203242</t>
  </si>
  <si>
    <t>РЕСПУБЛИКА МАРИЙ ЭЛ,ГОРНОМАРИЙСКИЙ Р-Н,С КУЗНЕЦОВО</t>
  </si>
  <si>
    <t>Красильников Ярослав Феликсович</t>
  </si>
  <si>
    <t>56.246756732579,90.496027996063</t>
  </si>
  <si>
    <t>ОБЩЕСТВО С ОГРАНИЧЕННОЙ ОТВЕТСТВЕННОСТЬЮ "ДИАНА"</t>
  </si>
  <si>
    <t xml:space="preserve"> "ДИАНА"</t>
  </si>
  <si>
    <t>2443011580</t>
  </si>
  <si>
    <t>КРАСНОЯРСКИЙ КРАЙ,Г АЧИНСК,УЛ МАНКЕВИЧА КОРП 37-А</t>
  </si>
  <si>
    <t>Арутюнян Корюн Исраели</t>
  </si>
  <si>
    <t>56.25056839,43.862285614</t>
  </si>
  <si>
    <t>ОБЩЕСТВО С ОГРАНИЧЕННОЙ ОТВЕТСТВЕННОСТЬЮ "ПОРТ РЕВЯК"</t>
  </si>
  <si>
    <t xml:space="preserve"> "ПОРТ РЕВЯК"</t>
  </si>
  <si>
    <t>5256036510</t>
  </si>
  <si>
    <t>http://abc52.ru</t>
  </si>
  <si>
    <t>Г НИЖНИЙ НОВГОРОД,УЛ ЛОСКУТОВА Д 16..</t>
  </si>
  <si>
    <t>Шебалкин Дмитрий Николаевич</t>
  </si>
  <si>
    <t>+7 (831) 466-95-92', '+7 (831) 466-95-81'</t>
  </si>
  <si>
    <t>56.252513885,43.397888184</t>
  </si>
  <si>
    <t xml:space="preserve"> "ПОИСК"</t>
  </si>
  <si>
    <t>5249009402</t>
  </si>
  <si>
    <t>НИЖЕГОРОДСКАЯ ОБЛ.,Г ДЗЕРЖИНСК,УЛ ЛЕРМОНТОВА Д 2</t>
  </si>
  <si>
    <t>Новожилов Владимир Алексеевич</t>
  </si>
  <si>
    <t>+7 (962) 507-04-99'</t>
  </si>
  <si>
    <t>56.296966553,44.107952118</t>
  </si>
  <si>
    <t>ОБЩЕСТВО С ОГРАНИЧЕННОЙ ОТВЕТСТВЕННОСТЬЮ "БЕТОННЫЙ ЗАВОД "ВЕКТОР"</t>
  </si>
  <si>
    <t xml:space="preserve"> "БЕТОННЫЙ ЗАВОД "ВЕКТОР"</t>
  </si>
  <si>
    <t>5260147477</t>
  </si>
  <si>
    <t>Г НИЖНИЙ НОВГОРОД,НАБ ГРЕБНОГО КАНАЛА Д 6</t>
  </si>
  <si>
    <t>Штокман Михаил Олегович</t>
  </si>
  <si>
    <t>+7 (831) 431-38-34', '+7 (831) 272-71-00'</t>
  </si>
  <si>
    <t>vektor_nn@list.ru'</t>
  </si>
  <si>
    <t>56.299357701232,39.374787872366</t>
  </si>
  <si>
    <t>ОБЩЕСТВО С ОГРАНИЧЕННОЙ ОТВЕТСТВЕННОСТЬЮ "БЕТСТРОЙ"</t>
  </si>
  <si>
    <t xml:space="preserve"> "БЕТСТРОЙ"</t>
  </si>
  <si>
    <t>3306011090</t>
  </si>
  <si>
    <t>ВЛАДИМИРСКАЯ ОБЛ.,Г КОЛЬЧУГИНО,УЛ ДРУЖБА,6А..</t>
  </si>
  <si>
    <t>Лавров Алексей Станиславович</t>
  </si>
  <si>
    <t>56.300113678,38.177085876</t>
  </si>
  <si>
    <t>ОБЩЕСТВО С ОГРАНИЧЕННОЙ ОТВЕТСТВЕННОСТЬЮ "СП КАПИТАЛСТРОЙ"</t>
  </si>
  <si>
    <t xml:space="preserve"> "СП КАПИТАЛСТРОЙ"</t>
  </si>
  <si>
    <t>5042076748</t>
  </si>
  <si>
    <t>МОСКОВСКАЯ ОБЛ.,Г СЕРГИЕВ ПОСАД,УЛ МИРА, Д 2,..</t>
  </si>
  <si>
    <t>Москвин Вячеслав Николаевич</t>
  </si>
  <si>
    <t>+7 (496) 547-78-20', '+7 (985) 029-28-57'</t>
  </si>
  <si>
    <t>56.306861877,44.058029175</t>
  </si>
  <si>
    <t>ОБЩЕСТВО С ОГРАНИЧЕННОЙ ОТВЕТСТВЕННОСТЬЮ ФИРМА "БИПЛАН"</t>
  </si>
  <si>
    <t xml:space="preserve"> ФИРМА "БИПЛАН"</t>
  </si>
  <si>
    <t>5257036858</t>
  </si>
  <si>
    <t>Г НИЖНИЙ НОВГОРОД,УЛ ДЕЛОВАЯ Д 4</t>
  </si>
  <si>
    <t>Балыкин Анатолий Геннадьевич</t>
  </si>
  <si>
    <t>+7 (831) 278-91-06', '+7 (831) 278-91-04', '+7 (831) 278-91-04', '+7 (831) 278-91-05'</t>
  </si>
  <si>
    <t>info@biplan.nnov', 'tanyapohta29@mail.ru'</t>
  </si>
  <si>
    <t>56.33246994,37.509719849</t>
  </si>
  <si>
    <t>ОБЩЕСТВО С ОГРАНИЧЕННОЙ ОТВЕТСТВЕННОСТЬЮ "СТРОЙГРАДБЕТОН"</t>
  </si>
  <si>
    <t xml:space="preserve"> "СТРОЙГРАДБЕТОН"</t>
  </si>
  <si>
    <t>5038102120</t>
  </si>
  <si>
    <t>http://2211555.ru</t>
  </si>
  <si>
    <t>МОСКОВСКАЯ ОБЛ.,Г ДМИТРОВ,П КАНАЛСТРОЙ</t>
  </si>
  <si>
    <t>Никифоров Виталий Валерьевич</t>
  </si>
  <si>
    <t>+7 (495) 504-37-31'</t>
  </si>
  <si>
    <t>56.417934418,58.529460907</t>
  </si>
  <si>
    <t xml:space="preserve"> "ПЕРСПЕКТИВА"</t>
  </si>
  <si>
    <t>6679076603</t>
  </si>
  <si>
    <t>СВЕРДЛОВСКАЯ ОБЛ.,PП АРТИ,УЛ Р МОЛОДЕЖИ Д 64</t>
  </si>
  <si>
    <t>Шарапов Алексей Павлович</t>
  </si>
  <si>
    <t>+7 (902) 270-97-16'</t>
  </si>
  <si>
    <t>56.433077094347,61.919448171705</t>
  </si>
  <si>
    <t>ОБЩЕСТВО С ОГРАНИЧЕННОЙ ОТВЕТСТВЕННОСТЬЮ "СИНАРСКИЙ ЗАВОД СТРОИТЕЛЬНЫХ МАТЕРИАЛОВ"</t>
  </si>
  <si>
    <t xml:space="preserve"> "СИНАРСКИЙ ЗАВОД СТРОИТЕЛЬНЫХ МАТЕРИАЛОВ"</t>
  </si>
  <si>
    <t>6612011874</t>
  </si>
  <si>
    <t>СВЕРДЛОВСКАЯ ОБЛ.,Г КАМЕНСК-УРАЛЬСКИЙ,ПР ЗАВОДСКОЙ, Д 13</t>
  </si>
  <si>
    <t>Вознюк Вячеслав Петрович</t>
  </si>
  <si>
    <t>ekon@szsm.su', 'szsm66@yandex.ru', 'szsm66@mail.ru'</t>
  </si>
  <si>
    <t>56.462425232,84.984321594</t>
  </si>
  <si>
    <t>ОБЩЕСТВО С ОГРАНИЧЕННОЙ ОТВЕТСТВЕННОСТЬЮ "АСФАЛЬТОБЕТОННЫЙ ЗАВОД № 7"</t>
  </si>
  <si>
    <t xml:space="preserve"> "АСФАЛЬТОБЕТОННЫЙ ЗАВОД № 7"</t>
  </si>
  <si>
    <t>7017132199</t>
  </si>
  <si>
    <t>Г ТОМСК,УЛ УСОВА, Д 66</t>
  </si>
  <si>
    <t>Мамедов Акиф Икметулла Оглы</t>
  </si>
  <si>
    <t>56.486171722,84.948242188</t>
  </si>
  <si>
    <t>ОБЩЕСТВО С ОГРАНИЧЕННОЙ ОТВЕТСТВЕННОСТЬЮ "ИТМК"</t>
  </si>
  <si>
    <t xml:space="preserve"> "ИТМК"</t>
  </si>
  <si>
    <t>3665099080</t>
  </si>
  <si>
    <t xml:space="preserve">  ПЛ ЛЕНИНА Д 8</t>
  </si>
  <si>
    <t>Клюнк Иван Иванович</t>
  </si>
  <si>
    <t>+7 (473) 228-49-28'</t>
  </si>
  <si>
    <t>56.49319458,43.833026886</t>
  </si>
  <si>
    <t>ОБЩЕСТВО С ОГРАНИЧЕННОЙ ОТВЕТСТВЕННОСТЬЮ "СТРОЙТЕКС"</t>
  </si>
  <si>
    <t xml:space="preserve"> "СТРОЙТЕКС"</t>
  </si>
  <si>
    <t>4632133838</t>
  </si>
  <si>
    <t>КУРСКАЯ ОБЛ.,РЫЛЬСКИЙ Р-Н,Х АЛЕКСАНДРОВКА</t>
  </si>
  <si>
    <t>Рагулин Игорь Алексеевич</t>
  </si>
  <si>
    <t>56.546451569,51.806526184</t>
  </si>
  <si>
    <t>ОБЩЕСТВО С ОГРАНИЧЕННОЙ ОТВЕТСТВЕННОСТЬЮ СТРОИТЕЛЬНАЯ КОМПАНИЯ "ИЖПРОМСТРОЙ"</t>
  </si>
  <si>
    <t xml:space="preserve"> СТРОИТЕЛЬНАЯ КОМПАНИЯ "ИЖПРОМСТРОЙ"</t>
  </si>
  <si>
    <t>1831165902</t>
  </si>
  <si>
    <t>УДМУРТСКАЯ РЕСПУБЛИКА,ВАВОЖСКИЙ Р-Н,Д СТАРОЕ ЖУЕ</t>
  </si>
  <si>
    <t>Кочнев Антон Сергеевич</t>
  </si>
  <si>
    <t>56.616592407,47.830173492</t>
  </si>
  <si>
    <t>ОБЩЕСТВО С ОГРАНИЧЕННОЙ ОТВЕТСТВЕННОСТЬЮ "УМИТ"</t>
  </si>
  <si>
    <t xml:space="preserve"> "УМИТ"</t>
  </si>
  <si>
    <t>1215082823</t>
  </si>
  <si>
    <t>Г ЙОШКАР-ОЛА,УЛ КРЫЛОВА, 55</t>
  </si>
  <si>
    <t>Коган Алексей Борисович</t>
  </si>
  <si>
    <t>+7 (902) 325-02-63'</t>
  </si>
  <si>
    <t>56.63151701249,47.890907834894</t>
  </si>
  <si>
    <t>ОБЩЕСТВО С ОГРАНИЧЕННОЙ ОТВЕТСТВЕННОСТЬЮ "ССМ"</t>
  </si>
  <si>
    <t xml:space="preserve"> "ССМ"</t>
  </si>
  <si>
    <t>1215186685</t>
  </si>
  <si>
    <t>Г ЙОШКАР-ОЛА,ПР ЛЕНИНА, 68</t>
  </si>
  <si>
    <t>Исаков Олег Николаевич</t>
  </si>
  <si>
    <t>56.671821594,36.296642303</t>
  </si>
  <si>
    <t xml:space="preserve"> "СПК"</t>
  </si>
  <si>
    <t>4712026158</t>
  </si>
  <si>
    <t xml:space="preserve"> УЛ.ГАГАРИНА, Д.4,..</t>
  </si>
  <si>
    <t>Флегантов Александр Сергеевич</t>
  </si>
  <si>
    <t>56.694027155961,60.516122365611</t>
  </si>
  <si>
    <t xml:space="preserve"> "БЕТОНСТРОЙКОМПЛЕКС"</t>
  </si>
  <si>
    <t>6679078537</t>
  </si>
  <si>
    <t>Г ЕКАТЕРИНБУРГ,УЛ ГАГАРИНА Д 30 "А" КОМ 20</t>
  </si>
  <si>
    <t>Голубев Глеб Валерьевич</t>
  </si>
  <si>
    <t>+7 (912) 241-11-34', '+7 (922) 157-29-23'</t>
  </si>
  <si>
    <t>56.742752075,37.229827881</t>
  </si>
  <si>
    <t>ОБЩЕСТВО С ОГРАНИЧЕННОЙ ОТВЕТСТВЕННОСТЬЮ "РАСТВОРНО-БЕТОННЫЙ ЗАВОД № 1"</t>
  </si>
  <si>
    <t xml:space="preserve"> "РАСТВОРНО-БЕТОННЫЙ ЗАВОД № 1"</t>
  </si>
  <si>
    <t>5010026920</t>
  </si>
  <si>
    <t>http://rbz1.ru</t>
  </si>
  <si>
    <t>МОСКОВСКАЯ ОБЛ.,Г ДУБНА,УЛ УНИВЕРСИТЕТСКАЯ, Д 9</t>
  </si>
  <si>
    <t>Каменский Владислав Юрьевич</t>
  </si>
  <si>
    <t>56.753726959,38.875392914</t>
  </si>
  <si>
    <t>ОБЩЕСТВО С ОГРАНИЧЕННОЙ ОТВЕТСТВЕННОСТЬЮ "Строитель"</t>
  </si>
  <si>
    <t xml:space="preserve"> "Строитель"</t>
  </si>
  <si>
    <t>7622002969</t>
  </si>
  <si>
    <t>ЯРОСЛАВСКАЯ ОБЛ.,Г ПЕРЕСЛАВЛЬ-ЗАЛЕССКИЙ,УЛ 50 ЛЕТ КОМСОМОЛА, Д 16</t>
  </si>
  <si>
    <t>Аветисян Эдвард Агванович</t>
  </si>
  <si>
    <t>5599@OOO-STROITEL', 'glavbuh@ooo-stroitel'</t>
  </si>
  <si>
    <t>56.758617401,61.366565704</t>
  </si>
  <si>
    <t>ЗАКРЫТОЕ "ПРОИЗВОДСТВЕННАЯ ФИРМА"ИНЛЕСКО"</t>
  </si>
  <si>
    <t>6639005564</t>
  </si>
  <si>
    <t>СВЕРДЛОВСКАЯ ОБЛ.,PП БЕЛОЯРСКИЙ,УЛ ФАБРИЧНАЯ, Д 69, А</t>
  </si>
  <si>
    <t>Завьялов Илья Витальевич</t>
  </si>
  <si>
    <t>+7 (906) 808-33-44', '+7 (922) 178-41-10', '+7 (922) 209-61-50'</t>
  </si>
  <si>
    <t>56.762844086,54.162372589</t>
  </si>
  <si>
    <t>Общество с ограниченной ответственностью "КАМА-БЕТОН"</t>
  </si>
  <si>
    <t xml:space="preserve"> "КАМА-БЕТОН"</t>
  </si>
  <si>
    <t>5920042106</t>
  </si>
  <si>
    <t>ПЕРМСКИЙ КРАЙ,Г ЧАЙКОВСКИЙ,УЛ ЛЕНИНА 83/А</t>
  </si>
  <si>
    <t xml:space="preserve"> Директор Бабушкин Денис Александрович</t>
  </si>
  <si>
    <t>+7 (912) 886-62-91'</t>
  </si>
  <si>
    <t>56.793186188,44.49842453</t>
  </si>
  <si>
    <t>ОБЩЕСТВО С ОГРАНИЧЕННОЙ ОТВЕТСТВЕННОСТЬЮ "СЕМЕНОВСКИЙ БЕТОН"</t>
  </si>
  <si>
    <t xml:space="preserve"> "СЕМЕНОВСКИЙ БЕТОН"</t>
  </si>
  <si>
    <t>5228054531</t>
  </si>
  <si>
    <t>НИЖЕГОРОДСКАЯ ОБЛ.,Г СЕМЕНОВ,УЛ 50 ЛЕТ ОКТЯБРЯ Д 23 А</t>
  </si>
  <si>
    <t>Огневой Евгений Николаевич</t>
  </si>
  <si>
    <t>56.81760788,53.179431915</t>
  </si>
  <si>
    <t>ОБЩЕСТВО С ОГРАНИЧЕННОЙ ОТВЕТСТВЕННОСТЬЮ "УВАСТРОЙ"</t>
  </si>
  <si>
    <t xml:space="preserve"> "УВАСТРОЙ"</t>
  </si>
  <si>
    <t>1835055530</t>
  </si>
  <si>
    <t>Г ИЖЕВСК,УЛ ШКОЛЬНАЯ,1-А</t>
  </si>
  <si>
    <t>Трефилов Денис Владимирович</t>
  </si>
  <si>
    <t>+7 (919) 908-22-19'</t>
  </si>
  <si>
    <t>56.818553925,60.560214996</t>
  </si>
  <si>
    <t>ОБЩЕСТВО С ОГРАНИЧЕННОЙ ОТВЕТСТВЕННОСТЬЮ "СТРОЙРЕГИОН-ТРЕЙД ЕК"</t>
  </si>
  <si>
    <t xml:space="preserve"> "СТРОЙРЕГИОН-ТРЕЙД ЕК"</t>
  </si>
  <si>
    <t>6658176928</t>
  </si>
  <si>
    <t>Г ЕКАТЕРИНБУРГ,УЛ ШАУМЯНА, Д 104, КОМ 39</t>
  </si>
  <si>
    <t>Пономарев Андрей Викторович</t>
  </si>
  <si>
    <t>+7 (343) 216-96-88', '+7 (343) 216-96-80'</t>
  </si>
  <si>
    <t>56.820344113195,60.633633043912</t>
  </si>
  <si>
    <t>ОБЩЕСТВО С ОГРАНИЧЕННОЙ ОТВЕТСТВЕННОСТЬЮ "БЕТОН ГОСТ"</t>
  </si>
  <si>
    <t xml:space="preserve"> "БЕТОН ГОСТ"</t>
  </si>
  <si>
    <t>6671022187</t>
  </si>
  <si>
    <t>Г ЕКАТЕРИНБУРГ,УЛ БОЛЬШАКОВА 13 44</t>
  </si>
  <si>
    <t>Цибулин Иван Дмитриевич</t>
  </si>
  <si>
    <t>+7 (963) 854-74-68', '+7 (343) 344-88-50', '+7 (343) 207-04-20'</t>
  </si>
  <si>
    <t>56.837932587,60.66506958</t>
  </si>
  <si>
    <t>ОБЩЕСТВО С ОГРАНИЧЕННОЙ ОТВЕТСТВЕННОСТЬЮ ПРОИЗВОДСТВЕННОЕ ПРЕДПРИЯТИЕ "АРСЕНАЛ"</t>
  </si>
  <si>
    <t xml:space="preserve"> ПРОИЗВОДСТВЕННОЕ ПРЕДПРИЯТИЕ "АРСЕНАЛ"</t>
  </si>
  <si>
    <t>6684023029</t>
  </si>
  <si>
    <t>Г ЕКАТЕРИНБУРГ,УЛ СТУДЕНЧЕСКАЯ Д 51</t>
  </si>
  <si>
    <t>Денисов Андрей Евгеньевич</t>
  </si>
  <si>
    <t>+7 (909) 009-99-92'</t>
  </si>
  <si>
    <t>56.840923309,35.843101501</t>
  </si>
  <si>
    <t xml:space="preserve"> "БЕТОН МАРКЕТ"</t>
  </si>
  <si>
    <t>6950171301</t>
  </si>
  <si>
    <t>Г ТВЕРЬ,УЛ СТРОИТЕЛЕЙ Д 10..</t>
  </si>
  <si>
    <t>Мадоян Андраник Степанович</t>
  </si>
  <si>
    <t>56.857177734,60.582263947</t>
  </si>
  <si>
    <t>ОБЩЕСТВО С ОГРАНИЧЕННОЙ ОТВЕТСТВЕННОСТЬЮ "ТЕХНИК-2"</t>
  </si>
  <si>
    <t xml:space="preserve"> "ТЕХНИК-2"</t>
  </si>
  <si>
    <t>6619017681</t>
  </si>
  <si>
    <t>Г ЕКАТЕРИНБУРГ,ПЕР ВЫЕЗДНОЙ Д 4 А</t>
  </si>
  <si>
    <t>Горбунова Наталья Викторовна</t>
  </si>
  <si>
    <t>56.897350311,60.736968994</t>
  </si>
  <si>
    <t>ОБЩЕСТВО С ОГРАНИЧЕННОЙ ОТВЕТСТВЕННОСТЬЮ "БЕТОНСТРОЙКОМПЛЕКТ"</t>
  </si>
  <si>
    <t xml:space="preserve"> "БЕТОНСТРОЙКОМПЛЕКТ"</t>
  </si>
  <si>
    <t>6604011912</t>
  </si>
  <si>
    <t>http://bskbeton.ru</t>
  </si>
  <si>
    <t>СВЕРДЛОВСКАЯ ОБЛ.,Г БЕРЕЗОВСКИЙ,УЛ ЧАПАЕВА, Д 39 А</t>
  </si>
  <si>
    <t>Моисеев Шалва Шакроевич</t>
  </si>
  <si>
    <t>+7 (912) 209-99-00'</t>
  </si>
  <si>
    <t>56.995914459,40.984580994</t>
  </si>
  <si>
    <t>ОБЩЕСТВО С ОГРАНИЧЕННОЙ ОТВЕТСТВЕННОСТЬЮ "БЕТОН+АВТО"</t>
  </si>
  <si>
    <t xml:space="preserve"> "БЕТОН+АВТО"</t>
  </si>
  <si>
    <t>3702000769</t>
  </si>
  <si>
    <t>Г ИВАНОВО,УЛ СОВЕТСКАЯ 28</t>
  </si>
  <si>
    <t>Лазарева Екатерина Ивановна</t>
  </si>
  <si>
    <t>+7 (961) 118-29-98'</t>
  </si>
  <si>
    <t>57.028192890355,34.982068620148</t>
  </si>
  <si>
    <t>ОБЩЕСТВО С ОГРАНИЧЕННОЙ ОТВЕТСТВЕННОСТЬЮ"КРИСТАЛЛ"</t>
  </si>
  <si>
    <t>6915001378</t>
  </si>
  <si>
    <t>ТВЕРСКАЯ ОБЛ.,Г ТОРЖОК,УЛ МИРА Д 52</t>
  </si>
  <si>
    <t>Яковлев Максим Викторович</t>
  </si>
  <si>
    <t>+7 (910) 939-58-72'</t>
  </si>
  <si>
    <t>57.10584259,65.60785675</t>
  </si>
  <si>
    <t>ОБЩЕСТВО С ОГРАНИЧЕННОЙ ОТВЕТСТВЕННОСТЬЮ "БЕТОННЫЙ ДВОР"</t>
  </si>
  <si>
    <t xml:space="preserve"> "БЕТОННЫЙ ДВОР"</t>
  </si>
  <si>
    <t>7224053594</t>
  </si>
  <si>
    <t>Г ТЮМЕНЬ,УЛ МОТОРОСТРОИТЕЛЕЙ, Д 3</t>
  </si>
  <si>
    <t>Миллер Дмитрий Анатольевич</t>
  </si>
  <si>
    <t>57.127983093,65.544586182</t>
  </si>
  <si>
    <t>ОБЩЕСТВО С ОГРАНИЧЕННОЙ ОТВЕТСТВЕННОСТЬЮ "УПРАВЛЯЮЩАЯ КОМПАНИЯ "ЮЖНАЯ"</t>
  </si>
  <si>
    <t xml:space="preserve"> "УПРАВЛЯЮЩАЯ КОМПАНИЯ "ЮЖНАЯ"</t>
  </si>
  <si>
    <t>7204106784</t>
  </si>
  <si>
    <t>Г ТЮМЕНЬ,УЛ ДЕПУТАТСКАЯ, Д 91</t>
  </si>
  <si>
    <t>Дубровский Алексей Николаевич</t>
  </si>
  <si>
    <t>57.143249512,33.15417099</t>
  </si>
  <si>
    <t>ОБЩЕСТВО С ОГРАНИЧЕННОЙ ОТВЕТСТВЕННОСТЬЮ "ОСТАШКОВАГРОПРОМХИМИЯ"</t>
  </si>
  <si>
    <t xml:space="preserve"> "ОСТАШКОВАГРОПРОМХИМИЯ"</t>
  </si>
  <si>
    <t>6913014815</t>
  </si>
  <si>
    <t>ТВЕРСКАЯ ОБЛ.,Г ОСТАШКОВ,УЛ СТРОИТЕЛЕЙ Д 9 А</t>
  </si>
  <si>
    <t>Васильева Светлана Васильевна</t>
  </si>
  <si>
    <t>57.15019989,65.646934509</t>
  </si>
  <si>
    <t>ОБЩЕСТВО С ОГРАНИЧЕННОЙ ОТВЕТСТВЕННОСТЬЮ "ТАКТИКА"</t>
  </si>
  <si>
    <t xml:space="preserve"> "ТАКТИКА"</t>
  </si>
  <si>
    <t>7224029263</t>
  </si>
  <si>
    <t>Г ТЮМЕНЬ,УЛ ДОМОСТРОИТЕЛЕЙ, Д 26..</t>
  </si>
  <si>
    <t>+7 (904) 439-68-00'</t>
  </si>
  <si>
    <t>57.155094147,65.545379639</t>
  </si>
  <si>
    <t xml:space="preserve"> "СПЕЦСТРОЙ"</t>
  </si>
  <si>
    <t>7202145594</t>
  </si>
  <si>
    <t>Г ТЮМЕНЬ,УЛ 8 МАРТА, Д 2/7</t>
  </si>
  <si>
    <t>Шмелёв Сергей Владимирович</t>
  </si>
  <si>
    <t>+7 (912) 927-96-84'</t>
  </si>
  <si>
    <t>57.163478851,65.487258911</t>
  </si>
  <si>
    <t>7204111671</t>
  </si>
  <si>
    <t>Г ТЮМЕНЬ,УЛ САДОВАЯ, Д 117..</t>
  </si>
  <si>
    <t>Маркин Эдуард Александрович</t>
  </si>
  <si>
    <t>+7 (912) 922-56-20'</t>
  </si>
  <si>
    <t>57.256519318,60.106361389</t>
  </si>
  <si>
    <t>ОБЩЕСТВО С ОГРАНИЧЕННОЙ ОТВЕТСТВЕННОСТЬЮ ПРОИЗВОДСТВЕННО-ВНЕДРЕНЧЕСКАЯ ФИРМА "ТЕХНОЛОГИИ ПОЛИМЕТАЛЛОВ"</t>
  </si>
  <si>
    <t xml:space="preserve"> ПРОИЗВОДСТВЕННО-ВНЕДРЕНЧЕСКАЯ ФИРМА "ТЕХНОЛОГИИ ПОЛИМЕТАЛЛОВ"</t>
  </si>
  <si>
    <t>6629008622</t>
  </si>
  <si>
    <t>СВЕРДЛОВСКАЯ ОБЛ.,Г НОВОУРАЛЬСК,УЛ СТРОИТЕЛЕЙ, Д 5, К 7</t>
  </si>
  <si>
    <t>Плотников Анатолий Леонидович</t>
  </si>
  <si>
    <t>+7 (912) 242-00-82'</t>
  </si>
  <si>
    <t>57.370821626906,61.427730267351</t>
  </si>
  <si>
    <t xml:space="preserve"> "СПЕЦБЕТОН"</t>
  </si>
  <si>
    <t>6671003508</t>
  </si>
  <si>
    <t>СВЕРДЛОВСКАЯ ОБЛ.,Г РЕЖ,УЛ КРАСНОФЛОТЦЕВ Д 7</t>
  </si>
  <si>
    <t>Захаров Николай Николаевич</t>
  </si>
  <si>
    <t>+7 (922) 617-70-01', '+7 (343) 319-11-88'</t>
  </si>
  <si>
    <t>57.616558075,39.966701508</t>
  </si>
  <si>
    <t>ОБЩЕСТВО С ОГРАНИЧЕННОЙ ОТВЕТСТВЕННОСТЬЮ ФИРМА "СТРОЙМАШ"</t>
  </si>
  <si>
    <t xml:space="preserve"> ФИРМА "СТРОЙМАШ"</t>
  </si>
  <si>
    <t>7603002473</t>
  </si>
  <si>
    <t>Г ЯРОСЛАВЛЬ,ПРОСП МАШИНОСТРОИТЕЛЕЙ, Д 83</t>
  </si>
  <si>
    <t>Судаков Илья Михайлович</t>
  </si>
  <si>
    <t>57.624507904,39.857135773</t>
  </si>
  <si>
    <t xml:space="preserve"> "СТРОЙБЕТОН"</t>
  </si>
  <si>
    <t>7602102309</t>
  </si>
  <si>
    <t>Г ЯРОСЛАВЛЬ,ПРОСП ТОЛБУХИНА, Д 21</t>
  </si>
  <si>
    <t>Воробьев Дмитрий Михайлович</t>
  </si>
  <si>
    <t>+7 (920) 120-93-97'</t>
  </si>
  <si>
    <t>57.662620544,63.067115784</t>
  </si>
  <si>
    <t>ОБЩЕСТВО С ОГРАНИЧЕННОЙ ОТВЕТСТВЕННОСТЬЮ "МеталлРесурс"</t>
  </si>
  <si>
    <t xml:space="preserve"> "МеталлРесурс"</t>
  </si>
  <si>
    <t>6658415510</t>
  </si>
  <si>
    <t>623800 , СВЕРДЛОВСКАЯ ОБЛ.,Г ИРБИТ,УЛ ПРОЛЕТАРСКАЯ, Д 79</t>
  </si>
  <si>
    <t>Шашуро Евгений Валерьевич</t>
  </si>
  <si>
    <t>+7 (922) 260-72-33'</t>
  </si>
  <si>
    <t>alena@mail.ru', 'rbu2mr72@gmail.com'</t>
  </si>
  <si>
    <t>57.670154572,39.821685791</t>
  </si>
  <si>
    <t>ОБЩЕСТВО С ОГРАНИЧЕННОЙ ОТВЕТСТВЕННОСТЬЮ ФИРМА "СКИД"</t>
  </si>
  <si>
    <t xml:space="preserve"> ФИРМА "СКИД"</t>
  </si>
  <si>
    <t>7606007293</t>
  </si>
  <si>
    <t>Г ЯРОСЛАВЛЬ,ЛЕНИНГРАДСКИЙ ПРОСП, Д 27Б</t>
  </si>
  <si>
    <t>57.6820755,63.061725616</t>
  </si>
  <si>
    <t>ОБЩЕСТВО С ОГРАНИЧЕННОЙ ОТВЕТСТВЕННОСТЬЮ "БТК"</t>
  </si>
  <si>
    <t xml:space="preserve"> "БТК"</t>
  </si>
  <si>
    <t>6686061990</t>
  </si>
  <si>
    <t>СВЕРДЛОВСКАЯ ОБЛ.,Г ИРБИТ,УЛ РЕВОЛЮЦИИ Д 16..</t>
  </si>
  <si>
    <t>Сапрыкин Владимир Николаевич</t>
  </si>
  <si>
    <t>+7 (343) 300-27-04', '+7 (343) 300-27-02'</t>
  </si>
  <si>
    <t>57.748859406,43.670295715</t>
  </si>
  <si>
    <t>ОБЩЕСТВО С ОГРАНИЧЕННОЙ ОТВЕТСТВЕННОСТЬЮ "СТАНДАРТБЕТОН"</t>
  </si>
  <si>
    <t xml:space="preserve"> "СТАНДАРТБЕТОН"</t>
  </si>
  <si>
    <t>4401160440</t>
  </si>
  <si>
    <t>КОСТРОМСКАЯ ОБЛ.,МАКАРЬЕВСКИЙ Р-Н,Д ЕФИНО</t>
  </si>
  <si>
    <t>Варламов Кирилл Александрович</t>
  </si>
  <si>
    <t>+7 (953) 640-33-33'</t>
  </si>
  <si>
    <t>57.752761841,41.015693665</t>
  </si>
  <si>
    <t>ОБЩЕСТВО С ОГРАНИЧЕННОЙ ОТВЕТСТВЕННОСТЬЮ ПРОИЗВОДСТВЕННАЯ КОМПАНИЯ "БЕРАЗ"</t>
  </si>
  <si>
    <t xml:space="preserve"> ПРОИЗВОДСТВЕННАЯ КОМПАНИЯ "БЕРАЗ"</t>
  </si>
  <si>
    <t>4401076597</t>
  </si>
  <si>
    <t>Г КОСТРОМА,УЛ ФЕСТИВАЛЬНАЯ, Д 30,..</t>
  </si>
  <si>
    <t>Козырев Вадим Павлович</t>
  </si>
  <si>
    <t>57.812774658,28.339492798</t>
  </si>
  <si>
    <t>ОБЩЕСТВО С ОГРАНИЧЕННОЙ ОТВЕТСТВЕННОСТЬЮ СПЕЦИАЛИЗИРОВАННЫЙ ЗАСТРОЙЩИК "МОНОЛИТ"</t>
  </si>
  <si>
    <t xml:space="preserve"> СПЕЦИАЛИЗИРОВАННЫЙ ЗАСТРОЙЩИК "МОНОЛИТ"</t>
  </si>
  <si>
    <t>6027159247</t>
  </si>
  <si>
    <t>Г ПСКОВ,УЛ ГОГОЛЯ Д 4</t>
  </si>
  <si>
    <t>Брячак Юлия Игоревна</t>
  </si>
  <si>
    <t>+7 (953) 242-25-02'</t>
  </si>
  <si>
    <t>57.874247360916,54.712575168681</t>
  </si>
  <si>
    <t>ОБЩЕСТВО С ОГРАНИЧЕННОЙ ОТВЕТСТВЕННОСТЬЮ "КРАСАВА БЕТОН"</t>
  </si>
  <si>
    <t xml:space="preserve"> "КРАСАВА БЕТОН"</t>
  </si>
  <si>
    <t>5903996977</t>
  </si>
  <si>
    <t>ПЕРМСКИЙ КРАЙ,Г ОЧЕР,УЛ РОЗЫ ЛЮКСЕМБУРГ 30</t>
  </si>
  <si>
    <t>Лабутин Александр Анатольевич</t>
  </si>
  <si>
    <t>+7 (912) 881-01-91', '+7 (342) 298-55-48', '+7 (342) 279-17-18', '+7 (342) 203-88-48'</t>
  </si>
  <si>
    <t>57.910316911484,59.970340775312</t>
  </si>
  <si>
    <t>ОБЩЕСТВО С ОГРАНИЧЕННОЙ ОТВЕТСТВЕННОСТЬЮ "ПРОХОДЧИК НТ"</t>
  </si>
  <si>
    <t xml:space="preserve"> "ПРОХОДЧИК НТ"</t>
  </si>
  <si>
    <t>6669014012</t>
  </si>
  <si>
    <t>СВЕРДЛОВСКАЯ ОБЛ.,Г НИЖНИЙ ТАГИЛ,УЛ К МАРКСА,Д 34</t>
  </si>
  <si>
    <t>Шайхутдинов Ринат Ифирович</t>
  </si>
  <si>
    <t>nt80@bk.ru'</t>
  </si>
  <si>
    <t>57.98387146,56.264503479</t>
  </si>
  <si>
    <t>Общество с ограниченной ответственностью "Бетон-ВН"</t>
  </si>
  <si>
    <t xml:space="preserve"> "Бетон-ВН"</t>
  </si>
  <si>
    <t>5904282534</t>
  </si>
  <si>
    <t>Г ПЕРМЬ,УЛ ГЕРОЕВ ХАСАНА 45/А</t>
  </si>
  <si>
    <t>Вологжанин Владимир Николаевич</t>
  </si>
  <si>
    <t>+7 (342) 276-13-19'</t>
  </si>
  <si>
    <t>57.995483398,56.193073273</t>
  </si>
  <si>
    <t>Общество с ограниченной ответственностью "Бетонинвест"</t>
  </si>
  <si>
    <t xml:space="preserve"> "Бетонинвест"</t>
  </si>
  <si>
    <t>5903045805</t>
  </si>
  <si>
    <t>Г ПЕРМЬ,УЛ МАЛКОВА 18</t>
  </si>
  <si>
    <t>Аристов Роман Анатольевич</t>
  </si>
  <si>
    <t>+7 (342) 294-22-44', '+7 (342) 298-30-17', '+7 (342) 293-12-87', '+7 (950) 453-61-48', '+7 (342) 294-22-44'</t>
  </si>
  <si>
    <t>57.99983718805,56.156039981244</t>
  </si>
  <si>
    <t>Общество с ограниченной ответственностью "ПАРМА-БЕТОН"</t>
  </si>
  <si>
    <t xml:space="preserve"> "ПАРМА-БЕТОН"</t>
  </si>
  <si>
    <t>5902032592</t>
  </si>
  <si>
    <t>Г ПЕРМЬ,УЛ СТРОИТЕЛЕЙ 36/1 - 16</t>
  </si>
  <si>
    <t>Смирнов Алексей Николаевич</t>
  </si>
  <si>
    <t>+7 (342) 246-10-61', '+7 (342) 247-87-87', '+7 (342) 274-94-74', '+7 (919) 712-61-77'</t>
  </si>
  <si>
    <t>58.036190033,38.792072296</t>
  </si>
  <si>
    <t>ОБЩЕСТВО С ОГРАНИЧЕННОЙ ОТВЕТСТВЕННОСТЬЮ "СЕГМЕНТ"</t>
  </si>
  <si>
    <t xml:space="preserve"> "СЕГМЕНТ"</t>
  </si>
  <si>
    <t>7626000289</t>
  </si>
  <si>
    <t>ЯРОСЛАВСКАЯ ОБЛ.,Г РЫБИНСК,УЛ ОКРУЖНАЯ ДОРОГА, Д 8</t>
  </si>
  <si>
    <t>Стогов Леонид Юрьевич</t>
  </si>
  <si>
    <t>+7 (901) 179-19-10'</t>
  </si>
  <si>
    <t>58.048908234,38.856384277</t>
  </si>
  <si>
    <t>ОБЩЕСТВО С ОГРАНИЧЕННОЙ ОТВЕТСТВЕННОСТЬЮ "СТРОИТЕЛЬНО-МОНТАЖНОЕ УПРАВЛЕНИЕ №7"</t>
  </si>
  <si>
    <t xml:space="preserve"> "СТРОИТЕЛЬНО-МОНТАЖНОЕ УПРАВЛЕНИЕ №7"</t>
  </si>
  <si>
    <t>7610073228</t>
  </si>
  <si>
    <t>ЯРОСЛАВСКАЯ ОБЛ.,Г РЫБИНСК,ПЛ КРАСНАЯ, Д 3</t>
  </si>
  <si>
    <t>Ярцев Константин Вячеславович</t>
  </si>
  <si>
    <t>58.065589905,38.778049469</t>
  </si>
  <si>
    <t>ОБЩЕСТВО С ОГРАНИЧЕННОЙ ОТВЕТСТВЕННОСТЬЮ "СПЕКТРТЕХНО"</t>
  </si>
  <si>
    <t xml:space="preserve"> "СПЕКТРТЕХНО"</t>
  </si>
  <si>
    <t>7610067305</t>
  </si>
  <si>
    <t>ЯРОСЛАВСКАЯ ОБЛ.,Г РЫБИНСК,УЛ НОВОСЕЛОВ, Д 4,..</t>
  </si>
  <si>
    <t>Соколов Вячеслав Викторович</t>
  </si>
  <si>
    <t>58.089675903,38.674713135</t>
  </si>
  <si>
    <t>ОБЩЕСТВО С ОГРАНИЧЕННОЙ ОТВЕТСТВЕННОСТЬЮ "ЯРНЕФТЕХИМСТРОЙ-УПТК"</t>
  </si>
  <si>
    <t xml:space="preserve"> "ЯРНЕФТЕХИМСТРОЙ-УПТК"</t>
  </si>
  <si>
    <t>7604253247</t>
  </si>
  <si>
    <t>ЯРОСЛАВСКАЯ ОБЛ.,Г РЫБИНСК,УЛ АЛЯБЬЕВА, Д 4/6</t>
  </si>
  <si>
    <t>Беляева Анна Александровна</t>
  </si>
  <si>
    <t>58.62840271,59.8436203</t>
  </si>
  <si>
    <t>ОБЩЕСТВО С ОГРАНИЧЕННОЙ ОТВЕТСТВЕННОСТЬЮ "СТРОЙМАШСЕРВИС</t>
  </si>
  <si>
    <t xml:space="preserve"> "СТРОЙМАШСЕРВИС</t>
  </si>
  <si>
    <t>6624007470</t>
  </si>
  <si>
    <t>СВЕРДЛОВСКАЯ ОБЛ.,Г НИЖНЯЯ ТУРА,УЛ ДЕКАБРИСТОВ, Д 25, К 51</t>
  </si>
  <si>
    <t>Ган Дмитрий Владимирович</t>
  </si>
  <si>
    <t>59.114009857,28.074857712</t>
  </si>
  <si>
    <t>ОБЩЕСТВО С ОГРАНИЧЕННОЙ ОТВЕТСТВЕННОСТЬЮ  ПРОИЗВОДСТВЕННО-КОММЕРЧЕСКАЯ ФИРМА "ДИЗАЙН"</t>
  </si>
  <si>
    <t xml:space="preserve">  ПРОИЗВОДСТВЕННО-КОММЕРЧЕСКАЯ ФИРМА "ДИЗАЙН"</t>
  </si>
  <si>
    <t>4713000988</t>
  </si>
  <si>
    <t>ЛЕНИНГРАДСКАЯ ОБЛ.,Г СЛАНЦЫ,ШОССЕ КОМСОМОЛЬСКОЕ, 11</t>
  </si>
  <si>
    <t>Гнатенко Татьяна Анатольевна</t>
  </si>
  <si>
    <t>59.120376587,37.867645264</t>
  </si>
  <si>
    <t>ПУБЛИЧНОЕ "ЗАВОД ЖЕЛЕЗОБЕТОННЫХ ИЗДЕЛИЙ И КОНСТРУКЦИЙ"</t>
  </si>
  <si>
    <t>3528009342</t>
  </si>
  <si>
    <t>Новоженин Степан Степанович</t>
  </si>
  <si>
    <t>bux20a@zgbiik.ru'</t>
  </si>
  <si>
    <t>59.200489044,39.839328766</t>
  </si>
  <si>
    <t xml:space="preserve"> "ТЕХСТРОЙ"</t>
  </si>
  <si>
    <t>3525316049</t>
  </si>
  <si>
    <t>Г ВОЛОГДА,УЛ КОСТРОМСКАЯ, Д 10,..</t>
  </si>
  <si>
    <t>Прокопенко Богдан Леонидович</t>
  </si>
  <si>
    <t>+7 (900) 544-27-28', '+7 (921) 232-73-63'</t>
  </si>
  <si>
    <t>59.215209961,39.818080902</t>
  </si>
  <si>
    <t>ОБЩЕСТВО С ОГРАНИЧЕННОЙ ОТВЕТСТВЕННОСТЬЮ "БЕТОН-35"</t>
  </si>
  <si>
    <t xml:space="preserve"> "БЕТОН-35"</t>
  </si>
  <si>
    <t>3528209567</t>
  </si>
  <si>
    <t>Г ВОЛОГДА,1 МИКРОРАЙОН ПЗ-23, Д 6, КОРП 1,..</t>
  </si>
  <si>
    <t>Гусев Андрей Сергеевич</t>
  </si>
  <si>
    <t>+7 (820) 251-73-20'</t>
  </si>
  <si>
    <t>59.373717132036,61.054772504093</t>
  </si>
  <si>
    <t xml:space="preserve"> "БЛОК"</t>
  </si>
  <si>
    <t>6685096929</t>
  </si>
  <si>
    <t>СВЕРДЛОВСКАЯ ОБЛ.,СЕРОВСКИЙ Р-Н,Д СЕМЕНОВА,УЛ ЗЕЛЕНАЯ, Д 62</t>
  </si>
  <si>
    <t>Лабасюк Владимир Григорьевич</t>
  </si>
  <si>
    <t>+7 (919) 389-65-35'</t>
  </si>
  <si>
    <t>59.38831260865,29.312674537912</t>
  </si>
  <si>
    <t xml:space="preserve"> "БЕТОНИКА"</t>
  </si>
  <si>
    <t>4704096313</t>
  </si>
  <si>
    <t>http://betonika.su</t>
  </si>
  <si>
    <t xml:space="preserve"> ЛЕНИНГРАДСКАЯ ОБЛ., ВОЛОСОВСКИЙ РАЙОН, Д.РУССКОВИЦЫ, 15</t>
  </si>
  <si>
    <t>Чебоненко Андрей Евгеньевич</t>
  </si>
  <si>
    <t>59.398868561,56.78232193</t>
  </si>
  <si>
    <t>ОБЩЕСТВО С ОГРАНИЧЕННОЙ ОТВЕТСТВЕННОСТЬЮ "Контакт - Строй"</t>
  </si>
  <si>
    <t xml:space="preserve"> "Контакт - Строй"</t>
  </si>
  <si>
    <t>5911042445</t>
  </si>
  <si>
    <t>ПЕРМСКИЙ КРАЙ,Г БЕРЕЗНИКИ,УЛ ТЕЛЬМАНА 3</t>
  </si>
  <si>
    <t>Хисамов Альберт Рафикович</t>
  </si>
  <si>
    <t>+7 (912) 880-87-86', '+7 (902) 474-64-38'</t>
  </si>
  <si>
    <t>59.47042747376,31.990701654922</t>
  </si>
  <si>
    <t>ОБЩЕСТВО С ОГРАНИЧЕННОЙ ОТВЕТСТВЕННОСТЬЮ "КИРИШИ-БЕТОН"</t>
  </si>
  <si>
    <t xml:space="preserve"> "КИРИШИ-БЕТОН"</t>
  </si>
  <si>
    <t>4708017351</t>
  </si>
  <si>
    <t>ЛЕНИНГРАДСКАЯ ОБЛ.,Г КИРИШИ,ШОССЕ ВОЛХОВСКОЕ, 7 КОМН 21</t>
  </si>
  <si>
    <t>Воскобович Руслан Александрович</t>
  </si>
  <si>
    <t>59.514419556,34.199615479</t>
  </si>
  <si>
    <t>4701003261</t>
  </si>
  <si>
    <t>ЛЕНИНГРАДСКАЯ ОБЛ.,Г ПИКАЛЕВО,ШОССЕ ВОЛОГОДСКОЕ, 1</t>
  </si>
  <si>
    <t>Киселев Андрей Николаевич</t>
  </si>
  <si>
    <t>+7 (961) 804-24-73'</t>
  </si>
  <si>
    <t>59.562721252,150.82220459</t>
  </si>
  <si>
    <t>ОБЩЕСТВО С ОГРАНИЧЕННОЙ ОТВЕТСТВЕННОСТЬЮ "МАГАДАН-СЕРВИС-ЭКОЛОГИЯ"</t>
  </si>
  <si>
    <t xml:space="preserve"> "МАГАДАН-СЕРВИС-ЭКОЛОГИЯ"</t>
  </si>
  <si>
    <t>4909091700</t>
  </si>
  <si>
    <t>Г МАГАДАН,УЛ НАБЕРЕЖНАЯ Р МАГАДАНКИ, Д 15</t>
  </si>
  <si>
    <t>+7 (924) 850-88-24'</t>
  </si>
  <si>
    <t>59.605248508865,60.567689710197</t>
  </si>
  <si>
    <t>ОБЩЕСТВО С ОГРАНИЧЕННОЙ ОТВЕТСТВЕННОСТЬЮ ПРОИЗВОДСТВЕННО-КОММЕРЧЕСКАЯ ФИРМА "СРЕДНИЙ УРАЛ"</t>
  </si>
  <si>
    <t xml:space="preserve"> ПРОИЗВОДСТВЕННО-КОММЕРЧЕСКАЯ ФИРМА "СРЕДНИЙ УРАЛ"</t>
  </si>
  <si>
    <t>6671026897</t>
  </si>
  <si>
    <t>СВЕРДЛОВСКАЯ ОБЛ.,Г СЕРОВ,УЛ ПОБЕДЫ Д 5</t>
  </si>
  <si>
    <t>Ковтунов Евгений Николаевич</t>
  </si>
  <si>
    <t>+7 (950) 201-96-60'</t>
  </si>
  <si>
    <t>59.702354431,30.785186768</t>
  </si>
  <si>
    <t>ОБЩЕСТВО С ОГРАНИЧЕННОЙ ОТВЕТСТВЕННОСТЬЮ "ЗОНА БЕТОНА"</t>
  </si>
  <si>
    <t xml:space="preserve"> "ЗОНА БЕТОНА"</t>
  </si>
  <si>
    <t>4712026535</t>
  </si>
  <si>
    <t xml:space="preserve"> Г.НИКОЛЬСКОЕ, УЛ.ШКОЛЬНАЯ, 2</t>
  </si>
  <si>
    <t>Брагина Жанна Сергеевна</t>
  </si>
  <si>
    <t>+7 (921) 377-94-85'</t>
  </si>
  <si>
    <t>59.862892151,30.325151443</t>
  </si>
  <si>
    <t>ОБЩЕСТВО С ОГРАНИЧЕННОЙ ОТВЕТСТВЕННОСТЬЮ "КОМПАНИЯ БВА БЕТОН"</t>
  </si>
  <si>
    <t xml:space="preserve"> "КОМПАНИЯ БВА БЕТОН"</t>
  </si>
  <si>
    <t>7811257810</t>
  </si>
  <si>
    <t>Г САНКТ-ПЕТЕРБУРГ,УЛ ПОБЕДЫ, 21 ЛИТЕР А</t>
  </si>
  <si>
    <t>Даудов Барит Абдурахманович</t>
  </si>
  <si>
    <t>+7 (812) 310-56-12', '+7 (962) 685-43-99', '+7 (921) 929-57-12'</t>
  </si>
  <si>
    <t>59.86732337152,29.076646514738</t>
  </si>
  <si>
    <t>ОТКРЫТОЕ "УПРАВЛЕНИЕ ПРОМЫШЛЕННЫХ ПРЕДПРИЯТИЙ"</t>
  </si>
  <si>
    <t xml:space="preserve"> "УПРАВЛЕНИЕ ПРОМЫШЛЕННЫХ ПРЕДПРИЯТИЙ"</t>
  </si>
  <si>
    <t>4714001737</t>
  </si>
  <si>
    <t>ЛЕНИНГРАДСКАЯ ОБЛ.,Г СОСНОВЫЙ БОР,ШОССЕ КОПОРСКОЕ, 56 А/Я 32</t>
  </si>
  <si>
    <t>Караваев Александр Викторович</t>
  </si>
  <si>
    <t>+7 (921) 744-68-93'</t>
  </si>
  <si>
    <t>t@oao-sus'</t>
  </si>
  <si>
    <t>59.903171539,30.288022995</t>
  </si>
  <si>
    <t>ОТКРЫТОЕ "ТРАНСКОМПЛЕКТ"</t>
  </si>
  <si>
    <t xml:space="preserve"> "ТРАНСКОМПЛЕКТ"</t>
  </si>
  <si>
    <t>7805171690</t>
  </si>
  <si>
    <t>Г САНКТ-ПЕТЕРБУРГ,УЛ ИВАНА ЧЕРНЫХ, 35</t>
  </si>
  <si>
    <t>Бразовский Александр Игоревич</t>
  </si>
  <si>
    <t>+7 (812) 186-58-22', '+7 (812) 252-12-66', '+7 (812) 252-44-42', '+7 (812) 786-58-22'</t>
  </si>
  <si>
    <t>59.944587708,30.426961899</t>
  </si>
  <si>
    <t>ОБЩЕСТВО С ОГРАНИЧЕННОЙ ОТВЕТСТВЕННОСТЬЮ "ПРОИЗВОДСТВЕННАЯ КОМПАНИЯ СТРОЙСЕРВИС"</t>
  </si>
  <si>
    <t xml:space="preserve"> "ПРОИЗВОДСТВЕННАЯ КОМПАНИЯ СТРОЙСЕРВИС"</t>
  </si>
  <si>
    <t>0323393486</t>
  </si>
  <si>
    <t>Г САНКТ-ПЕТЕРБУРГ,УЛ ПАРТИЗАНСКАЯ, 7</t>
  </si>
  <si>
    <t>Батоев Олег Баторович</t>
  </si>
  <si>
    <t>+7 (812) 224-10-03', '+7 (812) 557-37-30', '+7 (301) 237-21-71'</t>
  </si>
  <si>
    <t>59.993198395,30.403139114</t>
  </si>
  <si>
    <t>ОБЩЕСТВО С ОГРАНИЧЕННОЙ ОТВЕТСТВЕННОСТЬЮ "ТРАСТ-БЕТОН"</t>
  </si>
  <si>
    <t xml:space="preserve"> "ТРАСТ-БЕТОН"</t>
  </si>
  <si>
    <t>7811252820</t>
  </si>
  <si>
    <t>Г САНКТ-ПЕТЕРБУРГ,ПРОСП НЕПОКОРЕННЫХ, 63</t>
  </si>
  <si>
    <t>+7 (812) 329-35-31', '+7 (812) 309-16-53'</t>
  </si>
  <si>
    <t>60.032493591,30.254951477</t>
  </si>
  <si>
    <t>ЗАКРЫТОЕ "МЕТРОБЕТОН"</t>
  </si>
  <si>
    <t>7803033447</t>
  </si>
  <si>
    <t>Г САНКТ-ПЕТЕРБУРГ,УЛ НОВО-НИКИТИНСКАЯ, 17</t>
  </si>
  <si>
    <t>Корольков Ярослав Владимирович</t>
  </si>
  <si>
    <t>+7 (812) 301-42-40', '+7 (812) 320-42-20', '+7 (812) 320-42-22', '+7 (911) 973-51-85'</t>
  </si>
  <si>
    <t>efedinea@metrobeton.ru'</t>
  </si>
  <si>
    <t>60.151409149,59.953262329</t>
  </si>
  <si>
    <t>ОБЩЕСТВО С ОГРАНИЧЕННОЙ ОТВЕТСТВЕННОСТЬЮ "ТОРГОВЫЙ ДОМ "ИСТОКСКИЙ БЕТОННЫЙ ЗАВОД"</t>
  </si>
  <si>
    <t xml:space="preserve"> "ТОРГОВЫЙ ДОМ "ИСТОКСКИЙ БЕТОННЫЙ ЗАВОД"</t>
  </si>
  <si>
    <t>6671462244</t>
  </si>
  <si>
    <t>624480 , СВЕРДЛОВСКАЯ ОБЛ.,Г СЕВЕРОУРАЛЬСК,ПРОМЗОНА</t>
  </si>
  <si>
    <t>Полетаев Михаил Александрович</t>
  </si>
  <si>
    <t>60.704341888,28.771150589</t>
  </si>
  <si>
    <t>ОТКРЫТОЕ "ВЫБОРГСКИЙ ЗАВОД СТРОИТЕЛЬНЫХ МАТЕРИАЛОВ"</t>
  </si>
  <si>
    <t xml:space="preserve"> "ВЫБОРГСКИЙ ЗАВОД СТРОИТЕЛЬНЫХ МАТЕРИАЛОВ"</t>
  </si>
  <si>
    <t>4704012306</t>
  </si>
  <si>
    <t>ЛЕНИНГРАДСКАЯ ОБЛ.,Г ВЫБОРГ,ШОССЕ ЛЕНИНГРАДСКОЕ, 37 А</t>
  </si>
  <si>
    <t>Кравец Владимир Васильевич</t>
  </si>
  <si>
    <t>60.712173462,28.736286163</t>
  </si>
  <si>
    <t xml:space="preserve"> "ПРОМБЕТОН"</t>
  </si>
  <si>
    <t>4704055500</t>
  </si>
  <si>
    <t>ЛЕНИНГРАДСКАЯ ОБЛ.,Г ВЫБОРГ,П МЯСОКОМБИНАТ, 22 А</t>
  </si>
  <si>
    <t>Иванова Любовь Викторовна</t>
  </si>
  <si>
    <t>60.782779694,46.315719604</t>
  </si>
  <si>
    <t>ОБЩЕСТВО С ОГРАНИЧЕННОЙ ОТВЕТСТВЕННОСТЬЮ " ЭКСПРОМТ-ПЛЮС "</t>
  </si>
  <si>
    <t xml:space="preserve"> " ЭКСПРОМТ-ПЛЮС "</t>
  </si>
  <si>
    <t>3526012981</t>
  </si>
  <si>
    <t>ВОЛОГОДСКАЯ ОБЛ.,Г ВЕЛИКИЙ УСТЮГ,УЛ ТРАНСПОРТНАЯ, 1-А</t>
  </si>
  <si>
    <t>Вайгачев Алексей Борисович</t>
  </si>
  <si>
    <t>61.261463165,73.387496948</t>
  </si>
  <si>
    <t>ОБЩЕСТВО С ОГРАНИЧЕННОЙ ОТВЕТСТВЕННОСТЬЮ "СИБСТРОЙТЕПЛОРЕМОНТ"</t>
  </si>
  <si>
    <t xml:space="preserve"> "СИБСТРОЙТЕПЛОРЕМОНТ"</t>
  </si>
  <si>
    <t>8602242509</t>
  </si>
  <si>
    <t>ТЮМЕНСКАЯ ОБЛ.,ХАНТЫ-МАНСИЙСКИЙ АВТ. ОКРУГ,Г СУРГУТ,ПРОСП МИРА, Д 17..</t>
  </si>
  <si>
    <t>Быкос Иван Аркадьевич</t>
  </si>
  <si>
    <t>61.807014465,34.316848755</t>
  </si>
  <si>
    <t>ОБЩЕСТВО С ОГРАНИЧЕННОЙ ОТВЕТСТВЕННОСТЬЮ ПК "ЖЕЛЕЗОБЕТОН"</t>
  </si>
  <si>
    <t xml:space="preserve"> ПК "ЖЕЛЕЗОБЕТОН"</t>
  </si>
  <si>
    <t>1001133100</t>
  </si>
  <si>
    <t>Г ПЕТРОЗАВОДСК,УЛ ИНЖЕНЕРНАЯ,21..</t>
  </si>
  <si>
    <t>Судавный Руслан Иванович</t>
  </si>
  <si>
    <t>61.995521545,129.69329834</t>
  </si>
  <si>
    <t>ОБЩЕСТВО С ОГРАНИЧЕННОЙ ОТВЕТСТВЕННОСТЬЮ "БЕТОННЫЙ КОМПЛЕКС - ТОПАЗ"</t>
  </si>
  <si>
    <t xml:space="preserve"> "БЕТОННЫЙ КОМПЛЕКС - ТОПАЗ"</t>
  </si>
  <si>
    <t>1435074560</t>
  </si>
  <si>
    <t>Г ЯКУТСК,УЛ ЧЕРНЫШЕВСКОГО, Д 122</t>
  </si>
  <si>
    <t>Ефремов Семен Степанович</t>
  </si>
  <si>
    <t>+7 (914) 271-04-20', '+7 (411) 247-31-35'</t>
  </si>
  <si>
    <t>topaz@yandex.ru'</t>
  </si>
  <si>
    <t>62.144931793,65.393562317</t>
  </si>
  <si>
    <t>ОБЩЕСТВО С ОГРАНИЧЕННОЙ ОТВЕТСТВЕННОСТЬЮ "БЕТОЛ"</t>
  </si>
  <si>
    <t xml:space="preserve"> "БЕТОЛ"</t>
  </si>
  <si>
    <t>8602259397</t>
  </si>
  <si>
    <t>ТЮМЕНСКАЯ ОБЛ.,ХАНТЫ-МАНСИЙСКИЙ АВТ. ОКРУГ,Г НЯГАНЬ,ХРУ-23</t>
  </si>
  <si>
    <t>Голованов Вадим Валериевич</t>
  </si>
  <si>
    <t>+7 (922) 654-57-70'</t>
  </si>
  <si>
    <t>63.181968689,75.274642944</t>
  </si>
  <si>
    <t>ОБЩЕСТВО С ОГРАНИЧЕННОЙ ОТВЕТСТВЕННОСТЬЮ ТОРГОВО- ПРОМЫШЛЕННАЯ КОМПАНИЯ "АБСОЛЮТ"</t>
  </si>
  <si>
    <t xml:space="preserve"> ТОРГОВО- ПРОМЫШЛЕННАЯ КОМПАНИЯ "АБСОЛЮТ"</t>
  </si>
  <si>
    <t>8905028504</t>
  </si>
  <si>
    <t>ТЮМЕНСКАЯ ОБЛ.,ЯМАЛО-НЕНЕЦКИЙ АВТ. ОКРУГ,Г НОЯБРЬСК,ТЕР ПАНЕЛЬ 1, ПРОМЗОНА</t>
  </si>
  <si>
    <t>Китаин Семён Донович</t>
  </si>
  <si>
    <t>ОТКРЫТОЕ "БЕТОННО-РАСТВОРНЫЙ ЗАВОД"</t>
  </si>
  <si>
    <t xml:space="preserve"> "БЕТОННО-РАСТВОРНЫЙ ЗАВОД"</t>
  </si>
  <si>
    <t>2903006247</t>
  </si>
  <si>
    <t>Спирин Дмитрий Андреевич</t>
  </si>
  <si>
    <t>67.490081787,64.034164429</t>
  </si>
  <si>
    <t>ОБЩЕСТВО С ОГРАНИЧЕННОЙ ОТВЕТСТВЕННОСТЬЮ "ТИГР-АВТО"</t>
  </si>
  <si>
    <t xml:space="preserve"> "ТИГР-АВТО"</t>
  </si>
  <si>
    <t>1103029204</t>
  </si>
  <si>
    <t>РЕСПУБЛИКА КОМИ,Г ВОРКУТА,УЛ ПУШКИНА, Д 23</t>
  </si>
  <si>
    <t>Кадельник Валентин Иванович</t>
  </si>
  <si>
    <t>irabell67@yandex.ru'</t>
  </si>
  <si>
    <t>67.572372437,33.392105103</t>
  </si>
  <si>
    <t>ОБЩЕСТВО С ОГРАНИЧЕННОЙ ОТВЕТСТВЕННОСТЬЮ "СИЛЬВЕР СТОУН"</t>
  </si>
  <si>
    <t xml:space="preserve"> "СИЛЬВЕР СТОУН"</t>
  </si>
  <si>
    <t>5190029244</t>
  </si>
  <si>
    <t>МУРМАНСКАЯ ОБЛ.,Г АПАТИТЫ,УЛ ЗИНОВЬЕВА, Д 14,..</t>
  </si>
  <si>
    <t>Иртегов Максим Вадимович</t>
  </si>
  <si>
    <t>+7 (435) 557-92-34'</t>
  </si>
  <si>
    <t>43.634629,39.709201</t>
  </si>
  <si>
    <t>2320160303</t>
  </si>
  <si>
    <t>354068, КРАСНОДАРСКИЙ КРАЙ, Г. СОЧИ, УЛ. ЦЕЛИННАЯ (ЦЕНТРАЛЬНЫЙ Р-Н), Д.17, К.В</t>
  </si>
  <si>
    <t>Осинцев Сергей Михайлович</t>
  </si>
  <si>
    <t>56.602239,85.114583</t>
  </si>
  <si>
    <t xml:space="preserve"> "ПЕНОБЕТОН"</t>
  </si>
  <si>
    <t>7014046777</t>
  </si>
  <si>
    <t>ТОМСКАЯ ОБЛ.,ТОМСКИЙ Р-Н,П КОПЫЛОВО,ПЕСЧАНАЯ УЛ, Д 1</t>
  </si>
  <si>
    <t>Кузнецов Вадим Павлович</t>
  </si>
  <si>
    <t>44.981636,38.95158</t>
  </si>
  <si>
    <t>0100001583</t>
  </si>
  <si>
    <t>385140, Республика Адыгея (Адыгея), ТАХТАМУКАЙСКИЙ, 1 ЯБЛОНОВСКОЕ, ПГТ ЯБЛОНОВСКИЙ, УЛ ЛЕНИНА, Д. 39А</t>
  </si>
  <si>
    <t>Черненко Андрей Николаевич</t>
  </si>
  <si>
    <t>23@YANDEX.RU'</t>
  </si>
  <si>
    <t>44.598263,40.129585</t>
  </si>
  <si>
    <t>ОБЩЕСТВО С ОГРАНИЧЕННОЙ ОТВЕТСТВЕННОСТЬЮ "РУСМО"</t>
  </si>
  <si>
    <t xml:space="preserve"> "РУСМО"</t>
  </si>
  <si>
    <t>0104009061</t>
  </si>
  <si>
    <t>Г МАЙКОП,УЛ ПУШКИНА, 15</t>
  </si>
  <si>
    <t>Молчанов Руслан Эдуардович</t>
  </si>
  <si>
    <t>44.621358,40.131696</t>
  </si>
  <si>
    <t>ОБЩЕСТВО С ОГРАНИЧЕННОЙ ОТВЕТСТВЕННОСТЬЮ  "ЗАВОД ЖБИ"</t>
  </si>
  <si>
    <t xml:space="preserve">  "ЗАВОД ЖБИ"</t>
  </si>
  <si>
    <t>0105030972</t>
  </si>
  <si>
    <t>Г МАЙКОП,УЛ ПРОМЫШЛЕННАЯ, 2 А</t>
  </si>
  <si>
    <t>Шемаджуков Азамат Ибрагимович</t>
  </si>
  <si>
    <t>54.788159,20.623082</t>
  </si>
  <si>
    <t>0105043308</t>
  </si>
  <si>
    <t>Г МАЙКОП,УЛ ШОВГЕНОВА,307</t>
  </si>
  <si>
    <t>Барон Анна Юрьевна</t>
  </si>
  <si>
    <t>44.62583,40.074644</t>
  </si>
  <si>
    <t xml:space="preserve"> "ЗАВОД ЖБИ"</t>
  </si>
  <si>
    <t>0105083251</t>
  </si>
  <si>
    <t>385009, АДЫГЕЯ РЕСП., Г. Майкоп, УЛ. ГЕРЦЕНА, Д. 149</t>
  </si>
  <si>
    <t>JBI@MAIL.RU'</t>
  </si>
  <si>
    <t>44.997891,38.93665</t>
  </si>
  <si>
    <t>ОБЩЕСТВО С ОГРАНИЧЕННОЙ ОТВЕТСТВЕННОСТЬЮ "ТЕХКАПСТРОЙ"</t>
  </si>
  <si>
    <t xml:space="preserve"> "ТЕХКАПСТРОЙ"</t>
  </si>
  <si>
    <t>0107018956</t>
  </si>
  <si>
    <t>385140, АДЫГЕЯ РЕСПУБЛИКА, Р-Н ТАХТАМУКАЙСКИЙ, ПГТ ЯБЛОНОВСКИЙ, УЛ. ШОССЕЙНАЯ, Д.71</t>
  </si>
  <si>
    <t>Пархоменко Виталий Яковлевич</t>
  </si>
  <si>
    <t>+7 (861) 211-82-22', '+7 (861) 457-14-04'</t>
  </si>
  <si>
    <t>info@index-st', 'byxtks@mail.ru', 'info@index-st'</t>
  </si>
  <si>
    <t>44.921489,38.906269</t>
  </si>
  <si>
    <t>ОБЩЕСТВО С ОГРАНИЧЕННОЙ ОТВЕТСТВЕННОСТЬЮ "БЕТОН ЛИДЕР"</t>
  </si>
  <si>
    <t xml:space="preserve"> "БЕТОН ЛИДЕР"</t>
  </si>
  <si>
    <t>0107035800</t>
  </si>
  <si>
    <t>385132, АДЫГЕЯ РЕСПУБЛИКА, ТАХТАМУКАЙСКИЙ РАЙОН, ПОСЕЛОК ГОРОДСКОГО ТИПА ЭНЕМ, УЛИЦА ЧКАЛОВА, ДОМ 20/1, КОРПУС 2,..</t>
  </si>
  <si>
    <t>Абреч Расул Адамович</t>
  </si>
  <si>
    <t>44.989592,38.95537</t>
  </si>
  <si>
    <t>ОБЩЕСТВО С ОГРАНИЧЕННОЙ ОТВЕТСТВЕННОСТЬЮ "АЛИЯ-БЕТОН"</t>
  </si>
  <si>
    <t xml:space="preserve"> "АЛИЯ-БЕТОН"</t>
  </si>
  <si>
    <t>0107036779</t>
  </si>
  <si>
    <t>385140, АДЫГЕЯ РЕСП, Р-Н Тахтамукайский, ПГТ. Яблоновский, УЛ. ЛЕНИНА, Д. 45, ОФИС 11</t>
  </si>
  <si>
    <t>Кулевич Сергей Михайлович</t>
  </si>
  <si>
    <t>54.857455,56.45086</t>
  </si>
  <si>
    <t>ОБЩЕСТВО С ОГРАНИЧЕННОЙ ОТВЕТСТВЕННОСТЬЮ "Индастриал"</t>
  </si>
  <si>
    <t xml:space="preserve"> "Индастриал"</t>
  </si>
  <si>
    <t>0224012309</t>
  </si>
  <si>
    <t>452410, БАШКОРТОСТАН РЕСПУБЛИКА, Р-Н ИГЛИНСКИЙ, С ИГЛИНО, УЛ. С.АГИША, Д.14, К.1</t>
  </si>
  <si>
    <t>Гильманов Рустам Вакилевич</t>
  </si>
  <si>
    <t>54.827428,56.392398</t>
  </si>
  <si>
    <t>ОБЩЕСТВО С ОГРАНИЧЕННОЙ ОТВЕТСТВЕННОСТЬЮ "ИГЛИНО-БЕТОН-СЕРВИС"</t>
  </si>
  <si>
    <t xml:space="preserve"> "ИГЛИНО-БЕТОН-СЕРВИС"</t>
  </si>
  <si>
    <t>0224953306</t>
  </si>
  <si>
    <t>452410, БАШКОРТОСТАН РЕСПУБЛИКА, РАЙОН ИГЛИНСКИЙ, СЕЛО ИГЛИНО, УЛИЦА ГОРЬКОГО, ДОМ 14/1</t>
  </si>
  <si>
    <t>Хабибрахманов Рустем Барыевич</t>
  </si>
  <si>
    <t>betprom@inbox.ru'</t>
  </si>
  <si>
    <t>54.531351,56.154317</t>
  </si>
  <si>
    <t>ОБЩЕСТВО С ОГРАНИЧЕННОЙ ОТВЕТСТВЕННОСТЬЮ "РУСПРОГРАММ"</t>
  </si>
  <si>
    <t xml:space="preserve"> "РУСПРОГРАММ"</t>
  </si>
  <si>
    <t>0229950644</t>
  </si>
  <si>
    <t>453028, БАШКОРТОСТАН РЕСПУБЛИКА, Р-Н КАРМАСКАЛИНСКИЙ, Д КАБАКОВО, УЛ. СТРОИТЕЛЕЙ, Д. 17</t>
  </si>
  <si>
    <t>Бахтигареев Урал Тимербаевич</t>
  </si>
  <si>
    <t>+7 (917) 354-74-67'</t>
  </si>
  <si>
    <t>54.841858,55.831256</t>
  </si>
  <si>
    <t>ОБЩЕСТВО С ОГРАНИЧЕННОЙ ОТВЕТСТВЕННОСТЬЮ "КУРАСКОВОБЕТОНСЕРВИС"</t>
  </si>
  <si>
    <t xml:space="preserve"> "КУРАСКОВОБЕТОНСЕРВИС"</t>
  </si>
  <si>
    <t>0234000743</t>
  </si>
  <si>
    <t>450511, БАШКОРТОСТАН РЕСПУБЛИКА, РАЙОН УФИМСКИЙ, ДЕРЕВНЯ МУДАРИСОВО, УЛИЦА ИНДУСТРИАЛЬНАЯ, ДОМ 3/2</t>
  </si>
  <si>
    <t>Хамитов Марат Шамильевич</t>
  </si>
  <si>
    <t>+7 (917) 775-55-43', '+7 (347) 262-14-19', '+7 (996) 100-59-69', '+7 (917) 799-53-65'</t>
  </si>
  <si>
    <t>2621419@mail.ru', '26221419@mail.ru', 'kuraskovobeton@mail.ru'</t>
  </si>
  <si>
    <t>53.697275,55.985919</t>
  </si>
  <si>
    <t>ОБЩЕСТВО С ОГРАНИЧЕННОЙ ОТВЕТСТВЕННОСТЬЮ "ТОРГОВЫЙ ДОМ "БЕТОН"</t>
  </si>
  <si>
    <t xml:space="preserve"> "ТОРГОВЫЙ ДОМ "БЕТОН"</t>
  </si>
  <si>
    <t>0242009186</t>
  </si>
  <si>
    <t>453102, БАШКОРТОСТАН РЕСПУБЛИКА, ГОРОД СТЕРЛИТАМАК, УЛИЦА АРКАДИЯ ГАЙДАРА, ДОМ 3</t>
  </si>
  <si>
    <t>Бастамов Марат Имамгалиевич</t>
  </si>
  <si>
    <t>+7 (919) 159-25-84', '+7 (950) 930-30-30', '+7 (919) 153-49-01'</t>
  </si>
  <si>
    <t>54.804659,55.850399</t>
  </si>
  <si>
    <t>ОБЩЕСТВО С ОГРАНИЧЕННОЙ ОТВЕТСТВЕННОСТЬЮ "ПРОИЗВОДСТВЕННАЯ ФИРМА ОПТЭКС"</t>
  </si>
  <si>
    <t xml:space="preserve"> "ПРОИЗВОДСТВЕННАЯ ФИРМА ОПТЭКС"</t>
  </si>
  <si>
    <t>0245027634</t>
  </si>
  <si>
    <t>450511, БАШКОРТОСТАН РЕСП, УФИМСКИЙ Р-Н, ВАВИЛОВО Д, ТРАКТОВАЯ УЛ, ДОМ 11</t>
  </si>
  <si>
    <t>Прохоренко Виктор Викторович</t>
  </si>
  <si>
    <t>+7 (901) 440-18-71'</t>
  </si>
  <si>
    <t>opt13@list.ru'</t>
  </si>
  <si>
    <t>54.818999,55.988353</t>
  </si>
  <si>
    <t>ОБЩЕСТВО С ОГРАНИЧЕННОЙ ОТВЕТСТВЕННОСТЬЮ "БЕТОНРЕСУРС"</t>
  </si>
  <si>
    <t xml:space="preserve"> "БЕТОНРЕСУРС"</t>
  </si>
  <si>
    <t>0245956330</t>
  </si>
  <si>
    <t>450531, БАШКОРТОСТАН РЕСП., Р-Н Уфимский, Д. Алексеевка, УЛ. ЦЕНТРАЛЬНАЯ, Д. 2/1, ОФИС 4</t>
  </si>
  <si>
    <t>Гизатуллин Расул Хамзович</t>
  </si>
  <si>
    <t>+7 (937) 334-41-81'</t>
  </si>
  <si>
    <t>54.620475,55.919462</t>
  </si>
  <si>
    <t>ОБЩЕСТВО С ОГРАНИЧЕННОЙ ОТВЕТСТВЕННОСТЬЮ «ГК БЕТОН ГАРАНТ»</t>
  </si>
  <si>
    <t xml:space="preserve"> «ГК БЕТОН ГАРАНТ»</t>
  </si>
  <si>
    <t>0245957541</t>
  </si>
  <si>
    <t>450520, БАШКОРТОСТАН РЕСПУБЛИКА, РАЙОН УФИМСКИЙ, СЕЛО ЗУБОВО, УЛИЦА ЗЕЛЕНАЯ, ДОМ 3</t>
  </si>
  <si>
    <t>Галеев Роберт Раилевич</t>
  </si>
  <si>
    <t>89374723193@mail.ru'</t>
  </si>
  <si>
    <t>54.624702,55.920315</t>
  </si>
  <si>
    <t>ОБЩЕСТВО С ОГРАНИЧЕННОЙ ОТВЕТСТВЕННОСТЬЮ "БЕТОН СЕРВИС"</t>
  </si>
  <si>
    <t xml:space="preserve"> "БЕТОН СЕРВИС"</t>
  </si>
  <si>
    <t>0245959130</t>
  </si>
  <si>
    <t>450522, БАШКОРТОСТАН РЕСПУБЛИКА, РАЙОН УФИМСКИЙ, СЕЛО ЗУБОВО, УЛИЦА РОССИЙСКАЯ, ДОМ 14</t>
  </si>
  <si>
    <t>Шарафутдинов Гаяз Раисович</t>
  </si>
  <si>
    <t>55.137605,54.638796</t>
  </si>
  <si>
    <t>ОБЩЕСТВО С ОГРАНИЧЕННОЙ ОТВЕТСТВЕННОСТЬЮ "МОНОЛИТ+"</t>
  </si>
  <si>
    <t xml:space="preserve"> "МОНОЛИТ+"</t>
  </si>
  <si>
    <t>0249995308</t>
  </si>
  <si>
    <t>452200, БАШКОРТОСТАН РЕСП., Р-Н Чекмагушевский, С. Чекмагуш, УЛ. В.ИСХАКОВА, Д. 4</t>
  </si>
  <si>
    <t>Муллаянов Ильшат Ришатович</t>
  </si>
  <si>
    <t>+7 (347) 963-31-08', '+7 (917) 444-00-77'</t>
  </si>
  <si>
    <t>54.566068,55.589016</t>
  </si>
  <si>
    <t>ОБЩЕСТВО С ОГРАНИЧЕННОЙ ОТВЕТСТВЕННОСТЬЮ "БЕТОН-МАКС"</t>
  </si>
  <si>
    <t xml:space="preserve"> "БЕТОН-МАКС"</t>
  </si>
  <si>
    <t>0250016726</t>
  </si>
  <si>
    <t>452161, БАШКОРТОСТАН РЕСП., Р-Н Чишминский, Д. Арово, УЛ. БАБИКОВСКАЯ, Д. 5</t>
  </si>
  <si>
    <t>Никогосян Вреж Жораевич</t>
  </si>
  <si>
    <t>+7 (917) 359-85-23'</t>
  </si>
  <si>
    <t>54.588523,55.382063</t>
  </si>
  <si>
    <t>0250017705</t>
  </si>
  <si>
    <t>452170, БАШКОРТОСТАН РЕСПУБЛИКА, Р-Н ЧИШМИНСКИЙ, РП ЧИШМЫ, ПР-КТ ДРУЖБЫ, Д. 1Б</t>
  </si>
  <si>
    <t>Галикеев Линар Римович</t>
  </si>
  <si>
    <t>+7 (927) 307-43-14'</t>
  </si>
  <si>
    <t>54.082614,54.091749</t>
  </si>
  <si>
    <t>ОБЩЕСТВО С ОГРАНИЧЕННОЙ ОТВЕТСТВЕННОСТЬЮ "БЕЛЕБЕЕВСКИЙ БЕТОН"</t>
  </si>
  <si>
    <t xml:space="preserve"> "БЕЛЕБЕЕВСКИЙ БЕТОН"</t>
  </si>
  <si>
    <t>0255023678</t>
  </si>
  <si>
    <t>Республика Башкортостан, БЕЛЕБЕЕВСКИЙ, 1 ГОРОД БЕЛЕБЕЙ, Г БЕЛЕБЕЙ, УЛ 10-Й КИЛОМЕТР, Д. 6</t>
  </si>
  <si>
    <t>Линник Елена Юрьевна</t>
  </si>
  <si>
    <t>OOOKONSALT@BK.RU'</t>
  </si>
  <si>
    <t>58.105844,53.879578</t>
  </si>
  <si>
    <t>ОБЩЕСТВО С ОГРАНИЧЕННОЙ ОТВЕТСТВЕННОСТЬЮ "КАЛИТА"</t>
  </si>
  <si>
    <t xml:space="preserve"> "КАЛИТА"</t>
  </si>
  <si>
    <t>0256017934</t>
  </si>
  <si>
    <t>РЕСПУБЛИКА БАШКОРТОСТАН,БЕЛОРЕЦКИЙ Р-Н,С СЕРМЕНЕВО,УЛ КАЛИНИНА,2</t>
  </si>
  <si>
    <t>Штоков Виталий Викторович</t>
  </si>
  <si>
    <t>53.951564,58.373093</t>
  </si>
  <si>
    <t>ОБЩЕСТВО С ОГРАНИЧЕННОЙ ОТВЕТСТВЕННОСТЬЮ "ЕВРОДОРСТРОЙ"</t>
  </si>
  <si>
    <t xml:space="preserve"> "ЕВРОДОРСТРОЙ"</t>
  </si>
  <si>
    <t>0256998370</t>
  </si>
  <si>
    <t>453510, БАШКОРТОСТАН РЕСПУБЛИКА, РАЙОН БЕЛОРЕЦКИЙ, ГОРОД БЕЛОРЕЦК, УЛИЦА ЦЕНТРАЛЬНАЯ, ДОМ 37</t>
  </si>
  <si>
    <t>Езекян Бортегимос Самсонович</t>
  </si>
  <si>
    <t>54.651759,55.139725</t>
  </si>
  <si>
    <t>ОБЩЕСТВО С ОГРАНИЧЕННОЙ ОТВЕТСТВЕННОСТЬЮ "БАШКИРСКИЙ БЛАГОВЕЩЕНСКИЙ БЕТОН"</t>
  </si>
  <si>
    <t xml:space="preserve"> "БАШКИРСКИЙ БЛАГОВЕЩЕНСКИЙ БЕТОН"</t>
  </si>
  <si>
    <t>0258950310</t>
  </si>
  <si>
    <t>РЕСПУБЛИКА БАШКОРТОСТАН,ЧЕКМАГУШЕВСКИЙ Р-Н,С ЧЕКМАГУШ</t>
  </si>
  <si>
    <t>Авдеев Артем Николаевич</t>
  </si>
  <si>
    <t>+7 (987) 100-10-08', '+7 (987) 100-10-09'</t>
  </si>
  <si>
    <t>53.432728,56.035183</t>
  </si>
  <si>
    <t xml:space="preserve"> "ТЕХНОЛОГИИ БЕТОНА"</t>
  </si>
  <si>
    <t>0261021485</t>
  </si>
  <si>
    <t>453203, БАШКОРТОСТАН РЕСПУБЛИКА, РАЙОН ИШИМБАЙСКИЙ, ГОРОД ИШИМБАЙ, УЛИЦА БЛОХИНА, ДОМ 14, КОРПУС В</t>
  </si>
  <si>
    <t>Попов Алексей Валентинович</t>
  </si>
  <si>
    <t>+7 (917) 784-10-20'</t>
  </si>
  <si>
    <t>708OK@mail.RU', 'betona453203@mail.ru'</t>
  </si>
  <si>
    <t>ОБЩЕСТВО С ОГРАНИЧЕННОЙ ОТВЕТСТВЕННОСТЬЮ "ИШИМБАЙСКИЙ РАСТВОРОБЕТОННЫЙ УЗЕЛ"</t>
  </si>
  <si>
    <t xml:space="preserve"> "ИШИМБАЙСКИЙ РАСТВОРОБЕТОННЫЙ УЗЕЛ"</t>
  </si>
  <si>
    <t>0261036690</t>
  </si>
  <si>
    <t>453204, БАШКОРТОСТАН РЕСПУБЛИКА, РАЙОН ИШИМБАЙСКИЙ, ГОРОД ИШИМБАЙ, УЛИЦА ЖУКОВА, ДОМ 16, КОРПУС А, ОФИС 4</t>
  </si>
  <si>
    <t>Кадырова Альфия Марсовна</t>
  </si>
  <si>
    <t>ooo_rbu@mail.ru'</t>
  </si>
  <si>
    <t>53.435534,56.040608</t>
  </si>
  <si>
    <t xml:space="preserve"> "СУПЕРБЕТОН"</t>
  </si>
  <si>
    <t>0261050119</t>
  </si>
  <si>
    <t>453204, Республика Башкортостан, муниципальный район ИШИМБАЙСКИЙ, Город ИШИМБАЙ, городское поселение ГОРОД ИШИМБАЙ, УЛ БОГДАНА ХМЕЛЬНИЦКОГО, Д. 2А, ПОМЕЩ. 3</t>
  </si>
  <si>
    <t>Халиков Тимур Радикович</t>
  </si>
  <si>
    <t>52.777615,55.843105</t>
  </si>
  <si>
    <t>ОБЩЕСТВО С ОГРАНИЧЕННОЙ ОТВЕТСТВЕННОСТЬЮ "КУМЕРТАУ БЕТОН"</t>
  </si>
  <si>
    <t xml:space="preserve"> "КУМЕРТАУ БЕТОН"</t>
  </si>
  <si>
    <t>0262031091</t>
  </si>
  <si>
    <t>453304, БАШКОРТОСТАН РЕСПУБЛИКА, Г. КУМЕРТАУ, УЛ. АПРЕЛЬСКАЯ, Д. 19, К. 1, ПОМЕЩ. 2 ОФИС 1</t>
  </si>
  <si>
    <t>Серяк Алексей Борисович</t>
  </si>
  <si>
    <t>54.583451,55.350388</t>
  </si>
  <si>
    <t>ОБЩЕСТВО С ОГРАНИЧЕННОЙ ОТВЕТСТВЕННОСТЬЮ "БИЛДСТРОЙ"</t>
  </si>
  <si>
    <t xml:space="preserve"> "БИЛДСТРОЙ"</t>
  </si>
  <si>
    <t>0262034092</t>
  </si>
  <si>
    <t>452173, Республика Башкортостан, муниципальный район ЧИШМИНСКИЙ, РП ЧИШМЫ, городское поселение ЧИШМИНСКИЙ ПОССОВЕТ, ПЕР СПОРТИВНЫЙ, Д. 1,..</t>
  </si>
  <si>
    <t>Мусин Радмир Ханифович</t>
  </si>
  <si>
    <t>52.961839,55.926388</t>
  </si>
  <si>
    <t>ОБЩЕСТВО С ОГРАНИЧЕННОЙ ОТВЕТСТВЕННОСТЬЮ "РЕАЛБЕТОН"</t>
  </si>
  <si>
    <t xml:space="preserve"> "РЕАЛБЕТОН"</t>
  </si>
  <si>
    <t>0263017163</t>
  </si>
  <si>
    <t>453852, БАШКОРТОСТАН РЕСПУБЛИКА, РАЙОН МЕЛЕУЗОВСКИЙ, ГОРОД МЕЛЕУЗ, УЛИЦА БУРАНГУЛОВА, ДОМ 27А</t>
  </si>
  <si>
    <t>Сиротин Андрей Валентинович</t>
  </si>
  <si>
    <t>+7 (927) 964-89-97'</t>
  </si>
  <si>
    <t>realbeton2015@mail.ru'</t>
  </si>
  <si>
    <t>54.492374,53.440138</t>
  </si>
  <si>
    <t>ОБЩЕСТВО С ОГРАНИЧЕННОЙ ОТВЕТСТВЕННОСТЬЮ "ТУБИ"</t>
  </si>
  <si>
    <t xml:space="preserve"> "ТУБИ"</t>
  </si>
  <si>
    <t>0265050092</t>
  </si>
  <si>
    <t>452607, БАШКОРТОСТАН РЕСПУБЛИКА, ГОРОД ОКТЯБРЬСКИЙ, УЛИЦА МАЛАЯ, ДОМ 2, ОФИС 2</t>
  </si>
  <si>
    <t>Шамсеев Ильнур Мухтарович</t>
  </si>
  <si>
    <t>54.755358,55.966722</t>
  </si>
  <si>
    <t>ОБЩЕСТВО С ОГРАНИЧЕННОЙ ОТВЕТСТВЕННОСТЬЮ ПРОИЗВОДСТВЕННО-КОММЕРЧЕСКАЯ ФИРМА "БЕТОНСТРОЙ"</t>
  </si>
  <si>
    <t xml:space="preserve"> ПРОИЗВОДСТВЕННО-КОММЕРЧЕСКАЯ ФИРМА "БЕТОНСТРОЙ"</t>
  </si>
  <si>
    <t>0266046620</t>
  </si>
  <si>
    <t>450006, БАШКОРТОСТАН РЕСПУБЛИКА, Г. УФА, ПР-Д САФРОНОВСКИЙ, Д. 6, ОФИС 2</t>
  </si>
  <si>
    <t>Исхаков Ранис Ринатович</t>
  </si>
  <si>
    <t>betonstroy16@mail.ru'</t>
  </si>
  <si>
    <t>53.684991,55.993519</t>
  </si>
  <si>
    <t>Общество с ограниченной ответственностью "БЕТОНСЕРВИС"</t>
  </si>
  <si>
    <t>0268044227</t>
  </si>
  <si>
    <t>РЕСПУБЛИКА БАШКОРТОСТАН,Г СТЕРЛИТАМАК,УЛ БАБУШКИНА,167</t>
  </si>
  <si>
    <t>Зубаиров Артур Явдатович</t>
  </si>
  <si>
    <t>+7 (917) 419-48-25', '+7 (917) 482-05-55', '+7 (919) 153-97-95', '+7 (927) 232-65-56'</t>
  </si>
  <si>
    <t>53.621784,55.930511</t>
  </si>
  <si>
    <t>ОБЩЕСТВО С ОГРАНИЧЕННОЙ ОТВЕТСТВЕННОСТЬЮ "КУГАНАКСКИЙ ЖЕЛЕЗОБЕТОННЫЙ ЗАВОД"</t>
  </si>
  <si>
    <t xml:space="preserve"> "КУГАНАКСКИЙ ЖЕЛЕЗОБЕТОННЫЙ ЗАВОД"</t>
  </si>
  <si>
    <t>0268057530</t>
  </si>
  <si>
    <t>453120, БАШКОРТОСТАН РЕСПУБЛИКА, ГОРОД СТЕРЛИТАМАК, УЛИЦА САЛТЫКОВА-ЩЕДРИНА, 1 А</t>
  </si>
  <si>
    <t>Засорин Андрей Андреевич</t>
  </si>
  <si>
    <t>+7 (967) 138-61-16'</t>
  </si>
  <si>
    <t>54.791404,55.884113</t>
  </si>
  <si>
    <t>ОБЩЕСТВО С ОГРАНИЧЕННОЙ ОТВЕТСТВЕННОСТЬЮ "САЛАВАТ-БЕТОН"</t>
  </si>
  <si>
    <t xml:space="preserve"> "САЛАВАТ-БЕТОН"</t>
  </si>
  <si>
    <t>0268059657</t>
  </si>
  <si>
    <t>450017, БАШКОРТОСТАН РЕСПУБЛИКА, Г. УФА, УЛ. ШМИДТА, Д. 61</t>
  </si>
  <si>
    <t>Гараев Радик Маскутович</t>
  </si>
  <si>
    <t>+7 (965) 944-58-03'</t>
  </si>
  <si>
    <t>54.730557,55.962635</t>
  </si>
  <si>
    <t>ОБЩЕСТВО С ОГРАНИЧЕННОЙ ОТВЕТСТВЕННОСТЬЮ ТОРГОВАЯ КОМПАНИЯ "БЕТОН"</t>
  </si>
  <si>
    <t xml:space="preserve"> ТОРГОВАЯ КОМПАНИЯ "БЕТОН"</t>
  </si>
  <si>
    <t>0268079075</t>
  </si>
  <si>
    <t>450077, Республика Башкортостан, городской округ ГОРОД УФА, Город УФА, УЛ ПАРХОМЕНКО, Д. 71, ЭТАЖ 1, ПОМЕЩ. 7А</t>
  </si>
  <si>
    <t>Хусаинова Наталия Константиновна</t>
  </si>
  <si>
    <t>+7 (937) 153-46-54'</t>
  </si>
  <si>
    <t>53.690099,55.967423</t>
  </si>
  <si>
    <t>ОБЩЕСТВО С ОГРАНИЧЕННОЙ ОТВЕТСТВЕННОСТЬЮ "ГОРСТРОЙБЕТОН"</t>
  </si>
  <si>
    <t xml:space="preserve"> "ГОРСТРОЙБЕТОН"</t>
  </si>
  <si>
    <t>0268085047</t>
  </si>
  <si>
    <t>453102, БАШКОРТОСТАН РЕСПУБЛИКА, ГОРОД СТЕРЛИТАМАК, УЛИЦА ОЛЕГА КОШЕВОГО, ДОМ 2, КОРПУС А</t>
  </si>
  <si>
    <t>Накиев Ришат Фелоретович</t>
  </si>
  <si>
    <t>+7 (987) 107-55-55'</t>
  </si>
  <si>
    <t>53.653527,55.970172</t>
  </si>
  <si>
    <t>ОБЩЕСТВО С ОГРАНИЧЕННОЙ ОТВЕТСТВЕННОСТЬЮ "САНРЕМОСТРОЙ"</t>
  </si>
  <si>
    <t xml:space="preserve"> "САНРЕМОСТРОЙ"</t>
  </si>
  <si>
    <t>0268092076</t>
  </si>
  <si>
    <t>453104, БАШКОРТОСТАН РЕСПУБЛИКА, ГОРОД СТЕРЛИТАМАК, УЛИЦА ПРОФСОЮЗНАЯ, ВЛД 14, ОФИС 1</t>
  </si>
  <si>
    <t>Федосеева Лидия Владимировна</t>
  </si>
  <si>
    <t>54.884809,52.285148</t>
  </si>
  <si>
    <t>ОБЩЕСТВО С ОГРАНИЧЕННОЙ ОТВЕТСТВЕННОСТЬЮ "СТРОЙСПЕЦТРАНСПОРТ"</t>
  </si>
  <si>
    <t xml:space="preserve"> "СТРОЙСПЕЦТРАНСПОРТ"</t>
  </si>
  <si>
    <t>0269038219</t>
  </si>
  <si>
    <t>423458, ТАТАРСТАН РЕСПУБЛИКА, РАЙОН АЛЬМЕТЬЕВСКИЙ, ГОРОД АЛЬМЕТЬЕВСК, УЛИЦА ОБЪЕЗДНАЯ, ДОМ 18А, ПОМЕЩЕНИЕ 8</t>
  </si>
  <si>
    <t>Сафиуллин Рустам Талгатович</t>
  </si>
  <si>
    <t>+7 (919) 620-44-44'</t>
  </si>
  <si>
    <t>sst20150409@mail.ru'</t>
  </si>
  <si>
    <t>54.599685,53.708627</t>
  </si>
  <si>
    <t>ОБЩЕСТВО С ОГРАНИЧЕННОЙ ОТВЕТСТВЕННОСТЬЮ "МОСТБЕТОН"</t>
  </si>
  <si>
    <t xml:space="preserve"> "МОСТБЕТОН"</t>
  </si>
  <si>
    <t>0269042960</t>
  </si>
  <si>
    <t>452757, Республика Башкортостан, ТУЙМАЗИНСКИЙ, 1 ГОРОД ТУЙМАЗЫ, Г ТУЙМАЗЫ, УЛ ЦЮРУПЫ, Д. 52</t>
  </si>
  <si>
    <t>Давыдкин Андрей Анатольевич</t>
  </si>
  <si>
    <t>SAVAHOME@BK.RU'</t>
  </si>
  <si>
    <t>56.253892,54.95168</t>
  </si>
  <si>
    <t xml:space="preserve"> "СТРОЙСЕРВИС"</t>
  </si>
  <si>
    <t>0271055412</t>
  </si>
  <si>
    <t>452800, БАШКОРТОСТАН РЕСПУБЛИКА, ЯНАУЛЬСКИЙ РАЙОН, ГОРОД ЯНАУЛ, УЛИЦА СОЛНЕЧНАЯ, ДОМ 4</t>
  </si>
  <si>
    <t>Саитов Альберт Тимирханович</t>
  </si>
  <si>
    <t>54.688191,55.796949</t>
  </si>
  <si>
    <t>Общество с ограниченной ответственностью "Лидер Гарант"</t>
  </si>
  <si>
    <t xml:space="preserve"> "Лидер Гарант"</t>
  </si>
  <si>
    <t>0272017667</t>
  </si>
  <si>
    <t>450095, Республика Башкортостан, ГОРОД УФА, ул Майкопская,58</t>
  </si>
  <si>
    <t>Аминов Ришат Раисович</t>
  </si>
  <si>
    <t>+7 (347) 294-84-10', '+7 (905) 004-00-92'</t>
  </si>
  <si>
    <t>54.696314,55.82433</t>
  </si>
  <si>
    <t>ОБЩЕСТВО С ОГРАНИЧЕННОЙ ОТВЕТСТВЕННОСТЬЮ "ТЕХНО-БЕТОН"</t>
  </si>
  <si>
    <t xml:space="preserve"> "ТЕХНО-БЕТОН"</t>
  </si>
  <si>
    <t>0272915981</t>
  </si>
  <si>
    <t>450095, БАШКОРТОСТАН РЕСПУБЛИКА, ГОРОД УФА, УЛИЦА ЛЕВИТАНА, ДОМ 49</t>
  </si>
  <si>
    <t>Амерханова Гульнара Альфредовна</t>
  </si>
  <si>
    <t>54.706485,55.835209</t>
  </si>
  <si>
    <t>ОБЩЕСТВО С ОГРАНИЧЕННОЙ ОТВЕТСТВЕННОСТЬЮ "ЭКО-БЕТОН ГРУПП"</t>
  </si>
  <si>
    <t xml:space="preserve"> "ЭКО-БЕТОН ГРУПП"</t>
  </si>
  <si>
    <t>0272918171</t>
  </si>
  <si>
    <t>450024, Республика Башкортостан, городской округ ГОРОД УФА, Город УФА, УЛ ТАЛЛИНСКАЯ, Д. 21Б,..</t>
  </si>
  <si>
    <t>Гришин Кирилл Александрович</t>
  </si>
  <si>
    <t>EKOBETON21@LIST.RU'</t>
  </si>
  <si>
    <t>54.696199,56.131428</t>
  </si>
  <si>
    <t xml:space="preserve"> "ПЕРВАЯ БЕТОННАЯ КОМПАНИЯ"</t>
  </si>
  <si>
    <t>0273912133</t>
  </si>
  <si>
    <t>450902, Республика Башкортостан, городской округ ГОРОД УФА, Село ФЕДОРОВКА, УЛ РАССВЕТНАЯ, Д. 79,</t>
  </si>
  <si>
    <t>Мирсаева Лена Ринатовна</t>
  </si>
  <si>
    <t>+7 (919) 618-84-31'</t>
  </si>
  <si>
    <t>54.695362,55.954694</t>
  </si>
  <si>
    <t>ОБЩЕСТВО С ОГРАНИЧЕННОЙ ОТВЕТСТВЕННОСТЬЮ "МОЕ ОКНО"</t>
  </si>
  <si>
    <t xml:space="preserve"> "МОЕ ОКНО"</t>
  </si>
  <si>
    <t>0274111256</t>
  </si>
  <si>
    <t>Г УФА,УЛ КОСМОДЕМЬЯНСКОЙ,113</t>
  </si>
  <si>
    <t>Ворничан Владимир Федосиевич</t>
  </si>
  <si>
    <t>+7 (927) 090-20-69'</t>
  </si>
  <si>
    <t>54.725093,55.931876</t>
  </si>
  <si>
    <t xml:space="preserve"> "КОНКРИТ"</t>
  </si>
  <si>
    <t>0274186734</t>
  </si>
  <si>
    <t>450076, БАШКОРТОСТАН РЕСПУБЛИКА, ГОРОД УФА, УЛИЦА ПУШКИНА, ДОМ 45, КОРПУС 2, ОФИС 4</t>
  </si>
  <si>
    <t>Файзуллина Марина Юрьевна</t>
  </si>
  <si>
    <t>+7 (347) 291-23-80', '+7 (917) 795-54-96'</t>
  </si>
  <si>
    <t>bc_ufa@mail.ru'</t>
  </si>
  <si>
    <t>54.708274,55.82327</t>
  </si>
  <si>
    <t>ОБЩЕСТВО С ОГРАНИЧЕННОЙ ОТВЕТСТВЕННОСТЬЮ "РБУ"</t>
  </si>
  <si>
    <t xml:space="preserve"> "РБУ"</t>
  </si>
  <si>
    <t>0274187047</t>
  </si>
  <si>
    <t>Г УФА,УЛ МУСЫ ДЖАЛИЛЯ,109</t>
  </si>
  <si>
    <t>Гитиномагомедова Елена Александровна</t>
  </si>
  <si>
    <t>+7 (917) 762-44-82', '+7 (937) 788-03-88'</t>
  </si>
  <si>
    <t>54.77791,56.03653</t>
  </si>
  <si>
    <t>ОБЩЕСТВО С ОГРАНИЧЕННОЙ ОТВЕТСТВЕННОСТЬЮ "ЗИНИНСКИЙ ЗАВОД БЕТОНА"</t>
  </si>
  <si>
    <t xml:space="preserve"> "ЗИНИНСКИЙ ЗАВОД БЕТОНА"</t>
  </si>
  <si>
    <t>0274929482</t>
  </si>
  <si>
    <t>450104, БАШКОРТОСТАН РЕСПУБЛИКА, ГОРОД УФА, УЛИЦА РОССИЙСКАЯ, ДОМ 43,..</t>
  </si>
  <si>
    <t>Великжанина Ирина Анатольевна</t>
  </si>
  <si>
    <t>+7 (905) 359-10-17', '+7 (965) 921-07-51'</t>
  </si>
  <si>
    <t>zininobeton@gmail.com', 'zzb@zzbeton.ru'</t>
  </si>
  <si>
    <t>54.704149,55.985892</t>
  </si>
  <si>
    <t>ОБЩЕСТВО С ОГРАНИЧЕННОЙ ОТВЕТСТВЕННОСТЬЮ "БЕТОНТРЕЙДКОМПАНИ"</t>
  </si>
  <si>
    <t xml:space="preserve"> "БЕТОНТРЕЙДКОМПАНИ"</t>
  </si>
  <si>
    <t>0274944890</t>
  </si>
  <si>
    <t>450106, БАШКОРТОСТАН РЕСПУБЛИКА, Г. УФА, УЛ. РАБКОРОВ, Д. 2, К. 9, ПОМЕЩ. 16</t>
  </si>
  <si>
    <t>54.693894,56.001756</t>
  </si>
  <si>
    <t>0274945519</t>
  </si>
  <si>
    <t>450092, БАШКОРТОСТАН РЕСПУБЛИКА, ГОРОД УФА, УЛИЦА СОФЬИ ПЕРОВСКОЙ, ДОМ 29</t>
  </si>
  <si>
    <t>Маркарян Арарат Ашотович</t>
  </si>
  <si>
    <t>54.673533,55.950597</t>
  </si>
  <si>
    <t>0274952467</t>
  </si>
  <si>
    <t>450074, БАШКОРТОСТАН РЕСПУБЛИКА, ГОРОД УФА, УЛИЦА БОРОДИНСКАЯ, ДОМ 31, СТР 1, ОФИС 202</t>
  </si>
  <si>
    <t>Забрудский Владимир Дмитриевич</t>
  </si>
  <si>
    <t>54.570969,55.926738</t>
  </si>
  <si>
    <t>ОБЩЕСТВО С ОГРАНИЧЕННОЙ ОТВЕТСТВЕННОСТЬЮ "РЕМПРОМСТРОЙ"</t>
  </si>
  <si>
    <t xml:space="preserve"> "РЕМПРОМСТРОЙ"</t>
  </si>
  <si>
    <t>0274960404</t>
  </si>
  <si>
    <t>450056, БАШКОРТОСТАН РЕСПУБЛИКА, ГОРОД УФА, ДЕРЕВНЯ МОКРОУСОВО, УЛИЦА МОКРОУСОВСКАЯ, ДОМ 2/12</t>
  </si>
  <si>
    <t>Рублев Александр Анатольевич</t>
  </si>
  <si>
    <t>54.703951,55.985838</t>
  </si>
  <si>
    <t>ОБЩЕСТВО С ОГРАНИЧЕННОЙ ОТВЕТСТВЕННОСТЬЮ "БЕТОНТРЕНД"</t>
  </si>
  <si>
    <t xml:space="preserve"> "БЕТОНТРЕНД"</t>
  </si>
  <si>
    <t>0274961380</t>
  </si>
  <si>
    <t>450106, БАШКОРТОСТАН РЕСПУБЛИКА, ГОРОД УФА, УЛИЦА РАБКОРОВ, ДОМ 2/9, ПОМЕЩЕНИЕ 1</t>
  </si>
  <si>
    <t>Бурико Константин Игоревич</t>
  </si>
  <si>
    <t>54.701329,55.998172</t>
  </si>
  <si>
    <t xml:space="preserve"> "БЕТОН"</t>
  </si>
  <si>
    <t>0274962546</t>
  </si>
  <si>
    <t>450092, БАШКОРТОСТАН РЕСП, Г. Уфа, УЛ. МУБАРЯКОВА, Д. 11/3, КАБИНЕТ 5</t>
  </si>
  <si>
    <t>Сибагатов Ильгиз Фаназитович</t>
  </si>
  <si>
    <t>54.716871,56.00976</t>
  </si>
  <si>
    <t>ОБЩЕСТВО С ОГРАНИЧЕННОЙ ОТВЕТСТВЕННОСТЬЮ «АСР БЕТОН»</t>
  </si>
  <si>
    <t xml:space="preserve"> «АСР БЕТОН»</t>
  </si>
  <si>
    <t>0274967015</t>
  </si>
  <si>
    <t>450022, БАШКОРТОСТАН РЕСП., Г. Уфа, УЛ. МЕНДЕЛЕЕВА, Д. 134, ЭТАЖ 11 ПОМЕЩ. 8</t>
  </si>
  <si>
    <t>Валеев Раис Рафаилович</t>
  </si>
  <si>
    <t>ASRBETON@MAIL.RU'</t>
  </si>
  <si>
    <t>54.726933,55.93246</t>
  </si>
  <si>
    <t>ОБЩЕСТВО С ОГРАНИЧЕННОЙ ОТВЕТСТВЕННОСТЬЮ "СТРОЙТРАНСИНВЕСТ"</t>
  </si>
  <si>
    <t xml:space="preserve"> "СТРОЙТРАНСИНВЕСТ"</t>
  </si>
  <si>
    <t>0274971276</t>
  </si>
  <si>
    <t>450076, БАШКОРТОСТАН РЕСП., Г. Уфа, УЛ. СВЕРДЛОВА, Д. 53,..</t>
  </si>
  <si>
    <t>Афанасьев Константин Анатольевич</t>
  </si>
  <si>
    <t>DIALOG01@MAIL.RU'</t>
  </si>
  <si>
    <t>54.72973,55.985928</t>
  </si>
  <si>
    <t>ОБЩЕСТВО С ОГРАНИЧЕННОЙ ОТВЕТСТВЕННОСТЬЮ "ВостокТрейд"</t>
  </si>
  <si>
    <t xml:space="preserve"> "ВостокТрейд"</t>
  </si>
  <si>
    <t>0275075843</t>
  </si>
  <si>
    <t>450078, БАШКОРТОСТАН РЕСПУБЛИКА, Г. УФА, УЛ. РЕВОЛЮЦИОННАЯ, Д. 154/1, КАБИНЕТ 6, 3 ЭТАЖ</t>
  </si>
  <si>
    <t>+7 (917) 777-54-44', '+7 (347) 275-97-92', '+7 (917) 475-75-58'</t>
  </si>
  <si>
    <t>54.737434,55.933305</t>
  </si>
  <si>
    <t>0275900790</t>
  </si>
  <si>
    <t>450052, БАШКОРТОСТАН РЕСПУБЛИКА, Г. УФА, УЛ. ГАФУРИ, Д. 105</t>
  </si>
  <si>
    <t>Нургалеев Руслан Радикович</t>
  </si>
  <si>
    <t>+7 (937) 472-10-00'</t>
  </si>
  <si>
    <t>54.768531,55.95835</t>
  </si>
  <si>
    <t>ОБЩЕСТВО С ОГРАНИЧЕННОЙ ОТВЕТСТВЕННОСТЬЮ "БЕТОННЫЕ ТЕХНОЛОГИИ"</t>
  </si>
  <si>
    <t xml:space="preserve"> "БЕТОННЫЕ ТЕХНОЛОГИИ"</t>
  </si>
  <si>
    <t>0275911054</t>
  </si>
  <si>
    <t>450007, БАШКОРТОСТАН РЕСПУБЛИКА, ГОРОД УФА, ПРОЕЗД БАЗИСНЫЙ, ДОМ 2</t>
  </si>
  <si>
    <t>54.75171,55.910568</t>
  </si>
  <si>
    <t>ОБЩЕСТВО С ОГРАНИЧЕННОЙ ОТВЕТСТВЕННОСТЬЮ «ВЕГА»</t>
  </si>
  <si>
    <t xml:space="preserve"> «ВЕГА»</t>
  </si>
  <si>
    <t>0275921060</t>
  </si>
  <si>
    <t>450019, БАШКОРТОСТАН РЕСП., Г. Уфа, УЛ. ДЕРЕВЕНСКАЯ ПЕРЕПРАВА, Д. 15, К. 3, ПОМЕЩ. 1</t>
  </si>
  <si>
    <t>Мхитарян Аркадий Карленович</t>
  </si>
  <si>
    <t>54.736348,55.900867</t>
  </si>
  <si>
    <t>ОБЩЕСТВО С ОГРАНИЧЕННОЙ ОТВЕТСТВЕННОСТЬЮ "ПОСТРОЙ-КА"</t>
  </si>
  <si>
    <t xml:space="preserve"> "ПОСТРОЙ-КА"</t>
  </si>
  <si>
    <t>0275928354</t>
  </si>
  <si>
    <t>450019, Республика Башкортостан, ГОРОД УФА, Г УФА, УЛ МАЛАЯ ПЕРЕВАЛОЧНАЯ, Д. 2/2А, КОМ. 2</t>
  </si>
  <si>
    <t>Гареев Артур Азатович</t>
  </si>
  <si>
    <t>54.778886,56.03697</t>
  </si>
  <si>
    <t>ОБЩЕСТВО С ОГРАНИЧЕННОЙ ОТВЕТСТВЕННОСТЬЮ "Регион-Строй"</t>
  </si>
  <si>
    <t xml:space="preserve"> "Регион-Строй"</t>
  </si>
  <si>
    <t>0276144306</t>
  </si>
  <si>
    <t>450104, БАШКОРТОСТАН РЕСПУБЛИКА, Г. УФА, УЛ. РОССИЙСКАЯ, Д.41</t>
  </si>
  <si>
    <t>Китапов Рустам Адгамович</t>
  </si>
  <si>
    <t>+7 (347) 284-05-44', '+7 (347) 284-05-44'</t>
  </si>
  <si>
    <t>DBS32222@MAIL.RU'</t>
  </si>
  <si>
    <t>54.499663,55.888452</t>
  </si>
  <si>
    <t>ОБЩЕСТВО С ОГРАНИЧЕННОЙ ОТВЕТСТВЕННОСТЬЮ "БАШБЕТОНСЕРВИС"</t>
  </si>
  <si>
    <t xml:space="preserve"> "БАШБЕТОНСЕРВИС"</t>
  </si>
  <si>
    <t>0276909160</t>
  </si>
  <si>
    <t>РЕСПУБЛИКА БАШКОРТОСТАН,УФИМСКИЙ Р-Н,С БУЛГАКОВО,ПЕРЕУЛОК КОНТОРСКИЙ,3</t>
  </si>
  <si>
    <t>Габдулхаков Ривал Минисламович</t>
  </si>
  <si>
    <t>+7 (347) 292-41-52'</t>
  </si>
  <si>
    <t>050kvn@mail.ru'</t>
  </si>
  <si>
    <t>54.762371,55.999735</t>
  </si>
  <si>
    <t>ОБЩЕСТВО С ОГРАНИЧЕННОЙ ОТВЕТСТВЕННОСТЬЮ "СТРОЙЭТАЛОН"</t>
  </si>
  <si>
    <t xml:space="preserve"> "СТРОЙЭТАЛОН"</t>
  </si>
  <si>
    <t>0276929110</t>
  </si>
  <si>
    <t>450083, БАШКОРТОСТАН РЕСПУБЛИКА, ГОРОД УФА, УЛИЦА РИХАРДА ЗОРГЕ, ДОМ 47,..</t>
  </si>
  <si>
    <t>Галиева Алия Раисовна</t>
  </si>
  <si>
    <t>+7 (927) 347-97-66', '+7 (917) 476-32-87'</t>
  </si>
  <si>
    <t>strojetalon@mail.ru'</t>
  </si>
  <si>
    <t>54.771725,56.251524</t>
  </si>
  <si>
    <t>ОБЩЕСТВО С ОГРАНИЧЕННОЙ ОТВЕТСТВЕННОСТЬЮ "СтройБетон-НК"</t>
  </si>
  <si>
    <t xml:space="preserve"> "СтройБетон-НК"</t>
  </si>
  <si>
    <t>0277115499</t>
  </si>
  <si>
    <t>450069, Республика Башкортостан, городской округ ГОРОД УФА, Город УФА, УЛ ПРОИЗВОДСТВЕННАЯ, Д. 2/5,</t>
  </si>
  <si>
    <t>Чуктуров Александр Григорьевич</t>
  </si>
  <si>
    <t>+7 (347) 279-20-57', '+7 (347) 246-90-64', '+7 (347) 265-97-33'</t>
  </si>
  <si>
    <t>54.826489,56.068663</t>
  </si>
  <si>
    <t>ОБЩЕСТВО С ОГРАНИЧЕННОЙ ОТВЕТСТВЕННОСТЬЮ "Интеграл"</t>
  </si>
  <si>
    <t xml:space="preserve"> "Интеграл"</t>
  </si>
  <si>
    <t>0277126290</t>
  </si>
  <si>
    <t>450044, БАШКОРТОСТАН РЕСПУБЛИКА, ГОРОД УФА, УЛИЦА НОВОЧЕРКАССКАЯ, ДОМ 8, ОФИС 12</t>
  </si>
  <si>
    <t>Евдокимов Евгений Владимирович</t>
  </si>
  <si>
    <t>+7 (347) 240-34-11', '+7 (917) 749-00-34'</t>
  </si>
  <si>
    <t>ufa@list.ru'</t>
  </si>
  <si>
    <t>54.824368,56.06171</t>
  </si>
  <si>
    <t>ОБЩЕСТВО С ОГРАНИЧЕННОЙ ОТВЕТСТВЕННОСТЬЮ "СИГМА"</t>
  </si>
  <si>
    <t xml:space="preserve"> "СИГМА"</t>
  </si>
  <si>
    <t>0277133106</t>
  </si>
  <si>
    <t>450064, БАШКОРТОСТАН РЕСПУБЛИКА, Г. УФА, УЛ. КОМАРОВА, Д. 38</t>
  </si>
  <si>
    <t>Григорьев Константин Анатольевич</t>
  </si>
  <si>
    <t>54.826536,56.088426</t>
  </si>
  <si>
    <t>ОБЩЕСТВО С ОГРАНИЧЕННОЙ ОТВЕТСТВЕННОСТЬЮ "ПРОФБЕТОН"</t>
  </si>
  <si>
    <t xml:space="preserve"> "ПРОФБЕТОН"</t>
  </si>
  <si>
    <t>0277924740</t>
  </si>
  <si>
    <t>450032, БАШКОРТОСТАН РЕСПУБЛИКА, Г. УФА, УЛ. ИНИЦИАТИВНАЯ, Д. 2А, ПОМЕЩ. 1</t>
  </si>
  <si>
    <t>Шафиев Айрат Маратович</t>
  </si>
  <si>
    <t>+7 (917) 750-49-36'</t>
  </si>
  <si>
    <t>profbeton2017@yandex.ru'</t>
  </si>
  <si>
    <t>54.839458,56.083755</t>
  </si>
  <si>
    <t>ОБЩЕСТВО С ОГРАНИЧЕННОЙ ОТВЕТСТВЕННОСТЬЮ "УФИМСКАЯ БЕТОННАЯ КОМПАНИЯ"</t>
  </si>
  <si>
    <t xml:space="preserve"> "УФИМСКАЯ БЕТОННАЯ КОМПАНИЯ"</t>
  </si>
  <si>
    <t>0277954381</t>
  </si>
  <si>
    <t>450029, Республика Башкортостан, городской округ ГОРОД УФА, Город УФА, УЛ ЮБИЛЕЙНАЯ, Д. 7,</t>
  </si>
  <si>
    <t>Савченко Сергей Николаевич</t>
  </si>
  <si>
    <t>54.783539,56.053356</t>
  </si>
  <si>
    <t>Дочернее общество с ограниченной ответственностью "Строительно-промышленный комплекс" открытого акционерного общества "Строительный трест № 3"</t>
  </si>
  <si>
    <t>Дочернее  "Строительно-промышленный комплекс" открытого акционерного общества "Строительный трест № 3"</t>
  </si>
  <si>
    <t>0278042388</t>
  </si>
  <si>
    <t>http://спкбетон.рф</t>
  </si>
  <si>
    <t>Г УФА,ШОССЕ УФИМСКОЕ,24/4</t>
  </si>
  <si>
    <t>Ковшов Максим Юрьевич</t>
  </si>
  <si>
    <t>+7 (347) 235-66-55', '+7 (347) 235-79-90', '+7 (347) 244-60-99', '+7 (347) 235-66-55'</t>
  </si>
  <si>
    <t>beton@yandex.ru', 'ufa@yandex.ru', 'ufabeton@yandex.ru'</t>
  </si>
  <si>
    <t>54.745152,55.790706</t>
  </si>
  <si>
    <t>Общество с ограниченной ответственностью "БашЦементСтрой"</t>
  </si>
  <si>
    <t xml:space="preserve"> "БашЦементСтрой"</t>
  </si>
  <si>
    <t>0278141170</t>
  </si>
  <si>
    <t>http://bcs-ufa.ru</t>
  </si>
  <si>
    <t>450519, БАШКОРТОСТАН РЕСПУБЛИКА, РАЙОН УФИМСКИЙ, СЕЛО МИЛОВКА, БУЛЬВАР СИРЕНЕВЫЙ, ДОМ 5,..</t>
  </si>
  <si>
    <t>Насырова Лира Науфиловна</t>
  </si>
  <si>
    <t>+7 (347) 291-23-80', '+7 (347) 274-88-09'</t>
  </si>
  <si>
    <t>54.744264,55.967836</t>
  </si>
  <si>
    <t xml:space="preserve"> "Строй-Бетон"</t>
  </si>
  <si>
    <t>0278162036</t>
  </si>
  <si>
    <t>http://metalworks.ru</t>
  </si>
  <si>
    <t>450001, БАШКОРТОСТАН РЕСПУБЛИКА, ГОРОД УФА, УЛИЦА ПАРХОМЕНКО, 153, 1</t>
  </si>
  <si>
    <t>Галлямов Ильшат Раулевич</t>
  </si>
  <si>
    <t>+7 (347) 246-06-92'</t>
  </si>
  <si>
    <t>54.637314,55.932586</t>
  </si>
  <si>
    <t>ОБЩЕСТВО С ОГРАНИЧЕННОЙ ОТВЕТСТВЕННОСТЬЮ "БЕТОН ГАРАНТ"</t>
  </si>
  <si>
    <t xml:space="preserve"> "БЕТОН ГАРАНТ"</t>
  </si>
  <si>
    <t>0278920385</t>
  </si>
  <si>
    <t>450591, БАШКОРТОСТАН РЕСПУБЛИКА, РАЙОН УФИМСКИЙ, СЕЛО ЧЕСНОКОВКА, УЛИЦА КАРЬЕРНАЯ, ДОМ 3, СТРОЕНИЕ 3, ОФИС 4</t>
  </si>
  <si>
    <t>Юлдашев Айрат Аскатович</t>
  </si>
  <si>
    <t>+7 (917) 495-45-45', '+7 (937) 472-31-93'</t>
  </si>
  <si>
    <t>54.736992,55.994058</t>
  </si>
  <si>
    <t xml:space="preserve"> "БЕТОННЫЙ ЗАВОД №1"</t>
  </si>
  <si>
    <t>0278947242</t>
  </si>
  <si>
    <t>450097, БАШКОРТОСТАН РЕСПУБЛИКА, ГОРОД УФА, УЛИЦА ЗАВОДСКАЯ, ДОМ 11/1, ОФИС 43</t>
  </si>
  <si>
    <t>Гарифуллин Айдар Раилович</t>
  </si>
  <si>
    <t>info@zbz1.ru'</t>
  </si>
  <si>
    <t>54.724656,56.007712</t>
  </si>
  <si>
    <t>ОБЩЕСТВО С ОГРАНИЧЕННОЙ ОТВЕТСТВЕННОСТЬЮ "АЛЬФА БЕТОН"</t>
  </si>
  <si>
    <t xml:space="preserve"> "АЛЬФА БЕТОН"</t>
  </si>
  <si>
    <t>0278962593</t>
  </si>
  <si>
    <t>450080, БАШКОРТОСТАН РЕСПУБЛИКА, Г. УФА, УЛ. САГИТА АГИША, Д. 14/1,..</t>
  </si>
  <si>
    <t>Лапшин Сергей Александрович</t>
  </si>
  <si>
    <t>54.724827,55.996798</t>
  </si>
  <si>
    <t>ОБЩЕСТВО С ОГРАНИЧЕННОЙ ОТВЕТСТВЕННОСТЬЮ "БК-БЕТОН"</t>
  </si>
  <si>
    <t xml:space="preserve"> "БК-БЕТОН"</t>
  </si>
  <si>
    <t>0278970347</t>
  </si>
  <si>
    <t>450080, БАШКОРТОСТАН РЕСП., Г. Уфа, УЛ. СТЕПАНА ЗЛОБИНА, Д. 31, К. 1, ПОМЕЩ. 8</t>
  </si>
  <si>
    <t>Кильдебекова Раушания Насгутдиновна</t>
  </si>
  <si>
    <t>51.941185,108.145707</t>
  </si>
  <si>
    <t>0306218318</t>
  </si>
  <si>
    <t>671328, БУРЯТИЯ РЕСПУБЛИКА, РАЙОН ЗАИГРАЕВСКИЙ, СЕЛО УСТЬ-БРЯНЬ, УЛИЦА ЛЕСНАЯ, ДОМ 10</t>
  </si>
  <si>
    <t>Скворцова Дарья Олеговна</t>
  </si>
  <si>
    <t>+7 (983) 339-81-32'</t>
  </si>
  <si>
    <t>51.787251,107.573785</t>
  </si>
  <si>
    <t>ОБЩЕСТВО С ОГРАНИЧЕННОЙ ОТВЕТСТВЕННОСТЬЮ "ЖЕЛЕЗОБЕТОН ПЛЮС"</t>
  </si>
  <si>
    <t xml:space="preserve"> "ЖЕЛЕЗОБЕТОН ПЛЮС"</t>
  </si>
  <si>
    <t>0323118497</t>
  </si>
  <si>
    <t>Карякина Елена Львовна</t>
  </si>
  <si>
    <t>51.778721,107.574127</t>
  </si>
  <si>
    <t>ОБЩЕСТВО С ОГРАНИЧЕННОЙ ОТВЕТСТВЕННОСТЬЮ "КАНТИ"</t>
  </si>
  <si>
    <t xml:space="preserve"> "КАНТИ"</t>
  </si>
  <si>
    <t>0323337185</t>
  </si>
  <si>
    <t>http://kanti.ru</t>
  </si>
  <si>
    <t>670031, БУРЯТИЯ РЕСПУБЛИКА, Г. УЛАН-УДЭ, УЛ. ЗАБАЙКАЛЬСКАЯ, Д.17</t>
  </si>
  <si>
    <t>Кантаков Андрей Владимирович</t>
  </si>
  <si>
    <t>51.8467,107.549701</t>
  </si>
  <si>
    <t>ОБЩЕСТВО С ОГРАНИЧЕННОЙ ОТВЕТСТВЕННОСТЬЮ "Строймонолит"</t>
  </si>
  <si>
    <t xml:space="preserve"> "Строймонолит"</t>
  </si>
  <si>
    <t>0323363410</t>
  </si>
  <si>
    <t>670000, БУРЯТИЯ РЕСПУБЛИКА, ГОРОД УЛАН-УДЭ, УЛИЦА ГРАЧЕВСКАЯ, ДОМ 49, ОФИС 10</t>
  </si>
  <si>
    <t>Карнаухов Евгений Валерьевич</t>
  </si>
  <si>
    <t>+7 (950) 380-68-43'</t>
  </si>
  <si>
    <t>ОБЩЕСТВО С ОГРАНИЧЕННОЙ ОТВЕТСТВЕННОСТЬЮ "ПК БЕТОН-СЕРВИС"</t>
  </si>
  <si>
    <t xml:space="preserve"> "ПК БЕТОН-СЕРВИС"</t>
  </si>
  <si>
    <t>0323392919</t>
  </si>
  <si>
    <t>670033, БУРЯТИЯ РЕСПУБЛИКА, ГОРОД УЛАН-УДЭ, УЛИЦА ДЕНИСОВА, ДОМ 13, ЗДАНИЕ 45</t>
  </si>
  <si>
    <t>Шульгин Максим Михайлович</t>
  </si>
  <si>
    <t>+7 (301) 220-62-06'</t>
  </si>
  <si>
    <t>beton206206@mail.ru', 'beton206206@mail.ru'</t>
  </si>
  <si>
    <t>ОБЩЕСТВО С ОГРАНИЧЕННОЙ ОТВЕТСТВЕННОСТЬЮ "СТОЛИЦА"</t>
  </si>
  <si>
    <t xml:space="preserve"> "СТОЛИЦА"</t>
  </si>
  <si>
    <t>0323410854</t>
  </si>
  <si>
    <t>670045, БУРЯТИЯ РЕСПУБЛИКА, ГОРОД УЛАН-УДЭ, УЛИЦА БОТАНИЧЕСКАЯ, ДОМ 35В, ОФИС 1</t>
  </si>
  <si>
    <t>Булышкин Евгений Геннадьевич</t>
  </si>
  <si>
    <t>beton_plyus@mail.ru', 'ooostolica03@mail.ru'</t>
  </si>
  <si>
    <t>51.84966,107.668306</t>
  </si>
  <si>
    <t>ОБЩЕСТВО С ОГРАНИЧЕННОЙ ОТВЕТСТВЕННОСТЬЮ "Технопром"</t>
  </si>
  <si>
    <t xml:space="preserve"> "Технопром"</t>
  </si>
  <si>
    <t>0326507068</t>
  </si>
  <si>
    <t>670045, БУРЯТИЯ РЕСПУБЛИКА, ГОРОД УЛАН-УДЭ, УЛИЦА ЗАГУСТАЙСКАЯ, 159</t>
  </si>
  <si>
    <t>Ван Светлана Васильевна</t>
  </si>
  <si>
    <t>+7 (924) 656-52-14', '+7 (914) 053-25-57'</t>
  </si>
  <si>
    <t xml:space="preserve"> "АРМАДА"</t>
  </si>
  <si>
    <t>0326550680</t>
  </si>
  <si>
    <t>670045, БУРЯТИЯ РЕСПУБЛИКА, ГОРОД УЛАН-УДЭ, УЛИЦА БОТАНИЧЕСКАЯ, ДОМ 38, ОФИС 9</t>
  </si>
  <si>
    <t>Рагимов Руслан Шабанович</t>
  </si>
  <si>
    <t>51.843545,107.508577</t>
  </si>
  <si>
    <t>ОБЩЕСТВО С ОГРАНИЧЕННОЙ ОТВЕТСТВЕННОСТЬЮ "СТРОЙ РУБЕЖ"</t>
  </si>
  <si>
    <t xml:space="preserve"> "СТРОЙ РУБЕЖ"</t>
  </si>
  <si>
    <t>0326560135</t>
  </si>
  <si>
    <t>670023, БУРЯТИЯ РЕСПУБЛИКА, ГОРОД УЛАН-УДЭ, УЛИЦА УЧЕБНАЯ, ДОМ 2 А, ПОМЕЩЕНИЕ III, ОФИС 1</t>
  </si>
  <si>
    <t>Арутюнян Аркадий Манвелович</t>
  </si>
  <si>
    <t>chuzhakina@mail.ru'</t>
  </si>
  <si>
    <t>51.929657,85.912862</t>
  </si>
  <si>
    <t>ОБЩЕСТВО С ОГРАНИЧЕННОЙ ОТВЕТСТВЕННОСТЬЮ "СТАНДАРТ СТРОЙ"</t>
  </si>
  <si>
    <t xml:space="preserve"> "СТАНДАРТ СТРОЙ"</t>
  </si>
  <si>
    <t>0400014142</t>
  </si>
  <si>
    <t>649002, АЛТАЙ РЕСПУБЛИКА, Г. ГОРНО-АЛТАЙСК, УЛ. СОЛОВЬИНАЯ, Д. 14</t>
  </si>
  <si>
    <t>Ротарь Анастасия Николаевна</t>
  </si>
  <si>
    <t>+7 (903) 956-15-17'</t>
  </si>
  <si>
    <t>42.417537,47.179186</t>
  </si>
  <si>
    <t>ОБЩЕСТВО С ОГРАНИЧЕННОЙ ОТВЕТСТВЕННОСТЬЮ "ТАЛАНТ"</t>
  </si>
  <si>
    <t xml:space="preserve"> "ТАЛАНТ"</t>
  </si>
  <si>
    <t>0521016553</t>
  </si>
  <si>
    <t>368317, ДАГЕСТАН РЕСПУБЛИКА, Р-Н ЛЕВАШИНСКИЙ, С ХАДЖАЛМАХИ, УЛ. Ш.А.АХМЕДОВА, Д. 29</t>
  </si>
  <si>
    <t>Мусаев Джабраил Ахмедович</t>
  </si>
  <si>
    <t>43.183125,46.66102</t>
  </si>
  <si>
    <t>ОБЩЕСТВО С ОГРАНИЧЕННОЙ ОТВЕТСТВЕННОСТЬЮ "ЭН-СТРОЙ"</t>
  </si>
  <si>
    <t xml:space="preserve"> "ЭН-СТРОЙ"</t>
  </si>
  <si>
    <t>0534036028</t>
  </si>
  <si>
    <t>368040, ДАГЕСТАН РЕСПУБЛИКА, Р-Н ХАСАВЮРТОВСКИЙ, С ЭНДИРЕЙ, УЛ. КОСМОНАВТОВ, Д. 20</t>
  </si>
  <si>
    <t>Амирханов Амир Алиевич</t>
  </si>
  <si>
    <t>42.978535,47.488773</t>
  </si>
  <si>
    <t>ОБЩЕСТВО С ОГРАНИЧЕННОЙ ОТВЕТСТВЕННОСТЬЮ "ЖИЛСТРОЙ-2"</t>
  </si>
  <si>
    <t xml:space="preserve"> "ЖИЛСТРОЙ-2"</t>
  </si>
  <si>
    <t>0541018862</t>
  </si>
  <si>
    <t>Г МАХАЧКАЛА,УЛ ГОГОЛЯ Д 36/47</t>
  </si>
  <si>
    <t>Шахаев Абдулхалик Ахмедханович</t>
  </si>
  <si>
    <t>42.890853,47.635665</t>
  </si>
  <si>
    <t>ОБЩЕСТВО С ОГРАНИЧЕННОЙ ОТВЕТСТВЕННОСТЬЮ "Тарш"</t>
  </si>
  <si>
    <t xml:space="preserve"> "Тарш"</t>
  </si>
  <si>
    <t>0545024063</t>
  </si>
  <si>
    <t>368301, ДАГЕСТАН РЕСПУБЛИКА, Г. КАСПИЙСК, УЛ. ЛИНИЯ 1 (КАМНЕОБРАБАТ-ЩИЙ З-Д И ОЧИСТНЫЕ, Д.13</t>
  </si>
  <si>
    <t>Таибов Роман Таибович</t>
  </si>
  <si>
    <t>+7 (928) 677-82-10'</t>
  </si>
  <si>
    <t xml:space="preserve"> "ЖЕЛЕЗОБЕТОН"</t>
  </si>
  <si>
    <t>0546017975</t>
  </si>
  <si>
    <t>РЕСПУБЛИКА ДАГЕСТАН,Г КИЗИЛЮРТ,PП БАВТУГАЙ,БАВТУГАЙСКОЕ,ТЕР ЖБИ</t>
  </si>
  <si>
    <t>Магомедов Махач Ахмедович</t>
  </si>
  <si>
    <t>43.208856,46.871855</t>
  </si>
  <si>
    <t>ОБЩЕСТВО С ОГРАНИЧЕННОЙ ОТВЕТСТВЕННОСТЬЮ "Мега"</t>
  </si>
  <si>
    <t xml:space="preserve"> "Мега"</t>
  </si>
  <si>
    <t>0546020760</t>
  </si>
  <si>
    <t>368124, ДАГЕСТАН РЕСПУБЛИКА, ГОРОД КИЗИЛЮРТ, УЛИЦА ПЕРВОМАЙСКАЯ, 52</t>
  </si>
  <si>
    <t>Муслимов Магомедзагир Зайнудинович</t>
  </si>
  <si>
    <t>43.210419,46.86571</t>
  </si>
  <si>
    <t>ОБЩЕСТВО С ОГРАНИЧЕННОЙ ОТВЕТСТВЕННОСТЬЮ "МОНОЛИТ СТРОЙ"</t>
  </si>
  <si>
    <t xml:space="preserve"> "МОНОЛИТ СТРОЙ"</t>
  </si>
  <si>
    <t>0546026137</t>
  </si>
  <si>
    <t>368122, ДАГЕСТАН РЕСПУБЛИКА, Г. КИЗИЛЮРТ, УЛ. АЛИЕВА, Д. 35</t>
  </si>
  <si>
    <t>Гусейханов Осман Гусейханович</t>
  </si>
  <si>
    <t>43.860121,46.724648</t>
  </si>
  <si>
    <t xml:space="preserve"> "СТРОЙТЕХ"</t>
  </si>
  <si>
    <t>0547004048</t>
  </si>
  <si>
    <t>РЕСПУБЛИКА ДАГЕСТАН,Г КИЗЛЯР,КИЗЛЯР-ПОЧТАМТ,УЛ ПУШКИНА Д 59</t>
  </si>
  <si>
    <t>Важничая Галина Михайловна</t>
  </si>
  <si>
    <t>43.866289,46.728052</t>
  </si>
  <si>
    <t>ОБЩЕСТВО С ОГРАНИЧЕННОЙ ОТВЕТСТВЕННОСТЬЮ "КИЗЛЯРСТРОЙСЕРВИС"</t>
  </si>
  <si>
    <t xml:space="preserve"> "КИЗЛЯРСТРОЙСЕРВИС"</t>
  </si>
  <si>
    <t>0547010806</t>
  </si>
  <si>
    <t>368830, ДАГЕСТАН РЕСП, КИЗЛЯР Г, СТРОИТЕЛЕЙ УЛ, ДОМ 30</t>
  </si>
  <si>
    <t>Джаватханов Мирза Рахимханович</t>
  </si>
  <si>
    <t>43.850344,46.714254</t>
  </si>
  <si>
    <t>ОБЩЕСТВО С ОГРАНИЧЕННОЙ ОТВЕТСТВЕННОСТЬЮ"ГАМУЗ"</t>
  </si>
  <si>
    <t>"ГАМУЗ"</t>
  </si>
  <si>
    <t>0547012634</t>
  </si>
  <si>
    <t>368830, Республика Дагестан, ГОРОД КИЗЛЯР, Г КИЗЛЯР, УЛ ПУШКИНА, Д. 3Б, ПОМЕЩ. 11</t>
  </si>
  <si>
    <t>Курамагомедова Джамиля Алиевна</t>
  </si>
  <si>
    <t>42.55773,47.874419</t>
  </si>
  <si>
    <t>ОБЩЕСТВО С ОГРАНИЧЕННОЙ ОТВЕТСТВЕННОСТЬЮ  " ПАПАС "</t>
  </si>
  <si>
    <t xml:space="preserve">  " ПАПАС "</t>
  </si>
  <si>
    <t>0548113988</t>
  </si>
  <si>
    <t>368502, ДАГЕСТАН РЕСПУБЛИКА, Г. ИЗБЕРБАШ, УЛ. Г.ГАМИДОВА, Д.53,..</t>
  </si>
  <si>
    <t>Магомедов Алибек Холадаевич</t>
  </si>
  <si>
    <t>+7 (928) 950-09-50'</t>
  </si>
  <si>
    <t>42.114246,48.20597</t>
  </si>
  <si>
    <t>ОБЩЕСТВО С ОГРАНИЧЕННОЙ ОТВЕТСТВЕННОСТЬЮ "КАСПИЙ КВАРЦ"</t>
  </si>
  <si>
    <t xml:space="preserve"> "КАСПИЙ КВАРЦ"</t>
  </si>
  <si>
    <t>0550007345</t>
  </si>
  <si>
    <t>368670, ДАГЕСТАН РЕСПУБЛИКА, ГОРОД ДАГЕСТАНСКИЕ ОГНИ, УЛИЦА НИКОЛАЯ АЛЕКСЕЕВИЧА НЕКРАСОВА, ДОМ 3А</t>
  </si>
  <si>
    <t>Гасанов Алишер Зульфугарович</t>
  </si>
  <si>
    <t>42.105289,48.203481</t>
  </si>
  <si>
    <t>0550007440</t>
  </si>
  <si>
    <t>368670, ДАГЕСТАН РЕСПУБЛИКА, Г. ДАГЕСТАНСКИЕ ОГНИ, УЛ. ГАМЗАТА ЦАДАСЫ, Д. 108</t>
  </si>
  <si>
    <t>Османова Нисаханум Нурутдиновна</t>
  </si>
  <si>
    <t>42.113677,48.186952</t>
  </si>
  <si>
    <t>ОБЩЕСТВО С ОГРАНИЧЕННОЙ ОТВЕТСВЕННОСТЬЮ "НУРИ-БЕТОН"</t>
  </si>
  <si>
    <t>0550007842</t>
  </si>
  <si>
    <t>368670, ДАГЕСТАН РЕСП., Г. Дагестанские Огни, ПР-КТ МИХАИЛА ИВАНОВИЧА КАЛИНИНА, Д. 58, ПОМЕЩ. 58</t>
  </si>
  <si>
    <t>42.105858,48.204002</t>
  </si>
  <si>
    <t>ОБЩЕСТВО С ОГРАНИЧЕННОЙ ОТВЕТСТВЕННОСТЬЮ "ЕВРОБЕТОН-2"</t>
  </si>
  <si>
    <t xml:space="preserve"> "ЕВРОБЕТОН-2"</t>
  </si>
  <si>
    <t>0550007955</t>
  </si>
  <si>
    <t>368670, ДАГЕСТАН РЕСП., Г. Дагестанские Огни, УЛ. ГАМЗАТА ЦАДАСЫ, Д. 100</t>
  </si>
  <si>
    <t>Мирзоев Арсен Сулейманович</t>
  </si>
  <si>
    <t>42.906242,47.616235</t>
  </si>
  <si>
    <t xml:space="preserve"> "МАСТЕР"</t>
  </si>
  <si>
    <t>0554002080</t>
  </si>
  <si>
    <t>368300, ДАГЕСТАН РЕСПУБЛИКА, ГОРОД КАСПИЙСК, УЛИЦА ЛЕНИНА, ДОМ 98, ПОМЕЩЕНИЕ 17</t>
  </si>
  <si>
    <t>Мазукаев Махмуд Гаджиевич</t>
  </si>
  <si>
    <t>+7 (928) 684-75-89'</t>
  </si>
  <si>
    <t>42.904802,47.614465</t>
  </si>
  <si>
    <t>ОБЩЕСТВО С ОГРАНИЧЕННОЙ ОТВЕТСТВЕННОСТЬЮ "МАСТЕР-КЛАСС"</t>
  </si>
  <si>
    <t xml:space="preserve"> "МАСТЕР-КЛАСС"</t>
  </si>
  <si>
    <t>0554005860</t>
  </si>
  <si>
    <t>368300, ДАГЕСТАН РЕСПУБЛИКА, ГОРОД КАСПИЙСК, ПРОСПЕКТ М.ОМАРОВА, ДОМ 22,..</t>
  </si>
  <si>
    <t>Исмаилов Расул Энверович</t>
  </si>
  <si>
    <t>42.980488,47.442752</t>
  </si>
  <si>
    <t>ОБЩЕСТВО С ОГРАНИЧЕННОЙ ОТВЕТСТВЕННОСТЬЮ "ТАИС"</t>
  </si>
  <si>
    <t xml:space="preserve"> "ТАИС"</t>
  </si>
  <si>
    <t>0560201373</t>
  </si>
  <si>
    <t>Г МАХАЧКАЛА,УЛ ПОПОВА Д 39</t>
  </si>
  <si>
    <t>Устармагадов Мустапа Магомедбиевич</t>
  </si>
  <si>
    <t>42.969241,47.541971</t>
  </si>
  <si>
    <t>ОБЩЕСТВО С ОГРАНИЧЕННОЙ ОТВЕТСТВЕННОСТЬЮ " МУЛК "</t>
  </si>
  <si>
    <t xml:space="preserve"> " МУЛК "</t>
  </si>
  <si>
    <t>0561015676</t>
  </si>
  <si>
    <t>Г МАХАЧКАЛА,УЛ МОРСКАЯ Д 20</t>
  </si>
  <si>
    <t>Тагирмирзоев Велибег Наимович</t>
  </si>
  <si>
    <t>42.969907,47.538701</t>
  </si>
  <si>
    <t>ОБЩЕСТВО С ОГРАНИЧЕННОЙ ОТВЕТСТВЕННОСТЬЮ " САНЖАР "</t>
  </si>
  <si>
    <t xml:space="preserve"> " САНЖАР "</t>
  </si>
  <si>
    <t>0561048664</t>
  </si>
  <si>
    <t>Г МАХАЧКАЛА,УЛ ЛАПТИЕВА Д 33</t>
  </si>
  <si>
    <t>Гаджихалатов Юсуп Магомедович</t>
  </si>
  <si>
    <t>43.203743,47.481065</t>
  </si>
  <si>
    <t>ОБЩЕСТВО С ОГРАНИЧЕННОЙ ОТВЕТСТВЕННОСТЬЮ " ПЕРВЫЙ БЕТОННЫЙ ЗАВОД "</t>
  </si>
  <si>
    <t xml:space="preserve"> " ПЕРВЫЙ БЕТОННЫЙ ЗАВОД "</t>
  </si>
  <si>
    <t>0561058214</t>
  </si>
  <si>
    <t>http://betzavod.ru/main.html</t>
  </si>
  <si>
    <t>367025, ДАГЕСТАН РЕСП, МАХАЧКАЛА Г, ТУРАЛИ П, В РАЙОНЕ ЗАВОДА " ПРОГРЕСС "</t>
  </si>
  <si>
    <t>Гамзатов Гамзат Этеевич</t>
  </si>
  <si>
    <t>43.002704,47.456712</t>
  </si>
  <si>
    <t>ОБЩЕСТВО С ОГРАНИЧЕННОЙ ОТВЕТСТВЕННОСТЬЮ " МЕРМАД "</t>
  </si>
  <si>
    <t xml:space="preserve"> " МЕРМАД "</t>
  </si>
  <si>
    <t>0561058341</t>
  </si>
  <si>
    <t>367009, ДАГЕСТАН РЕСПУБЛИКА, ГОРОД МАХАЧКАЛА, УЛИЦА КАММАЕВА, 6</t>
  </si>
  <si>
    <t>Адилова Наида Ильмутдиновна</t>
  </si>
  <si>
    <t>ОБЩЕСТВО С ОГРАНИЧЕННОЙ ОТВЕТСТВЕННОСТЬЮ " БЕТОНИКС "</t>
  </si>
  <si>
    <t xml:space="preserve"> " БЕТОНИКС "</t>
  </si>
  <si>
    <t>0561058729</t>
  </si>
  <si>
    <t>367010, ДАГЕСТАН РЕСПУБЛИКА, Г. МАХАЧКАЛА, ПР-КТ АМЕТ-ХАНА СУЛТАНА, РАЙОН ДСК, ТЕРРИТОРИЯ ОАО " ЗАВОД ЖБИ "</t>
  </si>
  <si>
    <t>Ибрагимов Раджаб Несретдинович</t>
  </si>
  <si>
    <t>42.976985,47.52113</t>
  </si>
  <si>
    <t>ОБЩЕСТВО С ОГРАНИЧЕННОЙ ОТВЕТСТВЕННОСТЬЮ " МАРКА "</t>
  </si>
  <si>
    <t xml:space="preserve"> " МАРКА "</t>
  </si>
  <si>
    <t>0561060968</t>
  </si>
  <si>
    <t>367000, ДАГЕСТАН РЕСПУБЛИКА, Г. МАХАЧКАЛА, УЛ. ДАНИЯЛОВА, Д.87</t>
  </si>
  <si>
    <t>Исмаилов Гасан Абдурахманович</t>
  </si>
  <si>
    <t>42.954951,47.554332</t>
  </si>
  <si>
    <t>ОБЩЕСТВО С ОГРАНИЧЕННОЙ ОТВЕТСТВЕННОСТЬЮ " ДЖИГИТ "</t>
  </si>
  <si>
    <t xml:space="preserve"> " ДЖИГИТ "</t>
  </si>
  <si>
    <t>0571009569</t>
  </si>
  <si>
    <t>367032, ДАГЕСТАН РЕСПУБЛИКА, Г. МАХАЧКАЛА, ПР-КТ НАСРУТДИНОВА, Д. 44, К. М,..</t>
  </si>
  <si>
    <t>Ибрагимов Ахмед Шахбанович</t>
  </si>
  <si>
    <t>+7 (988) 200-20-32', '+7 (909) 479-70-04', '+7 (928) 595-22-25'</t>
  </si>
  <si>
    <t>42.979762,47.498933</t>
  </si>
  <si>
    <t>ОБЩЕСТВО С ОГРАНИЧЕННОЙ ОТВЕТСТВЕННОСТЬЮ "БИВЕР"</t>
  </si>
  <si>
    <t xml:space="preserve"> "БИВЕР"</t>
  </si>
  <si>
    <t>0571014086</t>
  </si>
  <si>
    <t>367000, ДАГЕСТАН РЕСП., Г. Махачкала, УЛ. ДЗЕРЖИНСКОГО, Д. 17, ОФИС 519</t>
  </si>
  <si>
    <t>Аджаматов Амир Мурадханович</t>
  </si>
  <si>
    <t>42.969182,47.520528</t>
  </si>
  <si>
    <t>ОБЩЕСТВО С ОГРАНИЧЕННОЙ ОТВЕТСТВЕННОСТЬЮ "ФАРДО"</t>
  </si>
  <si>
    <t xml:space="preserve"> "ФАРДО"</t>
  </si>
  <si>
    <t>0571014819</t>
  </si>
  <si>
    <t>367013, ДАГЕСТАН РЕСП, МАХАЧКАЛА Г, КРЫЛОВА ПЕР, ДОМ 7, КАБИНЕТ 1</t>
  </si>
  <si>
    <t>Габибуллаев Мурад Магомедзагирович</t>
  </si>
  <si>
    <t>42.966648,47.502158</t>
  </si>
  <si>
    <t>ОБЩЕСТВО С ОГРАНИЧЕННОЙ ОТВЕТСТВЕННОСТЬЮ "ХАЙР"</t>
  </si>
  <si>
    <t xml:space="preserve"> "ХАЙР"</t>
  </si>
  <si>
    <t>0571018059</t>
  </si>
  <si>
    <t>367030, ДАГЕСТАН РЕСП., Г. Махачкала, УЛ. ИРЧИ КАЗАКА, Д. 43З, ЛИТЕР А КОМ. 9</t>
  </si>
  <si>
    <t>Гаджиева Марижат Габибуллаевна</t>
  </si>
  <si>
    <t>42.980211,47.484416</t>
  </si>
  <si>
    <t>0572027955</t>
  </si>
  <si>
    <t>367029, Республика Дагестан, городской округ ГОРОД МАХАЧКАЛА, Город МАХАЧКАЛА, внутригородской район городского округа СОВЕТСКИЙ РАЙОН, УЛ БАТЫРМУРЗАЕВА, Д. 64,..</t>
  </si>
  <si>
    <t>Мусиев Махач Муртазалиевич</t>
  </si>
  <si>
    <t>MBETON2154@GMAIL.COM'</t>
  </si>
  <si>
    <t>42.972493,47.524086</t>
  </si>
  <si>
    <t>ОБЩЕСТВО С ОГРАНИЧЕННОЙ ОТВЕТСТВЕННОСТЬЮ "Махачкала-бетон-строй"</t>
  </si>
  <si>
    <t xml:space="preserve"> "Махачкала-бетон-строй"</t>
  </si>
  <si>
    <t>0573004439</t>
  </si>
  <si>
    <t>367000, Республика Дагестан, городской округ ГОРОД МАХАЧКАЛА, Город МАХАЧКАЛА, внутригородской район городского округа ЛЕНИНСКИЙ РАЙОН, УЛ БЕЙБУЛАТОВА, Д. 3, КАБИНЕТ 3</t>
  </si>
  <si>
    <t>Абасов Жабраил Магомедович</t>
  </si>
  <si>
    <t>+7 (960) 412-52-68'</t>
  </si>
  <si>
    <t>43.007471,47.448618</t>
  </si>
  <si>
    <t>ОБЩЕСТВО С ОГРАНИЧЕННОЙ ОТВЕТСТВЕННОСТЬЮ "ТАВРУС"</t>
  </si>
  <si>
    <t xml:space="preserve"> "ТАВРУС"</t>
  </si>
  <si>
    <t>0573010880</t>
  </si>
  <si>
    <t>367000, ДАГЕСТАН РЕСПУБЛИКА, ГОРОД МАХАЧКАЛА, УЛИЦА КАММАЕВА, ДОМ 15 "Ж",..</t>
  </si>
  <si>
    <t>Аппасов Мурад Рабаданович</t>
  </si>
  <si>
    <t>43.033599,47.303621</t>
  </si>
  <si>
    <t>ОБЩЕСТВО С ОГРАНИЧЕННОЙ ОТВЕТСТВЕННОСТЬЮ "БУЛАТ-СТРОЙ"</t>
  </si>
  <si>
    <t xml:space="preserve"> "БУЛАТ-СТРОЙ"</t>
  </si>
  <si>
    <t>0573012292</t>
  </si>
  <si>
    <t>367913, ДАГЕСТАН РЕСП, МАХАЧКАЛА Г, ШАМХАЛ-ТЕРМЕН С, ЛЕНИНА УЛ, ДОМ 69</t>
  </si>
  <si>
    <t>Булатов Абдулла Шахбанович</t>
  </si>
  <si>
    <t>43.189619,44.923499</t>
  </si>
  <si>
    <t>ОБЩЕСТВО С ОГРАНИЧЕННОЙ ОТВЕТСТВЕННОСТЬЮ "АРХИТЕКТУРНО-СТРОИТЕЛЬНАЯ КОМПАНИЯ-10"</t>
  </si>
  <si>
    <t xml:space="preserve"> "АРХИТЕКТУРНО-СТРОИТЕЛЬНАЯ КОМПАНИЯ-10"</t>
  </si>
  <si>
    <t>0602038918</t>
  </si>
  <si>
    <t>РЕСПУБЛИКА ИНГУШЕТИЯ,НАЗРАНОВСКИЙ,С СУРХАХИ,УЛ НАГОРНАЯ, Д 12</t>
  </si>
  <si>
    <t>Албогачиев Абдул-Мажит Абдул-Азиевич</t>
  </si>
  <si>
    <t>43.212345,44.756924</t>
  </si>
  <si>
    <t>ОБЩЕСТВО С ОГРАНИЧЕННОЙ ОТВЕТСТВЕННОСТЬЮ "ЭСМА"</t>
  </si>
  <si>
    <t xml:space="preserve"> "ЭСМА"</t>
  </si>
  <si>
    <t>0608034042</t>
  </si>
  <si>
    <t>386101, РЕСПУБЛИКА ИНГУШЕТИЯ, Г НАЗРАНЬ, УЛ В.Д.ДЖАБАГИЕВА, Д 5</t>
  </si>
  <si>
    <t>Эсмурзиев Магомед Вахиевич</t>
  </si>
  <si>
    <t>43.205701,44.832553</t>
  </si>
  <si>
    <t>ОБЩЕСТВО С ОГРАНИЧЕННОЙ ОТВЕТСТВЕННОСТЬЮ "МЕТАЛСТРОЙ"</t>
  </si>
  <si>
    <t xml:space="preserve"> "МЕТАЛСТРОЙ"</t>
  </si>
  <si>
    <t>0608035494</t>
  </si>
  <si>
    <t>386150, РЕСПУБЛИКА ИНГУШЕТИЯ, НАЗРАНОВСКИЙ Р-Н, С ЭКАЖЕВО, УЛ В.ДЖАБАГИЕВА, Д 103</t>
  </si>
  <si>
    <t>Альдиев Ахмед Русланович</t>
  </si>
  <si>
    <t>+7 (962) 642-94-25'</t>
  </si>
  <si>
    <t>43.217147,44.787081</t>
  </si>
  <si>
    <t>ОБЩЕСТВО С ОГРАНИЧЕННОЙ ОТВЕТСТВЕННОСТЬЮ "ЦУРКУВ"</t>
  </si>
  <si>
    <t xml:space="preserve"> "ЦУРКУВ"</t>
  </si>
  <si>
    <t>0608045622</t>
  </si>
  <si>
    <t>386140, РЕСПУБЛИКА ИНГУШЕТИЯ, Г НАЗРАНЬ, УЛ ЭСМУРЗИЕВА, Д 35</t>
  </si>
  <si>
    <t>Медов Хамза Умарович</t>
  </si>
  <si>
    <t>+7 (928) 627-33-11'</t>
  </si>
  <si>
    <t>hamzamedova@gmail.com'</t>
  </si>
  <si>
    <t>43.221129,44.827918</t>
  </si>
  <si>
    <t>ОБЩЕСТВО С ОГРАНИЧЕННОЙ ОТВЕТСТВЕННОСТЬЮ "БЕТОНТОРГСТРОЙ"</t>
  </si>
  <si>
    <t xml:space="preserve"> "БЕТОНТОРГСТРОЙ"</t>
  </si>
  <si>
    <t>0608055116</t>
  </si>
  <si>
    <t>386150, ИНГУШЕТИЯ РЕСПУБЛИКА, НАЗРАНОВСКИЙ РАЙОН, СЕЛО ЭКАЖЕВО, УЛИЦА КАРТОЕВА, ДОМ 53</t>
  </si>
  <si>
    <t>Альтемиров Илез Алаудинович</t>
  </si>
  <si>
    <t>43.294664,44.844393</t>
  </si>
  <si>
    <t>ОБЩЕСТВО С ОГРАНИЧЕННОЙ ОТВЕТСТВЕННОСТЬЮ "МЕККА"</t>
  </si>
  <si>
    <t xml:space="preserve"> "МЕККА"</t>
  </si>
  <si>
    <t>0608057410</t>
  </si>
  <si>
    <t>386124, РЕСПУБЛИКА ИНГУШЕТИЯ, НАЗРАНОВСКИЙ Р-Н, С ПЛИЕВО, УЛ ГУДЕРМЕСКАЯ, Д 32</t>
  </si>
  <si>
    <t>Горчханова Залина Султан-Гиреевна</t>
  </si>
  <si>
    <t>43.502825,43.612219</t>
  </si>
  <si>
    <t>ОБЩЕСТВО С ОГРАНИЧЕННОЙ ОТВЕТСТВЕННОСТЬЮ "ЛЕДНИК"</t>
  </si>
  <si>
    <t xml:space="preserve"> "ЛЕДНИК"</t>
  </si>
  <si>
    <t>0700004057</t>
  </si>
  <si>
    <t>360019, Кабардино-Балкарская Республика, НАЛЬЧИК, Г НАЛЬЧИК, УЛ МАЛЬБАХОВА, Д. 24</t>
  </si>
  <si>
    <t>Дышекова Лера Хусеновна</t>
  </si>
  <si>
    <t>43.805152,43.328261</t>
  </si>
  <si>
    <t>ПРОИЗВОДСТВЕННО-СТРОИТЕЛЬНАЯ КОМПАНИЯ "ЗЖБИ" ОБЩЕСТВО С ОГРАНИЧЕННОЙ ОТВЕТСТВЕННОСТЬЮ</t>
  </si>
  <si>
    <t xml:space="preserve">ПРОИЗВОДСТВЕННО-СТРОИТЕЛЬНАЯ КОМПАНИЯ "ЗЖБИ" </t>
  </si>
  <si>
    <t>0702012180</t>
  </si>
  <si>
    <t>361711, КАБАРДИНО-БАЛКАРСКАЯ РЕСПУБЛИКА, ЗОЛЬСКИЙ Р-Н, С МАЛКА, УЛ ЖУКОВА, Д 21</t>
  </si>
  <si>
    <t>Думанов Хусен Хабасович</t>
  </si>
  <si>
    <t>43.480444,44.14183</t>
  </si>
  <si>
    <t>ОБЩЕСТВО С ОГРАНИЧЕННОЙ ОТВЕТСТВЕННОСТЬЮ "БЕТОН-ТЕРЕК"</t>
  </si>
  <si>
    <t xml:space="preserve"> "БЕТОН-ТЕРЕК"</t>
  </si>
  <si>
    <t>0705008256</t>
  </si>
  <si>
    <t>361202, КАБАРДИНО-БАЛКАРСКАЯ РЕСПУБЛИКА, РАЙОН ТЕРСКИЙ, ГОРОД ТЕРЕК, УЛИЦА КИРОВА, 164</t>
  </si>
  <si>
    <t>Иругов Асланбий Заурбиевич</t>
  </si>
  <si>
    <t>+7 (903) 492-75-13'</t>
  </si>
  <si>
    <t>BUH@INTEGRAIT.RU'</t>
  </si>
  <si>
    <t>43.25643,42.514487</t>
  </si>
  <si>
    <t>ОБЩЕСТВО С ОГРАНИЧЕННОЙ ОТВЕТСТВЕННОСТЬЮ "ЭЛЬБРУС-СТРОЙ"</t>
  </si>
  <si>
    <t xml:space="preserve"> "ЭЛЬБРУС-СТРОЙ"</t>
  </si>
  <si>
    <t>0710007191</t>
  </si>
  <si>
    <t>361605, КАБАРДИНО-БАЛКАРСКАЯ РЕСПУБЛИКА, РАЙОН ЭЛЬБРУССКИЙ, СЕЛО ТЕРСКОЛ, ДОМ 9,..</t>
  </si>
  <si>
    <t>Султанова Аминат Мухадиновна</t>
  </si>
  <si>
    <t>43.386345,42.916725</t>
  </si>
  <si>
    <t xml:space="preserve"> "СТРОЙТОРГ"</t>
  </si>
  <si>
    <t>0710007459</t>
  </si>
  <si>
    <t>361624, КАБАРДИНО-БАЛКАРСКАЯ РЕСП., Р-Н Эльбрусский, Г. Тырныауз, УЛ. ЭНЕЕВА, Д. 9,..</t>
  </si>
  <si>
    <t>Джаппуев Мурат Анварович</t>
  </si>
  <si>
    <t>43.49677,43.575972</t>
  </si>
  <si>
    <t>ОБЩЕСТВО С ОГРАНИЧЕННОЙ ОТВЕТСТВЕННОСТЬЮ "ТЕХПРОМ"</t>
  </si>
  <si>
    <t xml:space="preserve"> "ТЕХПРОМ"</t>
  </si>
  <si>
    <t>0725021953</t>
  </si>
  <si>
    <t>360000, КАБАРДИНО-БАЛКАРСКАЯ РЕСПУБЛИКА, ГОРОД НАЛЬЧИК, УЛИЦА ГОЛОВКО, ДОМ 198, КОРПУС А</t>
  </si>
  <si>
    <t>Селяев Азретали Хасанович</t>
  </si>
  <si>
    <t>+7 (988) 932-66-66'</t>
  </si>
  <si>
    <t>43.470115,43.571498</t>
  </si>
  <si>
    <t>0725023830</t>
  </si>
  <si>
    <t>360010, КАБАРДИНО-БАЛКАРСКАЯ РЕСПУБЛИКА, ГОРОД НАЛЬЧИК, УЛИЦА ТЛОСТАНОВА, ДОМ 49</t>
  </si>
  <si>
    <t>Дударов Мурат Ахмедович</t>
  </si>
  <si>
    <t>43.515065,43.66628</t>
  </si>
  <si>
    <t>ОБЩЕСТВО С ОГРАНИЧЕННОЙ ОТВЕТСТВЕННОСТЬЮ "Нальчикский завод железобетонных изделий-3"</t>
  </si>
  <si>
    <t xml:space="preserve"> "Нальчикский завод железобетонных изделий-3"</t>
  </si>
  <si>
    <t>0726002505</t>
  </si>
  <si>
    <t>360000, КАБАРДИНО-БАЛКАРСКАЯ РЕСПУБЛИКА, ГОРОД НАЛЬЧИК, УЛИЦА ПРОМЫШЛЕННЫЙ ПРОЕЗД 6-Й</t>
  </si>
  <si>
    <t>Шериев Александр Михайлович</t>
  </si>
  <si>
    <t>43.494899,43.618507</t>
  </si>
  <si>
    <t>ОБЩЕСТВО С ОГРАНИЧЕННОЙ ОТВЕТСТВЕННОСТЬЮ "НАЛЬЧИК-БЕТОН 07"</t>
  </si>
  <si>
    <t xml:space="preserve"> "НАЛЬЧИК-БЕТОН 07"</t>
  </si>
  <si>
    <t>0726003851</t>
  </si>
  <si>
    <t>360015, КАБАРДИНО-БАЛКАРСКАЯ РЕСПУБЛИКА, Г НАЛЬЧИК, УЛ ЩОРСА, Д 41</t>
  </si>
  <si>
    <t>+7 (963) 281-53-06'</t>
  </si>
  <si>
    <t>46.306205,44.314207</t>
  </si>
  <si>
    <t>ОБЩЕСТВО С ОГРАНИЧЕННОЙ ОТВЕТСТВЕННОСТЬЮ "ПРОМЫШЛЕННАЯ ГРУППА "КОМПЛЕКТ СТРОЙ"</t>
  </si>
  <si>
    <t xml:space="preserve"> "ПРОМЫШЛЕННАЯ ГРУППА "КОМПЛЕКТ СТРОЙ"</t>
  </si>
  <si>
    <t>0800003755</t>
  </si>
  <si>
    <t>358014, Республика Калмыкия, ГОРОД ЭЛИСТА, Г ЭЛИСТА, МКР 8, Д. 22А, ПОМЕЩ. 1</t>
  </si>
  <si>
    <t>Коваленко Максим Васильевич</t>
  </si>
  <si>
    <t>KOMPLEKTSTROY_2022@MAIL.RU'</t>
  </si>
  <si>
    <t>ОБЩЕСТВО С ОГРАНИЧЕННОЙ ОТВЕТСТВЕННОСТЬЮ "ЭКСПРЕСС-БЕТОН"</t>
  </si>
  <si>
    <t xml:space="preserve"> "ЭКСПРЕСС-БЕТОН"</t>
  </si>
  <si>
    <t>0816003609</t>
  </si>
  <si>
    <t>358000, КАЛМЫКИЯ РЕСП, ЭЛИСТА Г, В.И.ЛЕНИНА УЛ, 7 "В", 605</t>
  </si>
  <si>
    <t>Саксонов Владимир Васильевич</t>
  </si>
  <si>
    <t>+7 (905) 409-39-59'</t>
  </si>
  <si>
    <t>46.307743,44.269759</t>
  </si>
  <si>
    <t>ОБЩЕСТВО С ОГРАНИЧЕННОЙ ОТВЕТСТВЕННОСТЬЮ "СтройКом"</t>
  </si>
  <si>
    <t xml:space="preserve"> "СтройКом"</t>
  </si>
  <si>
    <t>0816016710</t>
  </si>
  <si>
    <t>358000, КАЛМЫКИЯ РЕСПУБЛИКА, Г. ЭЛИСТА, ВДОЛЬ СЕВЕРНОЙ ОБЪЕЗДНОЙ АВТОДОРОГИ</t>
  </si>
  <si>
    <t>Чемидов Очир Владимирович</t>
  </si>
  <si>
    <t>+7 (937) 462-41-41'</t>
  </si>
  <si>
    <t>55.745073,37.603487</t>
  </si>
  <si>
    <t>ОБЩЕСТВО С ОГРАНИЧЕННОЙ ОТВЕТСТВЕННОСТЬЮ "СТАНДАРТ-БЕТОН"</t>
  </si>
  <si>
    <t xml:space="preserve"> "СТАНДАРТ-БЕТОН"</t>
  </si>
  <si>
    <t>0816029526</t>
  </si>
  <si>
    <t>Г ЭЛИСТА,ДОМ СОВЕТОВ</t>
  </si>
  <si>
    <t>44.249337,42.076378</t>
  </si>
  <si>
    <t>ОБЩЕСТВО С ОГРАНИЧЕННОЙ ОТВЕТСТВЕННОСТЬЮ "РУСЭНЕРГО"</t>
  </si>
  <si>
    <t xml:space="preserve"> "РУСЭНЕРГО"</t>
  </si>
  <si>
    <t>0900001085</t>
  </si>
  <si>
    <t>КАРАЧАЕВО-ЧЕРКЕССКАЯ РЕСП., Г. Черкесск, УЛ. ПЯТИГОРСКОЕ ШОССЕ, ЗД. 22, ОФИС 7</t>
  </si>
  <si>
    <t>Азамов Руслан Мазлакович</t>
  </si>
  <si>
    <t>44.284982,42.050615</t>
  </si>
  <si>
    <t>ОБЩЕСТВО С ОГРАНИЧЕННОЙ ОТВЕТСТВЕННОСТЬЮ СТРОИТЕЛЬНО-ТОРГОВАЯ КОМПАНИЯ "МОНОЛИТ"</t>
  </si>
  <si>
    <t xml:space="preserve"> СТРОИТЕЛЬНО-ТОРГОВАЯ КОМПАНИЯ "МОНОЛИТ"</t>
  </si>
  <si>
    <t>0900001462</t>
  </si>
  <si>
    <t>Карачаево-Черкесская Республика, ЧЕРКЕССКИЙ, Г ЧЕРКЕССК, УЛ ДЕМИДЕНКО, ЗД. 220А</t>
  </si>
  <si>
    <t>Кябишев Руслан Хизирович</t>
  </si>
  <si>
    <t>CTK_MONOLIT@MAIL.RU'</t>
  </si>
  <si>
    <t>44.049495,41.769577</t>
  </si>
  <si>
    <t>ОБЩЕСТВО С ОГРАНИЧЕННОЙ ОТВЕТСТВЕННОСТЬЮ "АЛЬФА СТРОЙ"</t>
  </si>
  <si>
    <t xml:space="preserve"> "АЛЬФА СТРОЙ"</t>
  </si>
  <si>
    <t>0900004939</t>
  </si>
  <si>
    <t>369400, Карачаево-Черкесская Республика, ХАБЕЗСКИЙ, 2 ХАБЕЗСКОЕ, АУЛ ХАБЕЗ, УЛ У.ХАБЕКОВА, Д. 47</t>
  </si>
  <si>
    <t>Бесленеев Зураб Умарович</t>
  </si>
  <si>
    <t>44.24638,42.083951</t>
  </si>
  <si>
    <t>ОБЩЕСТВО С ОГРАНИЧЕННОЙ ОТВЕТСТВЕННОСТЬЮ "ТРИО И К"</t>
  </si>
  <si>
    <t xml:space="preserve"> "ТРИО И К"</t>
  </si>
  <si>
    <t>0901013598</t>
  </si>
  <si>
    <t>Г ЧЕРКЕССК,П/О N 5,УЛ ШОССЕЙНАЯ, Д 193</t>
  </si>
  <si>
    <t>Тамов Феликс Мамишович</t>
  </si>
  <si>
    <t>44.25243,42.064062</t>
  </si>
  <si>
    <t>ОБЩЕСТВО С ОГРАНИЧЕННОЙ ОТВЕТСТВЕННОСТЬЮ"ЧЕРКЕССКИЕ СТРОИТЕЛЬНЫЕ МАТЕРИАЛЫ"</t>
  </si>
  <si>
    <t>"ЧЕРКЕССКИЕ СТРОИТЕЛЬНЫЕ МАТЕРИАЛЫ"</t>
  </si>
  <si>
    <t>0901013630</t>
  </si>
  <si>
    <t>http://ch-m.ru</t>
  </si>
  <si>
    <t>Г ЧЕРКЕССК,П/О N 3,ПЯТИГОРСКОЕ ШОССЕ, Д 7, КОРП В</t>
  </si>
  <si>
    <t>Тамов Мухамед Мухадинович</t>
  </si>
  <si>
    <t>+7 (782) 221-35-41'</t>
  </si>
  <si>
    <t>buhraschet@ch-m', 'buhraschet2@ch-m', 'buhraschet@ch-m', 'glbuh@ch-m'</t>
  </si>
  <si>
    <t>43.792991,41.914053</t>
  </si>
  <si>
    <t>ОБЩЕСТВО С ОГРАНИЧЕННОЙ ОТВЕТСТВЕННОСТЬЮ "БАЗА СТРОИТЕЛЬНЫХ МАТЕРИАЛОВ"</t>
  </si>
  <si>
    <t xml:space="preserve"> "БАЗА СТРОИТЕЛЬНЫХ МАТЕРИАЛОВ"</t>
  </si>
  <si>
    <t>0912002661</t>
  </si>
  <si>
    <t>369200, КАРАЧАЕВО-ЧЕРКЕССКАЯ РЕСПУБЛИКА, ГОРОД КАРАЧАЕВСК, УЛИЦА КРЫМШАМХАЛОВА, ДОМ 28</t>
  </si>
  <si>
    <t>Герюгов Артур Рафаильевич</t>
  </si>
  <si>
    <t>+7 (928) 398-44-19'</t>
  </si>
  <si>
    <t>43.906856,41.883214</t>
  </si>
  <si>
    <t>ОБЩЕСТВО С ОГРАНИЧЕННОЙ ОТВЕТСТВЕННОСТЬЮ "ИНЕРТСТРОЙ"</t>
  </si>
  <si>
    <t xml:space="preserve"> "ИНЕРТСТРОЙ"</t>
  </si>
  <si>
    <t>0916004807</t>
  </si>
  <si>
    <t>369244, КАРАЧАЕВО-ЧЕРКЕССКАЯ РЕСПУБЛИКА, РАЙОН КАРАЧАЕВСКИЙ, ПОСЕЛОК ГОРОДСКОГО ТИПА ПРАВОКУБАНСКИЙ, ПРОМ.</t>
  </si>
  <si>
    <t>Дудов Артур Хусеевич</t>
  </si>
  <si>
    <t>+7 (928) 924-26-29', '+7 (928) 395-19-17'</t>
  </si>
  <si>
    <t>44.211106,42.047991</t>
  </si>
  <si>
    <t>ОБЩЕСТВО С ОГРАНИЧЕННОЙ ОТВЕТСТВЕННОСТЬЮ "АРТ-СТРОЙ ПЛЮС"</t>
  </si>
  <si>
    <t xml:space="preserve"> "АРТ-СТРОЙ ПЛЮС"</t>
  </si>
  <si>
    <t>0917036671</t>
  </si>
  <si>
    <t>369012, КАРАЧАЕВО-ЧЕРКЕССКАЯ РЕСПУБЛИКА, Г ЧЕРКЕССК, УЛ СОВЕТСКАЯ, Д 210</t>
  </si>
  <si>
    <t>Салпагаров Валерий Викторович</t>
  </si>
  <si>
    <t>44.248401,42.08087</t>
  </si>
  <si>
    <t>ОБЩЕСТВО С ОГРАНИЧЕННОЙ ОТВЕТСТВЕННОСТЬЮ "БЕТОННАЯ КОМПАНИЯ №1"</t>
  </si>
  <si>
    <t xml:space="preserve"> "БЕТОННАЯ КОМПАНИЯ №1"</t>
  </si>
  <si>
    <t>0917036745</t>
  </si>
  <si>
    <t>369001, КАРАЧАЕВО-ЧЕРКЕССКАЯ РЕСПУБЛИКА, ГОРОД ЧЕРКЕССК, ПРОЕЗД МАЛЫЙ 1-Й, ДОМ 11</t>
  </si>
  <si>
    <t>Батчаев Аслан Асланбекович</t>
  </si>
  <si>
    <t>43.874581,41.906013</t>
  </si>
  <si>
    <t xml:space="preserve"> "САТУРН"</t>
  </si>
  <si>
    <t>0919005855</t>
  </si>
  <si>
    <t>369222, Карачаево-Черкесская Республика, Карачаевский р-н, аул Кумыш, ул Садовая, д 14</t>
  </si>
  <si>
    <t>Гагуев Артур Азрет-Алиевич</t>
  </si>
  <si>
    <t>61.78326,34.35384</t>
  </si>
  <si>
    <t>ОБЩЕСТВО С ОГРАНИЧЕННОЙ ОТВЕТСТВЕННОСТЬЮ ПО "Монолит"</t>
  </si>
  <si>
    <t xml:space="preserve"> ПО "Монолит"</t>
  </si>
  <si>
    <t>1001226796</t>
  </si>
  <si>
    <t>185035, КАРЕЛИЯ РЕСПУБЛИКА, Г. ПЕТРОЗАВОДСК, УЛ. АНОХИНА (ЦЕНТР Р-Н), Д. 33,..</t>
  </si>
  <si>
    <t>Момотов Игорь Валерьевич</t>
  </si>
  <si>
    <t>61.818529,34.279666</t>
  </si>
  <si>
    <t>ОБЩЕСТВО С ОГРАНИЧЕННОЙ ОТВЕТСТВЕННОСТЬЮ Торговый дом "Карелия Бетон"</t>
  </si>
  <si>
    <t xml:space="preserve"> Торговый дом "Карелия Бетон"</t>
  </si>
  <si>
    <t>1001272672</t>
  </si>
  <si>
    <t>185650, КАРЕЛИЯ РЕСПУБЛИКА, Г. ПЕТРОЗАВОДСК, Ш. ШУЙСКОЕ (СЕВЕРНАЯ ПРОМЗОНА Р-Н), Д. 13 КМ, КАБИНЕТ 2</t>
  </si>
  <si>
    <t>Алексенко Елена Петровна</t>
  </si>
  <si>
    <t>+7 (911) 400-56-10'</t>
  </si>
  <si>
    <t>61.822331,34.221447</t>
  </si>
  <si>
    <t>ОБЩЕСТВО С ОГРАНИЧЕННОЙ ОТВЕТСТВЕННОСТЬЮ "СТРОЙ ТРАНС КАРЕЛИЯ"</t>
  </si>
  <si>
    <t xml:space="preserve"> "СТРОЙ ТРАНС КАРЕЛИЯ"</t>
  </si>
  <si>
    <t>1001286428</t>
  </si>
  <si>
    <t>185013, КАРЕЛИЯ РЕСПУБЛИКА, Г. ПЕТРОЗАВОДСК, Ш. ПРЯЖИНСКОЕ (ТОМИЦЫ Р-Н), Д.10 КМ</t>
  </si>
  <si>
    <t>Акимов Владимир Анатольевич</t>
  </si>
  <si>
    <t>szv@yandex.ru'</t>
  </si>
  <si>
    <t>61.798353,34.319183</t>
  </si>
  <si>
    <t>ОБЩЕСТВО С ОГРАНИЧЕННОЙ ОТВЕТСТВЕННОСТЬЮ "ЛЕС ТРЕЙД"</t>
  </si>
  <si>
    <t xml:space="preserve"> "ЛЕС ТРЕЙД"</t>
  </si>
  <si>
    <t>1001327280</t>
  </si>
  <si>
    <t>185001, Республика Карелия, городской округ ПЕТРОЗАВОДСКИЙ, Город ПЕТРОЗАВОДСК, Р-Н ПЕРВОМАЙСКИЙ, УЛ ШОТМАНА, Д. 27, ПОМЕЩ. 12</t>
  </si>
  <si>
    <t>Амосов Евгений Викторович</t>
  </si>
  <si>
    <t>traid@mail.ru'</t>
  </si>
  <si>
    <t>61.79428,34.368582</t>
  </si>
  <si>
    <t>ОБЩЕСТВО С ОГРАНИЧЕННОЙ ОТВЕТСТВЕННОСТЬЮ "БЕТОН-ТРЕЙД"</t>
  </si>
  <si>
    <t xml:space="preserve"> "БЕТОН-ТРЕЙД"</t>
  </si>
  <si>
    <t>1001339574</t>
  </si>
  <si>
    <t>185035, КАРЕЛИЯ РЕСПУБЛИКА, ГОРОД ПЕТРОЗАВОДСК, УЛИЦА ЕРЕМЕЕВА (ЦЕНТР Р-Н), ДОМ 38,..</t>
  </si>
  <si>
    <t>Юркевич Александр Юрьевич</t>
  </si>
  <si>
    <t>+7 (921) 803-33-39'</t>
  </si>
  <si>
    <t>61.762125,34.447948</t>
  </si>
  <si>
    <t>ОБЩЕСТВО С ОГРАНИЧЕННОЙ ОТВЕТСТВЕННОСТЬЮ "ПЕТРО-БЕТОН"</t>
  </si>
  <si>
    <t xml:space="preserve"> "ПЕТРО-БЕТОН"</t>
  </si>
  <si>
    <t>1001341855</t>
  </si>
  <si>
    <t>185034, КАРЕЛИЯ РЕСПУБЛИКА, Г. ПЕТРОЗАВОДСК, УЛ. ОНЕЖСКОЙ ФЛОТИЛИИ (КЛЮЧЕВАЯ Р-Н), Д. 26, ОФИС 21</t>
  </si>
  <si>
    <t>Вознесенский Роман Сергеевич</t>
  </si>
  <si>
    <t>severveter2013@mail.ru', 'asavina77@yandex.ru'</t>
  </si>
  <si>
    <t>61.780389,34.341426</t>
  </si>
  <si>
    <t xml:space="preserve"> "БЕТОН-МАРКЕТ"</t>
  </si>
  <si>
    <t>1001343429</t>
  </si>
  <si>
    <t>185002, КАРЕЛИЯ РЕСПУБЛИКА, Г. ПЕТРОЗАВОДСК, УЛ. ФРУНЗЕ (ПЕРЕВАЛКА Р-Н), Д. 6А,..</t>
  </si>
  <si>
    <t>Андреева Наталья Николаевна</t>
  </si>
  <si>
    <t>64.585803,30.604164</t>
  </si>
  <si>
    <t>ОБЩЕСТВО С ОГРАНИЧЕННОЙ ОТВЕТСТВЕННОСТЬЮ "СТРОЙТРАНСКАРЕЛИЯ-АРКТИКА"</t>
  </si>
  <si>
    <t xml:space="preserve"> "СТРОЙТРАНСКАРЕЛИЯ-АРКТИКА"</t>
  </si>
  <si>
    <t>1001351934</t>
  </si>
  <si>
    <t>186931, Республика Карелия, городской округ КОСТОМУКШСКИЙ, Город КОСТОМУКША, УЛ ЛЕНИНА, Д. 6, ПОДВ. 3</t>
  </si>
  <si>
    <t>Алексенко Андрей Валерьевич</t>
  </si>
  <si>
    <t>63.727019,34.319345</t>
  </si>
  <si>
    <t>ОБЩЕСТВО С ОГРАНИЧЕННОЙ ОТВЕТСТВЕННОСТЬЮ "ВИТКОЛ"</t>
  </si>
  <si>
    <t xml:space="preserve"> "ВИТКОЛ"</t>
  </si>
  <si>
    <t>1006027681</t>
  </si>
  <si>
    <t>186423, КАРЕЛИЯ РЕСПУБЛИКА, СЕГЕЖСКИЙ РАЙОН, ГОРОД СЕГЕЖА, УЛИЦА ОКТЯБРЬСКАЯ, ДОМ 7</t>
  </si>
  <si>
    <t>Тагаков Виталий Никандрович</t>
  </si>
  <si>
    <t>+7 (911) 412-42-16'</t>
  </si>
  <si>
    <t>62.921195,34.563561</t>
  </si>
  <si>
    <t>ОБЩЕСТВО С ОГРАНИЧЕННОЙ ОТВЕТСТВЕННОСТЬЮ "ПИНДУШСКИЙ БЕТОННЫЙ ЗАВОД"</t>
  </si>
  <si>
    <t xml:space="preserve"> "ПИНДУШСКИЙ БЕТОННЫЙ ЗАВОД"</t>
  </si>
  <si>
    <t>1013009130</t>
  </si>
  <si>
    <t>186323, КАРЕЛИЯ РЕСП., Р-Н Медвежьегорский, ПГТ. Пиндуши, УЛ. ПРОМЫШЛЕННАЯ, ЗД. 14</t>
  </si>
  <si>
    <t>Гаврилов Александр Николаевич</t>
  </si>
  <si>
    <t>ADMSPB@YA.RU'</t>
  </si>
  <si>
    <t>61.782886,50.748184</t>
  </si>
  <si>
    <t>ОБЩЕСТВО С ОГРАНИЧЕННОЙ ОТВЕТСТВЕННОСТЬЮ "КОМБЕТ"</t>
  </si>
  <si>
    <t xml:space="preserve"> "КОМБЕТ"</t>
  </si>
  <si>
    <t>1101151230</t>
  </si>
  <si>
    <t>Г СЫКТЫВКАР,ПРОСП БУМАЖНИКОВ, Д 55..</t>
  </si>
  <si>
    <t>Владимиров Кирилл Сергеевич</t>
  </si>
  <si>
    <t>61.664638,50.825268</t>
  </si>
  <si>
    <t>ОБЩЕСТВО С ОГРАНИЧЕННОЙ ОТВЕТСТВЕННОСТЬЮ "С-СТРОЙТЕХ"</t>
  </si>
  <si>
    <t xml:space="preserve"> "С-СТРОЙТЕХ"</t>
  </si>
  <si>
    <t>1101151840</t>
  </si>
  <si>
    <t>167000, Республика Коми, г Сыктывкар, ул Карла Маркса, д 216А,..</t>
  </si>
  <si>
    <t>Лодыгина Татьяна Васильевна</t>
  </si>
  <si>
    <t>+7 (904) 270-56-22'</t>
  </si>
  <si>
    <t>622@mail.ru'</t>
  </si>
  <si>
    <t>61.62195,50.745336</t>
  </si>
  <si>
    <t>ОБЩЕСТВО С ОГРАНИЧЕННОЙ ОТВЕТСТВЕННОСТЬЮ "ФОРСАЖ"</t>
  </si>
  <si>
    <t xml:space="preserve"> "ФОРСАЖ"</t>
  </si>
  <si>
    <t>1101158807</t>
  </si>
  <si>
    <t>168220, КОМИ РЕСП., Р-Н Сыктывдинский, С. Выльгорт, УЛ. ЯРАНШОР, Д. 17</t>
  </si>
  <si>
    <t>Жулев Виктор Евгеньевич</t>
  </si>
  <si>
    <t>IFILI@MAIL.RU'</t>
  </si>
  <si>
    <t>61.689003,50.798346</t>
  </si>
  <si>
    <t>ОБЩЕСТВО С ОГРАНИЧЕННОЙ ОТВЕТСТВЕННОСТЬЮ "ПОКРОВСТРОЙ"</t>
  </si>
  <si>
    <t xml:space="preserve"> "ПОКРОВСТРОЙ"</t>
  </si>
  <si>
    <t>1101169622</t>
  </si>
  <si>
    <t>167000, КОМИ РЕСПУБЛИКА, ГОРОД СЫКТЫВКАР, ПРОСПЕКТ ОКТЯБРЬСКИЙ, СТРОЕНИЕ 131/5, ЭТАЖ 2</t>
  </si>
  <si>
    <t>Робанишвили Иван Тариелович</t>
  </si>
  <si>
    <t>valpun@mail.ru'</t>
  </si>
  <si>
    <t>67.494261,64.049844</t>
  </si>
  <si>
    <t>ОБЩЕСТВО С ОГРАНИЧЕННОЙ ОТВЕТСТВЕННОСТЬЮ "СТРОИТЕЛЬНАЯ КОМПАНИЯ МОНОЛИТ"</t>
  </si>
  <si>
    <t xml:space="preserve"> "СТРОИТЕЛЬНАЯ КОМПАНИЯ МОНОЛИТ"</t>
  </si>
  <si>
    <t>1103011616</t>
  </si>
  <si>
    <t>169906, КОМИ РЕСПУБЛИКА, ГОРОД ВОРКУТА, УЛИЦА ЛЕНИНА, ДОМ 25/27</t>
  </si>
  <si>
    <t>Пира Дмитрий Нумрудович</t>
  </si>
  <si>
    <t>IRABELL67@YANDEX.RU'</t>
  </si>
  <si>
    <t>57.509282,66.014964</t>
  </si>
  <si>
    <t xml:space="preserve"> "МЕГАПОЛИС"</t>
  </si>
  <si>
    <t>1106032759</t>
  </si>
  <si>
    <t>169710, КОМИ РЕСПУБЛИКА, Г. УСИНСК, УЛ. ЗАВОДСКАЯ, Д. 14 А</t>
  </si>
  <si>
    <t>Полянская Валентина Борисовна</t>
  </si>
  <si>
    <t>+7 (912) 956-70-70'</t>
  </si>
  <si>
    <t>56.642599,47.932361</t>
  </si>
  <si>
    <t>ОБЩЕСТВО С ОГРАНИЧЕННОЙ ОТВЕТСТВЕННОСТЬЮ "БЕТОНВСЕМ"</t>
  </si>
  <si>
    <t xml:space="preserve"> "БЕТОНВСЕМ"</t>
  </si>
  <si>
    <t>1200000176</t>
  </si>
  <si>
    <t>МАРИЙ ЭЛ РЕСП., Г. Йошкар-Ола, УЛ. КИРОВА, Д. 44, ЛИТЕРА В1, ЭТАЖ 1</t>
  </si>
  <si>
    <t>Перова Татьяна Ивановна</t>
  </si>
  <si>
    <t>56.632501,47.894173</t>
  </si>
  <si>
    <t>ОБЩЕСТВО С ОГРАНИЧЕННОЙ ОТВЕТСТВЕННОСТЬЮ ПРОИЗВОДСТВЕННАЯ КОМПАНИЯ "СТОЛИЦА"</t>
  </si>
  <si>
    <t xml:space="preserve"> ПРОИЗВОДСТВЕННАЯ КОМПАНИЯ "СТОЛИЦА"</t>
  </si>
  <si>
    <t>1200004036</t>
  </si>
  <si>
    <t>424000, Республика Марий Эл, ГОРОД ЙОШКАР-ОЛА, Г ЙОШКАР-ОЛА, УЛ ПУШКИНА, Д. 15</t>
  </si>
  <si>
    <t>Шаронов Сергей Анатольевич</t>
  </si>
  <si>
    <t>12@MAIL.RU'</t>
  </si>
  <si>
    <t>56.647088,47.944596</t>
  </si>
  <si>
    <t>ОБЩЕСТВО С ОГРАНИЧЕННОЙ ОТВЕТСТВЕННОСТЬЮ "БЕРАСТ"</t>
  </si>
  <si>
    <t xml:space="preserve"> "БЕРАСТ"</t>
  </si>
  <si>
    <t>1200005174</t>
  </si>
  <si>
    <t>424005, Республика Марий Эл, ГОРОД ЙОШКАР-ОЛА, Г ЙОШКАР-ОЛА, ТРАКТ СЕРНУРСКИЙ, Д. 10</t>
  </si>
  <si>
    <t>Демаков Константин Леонидович</t>
  </si>
  <si>
    <t>MASHYLJ03@YANDEX.RU'</t>
  </si>
  <si>
    <t>56.663599,47.847793</t>
  </si>
  <si>
    <t>ОБЩЕСТВО С ОГРАНИЧЕННОЙ ОТВЕТСТВЕННОСТЬЮ "БЕТОНГОСТ"</t>
  </si>
  <si>
    <t xml:space="preserve"> "БЕТОНГОСТ"</t>
  </si>
  <si>
    <t>1200005551</t>
  </si>
  <si>
    <t>424039, Республика Марий Эл, ГОРОД ЙОШКАР-ОЛА, Г ЙОШКАР-ОЛА, УЛ АРТЕМА, Д. 55</t>
  </si>
  <si>
    <t>Казаров Алексей Вячеславович</t>
  </si>
  <si>
    <t>56.620468,47.872075</t>
  </si>
  <si>
    <t>ОБЩЕСТВО С ОГРАНИЧЕННОЙ ОТВЕТСТВЕННОСТЬЮ "МЕДВЕДЕВСКИЙ БЕТОННЫЙ ЗАВОД"</t>
  </si>
  <si>
    <t xml:space="preserve"> "МЕДВЕДЕВСКИЙ БЕТОННЫЙ ЗАВОД"</t>
  </si>
  <si>
    <t>1207016231</t>
  </si>
  <si>
    <t>Г ЙОШКАР-ОЛА,УЛ ПУГАЧЕВА, 1</t>
  </si>
  <si>
    <t>Медюлянов Денис Николаевич</t>
  </si>
  <si>
    <t>56.614406,47.876315</t>
  </si>
  <si>
    <t xml:space="preserve"> "СТРОИТЕЛЬНЫЕ МАТЕРИАЛЫ"</t>
  </si>
  <si>
    <t>1215091828</t>
  </si>
  <si>
    <t>Г ЙОШКАР-ОЛА,УЛ ЛОМОНОСОВА, Д 2</t>
  </si>
  <si>
    <t>Чернов Андрей Павлович</t>
  </si>
  <si>
    <t>56.620998,47.858367</t>
  </si>
  <si>
    <t>ОБЩЕСТВО С ОГРАНИЧЕННОЙ ОТВЕТСТВЕННОСТЬЮ "РАСТВОРО-БЕТОННЫЙ КОМБИНАТ"</t>
  </si>
  <si>
    <t xml:space="preserve"> "РАСТВОРО-БЕТОННЫЙ КОМБИНАТ"</t>
  </si>
  <si>
    <t>1215122089</t>
  </si>
  <si>
    <t>Г ЙОШКАР-ОЛА,УЛ СТРОИТЕЛЕЙ, Д 95</t>
  </si>
  <si>
    <t>Похвалов Олег Владимирович</t>
  </si>
  <si>
    <t>56.644668,47.861286</t>
  </si>
  <si>
    <t>ОБЩЕСТВО С ОГРАНИЧЕННОЙ ОТВЕТСТВЕННОСТЬЮ "Бетон-12"</t>
  </si>
  <si>
    <t xml:space="preserve"> "Бетон-12"</t>
  </si>
  <si>
    <t>1215172019</t>
  </si>
  <si>
    <t>424020, МАРИЙ ЭЛ РЕСПУБЛИКА, ГОРОД ЙОШКАР-ОЛА, УЛИЦА КРАСНОАРМЕЙСКАЯ, ДОМ 107А,..</t>
  </si>
  <si>
    <t>1@1.ru', 'beton12@list.ru'</t>
  </si>
  <si>
    <t>56.636303,47.897964</t>
  </si>
  <si>
    <t>1215177360</t>
  </si>
  <si>
    <t>424000, МАРИЙ ЭЛ РЕСПУБЛИКА, Г. ЙОШКАР-ОЛА, УЛ. СОВЕТСКАЯ, Д. 116, ЭТАЖ 2, ОФИС 2</t>
  </si>
  <si>
    <t>Першутов Евгений Анатольевич</t>
  </si>
  <si>
    <t>+7 (964) 863-32-23', '+7 (927) 887-04-68'</t>
  </si>
  <si>
    <t>beton_stroy14@mail.ru', '433223olga@mail.ru'</t>
  </si>
  <si>
    <t>56.609893,47.903705</t>
  </si>
  <si>
    <t>ОБЩЕСТВО С ОГРАНИЧЕННОЙ ОТВЕТСТВЕННОСТЬЮ "БЕТОН М"</t>
  </si>
  <si>
    <t xml:space="preserve"> "БЕТОН М"</t>
  </si>
  <si>
    <t>1215213152</t>
  </si>
  <si>
    <t>424016, МАРИЙ ЭЛ РЕСП, ЙОШКАР-ОЛА Г, ЭЛЕВАТОРНЫЙ ПР, ДОМ 13</t>
  </si>
  <si>
    <t>Скулкин Сергей Евгеньевич</t>
  </si>
  <si>
    <t>+7 (964) 860-29-80'</t>
  </si>
  <si>
    <t>56.630322,47.88696</t>
  </si>
  <si>
    <t>ОБЩЕСТВО С ОГРАНИЧЕННОЙ ОТВЕТСТВЕННОСТЬЮ "КВАНТ"</t>
  </si>
  <si>
    <t xml:space="preserve"> "КВАНТ"</t>
  </si>
  <si>
    <t>1215215939</t>
  </si>
  <si>
    <t>424000, МАРИЙ ЭЛ РЕСП, ЙОШКАР-ОЛА Г, ЛЕНИНСКИЙ ПР-КТ, ДОМ 25, ЛИТЕР А, ПОМЕЩЕНИЕ ПОЗИЦИЯ 69</t>
  </si>
  <si>
    <t>Такмаков Станислав Геннадьевич</t>
  </si>
  <si>
    <t>+7 (967) 758-35-11'</t>
  </si>
  <si>
    <t>55.817355,49.120239</t>
  </si>
  <si>
    <t xml:space="preserve"> "ТЕРМИНАЛ"</t>
  </si>
  <si>
    <t>1215219570</t>
  </si>
  <si>
    <t>420124, Республика Татарстан (Татарстан), городской округ ГОРОД КАЗАНЬ, Город КАЗАНЬ, УЛ МУСИНА, Д. 1, ПОМЕЩ. 1010</t>
  </si>
  <si>
    <t>Левит Михаил Рауфович</t>
  </si>
  <si>
    <t>56.641243,47.931418</t>
  </si>
  <si>
    <t>ОБЩЕСТВО С ОГРАНИЧЕННОЙ ОТВЕТСТВЕННОСТЬЮ "ИМПЕРИЯ КАМНЯ"</t>
  </si>
  <si>
    <t xml:space="preserve"> "ИМПЕРИЯ КАМНЯ"</t>
  </si>
  <si>
    <t>1215232959</t>
  </si>
  <si>
    <t>424005, МАРИЙ ЭЛ РЕСПУБЛИКА, ГОРОД ЙОШКАР-ОЛА, ТРАКТ СЕРНУРСКИЙ, ДОМ 22</t>
  </si>
  <si>
    <t>Чапайкин Андрей Сергеевич</t>
  </si>
  <si>
    <t>56.644812,47.831669</t>
  </si>
  <si>
    <t>ОБЩЕСТВО С ОГРАНИЧЕННОЙ ОТВЕТСТВЕННОСТЬЮ "Р-БК"</t>
  </si>
  <si>
    <t xml:space="preserve"> "Р-БК"</t>
  </si>
  <si>
    <t>1215235678</t>
  </si>
  <si>
    <t>424019, МАРИЙ ЭЛ РЕСП., Г. Йошкар-Ола, УЛ. ЗАПАДНАЯ, Д. 29, ПОМЕЩ. 3</t>
  </si>
  <si>
    <t>Сидубаев Виталий Александрович</t>
  </si>
  <si>
    <t>BK12@MAIL.RU'</t>
  </si>
  <si>
    <t>56.629946,47.818374</t>
  </si>
  <si>
    <t>ОБЩЕСТВО С ОГРАНИЧЕННОЙ ОТВЕТСТВЕННОСТЬЮ "ЖБК 12"</t>
  </si>
  <si>
    <t xml:space="preserve"> "ЖБК 12"</t>
  </si>
  <si>
    <t>1218002230</t>
  </si>
  <si>
    <t>425200, МАРИЙ ЭЛ РЕСПУБЛИКА, МЕДВЕДЕВСКИЙ РАЙОН, ПОСЕЛОК ГОРОДСКОГО ТИПА МЕДВЕДЕВО, УЛИЦА МИРА, ДОМ 18,..</t>
  </si>
  <si>
    <t>Иштуганов Ренат Ахматович</t>
  </si>
  <si>
    <t>+7 (927) 883-55-85'</t>
  </si>
  <si>
    <t>stroysnab12@inbox.ru', 'zhbk12@inbox.ru'</t>
  </si>
  <si>
    <t>56.21717,46.726489</t>
  </si>
  <si>
    <t xml:space="preserve"> "БЕТОН СТРОЙ"</t>
  </si>
  <si>
    <t>1223000687</t>
  </si>
  <si>
    <t>425302, МАРИЙ ЭЛ РЕСПУБЛИКА, РАЙОН ГОРНОМАРИЙСКИЙ, ДЕРЕВНЯ ШУНАНГЕР, УЛИЦА 1 МАРТА, ДОМ 3</t>
  </si>
  <si>
    <t>Пеньков Андрей Николаевич</t>
  </si>
  <si>
    <t>+7 (961) 379-33-94'</t>
  </si>
  <si>
    <t>irinavlada77@mail.ru', 'raschetplus2012@mail.ru'</t>
  </si>
  <si>
    <t>56.646994,47.831489</t>
  </si>
  <si>
    <t>ОБЩЕСТВО С ОГРАНИЧЕННОЙ ОТВЕТСТВЕННОСТЬЮ "БЕТОНРЕГИОН 12"</t>
  </si>
  <si>
    <t xml:space="preserve"> "БЕТОНРЕГИОН 12"</t>
  </si>
  <si>
    <t>1226000438</t>
  </si>
  <si>
    <t>424019, МАРИЙ ЭЛ РЕСП., Г. Йошкар-Ола, УЛ. ЗАПАДНАЯ, Д. 21,..</t>
  </si>
  <si>
    <t>Чепаков Александр Юрьевич</t>
  </si>
  <si>
    <t>beton_region12@mail.ru', 'b482244@gmail.com'</t>
  </si>
  <si>
    <t>56.789422,49.608581</t>
  </si>
  <si>
    <t>ОБЩЕСТВО С ОГРАНИЧЕННОЙ ОТВЕТСТВЕННОСТЬЮ "БЕТОНСНАБ"</t>
  </si>
  <si>
    <t xml:space="preserve"> "БЕТОНСНАБ"</t>
  </si>
  <si>
    <t>1226000727</t>
  </si>
  <si>
    <t>425500, МАРИЙ ЭЛ РЕСПУБЛИКА, РАЙОН МАРИ-ТУРЕКСКИЙ, ПОСЕЛОК ГОРОДСКОГО ТИПА МАРИ-ТУРЕК, УЛИЦА ЛУГОВАЯ, ДОМ 7,..</t>
  </si>
  <si>
    <t>Алехин Николай Иванович</t>
  </si>
  <si>
    <t>54.425959,45.807827</t>
  </si>
  <si>
    <t>ОБЩЕСТВО С ОГРАНИЧЕННОЙ ОТВЕТСТВЕННОСТЬЮ "ОНИО"</t>
  </si>
  <si>
    <t xml:space="preserve"> "ОНИО"</t>
  </si>
  <si>
    <t>1322001723</t>
  </si>
  <si>
    <t>431700, Республика Мордовия, муниципальный район ЧАМЗИНСКИЙ, РП ЧАМЗИНКА, городское поселение ЧАМЗИНКА, УЛ ЗАРЕЧНАЯ, Д. 1,</t>
  </si>
  <si>
    <t>Макеев Илья Олегович</t>
  </si>
  <si>
    <t>ILMAKEEV575@GMAIL.COM'</t>
  </si>
  <si>
    <t>54.207764,45.192014</t>
  </si>
  <si>
    <t>ОБЩЕСТВО С ОГРАНИЧЕННОЙ ОТВЕТСТВЕННОСТЬЮ "СаранскБетонСервис"</t>
  </si>
  <si>
    <t xml:space="preserve"> "СаранскБетонСервис"</t>
  </si>
  <si>
    <t>1326211023</t>
  </si>
  <si>
    <t>430003, МОРДОВИЯ РЕСПУБЛИКА, Г. САРАНСК, ПР-КТ ЛЕНИНА, Д.91</t>
  </si>
  <si>
    <t>Дадашьянц Андрей Викторович</t>
  </si>
  <si>
    <t>+7 (927) 184-24-77'</t>
  </si>
  <si>
    <t>54.188797,45.188358</t>
  </si>
  <si>
    <t>ОБЩЕСТВО С ОГРАНИЧЕННОЙ ОТВЕТСТВЕННОСТЬЮ "СОЦПРОМБЫТ"</t>
  </si>
  <si>
    <t xml:space="preserve"> "СОЦПРОМБЫТ"</t>
  </si>
  <si>
    <t>1326248249</t>
  </si>
  <si>
    <t>430005, МОРДОВИЯ РЕСПУБЛИКА, Г. САРАНСК, ПР-КТ ЛЕНИНА, Д. 21, ОФИС 502</t>
  </si>
  <si>
    <t>Цыряпкин Алексей Павлович</t>
  </si>
  <si>
    <t>+7 (927) 276-68-31', '+7 (834) 247-43-80'</t>
  </si>
  <si>
    <t>54.179345,45.157707</t>
  </si>
  <si>
    <t>ОБЩЕСТВО С ОГРАНИЧЕННОЙ ОТВЕТСТВЕННОСТЬЮ "СТРОЙИНВЕСТ ПЛЮС"</t>
  </si>
  <si>
    <t xml:space="preserve"> "СТРОЙИНВЕСТ ПЛЮС"</t>
  </si>
  <si>
    <t>1326254073</t>
  </si>
  <si>
    <t>430027, МОРДОВИЯ РЕСП, САРАНСК Г, ТИМИРЯЗЕВА УЛ, ДОМ 11</t>
  </si>
  <si>
    <t>Майоров Ким Игоревич</t>
  </si>
  <si>
    <t>+7 (927) 190-67-77'</t>
  </si>
  <si>
    <t>54.185689,45.190451</t>
  </si>
  <si>
    <t xml:space="preserve"> "ОЛИМПИЯ"</t>
  </si>
  <si>
    <t>1326256930</t>
  </si>
  <si>
    <t>430005, МОРДОВИЯ РЕСП., Г. Саранск, УЛ. Б.ХМЕЛЬНИЦКОГО, Д. 14, ОФИС 105</t>
  </si>
  <si>
    <t>Литвиненко Владимир Николаевич</t>
  </si>
  <si>
    <t>54.205905,45.241125</t>
  </si>
  <si>
    <t>ОБЩЕСТВО С ОГРАНИЧЕННОЙ ОТВЕТСТВЕННОСТЬЮ "УПРАВЛЕНИЕ МАТЕРИАЛЬНО-ТЕХНИЧЕСКОГО СНАБЖЕНИЯ"</t>
  </si>
  <si>
    <t xml:space="preserve"> "УПРАВЛЕНИЕ МАТЕРИАЛЬНО-ТЕХНИЧЕСКОГО СНАБЖЕНИЯ"</t>
  </si>
  <si>
    <t>1327015631</t>
  </si>
  <si>
    <t>430031, МОРДОВИЯ РЕСПУБЛИКА, Г. САРАНСК, УЛ. СУЩИНСКОГО, Д. 44</t>
  </si>
  <si>
    <t>Мочалов Евгений Владимирович</t>
  </si>
  <si>
    <t>+7 (927) 195-32-21', '+7 (927) 276-43-24', '+7 (927) 182-37-77'</t>
  </si>
  <si>
    <t>54.69096,45.304304</t>
  </si>
  <si>
    <t>ОБЩЕСТВО С ОГРАНИЧЕННОЙ ОТВЕТСТВЕННОСТЬЮ "СТРОЙДЕПО"</t>
  </si>
  <si>
    <t xml:space="preserve"> "СТРОЙДЕПО"</t>
  </si>
  <si>
    <t>1327018086</t>
  </si>
  <si>
    <t>431658, МОРДОВИЯ РЕСПУБЛИКА, Р-Н ИЧАЛКОВСКИЙ, С РОЖДЕСТВЕНО, УЛ. ОКТЯБРЬСКАЯ, Д. 50</t>
  </si>
  <si>
    <t>Муравьёв Максим Дмитриевич</t>
  </si>
  <si>
    <t>+7 (927) 173-67-39'</t>
  </si>
  <si>
    <t>54.204267,45.177866</t>
  </si>
  <si>
    <t>ОБЩЕСТВО С ОГРАНИЧЕННОЙ ОТВЕТСТВЕННОСТЬЮ "Стройгарант"</t>
  </si>
  <si>
    <t xml:space="preserve"> "Стройгарант"</t>
  </si>
  <si>
    <t>1327024812</t>
  </si>
  <si>
    <t>430001, Республика Мордовия, г Саранск, Пролетарский район, ул Строительная, д 2</t>
  </si>
  <si>
    <t>Букин Дмитрий Сергеевич</t>
  </si>
  <si>
    <t>+7 (898) 799-57-75', '+7 (960) 335-98-02', '+7 (987) 995-77-75'</t>
  </si>
  <si>
    <t>dmitrybukin@mail.ru', 'beton_saransk@mail.ru'</t>
  </si>
  <si>
    <t>54.205289,45.178279</t>
  </si>
  <si>
    <t>Общество с ограниченной ответственностью "ТК МОНОЛИТ"</t>
  </si>
  <si>
    <t xml:space="preserve"> "ТК МОНОЛИТ"</t>
  </si>
  <si>
    <t>1327026993</t>
  </si>
  <si>
    <t>430001, РЕСПУБЛИКА МОРДОВИЯ, Г САРАНСК, ПРОЛЕТАРСКИЙ Р-ОН, УЛ СТРОИТЕЛЬНАЯ, Д 1, ОФИС 312</t>
  </si>
  <si>
    <t>Моисеев Владислав Валентинович</t>
  </si>
  <si>
    <t>tk_monolit@mail.ru'</t>
  </si>
  <si>
    <t>54.2403,45.165388</t>
  </si>
  <si>
    <t xml:space="preserve"> "СФЕРА"</t>
  </si>
  <si>
    <t>1327038452</t>
  </si>
  <si>
    <t>430034, Республика Мордовия, САРАНСК, Г САРАНСК, УЛ ПРОМЫШЛЕННАЯ 1-Я, Д. 21Б,СТР. 5</t>
  </si>
  <si>
    <t>Цыганов Иван Владимирович</t>
  </si>
  <si>
    <t>MIHKETA@MAIL.RU'</t>
  </si>
  <si>
    <t>54.200628,45.228225</t>
  </si>
  <si>
    <t>ОБЩЕСТВО С ОГРАНИЧЕННОЙ ОТВЕТСТВЕННОСТЬЮ "Монолит С"</t>
  </si>
  <si>
    <t xml:space="preserve"> "Монолит С"</t>
  </si>
  <si>
    <t>1328000395</t>
  </si>
  <si>
    <t>430031, МОРДОВИЯ РЕСПУБЛИКА, Г. САРАНСК, УЛ. ГОЖУВСКАЯ, Д.41А</t>
  </si>
  <si>
    <t>Погодина Марина Александровна</t>
  </si>
  <si>
    <t>+7 (927) 178-32-39'</t>
  </si>
  <si>
    <t>ОБЩЕСТВО С ОГРАНИЧЕННОЙ ОТВЕТСТВЕННОСТЬЮ "БетонСтройСнаб"</t>
  </si>
  <si>
    <t xml:space="preserve"> "БетонСтройСнаб"</t>
  </si>
  <si>
    <t>1328009824</t>
  </si>
  <si>
    <t>430001, Республика Мордовия, городской округ САРАНСК, Город САРАНСК, УЛ СТРОИТЕЛЬНАЯ, Д. 1А, ОФИС 102</t>
  </si>
  <si>
    <t>Илюткин Василий Ильич</t>
  </si>
  <si>
    <t>+7 (987) 690-12-19', '+7 (917) 069-73-57'</t>
  </si>
  <si>
    <t>betonstroysnab@bk.ru'</t>
  </si>
  <si>
    <t>62.027563,129.724183</t>
  </si>
  <si>
    <t>ОБЩЕСТВО С ОГРАНИЧЕННОЙ ОТВЕТСТВЕННОСТЬЮ "АГАТ-С"</t>
  </si>
  <si>
    <t xml:space="preserve"> "АГАТ-С"</t>
  </si>
  <si>
    <t>1400003128</t>
  </si>
  <si>
    <t>677027, Республика Саха (Якутия), ГОРОД ЯКУТСК, Г ЯКУТСК, УЛ ОРДЖОНИКИДЗЕ, Д. 46/2</t>
  </si>
  <si>
    <t>Свинобоев Прокопий Васильевич</t>
  </si>
  <si>
    <t>AGATSS@YANDEX.RU'</t>
  </si>
  <si>
    <t>62.183293,130.721035</t>
  </si>
  <si>
    <t>ОБЩЕСТВО С ОГРАНИЧЕННОЙ ОТВЕТСТВЕННОСТЬЮ "ПТК МОДУН"</t>
  </si>
  <si>
    <t xml:space="preserve"> "ПТК МОДУН"</t>
  </si>
  <si>
    <t>1400005541</t>
  </si>
  <si>
    <t>678075, Республика Саха (Якутия), МЕГИНО-КАНГАЛАССКИЙ, 2 ТЮНГЮЛЮНСКИЙ НАСЛЕГ, С ТЮНГЮЛЮ, УЛ ЯКУТСКАЯ, Д. 40</t>
  </si>
  <si>
    <t>Борисова Марта Петровна</t>
  </si>
  <si>
    <t>MODUN@MAIL.RU'</t>
  </si>
  <si>
    <t>66.443691,143.223104</t>
  </si>
  <si>
    <t>ОБЩЕСТВО С ОГРАНИЧЕННОЙ ОТВЕТСТВЕННОСТЬЮ "ТУЙМААДА БЕТОН"</t>
  </si>
  <si>
    <t xml:space="preserve"> "ТУЙМААДА БЕТОН"</t>
  </si>
  <si>
    <t>1400010020</t>
  </si>
  <si>
    <t>678860, Республика Саха (Якутия), МОМСКИЙ, 2 МОМСКИЙ НАЦИОНАЛЬНЫЙ НАСЛЕГ, С ХОНУУ, УЛ ДАЧНАЯ, Д. 11</t>
  </si>
  <si>
    <t>Дмитриев Александр Васильевич</t>
  </si>
  <si>
    <t>62.029879,129.749381</t>
  </si>
  <si>
    <t>ОБЩЕСТВО С ОГРАНИЧЕННОЙ ОТВЕТСТВЕННОСТЬЮ "БК ГРАФЕН"</t>
  </si>
  <si>
    <t xml:space="preserve"> "БК ГРАФЕН"</t>
  </si>
  <si>
    <t>1400010157</t>
  </si>
  <si>
    <t>677000, Республика Саха (Якутия), ГОРОД ЯКУТСК, Г ЯКУТСК, УЛ ХАБАРОВА, Д. 3</t>
  </si>
  <si>
    <t>Данилова Айталина Степановна</t>
  </si>
  <si>
    <t>56.657717,124.712311</t>
  </si>
  <si>
    <t>ОБЩЕСТВО С ОГРАНИЧЕННОЙ ОТВЕТСТВЕННОСТЬЮ "БСК-17"</t>
  </si>
  <si>
    <t xml:space="preserve"> "БСК-17"</t>
  </si>
  <si>
    <t>1434050006</t>
  </si>
  <si>
    <t>678962, САХА /ЯКУТИЯ/ РЕСПУБЛИКА, РАЙОН НЕРЮНГРИНСКИЙ, ГОРОД НЕРЮНГРИ, УЛИЦА СОСНОВАЯ, ДОМ 4, ОФИС 1-8</t>
  </si>
  <si>
    <t>Горковенко Владимир Сергеевич</t>
  </si>
  <si>
    <t>56.67542,124.837528</t>
  </si>
  <si>
    <t>ОБЩЕСТВО С ОГРАНИЧЕННОЙ ОТВЕТСТВЕННОСТЬЮ "БИЛДИНГ СТОУН"</t>
  </si>
  <si>
    <t xml:space="preserve"> "БИЛДИНГ СТОУН"</t>
  </si>
  <si>
    <t>1434051070</t>
  </si>
  <si>
    <t>678995, САХА /ЯКУТИЯ/ РЕСПУБЛИКА, РАЙОН НЕРЮНГРИНСКИЙ, ПОСЕЛОК СЕРЕБРЯНЫЙ БОР, ПРОМЗОНА ЗАВОД ЖБИ</t>
  </si>
  <si>
    <t>Гончаров Антон Владимирович</t>
  </si>
  <si>
    <t>+7 (924) 162-92-13', '+7 (924) 162-92-07'</t>
  </si>
  <si>
    <t>62.016036,129.717589</t>
  </si>
  <si>
    <t>ОБЩЕСТВО С ОГРАНИЧЕННОЙ ОТВЕТСТВЕННОСТЬЮ "Строительно-монтажное управление-555"</t>
  </si>
  <si>
    <t xml:space="preserve"> "Строительно-монтажное управление-555"</t>
  </si>
  <si>
    <t>1435248601</t>
  </si>
  <si>
    <t>677000, САХА /ЯКУТИЯ/ РЕСПУБЛИКА, ГОРОД ЯКУТСК, УЛИЦА ДЕЖНЕВА, 33</t>
  </si>
  <si>
    <t>Федоров Александр Егорович</t>
  </si>
  <si>
    <t>+7 (914) 293-95-18'</t>
  </si>
  <si>
    <t>61.987807,129.662819</t>
  </si>
  <si>
    <t>ОБЩЕСТВО С ОГРАНИЧЕННОЙ ОТВЕТСТВЕННОСТЬЮ "БК-ТиАрстрой"</t>
  </si>
  <si>
    <t xml:space="preserve"> "БК-ТиАрстрой"</t>
  </si>
  <si>
    <t>1435251435</t>
  </si>
  <si>
    <t>677007, САХА /ЯКУТИЯ/ РЕСПУБЛИКА, ГОРОД ЯКУТСК, ПЕРЕУЛОК ХОРИНСКИЙ, 20</t>
  </si>
  <si>
    <t>Григорьева Любовь Тихоновна</t>
  </si>
  <si>
    <t>+7 (924) 761-27-82', '+7 (924) 660-99-15', '+7 (914) 272-59-97'</t>
  </si>
  <si>
    <t>62.032942,129.762802</t>
  </si>
  <si>
    <t>ОБЩЕСТВО С ОГРАНИЧЕННОЙ ОТВЕТСТВЕННОСТЬЮ "Декор-Тайл"</t>
  </si>
  <si>
    <t xml:space="preserve"> "Декор-Тайл"</t>
  </si>
  <si>
    <t>1435265170</t>
  </si>
  <si>
    <t>677000, САХА /ЯКУТИЯ/ РЕСПУБЛИКА, ГОРОД ЯКУТСК, УЛИЦА ЛАРИОНОВА, 2, 35</t>
  </si>
  <si>
    <t>Макаров Николай Исаевич</t>
  </si>
  <si>
    <t>+7 (914) 297-28-15', '+7 (914) 274-14-66'</t>
  </si>
  <si>
    <t>consaltingykt@mail.ru'</t>
  </si>
  <si>
    <t>62.070359,129.743146</t>
  </si>
  <si>
    <t>ОБЩЕСТВО С ОГРАНИЧЕННОЙ ОТВЕТСТВЕННОСТЬЮ "СТРОЙТЕХСНАБ"</t>
  </si>
  <si>
    <t xml:space="preserve"> "СТРОЙТЕХСНАБ"</t>
  </si>
  <si>
    <t>1435279938</t>
  </si>
  <si>
    <t>677014, САХА /ЯКУТИЯ/ РЕСПУБЛИКА, ГОРОД ЯКУТСК, УЛИЦА АВТОСТРАДА 50 ЛЕТ ОКТЯБРЯ, 10, 1А</t>
  </si>
  <si>
    <t>Хамидуллин Валерий Рашидович</t>
  </si>
  <si>
    <t>+7 (914) 221-42-72', '+7 (914) 237-11-14'</t>
  </si>
  <si>
    <t>transstroy@list.ru'</t>
  </si>
  <si>
    <t>62.128466,129.751079</t>
  </si>
  <si>
    <t>ОБЩЕСТВО С ОГРАНИЧЕННОЙ ОТВЕТСТВЕННОСТЬЮ ПРОИЗВОДСТВЕННО-СТРОИТЕЛЬНАЯ КОМПАНИЯ "ЧАТТАЙ"</t>
  </si>
  <si>
    <t xml:space="preserve"> ПРОИЗВОДСТВЕННО-СТРОИТЕЛЬНАЯ КОМПАНИЯ "ЧАТТАЙ"</t>
  </si>
  <si>
    <t>1435309438</t>
  </si>
  <si>
    <t>677901, САХА /ЯКУТИЯ/ РЕСПУБЛИКА, ГОРОД ЯКУТСК, УЛИЦА НОВАЯ (МАРХА МКР.), ДОМ 19/2</t>
  </si>
  <si>
    <t>Баишев Евгений Антонович</t>
  </si>
  <si>
    <t>+7 (924) 597-72-00', '+7 (914) 272-58-60', '+7 (411) 249-50-93'</t>
  </si>
  <si>
    <t>62.024963,129.733642</t>
  </si>
  <si>
    <t>ОБЩЕСТВО С ОГРАНИЧЕННОЙ ОТВЕТСТВЕННОСТЬЮ "ОРИОН"</t>
  </si>
  <si>
    <t xml:space="preserve"> "ОРИОН"</t>
  </si>
  <si>
    <t>1435319620</t>
  </si>
  <si>
    <t>677018, САХА /ЯКУТИЯ/ РЕСП, ЯКУТСК Г, КИРОВА УЛ, ДОМ 7,..</t>
  </si>
  <si>
    <t>Васильев Алексей Николаевич</t>
  </si>
  <si>
    <t>+7 (968) 156-11-65', '+7 (924) 765-77-71'</t>
  </si>
  <si>
    <t>61.997621,129.676474</t>
  </si>
  <si>
    <t>ОБЩЕСТВО С ОГРАНИЧЕННОЙ ОТВЕТСТВЕННОСТЬЮ "ЭРЭЛБЕТОН"</t>
  </si>
  <si>
    <t xml:space="preserve"> "ЭРЭЛБЕТОН"</t>
  </si>
  <si>
    <t>1435319940</t>
  </si>
  <si>
    <t>677007, САХА /ЯКУТИЯ/ РЕСПУБЛИКА, ГОРОД ЯКУТСК, УЛИЦА ЛУГОВАЯ, ДОМ 7</t>
  </si>
  <si>
    <t>Бурнашев Дмитрий Юрьевич</t>
  </si>
  <si>
    <t>+7 (914) 272-27-72'</t>
  </si>
  <si>
    <t>62.067948,129.772234</t>
  </si>
  <si>
    <t>ОБЩЕСТВО С ОГРАНИЧЕННОЙ ОТВЕТСТВЕННОСТЬЮ "СТРОЙ БЕТОН 14"</t>
  </si>
  <si>
    <t xml:space="preserve"> "СТРОЙ БЕТОН 14"</t>
  </si>
  <si>
    <t>1435323898</t>
  </si>
  <si>
    <t>677004, САХА /ЯКУТИЯ/ РЕСПУБЛИКА, ГОРОД ЯКУТСК, УЛИЦА ЧЕЛЮСКИНА, ДОМ 37, КОРПУС 5А</t>
  </si>
  <si>
    <t>Новгородов Сергей Петрович</t>
  </si>
  <si>
    <t>62.074989,129.790569</t>
  </si>
  <si>
    <t>ОБЩЕСТВО С ОГРАНИЧЕННОЙ ОТВЕТСТВЕННОСТЬЮ "САХАБЕТОНКОМПЛЕКТ"</t>
  </si>
  <si>
    <t xml:space="preserve"> "САХАБЕТОНКОМПЛЕКТ"</t>
  </si>
  <si>
    <t>1435331088</t>
  </si>
  <si>
    <t>677004, САХА /ЯКУТИЯ/ РЕСПУБЛИКА, Г. ЯКУТСК, УЛ. 50 ЛЕТ СОВЕТСКОЙ АРМИИ, Д. 51, К. 3</t>
  </si>
  <si>
    <t>Оганесян Оганес Мартунович</t>
  </si>
  <si>
    <t>+7 (914) 270-39-34', '+7 (924) 360-68-73'</t>
  </si>
  <si>
    <t>62.019088,129.719718</t>
  </si>
  <si>
    <t>ОБЩЕСТВО С ОГРАНИЧЕННОЙ ОТВЕТСТВЕННОСТЬЮ "БЕТОН БАЗА"</t>
  </si>
  <si>
    <t xml:space="preserve"> "БЕТОН БАЗА"</t>
  </si>
  <si>
    <t>1435333783</t>
  </si>
  <si>
    <t>677007, САХА /ЯКУТИЯ/ РЕСПУБЛИКА, Г. ЯКУТСК, ПР-КТ ЛЕНИНА, Д. 52,..</t>
  </si>
  <si>
    <t>Кравцов Анатолий Александрович</t>
  </si>
  <si>
    <t>62.032558,129.658696</t>
  </si>
  <si>
    <t>ОБЩЕСТВО С ОГРАНИЧЕННОЙ ОТВЕТСТВЕННОСТЬЮ "ДОМИНО"</t>
  </si>
  <si>
    <t xml:space="preserve"> "ДОМИНО"</t>
  </si>
  <si>
    <t>1435339295</t>
  </si>
  <si>
    <t>677008, САХА /ЯКУТИЯ/ РЕСПУБЛИКА, ГОРОД ЯКУТСК, УЛИЦА БИЛИБИНА, ДОМ 5</t>
  </si>
  <si>
    <t>Людгольц Ольга Александровна</t>
  </si>
  <si>
    <t>62.025731,129.69444</t>
  </si>
  <si>
    <t>ОБЩЕСТВО С ОГРАНИЧЕННОЙ ОТВЕТСТВЕННОСТЬЮ "СТРОИТЕЛЬНО-МОНТАЖНОЕ ПРЕДПРИЯТИЕ"</t>
  </si>
  <si>
    <t xml:space="preserve"> "СТРОИТЕЛЬНО-МОНТАЖНОЕ ПРЕДПРИЯТИЕ"</t>
  </si>
  <si>
    <t>1435354631</t>
  </si>
  <si>
    <t>677008, САХА /ЯКУТИЯ/ РЕСПУБЛИКА, ГОРОД ЯКУТСК, УЛИЦА ЛЕРМОНТОВА, ДОМ 98, КОРПУС 1,..</t>
  </si>
  <si>
    <t>Хрулевич Сергей Владимирович</t>
  </si>
  <si>
    <t>+7 (383) 363-09-35', '+7 (383) 258-72-27'</t>
  </si>
  <si>
    <t>62.161165,129.823555</t>
  </si>
  <si>
    <t>ОБЩЕСТВО С ОГРАНИЧЕННОЙ ОТВЕТСТВЕННОСТЬЮ "РУБИНПЛЮС"</t>
  </si>
  <si>
    <t xml:space="preserve"> "РУБИНПЛЮС"</t>
  </si>
  <si>
    <t>1435362181</t>
  </si>
  <si>
    <t>677902, САХА /ЯКУТИЯ/ РЕСП., П. Жатай, УЛ. НОВАЯ, Д. 3</t>
  </si>
  <si>
    <t>Назаров Махмарахим Саидмуродович</t>
  </si>
  <si>
    <t>CONSALTINGYKT@MAIL.RU'</t>
  </si>
  <si>
    <t>43.008137,44.686065</t>
  </si>
  <si>
    <t>ОБЩЕСТВО С ОГРАНИЧЕННОЙ ОТВЕТСТВЕННОСТЬЮ "СТРОИТЕЛЬНО-ТОРГОВАЯ КОМПАНИЯ"</t>
  </si>
  <si>
    <t xml:space="preserve"> "СТРОИТЕЛЬНО-ТОРГОВАЯ КОМПАНИЯ"</t>
  </si>
  <si>
    <t>1500001780</t>
  </si>
  <si>
    <t>362049, Республика Северная Осетия - Алания, ГОРОД ВЛАДИКАВКАЗ, Г ВЛАДИКАВКАЗ, УЛ ВАСО АБАЕВА, Д. 64</t>
  </si>
  <si>
    <t>Луизиди Анна Анатольевна</t>
  </si>
  <si>
    <t>RUS@MAIL.RU'</t>
  </si>
  <si>
    <t>ОБЩЕСТВО С ОГРАНИЧЕННОЙ ОТВЕТСТВЕННОСТЬЮ "ЛЕССТРОЙХОЗТОВАРЫ"</t>
  </si>
  <si>
    <t xml:space="preserve"> "ЛЕССТРОЙХОЗТОВАРЫ"</t>
  </si>
  <si>
    <t>1503000190</t>
  </si>
  <si>
    <t>Г ВЛАДИКАВКАЗ,УЛ 1-Я ПРОМЫШЛЕННАЯ, 1</t>
  </si>
  <si>
    <t>Габеев Валерий Казбекович</t>
  </si>
  <si>
    <t>+7 (928) 487-92-45', '+7 (928) 069-44-40'</t>
  </si>
  <si>
    <t>43.062996,44.635553</t>
  </si>
  <si>
    <t xml:space="preserve"> "ДЕРЖАВА"</t>
  </si>
  <si>
    <t>1504396113</t>
  </si>
  <si>
    <t>362001, СЕВЕРНАЯ ОСЕТИЯ - АЛАНИЯ РЕСПУБЛИКА, ГОРОД ВЛАДИКАВКАЗ, ШОССЕ АРХОНСКОЕ, 3</t>
  </si>
  <si>
    <t>Цомаев Маирбек Хушинович</t>
  </si>
  <si>
    <t>43.054835,44.221977</t>
  </si>
  <si>
    <t>ОБЩЕСТВО С ОГРАНИЧЕННОЙ ОТВЕТСТВЕННОСТЬЮ "СтройПартнер"</t>
  </si>
  <si>
    <t xml:space="preserve"> "СтройПартнер"</t>
  </si>
  <si>
    <t>1512015481</t>
  </si>
  <si>
    <t>363246, РЕСПУБЛИКА СЕВЕРНАЯ ОСЕТИЯ - АЛАНИЯ, АЛАГИРСКИЙ Р-Н, Г АЛАГИР, УЛ ЛЕНИНА, Д 283</t>
  </si>
  <si>
    <t>Мзоков Юрий Кимович</t>
  </si>
  <si>
    <t>+7 (928) 481-07-74', '+7 (918) 829-52-41'</t>
  </si>
  <si>
    <t>43.044175,44.751669</t>
  </si>
  <si>
    <t>ОБЩЕСТВО С ОГРАНИЧЕННОЙ ОТВЕТСТВЕННОСТЬЮ "АЛЬФА СТРОЙ+"</t>
  </si>
  <si>
    <t xml:space="preserve"> "АЛЬФА СТРОЙ+"</t>
  </si>
  <si>
    <t>1512019045</t>
  </si>
  <si>
    <t>363131, РЕСПУБЛИКА СЕВЕРНАЯ ОСЕТИЯ - АЛАНИЯ, ПРИГОРОДНЫЙ Р-Н, С ОКТЯБРЬСКОЕ, УЛ ТАРСКАЯ, Д 84</t>
  </si>
  <si>
    <t>+7 (928) 070-74-72'</t>
  </si>
  <si>
    <t>alfastroyp@mail.ru'</t>
  </si>
  <si>
    <t>43.053715,44.700402</t>
  </si>
  <si>
    <t>ОБЩЕСТВО С ОГРАНИЧЕННОЙ ОТВЕТСТВЕННОСТЬЮ "ВЛАДСТРОЙ"</t>
  </si>
  <si>
    <t xml:space="preserve"> "ВЛАДСТРОЙ"</t>
  </si>
  <si>
    <t>1512021005</t>
  </si>
  <si>
    <t>362001, РЕСПУБЛИКА СЕВЕРНАЯ ОСЕТИЯ - АЛАНИЯ, Г ВЛАДИКАВКАЗ, УЛ НЕИЗВЕСТНОГО СОЛДАТА, Д 12, ПОМЕЩЕНИЕ 2</t>
  </si>
  <si>
    <t>Биганов Алан Геноевич</t>
  </si>
  <si>
    <t>43.09939,44.520874</t>
  </si>
  <si>
    <t xml:space="preserve"> "СТРОЙГОРОД"</t>
  </si>
  <si>
    <t>1512021799</t>
  </si>
  <si>
    <t>363120, РЕСПУБЛИКА СЕВЕРНАЯ ОСЕТИЯ - АЛАНИЯ, ПРИГОРОДНЫЙ Р-Н, СТ-ЦА АРХОНСКАЯ, ШОССЕ ДЗУАРИКАУСКОЕ, ЗДАНИЕ 5, ОФИС 1</t>
  </si>
  <si>
    <t>Теблоев Марат Мурадиевич</t>
  </si>
  <si>
    <t>CITY15@INTERNET.RU'</t>
  </si>
  <si>
    <t>43.023918,44.681942</t>
  </si>
  <si>
    <t>ОБЩЕСТВО С ОГРАНИЧЕННОЙ ОТВЕТСТВЕННОСТЬЮ "БЕТОНиК"</t>
  </si>
  <si>
    <t xml:space="preserve"> "БЕТОНиК"</t>
  </si>
  <si>
    <t>1513041283</t>
  </si>
  <si>
    <t>362007, РЕСПУБЛИКА СЕВЕРНАЯ ОСЕТИЯ - АЛАНИЯ, Г ВЛАДИКАВКАЗ, УЛ ГАППО БАЕВА, Д 1</t>
  </si>
  <si>
    <t>Сабаткоев Алан Махарбекович</t>
  </si>
  <si>
    <t>43.743659,44.653726</t>
  </si>
  <si>
    <t xml:space="preserve"> "МОНОЛИТ-СТРОЙ"</t>
  </si>
  <si>
    <t>1513054780</t>
  </si>
  <si>
    <t>РЕСПУБЛИКА СЕВЕРНАЯ ОСЕТИЯ-АЛАНИЯ,Г МОЗДОК,УЛ ЮБИЛЕЙНАЯ, 4,..</t>
  </si>
  <si>
    <t>Родионов Евгений Петрович</t>
  </si>
  <si>
    <t>+7 (906) 494-56-50', '+7 (960) 402-55-81'</t>
  </si>
  <si>
    <t>43.030317,44.660616</t>
  </si>
  <si>
    <t xml:space="preserve"> "СТРОЙИНВЕСТ"</t>
  </si>
  <si>
    <t>1513069627</t>
  </si>
  <si>
    <t>362030, РЕСПУБЛИКА СЕВЕРНАЯ ОСЕТИЯ - АЛАНИЯ , Г ВЛАДИКАВКАЗ , УЛ КОСТАНАЕВА, Д 14, ОФИС 6</t>
  </si>
  <si>
    <t>Булконов Марат Сосланбекович</t>
  </si>
  <si>
    <t>43.050783,44.69874</t>
  </si>
  <si>
    <t xml:space="preserve"> "ТРИТОН"</t>
  </si>
  <si>
    <t>1513080211</t>
  </si>
  <si>
    <t>362001, СЕВЕРНАЯ ОСЕТИЯ - АЛАНИЯ РЕСПУБЛИКА, ГОРОД ВЛАДИКАВКАЗ, УЛИЦА СТАВРОПОЛЬСКАЯ, ДОМ 5, ОФИС 3</t>
  </si>
  <si>
    <t>Камерзаев Роберт Рамазанович</t>
  </si>
  <si>
    <t>42.792699,44.006894</t>
  </si>
  <si>
    <t>ОБЩЕСТВО С ОГРАНИЧЕННОЙ ОТВЕТСТВЕННОСТЬЮ СПЕЦИАЛИЗИРОВАННАЯ СТРОИТЕЛЬНАЯ КОМПАНИЯ "ИРИНВЕСТ"</t>
  </si>
  <si>
    <t xml:space="preserve"> СПЕЦИАЛИЗИРОВАННАЯ СТРОИТЕЛЬНАЯ КОМПАНИЯ "ИРИНВЕСТ"</t>
  </si>
  <si>
    <t>1514004990</t>
  </si>
  <si>
    <t>363224, РЕСПУБЛИКА СЕВЕРНАЯ ОСЕТИЯ - АЛАНИЯ, АЛАГИРСКИЙ Р-Н, П БУРОН, УЛ К.ХЕТАГУРОВА, Д 1 А</t>
  </si>
  <si>
    <t>Елоев Аслан Камболатович</t>
  </si>
  <si>
    <t>+7 (928) 495-54-64', '+7 (988) 878-84-88'</t>
  </si>
  <si>
    <t>43.033296,44.203005</t>
  </si>
  <si>
    <t>ОБЩЕСТВО С ОГРАНИЧЕННОЙ ОТВЕТСТВЕННОСТЬЮ "Кавказстройсервис"</t>
  </si>
  <si>
    <t xml:space="preserve"> "Кавказстройсервис"</t>
  </si>
  <si>
    <t>1514006228</t>
  </si>
  <si>
    <t>363242, РЕСПУБЛИКА СЕВЕРНАЯ ОСЕТИЯ - АЛАНИЯ, АЛАГИРСКИЙ Р-Н, Г АЛАГИР, УЛ ВОРОШИЛОВА, Д 139/3, КОМН 3</t>
  </si>
  <si>
    <t>Агузаров Тамерлан Казбекович</t>
  </si>
  <si>
    <t>+7 (928) 930-02-77'</t>
  </si>
  <si>
    <t>43.033593,44.680531</t>
  </si>
  <si>
    <t xml:space="preserve"> "БЕТОНЛАЙН"</t>
  </si>
  <si>
    <t>1515914871</t>
  </si>
  <si>
    <t>362040, РЕСПУБЛИКА СЕВЕРНАЯ ОСЕТИЯ - АЛАНИЯ, Г ВЛАДИКАВКАЗ, УЛ НИКИТИНА, Д 22, ЭТАЖ 3. ОФИС 16</t>
  </si>
  <si>
    <t>43.059262,44.680567</t>
  </si>
  <si>
    <t>ОБЩЕСТВО С ОГРАНИЧЕННОЙ ОТВЕТСТВЕННОСТЬЮ "МЕГАБЕТОН"</t>
  </si>
  <si>
    <t xml:space="preserve"> "МЕГАБЕТОН"</t>
  </si>
  <si>
    <t>1516617159</t>
  </si>
  <si>
    <t>362001, РЕСПУБЛИКА СЕВЕРНАЯ ОСЕТИЯ - АЛАНИЯ, Г ВЛАДИКАВКАЗ, УЛ ПОЖАРСКОГО, Д 17</t>
  </si>
  <si>
    <t>Каркузаев Казбек Ушангиевич</t>
  </si>
  <si>
    <t>43.049907,44.699216</t>
  </si>
  <si>
    <t>ОБЩЕСТВО С ОГРАНИЧЕННОЙ ОТВЕТСТВЕННОСТЬЮ "Ск-Перспектива"</t>
  </si>
  <si>
    <t xml:space="preserve"> "Ск-Перспектива"</t>
  </si>
  <si>
    <t>1516621074</t>
  </si>
  <si>
    <t>362001, РЕСПУБЛИКА СЕВЕРНАЯ ОСЕТИЯ - АЛАНИЯ, Г ВЛАДИКАВКАЗ, УЛ СТАВРОПОЛЬСКАЯ, Д 6</t>
  </si>
  <si>
    <t>55.23674,48.404812</t>
  </si>
  <si>
    <t>ОБЩЕСТВО С ОГРАНИЧЕННОЙ ОТВЕТСТВЕННОСТЬЮ "Триумф"</t>
  </si>
  <si>
    <t xml:space="preserve"> "Триумф"</t>
  </si>
  <si>
    <t>1608009048</t>
  </si>
  <si>
    <t>422340, ТАТАРСТАН РЕСПУБЛИКА, РАЙОН АПАСТОВСКИЙ, ПОСЕЛОК Ж/Д СТАНЦИИ КАРАТУН, УЛИЦА ДАЧНАЯ, 13</t>
  </si>
  <si>
    <t>Мингазеева Сирена Фирдусовна</t>
  </si>
  <si>
    <t>+7 (917) 898-95-00'</t>
  </si>
  <si>
    <t>56.345165,50.26843</t>
  </si>
  <si>
    <t>ОБЩЕСТВО С ОГРАНИЧЕННОЙ ОТВЕТСТВЕННОСТЬЮ "Меттрансбетон"</t>
  </si>
  <si>
    <t xml:space="preserve"> "Меттрансбетон"</t>
  </si>
  <si>
    <t>1612007540</t>
  </si>
  <si>
    <t>422253, ТАТАРСТАН РЕСПУБЛИКА, РАЙОН БАЛТАСИНСКИЙ, СЕЛО КАРЕЛИНО, УЛИЦА ЗАГИДУЛЛИНА, 41А</t>
  </si>
  <si>
    <t>Сулейманов Ильфир Фаязович</t>
  </si>
  <si>
    <t>+7 (891) 726-07-86'</t>
  </si>
  <si>
    <t>56.341104,50.27258</t>
  </si>
  <si>
    <t>1612009675</t>
  </si>
  <si>
    <t>422253, ТАТАРСТАН РЕСПУБЛИКА, РАЙОН БАЛТАСИНСКИЙ, СЕЛО НОРМА, УЛИЦА КАЗАНСКАЯ, ДОМ 5, ОФИС 1</t>
  </si>
  <si>
    <t>Низамиев Альмир Шайхынурович</t>
  </si>
  <si>
    <t>+7 (917) 257-55-55'</t>
  </si>
  <si>
    <t>56.340325,50.260578</t>
  </si>
  <si>
    <t>ОБЩЕСТВО С ОГРАНИЧЕННОЙ ОТВЕТСТВЕННОСТЬЮ "ТАУБЕТОН"</t>
  </si>
  <si>
    <t xml:space="preserve"> "ТАУБЕТОН"</t>
  </si>
  <si>
    <t>1612009682</t>
  </si>
  <si>
    <t>422253, ТАТАРСТАН РЕСПУБЛИКА, РАЙОН БАЛТАСИНСКИЙ, СЕЛО КАРЕЛИНО, УЛИЦА КАЕНЛЫК, ДОМ 6</t>
  </si>
  <si>
    <t>Музипов Булат Василович</t>
  </si>
  <si>
    <t>+7 (962) 559-20-31'</t>
  </si>
  <si>
    <t>55.662872,48.877137</t>
  </si>
  <si>
    <t>ОБЩЕСТВО С ОГРАНИЧЕННОЙ ОТВЕТСТВЕННОСТЬЮ "ЮЛ-СТРОЙ"</t>
  </si>
  <si>
    <t xml:space="preserve"> "ЮЛ-СТРОЙ"</t>
  </si>
  <si>
    <t>1615012210</t>
  </si>
  <si>
    <t>422580, ТАТАРСТАН РЕСПУБЛИКА, РАЙОН ВЕРХНЕУСЛОНСКИЙ, ПОСЕЛОК ОКТЯБРЬСКИЙ, УЛИЦА ЛЕСНАЯ, ДОМ 1</t>
  </si>
  <si>
    <t>Куликов Александр Викторович</t>
  </si>
  <si>
    <t>+7 (987) 004-90-70'</t>
  </si>
  <si>
    <t>yulstroy@mail.ru'</t>
  </si>
  <si>
    <t>55.74677,48.743854</t>
  </si>
  <si>
    <t>ОБЩЕСТВО С ОГРАНИЧЕННОЙ ОТВЕТСТВЕННОСТЬЮ "БАТОР"</t>
  </si>
  <si>
    <t xml:space="preserve"> "БАТОР"</t>
  </si>
  <si>
    <t>1615015356</t>
  </si>
  <si>
    <t>420500, ТАТАРСТАН РЕСПУБЛИКА, РАЙОН ВЕРХНЕУСЛОНСКИЙ, ГОРОД ИННОПОЛИС, УЛИЦА СПОРТИВНАЯ, ДОМ 106,..</t>
  </si>
  <si>
    <t>Хуснутдинов Дмитрий Анварович</t>
  </si>
  <si>
    <t>56.183042,50.941942</t>
  </si>
  <si>
    <t>ОБЩЕСТВО С ОГРАНИЧЕННОЙ ОТВЕТСТВЕННОСТЬЮ "КУКМОРСТРОЙБЕТОН"</t>
  </si>
  <si>
    <t xml:space="preserve"> "КУКМОРСТРОЙБЕТОН"</t>
  </si>
  <si>
    <t>1623013546</t>
  </si>
  <si>
    <t>422111, ТАТАРСТАН РЕСПУБЛИКА, РАЙОН КУКМОРСКИЙ, ГОРОД КУКМОР, УЛИЦА ВОСТОЧНАЯ, ДОМ 39</t>
  </si>
  <si>
    <t>Зиятдинова Лилия Рамилевна</t>
  </si>
  <si>
    <t>+7 (917) 263-79-22'</t>
  </si>
  <si>
    <t>56.188333,50.884872</t>
  </si>
  <si>
    <t xml:space="preserve"> "ВЕЛЕС"</t>
  </si>
  <si>
    <t>1623014204</t>
  </si>
  <si>
    <t>422110, ТАТАРСТАН РЕСПУБЛИКА, РАЙОН КУКМОРСКИЙ, ГОРОД КУКМОР, УЛИЦА ВОРОШИЛОВА, ДОМ 2, ПОМЕЩЕНИЕ 37</t>
  </si>
  <si>
    <t>Медведева Елена Владимировна</t>
  </si>
  <si>
    <t>+7 (912) 822-28-72'</t>
  </si>
  <si>
    <t>55.613265,49.139499</t>
  </si>
  <si>
    <t>ОБЩЕСТВО С ОГРАНИЧЕННОЙ ОТВЕТСТВЕННОСТЬЮ "ПТК БЕТОН КАЗАНЬ"</t>
  </si>
  <si>
    <t xml:space="preserve"> "ПТК БЕТОН КАЗАНЬ"</t>
  </si>
  <si>
    <t>1624014013</t>
  </si>
  <si>
    <t>422606, Республика Татарстан (Татарстан), муниципальный район ЛАИШЕВСКИЙ, Село ГАБИШЕВО, сельское поселение ГАБИШЕВСКОЕ, УЛ НАРАТЛЫ, Д. 5,</t>
  </si>
  <si>
    <t xml:space="preserve"> Директор Ситдиков Рустам Фанизович</t>
  </si>
  <si>
    <t>+7 (905) 315-34-42'</t>
  </si>
  <si>
    <t>saff34@mail.ru'</t>
  </si>
  <si>
    <t>55.41098,49.554754</t>
  </si>
  <si>
    <t>ОБЩЕСТВО С ОГРАНИЧЕННОЙ ОТВЕТСТВЕННОСТЬЮ "ПРОММОНОЛИТСТРОЙ"</t>
  </si>
  <si>
    <t xml:space="preserve"> "ПРОММОНОЛИТСТРОЙ"</t>
  </si>
  <si>
    <t>1624015810</t>
  </si>
  <si>
    <t>422610, ТАТАРСТАН РЕСП, ЛАИШЕВСКИЙ Р-Н, ЛАИШЕВО Г, КОМСОМОЛЬСКАЯ УЛ, ДОМ 52 А</t>
  </si>
  <si>
    <t>Мухаметзянов Наиль Раисович</t>
  </si>
  <si>
    <t>55.399443,49.511842</t>
  </si>
  <si>
    <t>ОБЩЕСТВО С ОГРАНИЧЕННОЙ ОТВЕТСТВЕННОСТЬЮ "ЛАИШЕВСКИЙ БЕТОН"</t>
  </si>
  <si>
    <t xml:space="preserve"> "ЛАИШЕВСКИЙ БЕТОН"</t>
  </si>
  <si>
    <t>1624017649</t>
  </si>
  <si>
    <t>422610, ТАТАРСТАН РЕСПУБЛИКА, Р-Н ЛАИШЕВСКИЙ, Г. ЛАИШЕВО, УЛ. ПРОИЗВОДСТВЕННАЯ, Д. 5, ПОМЕЩ. 1</t>
  </si>
  <si>
    <t xml:space="preserve"> Директор Валиев Ислам Нурмухаметович</t>
  </si>
  <si>
    <t>55.908278,52.334636</t>
  </si>
  <si>
    <t>ОБЩЕСТВО С ОГРАНИЧЕННОЙ ОТВЕТСТВЕННОСТЬЮ ПРОИЗВОДСТВЕННАЯ КОМПАНИЯ "РУДУС"</t>
  </si>
  <si>
    <t xml:space="preserve"> ПРОИЗВОДСТВЕННАЯ КОМПАНИЯ "РУДУС"</t>
  </si>
  <si>
    <t>1627017083</t>
  </si>
  <si>
    <t>423650, ТАТАРСТАН РЕСПУБЛИКА, РАЙОН МЕНДЕЛЕЕВСКИЙ, ГОРОД МЕНДЕЛЕЕВСК, УЛИЦА ПИОНЕРСКАЯ, ДОМ 1Б, КАБИНЕТ 5</t>
  </si>
  <si>
    <t>Драпеза Венера Шамильевна</t>
  </si>
  <si>
    <t>+7 (917) 229-52-67'</t>
  </si>
  <si>
    <t>ОБЩЕСТВО С ОГРАНИЧЕННОЙ ОТВЕТСТВЕННОСТЬЮ "МАС ГРУПП"</t>
  </si>
  <si>
    <t xml:space="preserve"> "МАС ГРУПП"</t>
  </si>
  <si>
    <t>1627017453</t>
  </si>
  <si>
    <t>423650, ТАТАРСТАН РЕСПУБЛИКА, Р-Н МЕНДЕЛЕЕВСКИЙ, Г. МЕНДЕЛЕЕВСК, УЛ. ФОМИНА, Д. 19, КАБИНЕТ 534</t>
  </si>
  <si>
    <t>Журавлев Евгений Анатольевич</t>
  </si>
  <si>
    <t>ОБЩЕСТВО С ОГРАНИЧЕННОЙ ОТВЕТСТВЕННОСТЬЮ "РИНРАС"</t>
  </si>
  <si>
    <t xml:space="preserve"> "РИНРАС"</t>
  </si>
  <si>
    <t>1633007044</t>
  </si>
  <si>
    <t>420036, ТАТАРСТАН РЕСПУБЛИКА, Г. КАЗАНЬ, УЛ. ОБНОРСКОГО, ЗД 30А, ОФИС 22</t>
  </si>
  <si>
    <t>Мухаммадиев Ильнур Ильгизарович</t>
  </si>
  <si>
    <t>+7 (843) 571-80-90'</t>
  </si>
  <si>
    <t>55.837712,49.661438</t>
  </si>
  <si>
    <t>ОБЩЕСТВО С ОГРАНИЧЕННОЙ ОТВЕТСТВЕННОСТЬЮ ПРОИЗВОДСТВЕННАЯ КОМПАНИЯ "КАЗБЕТОНСТРОЙ"</t>
  </si>
  <si>
    <t xml:space="preserve"> ПРОИЗВОДСТВЕННАЯ КОМПАНИЯ "КАЗБЕТОНСТРОЙ"</t>
  </si>
  <si>
    <t>1633009429</t>
  </si>
  <si>
    <t>422780, ТАТАРСТАН РЕСПУБЛИКА, РАЙОН ПЕСТРЕЧИНСКИЙ, ДЕРЕВНЯ САЛКЫН-ЧИШМА, УЛИЦА НАРИМАНОВА, ДВЛД 14</t>
  </si>
  <si>
    <t>Сайфутдинов Руслан Масхутович</t>
  </si>
  <si>
    <t>55.468719,50.123702</t>
  </si>
  <si>
    <t>ОБЩЕСТВО С ОГРАНИЧЕННОЙ ОТВЕТСТВЕННОСТЬЮ "МУС БЕТОН"</t>
  </si>
  <si>
    <t xml:space="preserve"> "МУС БЕТОН"</t>
  </si>
  <si>
    <t>1634009608</t>
  </si>
  <si>
    <t>422650, ТАТАРСТАН РЕСПУБЛИКА, РАЙОН РЫБНО-СЛОБОДСКИЙ, ПОСЕЛОК ГОРОДСКОГО ТИПА РЫБНАЯ СЛОБОДА, УЛИЦА ЛУГОВАЯ, ДОМ 13</t>
  </si>
  <si>
    <t>Валеев Денис Тагирович</t>
  </si>
  <si>
    <t>55.466351,50.104927</t>
  </si>
  <si>
    <t>ОБЩЕСТВО С ОГРАНИЧЕННОЙ ОТВЕТСТВЕННОСТЬЮ "РЫБНО-СЛОБОДСКИЙ БЕТОННЫЙ ЗАВОД"</t>
  </si>
  <si>
    <t xml:space="preserve"> "РЫБНО-СЛОБОДСКИЙ БЕТОННЫЙ ЗАВОД"</t>
  </si>
  <si>
    <t>1634010307</t>
  </si>
  <si>
    <t>422650, ТАТАРСТАН РЕСП., Р-Н Рыбно-Слободский, Д. Полянка, УЛ. ХИМИКОВ, ДВЛД. 31</t>
  </si>
  <si>
    <t>Каримуллина Наиля Наиловна</t>
  </si>
  <si>
    <t>SLOBODANEFT@YANDEX.RU'</t>
  </si>
  <si>
    <t>55.755591,52.4081</t>
  </si>
  <si>
    <t>ОБЩЕСТВО С ОГРАНИЧЕННОЙ ОТВЕТСТВЕННОСТЬЮ "НИЖНЕКАМСКИЙ БЕТОННЫЙ ЗАВОД"</t>
  </si>
  <si>
    <t xml:space="preserve"> "НИЖНЕКАМСКИЙ БЕТОННЫЙ ЗАВОД"</t>
  </si>
  <si>
    <t>1639050208</t>
  </si>
  <si>
    <t>423823, ТАТАРСТАН РЕСПУБЛИКА, Г. НАБЕРЕЖНЫЕ ЧЕЛНЫ, ПР-КТ ИМ ВАХИТОВА, Д. 42А, ПОМЕЩЕНИЕ 1003, ОФИС 5</t>
  </si>
  <si>
    <t>Бадгиев Альберт Радифович</t>
  </si>
  <si>
    <t>+7 (909) 313-13-45'</t>
  </si>
  <si>
    <t>54.86073,53.06528</t>
  </si>
  <si>
    <t>ОБЩЕСТВО С ОГРАНИЧЕННОЙ ОТВЕТСТВЕННОСТЬЮ "СТРОЙПРОМСНАБ"</t>
  </si>
  <si>
    <t xml:space="preserve"> "СТРОЙПРОМСНАБ"</t>
  </si>
  <si>
    <t>1643015005</t>
  </si>
  <si>
    <t>423330, ТАТАРСТАН РЕСПУБЛИКА, РАЙОН АЗНАКАЕВСКИЙ, ГОРОД АЗНАКАЕВО, УЛИЦА НИКОЛАЕВА, ДОМ 10, ОФИС 5</t>
  </si>
  <si>
    <t>Шайхлисламов Ильмир Раисович</t>
  </si>
  <si>
    <t>+7 (917) 855-32-88'</t>
  </si>
  <si>
    <t>54.895983,52.30191</t>
  </si>
  <si>
    <t>ОБЩЕСТВО С ОГРАНИЧЕННОЙ ОТВЕТСТВЕННОСТЬЮ "ПО СТРОЙМИКС"</t>
  </si>
  <si>
    <t xml:space="preserve"> "ПО СТРОЙМИКС"</t>
  </si>
  <si>
    <t>1644087806</t>
  </si>
  <si>
    <t>423450, ТАТАРСТАН РЕСПУБЛИКА, Р-Н АЛЬМЕТЬЕВСКИЙ, Г. АЛЬМЕТЬЕВСК, УЛ. ЛЕРМОНТОВА, Д. 45,..</t>
  </si>
  <si>
    <t>Антипов Александр Альбертович</t>
  </si>
  <si>
    <t>54.876092,52.318035</t>
  </si>
  <si>
    <t>ОБЩЕСТВО С ОГРАНИЧЕННОЙ ОТВЕТСТВЕННОСТЬЮ "ИРБИС-СТРОЙ"</t>
  </si>
  <si>
    <t xml:space="preserve"> "ИРБИС-СТРОЙ"</t>
  </si>
  <si>
    <t>1644095268</t>
  </si>
  <si>
    <t>423458, ТАТАРСТАН РЕСПУБЛИКА, АЛЬМЕТЬЕВСКИЙ РАЙОН, ГОРОД АЛЬМЕТЬЕВСК, ТРАКТ ОБЪЕЗДНОЙ, ДОМ 59, ПОМЕЩЕНИЕ 1</t>
  </si>
  <si>
    <t>Газимагомедов Омар Сайгидулаевич</t>
  </si>
  <si>
    <t>54.88369,52.313822</t>
  </si>
  <si>
    <t>ОБЩЕСТВО С ОГРАНИЧЕННОЙ ОТВЕТСТВЕННОСТЬЮ "АСК №100"</t>
  </si>
  <si>
    <t xml:space="preserve"> "АСК №100"</t>
  </si>
  <si>
    <t>1644096198</t>
  </si>
  <si>
    <t>423458, ТАТАРСТАН РЕСПУБЛИКА, АЛЬМЕТЬЕВСКИЙ РАЙОН, ГОРОД АЛЬМЕТЬЕВСК, УЛИЦА ОБЪЕЗДНАЯ, ДОМ 2, ПОМЕЩЕНИЕ 1</t>
  </si>
  <si>
    <t>Сиренко Павел Владимирович</t>
  </si>
  <si>
    <t>55.751796,52.024663</t>
  </si>
  <si>
    <t>1646031220</t>
  </si>
  <si>
    <t>423603, ТАТАРСТАН РЕСПУБЛИКА, Р-Н ЕЛАБУЖСКИЙ, Г. ЕЛАБУГА, УЛ. РАЗВЕДЧИКОВ, Д.56, ОФ.43</t>
  </si>
  <si>
    <t>Сиразетдинов Делюс Наилевич</t>
  </si>
  <si>
    <t>55.829153,52.013659</t>
  </si>
  <si>
    <t>ОБЩЕСТВО С ОГРАНИЧЕННОЙ ОТВЕТСТВЕННОСТЬЮ "Вертикаль - Алабуга"</t>
  </si>
  <si>
    <t xml:space="preserve"> "Вертикаль - Алабуга"</t>
  </si>
  <si>
    <t>1646034493</t>
  </si>
  <si>
    <t>423601, ТАТАРСТАН РЕСПУБЛИКА, Р-Н ЕЛАБУЖСКИЙ, УЛ. Ш-2 (ОЭЗ АЛАБУГА ТЕР.), СТР 15/9</t>
  </si>
  <si>
    <t>Смирнова Оксана Владимировна</t>
  </si>
  <si>
    <t>+7 (960) 084-02-54'</t>
  </si>
  <si>
    <t>tdzhil@tdzhil.ru'</t>
  </si>
  <si>
    <t>55.716843,52.440538</t>
  </si>
  <si>
    <t>ОБЩЕСТВО С ОГРАНИЧЕННОЙ ОТВЕТСТВЕННОСТЬЮ "КОНТАКТ"</t>
  </si>
  <si>
    <t xml:space="preserve"> "КОНТАКТ"</t>
  </si>
  <si>
    <t>1646045544</t>
  </si>
  <si>
    <t>423800, ТАТАРСТАН РЕСПУБЛИКА, ГОРОД НАБЕРЕЖНЫЕ ЧЕЛНЫ, ПРОЕЗД ИНДУСТРИАЛЬНЫЙ, ДОМ 47/1, ОФИС 1</t>
  </si>
  <si>
    <t>Андрианов Максим Михайлович</t>
  </si>
  <si>
    <t>+7 (987) 212-53-54'</t>
  </si>
  <si>
    <t>55.839673,48.539227</t>
  </si>
  <si>
    <t>ОБЩЕСТВО С ОГРАНИЧЕННОЙ ОТВЕТСТВЕННОСТЬЮ "БЕТОНОСМЕСИТЕЛЬНЫЙ УЗЕЛ"</t>
  </si>
  <si>
    <t xml:space="preserve"> "БЕТОНОСМЕСИТЕЛЬНЫЙ УЗЕЛ"</t>
  </si>
  <si>
    <t>1648045638</t>
  </si>
  <si>
    <t>422540, ТАТАРСТАН РЕСПУБЛИКА, Р-Н ЗЕЛЕНОДОЛЬСКИЙ, Г. ЗЕЛЕНОДОЛЬСК, УЛ. ОЗЕРНАЯ, Д. 49</t>
  </si>
  <si>
    <t>Сазонова Елена Владимировна</t>
  </si>
  <si>
    <t>+7 (906) 324-76-24'</t>
  </si>
  <si>
    <t>54.571376,52.474935</t>
  </si>
  <si>
    <t xml:space="preserve"> "ЖБИ-СТРОЙ"</t>
  </si>
  <si>
    <t>1649014657</t>
  </si>
  <si>
    <t>РЕСПУБЛИКА ТАТАРСТАН (ТАТАРСТАН),Г ЛЕНИНОГОРСК,УЛ ЗАВОДСКАЯ КОРП 5</t>
  </si>
  <si>
    <t xml:space="preserve"> Генеральный Директор Заляев Равиль Шамилович</t>
  </si>
  <si>
    <t>ОБЩЕСТВО С ОГРАНИЧЕННОЙ ОТВЕТСТВЕННОСТЬЮ "КАМСКИЙ БЕТОН"</t>
  </si>
  <si>
    <t xml:space="preserve"> "КАМСКИЙ БЕТОН"</t>
  </si>
  <si>
    <t>1650145502</t>
  </si>
  <si>
    <t>РЕСПУБЛИКА ТАТАРСТАН (ТАТАРСТАН),Г НАБЕРЕЖНЫЕ ЧЕЛНЫ,П СИДОРОВКА УЛ МАГИСТРАЛЬНАЯ Д 20</t>
  </si>
  <si>
    <t>Сунгатуллин Тагир Зайнуллович</t>
  </si>
  <si>
    <t>55.781372,52.004729</t>
  </si>
  <si>
    <t>ОБЩЕСТВО С ОГРАНИЧЕННОЙ ОТВЕТСТВЕННОСТЬЮ "ЖИЛИЩЕ-СТРОЙ"</t>
  </si>
  <si>
    <t xml:space="preserve"> "ЖИЛИЩЕ-СТРОЙ"</t>
  </si>
  <si>
    <t>1650208270</t>
  </si>
  <si>
    <t>423600, ТАТАРСТАН РЕСПУБЛИКА, РАЙОН ЕЛАБУЖСКИЙ, ГОРОД ЕЛАБУГА, ШОССЕ ОКРУЖНОЕ, ЗДАНИЕ 12/3</t>
  </si>
  <si>
    <t>Ахметзянов Радик Салихзянович</t>
  </si>
  <si>
    <t>55.767519,52.010209</t>
  </si>
  <si>
    <t>ОБЩЕСТВО С ОГРАНИЧЕННОЙ ОТВЕТСТВЕННОСТЬЮ "Бетонный Завод"</t>
  </si>
  <si>
    <t xml:space="preserve"> "Бетонный Завод"</t>
  </si>
  <si>
    <t>1650256379</t>
  </si>
  <si>
    <t>423600, ТАТАРСТАН РЕСПУБЛИКА, РАЙОН ЕЛАБУЖСКИЙ, ГОРОД ЕЛАБУГА, УЛИЦА ЧАПАЕВА, ДОМ 53А</t>
  </si>
  <si>
    <t>Муратов Эдуард Рифкатович</t>
  </si>
  <si>
    <t>55.791633,49.132151</t>
  </si>
  <si>
    <t>ОБЩЕСТВО С ОГРАНИЧЕННОЙ ОТВЕТСТВЕННОСТЬЮ РБЗ "МОНОЛИТ"</t>
  </si>
  <si>
    <t xml:space="preserve"> РБЗ "МОНОЛИТ"</t>
  </si>
  <si>
    <t>1650305756</t>
  </si>
  <si>
    <t>Г КАЗАНЬ,УЛ МАЯКОВСКОГО Д 30</t>
  </si>
  <si>
    <t>Хайруллин Рустем Равилевич</t>
  </si>
  <si>
    <t>+7 (843) 250-73-74'</t>
  </si>
  <si>
    <t>55.749268,52.095459</t>
  </si>
  <si>
    <t>ОБЩЕСТВО С ОГРАНИЧЕННОЙ ОТВЕТСТВЕННОСТЬЮ "НБЗ-К"</t>
  </si>
  <si>
    <t xml:space="preserve"> "НБЗ-К"</t>
  </si>
  <si>
    <t>1650315560</t>
  </si>
  <si>
    <t>423604, ТАТАРСТАН РЕСПУБЛИКА, РАЙОН ЕЛАБУЖСКИЙ, ГОРОД ЕЛАБУГА, УЛИЦА БОЛЬШАЯ ПОКРОВСКАЯ, ДОМ 136, ОФИС 16</t>
  </si>
  <si>
    <t>Габдуллин Фарит Ринатович</t>
  </si>
  <si>
    <t xml:space="preserve"> "СТРОЙДЕТАЛЬ"</t>
  </si>
  <si>
    <t>1650321807</t>
  </si>
  <si>
    <t>423800, ТАТАРСТАН РЕСПУБЛИКА, ГОРОД НАБЕРЕЖНЫЕ ЧЕЛНЫ, УЛИЦА ПРОМЫШЛЕННАЯ, ДОМ 45/1, ПОМЕЩЕНИЕ 5</t>
  </si>
  <si>
    <t>Худяков Владимир Александрович</t>
  </si>
  <si>
    <t>55.720895,52.379201</t>
  </si>
  <si>
    <t>ОБЩЕСТВО С ОГРАНИЧЕННОЙ ОТВЕТСТВЕННОСТЬЮ "РИКОМ"</t>
  </si>
  <si>
    <t xml:space="preserve"> "РИКОМ"</t>
  </si>
  <si>
    <t>1650347227</t>
  </si>
  <si>
    <t>423822, ТАТАРСТАН РЕСПУБЛИКА, Г. НАБЕРЕЖНЫЕ ЧЕЛНЫ, ПР-КТ НАБЕРЕЖНОЧЕЛНИНСКИЙ, Д. 90/27,..</t>
  </si>
  <si>
    <t>Халатян Анна Валентиновна</t>
  </si>
  <si>
    <t>+7 (917) 287-05-07'</t>
  </si>
  <si>
    <t>55.706056,52.336666</t>
  </si>
  <si>
    <t>ОБЩЕСТВО С ОГРАНИЧЕННОЙ ОТВЕТСТВЕННОСТЬЮ "ЧЕЛНЫ БЕТОН"</t>
  </si>
  <si>
    <t xml:space="preserve"> "ЧЕЛНЫ БЕТОН"</t>
  </si>
  <si>
    <t>1650374615</t>
  </si>
  <si>
    <t>423803, ТАТАРСТАН РЕСПУБЛИКА, ГОРОД НАБЕРЕЖНЫЕ ЧЕЛНЫ, НАБЕРЕЖНАЯ САНАЧИНА, ДОМ 14,..</t>
  </si>
  <si>
    <t>Иванов Антон Александрович</t>
  </si>
  <si>
    <t>55.705605,52.331806</t>
  </si>
  <si>
    <t xml:space="preserve"> "БЕТОН-СТРОЙ"</t>
  </si>
  <si>
    <t>1650409466</t>
  </si>
  <si>
    <t>423803, Республика Татарстан (Татарстан), ГОРОД НАБЕРЕЖНЫЕ ЧЕЛНЫ, Г НАБЕРЕЖНЫЕ ЧЕЛНЫ, НАБ САНАЧИНА, Д. 10</t>
  </si>
  <si>
    <t>Чернова Юлия Владимировна</t>
  </si>
  <si>
    <t>STROIOOO@YANDEX.RU'</t>
  </si>
  <si>
    <t>55.7629,52.429597</t>
  </si>
  <si>
    <t>ОБЩЕСТВО С ОГРАНИЧЕННОЙ ОТВЕТСТВЕННОСТЬЮ "БЕТОННЫЙ ЗАВОД "МОНОЛИТ"</t>
  </si>
  <si>
    <t xml:space="preserve"> "БЕТОННЫЙ ЗАВОД "МОНОЛИТ"</t>
  </si>
  <si>
    <t>1650411521</t>
  </si>
  <si>
    <t>423821, Республика Татарстан (Татарстан), ГОРОД НАБЕРЕЖНЫЕ ЧЕЛНЫ, Г НАБЕРЕЖНЫЕ ЧЕЛНЫ, ПР-КТ СЮЮМБИКЕ, Д. 74А</t>
  </si>
  <si>
    <t>Шакиров Илнур Саматович</t>
  </si>
  <si>
    <t>BZ@MAIL.RU'</t>
  </si>
  <si>
    <t>55.428914,51.416225</t>
  </si>
  <si>
    <t>ОБЩЕСТВО С ОГРАНИЧЕННОЙ ОТВЕТСТВЕННОСТЬЮ "ПРИЧАЛ-НК"</t>
  </si>
  <si>
    <t xml:space="preserve"> "ПРИЧАЛ-НК"</t>
  </si>
  <si>
    <t>1651048195</t>
  </si>
  <si>
    <t>РЕСПУБЛИКА ТАТАРСТАН (ТАТАРСТАН),НИЖНЕКАМСКИЙ Р-Н,РП КАМСКИЕ ПОЛЯНЫ,Д 2/04..</t>
  </si>
  <si>
    <t>Васильев Вячеслав Александрович</t>
  </si>
  <si>
    <t>55.604824,51.848971</t>
  </si>
  <si>
    <t>ОБЩЕСТВО С ОГРАНИЧЕННОЙ ОТВЕТСТВЕННОСТЬЮ "ПТК "ВЕГА"</t>
  </si>
  <si>
    <t xml:space="preserve"> "ПТК "ВЕГА"</t>
  </si>
  <si>
    <t>1651052794</t>
  </si>
  <si>
    <t>423556, ТАТАРСТАН РЕСПУБЛИКА, РАЙОН НИЖНЕКАМСКИЙ, ГОРОД НИЖНЕКАМСК, УЛИЦА ЗАВОДСКАЯ, ЗД 1, ОФИС 204</t>
  </si>
  <si>
    <t>Мустафин Альберт Вазединович</t>
  </si>
  <si>
    <t>55.586822,51.836538</t>
  </si>
  <si>
    <t>ОБЩЕСТВО С ОГРАНИЧЕННОЙ ОТВЕТСТВЕННОСТЬЮ производственно-коммерческая фирма "Бетон-НК"</t>
  </si>
  <si>
    <t xml:space="preserve"> производственно-коммерческая фирма "Бетон-НК"</t>
  </si>
  <si>
    <t>1651062810</t>
  </si>
  <si>
    <t>423556, ТАТАРСТАН РЕСП., Р-Н Нижнекамский, Г. Нижнекамск, УЛ. ЗАВОДСКАЯ, ЗД. 31/1, ОФИС 1</t>
  </si>
  <si>
    <t>Гафурова Венера Равилевна</t>
  </si>
  <si>
    <t>+7 (917) 261-60-00', '+7 (917) 850-83-97'</t>
  </si>
  <si>
    <t>55.337537,50.626139</t>
  </si>
  <si>
    <t xml:space="preserve"> "БЛОК-МАСТЕР"</t>
  </si>
  <si>
    <t>1652010099</t>
  </si>
  <si>
    <t>РЕСПУБЛИКА ТАТАРСТАН (ТАТАРСТАН),Г ЧИСТОПОЛЬ,УЛ ВАЛЕЕВА 1</t>
  </si>
  <si>
    <t>Файзуллин Марат Марсович</t>
  </si>
  <si>
    <t>55.34514,50.651696</t>
  </si>
  <si>
    <t>ОБЩЕСТВО С ОГРАНИЧЕННОЙ ОТВЕТСТВЕННОСТЬЮ "АРМБЕТОН"</t>
  </si>
  <si>
    <t xml:space="preserve"> "АРМБЕТОН"</t>
  </si>
  <si>
    <t>1652025345</t>
  </si>
  <si>
    <t>422985, ТАТАРСТАН РЕСПУБЛИКА, РАЙОН ЧИСТОПОЛЬСКИЙ, ГОРОД ЧИСТОПОЛЬ, УЛИЦА ВАЛИЕВА, ДОМ 4-А/2</t>
  </si>
  <si>
    <t>Карманов Алексей Николаевич</t>
  </si>
  <si>
    <t>55.383147,50.690207</t>
  </si>
  <si>
    <t>ОБЩЕСТВО С ОГРАНИЧЕННОЙ ОТВЕТСТВЕННОСТЬЮ БЕТОННЫЙ ЗАВОД "МОНОЛИТ"</t>
  </si>
  <si>
    <t xml:space="preserve"> БЕТОННЫЙ ЗАВОД "МОНОЛИТ"</t>
  </si>
  <si>
    <t>1652026966</t>
  </si>
  <si>
    <t>422982, ТАТАРСТАН РЕСПУБЛИКА, РАЙОН ЧИСТОПОЛЬСКИЙ, ГОРОД ЧИСТОПОЛЬ, УЛИЦА МАЛОРЕЧЕНСКАЯ, ДОМ 26,..</t>
  </si>
  <si>
    <t>+7 (855) 230-40-27'</t>
  </si>
  <si>
    <t>55.780826,49.14594</t>
  </si>
  <si>
    <t>ОБЩЕСТВО С ОГРАНИЧЕННОЙ ОТВЕТСТВЕННОСТЬЮ "СтройТехИнвест"</t>
  </si>
  <si>
    <t xml:space="preserve"> "СтройТехИнвест"</t>
  </si>
  <si>
    <t>1655183597</t>
  </si>
  <si>
    <t>420043, Республика Татарстан (Татарстан), г Казань, Вахитовский район, ул Вишневского д 22</t>
  </si>
  <si>
    <t>Леонов Алексей Олегович</t>
  </si>
  <si>
    <t>+7 (843) 238-76-73'</t>
  </si>
  <si>
    <t>55.796395,49.1129</t>
  </si>
  <si>
    <t>ОБЩЕСТВО С ОГРАНИЧЕННОЙ ОТВЕТСТВЕННОСТЬЮ "Бетон-Гарант"</t>
  </si>
  <si>
    <t xml:space="preserve"> "Бетон-Гарант"</t>
  </si>
  <si>
    <t>1655265338</t>
  </si>
  <si>
    <t>420111, ТАТАРСТАН РЕСПУБЛИКА, Г. КАЗАНЬ, УЛ. ДЗЕРЖИНСКОГО, Д.3</t>
  </si>
  <si>
    <t>Имамеев Ильнур Ильдусович</t>
  </si>
  <si>
    <t>+7 (843) 292-89-88'</t>
  </si>
  <si>
    <t>55.791415,49.107636</t>
  </si>
  <si>
    <t>ОБЩЕСТВО С ОГРАНИЧЕННОЙ ОТВЕТСТВЕННОСТЬЮ "ТОРГОВАЯ КОМПАНИЯ "БЕТОН-СЕРВИС"</t>
  </si>
  <si>
    <t xml:space="preserve"> "ТОРГОВАЯ КОМПАНИЯ "БЕТОН-СЕРВИС"</t>
  </si>
  <si>
    <t>1655292677</t>
  </si>
  <si>
    <t>420111, ТАТАРСТАН РЕСПУБЛИКА, ГОРОД КАЗАНЬ, УЛИЦА ЛЕВО-БУЛАЧНАЯ, ДОМ 24, ПОМЕЩЕНИЕ 405</t>
  </si>
  <si>
    <t>Батуева Динара Ильдусовна</t>
  </si>
  <si>
    <t>55.779307,49.141996</t>
  </si>
  <si>
    <t>ОБЩЕСТВО С ОГРАНИЧЕННОЙ ОТВЕТСТВЕННОСТЬЮ "ПРОИЗВОДСТВЕННАЯ КОМПАНИЯ "ИНКОМСТРОЙ"</t>
  </si>
  <si>
    <t xml:space="preserve"> "ПРОИЗВОДСТВЕННАЯ КОМПАНИЯ "ИНКОМСТРОЙ"</t>
  </si>
  <si>
    <t>1655356578</t>
  </si>
  <si>
    <t>420107, ТАТАРСТАН РЕСПУБЛИКА, ГОРОД КАЗАНЬ, УЛИЦА ТИХОМИРНОВА, ДОМ 19, ЦОКОЛ.ЭТАЖ 1, ПОМЕЩЕНИЕ 21</t>
  </si>
  <si>
    <t>Кузнецов Сергей Владимирович</t>
  </si>
  <si>
    <t>55.781944,49.10318</t>
  </si>
  <si>
    <t>ОБЩЕСТВО С ОГРАНИЧЕННОЙ ОТВЕТСТВЕННОСТЬЮ "БЕТОН 24"</t>
  </si>
  <si>
    <t xml:space="preserve"> "БЕТОН 24"</t>
  </si>
  <si>
    <t>1655377088</t>
  </si>
  <si>
    <t>420021, ТАТАРСТАН РЕСПУБЛИКА, ГОРОД КАЗАНЬ, УЛИЦА НАРИМАНОВА, ДОМ 40, КОРПУС 21-05, ОФИС 408.1</t>
  </si>
  <si>
    <t>Бужин Юрий Михайлович</t>
  </si>
  <si>
    <t>+7 (937) 777-24-97'</t>
  </si>
  <si>
    <t>55.760256,49.081171</t>
  </si>
  <si>
    <t>ОБЩЕСТВО С ОГРАНИЧЕННОЙ ОТВЕТСТВЕННОСТЬЮ "БАТЫР-БЕТОН"</t>
  </si>
  <si>
    <t xml:space="preserve"> "БАТЫР-БЕТОН"</t>
  </si>
  <si>
    <t>1655394164</t>
  </si>
  <si>
    <t>420108, ТАТАРСТАН РЕСПУБЛИКА, ГОРОД КАЗАНЬ, УЛИЦА ПОРТОВАЯ, ДОМ 27, ПОМЕЩЕНИЕ 2.1</t>
  </si>
  <si>
    <t>Валиев Тимур Ильдусович</t>
  </si>
  <si>
    <t>55.775256,49.136022</t>
  </si>
  <si>
    <t>ОБЩЕСТВО С ОГРАНИЧЕННОЙ ОТВЕТСТВЕННОСТЬЮ "КАЗГРАД"</t>
  </si>
  <si>
    <t xml:space="preserve"> "КАЗГРАД"</t>
  </si>
  <si>
    <t>1655398546</t>
  </si>
  <si>
    <t>420107, ТАТАРСТАН РЕСПУБЛИКА, ГОРОД КАЗАНЬ, УЛИЦА МАРСЕЛЯ САЛИМЖАНОВА, ДОМ 21,..</t>
  </si>
  <si>
    <t>Калязин Сергей Владимирович</t>
  </si>
  <si>
    <t>+7 (927) 240-91-88'</t>
  </si>
  <si>
    <t>55.780061,49.145248</t>
  </si>
  <si>
    <t>ОБЩЕСТВО С ОГРАНИЧЕННОЙ ОТВЕТСТВЕННОСТЬЮ СТРОИТЕЛЬНО-ПРОИЗВОДСТВЕННАЯ ТОРГОВАЯ КОМПАНИЯ "КАЗМОНОЛИТ"</t>
  </si>
  <si>
    <t xml:space="preserve"> СТРОИТЕЛЬНО-ПРОИЗВОДСТВЕННАЯ ТОРГОВАЯ КОМПАНИЯ "КАЗМОНОЛИТ"</t>
  </si>
  <si>
    <t>1655418810</t>
  </si>
  <si>
    <t>420043, ТАТАРСТАН РЕСПУБЛИКА, Г. КАЗАНЬ, УЛ. ВИШНЕВСКОГО, Д. 26А, ПОМЕЩ. 1137</t>
  </si>
  <si>
    <t xml:space="preserve"> Директор Закиров Булат Рамисович</t>
  </si>
  <si>
    <t>KAZMONOLIT@MAIL.RU'</t>
  </si>
  <si>
    <t>55.788829,49.107384</t>
  </si>
  <si>
    <t>ОБЩЕСТВО С ОГРАНИЧЕННОЙ ОТВЕТСТВЕННОСТЬЮ "КБУ1"</t>
  </si>
  <si>
    <t xml:space="preserve"> "КБУ1"</t>
  </si>
  <si>
    <t>1655428952</t>
  </si>
  <si>
    <t>420111, ТАТАРСТАН РЕСПУБЛИКА, ГОРОД КАЗАНЬ, УЛИЦА ТАЗИ ГИЗЗАТА, ДОМ 10, ЛИТЕРА Б ПОМЕЩЕНИЕ 11</t>
  </si>
  <si>
    <t>Бордуков Андрей Владимирович</t>
  </si>
  <si>
    <t>55.758235,49.077129</t>
  </si>
  <si>
    <t>ОБЩЕСТВО С ОГРАНИЧЕННОЙ ОТВЕТСТВЕННОСТЬЮ "ФРЕШ-БЕТОН"</t>
  </si>
  <si>
    <t xml:space="preserve"> "ФРЕШ-БЕТОН"</t>
  </si>
  <si>
    <t>1655454342</t>
  </si>
  <si>
    <t>420108, Республика Татарстан (Татарстан), городской округ ГОРОД КАЗАНЬ, Город КАЗАНЬ, УЛ ПОРТОВАЯ, Д. 27, ОФИС 2.12</t>
  </si>
  <si>
    <t>Клоков Виктор Владимирович</t>
  </si>
  <si>
    <t>ОБЩЕСТВО С ОГРАНИЧЕННОЙ ОТВЕТСТВЕННОСТЬЮ "СТРОЙКАПИТАЛСЕРВИС"</t>
  </si>
  <si>
    <t xml:space="preserve"> "СТРОЙКАПИТАЛСЕРВИС"</t>
  </si>
  <si>
    <t>1655455152</t>
  </si>
  <si>
    <t>420107, Республика Татарстан (Татарстан), городской округ ГОРОД КАЗАНЬ, Город КАЗАНЬ, УЛ СПАРТАКОВСКАЯ, Д. 2, ПОМЕЩ. 6Н</t>
  </si>
  <si>
    <t>Давлитшин Айдар Азатович</t>
  </si>
  <si>
    <t>55.759481,49.10159</t>
  </si>
  <si>
    <t>ОБЩЕСТВО С ОГРАНИЧЕННОЙ ОТВЕТСТВЕННОСТЬЮ "ТОРГОВЫЙ ДОМ "БЭСТ"</t>
  </si>
  <si>
    <t xml:space="preserve"> "ТОРГОВЫЙ ДОМ "БЭСТ"</t>
  </si>
  <si>
    <t>1655455642</t>
  </si>
  <si>
    <t>420108, ТАТАРСТАН РЕСП., Г. Казань, УЛ. МЕХОВЩИКОВ, Д. 86, ПОМЕЩ. 5</t>
  </si>
  <si>
    <t>Штейнфельд Олег Викторович</t>
  </si>
  <si>
    <t>5191319@MAIL.RU'</t>
  </si>
  <si>
    <t>55.816439,49.060824</t>
  </si>
  <si>
    <t>ОБЩЕСТВО С ОГРАНИЧЕННОЙ ОТВЕТСТВЕННОСТЬЮ "А-РЕМАРКЕТ"</t>
  </si>
  <si>
    <t xml:space="preserve"> "А-РЕМАРКЕТ"</t>
  </si>
  <si>
    <t>1656017881</t>
  </si>
  <si>
    <t>Г КАЗАНЬ,УЛ 25 ЛЕТ ОКТЯБРЯ Д 10А</t>
  </si>
  <si>
    <t>Серазутдинов Ленар Рафгатович</t>
  </si>
  <si>
    <t>55.813425,49.086076</t>
  </si>
  <si>
    <t xml:space="preserve"> "ПРОИЗВОДСТВЕННАЯ КОМПАНИЯ "БЕТОН"</t>
  </si>
  <si>
    <t>1656078860</t>
  </si>
  <si>
    <t>420124, ТАТАРСТАН РЕСПУБЛИКА, Г. КАЗАНЬ, УЛ. ПРОТОЧНАЯ, Д. 8, ПОМЕЩ. 303</t>
  </si>
  <si>
    <t>Сабитов Айрат Асхатович</t>
  </si>
  <si>
    <t>55.816455,49.06201</t>
  </si>
  <si>
    <t>ОБЩЕСТВО С ОГРАНИЧЕННОЙ ОТВЕТСТВЕННОСТЬЮ "ПКФ РЕГИОНСНАБ"</t>
  </si>
  <si>
    <t xml:space="preserve"> "ПКФ РЕГИОНСНАБ"</t>
  </si>
  <si>
    <t>1656091300</t>
  </si>
  <si>
    <t>420032, ТАТАРСТАН РЕСПУБЛИКА, ГОРОД КАЗАНЬ, УЛИЦА ДЕЛОВАЯ, ДОМ 13, ОФИС 12</t>
  </si>
  <si>
    <t>Эльдаров Муслим Лабзаевич</t>
  </si>
  <si>
    <t>+7 (917) 395-91-15'</t>
  </si>
  <si>
    <t>nk@mail.ru'</t>
  </si>
  <si>
    <t>55.838546,49.113421</t>
  </si>
  <si>
    <t>ОБЩЕСТВО С ОГРАНИЧЕННОЙ ОТВЕТСТВЕННОСТЬЮ "БЕТОННАЯ КОМПАНИЯ "ОДОЛИТ"</t>
  </si>
  <si>
    <t xml:space="preserve"> "БЕТОННАЯ КОМПАНИЯ "ОДОЛИТ"</t>
  </si>
  <si>
    <t>1657205140</t>
  </si>
  <si>
    <t>420094, ТАТАРСТАН РЕСПУБЛИКА, ГОРОД КАЗАНЬ, УЛИЦА ГОЛУБЯТНИКОВА, ДОМ 35, ОФИС 1</t>
  </si>
  <si>
    <t>Давиденко Вера Валерьевна</t>
  </si>
  <si>
    <t>+7 (904) 678-61-38'</t>
  </si>
  <si>
    <t>55.790119,49.106854</t>
  </si>
  <si>
    <t>ОБЩЕСТВО С ОГРАНИЧЕННОЙ ОТВЕТСТВЕННОСТЬЮ "ТРАНСБЕТОНГРУП"</t>
  </si>
  <si>
    <t xml:space="preserve"> "ТРАНСБЕТОНГРУП"</t>
  </si>
  <si>
    <t>1657233123</t>
  </si>
  <si>
    <t>420111, ТАТАРСТАН РЕСПУБЛИКА, ГОРОД КАЗАНЬ, УЛИЦА МОСКОВСКАЯ, ДОМ 25/29, ОФИС 313</t>
  </si>
  <si>
    <t>Булатов Ильгам Фаритович</t>
  </si>
  <si>
    <t>+7 (987) 296-14-51'</t>
  </si>
  <si>
    <t>55.836373,49.092499</t>
  </si>
  <si>
    <t>ОБЩЕСТВО С ОГРАНИЧЕННОЙ ОТВЕТСТВЕННОСТЬЮ "ТОРГОВАЯ КОМПАНИЯ "БЭСТ"</t>
  </si>
  <si>
    <t xml:space="preserve"> "ТОРГОВАЯ КОМПАНИЯ "БЭСТ"</t>
  </si>
  <si>
    <t>1657246316</t>
  </si>
  <si>
    <t>420044, ТАТАРСТАН РЕСПУБЛИКА, ГОРОД КАЗАНЬ, УЛИЦА ВОССТАНИЯ, ДОМ 18Б, ОФИС 121</t>
  </si>
  <si>
    <t>Гараев Фиркат Давлеевич</t>
  </si>
  <si>
    <t>best@mail.ru'</t>
  </si>
  <si>
    <t>55.821209,49.151258</t>
  </si>
  <si>
    <t xml:space="preserve"> "ГАММА"</t>
  </si>
  <si>
    <t>1657264964</t>
  </si>
  <si>
    <t>421001, ТАТАРСТАН РЕСПУБЛИКА, ГОРОД КАЗАНЬ, УЛИЦА ЧИСТОПОЛЬСКАЯ, ДОМ 77/2, ОФИС 80</t>
  </si>
  <si>
    <t>Тимершина Вероника Петровна</t>
  </si>
  <si>
    <t>55.827944,49.081971</t>
  </si>
  <si>
    <t>ОБЩЕСТВО С ОГРАНИЧЕННОЙ ОТВЕТСТВЕННОСТЬЮ "Алтын Групп"</t>
  </si>
  <si>
    <t xml:space="preserve"> "Алтын Групп"</t>
  </si>
  <si>
    <t>1658117345</t>
  </si>
  <si>
    <t>420034, ТАТАРСТАН РЕСПУБЛИКА, Г. КАЗАНЬ, УЛ. ДЕКАБРИСТОВ, Д.131Б</t>
  </si>
  <si>
    <t>Постнов Дмитрий Алексеевич</t>
  </si>
  <si>
    <t>55.819464,49.101689</t>
  </si>
  <si>
    <t>ОБЩЕСТВО С ОГРАНИЧЕННОЙ ОТВЕТСТВЕННОСТЬЮ "Бетонно-смесительное управление"</t>
  </si>
  <si>
    <t xml:space="preserve"> "Бетонно-смесительное управление"</t>
  </si>
  <si>
    <t>1658127897</t>
  </si>
  <si>
    <t>420066, ТАТАРСТАН РЕСПУБЛИКА, Г. КАЗАНЬ, УЛ. ЧИСТОПОЛЬСКАЯ, Д.5,..</t>
  </si>
  <si>
    <t>Миннуллина Назиря Мингареевна</t>
  </si>
  <si>
    <t>55.836256,49.072817</t>
  </si>
  <si>
    <t>ОБЩЕСТВО С ОГРАНИЧЕННОЙ ОТВЕТСТВЕННОСТЬЮ "Элана-Трейд"</t>
  </si>
  <si>
    <t xml:space="preserve"> "Элана-Трейд"</t>
  </si>
  <si>
    <t>1658130385</t>
  </si>
  <si>
    <t>420039, Республика Татарстан (Татарстан), г Казань, Московский район, ул Восход д 25..</t>
  </si>
  <si>
    <t>Абдрахманов Артур Рустэмович</t>
  </si>
  <si>
    <t>55.831787,49.083633</t>
  </si>
  <si>
    <t>ОБЩЕСТВО С ОГРАНИЧЕННОЙ ОТВЕТСТВЕННОСТЬЮ "Интер Бетон"</t>
  </si>
  <si>
    <t xml:space="preserve"> "Интер Бетон"</t>
  </si>
  <si>
    <t>1658148270</t>
  </si>
  <si>
    <t>420080, Республика Татарстан (Татарстан), г Казань, Московский район, ул Тунакова д 45 оф 12</t>
  </si>
  <si>
    <t>Нигматзянов Родион Рамильевич</t>
  </si>
  <si>
    <t>+7 (909) 366-81-99'</t>
  </si>
  <si>
    <t>1658148270_165801001@eo.tensor'</t>
  </si>
  <si>
    <t>54.904028,52.308746</t>
  </si>
  <si>
    <t>ОБЩЕСТВО С ОГРАНИЧЕННОЙ ОТВЕТСТВЕННОСТЬЮ "ТИМЕР БЕТОН ПЛЮС"</t>
  </si>
  <si>
    <t xml:space="preserve"> "ТИМЕР БЕТОН ПЛЮС"</t>
  </si>
  <si>
    <t>1658149668</t>
  </si>
  <si>
    <t>РЕСПУБЛИКА ТАТАРСТАН (ТАТАРСТАН),Г АЛЬМЕТЬЕВСК,УЛ ЛЕНИНА Д 13..</t>
  </si>
  <si>
    <t>+7 (843) 571-89-02'</t>
  </si>
  <si>
    <t>ОБЩЕСТВО С ОГРАНИЧЕННОЙ ОТВЕТСТВЕННОСТЬЮ "ПРОИЗВОДСТВЕННО ТОРГОВАЯ КОМПАНИЯ БЕТОНСТРОЙ"</t>
  </si>
  <si>
    <t xml:space="preserve"> "ПРОИЗВОДСТВЕННО ТОРГОВАЯ КОМПАНИЯ БЕТОНСТРОЙ"</t>
  </si>
  <si>
    <t>1658156930</t>
  </si>
  <si>
    <t>420006, ТАТАРСТАН РЕСПУБЛИКА, Г. КАЗАНЬ, УЛ. ХЛЕБОЗАВОДСКАЯ, Д. 1, ОФИС 13</t>
  </si>
  <si>
    <t>Ильин Виталий Владимирович</t>
  </si>
  <si>
    <t>55.835938,49.07191</t>
  </si>
  <si>
    <t xml:space="preserve"> "МЕГАЛИТ"</t>
  </si>
  <si>
    <t>1658192913</t>
  </si>
  <si>
    <t>420039, ТАТАРСТАН РЕСПУБЛИКА, Г. КАЗАНЬ, УЛ. ВОСХОД, Д. 23 А, ОФИС 24</t>
  </si>
  <si>
    <t>megalit2011@list.ru'</t>
  </si>
  <si>
    <t>55.827444,49.053907</t>
  </si>
  <si>
    <t>ОБЩЕСТВО С ОГРАНИЧЕННОЙ ОТВЕТСТВЕННОСТЬЮ "СТРОЙТРАНС"</t>
  </si>
  <si>
    <t xml:space="preserve"> "СТРОЙТРАНС"</t>
  </si>
  <si>
    <t>1658219499</t>
  </si>
  <si>
    <t>420095, ТАТАРСТАН РЕСП., Г. Казань, УЛ. ОКОЛЬНАЯ, Д. 94А, ПОМ. 9</t>
  </si>
  <si>
    <t>Бакулин Денис Владимирович</t>
  </si>
  <si>
    <t>55.643729,51.812544</t>
  </si>
  <si>
    <t>ОБЩЕСТВО С ОГРАНИЧЕННОЙ ОТВЕТСТВЕННОСТЬЮ "КАМСКИЙ БЕТОННЫЙ ЗАВОД"</t>
  </si>
  <si>
    <t xml:space="preserve"> "КАМСКИЙ БЕТОННЫЙ ЗАВОД"</t>
  </si>
  <si>
    <t>1658225365</t>
  </si>
  <si>
    <t>423570, ТАТАРСТАН РЕСП, Р-Н Нижнекамский, Г. Нижнекамск, ПР-КТ ШИННИКОВ, Д. 3,..</t>
  </si>
  <si>
    <t>Галиуллин Ильшат Рашидович</t>
  </si>
  <si>
    <t>55.854436,49.020535</t>
  </si>
  <si>
    <t xml:space="preserve"> "АЛЬФА"</t>
  </si>
  <si>
    <t>1658231954</t>
  </si>
  <si>
    <t>420085, ТАТАРСТАН РЕСП., Г. Казань, УЛ. ТЭЦЕВСКАЯ, Д. 189, ЛИТЕР И ОФИС 2.2</t>
  </si>
  <si>
    <t>Тимершин Марсель Ирекович</t>
  </si>
  <si>
    <t>NIKAASANOVA22@MAIL.RU'</t>
  </si>
  <si>
    <t>55.836878,49.077713</t>
  </si>
  <si>
    <t xml:space="preserve"> "АВАЛОН"</t>
  </si>
  <si>
    <t>1658232122</t>
  </si>
  <si>
    <t>420039, ТАТАРСТАН РЕСП., Г. Казань, УЛ. ГАГАРИНА, Д. 99, ОФИС 31</t>
  </si>
  <si>
    <t>Шарипова Альбина Зуфаровна</t>
  </si>
  <si>
    <t>55.830129,49.048419</t>
  </si>
  <si>
    <t>ОБЩЕСТВО С ОГРАНИЧЕННОЙ ОТВЕТСТВЕННОСТЬЮ "БЕТОНТРАНС"</t>
  </si>
  <si>
    <t xml:space="preserve"> "БЕТОНТРАНС"</t>
  </si>
  <si>
    <t>1658240243</t>
  </si>
  <si>
    <t>420095, Республика Татарстан (Татарстан), ГОРОД КАЗАНЬ, Г КАЗАНЬ, УЛ ВОССТАНИЯ, Д. 129</t>
  </si>
  <si>
    <t>Казаров Станислав Алексеевич</t>
  </si>
  <si>
    <t>55.731257,49.103135</t>
  </si>
  <si>
    <t xml:space="preserve"> "АРГО"</t>
  </si>
  <si>
    <t>1659053704</t>
  </si>
  <si>
    <t>Г КАЗАНЬ,УЛ АЛЕБАСТРОВАЯ Д 11</t>
  </si>
  <si>
    <t>Асманов Рустам Нигматович</t>
  </si>
  <si>
    <t>55.789633,49.134055</t>
  </si>
  <si>
    <t>ОБЩЕСТВО С ОГРАНИЧЕННОЙ ОТВЕТСТВЕННОСТЬЮ "Дулкын"</t>
  </si>
  <si>
    <t xml:space="preserve"> "Дулкын"</t>
  </si>
  <si>
    <t>1659099434</t>
  </si>
  <si>
    <t>420012, ТАТАРСТАН РЕСПУБЛИКА, Г. КАЗАНЬ, УЛ. МАЯКОВСКОГО, Д. 20, ЭТАЖ 3, ПОМЕЩ. 18</t>
  </si>
  <si>
    <t>Валитов Рустем Амирович</t>
  </si>
  <si>
    <t>54.858233,53.079923</t>
  </si>
  <si>
    <t>ОБЩЕСТВО С ОГРАНИЧЕННОЙ ОТВЕТСТВЕННОСТЬЮ "БЕТОН-КО"</t>
  </si>
  <si>
    <t xml:space="preserve"> "БЕТОН-КО"</t>
  </si>
  <si>
    <t>1659162608</t>
  </si>
  <si>
    <t>РЕСПУБЛИКА ТАТАРСТАН (ТАТАРСТАН),Г АЗНАКАЕВО,УЛ КАЛИНИНА Д 18</t>
  </si>
  <si>
    <t>Ибрагимов Тимур Маратович</t>
  </si>
  <si>
    <t>55.732418,49.122036</t>
  </si>
  <si>
    <t>ОБЩЕСТВО С ОГРАНИЧЕННОЙ ОТВЕТСТВЕННОСТЬЮ "ЗАВОД ЖЕЛЕЗОБЕТОННЫХ ИЗДЕЛИЙ И КОНСТРУКЦИЙ "ЭЛЕВАТОРСТРОЙ"</t>
  </si>
  <si>
    <t xml:space="preserve"> "ЗАВОД ЖЕЛЕЗОБЕТОННЫХ ИЗДЕЛИЙ И КОНСТРУКЦИЙ "ЭЛЕВАТОРСТРОЙ"</t>
  </si>
  <si>
    <t>1659165373</t>
  </si>
  <si>
    <t>420054, ТАТАРСТАН РЕСПУБЛИКА, Г. КАЗАНЬ, УЛ. ТИХОРЕЦКАЯ, Д. 2А, ПОМЕЩ. 3</t>
  </si>
  <si>
    <t>Баранов Сергей Витальевич</t>
  </si>
  <si>
    <t>+7 (927) 249-12-35'</t>
  </si>
  <si>
    <t>55.75551,49.205489</t>
  </si>
  <si>
    <t>ОБЩЕСТВО С ОГРАНИЧЕННОЙ ОТВЕТСТВЕННОСТЬЮ "РЕМТРАНС БЕТОН"</t>
  </si>
  <si>
    <t xml:space="preserve"> "РЕМТРАНС БЕТОН"</t>
  </si>
  <si>
    <t>1659179136</t>
  </si>
  <si>
    <t>420110, ТАТАРСТАН РЕСПУБЛИКА, ГОРОД КАЗАНЬ, УЛИЦА БРАТЬЕВ КАСИМОВЫХ, ДОМ 46,..</t>
  </si>
  <si>
    <t>Сибгатуллин Альберт Наилевич</t>
  </si>
  <si>
    <t>55.746912,49.089094</t>
  </si>
  <si>
    <t>ОБЩЕСТВО С ОГРАНИЧЕННОЙ ОТВЕТСТВЕННОСТЬЮ СТРОИТЕЛЬНО-ТОРГОВАЯ ПРОМЫШЛЕННАЯ КОМПАНИЯ "МЕГА"</t>
  </si>
  <si>
    <t xml:space="preserve"> СТРОИТЕЛЬНО-ТОРГОВАЯ ПРОМЫШЛЕННАЯ КОМПАНИЯ "МЕГА"</t>
  </si>
  <si>
    <t>1659187970</t>
  </si>
  <si>
    <t>420108, ТАТАРСТАН РЕСПУБЛИКА, ГОРОД КАЗАНЬ, УЛИЦА МАГИСТРАЛЬНАЯ, ДОМ 64, ПОМЕЩЕНИЕ 1</t>
  </si>
  <si>
    <t>Зыков Борис Викторович</t>
  </si>
  <si>
    <t>ОБЩЕСТВО С ОГРАНИЧЕННОЙ ОТВЕТСТВЕННОСТЬЮ "БЕТОН16"</t>
  </si>
  <si>
    <t xml:space="preserve"> "БЕТОН16"</t>
  </si>
  <si>
    <t>1659191694</t>
  </si>
  <si>
    <t>420005, ТАТАРСТАН РЕСПУБЛИКА, ГОРОД КАЗАНЬ, УЛИЦА МАГИСТРАЛЬНАЯ, ДОМ 77, ОФИС 1</t>
  </si>
  <si>
    <t>Ахметшина Алсу Гумеровна</t>
  </si>
  <si>
    <t>55.754557,49.187622</t>
  </si>
  <si>
    <t xml:space="preserve"> "БЕТОНСИТИ"</t>
  </si>
  <si>
    <t>1659201173</t>
  </si>
  <si>
    <t>420101, ТАТАРСТАН РЕСП., Г. Казань, УЛ. ХУСАИНА МАВЛЮТОВА, Д. 14,..</t>
  </si>
  <si>
    <t>Саетов Разил Назифович</t>
  </si>
  <si>
    <t>55.739265,49.129788</t>
  </si>
  <si>
    <t>1659205876</t>
  </si>
  <si>
    <t>420054, ТАТАРСТАН РЕСПУБЛИКА, ГОРОД КАЗАНЬ, УЛИЦА СКЛАДСКАЯ, ДОМ 7, ЛИТЕР  А ОФИС 217</t>
  </si>
  <si>
    <t>Глазырин Дмитрий Константинович</t>
  </si>
  <si>
    <t>55.730568,49.097476</t>
  </si>
  <si>
    <t xml:space="preserve"> "ПРОБЕТОН"</t>
  </si>
  <si>
    <t>1659207129</t>
  </si>
  <si>
    <t>420005, ТАТАРСТАН РЕСПУБЛИКА, ГОРОД КАЗАНЬ, УЛИЦА ЮЖНО-ПРОМЫШЛЕННАЯ, ДОМ 3А, ОФИС 4</t>
  </si>
  <si>
    <t xml:space="preserve"> Директор Филатов Юрий Анатольевич</t>
  </si>
  <si>
    <t>55.739225,49.27872</t>
  </si>
  <si>
    <t xml:space="preserve"> "ЖБИ"</t>
  </si>
  <si>
    <t>1659215313</t>
  </si>
  <si>
    <t>420129, ТАТАРСТАН РЕСП., Г. Казань, УЛ. ТИГЕЗ, Д. 4</t>
  </si>
  <si>
    <t>Медведкина Вероника Сергеевна</t>
  </si>
  <si>
    <t>55.809545,49.181351</t>
  </si>
  <si>
    <t>ОБЩЕСТВО С ОГРАНИЧЕННОЙ ОТВЕТСТВЕННОСТЬЮ "ПРОИЗВОДСТВЕННАЯ ФИРМА "ЭНЕРГИЯ"</t>
  </si>
  <si>
    <t xml:space="preserve"> "ПРОИЗВОДСТВЕННАЯ ФИРМА "ЭНЕРГИЯ"</t>
  </si>
  <si>
    <t>1660121349</t>
  </si>
  <si>
    <t>420029, ТАТАРСТАН РЕСПУБЛИКА, ГОРОД КАЗАНЬ, УЛИЦА АЛЕКСАНДРА ПОПОВА, ДОМ 7/21,..</t>
  </si>
  <si>
    <t>Галимарданов Ренат Марселевич</t>
  </si>
  <si>
    <t>+7 (904) 670-11-97'</t>
  </si>
  <si>
    <t>55.821608,49.201896</t>
  </si>
  <si>
    <t>ОБЩЕСТВО С ОГРАНИЧЕННОЙ ОТВЕТСТВЕННОСТЬЮ "Фактура"</t>
  </si>
  <si>
    <t xml:space="preserve"> "Фактура"</t>
  </si>
  <si>
    <t>1660130640</t>
  </si>
  <si>
    <t>420088, ТАТАРСТАН РЕСПУБЛИКА, Г. КАЗАНЬ, УЛ. 1-Я ВЛАДИМИРСКАЯ, Д.108</t>
  </si>
  <si>
    <t>Камалиев Рамиль Аглямович</t>
  </si>
  <si>
    <t>+7 (843) 273-94-45'</t>
  </si>
  <si>
    <t>55.792306,49.115226</t>
  </si>
  <si>
    <t>ОБЩЕСТВО С ОГРАНИЧЕННОЙ ОТВЕТСТВЕННОСТЬЮ ПК "ГИЛЮЙ"</t>
  </si>
  <si>
    <t xml:space="preserve"> ПК "ГИЛЮЙ"</t>
  </si>
  <si>
    <t>1660235427</t>
  </si>
  <si>
    <t>http://gilui.ru</t>
  </si>
  <si>
    <t>Г КАЗАНЬ,УЛ РАХМАТУЛЛИНА Д 6</t>
  </si>
  <si>
    <t>+7 (843) 216-67-03'</t>
  </si>
  <si>
    <t>55.760155,49.234271</t>
  </si>
  <si>
    <t xml:space="preserve"> "ФАБРИКА БЕТОНА"</t>
  </si>
  <si>
    <t>1660268711</t>
  </si>
  <si>
    <t>420140, ТАТАРСТАН РЕСПУБЛИКА, Г. КАЗАНЬ, УЛ. ЮЛИУСА ФУЧИКА, Д. 82,..</t>
  </si>
  <si>
    <t>Якупов Алмаз Анварович</t>
  </si>
  <si>
    <t>+7 (917) 237-21-21'</t>
  </si>
  <si>
    <t>55.822382,49.20133</t>
  </si>
  <si>
    <t>ОБЩЕСТВО С ОГРАНИЧЕННОЙ ОТВЕТСТВЕННОСТЬЮ ПРОИЗВОДСТВЕННАЯ СТРОИТЕЛЬНАЯ КОМПАНИЯ "УНИВЕРСАЛ"</t>
  </si>
  <si>
    <t xml:space="preserve"> ПРОИЗВОДСТВЕННАЯ СТРОИТЕЛЬНАЯ КОМПАНИЯ "УНИВЕРСАЛ"</t>
  </si>
  <si>
    <t>1660285700</t>
  </si>
  <si>
    <t>420088, ТАТАРСТАН РЕСПУБЛИКА, Г. КАЗАНЬ, УЛ. 1-Я ВЛАДИМИРСКАЯ, ЗД 106, ПОМЕЩ. 19</t>
  </si>
  <si>
    <t>Гайнутдинов Рафис Ахатович</t>
  </si>
  <si>
    <t>+7 (843) 273-69-48'</t>
  </si>
  <si>
    <t>55.780026,49.176662</t>
  </si>
  <si>
    <t>ОБЩЕСТВО С ОГРАНИЧЕННОЙ ОТВЕТСТВЕННОСТЬЮ "БЕТОН ГАРАНТ+"</t>
  </si>
  <si>
    <t xml:space="preserve"> "БЕТОН ГАРАНТ+"</t>
  </si>
  <si>
    <t>1660287898</t>
  </si>
  <si>
    <t>420073, ТАТАРСТАН РЕСПУБЛИКА, ГОРОД КАЗАНЬ, УЛИЦА ГВАРДЕЙСКАЯ, ДОМ 46 А, ПОМЕЩЕНИЕ 32</t>
  </si>
  <si>
    <t>+7 (917) 273-75-05'</t>
  </si>
  <si>
    <t>55.79056,49.169557</t>
  </si>
  <si>
    <t>ОБЩЕСТВО С ОГРАНИЧЕННОЙ ОТВЕТСТВЕННОСТЬЮ "ПРОИЗВОДСТВЕННОЕ ОБЪЕДИНЕНИЕ "БЕТОНДОРСТРОЙ"</t>
  </si>
  <si>
    <t xml:space="preserve"> "ПРОИЗВОДСТВЕННОЕ ОБЪЕДИНЕНИЕ "БЕТОНДОРСТРОЙ"</t>
  </si>
  <si>
    <t>1660290442</t>
  </si>
  <si>
    <t>420073, ТАТАРСТАН РЕСПУБЛИКА, Г. КАЗАНЬ, УЛ. ГВАРДЕЙСКАЯ, Д. 16Б, ОФИС 1</t>
  </si>
  <si>
    <t xml:space="preserve"> Директор Хайруллин Ильнур Габдулнурович</t>
  </si>
  <si>
    <t>+7 (843) 206-00-95'</t>
  </si>
  <si>
    <t>betondorstroi@mail.ru'</t>
  </si>
  <si>
    <t>55.680493,37.572576</t>
  </si>
  <si>
    <t xml:space="preserve"> "ЗАВОД ЖБИ-2"</t>
  </si>
  <si>
    <t>1660295169</t>
  </si>
  <si>
    <t>117218, МОСКВА ГОРОД, УЛ. КРЖИЖАНОВСКОГО, Д. 15, К. 5, ЭТ/ОФ 5/512А</t>
  </si>
  <si>
    <t>Имамов Ильдар Асхатович</t>
  </si>
  <si>
    <t>kozlovairina65@mail.ru'</t>
  </si>
  <si>
    <t>ОБЩЕСТВО С ОГРАНИЧЕННОЙ ОТВЕТСТВЕННОСТЬЮ "БЕТОНРЕГИОН16"</t>
  </si>
  <si>
    <t xml:space="preserve"> "БЕТОНРЕГИОН16"</t>
  </si>
  <si>
    <t>1660315746</t>
  </si>
  <si>
    <t>420053, ТАТАРСТАН РЕСПУБЛИКА, ГОРОД КАЗАНЬ, УЛИЦА ЖУРНАЛИСТОВ, ЗД 62, ЛИТЕР Я ПОМЕЩЕНИЕ 15</t>
  </si>
  <si>
    <t>Папафилов Максим Евгеньевич</t>
  </si>
  <si>
    <t>55.763807,49.220608</t>
  </si>
  <si>
    <t>ОБЩЕСТВО С ОГРАНИЧЕННОЙ ОТВЕТСТВЕННОСТЬЮ "КОМПАНИЯ БЕТОНИКА"</t>
  </si>
  <si>
    <t xml:space="preserve"> "КОМПАНИЯ БЕТОНИКА"</t>
  </si>
  <si>
    <t>1660349960</t>
  </si>
  <si>
    <t>420140, ТАТАРСТАН РЕСПУБЛИКА, ГОРОД КАЗАНЬ, ПРОСПЕКТ ПОБЕДЫ, ДОМ 78, ПОМЕЩЕНИЕ  354Н</t>
  </si>
  <si>
    <t>55.810744,49.18437</t>
  </si>
  <si>
    <t>ОБЩЕСТВО С ОГРАНИЧЕННОЙ ОТВЕТСТВЕННОСТЬЮ "ВАЛЬЦ"</t>
  </si>
  <si>
    <t xml:space="preserve"> "ВАЛЬЦ"</t>
  </si>
  <si>
    <t>1660366211</t>
  </si>
  <si>
    <t>420029, Республика Татарстан (Татарстан), городской округ ГОРОД КАЗАНЬ, Город КАЗАНЬ, УЛ АКАДЕМИКА КИРПИЧНИКОВА, Д. 15, ОФИС 305</t>
  </si>
  <si>
    <t>Сабирзянов Альберт Зуфарович</t>
  </si>
  <si>
    <t>WALTZ33@MAIL.RU'</t>
  </si>
  <si>
    <t>55.866379,49.021865</t>
  </si>
  <si>
    <t>ОБЩЕСТВО С ОГРАНИЧЕННОЙ ОТВЕТСТВЕННОСТЬЮ "АВТОСТРОЙБЕТОН"</t>
  </si>
  <si>
    <t xml:space="preserve"> "АВТОСТРОЙБЕТОН"</t>
  </si>
  <si>
    <t>1661041209</t>
  </si>
  <si>
    <t>420085, ТАТАРСТАН РЕСПУБЛИКА, ГОРОД КАЗАНЬ, УЛИЦА БЕЛОМОРСКАЯ, ДОМ 69, ОФИС 8</t>
  </si>
  <si>
    <t>Будников Александр Витальевич</t>
  </si>
  <si>
    <t>+7 (904) 765-04-84'</t>
  </si>
  <si>
    <t>avtostroicom@mail.ru'</t>
  </si>
  <si>
    <t>55.852869,49.081809</t>
  </si>
  <si>
    <t>ОБЩЕСТВО С ОГРАНИЧЕННОЙ ОТВЕТСТВЕННОСТЬЮ "АСК"</t>
  </si>
  <si>
    <t xml:space="preserve"> "АСК"</t>
  </si>
  <si>
    <t>1661053821</t>
  </si>
  <si>
    <t>420036, Республика Татарстан (Татарстан), городской округ ГОРОД КАЗАНЬ, Город КАЗАНЬ, УЛ ЛЯДОВА, Д. 2, ПОМЕЩ. 6</t>
  </si>
  <si>
    <t>Цапелик Алексей Казимирович</t>
  </si>
  <si>
    <t>+7 (987) 225-25-58'</t>
  </si>
  <si>
    <t>55.86258,49.025206</t>
  </si>
  <si>
    <t>ОБЩЕСТВО С ОГРАНИЧЕННОЙ ОТВЕТСТВЕННОСТЬЮ "ПРОИЗВОДСТВЕННО-ТРАНСПОРТНАЯ КОМПАНИЯ "ТИМЕР БЕТОН"</t>
  </si>
  <si>
    <t xml:space="preserve"> "ПРОИЗВОДСТВЕННО-ТРАНСПОРТНАЯ КОМПАНИЯ "ТИМЕР БЕТОН"</t>
  </si>
  <si>
    <t>1661058026</t>
  </si>
  <si>
    <t>420085, ТАТАРСТАН РЕСПУБЛИКА, Г. КАЗАНЬ, УЛ. ОБНОРСКОГО, Д. 208, К. 1, ОФИС 6</t>
  </si>
  <si>
    <t>Кадиров Илдар Илшатович</t>
  </si>
  <si>
    <t>timerbeton@mail.ru'</t>
  </si>
  <si>
    <t>ОБЩЕСТВО С ОГРАНИЧЕННОЙ ОТВЕТСТВЕННОСТЬЮ "ХАМАР"</t>
  </si>
  <si>
    <t xml:space="preserve"> "ХАМАР"</t>
  </si>
  <si>
    <t>1661064510</t>
  </si>
  <si>
    <t>420127, ТАТАРСТАН РЕСПУБЛИКА, ГОРОД КАЗАНЬ, УЛИЦА ДЕМЕНТЬЕВА, ДОМ 1, ОФИС 22</t>
  </si>
  <si>
    <t>Ростобая Яна Михайловна</t>
  </si>
  <si>
    <t>55.811639,49.269503</t>
  </si>
  <si>
    <t>ОБЩЕСТВО С ОГРАНИЧЕННОЙ ОТВЕТСТВЕННОСТЬЮ "ПРОИЗВОДСТВЕННО-СТРОИТЕЛЬНАЯ ОРГАНИЗАЦИЯ "БЕТОНДОРСТРОЙ"</t>
  </si>
  <si>
    <t xml:space="preserve"> "ПРОИЗВОДСТВЕННО-СТРОИТЕЛЬНАЯ ОРГАНИЗАЦИЯ "БЕТОНДОРСТРОЙ"</t>
  </si>
  <si>
    <t>1661068088</t>
  </si>
  <si>
    <t>420083, ТАТАРСТАН РЕСП, Г. Казань, УЛ. ИНТЕРНАЦИОНАЛЬНАЯ, Д. 11Г, ПОМЕЩ. 1</t>
  </si>
  <si>
    <t>Низамов Ирек Назипович</t>
  </si>
  <si>
    <t>55.757298,52.012868</t>
  </si>
  <si>
    <t>ОБЩЕСТВО С ОГРАНИЧЕННОЙ ОТВЕТСТВЕННОСТЬЮ "АЛАБУГА БЕТОН"</t>
  </si>
  <si>
    <t xml:space="preserve"> "АЛАБУГА БЕТОН"</t>
  </si>
  <si>
    <t>1674001725</t>
  </si>
  <si>
    <t>423602, Республика Татарстан (Татарстан), ЕЛАБУЖСКИЙ, 1 ГОРОД ЕЛАБУГА, Г ЕЛАБУГА, ПР-КТ МИРА, Д. 22</t>
  </si>
  <si>
    <t>Пономарев Юрий Андреевич</t>
  </si>
  <si>
    <t>ALABUGABETON@MAIL.RU'</t>
  </si>
  <si>
    <t>55.82708,49.025871</t>
  </si>
  <si>
    <t>ОБЩЕСТВО С ОГРАНИЧЕННОЙ ОТВЕТСТВЕННОСТЬЮ "ТОРГОВЫЙ ДОМ "ЖЕЛЕЗО-БЕТОННЫЕ ИЗДЕЛИЯ"</t>
  </si>
  <si>
    <t xml:space="preserve"> "ТОРГОВЫЙ ДОМ "ЖЕЛЕЗО-БЕТОННЫЕ ИЗДЕЛИЯ"</t>
  </si>
  <si>
    <t>1683002370</t>
  </si>
  <si>
    <t>420004, Республика Татарстан (Татарстан), ГОРОД КАЗАНЬ, Г КАЗАНЬ, УЛ ГОРЬКОВСКОЕ ШОССЕ, Д. 30, ПОМЕЩ. 14</t>
  </si>
  <si>
    <t>Алексеев Алексей Витальевич</t>
  </si>
  <si>
    <t>OREN@OTK-RUS'</t>
  </si>
  <si>
    <t>55.614546,49.133265</t>
  </si>
  <si>
    <t>ОБЩЕСТВО С ОГРАНИЧЕННОЙ ОТВЕТСТВЕННОСТЬЮ "ПТК БЕТОН"</t>
  </si>
  <si>
    <t xml:space="preserve"> "ПТК БЕТОН"</t>
  </si>
  <si>
    <t>1684000304</t>
  </si>
  <si>
    <t>422606, ТАТАРСТАН РЕСП., Р-Н Лаишевский, С. Габишево, УЛ. ВАХИТОВСКАЯ, Д. 47</t>
  </si>
  <si>
    <t>Касымов Ильдар Равилович</t>
  </si>
  <si>
    <t>55.723308,49.089382</t>
  </si>
  <si>
    <t>ОБЩЕСТВО С ОГРАНИЧЕННОЙ ОТВЕТСТВЕННОСТЬЮ "ПК БЕТОН"</t>
  </si>
  <si>
    <t xml:space="preserve"> "ПК БЕТОН"</t>
  </si>
  <si>
    <t>1684004073</t>
  </si>
  <si>
    <t>420005, Республика Татарстан (Татарстан), ГОРОД КАЗАНЬ, Г КАЗАНЬ, УЛ 3-Я ПОБЕДИЛОВСКАЯ, Д. 3А</t>
  </si>
  <si>
    <t>Егоров Владимир Павлович</t>
  </si>
  <si>
    <t>PKBETON716@YANDEX.RU'</t>
  </si>
  <si>
    <t>55.839668,49.089822</t>
  </si>
  <si>
    <t>ОБЩЕСТВО С ОГРАНИЧЕННОЙ ОТВЕТСТВЕННОСТЬЮ "БЕТОН-МАСТЕР"</t>
  </si>
  <si>
    <t xml:space="preserve"> "БЕТОН-МАСТЕР"</t>
  </si>
  <si>
    <t>1685002583</t>
  </si>
  <si>
    <t>420057, Республика Татарстан (Татарстан), ГОРОД КАЗАНЬ, Г КАЗАНЬ, ПР-КТ ИБРАГИМОВА, Д. 13</t>
  </si>
  <si>
    <t>Хисамов Марат Сулейманович</t>
  </si>
  <si>
    <t>1301MRT@MAIL.RU'</t>
  </si>
  <si>
    <t>55.774603,49.644873</t>
  </si>
  <si>
    <t>ОБЩЕСТВО С ОГРАНИЧЕННОЙ ОТВЕТСТВЕННОСТЬЮ "ШЭП-БЕТОН"</t>
  </si>
  <si>
    <t xml:space="preserve"> "ШЭП-БЕТОН"</t>
  </si>
  <si>
    <t>1686012792</t>
  </si>
  <si>
    <t>422770, Республика Татарстан (Татарстан), ПЕСТРЕЧИНСКИЙ, 2 ПЕСТРЕЧИНСКОЕ, С ПЕСТРЕЦЫ, УЛ БЕРЕЗОВАЯ, Д. 18Б</t>
  </si>
  <si>
    <t>Миннеханов Альберт Тахирович</t>
  </si>
  <si>
    <t>TAHIROVIH1993@MAIL.RU'</t>
  </si>
  <si>
    <t>51.720386,94.442464</t>
  </si>
  <si>
    <t>ОБЩЕСТВО С ОГРАНИЧЕННОЙ ОТВЕТСТВЕННОСТЬЮ "ИМПЕРИУМ"</t>
  </si>
  <si>
    <t xml:space="preserve"> "ИМПЕРИУМ"</t>
  </si>
  <si>
    <t>1701064910</t>
  </si>
  <si>
    <t>17-Республика Тыва</t>
  </si>
  <si>
    <t>667000, ТЫВА РЕСПУБЛИКА, ГОРОД КЫЗЫЛ, УЛИЦА ТУВИНСКИХ ДОБРОВОЛЬЦЕВ, ДОМ 13, ЭТАЖ 3, ОФИС 313</t>
  </si>
  <si>
    <t>Придатченко Иван Валерьевич</t>
  </si>
  <si>
    <t>ОБЩЕСТВО С ОГРАНИЧЕННОЙ ОТВЕТСТВЕННОСТЬЮ "КРАСНОГОРСКИЙ УЧАСТОК"</t>
  </si>
  <si>
    <t xml:space="preserve"> "КРАСНОГОРСКИЙ УЧАСТОК"</t>
  </si>
  <si>
    <t>1815906254</t>
  </si>
  <si>
    <t>427621, УДМУРТСКАЯ РЕСПУБЛИКА, ГОРОД ГЛАЗОВ, УЛИЦА ЭНГЕЛЬСА, ДОМ 24 А, СТОМАТОЛОГ КАБИНЕТ</t>
  </si>
  <si>
    <t>Леонов Антон Владимирович</t>
  </si>
  <si>
    <t>56.990581,52.178859</t>
  </si>
  <si>
    <t>ОБЩЕСТВО С ОГРАНИЧЕННОЙ ОТВЕТСТВЕННОСТЬЮ ТОРГОВЫЙ ДОМ "ФЕЛИКС"</t>
  </si>
  <si>
    <t xml:space="preserve"> ТОРГОВЫЙ ДОМ "ФЕЛИКС"</t>
  </si>
  <si>
    <t>1821014220</t>
  </si>
  <si>
    <t>427260, УДМУРТСКАЯ РЕСПУБЛИКА, Р-Н УВИНСКИЙ, П УВА, УЛ. ШКОЛЬНАЯ, Д. 1А, ОФИС 1</t>
  </si>
  <si>
    <t>Каврелишвили Элдар Вахтангович</t>
  </si>
  <si>
    <t>+7 (982) 996-33-99'</t>
  </si>
  <si>
    <t>57.05069,54.005655</t>
  </si>
  <si>
    <t>ОБЩЕСТВО С ОГРАНИЧЕННОЙ ОТВЕТСТВЕННОСТЬЮ "Уральская Артель"</t>
  </si>
  <si>
    <t xml:space="preserve"> "Уральская Артель"</t>
  </si>
  <si>
    <t>1828022679</t>
  </si>
  <si>
    <t>http://votkinsk-beton.jimdo.com</t>
  </si>
  <si>
    <t>427430, УДМУРТСКАЯ РЕСПУБЛИКА, ГОРОД ВОТКИНСК, УЛИЦА КИРОВА, 66 А</t>
  </si>
  <si>
    <t>Альбов Евгений Александрович</t>
  </si>
  <si>
    <t>+7 (912) 461-97-22', '+7 (912) 852-32-54'</t>
  </si>
  <si>
    <t>57.048457,54.001244</t>
  </si>
  <si>
    <t xml:space="preserve"> "ЗАВОД СТРОИТЕЛЬНЫХ МАТЕРИАЛОВ"</t>
  </si>
  <si>
    <t>1828027684</t>
  </si>
  <si>
    <t>427439, УДМУРТСКАЯ РЕСПУБЛИКА, ГОРОД ВОТКИНСК, УЛИЦА 1 МАЯ, ДОМ 2, ОФИС 108</t>
  </si>
  <si>
    <t>Багаув Марат Фирдаусович</t>
  </si>
  <si>
    <t>+7 (912) 766-60-03'</t>
  </si>
  <si>
    <t>svshilyaeva@yandex.ru'</t>
  </si>
  <si>
    <t>57.026791,53.984625</t>
  </si>
  <si>
    <t>ОБЩЕСТВО С ОГРАНИЧЕННОЙ ОТВЕТСТВЕННОСТЬЮ "АВХ ГРУПП"</t>
  </si>
  <si>
    <t xml:space="preserve"> "АВХ ГРУПП"</t>
  </si>
  <si>
    <t>1828028871</t>
  </si>
  <si>
    <t>427432, УДМУРТСКАЯ РЕСП, Г. Воткинск, УЛ. ЮБИЛЕЙНАЯ, Д. 2 Б</t>
  </si>
  <si>
    <t>Буранов Александр Валерьевич</t>
  </si>
  <si>
    <t>+7 (912) 456-71-26'</t>
  </si>
  <si>
    <t>57.63914,53.82053</t>
  </si>
  <si>
    <t>ОБЩЕСТВО С ОГРАНИЧЕННОЙ ОТВЕТСТВЕННОСТЬЮ "ДЕБЁСЫ БЕТОН"</t>
  </si>
  <si>
    <t xml:space="preserve"> "ДЕБЁСЫ БЕТОН"</t>
  </si>
  <si>
    <t>1828033670</t>
  </si>
  <si>
    <t>427060, Удмуртская Республика, ДЕБЁССКИЙ РАЙОН, С ДЕБЁСЫ, УЛ РАДИЩЕВА, ЗД. 28А</t>
  </si>
  <si>
    <t>Альбов Александр Всеволодович</t>
  </si>
  <si>
    <t>56.827311,53.13773</t>
  </si>
  <si>
    <t>ОБЩЕСТВО С ОГРАНИЧЕННОЙ ОТВЕТСТВЕННОСТЬЮ "ЭКО-ТРАНСПОРТ"</t>
  </si>
  <si>
    <t xml:space="preserve"> "ЭКО-ТРАНСПОРТ"</t>
  </si>
  <si>
    <t>1831179670</t>
  </si>
  <si>
    <t>426006, УДМУРТСКАЯ РЕСПУБЛИКА, Г ИЖЕВСК, УЛ ОРУЖЕЙНИКА ДРАГУНОВА,70..</t>
  </si>
  <si>
    <t>Фефилова Ольга Владимировна</t>
  </si>
  <si>
    <t>56.793474,53.189607</t>
  </si>
  <si>
    <t>ОБЩЕСТВО С ОГРАНИЧЕННОЙ ОТВЕТСТВЕННОСТЬЮ "АСП"</t>
  </si>
  <si>
    <t xml:space="preserve"> "АСП"</t>
  </si>
  <si>
    <t>1831180971</t>
  </si>
  <si>
    <t>426028, УДМУРТСКАЯ РЕСПУБЛИКА, Г ИЖЕВСК, УЛ ПОЙМА,34 ЛИТЕР А ЭТАЖ 2</t>
  </si>
  <si>
    <t>Каринцев Константин Владимирович</t>
  </si>
  <si>
    <t>+7 (950) 829-90-32'</t>
  </si>
  <si>
    <t>56.827488,53.109567</t>
  </si>
  <si>
    <t>ОБЩЕСТВО С ОГРАНИЧЕННОЙ ОТВЕТСТВЕННОСТЬЮ "СТРОИТЕЛЬ ПЛЮС БЕТОН"</t>
  </si>
  <si>
    <t xml:space="preserve"> "СТРОИТЕЛЬ ПЛЮС БЕТОН"</t>
  </si>
  <si>
    <t>1832044234</t>
  </si>
  <si>
    <t>Г ИЖЕВСК,ЖИВСОВХОЗ,47-В</t>
  </si>
  <si>
    <t>Капаев Олег Васильевич</t>
  </si>
  <si>
    <t>+7 (912) 744-25-51'</t>
  </si>
  <si>
    <t>56.805151,53.195653</t>
  </si>
  <si>
    <t>ОБЩЕСТВО С ОГРАНИЧЕННОЙ ОТВЕТСТВЕННОСТЬЮ "ИЖБЕТОН"</t>
  </si>
  <si>
    <t xml:space="preserve"> "ИЖБЕТОН"</t>
  </si>
  <si>
    <t>1832144454</t>
  </si>
  <si>
    <t>426028, УДМУРТСКАЯ РЕСПУБЛИКА, Г. ИЖЕВСК, УЛ. ПОЙМА, Д. 22, ОФИС 210</t>
  </si>
  <si>
    <t>Столбов Алексей Сергеевич</t>
  </si>
  <si>
    <t>+7 (912) 763-53-43'</t>
  </si>
  <si>
    <t>56.82471,53.19232</t>
  </si>
  <si>
    <t>1832152906</t>
  </si>
  <si>
    <t>426000, УДМУРТСКАЯ РЕСПУБЛИКА, Г ИЖЕВСК, УЛ ГОЛУБЛЕВА,6 Б ПОМЕЩЕНИЕ 1</t>
  </si>
  <si>
    <t>Климова Анна Анатольевна</t>
  </si>
  <si>
    <t>902333@bk.ru'</t>
  </si>
  <si>
    <t>56.81505,53.13366</t>
  </si>
  <si>
    <t>ОБЩЕСТВО С ОГРАНИЧЕННОЙ ОТВЕТСТВЕННОСТЬЮ ТОРГОВЫЙ ДОМ "БЕТОН"</t>
  </si>
  <si>
    <t xml:space="preserve"> ТОРГОВЫЙ ДОМ "БЕТОН"</t>
  </si>
  <si>
    <t>1832160625</t>
  </si>
  <si>
    <t>426010, УДМУРТСКАЯ РЕСП., Г. Ижевск, УЛ. ЯНТАРНАЯ, Д. 26</t>
  </si>
  <si>
    <t>Тюнин Федор Иванович</t>
  </si>
  <si>
    <t>58.149089,52.622312</t>
  </si>
  <si>
    <t>ОБЩЕСТВО С ОГРАНИЧЕННОЙ ОТВЕТСТВЕННОСТЬЮ "БРУК"</t>
  </si>
  <si>
    <t xml:space="preserve"> "БРУК"</t>
  </si>
  <si>
    <t>1837007250</t>
  </si>
  <si>
    <t>427624, УДМУРТСКАЯ РЕСПУБЛИКА, Г. ГЛАЗОВ, УЛ. КРЫЛОВА, Д.51 А</t>
  </si>
  <si>
    <t>Харитонцев Дмитрий Николаевич</t>
  </si>
  <si>
    <t>56.454085,53.806301</t>
  </si>
  <si>
    <t>ОБЩЕСТВО С ОГРАНИЧЕННОЙ ОТВЕТСТВЕННОСТЬЮ "ГЛАВСАРАПУЛБЕТОН"</t>
  </si>
  <si>
    <t xml:space="preserve"> "ГЛАВСАРАПУЛБЕТОН"</t>
  </si>
  <si>
    <t>1838024682</t>
  </si>
  <si>
    <t>427964, УДМУРТСКАЯ РЕСП., Г. Сарапул, УЛ. ВЫГОН, ЗД. 23 В, ОФИС 1</t>
  </si>
  <si>
    <t>Зеленина Екатерина Васильевна</t>
  </si>
  <si>
    <t>ОБЩЕСТВО С ОГРАНИЧЕННОЙ ОТВЕТСТВЕННОСТЬЮ "ТОРГОВЫЙ ДОМ ФЕЛИКС"</t>
  </si>
  <si>
    <t xml:space="preserve"> "ТОРГОВЫЙ ДОМ ФЕЛИКС"</t>
  </si>
  <si>
    <t>1840024383</t>
  </si>
  <si>
    <t>Г ИЖЕВСК,УЛ УДМУРТСКАЯ,159..</t>
  </si>
  <si>
    <t>Кочешкова Ольга Владимировна</t>
  </si>
  <si>
    <t>+7 (963) 541-34-75'</t>
  </si>
  <si>
    <t>56.892463,53.27519</t>
  </si>
  <si>
    <t>ОБЩЕСТВО С ОГРАНИЧЕННОЙ ОТВЕТСТВЕННОСТЬЮ "ТЕРМОПЛЮС"</t>
  </si>
  <si>
    <t xml:space="preserve"> "ТЕРМОПЛЮС"</t>
  </si>
  <si>
    <t>1840040579</t>
  </si>
  <si>
    <t>426039, УДМУРТСКАЯ РЕСПУБЛИКА, ГОРОД ИЖЕВСК, ВОТКИНСКОЕ ШОССЕ, ДОМ 168 А, ОФИС 4</t>
  </si>
  <si>
    <t>Лямин Павел Анатольевич</t>
  </si>
  <si>
    <t>+7 (912) 453-92-53'</t>
  </si>
  <si>
    <t>termobuh18@gmail.com'</t>
  </si>
  <si>
    <t>56.898677,53.336706</t>
  </si>
  <si>
    <t>ОБЩЕСТВО С ОГРАНИЧЕННОЙ ОТВЕТСТВЕННОСТЬЮ "УДМУРТБЕТОНСТРОЙ"</t>
  </si>
  <si>
    <t xml:space="preserve"> "УДМУРТБЕТОНСТРОЙ"</t>
  </si>
  <si>
    <t>1840071337</t>
  </si>
  <si>
    <t>426039, УДМУРТСКАЯ РЕСПУБЛИКА, Г ИЖЕВСК, ВОТКИНСКОЕ ШОССЕ,288 ЛИТЕР Б КАБИНЕТ 1</t>
  </si>
  <si>
    <t>Афанасьев Данила Анатольевич</t>
  </si>
  <si>
    <t>56.886263,53.309631</t>
  </si>
  <si>
    <t>ОБЩЕСТВО С ОГРАНИЧЕННОЙ ОТВЕТСТВЕННОСТЬЮ "АТЛАС СТРОЙ"</t>
  </si>
  <si>
    <t xml:space="preserve"> "АТЛАС СТРОЙ"</t>
  </si>
  <si>
    <t>1840087802</t>
  </si>
  <si>
    <t>426068, УДМУРТСКАЯ РЕСПУБЛИКА, Г ИЖЕВСК, УЛ АВТОЗАВОДСКАЯ,5 А ЛИТЕР К ОФИС 5</t>
  </si>
  <si>
    <t>Машковцев Михаил Федорович</t>
  </si>
  <si>
    <t>tk@yandex.ru'</t>
  </si>
  <si>
    <t>56.857426,53.253639</t>
  </si>
  <si>
    <t>ОБЩЕСТВО С ОГРАНИЧЕННОЙ ОТВЕТСТВЕННОСТЬЮ "УДМУРТСКАЯ СНАБЖЕНЧЕСКАЯ КОМПАНИЯ "АЗИНЛЫК"</t>
  </si>
  <si>
    <t xml:space="preserve"> "УДМУРТСКАЯ СНАБЖЕНЧЕСКАЯ КОМПАНИЯ "АЗИНЛЫК"</t>
  </si>
  <si>
    <t>1840107865</t>
  </si>
  <si>
    <t>426009, УДМУРТСКАЯ РЕСП., Г. Ижевск, УЛ. ЛАГЕРНАЯ, Д. 13</t>
  </si>
  <si>
    <t>Мохначева Юлия Олеговна</t>
  </si>
  <si>
    <t>AZINLIK@YANDEX.RU'</t>
  </si>
  <si>
    <t>56.84932,53.244961</t>
  </si>
  <si>
    <t>ОБЩЕСТВО С ОГРАНИЧЕННОЙ ОТВЕТСТВЕННОСТЬЮ "ПЕРВАЯ БЕТОНКА"</t>
  </si>
  <si>
    <t xml:space="preserve"> "ПЕРВАЯ БЕТОНКА"</t>
  </si>
  <si>
    <t>1840109069</t>
  </si>
  <si>
    <t>426009, Удмуртская Республика, ГОРОД ИЖЕВСК, Г ИЖЕВСК, УЛ ФРОНТОВАЯ, ЗД. 2</t>
  </si>
  <si>
    <t>Шишов Андрей Витальевич</t>
  </si>
  <si>
    <t>902333@BK.RU'</t>
  </si>
  <si>
    <t>56.840109,53.227283</t>
  </si>
  <si>
    <t>ОБЩЕСТВО С ОГРАНИЧЕННОЙ ОТВЕТСТВЕННОСТЬЮ "Бетон Мастер"</t>
  </si>
  <si>
    <t xml:space="preserve"> "Бетон Мастер"</t>
  </si>
  <si>
    <t>1841034560</t>
  </si>
  <si>
    <t>426004, Удмуртская Республика, г Ижевск, ул Удмуртская,199..</t>
  </si>
  <si>
    <t>Солодов Сергей Валерьевич</t>
  </si>
  <si>
    <t>56.781301,53.354224</t>
  </si>
  <si>
    <t>ОБЩЕСТВО С ОГРАНИЧЕННОЙ ОТВЕТСТВЕННОСТЬЮ "ПРОИЗВОДСТВЕННО-КОММЕРЧЕСКАЯ ФИРМА "ХОХРЯКОВСКИЙ БЕТОН"</t>
  </si>
  <si>
    <t xml:space="preserve"> "ПРОИЗВОДСТВЕННО-КОММЕРЧЕСКАЯ ФИРМА "ХОХРЯКОВСКИЙ БЕТОН"</t>
  </si>
  <si>
    <t>1841043822</t>
  </si>
  <si>
    <t>427000, УДМУРТСКАЯ РЕСПУБЛИКА, РАЙОН ЗАВЬЯЛОВСКИЙ, СЕЛО ЗАВЬЯЛОВО, УЛИЦА КЛЮЧЕВАЯ, ДОМ 16</t>
  </si>
  <si>
    <t>Зорин Алексей Георгиевич</t>
  </si>
  <si>
    <t>+7 (912) 748-58-89', '+7 (982) 991-86-89'</t>
  </si>
  <si>
    <t>egor@polus18.com'</t>
  </si>
  <si>
    <t>56.847247,53.206738</t>
  </si>
  <si>
    <t xml:space="preserve"> "ТРАНСБЕТОН"</t>
  </si>
  <si>
    <t>1841056331</t>
  </si>
  <si>
    <t>Г ИЖЕВСК,УЛ КРАСНОАРМЕЙСКАЯ,175..</t>
  </si>
  <si>
    <t>Карслян Андраник Размикович</t>
  </si>
  <si>
    <t>+7 (919) 919-85-88'</t>
  </si>
  <si>
    <t>56.851161,53.336275</t>
  </si>
  <si>
    <t>ОБЩЕСТВО С ОГРАНИЧЕННОЙ ОТВЕТСТВЕННОСТЬЮ "СИТИСТРОЙ"</t>
  </si>
  <si>
    <t xml:space="preserve"> "СИТИСТРОЙ"</t>
  </si>
  <si>
    <t>1841076909</t>
  </si>
  <si>
    <t>427006, УДМУРТСКАЯ РЕСПУБЛИКА, РАЙОН ЗАВЬЯЛОВСКИЙ, ДЕРЕВНЯ ЧЕМОШУР, МИКРОРАЙОН НИЖНИЙ, ДОМ 6</t>
  </si>
  <si>
    <t>Шутов Олег Аркадьевич</t>
  </si>
  <si>
    <t>+7 (982) 990-70-77'</t>
  </si>
  <si>
    <t>56.917652,53.316872</t>
  </si>
  <si>
    <t>ОБЩЕСТВО С ОГРАНИЧЕННОЙ ОТВЕТСТВЕННОСТЬЮ "ПРОИЗВОДСТВЕННАЯ КОМПАНИЯ "ТРАНСБЕТОН"</t>
  </si>
  <si>
    <t xml:space="preserve"> "ПРОИЗВОДСТВЕННАЯ КОМПАНИЯ "ТРАНСБЕТОН"</t>
  </si>
  <si>
    <t>1841083889</t>
  </si>
  <si>
    <t>427011, УДМУРТСКАЯ РЕСПУБЛИКА, ЗАВЬЯЛОВСКИЙ РАЙОН, ДЕРЕВНЯ ХОХРЯКИ, УЛИЦА ТРАКТОВАЯ, ДОМ 2А, ОФИС 3</t>
  </si>
  <si>
    <t>Карслян Марина Андраниковна</t>
  </si>
  <si>
    <t>56.828399,53.277984</t>
  </si>
  <si>
    <t>ОБЩЕСТВО С ОГРАНИЧЕННОЙ ОТВЕТСТВЕННОСТЬЮ "СТРОИТЕЛЬ ПЛЮС"</t>
  </si>
  <si>
    <t xml:space="preserve"> "СТРОИТЕЛЬ ПЛЮС"</t>
  </si>
  <si>
    <t>1841084297</t>
  </si>
  <si>
    <t>426027, УДМУРТСКАЯ РЕСПУБЛИКА, ГОРОД ИЖЕВСК, УЛИЦА МАРКИНА, ДОМ 197, КАБИНЕТ 11</t>
  </si>
  <si>
    <t>Тарасов Станислав Николаевич</t>
  </si>
  <si>
    <t>56.916089,53.322765</t>
  </si>
  <si>
    <t xml:space="preserve"> "А БЕТОН"</t>
  </si>
  <si>
    <t>1841093118</t>
  </si>
  <si>
    <t>427011, УДМУРТСКАЯ РЕСПУБЛИКА, ЗАВЬЯЛОВСКИЙ РАЙОН , Д ХОХРЯКИ, ГС К АВТОМОБИЛИСТ-1, Г. БОКС 2600, ОФИС 3</t>
  </si>
  <si>
    <t>Андреева Татьяна Андреевна</t>
  </si>
  <si>
    <t>53.710777,91.392261</t>
  </si>
  <si>
    <t>ОБЩЕСТВО С ОГРАНИЧЕННОЙ ОТВЕТСТВЕННОСТЬЮ "ЦЕМЕНТ-СЕРВИС"</t>
  </si>
  <si>
    <t xml:space="preserve"> "ЦЕМЕНТ-СЕРВИС"</t>
  </si>
  <si>
    <t>1901117743</t>
  </si>
  <si>
    <t>655008, ХАКАСИЯ РЕСПУБЛИКА, ГОРОД АБАКАН, УЛИЦА ИГАРСКАЯ, 10</t>
  </si>
  <si>
    <t>Бабич Алексей Сергеевич</t>
  </si>
  <si>
    <t>19cement@mail.ru', '19xes@mail.ru', 'hakasia@mail.ru', 'r248256@rambler.ru'</t>
  </si>
  <si>
    <t>53.108568,91.422903</t>
  </si>
  <si>
    <t>ОБЩЕСТВО С ОГРАНИЧЕННОЙ ОТВЕТСТВЕННОСТЬЮ "ВАМ"</t>
  </si>
  <si>
    <t xml:space="preserve"> "ВАМ"</t>
  </si>
  <si>
    <t>1902023015</t>
  </si>
  <si>
    <t>655600, ХАКАСИЯ РЕСПУБЛИКА, ГОРОД САЯНОГОРСК, УЛИЦА МЕЧТЫ, 1</t>
  </si>
  <si>
    <t>Воробьев Александр Михайлович</t>
  </si>
  <si>
    <t>43.277772,45.849311</t>
  </si>
  <si>
    <t>ОБЩЕСТВО С ОГРАНИЧЕННОЙ ОТВЕТСТВЕННОСТЬЮ "БСК-СТРОЙ"</t>
  </si>
  <si>
    <t xml:space="preserve"> "БСК-СТРОЙ"</t>
  </si>
  <si>
    <t>2014009381</t>
  </si>
  <si>
    <t>366000, ЧЕЧЕНСКАЯ РЕСП., Г. Аргун, УЛ. ОБЪЕЗДНАЯ, ЗД. 2, ОФИС 1</t>
  </si>
  <si>
    <t>Гаштыгов Ахьян Исмаилович</t>
  </si>
  <si>
    <t>+7 (928) 788-80-27', '+7 (928) 000-65-00'</t>
  </si>
  <si>
    <t>43.336217,45.708986</t>
  </si>
  <si>
    <t>ОБЩЕСТВО С ОГРАНИЧЕННОЙ ОТВЕТСТВЕННОСТЬЮ "ЮСКОМ"</t>
  </si>
  <si>
    <t xml:space="preserve"> "ЮСКОМ"</t>
  </si>
  <si>
    <t>2014020970</t>
  </si>
  <si>
    <t>364031, ЧЕЧЕНСКАЯ РЕСПУБЛИКА, ГОРОД ГРОЗНЫЙ, ПЕРЕУЛОК МИЧУРИНА 1-Й, ДОМ 38</t>
  </si>
  <si>
    <t>Юсупов Саелудин Галаниевич</t>
  </si>
  <si>
    <t>43.313302,45.723709</t>
  </si>
  <si>
    <t>ОБЩЕСТВО С ОГРАНИЧЕННОЙ ОТВЕТСТВЕННОСТЬЮ "АВАНТА"</t>
  </si>
  <si>
    <t xml:space="preserve"> "АВАНТА"</t>
  </si>
  <si>
    <t>2014031027</t>
  </si>
  <si>
    <t>364015, ЧЕЧЕНСКАЯ РЕСП., Г. Грозный, Б-Р СУЛТАНА ДУДАЕВА, Д. 20,..</t>
  </si>
  <si>
    <t>Умаров Махмуд Сайпиевич</t>
  </si>
  <si>
    <t>UMAROV678@MAIL.RU'</t>
  </si>
  <si>
    <t>55.854805,47.458257</t>
  </si>
  <si>
    <t>ОБЩЕСТВО С ОГРАНИЧЕННОЙ ОТВЕТСТВЕННОСТЬЮ "ШТАРКОМ"</t>
  </si>
  <si>
    <t xml:space="preserve"> "ШТАРКОМ"</t>
  </si>
  <si>
    <t>2115005979</t>
  </si>
  <si>
    <t>429900, ЧУВАШСКАЯ РЕСПУБЛИКА - ЧУВАШИЯ, Р-Н ЦИВИЛЬСКИЙ, Г. ЦИВИЛЬСК, УЛ. НИКОЛАЕВА, Д. 11В</t>
  </si>
  <si>
    <t>Гридасова Наталья Ивановна</t>
  </si>
  <si>
    <t>+7 (927) 667-08-37'</t>
  </si>
  <si>
    <t>55.769403,37.507897</t>
  </si>
  <si>
    <t>ОБЩЕСТВО С ОГРАНИЧЕННОЙ ОТВЕТСТВЕННОСТЬЮ "СТРОЙГРУПП"</t>
  </si>
  <si>
    <t xml:space="preserve"> "СТРОЙГРУПП"</t>
  </si>
  <si>
    <t>2123019654</t>
  </si>
  <si>
    <t>123308, МОСКВА ГОРОД, ПРОЕЗД 2-Й СИЛИКАТНЫЙ, ДОМ 14, КОРПУС 2 СТР 14, ЭТ 3 КАБ 3</t>
  </si>
  <si>
    <t>Михайлов Анатолий Александрович</t>
  </si>
  <si>
    <t>56.517981,85.018481</t>
  </si>
  <si>
    <t>ОБЩЕСТВО С ОГРАНИЧЕННОЙ ОТВЕТСТВЕННОСТЬЮ БСУ "ТОП БЕТОН"</t>
  </si>
  <si>
    <t xml:space="preserve"> БСУ "ТОП БЕТОН"</t>
  </si>
  <si>
    <t>2124041780</t>
  </si>
  <si>
    <t>634015, ТОМСКАЯ ОБЛАСТЬ, ГОРОД ТОМСК, УЛИЦА ЭНЕРГЕТИЧЕСКАЯ, ДОМ 6А, ОФИС 214</t>
  </si>
  <si>
    <t>Кузьменко Иван Сергеевич</t>
  </si>
  <si>
    <t>+7 (913) 853-51-21'</t>
  </si>
  <si>
    <t>bsutopbeton@gmail.com'</t>
  </si>
  <si>
    <t>ОБЩЕСТВО С ОГРАНИЧЕННОЙ ОТВЕТСТВЕННОСТЬЮ "НАУЧНО-ПРОИЗВОДСТВЕННОЕ ОБЪЕДИНЕНИЕ "ЦЕНТР БЕТОНА"</t>
  </si>
  <si>
    <t xml:space="preserve"> "НАУЧНО-ПРОИЗВОДСТВЕННОЕ ОБЪЕДИНЕНИЕ "ЦЕНТР БЕТОНА"</t>
  </si>
  <si>
    <t>2124042952</t>
  </si>
  <si>
    <t>429965, ЧУВАШСКАЯ РЕСПУБЛИКА - ЧУВАШИЯ, Г. НОВОЧЕБОКСАРСК, УЛ. ПРОМЫШЛЕННАЯ, Д. 73, К. 1, ОФИС 311Б</t>
  </si>
  <si>
    <t>Иванова Ирина Сергеевна</t>
  </si>
  <si>
    <t>+7 (905) 334-45-10'</t>
  </si>
  <si>
    <t>nvplast21@mail.ru', 'cbetona@mail.ru'</t>
  </si>
  <si>
    <t>56.101082,47.478307</t>
  </si>
  <si>
    <t xml:space="preserve"> "МИР БЕТОНА"</t>
  </si>
  <si>
    <t>2124048496</t>
  </si>
  <si>
    <t>429965, ЧУВАШСКАЯ РЕСПУБЛИКА - ЧУВАШИЯ, Г. Новочебоксарск, УЛ. КОММУНАЛЬНАЯ, ВЛД. 6, ОФИС 2</t>
  </si>
  <si>
    <t>Егоров Роман Иванович</t>
  </si>
  <si>
    <t>MIRBETONA79@YANDEX.RU'</t>
  </si>
  <si>
    <t>56.116041,47.179698</t>
  </si>
  <si>
    <t>ОБЩЕСТВО С ОГРАНИЧЕННОЙ ОТВЕТСТВЕННОСТЬЮ "СПЕЦИАЛИЗИРОВАННЫЙ ЗАСТРОЙЩИК "СТРОИТЕЛЬНАЯ КОМПАНИЯ "СТАРАТЕЛЬ"</t>
  </si>
  <si>
    <t xml:space="preserve"> "СПЕЦИАЛИЗИРОВАННЫЙ ЗАСТРОЙЩИК "СТРОИТЕЛЬНАЯ КОМПАНИЯ "СТАРАТЕЛЬ"</t>
  </si>
  <si>
    <t>2129046654</t>
  </si>
  <si>
    <t>Г ЧЕБОКСАРЫ,УЛ ЭНТУЗИАСТОВ, 38/8-262</t>
  </si>
  <si>
    <t>Владимиров Анатолий Юрьевич</t>
  </si>
  <si>
    <t>55.56052,47.394234</t>
  </si>
  <si>
    <t>ОБЩЕСТВО С ОГРАНИЧЕННОЙ ОТВЕТСТВЕННОСТЬЮ "ПРОМРЕМСТРОЙ"</t>
  </si>
  <si>
    <t xml:space="preserve"> "ПРОМРЕМСТРОЙ"</t>
  </si>
  <si>
    <t>2129048891</t>
  </si>
  <si>
    <t>ЧУВАШСКАЯ РЕСПУБЛИКА - ЧУВАШИЯ,КАНАШСКИЙ Р-Н,С ШИХАЗАНЫ,УЛ 30 ЛЕТ ЧУВАШИИ, Д 2</t>
  </si>
  <si>
    <t>Зефиров Михаил Николаевич</t>
  </si>
  <si>
    <t>56.113396,47.241035</t>
  </si>
  <si>
    <t>ОБЩЕСТВО С ОГРАНИЧЕННОЙ ОТВЕТСТВЕННОСТЬЮ "ВОЛГА-М"</t>
  </si>
  <si>
    <t xml:space="preserve"> "ВОЛГА-М"</t>
  </si>
  <si>
    <t>2130054201</t>
  </si>
  <si>
    <t>428020, ЧУВАШСКАЯ РЕСПУБЛИКА - ЧУВАШИЯ, Г. ЧЕБОКСАРЫ, УЛ. СТРОИТЕЛЕЙ, Д. 5, ПОМЕЩ. 12</t>
  </si>
  <si>
    <t>Беляев Евгений Анатольевич</t>
  </si>
  <si>
    <t>+7 (835) 236-37-74'</t>
  </si>
  <si>
    <t>56.068198,47.244853</t>
  </si>
  <si>
    <t>ОБЩЕСТВО С ОГРАНИЧЕННОЙ ОТВЕТСТВЕННОСТЬЮ "РУСЬСТРОЙ"</t>
  </si>
  <si>
    <t xml:space="preserve"> "РУСЬСТРОЙ"</t>
  </si>
  <si>
    <t>2130135771</t>
  </si>
  <si>
    <t>428000, Чувашская Республика - Чувашия, г Чебоксары, проезд Лапсарский, д 33"А"</t>
  </si>
  <si>
    <t>Мешков Александр Вадимович</t>
  </si>
  <si>
    <t>+7 (902) 240-35-54'</t>
  </si>
  <si>
    <t>russtroy121@mail.ru'</t>
  </si>
  <si>
    <t>56.125671,47.327714</t>
  </si>
  <si>
    <t>ОБЩЕСТВО С ОГРАНИЧЕННОЙ ОТВЕТСТВЕННОСТЬЮ "ТОРГОВО-ПРОИЗВОДСТВЕННАЯ КОМПАНИЯ "ЖЕЛЕЗОБЕТОННЫХ ИЗДЕЛИЙ"</t>
  </si>
  <si>
    <t xml:space="preserve"> "ТОРГОВО-ПРОИЗВОДСТВЕННАЯ КОМПАНИЯ "ЖЕЛЕЗОБЕТОННЫХ ИЗДЕЛИЙ"</t>
  </si>
  <si>
    <t>2130193928</t>
  </si>
  <si>
    <t>428003, ЧУВАШСКАЯ РЕСПУБЛИКА - ЧУВАШИЯ, Г. ЧЕБОКСАРЫ, Ш. МАРПОСАДСКОЕ, Д. 26, ОФИС 6</t>
  </si>
  <si>
    <t>Орлов Сергей Ростиславович</t>
  </si>
  <si>
    <t>+7 (960) 302-84-60'</t>
  </si>
  <si>
    <t>56.07164,47.240541</t>
  </si>
  <si>
    <t>ОБЩЕСТВО С ОГРАНИЧЕННОЙ ОТВЕТСТВЕННОСТЬЮ "МОНОЛИТ-ГРУПП"</t>
  </si>
  <si>
    <t xml:space="preserve"> "МОНОЛИТ-ГРУПП"</t>
  </si>
  <si>
    <t>2130200300</t>
  </si>
  <si>
    <t>428903, ЧУВАШСКАЯ РЕСПУБЛИКА - ЧУВАШИЯ, ГОРОД ЧЕБОКСАРЫ, ПРОЕЗД ЛАПСАРСКИЙ, ДОМ 20 В, ПОМЕЩЕНИЕ 1</t>
  </si>
  <si>
    <t>Муравьев Роман Игоревич</t>
  </si>
  <si>
    <t>+7 (961) 348-46-86'</t>
  </si>
  <si>
    <t>efimova@ak-21'</t>
  </si>
  <si>
    <t>56.06751,47.281253</t>
  </si>
  <si>
    <t xml:space="preserve"> "ТОРГБЕТОН"</t>
  </si>
  <si>
    <t>2130206221</t>
  </si>
  <si>
    <t>428026, ЧУВАШСКАЯ РЕСПУБЛИКА - ЧУВАШИЯ, ГОРОД ЧЕБОКСАРЫ, УЛИЦА БОЛГАРСТРОЯ, ДОМ 11,..</t>
  </si>
  <si>
    <t>Чернов Николай Владимирович</t>
  </si>
  <si>
    <t>+7 (927) 852-91-58'</t>
  </si>
  <si>
    <t xml:space="preserve"> "РАДУГА"</t>
  </si>
  <si>
    <t>2130215280</t>
  </si>
  <si>
    <t>428020, ЧУВАШСКАЯ РЕСПУБЛИКА - ЧУВАШИЯ, ГОРОД ЧЕБОКСАРЫ, ПРОЕЗД БАЗОВЫЙ, ДОМ 3, ПОМЕЩЕНИЕ/КАБИНЕТ 2/3</t>
  </si>
  <si>
    <t>Абрамян Карен Павлушевич</t>
  </si>
  <si>
    <t>raduga_21@mail.ru'</t>
  </si>
  <si>
    <t>56.080778,47.280786</t>
  </si>
  <si>
    <t>ОБЩЕСТВО С ОГРАНИЧЕННОЙ ОТВЕТСТВЕННОСТЬЮ "ЧЕБ-БЕТОН"</t>
  </si>
  <si>
    <t xml:space="preserve"> "ЧЕБ-БЕТОН"</t>
  </si>
  <si>
    <t>2130229878</t>
  </si>
  <si>
    <t>428014, Чувашская Республика - Чувашия, ГОРОД ЧЕБОКСАРЫ, Г ЧЕБОКСАРЫ, УЛ ВОЛКОВА, Д. 8</t>
  </si>
  <si>
    <t>Михайлов Алексей Александрович</t>
  </si>
  <si>
    <t>51.992705,84.963764</t>
  </si>
  <si>
    <t>ОБЩЕСТВО С ОГРАНИЧЕННОЙ ОТВЕТСТВЕННОСТЬЮ "АСПЕКТСТРОЙ"</t>
  </si>
  <si>
    <t xml:space="preserve"> "АСПЕКТСТРОЙ"</t>
  </si>
  <si>
    <t>2203001846</t>
  </si>
  <si>
    <t>659900, АЛТАЙСКИЙ КРАЙ, Г. БЕЛОКУРИХА, УЛ. ВИНОГРАДНАЯ, Д. 8</t>
  </si>
  <si>
    <t>Тырышкин Геннадий Васильевич</t>
  </si>
  <si>
    <t>valentina2203@mail.ru'</t>
  </si>
  <si>
    <t>ОБЩЕСТВО С ОГРАНИЧЕННОЙ ОТВЕТСТВЕННОСТЬЮ "СИБТРЕЙД"</t>
  </si>
  <si>
    <t xml:space="preserve"> "СИБТРЕЙД"</t>
  </si>
  <si>
    <t>2204073642</t>
  </si>
  <si>
    <t>659300, АЛТАЙСКИЙ КРАЙ, ГОРОД БИЙСК, УЛИЦА МИХАИЛА КУТУЗОВА, ДОМ 11/2,..</t>
  </si>
  <si>
    <t>Белоусов Игорь Алексеевич</t>
  </si>
  <si>
    <t>+7 (963) 539-50-71', '+7 (903) 958-50-42'</t>
  </si>
  <si>
    <t>52.534252,85.249824</t>
  </si>
  <si>
    <t>ОБЩЕСТВО С ОГРАНИЧЕННОЙ ОТВЕТСТВЕННОСТЬЮ "БИЙСКАЯ СТРОИТЕЛЬНАЯ КОМПАНИЯ №1"</t>
  </si>
  <si>
    <t xml:space="preserve"> "БИЙСКАЯ СТРОИТЕЛЬНАЯ КОМПАНИЯ №1"</t>
  </si>
  <si>
    <t>2204093328</t>
  </si>
  <si>
    <t>659330, АЛТАЙСКИЙ КРАЙ, Г. Бийск, ПЕР. КРАСНОЯРСКИЙ, Д. 30/5,..</t>
  </si>
  <si>
    <t>Овсепян Артур Серёжаевич</t>
  </si>
  <si>
    <t>53.387431,83.975995</t>
  </si>
  <si>
    <t>ОБЩЕСТВО С ОГРАНИЧЕННОЙ ОТВЕТСТВЕННОСТЬЮ "БЕТОН-ГРАД"</t>
  </si>
  <si>
    <t xml:space="preserve"> "БЕТОН-ГРАД"</t>
  </si>
  <si>
    <t>2208016194</t>
  </si>
  <si>
    <t>658083, АЛТАЙСКИЙ КРАЙ, ГОРОД НОВОАЛТАЙСК, УЛИЦА П.КОРЧАГИНА, 11</t>
  </si>
  <si>
    <t>Павлов Владимир Петрович</t>
  </si>
  <si>
    <t>55.053021,82.883608</t>
  </si>
  <si>
    <t>ОБЩЕСТВО С ОГРАНИЧЕННОЙ ОТВЕТСТВЕННОСТЬЮ СИБИРСКАЯ СТРОИТЕЛЬНАЯ КОМПАНИЯ "БЕТОН"</t>
  </si>
  <si>
    <t xml:space="preserve"> СИБИРСКАЯ СТРОИТЕЛЬНАЯ КОМПАНИЯ "БЕТОН"</t>
  </si>
  <si>
    <t>2221210017</t>
  </si>
  <si>
    <t>630001, НОВОСИБИРСКАЯ ОБЛАСТЬ, Г НОВОСИБИРСК, УЛ ТИМИРЯЗЕВА, 2 ПОМЕЩ 8</t>
  </si>
  <si>
    <t>Быкова Ольга Сергеевна</t>
  </si>
  <si>
    <t>+7 (983) 356-09-07'</t>
  </si>
  <si>
    <t>53.349628,83.691534</t>
  </si>
  <si>
    <t>ОБЩЕСТВО С ОГРАНИЧЕННОЙ ОТВЕТСТВЕННОСТЬЮ "Бетон-Сибирь"</t>
  </si>
  <si>
    <t xml:space="preserve"> "Бетон-Сибирь"</t>
  </si>
  <si>
    <t>2222780098</t>
  </si>
  <si>
    <t>656066, АЛТАЙСКИЙ КРАЙ, ГОРОД БАРНАУЛ, УЛИЦА 50 ЛЕТ СССР, 3</t>
  </si>
  <si>
    <t>Тамразян Марат Сервантесович</t>
  </si>
  <si>
    <t>+7 (905) 983-82-63', '+7 (923) 653-33-55', '+7 (913) 228-97-46'</t>
  </si>
  <si>
    <t xml:space="preserve"> "КОМБИНАТ СТРОИТЕЛЬНЫХ КОНСТРУКЦИЙ"</t>
  </si>
  <si>
    <t>2222805962</t>
  </si>
  <si>
    <t>656905, АЛТАЙСКИЙ КРАЙ, ГОРОД БАРНАУЛ, ПРОЕЗД ЮЖНЫЙ, 43Е</t>
  </si>
  <si>
    <t>Рожков Юрий Владимирович</t>
  </si>
  <si>
    <t>+7 (495) 120-19-78'</t>
  </si>
  <si>
    <t>test@test.ru'</t>
  </si>
  <si>
    <t>ОБЩЕСТВО С ОГРАНИЧЕННОЙ ОТВЕТСТВЕННОСТЬЮ "БАРНАУЛЬСКАЯ БЕТОННАЯ КОМПАНИЯ"</t>
  </si>
  <si>
    <t xml:space="preserve"> "БАРНАУЛЬСКАЯ БЕТОННАЯ КОМПАНИЯ"</t>
  </si>
  <si>
    <t>2222823489</t>
  </si>
  <si>
    <t>656922, АЛТАЙСКИЙ КРАЙ, ГОРОД БАРНАУЛ, УЛИЦА ПОПОВА, ДОМ 252В, ОФИС 302</t>
  </si>
  <si>
    <t>Володин Денис Юрьевич</t>
  </si>
  <si>
    <t>bbkbeton@mail.ru'</t>
  </si>
  <si>
    <t>53.333086,83.70023</t>
  </si>
  <si>
    <t>ОБЩЕСТВО С ОГРАНИЧЕННОЙ ОТВЕТСТВЕННОСТЬЮ "БЕТОН-ЦЕНТР"</t>
  </si>
  <si>
    <t xml:space="preserve"> "БЕТОН-ЦЕНТР"</t>
  </si>
  <si>
    <t>2222824370</t>
  </si>
  <si>
    <t>656006, АЛТАЙСКИЙ КРАЙ, Г. БАРНАУЛ, УЛ. ГРИДАСОВА, Д.28</t>
  </si>
  <si>
    <t>Шурмаров Анатолий Пимонович</t>
  </si>
  <si>
    <t>+7 (962) 803-88-55'</t>
  </si>
  <si>
    <t>53.366224,83.703752</t>
  </si>
  <si>
    <t>ОБЩЕСТВО С ОГРАНИЧЕННОЙ ОТВЕТСТВЕННОСТЬЮ "БЕТОН ПРОФИ"</t>
  </si>
  <si>
    <t xml:space="preserve"> "БЕТОН ПРОФИ"</t>
  </si>
  <si>
    <t>2222830599</t>
  </si>
  <si>
    <t>Г БАРНАУЛ,УЛ МАЛАХОВА, Д 62</t>
  </si>
  <si>
    <t>Голенищев Евгений Сергеевич</t>
  </si>
  <si>
    <t>53.322851,83.631195</t>
  </si>
  <si>
    <t>ОБЩЕСТВО С ОГРАНИЧЕННОЙ ОТВЕТСТВЕННОСТЬЮ "АЛТГРУПП"</t>
  </si>
  <si>
    <t xml:space="preserve"> "АЛТГРУПП"</t>
  </si>
  <si>
    <t>2222851670</t>
  </si>
  <si>
    <t>656922, АЛТАЙСКИЙ КРАЙ, Г. БАРНАУЛ, УЛ. ПОПОВА, Д. 252А</t>
  </si>
  <si>
    <t>Комягин Алексей Юрьевич</t>
  </si>
  <si>
    <t>+7 (923) 713-81-65', '+7 (902) 998-00-86'</t>
  </si>
  <si>
    <t>53.340769,83.697688</t>
  </si>
  <si>
    <t>ОБЩЕСТВО С ОГРАНИЧЕННОЙ ОТВЕТСТВЕННОСТЬЮ "БЕТОННО-РАСТВОРНЫЙ УЗЕЛ №1"</t>
  </si>
  <si>
    <t xml:space="preserve"> "БЕТОННО-РАСТВОРНЫЙ УЗЕЛ №1"</t>
  </si>
  <si>
    <t>2222876089</t>
  </si>
  <si>
    <t>656066, Алтайский край, городской округ ГОРОД БАРНАУЛ, Город БАРНАУЛ, УЛ МАЛАХОВА, Д. 119, ПОМЕЩ. Н3</t>
  </si>
  <si>
    <t>Чистяков Денис Сергеевич</t>
  </si>
  <si>
    <t>53.381856,83.707003</t>
  </si>
  <si>
    <t>ОБЩЕСТВО С ОГРАНИЧЕННОЙ ОТВЕТСТВЕННОСТЬЮ "АВМ-БЕТОН"</t>
  </si>
  <si>
    <t xml:space="preserve"> "АВМ-БЕТОН"</t>
  </si>
  <si>
    <t>2223626500</t>
  </si>
  <si>
    <t>656023, АЛТАЙСКИЙ КРАЙ, ГОРОД БАРНАУЛ, УЛИЦА ГЕРМАНА ТИТОВА, ДОМ 35А, ОФИС 14</t>
  </si>
  <si>
    <t>Вельш Виктор Иванович</t>
  </si>
  <si>
    <t>53.391126,83.69272</t>
  </si>
  <si>
    <t xml:space="preserve"> "КРОНА"</t>
  </si>
  <si>
    <t>2223628392</t>
  </si>
  <si>
    <t>656023, АЛТАЙСКИЙ КРАЙ, Г. БАРНАУЛ, ПР-КТ КОСМОНАВТОВ, Д. 14/7Г, ОФИС 6</t>
  </si>
  <si>
    <t>Уваров Вячеслав Владимирович</t>
  </si>
  <si>
    <t>com@yandex.ru'</t>
  </si>
  <si>
    <t>53.370946,83.685076</t>
  </si>
  <si>
    <t xml:space="preserve"> "БЕТОН-М"</t>
  </si>
  <si>
    <t>2224177470</t>
  </si>
  <si>
    <t>Г БАРНАУЛ,УЛ ЮРИНА, Д 204Б</t>
  </si>
  <si>
    <t>Старцев Максим Яковлевич</t>
  </si>
  <si>
    <t>+7 (929) 346-83-29'</t>
  </si>
  <si>
    <t>53.38306,83.730944</t>
  </si>
  <si>
    <t>ОБЩЕСТВО С ОГРАНИЧЕННОЙ ОТВЕТСТВЕННОСТЬЮ «БЕТОН СИБИРИ»</t>
  </si>
  <si>
    <t xml:space="preserve"> «БЕТОН СИБИРИ»</t>
  </si>
  <si>
    <t>2224211570</t>
  </si>
  <si>
    <t>656023, Алтайский край, ГОРОД БАРНАУЛ, Г БАРНАУЛ, УЛ ГЕРМАНА ТИТОВА, Д. 7</t>
  </si>
  <si>
    <t>Серый Максим Геннадьевич</t>
  </si>
  <si>
    <t>BETONSIBIRI@MAIL.RU'</t>
  </si>
  <si>
    <t>53.372435,83.685992</t>
  </si>
  <si>
    <t>ОБЩЕСТВО С ОГРАНИЧЕННОЙ ОТВЕТСТВЕННОСТЬЮ "АЛТАЙСКИЙ ЗАВОД ЖБИ"</t>
  </si>
  <si>
    <t xml:space="preserve"> "АЛТАЙСКИЙ ЗАВОД ЖБИ"</t>
  </si>
  <si>
    <t>2225148842</t>
  </si>
  <si>
    <t>656019, АЛТАЙСКИЙ КРАЙ, ГОРОД БАРНАУЛ, УЛИЦА ЮРИНА, ДОМ 204Г</t>
  </si>
  <si>
    <t>Субботин Максим Юрьевич</t>
  </si>
  <si>
    <t>+7 (913) 210-60-69', '+7 (983) 356-03-28'</t>
  </si>
  <si>
    <t>azgbi22@mail.ru'</t>
  </si>
  <si>
    <t>53.334365,83.775617</t>
  </si>
  <si>
    <t>ОБЩЕСТВО С ОГРАНИЧЕННОЙ ОТВЕТСТВЕННОСТЬЮ "БЕТКОМСЕРВИС"</t>
  </si>
  <si>
    <t xml:space="preserve"> "БЕТКОМСЕРВИС"</t>
  </si>
  <si>
    <t>2225169176</t>
  </si>
  <si>
    <t>656049, АЛТАЙСКИЙ КРАЙ, Г. БАРНАУЛ, УЛ. ПРОЛЕТАРСКАЯ, Д. 139, ОФИС 502</t>
  </si>
  <si>
    <t>Дрожжин Андрей Сергеевич</t>
  </si>
  <si>
    <t>auditmb@mail.ru'</t>
  </si>
  <si>
    <t>53.316095,83.762834</t>
  </si>
  <si>
    <t>ОБЩЕСТВО С ОГРАНИЧЕННОЙ ОТВЕТСТВЕННОСТЬЮ "ГРУППА КОМПАНИЙ БЕТОН СИБИРИ"</t>
  </si>
  <si>
    <t xml:space="preserve"> "ГРУППА КОМПАНИЙ БЕТОН СИБИРИ"</t>
  </si>
  <si>
    <t>2225214580</t>
  </si>
  <si>
    <t>656003, АЛТАЙСКИЙ КРАЙ, ГОРОД БАРНАУЛ, УЛИЦА МАМОНТОВА, ДОМ 307Б</t>
  </si>
  <si>
    <t>Коталевская Татьяна Максимовна</t>
  </si>
  <si>
    <t>53.295885,83.011411</t>
  </si>
  <si>
    <t>ОБЩЕСТВО С ОГРАНИЧЕННОЙ ОТВЕТСТВЕННОСТЬЮ "ПАВЛОВСКИЙ БЕТОННЫЙ ЗАВОД"</t>
  </si>
  <si>
    <t xml:space="preserve"> "ПАВЛОВСКИЙ БЕТОННЫЙ ЗАВОД"</t>
  </si>
  <si>
    <t>2261009604</t>
  </si>
  <si>
    <t>659000, АЛТАЙСКИЙ КРАЙ, Р-Н ПАВЛОВСКИЙ, С ПАВЛОВСК, УЛ. ЦЕНТРАЛЬНАЯ, Д. 1Л</t>
  </si>
  <si>
    <t>Бикмаев Станислав Викторович</t>
  </si>
  <si>
    <t>53.231829,82.724795</t>
  </si>
  <si>
    <t>ОБЩЕСТВО С ОГРАНИЧЕННОЙ ОТВЕТСТВЕННОСТЬЮ БЕТОННЫЙ ЗАВОД "ПАВЛОВСКИЙ"</t>
  </si>
  <si>
    <t xml:space="preserve"> БЕТОННЫЙ ЗАВОД "ПАВЛОВСКИЙ"</t>
  </si>
  <si>
    <t>2261010310</t>
  </si>
  <si>
    <t>659019, АЛТАЙСКИЙ КРАЙ, РАЙОН ПАВЛОВСКИЙ, ПОСЕЛОК БУРАНОВКА, УЛИЦА МОЛОДЕЖНАЯ, ДОМ 21,..</t>
  </si>
  <si>
    <t>Васильев Анатолий Николаевич</t>
  </si>
  <si>
    <t>53.815601,83.55809</t>
  </si>
  <si>
    <t xml:space="preserve"> "АРКАДА"</t>
  </si>
  <si>
    <t>2277017294</t>
  </si>
  <si>
    <t>658030, АЛТАЙСКИЙ КРАЙ, РАЙОН ТАЛЬМЕНСКИЙ, РАБОЧИЙ ПОСЕЛОК ТАЛЬМЕНКА, УЛИЦА АЛТАЙСКАЯ, ДОМ 8</t>
  </si>
  <si>
    <t>Слюсарев Константин Николаевич</t>
  </si>
  <si>
    <t>52.55537,85.297884</t>
  </si>
  <si>
    <t>ОБЩЕСТВО С ОГРАНИЧЕННОЙ ОТВЕТСТВЕННОСТЬЮ "Дружба"</t>
  </si>
  <si>
    <t xml:space="preserve"> "Дружба"</t>
  </si>
  <si>
    <t>2287006140</t>
  </si>
  <si>
    <t>659304, АЛТАЙСКИЙ КРАЙ, Г. Бийск, УЛ. ЛЬНОКОМБИНАТ, Д. 15Г,..</t>
  </si>
  <si>
    <t>Любимов Валерий Николаевич</t>
  </si>
  <si>
    <t>+7 (929) 328-77-31'</t>
  </si>
  <si>
    <t>ОБЩЕСТВО С ОГРАНИЧЕННОЙ ОТВЕТСТВЕННОСТЬЮ " КОНТУР - 7 "</t>
  </si>
  <si>
    <t xml:space="preserve"> " КОНТУР - 7 "</t>
  </si>
  <si>
    <t>2301041798</t>
  </si>
  <si>
    <t>Дранникова Светлана Сергеевна</t>
  </si>
  <si>
    <t>44.62878,40.082594</t>
  </si>
  <si>
    <t>ОБЩЕСТВО С ОГРАНИЧЕННОЙ ОТВЕТСТВЕННОСТЬЮ " МАГНАТ-БЕТОН "</t>
  </si>
  <si>
    <t xml:space="preserve"> " МАГНАТ-БЕТОН "</t>
  </si>
  <si>
    <t>2301064516</t>
  </si>
  <si>
    <t>385009, АДЫГЕЯ РЕСПУБЛИКА, ГОРОД МАЙКОП, УЛИЦА СВОБОДЫ, 419, А, 41</t>
  </si>
  <si>
    <t>Бжецева Асьят Бязруковна</t>
  </si>
  <si>
    <t>+7 (918) 314-00-00'</t>
  </si>
  <si>
    <t>44.962244,37.316619</t>
  </si>
  <si>
    <t>ОБЩЕСТВО С ОГРАНИЧЕННОЙ ОТВЕТСТВЕННОСТЬЮ "АНАПА-БЕТОН"</t>
  </si>
  <si>
    <t xml:space="preserve"> "АНАПА-БЕТОН"</t>
  </si>
  <si>
    <t>2301068077</t>
  </si>
  <si>
    <t>353456, КРАСНОДАРСКИЙ КРАЙ, РАЙОН АНАПСКИЙ, ГОРОД АНАПА, ПРОЕЗД ИНДУСТРИАЛЬНЫЙ, ДОМ 11, КОРПУС А</t>
  </si>
  <si>
    <t>Петриди Георгий Петрович</t>
  </si>
  <si>
    <t>44.877454,37.316691</t>
  </si>
  <si>
    <t>ОБЩЕСТВО С ОГРАНИЧЕННОЙ ОТВЕТСТВЕННОСТЬЮ "БЕТОНЮГ"</t>
  </si>
  <si>
    <t xml:space="preserve"> "БЕТОНЮГ"</t>
  </si>
  <si>
    <t>2301092471</t>
  </si>
  <si>
    <t>353454, КРАСНОДАРСКИЙ КРАЙ, Р-Н АНАПСКИЙ, Г. АНАПА, УЛ. ИВАНА ГОЛУБЦА, Д. 105</t>
  </si>
  <si>
    <t>ДИРЕКТОР Йованович Андреа</t>
  </si>
  <si>
    <t>Betonyug2017@yandex.ru', 'Betonyug2017@yandex.ru'</t>
  </si>
  <si>
    <t>44.892289,37.312828</t>
  </si>
  <si>
    <t>ОБЩЕСТВО С ОГРАНИЧЕННОЙ ОТВЕТСТВЕННОСТЬЮ "ПМК АЛЬФА"</t>
  </si>
  <si>
    <t xml:space="preserve"> "ПМК АЛЬФА"</t>
  </si>
  <si>
    <t>2301104230</t>
  </si>
  <si>
    <t>353440, Краснодарский край, городской округ ГОРОД-КУРОРТ АНАПА, Город АНАПА, УЛ КРЫМСКАЯ, Д. 77, ОФИС 1</t>
  </si>
  <si>
    <t>Бушман Александр</t>
  </si>
  <si>
    <t>45.007482,41.127793</t>
  </si>
  <si>
    <t>ЗАКРЫТОЕ "АРМАВИРСКАЯ ПРОМЫШЛЕННАЯ КОМПАНИЯ"</t>
  </si>
  <si>
    <t>2302055627</t>
  </si>
  <si>
    <t>352901, КРАСНОДАРСКИЙ КРАЙ, АРМАВИР Г, МАРШАЛА ЖУКОВА УЛ, 56</t>
  </si>
  <si>
    <t>Оганесян Ашот Скрябинович</t>
  </si>
  <si>
    <t>+7 (918) 188-91-69'</t>
  </si>
  <si>
    <t>ОБЩЕСТВО С ОГРАНИЧЕННОЙ ОТВЕТСТВЕННОСТЬЮ "Блок-ЖБИ"</t>
  </si>
  <si>
    <t xml:space="preserve"> "Блок-ЖБИ"</t>
  </si>
  <si>
    <t>2302064558</t>
  </si>
  <si>
    <t>352932, КРАСНОДАРСКИЙ КРАЙ, Г. АРМАВИР, УЛ. СОВЕТСКОЙ АРМИИ, Д.97,..</t>
  </si>
  <si>
    <t>Безребров Николай Георгиевич</t>
  </si>
  <si>
    <t>+7 (988) 379-86-80'</t>
  </si>
  <si>
    <t>44.574003,38.09306</t>
  </si>
  <si>
    <t>ОБЩЕСТВО С ОГРАНИЧЕННОЙ ОТВЕТСТВЕННОСТЬЮ ПРОИЗВОДСТВЕННАЯ КОМПАНИЯ "БЕТОН-СЕРВИС"</t>
  </si>
  <si>
    <t xml:space="preserve"> ПРОИЗВОДСТВЕННАЯ КОМПАНИЯ "БЕТОН-СЕРВИС"</t>
  </si>
  <si>
    <t>2304064747</t>
  </si>
  <si>
    <t>353477, КРАСНОДАРСКИЙ КРАЙ, Г. ГЕЛЕНДЖИК, УЛ. МОСТОВАЯ, Д.1</t>
  </si>
  <si>
    <t>Овчинников Александр Александрович</t>
  </si>
  <si>
    <t>+7 (928) 847-61-76'</t>
  </si>
  <si>
    <t>INGURI@INGURI.RU', 'inguri@inguri.ru'</t>
  </si>
  <si>
    <t>45.057492,38.97384</t>
  </si>
  <si>
    <t>ОБЩЕСТВО С ОГРАНИЧЕННОЙ ОТВЕТСТВЕННОСТЬЮ "БЕТОН-СТРОЙКОМ"</t>
  </si>
  <si>
    <t xml:space="preserve"> "БЕТОН-СТРОЙКОМ"</t>
  </si>
  <si>
    <t>2308141255</t>
  </si>
  <si>
    <t>350020, Краснодарский край, городской округ ГОРОД КРАСНОДАР, Город КРАСНОДАР, УЛ РАШПИЛЕВСКАЯ, Д. 263, ОФИС 3</t>
  </si>
  <si>
    <t>Казарянц Тигран Александрович</t>
  </si>
  <si>
    <t>45.038324,38.974783</t>
  </si>
  <si>
    <t>ОБЩЕСТВО С ОГРАНИЧЕННОЙ ОТВЕТСТВЕННОСТЬЮ "ПРОИЗВОДСТВЕННО-КОММЕРЧЕСКИЙ КОМБИНАТ "ОПОРА"</t>
  </si>
  <si>
    <t xml:space="preserve"> "ПРОИЗВОДСТВЕННО-КОММЕРЧЕСКИЙ КОМБИНАТ "ОПОРА"</t>
  </si>
  <si>
    <t>2308152923</t>
  </si>
  <si>
    <t>350000, КРАСНОДАРСКИЙ КРАЙ, ГОРОД КРАСНОДАР, УЛИЦА КРАСНАЯ, ДОМ 113, ОФИС 411</t>
  </si>
  <si>
    <t>Потоков Зураб Меджидович</t>
  </si>
  <si>
    <t>+7 (861) 259-41-20', '+7 (861) 245-07-77', '+7 (928) 122-23-33'</t>
  </si>
  <si>
    <t>45.067812,38.983173</t>
  </si>
  <si>
    <t>ОБЩЕСТВО С ОГРАНИЧЕННОЙ ОТВЕТСТВЕННОСТЬЮ "FRUKTAL"</t>
  </si>
  <si>
    <t xml:space="preserve"> "FRUKTAL"</t>
  </si>
  <si>
    <t>2308161893</t>
  </si>
  <si>
    <t>350051, КРАСНОДАРСКИЙ КРАЙ, Г. КРАСНОДАР, УЛ. ШОССЕ НЕФТЯНИКОВ, Д. 28, ПОМЕЩ. 22</t>
  </si>
  <si>
    <t>Вукас Стеван Милошевич</t>
  </si>
  <si>
    <t>+7 (928) 402-51-97'</t>
  </si>
  <si>
    <t>45.03084,38.923974</t>
  </si>
  <si>
    <t>ОБЩЕСТВО С ОГРАНИЧЕННОЙ ОТВЕТСТВЕННОСТЬЮ "МОНОЛИТЭКОСТРОЙ"</t>
  </si>
  <si>
    <t xml:space="preserve"> "МОНОЛИТЭКОСТРОЙ"</t>
  </si>
  <si>
    <t>2308189433</t>
  </si>
  <si>
    <t>350089, КРАСНОДАРСКИЙ КРАЙ, Г. КРАСНОДАР, УЛ. РОЖДЕСТВЕНСКАЯ НАБЕРЕЖНАЯ, Д.51, ПОМЕЩЕНИЕ 90</t>
  </si>
  <si>
    <t>Коровин Андрей Анатольевич</t>
  </si>
  <si>
    <t>+7 (861) 242-11-00', '+7 (989) 822-26-92'</t>
  </si>
  <si>
    <t>monolitecostroy@yandex.ru'</t>
  </si>
  <si>
    <t>45.019347,39.065899</t>
  </si>
  <si>
    <t>ОБЩЕСТВО С ОГРАНИЧЕННОЙ ОТВЕТСТВЕННОСТЬЮ "АЛЬФА-ПАРИТЕТ"</t>
  </si>
  <si>
    <t xml:space="preserve"> "АЛЬФА-ПАРИТЕТ"</t>
  </si>
  <si>
    <t>2308244613</t>
  </si>
  <si>
    <t>350018, Краснодарский край, городской округ ГОРОД КРАСНОДАР, Город КРАСНОДАР, ТЕР. ТЭЦ ЖИЛОЙ МАССИВ, УЛ КРАСНОДАРСКАЯ, Д. 13,</t>
  </si>
  <si>
    <t>Сахнов Денис Олегович</t>
  </si>
  <si>
    <t>+7 (861) 212-61-74'</t>
  </si>
  <si>
    <t>45.011765,38.992372</t>
  </si>
  <si>
    <t>ОБЩЕСТВО С ОГРАНИЧЕННОЙ ОТВЕТСТВЕННОСТЬЮ " БЕТОНСТРОЙСЕРВИС "</t>
  </si>
  <si>
    <t xml:space="preserve"> " БЕТОНСТРОЙСЕРВИС "</t>
  </si>
  <si>
    <t>2309073897</t>
  </si>
  <si>
    <t>Г КРАСНОДАР,УЛ ВИШНЯКОВОЙ, 1</t>
  </si>
  <si>
    <t>Звягинцев Андрей Игоревич</t>
  </si>
  <si>
    <t>45.01432,38.965971</t>
  </si>
  <si>
    <t xml:space="preserve"> "ЭЛИТСТРОЙ"</t>
  </si>
  <si>
    <t>2309105700</t>
  </si>
  <si>
    <t>Г КРАСНОДАР,УЛ КОРОТКАЯ, Д 15</t>
  </si>
  <si>
    <t>Школьный Владимир Николаевич</t>
  </si>
  <si>
    <t>+7 (861) 236-96-42', '+7 (988) 131-70-31'</t>
  </si>
  <si>
    <t>45.044355,38.981808</t>
  </si>
  <si>
    <t xml:space="preserve"> "КАПИТАЛ-БЕТОН"</t>
  </si>
  <si>
    <t>2310043600</t>
  </si>
  <si>
    <t>350015, КРАСНОДАРСКИЙ КРАЙ, Г. КРАСНОДАР, УЛ. ПУТЕВАЯ, Д.1, ОФИС 404</t>
  </si>
  <si>
    <t>Яковенко Данил Вячеславович</t>
  </si>
  <si>
    <t>+7 (928) 428-42-94'</t>
  </si>
  <si>
    <t>45.056091,38.984835</t>
  </si>
  <si>
    <t>ОБЩЕСТВО С ОГРАНИЧЕННОЙ ОТВЕТСТВЕННОСТЬЮ " САТУРН "</t>
  </si>
  <si>
    <t xml:space="preserve"> " САТУРН "</t>
  </si>
  <si>
    <t>2310133438</t>
  </si>
  <si>
    <t>350000, КРАСНОДАРСКИЙ КРАЙ, Г. КРАСНОДАР, УЛ. КОММУНАРОВ, Д.290, ---,..</t>
  </si>
  <si>
    <t>Гейко Андрей Викторович</t>
  </si>
  <si>
    <t>+7 (918) 439-59-16'</t>
  </si>
  <si>
    <t>45.060936,39.001517</t>
  </si>
  <si>
    <t>ОБЩЕСТВО С ОГРАНИЧЕННОЙ ОТВЕТСТВЕННОСТЬЮ "Проект Симфония"</t>
  </si>
  <si>
    <t xml:space="preserve"> "Проект Симфония"</t>
  </si>
  <si>
    <t>2310147342</t>
  </si>
  <si>
    <t>350072, КРАСНОДАРСКИЙ КРАЙ, Г. КРАСНОДАР, УЛ. МОСКОВСКАЯ, Д. 59/1, ОФИС 9-03</t>
  </si>
  <si>
    <t>Метревели Автандил Жоржевич</t>
  </si>
  <si>
    <t>+7 (861) 279-45-67', '+7 (861) 279-45-67'</t>
  </si>
  <si>
    <t>45.028011,38.973247</t>
  </si>
  <si>
    <t>ОБЩЕСТВО С ОГРАНИЧЕННОЙ ОТВЕТСТВЕННОСТЬЮ "Ар-са девелопмент"</t>
  </si>
  <si>
    <t xml:space="preserve"> "Ар-са девелопмент"</t>
  </si>
  <si>
    <t>2310158231</t>
  </si>
  <si>
    <t>350000, КРАСНОДАРСКИЙ КРАЙ, ГОРОД КРАСНОДАР, УЛИЦА КАРАСУНСКАЯ, 82</t>
  </si>
  <si>
    <t>Шанджи Атилла</t>
  </si>
  <si>
    <t>+7 (905) 495-94-79', '+7 (926) 296-87-25', '+7 (495) 258-20-24'</t>
  </si>
  <si>
    <t>45.047361,38.99592</t>
  </si>
  <si>
    <t>ОБЩЕСТВО С ОГРАНИЧЕННОЙ ОТВЕТСТВЕННОСТЬЮ "БЕТОН-КЛАСС"</t>
  </si>
  <si>
    <t xml:space="preserve"> "БЕТОН-КЛАСС"</t>
  </si>
  <si>
    <t>2310158538</t>
  </si>
  <si>
    <t>350042, КРАСНОДАРСКИЙ КРАЙ, Г. КРАСНОДАР, УЛ. УКРАИНСКАЯ, Д.15</t>
  </si>
  <si>
    <t>Дехтярева Надежда Михайловна</t>
  </si>
  <si>
    <t>+7 (918) 460-63-67'</t>
  </si>
  <si>
    <t>45.048546,38.983209</t>
  </si>
  <si>
    <t>ОБЩЕСТВО С ОГРАНИЧЕННОЙ ОТВЕТСТВЕННОСТЬЮ "ИВЕКО-ЮГ"</t>
  </si>
  <si>
    <t xml:space="preserve"> "ИВЕКО-ЮГ"</t>
  </si>
  <si>
    <t>2310174917</t>
  </si>
  <si>
    <t>350000, КРАСНОДАРСКИЙ КРАЙ, Г. КРАСНОДАР, УЛ. КОММУНАРОВ, Д.268,..</t>
  </si>
  <si>
    <t>+7 (928) 282-58-71'</t>
  </si>
  <si>
    <t>45.072395,38.970498</t>
  </si>
  <si>
    <t>ОБЩЕСТВО С ОГРАНИЧЕННОЙ ОТВЕТСТВЕННОСТЬЮ "АСТРАГАЛ"</t>
  </si>
  <si>
    <t xml:space="preserve"> "АСТРАГАЛ"</t>
  </si>
  <si>
    <t>2310198530</t>
  </si>
  <si>
    <t>350051, КРАСНОДАРСКИЙ КРАЙ, Г. КРАСНОДАР, УЛ. СТАХАНОВСКАЯ, Д. 1, ПОМЕЩ. 121</t>
  </si>
  <si>
    <t>Петров Сергей Петрович</t>
  </si>
  <si>
    <t>orionkrasnodar@mail.ru'</t>
  </si>
  <si>
    <t>45.03177,39.06651</t>
  </si>
  <si>
    <t>ОБЩЕСТВО С ОГРАНИЧЕННОЙ ОТВЕТСТВЕННОСТЬЮ "АМД ГРУП"</t>
  </si>
  <si>
    <t xml:space="preserve"> "АМД ГРУП"</t>
  </si>
  <si>
    <t>2310199277</t>
  </si>
  <si>
    <t>350018, КРАСНОДАРСКИЙ КРАЙ, ГОРОД КРАСНОДАР, УЛИЦА ОНЕЖСКАЯ, ДОМ 35/1, ОФИС 22</t>
  </si>
  <si>
    <t>Вецкий Александр Геннадьевич</t>
  </si>
  <si>
    <t>+7 (928) 333-34-33'</t>
  </si>
  <si>
    <t>45.024571,38.991977</t>
  </si>
  <si>
    <t>ОБЩЕСТВО С ОГРАНИЧЕННОЙ ОТВЕТСТВЕННОСТЬЮ "ЮССБ-КУБАНЬ"</t>
  </si>
  <si>
    <t xml:space="preserve"> "ЮССБ-КУБАНЬ"</t>
  </si>
  <si>
    <t>2310199887</t>
  </si>
  <si>
    <t>350033, КРАСНОДАРСКИЙ КРАЙ, Г. КРАСНОДАР, УЛ. ПЕРЕХОДНАЯ, Д. 2, КОМ. 10</t>
  </si>
  <si>
    <t>Лысенко Валентин Михайлович</t>
  </si>
  <si>
    <t>+7 (961) 855-69-06'</t>
  </si>
  <si>
    <t>ОБЩЕСТВО С ОГРАНИЧЕННОЙ ОТВЕТСТВЕННОСТЬЮ "САТ СТРОЙ"</t>
  </si>
  <si>
    <t xml:space="preserve"> "САТ СТРОЙ"</t>
  </si>
  <si>
    <t>2310208690</t>
  </si>
  <si>
    <t>350018, КРАСНОДАРСКИЙ КРАЙ, ГОРОД КРАСНОДАР, УЛИЦА ФАБРИЧНАЯ, ДОМ 5, ЛИТЕР А, ПОМЕЩЕНИЕ 86,87,87/1,91-93</t>
  </si>
  <si>
    <t>Маркосян Хачатур Рафикович</t>
  </si>
  <si>
    <t>+7 (918) 354-12-01'</t>
  </si>
  <si>
    <t>45.04789,38.979382</t>
  </si>
  <si>
    <t>ОБЩЕСТВО С ОГРАНИЧЕННОЙ ОТВЕТСТВЕННОСТЬЮ "ПЛАНЕТА БЕТОНА"</t>
  </si>
  <si>
    <t xml:space="preserve"> "ПЛАНЕТА БЕТОНА"</t>
  </si>
  <si>
    <t>2310211460</t>
  </si>
  <si>
    <t>350020, КРАСНОДАРСКИЙ КРАЙ, Г. КРАСНОДАР, УЛ. КРАСНАЯ, Д. 182, ОФИС 403</t>
  </si>
  <si>
    <t>Бочкарёв Сергей Давыдович</t>
  </si>
  <si>
    <t>+7 (989) 852-22-55'</t>
  </si>
  <si>
    <t>45.053035,38.990153</t>
  </si>
  <si>
    <t>ОБЩЕСТВО С ОГРАНИЧЕННОЙ ОТВЕТСТВЕННОСТЬЮ "БЕТОНМАРКЕТ"</t>
  </si>
  <si>
    <t xml:space="preserve"> "БЕТОНМАРКЕТ"</t>
  </si>
  <si>
    <t>2310227291</t>
  </si>
  <si>
    <t>350042, КРАСНОДАРСКИЙ КРАЙ, Г. Краснодар, УЛ. КОЛХОЗНАЯ, Д. 80, ПОМЕЩ. 29</t>
  </si>
  <si>
    <t>Ростопка Евгения Юрьевна</t>
  </si>
  <si>
    <t>23@MAIL.RU'</t>
  </si>
  <si>
    <t>45.062159,39.004886</t>
  </si>
  <si>
    <t>ОБЩЕСТВО С ОГРАНИЧЕННОЙ ОТВЕТСТВЕННОСТЬЮ "ОСНОВА СТРОЙСЕРВИС"</t>
  </si>
  <si>
    <t xml:space="preserve"> "ОСНОВА СТРОЙСЕРВИС"</t>
  </si>
  <si>
    <t>2311115590</t>
  </si>
  <si>
    <t>350072, КРАСНОДАРСКИЙ КРАЙ, Г. КРАСНОДАР, УЛ. ЗИПОВСКАЯ, Д.16</t>
  </si>
  <si>
    <t>Кривулин Сергей Петрович</t>
  </si>
  <si>
    <t>+7 (964) 898-14-32'</t>
  </si>
  <si>
    <t>45.070912,39.000367</t>
  </si>
  <si>
    <t>ОБЩЕСТВО С ОГРАНИЧЕННОЙ ОТВЕТСТВЕННОСТЬЮ "ОКС - БЕТОН"</t>
  </si>
  <si>
    <t xml:space="preserve"> "ОКС - БЕТОН"</t>
  </si>
  <si>
    <t>2311139866</t>
  </si>
  <si>
    <t>350072, КРАСНОДАРСКИЙ КРАЙ, Г. КРАСНОДАР, УЛ. МОСКОВСКАЯ, Д.79, К.1,..</t>
  </si>
  <si>
    <t>Милаев Никита Михайлович</t>
  </si>
  <si>
    <t>+7 (918) 200-25-77', '+7 (918) 242-68-54', '+7 (918) 657-01-61', '+7 (861) 200-25-77'</t>
  </si>
  <si>
    <t>44.854404,38.590708</t>
  </si>
  <si>
    <t>ОБЩЕСТВО С ОГРАНИЧЕННОЙ ОТВЕТСТВЕННОСТЬЮ "ПКК МОНОЛИТ"</t>
  </si>
  <si>
    <t xml:space="preserve"> "ПКК МОНОЛИТ"</t>
  </si>
  <si>
    <t>2311168095</t>
  </si>
  <si>
    <t>КРАСНОДАРСКИЙ КРАЙ,СЕВЕРСКИЙ Р-Н,PП ИЛЬСКИЙ,УЛ ВОЛГОГРАДСКАЯ, Д 24 Б</t>
  </si>
  <si>
    <t>Герасимов Дмитрий Геннадьевич</t>
  </si>
  <si>
    <t>45.07209,38.929158</t>
  </si>
  <si>
    <t>ОБЩЕСТВО С ОГРАНИЧЕННОЙ ОТВЕТСТВЕННОСТЬЮ "ЮГСТРОЙИНДУСТРИЯ"</t>
  </si>
  <si>
    <t xml:space="preserve"> "ЮГСТРОЙИНДУСТРИЯ"</t>
  </si>
  <si>
    <t>2311168497</t>
  </si>
  <si>
    <t>350047, КРАСНОДАРСКИЙ КРАЙ, Г. КРАСНОДАР, УЛ. 4-Я ЛИНИЯ, ДОМ 104</t>
  </si>
  <si>
    <t>Ефимкин Владимир Викторович</t>
  </si>
  <si>
    <t>rby1118887@mail.ru', 'rby1118887@rambler.ru'</t>
  </si>
  <si>
    <t>45.061821,38.937287</t>
  </si>
  <si>
    <t>ОБЩЕСТВО С ОГРАНИЧЕННОЙ ОТВЕТСТВЕННОСТЬЮ "ЮГСПЕЦСТРОЙБЕТОН"</t>
  </si>
  <si>
    <t xml:space="preserve"> "ЮГСПЕЦСТРОЙБЕТОН"</t>
  </si>
  <si>
    <t>2311170030</t>
  </si>
  <si>
    <t>350047, КРАСНОДАРСКИЙ КРАЙ, Г. КРАСНОДАР, ПЕР. 2 ЛИНИИ, ДОМ 74</t>
  </si>
  <si>
    <t>Кушу Руслан Юнусович</t>
  </si>
  <si>
    <t>+7 (918) 094-30-34', '+7 (861) 215-27-37'</t>
  </si>
  <si>
    <t>45.106688,38.960868</t>
  </si>
  <si>
    <t>ОБЩЕСТВО С ОГРАНИЧЕННОЙ ОТВЕТСТВЕННОСТЬЮ "КУБАНЬТЕХСТРОЙ"</t>
  </si>
  <si>
    <t xml:space="preserve"> "КУБАНЬТЕХСТРОЙ"</t>
  </si>
  <si>
    <t>2311171852</t>
  </si>
  <si>
    <t>350005, Краснодарский край, городской округ ГОРОД КРАСНОДАР, Город КРАСНОДАР, УЛ КОНГРЕССНАЯ, Д. 20, ПОМЕЩ. 1, ОФИС 10</t>
  </si>
  <si>
    <t>Щербина Дмитрий Алексеевич</t>
  </si>
  <si>
    <t>+7 (861) 277-23-23'</t>
  </si>
  <si>
    <t>45.107565,38.930793</t>
  </si>
  <si>
    <t>ОБЩЕСТВО С ОГРАНИЧЕННОЙ ОТВЕТСТВЕННОСТЬЮ "КУБАНЬЦЕМЕНТСТРОЙ"</t>
  </si>
  <si>
    <t xml:space="preserve"> "КУБАНЬЦЕМЕНТСТРОЙ"</t>
  </si>
  <si>
    <t>2311177445</t>
  </si>
  <si>
    <t>350053, КРАСНОДАРСКИЙ КРАЙ, ГОРОД КРАСНОДАР, УЛИЦА ЛЕСОПОСАДОЧНАЯ, ДОМ 7/2</t>
  </si>
  <si>
    <t>Рахманова Сабина Исламовна</t>
  </si>
  <si>
    <t>+7 (918) 664-97-77'</t>
  </si>
  <si>
    <t>kuban_cs@mail.ru'</t>
  </si>
  <si>
    <t>45.063712,38.899253</t>
  </si>
  <si>
    <t>ОБЩЕСТВО С ОГРАНИЧЕННОЙ ОТВЕТСТВЕННОСТЬЮ "СНАББЕТОН"</t>
  </si>
  <si>
    <t xml:space="preserve"> "СНАББЕТОН"</t>
  </si>
  <si>
    <t>2311188422</t>
  </si>
  <si>
    <t>350039, КРАСНОДАРСКИЙ КРАЙ, Г. КРАСНОДАР, ПР-Д МАЙСКИЙ, Д. 20/1</t>
  </si>
  <si>
    <t>Новоселов Павел Андреевич</t>
  </si>
  <si>
    <t>+7 (918) 316-77-52'</t>
  </si>
  <si>
    <t>agentstvopnz@mail.ru'</t>
  </si>
  <si>
    <t>44.956377,37.319529</t>
  </si>
  <si>
    <t>ОБЩЕСТВО С ОГРАНИЧЕННОЙ ОТВЕТСТВЕННОСТЬЮ СТРОИТЕЛЬНАЯ КОМПАНИЯ "СИТИ"</t>
  </si>
  <si>
    <t xml:space="preserve"> СТРОИТЕЛЬНАЯ КОМПАНИЯ "СИТИ"</t>
  </si>
  <si>
    <t>2311193711</t>
  </si>
  <si>
    <t>КРАСНОДАРСКИЙ КРАЙ,АНАПСКИЙ Р-Н,П ВЕРХНЕЕ ДЖЕМЕТЕ,УЛ НАГОРНАЯ, Д 12</t>
  </si>
  <si>
    <t>Гусакова Кристина Викторовна</t>
  </si>
  <si>
    <t>+7 (952) 829-21-11'</t>
  </si>
  <si>
    <t>46.130067,38.97463</t>
  </si>
  <si>
    <t>ОБЩЕСТВО С ОГРАНИЧЕННОЙ ОТВЕТСТВЕННОСТЬЮ ФИРМА "ОКС БЕТОН ЮГ"</t>
  </si>
  <si>
    <t xml:space="preserve"> ФИРМА "ОКС БЕТОН ЮГ"</t>
  </si>
  <si>
    <t>2311204378</t>
  </si>
  <si>
    <t>КРАСНОДАРСКИЙ КРАЙ,КАНЕВСКИЙ Р-Н,СТ-ЦА СТАРОДЕРЕВЯНКОВСКАЯ,УЛ ЦЕНТРАЛЬНАЯ, Д 26</t>
  </si>
  <si>
    <t>Головко Олег Олегович</t>
  </si>
  <si>
    <t>45.051347,38.86314</t>
  </si>
  <si>
    <t>ОБЩЕСТВО С ОГРАНИЧЕННОЙ ОТВЕТСТВЕННОСТЬЮ "НОВСТРОЙБЕТОН"</t>
  </si>
  <si>
    <t xml:space="preserve"> "НОВСТРОЙБЕТОН"</t>
  </si>
  <si>
    <t>2311222539</t>
  </si>
  <si>
    <t>350908, КРАСНОДАРСКИЙ КРАЙ, Г. КРАСНОДАР, УЛ. КИРПИЧНАЯ, Д. 12/4, ПОМЕЩ. 5</t>
  </si>
  <si>
    <t>Ахмедов Захадин Вахбиевич</t>
  </si>
  <si>
    <t>+7 (918) 363-22-26'</t>
  </si>
  <si>
    <t>44.990216,39.068944</t>
  </si>
  <si>
    <t>ОБЩЕСТВО С ОГРАНИЧЕННОЙ ОТВЕТСТВЕННОСТЬЮ "СМУ 23"</t>
  </si>
  <si>
    <t xml:space="preserve"> "СМУ 23"</t>
  </si>
  <si>
    <t>2311229277</t>
  </si>
  <si>
    <t>350040, КРАСНОДАРСКИЙ КРАЙ, Г. КРАСНОДАР, УЛ. ИМ. ВАЛЕРИЯ ГАССИЯ, Д. 4/1, ОФИС 60</t>
  </si>
  <si>
    <t>Извеков Константин Александрович</t>
  </si>
  <si>
    <t>+7 (918) 332-00-33', '+7 (918) 085-40-50'</t>
  </si>
  <si>
    <t>45.10233,38.976328</t>
  </si>
  <si>
    <t>ОБЩЕСТВО С ОГРАНИЧЕННОЙ ОТВЕТСТВЕННОСТЬЮ "ООО"САТУРН""</t>
  </si>
  <si>
    <t xml:space="preserve"> "ООО"САТУРН""</t>
  </si>
  <si>
    <t>2311232079</t>
  </si>
  <si>
    <t>350005, КРАСНОДАРСКИЙ КРАЙ, ГОРОД КРАСНОДАР, УЛИЦА ИМ. АЛЕКСАНДРА ПОКРЫШКИНА, ДОМ 12,..</t>
  </si>
  <si>
    <t>Клименко Галина Петровна</t>
  </si>
  <si>
    <t>+7 (918) 949-24-97'</t>
  </si>
  <si>
    <t>45.106694,39.000619</t>
  </si>
  <si>
    <t>ОБЩЕСТВО С ОГРАНИЧЕННОЙ ОТВЕТСТВЕННОСТЬЮ "ПРЕСТИЖ БЕТОН ЮГ"</t>
  </si>
  <si>
    <t xml:space="preserve"> "ПРЕСТИЖ БЕТОН ЮГ"</t>
  </si>
  <si>
    <t>2311254121</t>
  </si>
  <si>
    <t>350087, КРАСНОДАРСКИЙ КРАЙ, ГОРОД КРАСНОДАР, УЛИЦА ИМ. ЯГОДИНА М.Д., ДОМ 23,..</t>
  </si>
  <si>
    <t>Головко Оксана Анатольевна</t>
  </si>
  <si>
    <t>+7 (918) 492-42-46'</t>
  </si>
  <si>
    <t>45.03977,38.956116</t>
  </si>
  <si>
    <t>ОБЩЕСТВО С ОГРАНИЧЕННОЙ ОТВЕТСТВЕННОСТЬЮ "ЛИДЕР-ТАМАНЬ"</t>
  </si>
  <si>
    <t xml:space="preserve"> "ЛИДЕР-ТАМАНЬ"</t>
  </si>
  <si>
    <t>2311282560</t>
  </si>
  <si>
    <t>350004, КРАСНОДАРСКИЙ КРАЙ, Г. КРАСНОДАР, УЛ. ИМ. КАЛИНИНА, Д. 368, ЛИТЕР Д, ОФИС 12</t>
  </si>
  <si>
    <t>Шахбиев Магомед Маулаевич</t>
  </si>
  <si>
    <t>45.118105,39.359469</t>
  </si>
  <si>
    <t>ОБЩЕСТВО С ОГРАНИЧЕННОЙ ОТВЕТСТВЕННОСТЬЮ "АКАДЕМИЯ БЕТОНА"</t>
  </si>
  <si>
    <t xml:space="preserve"> "АКАДЕМИЯ БЕТОНА"</t>
  </si>
  <si>
    <t>2311283154</t>
  </si>
  <si>
    <t>350908, КРАСНОДАРСКИЙ КРАЙ, ГОРОД КРАСНОДАР, УЛИЦА КИРПИЧНАЯ, ДОМ 14, ПОМЕЩЕНИЕ 3</t>
  </si>
  <si>
    <t>Лавриненко Артем Артурович</t>
  </si>
  <si>
    <t>+7 (928) 223-22-24'</t>
  </si>
  <si>
    <t>45.141932,38.998651</t>
  </si>
  <si>
    <t>ОБЩЕСТВО С ОГРАНИЧЕННОЙ ОТВЕТСТВЕННОСТЬЮ "ПРОЧНЫЙ КУБ"</t>
  </si>
  <si>
    <t xml:space="preserve"> "ПРОЧНЫЙ КУБ"</t>
  </si>
  <si>
    <t>2311288650</t>
  </si>
  <si>
    <t>350067, Краснодарский край, городской округ ГОРОД КРАСНОДАР, Город КРАСНОДАР, УЛ ДУШИСТАЯ, Д. 79, К. 1, ПОМЕЩ. 38,39</t>
  </si>
  <si>
    <t>Крючков Алексей Владимирович</t>
  </si>
  <si>
    <t>+7 (861) 248-14-15'</t>
  </si>
  <si>
    <t>45.046788,39.027317</t>
  </si>
  <si>
    <t>ОБЩЕСТВО С ОГРАНИЧЕННОЙ ОТВЕТСТВЕННОСТЬЮ "СТРОЙ-ТИТАН ЛОГИСТИК"</t>
  </si>
  <si>
    <t xml:space="preserve"> "СТРОЙ-ТИТАН ЛОГИСТИК"</t>
  </si>
  <si>
    <t>2311289759</t>
  </si>
  <si>
    <t>350028, КРАСНОДАРСКИЙ КРАЙ, ГОРОД КРАСНОДАР, УЛИЦА ВОСТОЧНО-КРУГЛИКОВСКАЯ, ДОМ 18,..</t>
  </si>
  <si>
    <t>Павлидис Демьян Петрович</t>
  </si>
  <si>
    <t>+7 (918) 205-17-37'</t>
  </si>
  <si>
    <t>45.06447,39.033569</t>
  </si>
  <si>
    <t>ОБЩЕСТВО С ОГРАНИЧЕННОЙ ОТВЕТСТВЕННОСТЬЮ "СТРОЙ ИНДУСТРИЯ БЕТОНА"</t>
  </si>
  <si>
    <t xml:space="preserve"> "СТРОЙ ИНДУСТРИЯ БЕТОНА"</t>
  </si>
  <si>
    <t>2311311563</t>
  </si>
  <si>
    <t>350028, КРАСНОДАРСКИЙ КРАЙ, ГОРОД КРАСНОДАР, УЛИЦА ГЕРОЕВ-РАЗВЕДЧИКОВ, ДОМ 40, ПОМЕЩЕНИЕ 67</t>
  </si>
  <si>
    <t>Кулагин Виталий Геннадьевич</t>
  </si>
  <si>
    <t>+7 (964) 900-60-68'</t>
  </si>
  <si>
    <t>45.152777,38.994133</t>
  </si>
  <si>
    <t>ОБЩЕСТВО С ОГРАНИЧЕННОЙ ОТВЕТСТВЕННОСТЬЮ БЕТОНОСМЕСИТЕЛЬНЫЙ УЗЕЛ "КИТ"</t>
  </si>
  <si>
    <t xml:space="preserve"> БЕТОНОСМЕСИТЕЛЬНЫЙ УЗЕЛ "КИТ"</t>
  </si>
  <si>
    <t>2311313144</t>
  </si>
  <si>
    <t>350031, Краснодарский край, городской округ ГОРОД КРАСНОДАР, П БЕРЕЗОВЫЙ, УЛ ИМ. КАРЛА ГУСНИКА, Д. 15, ОФИС 7</t>
  </si>
  <si>
    <t>Каракетов Хусей Мудалифович</t>
  </si>
  <si>
    <t>KIT23@GMAIL.COM'</t>
  </si>
  <si>
    <t>45.060854,39.02843</t>
  </si>
  <si>
    <t>2311317438</t>
  </si>
  <si>
    <t>350028, КРАСНОДАРСКИЙ КРАЙ, Г. Краснодар, УЛ. ИМ. ГЕРОЯ АВЕРКИЕВА А.А., Д. 6, ПОМЕЩ. 7</t>
  </si>
  <si>
    <t>Лисунов Кирилл Андреевич</t>
  </si>
  <si>
    <t>ALLSPAM93@MAIL.RU'</t>
  </si>
  <si>
    <t>45.067392,39.037072</t>
  </si>
  <si>
    <t xml:space="preserve"> "АРСЕНАЛ"</t>
  </si>
  <si>
    <t>2311318544</t>
  </si>
  <si>
    <t>350901, Краснодарский край, городской округ ГОРОД КРАСНОДАР, Город КРАСНОДАР, УЛ ЧЕРКАССКАЯ, Д. 133, ОФИС 33</t>
  </si>
  <si>
    <t>45.05895,38.956403</t>
  </si>
  <si>
    <t>ОБЩЕСТВО С ОГРАНИЧЕННОЙ ОТВЕТСТВЕННОСТЬЮ ТОРГОВО-ТРАНСПОРТНАЯ КОМПАНИЯ "ТЕМА"</t>
  </si>
  <si>
    <t xml:space="preserve"> ТОРГОВО-ТРАНСПОРТНАЯ КОМПАНИЯ "ТЕМА"</t>
  </si>
  <si>
    <t>2311327926</t>
  </si>
  <si>
    <t>350062, Краснодарский край, ГОРОД КРАСНОДАР, Г КРАСНОДАР, УЛ ИМ. АТАРБЕКОВА, Д. 44</t>
  </si>
  <si>
    <t>Кошурников Егор Алексеевич</t>
  </si>
  <si>
    <t>2005@MAIL.RU'</t>
  </si>
  <si>
    <t>45.066475,39.039381</t>
  </si>
  <si>
    <t>ОБЩЕСТВО С ОГРАНИЧЕННОЙ ОТВЕТСТВЕННОСТЬЮ "ЮГСПЕЦСТРОЙ"</t>
  </si>
  <si>
    <t xml:space="preserve"> "ЮГСПЕЦСТРОЙ"</t>
  </si>
  <si>
    <t>2311329497</t>
  </si>
  <si>
    <t>350901, Краснодарский край, ГОРОД КРАСНОДАР, Г КРАСНОДАР, УЛ ЧЕРКАССКАЯ, Д. 137</t>
  </si>
  <si>
    <t>Лукьянцев Даниил Александрович</t>
  </si>
  <si>
    <t>SPETS2023@BK.RU'</t>
  </si>
  <si>
    <t>45.054175,38.939515</t>
  </si>
  <si>
    <t>ОБЩЕСТВО С ОГРАНИЧЕННОЙ ОТВЕТСТВЕННОСТЬЮ "ПРОИЗВОДСТВЕННО СТРОИТЕЛЬНАЯ КОМПАНИЯ БЕТОН"</t>
  </si>
  <si>
    <t xml:space="preserve"> "ПРОИЗВОДСТВЕННО СТРОИТЕЛЬНАЯ КОМПАНИЯ БЕТОН"</t>
  </si>
  <si>
    <t>2311335268</t>
  </si>
  <si>
    <t>350047, Краснодарский край, ГОРОД КРАСНОДАР, Г КРАСНОДАР, УЛ КРАСНЫХ ПАРТИЗАН, Д. 299</t>
  </si>
  <si>
    <t>MONOLITSERW@GMAIL.COM'</t>
  </si>
  <si>
    <t>45.014269,39.103449</t>
  </si>
  <si>
    <t>ОБЩЕСТВО С ОГРАНИЧЕННОЙ ОТВЕТСТВЕННОСТЬЮ "БЕТОНМАСТЕР"</t>
  </si>
  <si>
    <t xml:space="preserve"> "БЕТОНМАСТЕР"</t>
  </si>
  <si>
    <t>2312194362</t>
  </si>
  <si>
    <t>350910, КРАСНОДАРСКИЙ КРАЙ, Г. КРАСНОДАР, УЛ. ИМ. КРУПСКОЙ (ПАШКОВСКИЙ ЖИЛОЙ МАССИВ ТЕ, Д. 8</t>
  </si>
  <si>
    <t>Монастырный Алексей Владимирович</t>
  </si>
  <si>
    <t>+7 (861) 266-16-79', '+7 (918) 346-65-52', '+7 (861) 266-16-79'</t>
  </si>
  <si>
    <t>betonomaster@mail.ru', 'BETONOMASTER@MAIL.RU', 'betonomaster@mail.ru'</t>
  </si>
  <si>
    <t>45.007157,39.05441</t>
  </si>
  <si>
    <t>ОБЩЕСТВО С ОГРАНИЧЕННОЙ ОТВЕТСТВЕННОСТЬЮ "АРС СТРОЙ"</t>
  </si>
  <si>
    <t xml:space="preserve"> "АРС СТРОЙ"</t>
  </si>
  <si>
    <t>2312219401</t>
  </si>
  <si>
    <t>350911, КРАСНОДАРСКИЙ КРАЙ, ГОРОД КРАСНОДАР, УЛИЦА ТРАМВАЙНАЯ, ДОМ 2</t>
  </si>
  <si>
    <t>Зайцева Наталья Петровна</t>
  </si>
  <si>
    <t>+7 (861) 219-37-77'</t>
  </si>
  <si>
    <t>45.090171,39.048445</t>
  </si>
  <si>
    <t>ОБЩЕСТВО С ОГРАНИЧЕННОЙ ОТВЕТСТВЕННОСТЬЮ "ГОСТ БЕТОН"</t>
  </si>
  <si>
    <t xml:space="preserve"> "ГОСТ БЕТОН"</t>
  </si>
  <si>
    <t>2312233340</t>
  </si>
  <si>
    <t>350910, КРАСНОДАРСКИЙ КРАЙ, Г. КРАСНОДАР, УЛ. ИМ. ЛЕОНИДА ЛАВРОВА (ПАШКОВСКИЙ ЖИЛОЙ МА, Д. 8, К. 1, ОФИС 3</t>
  </si>
  <si>
    <t>Гевондян Артур Сергеевич</t>
  </si>
  <si>
    <t>+7 (918) 433-50-59', '+7 (918) 015-19-19'</t>
  </si>
  <si>
    <t>gostbeton@bk.ru', 'gostbeton@bk.ru', 'gostbeton@bk.ru'</t>
  </si>
  <si>
    <t>45.034426,39.111471</t>
  </si>
  <si>
    <t xml:space="preserve"> "АГАТ"</t>
  </si>
  <si>
    <t>2312264108</t>
  </si>
  <si>
    <t>350912, КРАСНОДАРСКИЙ КРАЙ, ГОРОД КРАСНОДАР, УЛИЦА КАРАСУНСКАЯ, ДОМ 272, КОРПУС 1</t>
  </si>
  <si>
    <t>Еприкян Рафик Араратович</t>
  </si>
  <si>
    <t>+7 (918) 633-19-71'</t>
  </si>
  <si>
    <t>45.028559,39.048705</t>
  </si>
  <si>
    <t>ОБЩЕСТВО С ОГРАНИЧЕННОЙ ОТВЕТСТВЕННОСТЬЮ "СТРОЙБЕТОН-23"</t>
  </si>
  <si>
    <t xml:space="preserve"> "СТРОЙБЕТОН-23"</t>
  </si>
  <si>
    <t>2312264933</t>
  </si>
  <si>
    <t>350075, КРАСНОДАРСКИЙ КРАЙ, ГОРОД КРАСНОДАР, УЛИЦА ИМ. СТАСОВА, ДОМ 178-180/1, ОФИС 203</t>
  </si>
  <si>
    <t>Помилуй Ольга Константиновна</t>
  </si>
  <si>
    <t>+7 (918) 327-22-61'</t>
  </si>
  <si>
    <t>45.041126,39.135914</t>
  </si>
  <si>
    <t>ОБЩЕСТВО С ОГРАНИЧЕННОЙ ОТВЕТСТВЕННОСТЬЮ "БЕТОНСЕРВИСКУБАНЬ"</t>
  </si>
  <si>
    <t xml:space="preserve"> "БЕТОНСЕРВИСКУБАНЬ"</t>
  </si>
  <si>
    <t>2312292867</t>
  </si>
  <si>
    <t>350080, Краснодарский край, городской округ ГОРОД КРАСНОДАР, Город КРАСНОДАР, УЛ УРАЛЬСКАЯ, Д. 222/2, ОФИС 1</t>
  </si>
  <si>
    <t>Шитухин Юрий Александрович</t>
  </si>
  <si>
    <t>+7 (861) 240-73-30'</t>
  </si>
  <si>
    <t>44.989267,39.071011</t>
  </si>
  <si>
    <t>ОБЩЕСТВО С ОГРАНИЧЕННОЙ ОТВЕТСТВЕННОСТЬЮ "АКАДЕМИЯ БЕТОНА №1"</t>
  </si>
  <si>
    <t xml:space="preserve"> "АКАДЕМИЯ БЕТОНА №1"</t>
  </si>
  <si>
    <t>2312298555</t>
  </si>
  <si>
    <t>350065, КРАСНОДАРСКИЙ КРАЙ, Г. Краснодар, УЛ. ИМ. ВАЛЕРИЯ ГАССИЯ, Д. 6, ПОМЕЩ. 34</t>
  </si>
  <si>
    <t>Козлов Антон Сергеевич</t>
  </si>
  <si>
    <t>45.024973,39.060905</t>
  </si>
  <si>
    <t>ОБЩЕСТВО С ОГРАНИЧЕННОЙ ОТВЕТСТВЕННОСТЬЮ "БЕТОНКУБАНЬМОНОЛИТ 23"</t>
  </si>
  <si>
    <t xml:space="preserve"> "БЕТОНКУБАНЬМОНОЛИТ 23"</t>
  </si>
  <si>
    <t>2312310474</t>
  </si>
  <si>
    <t>350018, Краснодарский край, ГОРОД КРАСНОДАР, Г КРАСНОДАР, УЛ СОРМОВСКАЯ, Д. 7Г</t>
  </si>
  <si>
    <t>Джабаев Кемран Анварбекович</t>
  </si>
  <si>
    <t>44.780299,37.703766</t>
  </si>
  <si>
    <t>ОБЩЕСТВО С ОГРАНИЧЕННОЙ ОТВЕТСТВЕННОСТЬЮ "НОВОРОССБЕТОН"</t>
  </si>
  <si>
    <t xml:space="preserve"> "НОВОРОССБЕТОН"</t>
  </si>
  <si>
    <t>2315023848</t>
  </si>
  <si>
    <t>353991, Краснодарский край, Новороссийск г, Гайдук с, ул Сельскохозяйственная, д 27</t>
  </si>
  <si>
    <t>Немец Виталий Васильевич</t>
  </si>
  <si>
    <t>+7 (918) 410-05-26'</t>
  </si>
  <si>
    <t>beton@65911.ru', 'beton@655911.ru', 'beton@65911.ru', 'beton@65911.ru'</t>
  </si>
  <si>
    <t>44.722624,37.733841</t>
  </si>
  <si>
    <t>ОБЩЕСТВО С ОГРАНИЧЕННОЙ ОТВЕТСТВЕННОСТЬЮ "ГЕЛИОН"</t>
  </si>
  <si>
    <t xml:space="preserve"> "ГЕЛИОН"</t>
  </si>
  <si>
    <t>2315085322</t>
  </si>
  <si>
    <t>КРАСНОДАРСКИЙ КРАЙ,Г НОВОРОССИЙСК,УЛ ЛУНАЧАРСКОГО, Д 127</t>
  </si>
  <si>
    <t>Колобов Александр Иванович</t>
  </si>
  <si>
    <t>44.959923,37.317023</t>
  </si>
  <si>
    <t>ОБЩЕСТВО С ОГРАНИЧЕННОЙ ОТВЕТСТВЕННОСТЬЮ "ЧЕРНОМОРБЕТОН"</t>
  </si>
  <si>
    <t xml:space="preserve"> "ЧЕРНОМОРБЕТОН"</t>
  </si>
  <si>
    <t>2315158355</t>
  </si>
  <si>
    <t>353440, КРАСНОДАРСКИЙ КРАЙ, Р-Н АНАПСКИЙ, Г. АНАПА, ПР-Д ДОРОЖНИКОВ, Д. 14, ПОМЕЩ. 1</t>
  </si>
  <si>
    <t>+7 (962) 879-10-43'</t>
  </si>
  <si>
    <t>44.680436,37.794244</t>
  </si>
  <si>
    <t>ОБЩЕСТВО С ОГРАНИЧЕННОЙ ОТВЕТСТВЕННОСТЬЮ "Сигалл Н"</t>
  </si>
  <si>
    <t xml:space="preserve"> "Сигалл Н"</t>
  </si>
  <si>
    <t>2315164422</t>
  </si>
  <si>
    <t>353925, КРАСНОДАРСКИЙ КРАЙ, НОВОРОССИЙСК Г, ЛЕНИНА ПР-КТ, ДОМ 95 Б, КОРПУС 1,..</t>
  </si>
  <si>
    <t>+7 (918) 463-77-84'</t>
  </si>
  <si>
    <t>44.751015,37.714051</t>
  </si>
  <si>
    <t>ОБЩЕСТВО С ОГРАНИЧЕННОЙ ОТВЕТСТВЕННОСТЬЮ "Компания "Карум"</t>
  </si>
  <si>
    <t xml:space="preserve"> "Компания "Карум"</t>
  </si>
  <si>
    <t>2315170641</t>
  </si>
  <si>
    <t>http://karum.ru</t>
  </si>
  <si>
    <t>353960, КРАСНОДАРСКИЙ КРАЙ, Г. НОВОРОССИЙСК, С ЦЕМДОЛИНА, ПР-Д ЛИТЕЙНЫЙ, Д. 8, ЭТАЖ 2</t>
  </si>
  <si>
    <t>Умеров Артем Александрович</t>
  </si>
  <si>
    <t>44.427091,38.78487</t>
  </si>
  <si>
    <t>ОБЩЕСТВО С ОГРАНИЧЕННОЙ ОТВЕТСТВЕННОСТЬЮ "КСК-БЕТОНСТРОЙ"</t>
  </si>
  <si>
    <t xml:space="preserve"> "КСК-БЕТОНСТРОЙ"</t>
  </si>
  <si>
    <t>2315180015</t>
  </si>
  <si>
    <t>352845, КРАСНОДАРСКИЙ КРАЙ, РАЙОН ТУАПСИНСКИЙ, СЕЛО ДЕФАНОВКА, УЛИЦА ШКОЛЬНАЯ, 9</t>
  </si>
  <si>
    <t>Кароян Мхитар Александрович</t>
  </si>
  <si>
    <t>+7 (918) 160-85-11'</t>
  </si>
  <si>
    <t>2013@yandex.ru', '2013@yandex.ru', '2013@yandex.ru'</t>
  </si>
  <si>
    <t>44.930794,37.981534</t>
  </si>
  <si>
    <t>ОБЩЕСТВО С ОГРАНИЧЕННОЙ ОТВЕТСТВЕННОСТЬЮ "Монолит-М"</t>
  </si>
  <si>
    <t xml:space="preserve"> "Монолит-М"</t>
  </si>
  <si>
    <t>2315181273</t>
  </si>
  <si>
    <t>353380, КРАСНОДАРСКИЙ КРАЙ, РАЙОН КРЫМСКИЙ, ГОРОД КРЫМСК, УЛИЦА КОМАРОВА, ДОМ 22, ПОМЕЩЕНИЕ 19,20</t>
  </si>
  <si>
    <t>Швец Владимир Александрович</t>
  </si>
  <si>
    <t>+7 (918) 952-48-44', '+7 (928) 260-16-00'</t>
  </si>
  <si>
    <t>info@uirf.com'</t>
  </si>
  <si>
    <t>44.757326,37.720187</t>
  </si>
  <si>
    <t>ОБЩЕСТВО С ОГРАНИЧЕННОЙ ОТВЕТСТВЕННОСТЬЮ "ГЕЛЕНДЖИКБЕТОН"</t>
  </si>
  <si>
    <t xml:space="preserve"> "ГЕЛЕНДЖИКБЕТОН"</t>
  </si>
  <si>
    <t>2315186786</t>
  </si>
  <si>
    <t>353960, КРАСНОДАРСКИЙ КРАЙ, Г. НОВОРОССИЙСК, С ЦЕМДОЛИНА, УЛ. ГОГОЛЯ, Д.40А</t>
  </si>
  <si>
    <t>Машаров Сурен Сергеевич</t>
  </si>
  <si>
    <t>+7 (918) 055-07-07'</t>
  </si>
  <si>
    <t>44.788834,37.699041</t>
  </si>
  <si>
    <t>ОБЩЕСТВО С ОГРАНИЧЕННОЙ ОТВЕТСТВЕННОСТЬЮ "НОВОРОСССИЙСКИЙ БЕТОННЫЙ ЗАВОД"</t>
  </si>
  <si>
    <t xml:space="preserve"> "НОВОРОСССИЙСКИЙ БЕТОННЫЙ ЗАВОД"</t>
  </si>
  <si>
    <t>2315188110</t>
  </si>
  <si>
    <t>353990, КРАСНОДАРСКИЙ КРАЙ, Г. НОВОРОССИЙСК, С ГАЙДУК, УЛ. ЗАВОДСКАЯ, Ж/Д ТУПИК №9</t>
  </si>
  <si>
    <t>Мирзаханян Игорь Леонидович</t>
  </si>
  <si>
    <t>+7 (909) 464-61-28'</t>
  </si>
  <si>
    <t>buhgalter@mail.ru', 'buhgalter@mail.ru'</t>
  </si>
  <si>
    <t>44.845963,37.548213</t>
  </si>
  <si>
    <t>ОБЩЕСТВО С ОГРАНИЧЕННОЙ ОТВЕТСТВЕННОСТЬЮ "ЭКО ГРУПП"</t>
  </si>
  <si>
    <t xml:space="preserve"> "ЭКО ГРУПП"</t>
  </si>
  <si>
    <t>2315208743</t>
  </si>
  <si>
    <t>353983, Краснодарский край, городской округ ГОРОД НОВОРОССИЙСК, СТ-ЦА РАЕВСКАЯ, УЛ НАТУХАЕВСКАЯ, Д. 1, КОМ. 1</t>
  </si>
  <si>
    <t>Волкова Русана Рахимовна</t>
  </si>
  <si>
    <t>44.752884,37.687219</t>
  </si>
  <si>
    <t>ОБЩЕСТВО С ОГРАНИЧЕННОЙ ОТВЕТСТВЕННОСТЬЮ "МОНОЛИТ-КОНКРЕТ"</t>
  </si>
  <si>
    <t xml:space="preserve"> "МОНОЛИТ-КОНКРЕТ"</t>
  </si>
  <si>
    <t>2315210693</t>
  </si>
  <si>
    <t>353960, КРАСНОДАРСКИЙ КРАЙ, ГОРОД НОВОРОССИЙСК, СЕЛО БОРИСОВКА, УЛИЦА СУВОРОВА, ДОМ 71</t>
  </si>
  <si>
    <t>Лазукова Елена Владимировна</t>
  </si>
  <si>
    <t>beton@655911.ru'</t>
  </si>
  <si>
    <t>44.679635,37.77272</t>
  </si>
  <si>
    <t>ОБЩЕСТВО С ОГРАНИЧЕННОЙ ОТВЕТСТВЕННОСТЬЮ "СЕТЬ БЕТОННЫХ ЗАВОДОВ"</t>
  </si>
  <si>
    <t xml:space="preserve"> "СЕТЬ БЕТОННЫХ ЗАВОДОВ"</t>
  </si>
  <si>
    <t>2315219047</t>
  </si>
  <si>
    <t>353925, КРАСНОДАРСКИЙ КРАЙ, Г. Новороссийск, УЛ. ХВОРОСТЯНСКОГО, Д. 25, К. 1,..</t>
  </si>
  <si>
    <t>Кулаева Валерия Игоревна</t>
  </si>
  <si>
    <t>44.791674,37.674687</t>
  </si>
  <si>
    <t>ОБЩЕСТВО С ОГРАНИЧЕННОЙ ОТВЕТСТВЕННОСТЬЮ "ФОРДБЕТОН"</t>
  </si>
  <si>
    <t xml:space="preserve"> "ФОРДБЕТОН"</t>
  </si>
  <si>
    <t>2315226291</t>
  </si>
  <si>
    <t>353998, Краснодарский край, ГОРОД НОВОРОССИЙСК, С ВЛАДИМИРОВКА, УЛ ЛЕСНАЯ, Д. 6</t>
  </si>
  <si>
    <t>Немец Галина Алексеевна</t>
  </si>
  <si>
    <t>44.750336,37.758365</t>
  </si>
  <si>
    <t>ОБЩЕСТВО С ОГРАНИЧЕННОЙ ОТВЕТСТВЕННОСТЬЮ "МОСТГЛАВСНАБ"</t>
  </si>
  <si>
    <t xml:space="preserve"> "МОСТГЛАВСНАБ"</t>
  </si>
  <si>
    <t>2315982869</t>
  </si>
  <si>
    <t>353960, Краснодарский край, городской округ ГОРОД НОВОРОССИЙСК, Город НОВОРОССИЙСК, УЛ 2-Я Ж/Д ПЕТЛЯ, Д. 3, ЭТАЖ 2, КАБ. 30</t>
  </si>
  <si>
    <t>Крючков Михаил Викторович</t>
  </si>
  <si>
    <t>+7 (918) 492-90-28'</t>
  </si>
  <si>
    <t>166@novorosmetall.ru'</t>
  </si>
  <si>
    <t>44.728113,37.739159</t>
  </si>
  <si>
    <t>ОБЩЕСТВО С ОГРАНИЧЕННОЙ ОТВЕТСТВЕННОСТЬЮ "БЕТОН МСС"</t>
  </si>
  <si>
    <t xml:space="preserve"> "БЕТОН МСС"</t>
  </si>
  <si>
    <t>2315986550</t>
  </si>
  <si>
    <t>353907, КРАСНОДАРСКИЙ КРАЙ, Г. НОВОРОССИЙСК, УЛ. ЛУНАЧАРСКОГО, Д. 25/Б</t>
  </si>
  <si>
    <t>Ковалев Владимир Вилыч</t>
  </si>
  <si>
    <t>302@mail.ru', 'golub1980@mail.ru'</t>
  </si>
  <si>
    <t>44.715592,37.586877</t>
  </si>
  <si>
    <t>2315995466</t>
  </si>
  <si>
    <t>353995, КРАСНОДАРСКИЙ КРАЙ, НОВОРОССИЙСК Г, АБРАУ-ДЮРСО С, МАГИСТРАЛЬНАЯ УЛ, ДОМ 10</t>
  </si>
  <si>
    <t>Мирошников Александр Александрович</t>
  </si>
  <si>
    <t>+7 (988) 316-08-30'</t>
  </si>
  <si>
    <t>43.424188,39.94658</t>
  </si>
  <si>
    <t>ОБЩЕСТВО С ОГРАНИЧЕННОЙ ОТВЕТСТВЕННОСТЬЮ "СПЕЦМОНОЛИТ"</t>
  </si>
  <si>
    <t xml:space="preserve"> "СПЕЦМОНОЛИТ"</t>
  </si>
  <si>
    <t>2317049030</t>
  </si>
  <si>
    <t>354340, КРАСНОДАРСКИЙ КРАЙ, ГОРОД СОЧИ, УЛИЦА ЭНЕРГЕТИКОВ (АДЛЕРСКИЙ Р-Н), 3</t>
  </si>
  <si>
    <t>Чантурия Игорь Святославович</t>
  </si>
  <si>
    <t>+7 (918) 407-32-95'</t>
  </si>
  <si>
    <t>43.453867,39.912597</t>
  </si>
  <si>
    <t>ОБЩЕСТВО С ОГРАНИЧЕННОЙ ОТВЕТСТВЕННОСТЬЮ "СУ-25"</t>
  </si>
  <si>
    <t xml:space="preserve"> "СУ-25"</t>
  </si>
  <si>
    <t>2317050205</t>
  </si>
  <si>
    <t>354340, КРАСНОДАРСКИЙ КРАЙ, ГОРОД СОЧИ, УЛИЦА ТРОИЦКАЯ (АДЛЕРСКИЙ Р-Н), 58</t>
  </si>
  <si>
    <t>+7 (918) 408-90-96'</t>
  </si>
  <si>
    <t>43.431443,39.921958</t>
  </si>
  <si>
    <t>ОБЩЕСТВО С ОГРАНИЧЕННОЙ ОТВЕТСТВЕННОСТЬЮ "ПРОМТЕХНИКА"</t>
  </si>
  <si>
    <t xml:space="preserve"> "ПРОМТЕХНИКА"</t>
  </si>
  <si>
    <t>2317051008</t>
  </si>
  <si>
    <t>354340, КРАСНОДАРСКИЙ КРАЙ, Г. СОЧИ, УЛ. СВЕРДЛОВА (АДЛЕРСКИЙ Р-Н), Д.55,..</t>
  </si>
  <si>
    <t>Шипилов Алексей Иванович</t>
  </si>
  <si>
    <t>45.024635,38.973786</t>
  </si>
  <si>
    <t>ОБЩЕСТВО С ОГРАНИЧЕННОЙ ОТВЕТСТВЕННОСТЬЮ "Южная Производственно-Строительная Компания"</t>
  </si>
  <si>
    <t xml:space="preserve"> "Южная Производственно-Строительная Компания"</t>
  </si>
  <si>
    <t>2317057063</t>
  </si>
  <si>
    <t>350000, КРАСНОДАРСКИЙ КРАЙ, ГОРОД КРАСНОДАР, УЛИЦА ГИМНАЗИЧЕСКАЯ, ДОМ 40, ОФИС 6</t>
  </si>
  <si>
    <t>Мюселимян Левон Аршакович</t>
  </si>
  <si>
    <t>+7 (918) 409-16-67', '+7 (918) 606-08-45'</t>
  </si>
  <si>
    <t>43.454365,39.918355</t>
  </si>
  <si>
    <t>ОБЩЕСТВО С ОГРАНИЧЕННОЙ ОТВЕТСТВЕННОСТЬЮ "Торговый Дом "СочиТехСтрой"</t>
  </si>
  <si>
    <t xml:space="preserve"> "Торговый Дом "СочиТехСтрой"</t>
  </si>
  <si>
    <t>2317069157</t>
  </si>
  <si>
    <t>354395, КРАСНОДАРСКИЙ КРАЙ, Г. СОЧИ, УЛ. ГАСТЕЛЛО (АДЛЕРСКИЙ Р-Н), Д.23, К.А</t>
  </si>
  <si>
    <t>Сафиуллин Дмитрий Ралифович</t>
  </si>
  <si>
    <t>+7 (988) 282-66-23', '+7 (918) 003-57-90'</t>
  </si>
  <si>
    <t>43.576794,39.747999</t>
  </si>
  <si>
    <t>ОБЩЕСТВО С ОГРАНИЧЕННОЙ ОТВЕТСТВЕННОСТЬЮ "ЮГИНЖСТРОЙ"</t>
  </si>
  <si>
    <t xml:space="preserve"> "ЮГИНЖСТРОЙ"</t>
  </si>
  <si>
    <t>2317071540</t>
  </si>
  <si>
    <t>354002, КРАСНОДАРСКИЙ КРАЙ, ГОРОД СОЧИ, УЛИЦА Я.ФАБРИЦИУСА (ХОСТИНСКИЙ Р-Н), ДОМ 33, ОФИС 211</t>
  </si>
  <si>
    <t>Зебилян Арсен Арутович</t>
  </si>
  <si>
    <t>+7 (918) 307-45-65'</t>
  </si>
  <si>
    <t>43.601332,39.739636</t>
  </si>
  <si>
    <t>ОБЩЕСТВО С ОГРАНИЧЕННОЙ ОТВЕТСТВЕННОСТЬЮ "ЮЖНАЯ КОРОНА"</t>
  </si>
  <si>
    <t xml:space="preserve"> "ЮЖНАЯ КОРОНА"</t>
  </si>
  <si>
    <t>2317072706</t>
  </si>
  <si>
    <t>354000, КРАСНОДАРСКИЙ КРАЙ, Г. Сочи, УЛ. ПЛАСТУНСКАЯ, Д. 50/2, ОФИС 42</t>
  </si>
  <si>
    <t>Акопян Георгий Акопович</t>
  </si>
  <si>
    <t>+7 (928) 245-63-22'</t>
  </si>
  <si>
    <t>yuzhnayakorona@inbox.', 'yuzhnayakorona@inbox.ru'</t>
  </si>
  <si>
    <t>43.426257,39.945332</t>
  </si>
  <si>
    <t>ОБЩЕСТВО С ОГРАНИЧЕННОЙ ОТВЕТСТВЕННОСТЬЮ "ВЕКТОР-ЮГ"</t>
  </si>
  <si>
    <t xml:space="preserve"> "ВЕКТОР-ЮГ"</t>
  </si>
  <si>
    <t>2317074407</t>
  </si>
  <si>
    <t>354340, КРАСНОДАРСКИЙ КРАЙ, Г. СОЧИ, УЛ. ЭНЕРГЕТИКОВ (АДЛЕРСКИЙ Р-Н), Д. 7, СТР. 2, ОФИС 2</t>
  </si>
  <si>
    <t>+7 (891) 840-02-80'</t>
  </si>
  <si>
    <t>vektor400200@mail.ru', 'vektor400200@mail.ru'</t>
  </si>
  <si>
    <t>43.433099,39.934417</t>
  </si>
  <si>
    <t>ОБЩЕСТВО С ОГРАНИЧЕННОЙ ОТВЕТСТВЕННОСТЬЮ "МОНОЛИТБЕТОН"</t>
  </si>
  <si>
    <t xml:space="preserve"> "МОНОЛИТБЕТОН"</t>
  </si>
  <si>
    <t>2317074904</t>
  </si>
  <si>
    <t>354340, КРАСНОДАРСКИЙ КРАЙ, ГОРОД СОЧИ, УЛИЦА АВИАЦИОННАЯ (АДЛЕРСКИЙ Р-Н), ДОМ 19А, ОФИС 1</t>
  </si>
  <si>
    <t>Джинчарадзе Каха Зурабович</t>
  </si>
  <si>
    <t>+7 (964) 896-46-47'</t>
  </si>
  <si>
    <t>retara@mail.ru', 'retara@mail.ru'</t>
  </si>
  <si>
    <t>43.661276,39.764744</t>
  </si>
  <si>
    <t>ОБЩЕСТВО С ОГРАНИЧЕННОЙ ОТВЕТСТВЕННОСТЬЮ "СТРОЙ ПАРТНЕР"</t>
  </si>
  <si>
    <t xml:space="preserve"> "СТРОЙ ПАРТНЕР"</t>
  </si>
  <si>
    <t>2317082616</t>
  </si>
  <si>
    <t>354055, КРАСНОДАРСКИЙ КРАЙ, ГОРОД СОЧИ, СЕЛО ПЛАСТУНКА, УЛИЦА ЛЕСЕЛИДЗЕ, ДОМ 3</t>
  </si>
  <si>
    <t>Хецуриани Давид Роиниевич</t>
  </si>
  <si>
    <t>+7 (918) 005-55-88'</t>
  </si>
  <si>
    <t>43.720737,39.576735</t>
  </si>
  <si>
    <t>ОБЩЕСТВО С ОГРАНИЧЕННОЙ ОТВЕТСТВЕННОСТЬЮ "КИЕТ"</t>
  </si>
  <si>
    <t xml:space="preserve"> "КИЕТ"</t>
  </si>
  <si>
    <t>2318008950</t>
  </si>
  <si>
    <t>КРАСНОДАРСКИЙ КРАЙ,Г СОЧИ,УЛ МАГНИТОГОРСКАЯ, Д 16</t>
  </si>
  <si>
    <t>Князев Игорь Витальевич</t>
  </si>
  <si>
    <t>+7 (902) 409-63-66'</t>
  </si>
  <si>
    <t>43.905147,39.334424</t>
  </si>
  <si>
    <t>ОБЩЕСТВО С ОГРАНИЧЕННОЙ ОТВЕТСТВЕННОСТЬЮ "ПРОТОСПЛЮС"</t>
  </si>
  <si>
    <t xml:space="preserve"> "ПРОТОСПЛЮС"</t>
  </si>
  <si>
    <t>2318031653</t>
  </si>
  <si>
    <t>КРАСНОДАРСКИЙ КРАЙ,Г СОЧИ,УЛ ОДОЕВСКОГО, Д 17</t>
  </si>
  <si>
    <t>Прошкуратов Андрей Викторович</t>
  </si>
  <si>
    <t>+7 (918) 611-44-54'</t>
  </si>
  <si>
    <t>43.902907,39.340029</t>
  </si>
  <si>
    <t>ОБЩЕСТВО С ОГРАНИЧЕННОЙ ОТВЕТСТВЕННОСТЬЮ "Монолит-Техно"</t>
  </si>
  <si>
    <t xml:space="preserve"> "Монолит-Техно"</t>
  </si>
  <si>
    <t>2318040224</t>
  </si>
  <si>
    <t>354200, КРАСНОДАРСКИЙ КРАЙ, ГОРОД СОЧИ, УЛИЦА ДНЕПРОВСКАЯ (ЛАЗАРЕВСКИЙ Р-Н), 2</t>
  </si>
  <si>
    <t>Сафонов Андрей Николаевич</t>
  </si>
  <si>
    <t>+7 (918) 200-33-66'</t>
  </si>
  <si>
    <t>43.707581,39.585179</t>
  </si>
  <si>
    <t>ОБЩЕСТВО С ОГРАНИЧЕННОЙ ОТВЕТСТВЕННОСТЬЮ "РЕВАНШ"</t>
  </si>
  <si>
    <t xml:space="preserve"> "РЕВАНШ"</t>
  </si>
  <si>
    <t>2318044483</t>
  </si>
  <si>
    <t>354208, КРАСНОДАРСКИЙ КРАЙ, ГОРОД СОЧИ, УЛИЦА ВОССТАНИЯ (ЛАЗАРЕВСКИЙ Р-Н), ДОМ 19,..</t>
  </si>
  <si>
    <t>Дурнян Вартан Оганесович</t>
  </si>
  <si>
    <t>+7 (918) 909-88-88'</t>
  </si>
  <si>
    <t>43.663552,39.663988</t>
  </si>
  <si>
    <t>ОБЩЕСТВО С ОГРАНИЧЕННОЙ ОТВЕТСТВЕННОСТЬЮ "ТЕХАЛЬЯНС"</t>
  </si>
  <si>
    <t xml:space="preserve"> "ТЕХАЛЬЯНС"</t>
  </si>
  <si>
    <t>2318048760</t>
  </si>
  <si>
    <t>354207, КРАСНОДАРСКИЙ КРАЙ, ГОРОД СОЧИ, УЛИЦА БАТУМСКОЕ ШОССЕ (ЛАЗАРЕВСКИЙ Р-Н), 55 А</t>
  </si>
  <si>
    <t>Цеев Беслан Хажмухамедович</t>
  </si>
  <si>
    <t>+7 (918) 206-02-51'</t>
  </si>
  <si>
    <t>2617513@mail.ru'</t>
  </si>
  <si>
    <t>43.601749,39.732692</t>
  </si>
  <si>
    <t>ОБЩЕСТВО С ОГРАНИЧЕННОЙ ОТВЕТСТВЕННОСТЬЮ "ПРОИЗВОДСТВЕННАЯ КОМПАНИЯ "ОАЗИС"</t>
  </si>
  <si>
    <t xml:space="preserve"> "ПРОИЗВОДСТВЕННАЯ КОМПАНИЯ "ОАЗИС"</t>
  </si>
  <si>
    <t>2319043958</t>
  </si>
  <si>
    <t>354000, Краснодарский край, городской округ ГОРОД-КУРОРТ СОЧИ, Город СОЧИ, УЛ КОНСТИТУЦИИ СССР, Д. 44/4, КАБИНЕТ 49</t>
  </si>
  <si>
    <t>Берия Дмитрий Тариэлович</t>
  </si>
  <si>
    <t>+7 (918) 306-52-47', '+7 (918) 305-70-87'</t>
  </si>
  <si>
    <t>oazis@yandex.ru', 'oazis@yandex.ru', 'oazis@yandex.ru'</t>
  </si>
  <si>
    <t>43.564449,39.766666</t>
  </si>
  <si>
    <t>ОБЩЕСТВО С ОГРАНИЧЕННОЙ ОТВЕТСТВЕННОСТЬЮ "Строительно-монтажное управление № 40"</t>
  </si>
  <si>
    <t xml:space="preserve"> "Строительно-монтажное управление № 40"</t>
  </si>
  <si>
    <t>2319045803</t>
  </si>
  <si>
    <t>354054, КРАСНОДАРСКИЙ КРАЙ, ГОРОД СОЧИ, УЛИЦА ВОРОШИЛОВСКАЯ (ХОСТИНСКИЙ Р-Н), 4</t>
  </si>
  <si>
    <t>Вигурский Сергей Александрович</t>
  </si>
  <si>
    <t>+7 (918) 401-48-20', '+7 (988) 507-31-25'</t>
  </si>
  <si>
    <t xml:space="preserve"> "Аврора"</t>
  </si>
  <si>
    <t>2319049269</t>
  </si>
  <si>
    <t>301367, ТУЛЬСКАЯ ОБЛАСТЬ, РАЙОН АЛЕКСИНСКИЙ, ГОРОД АЛЕКСИН, УЛИЦА Ф.ЭНГЕЛЬСА, 34, 2, 59</t>
  </si>
  <si>
    <t>Муравлев Роман Владимирович</t>
  </si>
  <si>
    <t>+7 (903) 842-87-28'</t>
  </si>
  <si>
    <t>43.585472,39.723098</t>
  </si>
  <si>
    <t>ОБЩЕСТВО С ОГРАНИЧЕННОЙ ОТВЕТСТВЕННОСТЬЮ "СТАНДАРТ БЕТОН"</t>
  </si>
  <si>
    <t xml:space="preserve"> "СТАНДАРТ БЕТОН"</t>
  </si>
  <si>
    <t>2319058930</t>
  </si>
  <si>
    <t>http://стандартбетон.рф</t>
  </si>
  <si>
    <t>354024, КРАСНОДАРСКИЙ КРАЙ, Г. СОЧИ, УЛ. АЛЛЕЯ ЧЕЛТЕНХЭМА (ХОСТИНСКИЙ Р-Н), Д. 6/2</t>
  </si>
  <si>
    <t>Варенко Любовь Степановна</t>
  </si>
  <si>
    <t>+7 (988) 412-36-26'</t>
  </si>
  <si>
    <t>sila_72@mail.ru', 'yuliyasochi@yandex.ru', 'sila_72@mail.ru', 'sila_72@mail.ru'</t>
  </si>
  <si>
    <t>43.65615,39.694819</t>
  </si>
  <si>
    <t>ОБЩЕСТВО С ОГРАНИЧЕННОЙ ОТВЕТСТВЕННОСТЬЮ "РЖД"</t>
  </si>
  <si>
    <t xml:space="preserve"> "РЖД"</t>
  </si>
  <si>
    <t>2320180821</t>
  </si>
  <si>
    <t>354207, КРАСНОДАРСКИЙ КРАЙ, Г. СОЧИ, УЛ. БАТУМСКОЕ ШОССЕ (ЛАЗАРЕВСКИЙ Р-Н), Д. 18-А, ПОМЕЩ. 5</t>
  </si>
  <si>
    <t>Барахаштов Рустам Рустимович</t>
  </si>
  <si>
    <t>43.396086,39.977177</t>
  </si>
  <si>
    <t>ОБЩЕСТВО С ОГРАНИЧЕННОЙ ОТВЕТСТВЕННОСТЬЮ "ГрандПлюс"</t>
  </si>
  <si>
    <t xml:space="preserve"> "ГрандПлюс"</t>
  </si>
  <si>
    <t>2320191414</t>
  </si>
  <si>
    <t>354349, КРАСНОДАРСКИЙ КРАЙ, ПГТ СИРИУС, УЛ. 65 ЛЕТ ПОБЕДЫ, Д. 61, К. 9, СЕКЦИЯ 2</t>
  </si>
  <si>
    <t>+7 (967) 640-95-29'</t>
  </si>
  <si>
    <t>43.636782,39.754341</t>
  </si>
  <si>
    <t>ОБЩЕСТВО С ОГРАНИЧЕННОЙ ОТВЕТСТВЕННОСТЬЮ "Гамма-Бетон"</t>
  </si>
  <si>
    <t xml:space="preserve"> "Гамма-Бетон"</t>
  </si>
  <si>
    <t>2320198949</t>
  </si>
  <si>
    <t>354073, КРАСНОДАРСКИЙ КРАЙ, Г. СОЧИ, УЛ. ПЛАСТУНСКАЯ (ЦЕНТРАЛЬНЫЙ Р-Н), Д.200</t>
  </si>
  <si>
    <t>Урбанович Оксана Сергеевна</t>
  </si>
  <si>
    <t>43.62815,39.713459</t>
  </si>
  <si>
    <t>ОБЩЕСТВО С ОГРАНИЧЕННОЙ ОТВЕТСТВЕННОСТЬЮ "АВСТРОМОБИЛ-СОЧИ"</t>
  </si>
  <si>
    <t xml:space="preserve"> "АВСТРОМОБИЛ-СОЧИ"</t>
  </si>
  <si>
    <t>2320218546</t>
  </si>
  <si>
    <t>http://avstromobil.ru</t>
  </si>
  <si>
    <t>354068, КРАСНОДАРСКИЙ КРАЙ, Г. СОЧИ, УЛ. КАЛУЖСКАЯ (ЦЕНТРАЛЬНЫЙ Р-Н), Д.25, К.1</t>
  </si>
  <si>
    <t>Ромасенко Максим Юрьевич</t>
  </si>
  <si>
    <t>+7 (918) 904-30-33'</t>
  </si>
  <si>
    <t>romas85@mail.ru', 'romas85@mail.ru', 'romas85@mail.ru'</t>
  </si>
  <si>
    <t>43.603492,39.741765</t>
  </si>
  <si>
    <t>ОБЩЕСТВО С ОГРАНИЧЕННОЙ ОТВЕТСТВЕННОСТЬЮ "СМУ 21-РБУ 1"</t>
  </si>
  <si>
    <t xml:space="preserve"> "СМУ 21-РБУ 1"</t>
  </si>
  <si>
    <t>2320220009</t>
  </si>
  <si>
    <t>354000, КРАСНОДАРСКИЙ КРАЙ, Г. СОЧИ, УЛ. ПЛАСТУНСКАЯ (ЦЕНТРАЛЬНЫЙ Р-Н), Д. 50/6, ОФИС 1</t>
  </si>
  <si>
    <t>Ахалкаци Иосиф Тристанович</t>
  </si>
  <si>
    <t>+7 (862) 268-22-21'</t>
  </si>
  <si>
    <t>cmu21@mail.ru'</t>
  </si>
  <si>
    <t>45.444792,39.449228</t>
  </si>
  <si>
    <t>ОБЩЕСТВО С ОГРАНИЧЕННОЙ ОТВЕТСТВЕННОСТЬЮ "ФИРМА "АЛЬБАТРОС-21"</t>
  </si>
  <si>
    <t xml:space="preserve"> "ФИРМА "АЛЬБАТРОС-21"</t>
  </si>
  <si>
    <t>2320233449</t>
  </si>
  <si>
    <t>КРАСНОДАРСКИЙ КРАЙ,Г КОРЕНОВСК,УЛ ТИМАШЕВСКАЯ, Д 30</t>
  </si>
  <si>
    <t>Политов Артур Владимирович</t>
  </si>
  <si>
    <t>45.453878,38.702656</t>
  </si>
  <si>
    <t>ОБЩЕСТВО С ОГРАНИЧЕННОЙ ОТВЕТСТВЕННОСТЬЮ "МеталлИнжиниринг"</t>
  </si>
  <si>
    <t xml:space="preserve"> "МеталлИнжиниринг"</t>
  </si>
  <si>
    <t>2333006926</t>
  </si>
  <si>
    <t>353793, КРАСНОДАРСКИЙ КРАЙ, РАЙОН КАЛИНИНСКИЙ, СТАНИЦА СТАРОВЕЛИЧКОВСКАЯ, УЛИЦА ПРИВОКЗАЛЬНАЯ, ДОМ 6А</t>
  </si>
  <si>
    <t>Левченко Станислав Александрович</t>
  </si>
  <si>
    <t>+7 (965) 466-96-60', '+7 (918) 461-42-56'</t>
  </si>
  <si>
    <t>45.366497,38.21029</t>
  </si>
  <si>
    <t>ОБЩЕСТВО С ОГРАНИЧЕННОЙ ОТВЕТСТВЕННОСТЬЮ "СОЛОМОН"</t>
  </si>
  <si>
    <t xml:space="preserve"> "СОЛОМОН"</t>
  </si>
  <si>
    <t>2336018038</t>
  </si>
  <si>
    <t>КРАСНОДАРСКИЙ КРАЙ,КРАСНОАРМЕЙСКИЙ Р-Н,СТ-ЦА ПОЛТАВСКАЯ,УЛ КОММУНИСТИЧЕСКАЯ, Д 201</t>
  </si>
  <si>
    <t>Стародубцева Елена Викторовна</t>
  </si>
  <si>
    <t>+7 (918) 398-64-81', '+7 (918) 186-80-03'</t>
  </si>
  <si>
    <t>44.918221,38.017898</t>
  </si>
  <si>
    <t>ОБЩЕСТВО С ОГРАНИЧЕННОЙ ОТВЕТСТВЕННОСТЬЮ "КРЫМСКБЕТОНПРОМ"</t>
  </si>
  <si>
    <t xml:space="preserve"> "КРЫМСКБЕТОНПРОМ"</t>
  </si>
  <si>
    <t>2337032290</t>
  </si>
  <si>
    <t>http://krymskbeton.ru</t>
  </si>
  <si>
    <t>КРАСНОДАРСКИЙ КРАЙ,Г КРЫМСК,УЛ ЛИНЕЙНАЯ, Д 81</t>
  </si>
  <si>
    <t>Вербов Юрий Васильевич</t>
  </si>
  <si>
    <t>+7 (918) 494-61-96', '+7 (988) 135-14-15'</t>
  </si>
  <si>
    <t>44.85581,40.611684</t>
  </si>
  <si>
    <t>ОБЩЕСТВО С ОГРАНИЧЕННОЙ ОТВЕТСТВЕННОСТЬЮ "СК БЕТОН-МАСТЕР"</t>
  </si>
  <si>
    <t xml:space="preserve"> "СК БЕТОН-МАСТЕР"</t>
  </si>
  <si>
    <t>2339023212</t>
  </si>
  <si>
    <t>352430, Краснодарский край, Курганинский район, г Курганинск, ул Садовая, стр 246, корп Г</t>
  </si>
  <si>
    <t>Подзолко Виталий Александрович</t>
  </si>
  <si>
    <t>+7 (918) 125-22-22'</t>
  </si>
  <si>
    <t>varlakova63@mail.ru'</t>
  </si>
  <si>
    <t>44.914009,38.838949</t>
  </si>
  <si>
    <t xml:space="preserve"> "СТРОЙРЕСУРС"</t>
  </si>
  <si>
    <t>2348039674</t>
  </si>
  <si>
    <t>353236, КРАСНОДАРСКИЙ КРАЙ, РАЙОН СЕВЕРСКИЙ, ПОСЕЛОК ГОРОДСКОГО ТИПА АФИПСКИЙ, ПРОЕЗД МИРА, ДОМ 5</t>
  </si>
  <si>
    <t>Ситников Алексей Николаевич</t>
  </si>
  <si>
    <t>+7 (918) 494-23-67'</t>
  </si>
  <si>
    <t>44.856602,38.659879</t>
  </si>
  <si>
    <t>ОБЩЕСТВО С ОГРАНИЧЕННОЙ ОТВЕТСТВЕННОСТЬЮ " ЯНТАРЬ-МП"</t>
  </si>
  <si>
    <t xml:space="preserve"> " ЯНТАРЬ-МП"</t>
  </si>
  <si>
    <t>2348039882</t>
  </si>
  <si>
    <t>353240, КРАСНОДАРСКИЙ КРАЙ, Р-Н СЕВЕРСКИЙ, СТ-ЦА СЕВЕРСКАЯ, УЛ. ЗАПАДНАЯ, Д. 27</t>
  </si>
  <si>
    <t>Момот Ольга Павловна</t>
  </si>
  <si>
    <t>yantar@yandex.ru', 'krk@mail.ru'</t>
  </si>
  <si>
    <t>45.220984,38.111933</t>
  </si>
  <si>
    <t xml:space="preserve"> "КОНСТАНТА"</t>
  </si>
  <si>
    <t>2349018966</t>
  </si>
  <si>
    <t>КРАСНОДАРСКИЙ КРАЙ,Г СЛАВЯНСК-НА-КУБАНИ,УЛ ЗАПАДНАЯ, Д 1/А</t>
  </si>
  <si>
    <t>Стариков Александр Борисович</t>
  </si>
  <si>
    <t>+7 (918) 466-17-17', '+7 (918) 433-14-02'</t>
  </si>
  <si>
    <t>45.595933,38.921324</t>
  </si>
  <si>
    <t xml:space="preserve"> "ПРИЗМА"</t>
  </si>
  <si>
    <t>2353018077</t>
  </si>
  <si>
    <t>КРАСНОДАРСКИЙ КРАЙ,Г ТИМАШЕВСК,П САДОВОД, УЛ КРАСНАЯ, Д 228</t>
  </si>
  <si>
    <t>Робилко Леонид Григорьевич</t>
  </si>
  <si>
    <t>45.863486,40.100633</t>
  </si>
  <si>
    <t>ОБЩЕСТВО С ОГРАНИЧЕННОЙ ОТВЕТСТВЕННОСТЬЮ "Строй-бетон-монтаж"</t>
  </si>
  <si>
    <t xml:space="preserve"> "Строй-бетон-монтаж"</t>
  </si>
  <si>
    <t>2360004702</t>
  </si>
  <si>
    <t>352120, КРАСНОДАРСКИЙ КРАЙ, Р-Н ТИХОРЕЦКИЙ, Г. ТИХОРЕЦК, УЛ. ФЕДОСЕЕВА, Д.43</t>
  </si>
  <si>
    <t>Сяковский Николай Викторович</t>
  </si>
  <si>
    <t>+7 (861) 967-25-93'</t>
  </si>
  <si>
    <t>45.867722,40.084409</t>
  </si>
  <si>
    <t>ОБЩЕСТВО С ОГРАНИЧЕННОЙ ОТВЕТСТВЕННОСТЬЮ "БЕТ-ПЛЮС"</t>
  </si>
  <si>
    <t xml:space="preserve"> "БЕТ-ПЛЮС"</t>
  </si>
  <si>
    <t>2360009764</t>
  </si>
  <si>
    <t>352120, КРАСНОДАРСКИЙ КРАЙ, ТИХОРЕЦКИЙ Р-Н, ТИХОРЕЦК Г, ДОНСКАЯ УЛ, ДОМ 30/5</t>
  </si>
  <si>
    <t>Чичин Максим Анатольевич</t>
  </si>
  <si>
    <t>+7 (918) 444-61-85'</t>
  </si>
  <si>
    <t>46.095224,40.829813</t>
  </si>
  <si>
    <t>ОБЩЕСТВО С ОГРАНИЧЕННОЙ ОТВЕТСТВЕННОСТЬЮ ЖЕЛЕЗОБЕТОННЫЕ ИЗДЕЛИЯ "БЕТОНКОНКОРД"</t>
  </si>
  <si>
    <t xml:space="preserve"> ЖЕЛЕЗОБЕТОННЫЕ ИЗДЕЛИЯ "БЕТОНКОНКОРД"</t>
  </si>
  <si>
    <t>2360009919</t>
  </si>
  <si>
    <t>353040, КРАСНОДАРСКИЙ КРАЙ, Р-Н БЕЛОГЛИНСКИЙ, С БЕЛАЯ ГЛИНА, УЛ. СТЕПНАЯ, Д. 6, ОФИС 1</t>
  </si>
  <si>
    <t>Булацева Инга Игоревна</t>
  </si>
  <si>
    <t>+7 (918) 188-54-44'</t>
  </si>
  <si>
    <t>45.840021,40.156903</t>
  </si>
  <si>
    <t>ОБЩЕСТВО С ОГРАНИЧЕННОЙ ОТВЕТСТВЕННОСТЬЮ "СПЕЦТРАНС-ЮГ"</t>
  </si>
  <si>
    <t xml:space="preserve"> "СПЕЦТРАНС-ЮГ"</t>
  </si>
  <si>
    <t>2360010015</t>
  </si>
  <si>
    <t>352104, КРАСНОДАРСКИЙ КРАЙ, РАЙОН ТИХОРЕЦКИЙ, ПОСЕЛОК ПАРКОВЫЙ, ТЕРРИТОРИЯ ПРОМЗОНА, ДОМ 7, ОФИС 2</t>
  </si>
  <si>
    <t>Бакаев Антон Сергеевич</t>
  </si>
  <si>
    <t>+7 (918) 195-62-61', '+7 (918) 444-31-03'</t>
  </si>
  <si>
    <t>46.68569,38.268078</t>
  </si>
  <si>
    <t>ОБЩЕСТВО С ОГРАНИЧЕННОЙ ОТВЕТСТВЕННОСТЬЮ "ВАЛЕНСИЯ"</t>
  </si>
  <si>
    <t xml:space="preserve"> "ВАЛЕНСИЯ"</t>
  </si>
  <si>
    <t>2361013474</t>
  </si>
  <si>
    <t>353682, КРАСНОДАРСКИЙ КРАЙ, ЕЙСКИЙ Р-Н, ЕЙСК Г, Б.ХМЕЛЬНИЦКОГО УЛ, ДОМ 230В, КОРПУС 1</t>
  </si>
  <si>
    <t>Абашидзе Каха Мурадович</t>
  </si>
  <si>
    <t>+7 (903) 456-03-33'</t>
  </si>
  <si>
    <t>esk@yandex.ru', 'esk@yandex.ru'</t>
  </si>
  <si>
    <t>46.673485,38.310694</t>
  </si>
  <si>
    <t xml:space="preserve"> "НОВОСТРОЙ"</t>
  </si>
  <si>
    <t>2361016235</t>
  </si>
  <si>
    <t>353691, КРАСНОДАРСКИЙ КРАЙ, Р-Н ЕЙСКИЙ, Г. ЕЙСК, ПЕР. ЗАВОДСКОЙ, Д. 22А,..</t>
  </si>
  <si>
    <t>Трюх Роман Викторович</t>
  </si>
  <si>
    <t>46.324468,39.967907</t>
  </si>
  <si>
    <t xml:space="preserve"> "АЛЬЯНС"</t>
  </si>
  <si>
    <t>2362001129</t>
  </si>
  <si>
    <t>352080, КРАСНОДАРСКИЙ КРАЙ, РАЙОН КРЫЛОВСКИЙ, СТАНИЦА КРЫЛОВСКАЯ, УЛИЦА КОМСОМОЛЬСКАЯ, ДОМ 39</t>
  </si>
  <si>
    <t>Маклакова Татьяна Павловна</t>
  </si>
  <si>
    <t>+7 (900) 252-00-57', '+7 (961) 594-52-10'</t>
  </si>
  <si>
    <t>45.381503,40.55333</t>
  </si>
  <si>
    <t>ОБЩЕСТВО С ОГРАНИЧЕННОЙ ОТВЕТСТВЕННОСТЬЮ "Кропсервис"</t>
  </si>
  <si>
    <t xml:space="preserve"> "Кропсервис"</t>
  </si>
  <si>
    <t>2364005760</t>
  </si>
  <si>
    <t>352165, КРАСНОДАРСКИЙ КРАЙ, Р-Н ГУЛЬКЕВИЧСКИЙ, С НОВОУКРАИНСКОЕ, УЛ. КРАСНАЯ, Д. 2И</t>
  </si>
  <si>
    <t>Серебряков Федор Анатольевич</t>
  </si>
  <si>
    <t>+7 (988) 888-05-38'</t>
  </si>
  <si>
    <t>45.430082,40.561325</t>
  </si>
  <si>
    <t>ОБЩЕСТВО С ОГРАНИЧЕННОЙ ОТВЕТСТВЕННОСТЬЮ "СТРОЙГРАД"</t>
  </si>
  <si>
    <t xml:space="preserve"> "СТРОЙГРАД"</t>
  </si>
  <si>
    <t>2364015624</t>
  </si>
  <si>
    <t>352380, КРАСНОДАРСКИЙ КРАЙ, Р-Н КАВКАЗСКИЙ, Г. КРОПОТКИН, УЛ. КОМСОМОЛЬСКАЯ, Д. 188,..</t>
  </si>
  <si>
    <t>Кипкеева Инна Николаевна</t>
  </si>
  <si>
    <t>+7 (900) 003-06-00'</t>
  </si>
  <si>
    <t>45.442876,40.544912</t>
  </si>
  <si>
    <t>ОБЩЕСТВО С ОГРАНИЧЕННОЙ ОТВЕТСТВЕННОСТЬЮ "РЕБУС"</t>
  </si>
  <si>
    <t xml:space="preserve"> "РЕБУС"</t>
  </si>
  <si>
    <t>2364016882</t>
  </si>
  <si>
    <t>352380, Краснодарский край, муниципальный район КАВКАЗСКИЙ, Г. КРОПОТКИН, городское поселение КРОПОТКИНСКОЕ, УЛ ГУБЕРНСКАЯ, Д. 25, СТР. 3, КОМ. 6</t>
  </si>
  <si>
    <t>Рубцов Владимир Дмитриевич</t>
  </si>
  <si>
    <t>44.266091,38.866177</t>
  </si>
  <si>
    <t>ОБЩЕСТВО С ОГРАНИЧЕННОЙ ОТВЕТСТВЕННОСТЬЮ "Строительно-монтажное управление - 7"</t>
  </si>
  <si>
    <t xml:space="preserve"> "Строительно-монтажное управление - 7"</t>
  </si>
  <si>
    <t>2365019043</t>
  </si>
  <si>
    <t>352855, КРАСНОДАРСКИЙ КРАЙ, Р-Н ТУАПСИНСКИЙ, ПГТ НОВОМИХАЙЛОВСКИЙ, УЛ. ЗАРЕЧНАЯ, Д.51, К.Б</t>
  </si>
  <si>
    <t>Цканян Андрей Мегранович</t>
  </si>
  <si>
    <t>+7 (918) 130-59-99'</t>
  </si>
  <si>
    <t>44.103331,39.0575</t>
  </si>
  <si>
    <t>2365022007</t>
  </si>
  <si>
    <t>352803, КРАСНОДАРСКИЙ КРАЙ, РАЙОН ТУАПСИНСКИЙ, ГОРОД ТУАПСЕ, УЛИЦА РЕЧНАЯ, ДОМ 1Г, ОФИС 19</t>
  </si>
  <si>
    <t>Подольский Артур Вальтерович</t>
  </si>
  <si>
    <t>+7 (918) 234-58-45'</t>
  </si>
  <si>
    <t>tuapsecity@mail.ru'</t>
  </si>
  <si>
    <t>44.144052,39.036246</t>
  </si>
  <si>
    <t>ОБЩЕСТВО С ОГРАНИЧЕННОЙ ОТВЕТСТВЕННОСТЬЮ СТРОИТЕЛЬНАЯ КОМПАНИЯ "СТРОЙБЕТОН"</t>
  </si>
  <si>
    <t xml:space="preserve"> СТРОИТЕЛЬНАЯ КОМПАНИЯ "СТРОЙБЕТОН"</t>
  </si>
  <si>
    <t>2365023138</t>
  </si>
  <si>
    <t>352830, КРАСНОДАРСКИЙ КРАЙ, Р-Н ТУАПСИНСКИЙ, С АГОЙ, УЛ. ЦЕНТРАЛЬНАЯ, Д. 25Г</t>
  </si>
  <si>
    <t>Шпак Григорий Николаевич</t>
  </si>
  <si>
    <t>+7 (988) 410-24-97', '+7 (918) 104-58-13'</t>
  </si>
  <si>
    <t>sb@mail.ru', 'sb@mail.ru', 'sb@mail.ru'</t>
  </si>
  <si>
    <t>44.248072,38.847303</t>
  </si>
  <si>
    <t>ОБЩЕСТВО С ОГРАНИЧЕННОЙ ОТВЕТСТВЕННОСТЬЮ "ТУАПСЕСТРОЙБЕТОН"</t>
  </si>
  <si>
    <t xml:space="preserve"> "ТУАПСЕСТРОЙБЕТОН"</t>
  </si>
  <si>
    <t>2365024741</t>
  </si>
  <si>
    <t>352855, КРАСНОДАРСКИЙ КРАЙ, Р-Н ТУАПСИНСКИЙ, ПГТ НОВОМИХАЙЛОВСКИЙ, УЛ. САДОВАЯ, Д. 60</t>
  </si>
  <si>
    <t>Григорин Александр Павлович</t>
  </si>
  <si>
    <t>+7 (928) 221-51-88'</t>
  </si>
  <si>
    <t>alfacom80@mail.ru'</t>
  </si>
  <si>
    <t>44.118288,39.055047</t>
  </si>
  <si>
    <t>2365030079</t>
  </si>
  <si>
    <t>352803, Краснодарский край, ТУАПСИНСКИЙ, 1 ТУАПСИНСКОЕ, Г ТУАПСЕ, УЛ СУДОРЕМОНТНИКОВ, Д. 58</t>
  </si>
  <si>
    <t>Брюханов Андрей Александрович</t>
  </si>
  <si>
    <t>43.604165,39.723807</t>
  </si>
  <si>
    <t xml:space="preserve"> "БЕТОН+"</t>
  </si>
  <si>
    <t>2366003688</t>
  </si>
  <si>
    <t>354065, КРАСНОДАРСКИЙ КРАЙ, ГОРОД СОЧИ, УЛИЦА ГАГАРИНА (ЦЕНТРАЛЬНЫЙ Р-Н), ДОМ 29"А",..</t>
  </si>
  <si>
    <t>Камушадзе Шалва Ангиевич</t>
  </si>
  <si>
    <t>+7 (918) 402-31-21'</t>
  </si>
  <si>
    <t>43.550436,39.783186</t>
  </si>
  <si>
    <t>ОБЩЕСТВО С ОГРАНИЧЕННОЙ ОТВЕТСТВЕННОСТЬЮ "СОЧИ БЕТОН СЕРВИС"</t>
  </si>
  <si>
    <t xml:space="preserve"> "СОЧИ БЕТОН СЕРВИС"</t>
  </si>
  <si>
    <t>2366013358</t>
  </si>
  <si>
    <t>354024, КРАСНОДАРСКИЙ КРАЙ, Г. СОЧИ, ПР-КТ КУРОРТНЫЙ (ХОСТИНСКИЙ Р-Н), Д. 108/6, ПОМЕЩ. 25</t>
  </si>
  <si>
    <t>Ребека Василий Анатольевич</t>
  </si>
  <si>
    <t>+7 (918) 610-50-20'</t>
  </si>
  <si>
    <t>43.600855,39.720582</t>
  </si>
  <si>
    <t>ОБЩЕСТВО С ОГРАНИЧЕННОЙ ОТВЕТСТВЕННОСТЬЮ "БЕТОНСТРОЙСОЧИ"</t>
  </si>
  <si>
    <t xml:space="preserve"> "БЕТОНСТРОЙСОЧИ"</t>
  </si>
  <si>
    <t>2366013492</t>
  </si>
  <si>
    <t>354065, КРАСНОДАРСКИЙ КРАЙ, ГОРОД СОЧИ, УЛИЦА КРАСНОАРМЕЙСКАЯ (ЦЕНТРАЛЬНЫЙ Р-Н), ДОМ 19,..</t>
  </si>
  <si>
    <t>Матулян Рафаэль Суренович</t>
  </si>
  <si>
    <t>43.595573,39.724697</t>
  </si>
  <si>
    <t>ОБЩЕСТВО С ОГРАНИЧЕННОЙ ОТВЕТСТВЕННОСТЬЮ "АПСУА БЕТОН"</t>
  </si>
  <si>
    <t xml:space="preserve"> "АПСУА БЕТОН"</t>
  </si>
  <si>
    <t>2366020820</t>
  </si>
  <si>
    <t>354000, Краснодарский край, городской округ ГОРОД-КУРОРТ СОЧИ, Город СОЧИ, УЛ СЕВЕРНАЯ, Д. 16, ОФИС 89</t>
  </si>
  <si>
    <t>Заифиди Янго Львович</t>
  </si>
  <si>
    <t>+7 (988) 160-71-38'</t>
  </si>
  <si>
    <t>43.590376,39.735575</t>
  </si>
  <si>
    <t xml:space="preserve"> "СИРИУС"</t>
  </si>
  <si>
    <t>2366024656</t>
  </si>
  <si>
    <t>354057, КРАСНОДАРСКИЙ КРАЙ, Г. Сочи, УЛ. ВОЛГОГРАДСКАЯ, Д. 28,..</t>
  </si>
  <si>
    <t>Пачулия Екатерина Владимировна</t>
  </si>
  <si>
    <t>43.601958,39.717169</t>
  </si>
  <si>
    <t>ОБЩЕСТВО С ОГРАНИЧЕННОЙ ОТВЕТСТВЕННОСТЬЮ "БЕТОН СОЧИ ПЛЮС"</t>
  </si>
  <si>
    <t xml:space="preserve"> "БЕТОН СОЧИ ПЛЮС"</t>
  </si>
  <si>
    <t>2366027840</t>
  </si>
  <si>
    <t>354068, КРАСНОДАРСКИЙ КРАЙ, Г. Сочи, УЛ. ВИНОГРАДНАЯ, Д. 16,..</t>
  </si>
  <si>
    <t>Пирцхалава Иуза Зурабович</t>
  </si>
  <si>
    <t>43.534511,39.844433</t>
  </si>
  <si>
    <t>ОБЩЕСТВО С ОГРАНИЧЕННОЙ ОТВЕТСТВЕННОСТЬЮ "ФОРТИС 1"</t>
  </si>
  <si>
    <t xml:space="preserve"> "ФОРТИС 1"</t>
  </si>
  <si>
    <t>2366035464</t>
  </si>
  <si>
    <t>354207, Краснодарский край, ГОРОД-КУРОРТ СОЧИ, Г СОЧИ, УЛ ГАЙДАРА, Д. 5/4</t>
  </si>
  <si>
    <t>Санина Оксана Аршавировна</t>
  </si>
  <si>
    <t>43.499575,39.881183</t>
  </si>
  <si>
    <t>ОБЩЕСТВО С ОГРАНИЧЕННОЙ ОТВЕТСТВЕННОСТЬЮ "СМУ-7"</t>
  </si>
  <si>
    <t xml:space="preserve"> "СМУ-7"</t>
  </si>
  <si>
    <t>2367009058</t>
  </si>
  <si>
    <t>354037, КРАСНОДАРСКИЙ КРАЙ, Г. СОЧИ, УЛ. СУХУМСКОЕ ШОССЕ (ХОСТИНСКИЙ Р-Н), Д. 23, ОФИС 1</t>
  </si>
  <si>
    <t>Гончарова Ольга Михайловна</t>
  </si>
  <si>
    <t>+7 (928) 455-03-09'</t>
  </si>
  <si>
    <t>43.421425,39.959822</t>
  </si>
  <si>
    <t>ОБЩЕСТВО С ОГРАНИЧЕННОЙ ОТВЕТСТВЕННОСТЬЮ "АРТЕС"</t>
  </si>
  <si>
    <t xml:space="preserve"> "АРТЕС"</t>
  </si>
  <si>
    <t>2367023327</t>
  </si>
  <si>
    <t>354054, Краснодарский край, ГОРОД-КУРОРТ СОЧИ, Г СОЧИ, УЛ ЛЕСНАЯ, Д. 41</t>
  </si>
  <si>
    <t>Топкорян Сусанна Мардиросовна</t>
  </si>
  <si>
    <t>ARTES_2022@BK.RU'</t>
  </si>
  <si>
    <t>45.014549,39.009422</t>
  </si>
  <si>
    <t>ОБЩЕСТВО С ОГРАНИЧЕННОЙ ОТВЕТСТВЕННОСТЬЮ "Русичи"</t>
  </si>
  <si>
    <t xml:space="preserve"> "Русичи"</t>
  </si>
  <si>
    <t>2368002256</t>
  </si>
  <si>
    <t>350001, КРАСНОДАРСКИЙ КРАЙ, Г. КРАСНОДАР, УЛ. ИМ. КОВТЮХА, Д. 98, ПОМЕЩ. 301</t>
  </si>
  <si>
    <t>Бородина Ольга Михайловна</t>
  </si>
  <si>
    <t>+7 (918) 389-70-23'</t>
  </si>
  <si>
    <t>44.734683,39.850802</t>
  </si>
  <si>
    <t>ОБЩЕСТВО С ОГРАНИЧЕННОЙ ОТВЕТСТВЕННОСТЬЮ "ЮЖНЫЙ БЕТОН"</t>
  </si>
  <si>
    <t xml:space="preserve"> "ЮЖНЫЙ БЕТОН"</t>
  </si>
  <si>
    <t>2368005024</t>
  </si>
  <si>
    <t>352602, КРАСНОДАРСКИЙ КРАЙ, РАЙОН БЕЛОРЕЧЕНСКИЙ, ПОСЕЛОК ЮЖНЫЙ, УЛИЦА ПЕРЕЕЗДНАЯ, 4, 1</t>
  </si>
  <si>
    <t>Матушкин Александр Николаевич</t>
  </si>
  <si>
    <t>+7 (918) 933-83-81'</t>
  </si>
  <si>
    <t>5@mail.ru'</t>
  </si>
  <si>
    <t>44.752833,39.869397</t>
  </si>
  <si>
    <t>ОБЩЕСТВО С ОГРАНИЧЕННОЙ ОТВЕТСТВЕННОСТЬЮ "РУВО РАЙ"</t>
  </si>
  <si>
    <t xml:space="preserve"> "РУВО РАЙ"</t>
  </si>
  <si>
    <t>2368007166</t>
  </si>
  <si>
    <t>352632, Краснодарский край, муниципальный район БЕЛОРЕЧЕНСКИЙ, Город БЕЛОРЕЧЕНСК, городское поселение БЕЛОРЕЧЕНСКОЕ, УЛ ТАМАНСКОЙ АРМИИ, Д. 75,</t>
  </si>
  <si>
    <t>Каракозов Вадим Валерьевич</t>
  </si>
  <si>
    <t>+7 (918) 969-86-87'</t>
  </si>
  <si>
    <t>222@yandex.ru', '222@yandex.ru'</t>
  </si>
  <si>
    <t>44.778418,39.866406</t>
  </si>
  <si>
    <t>ОБЩЕСТВО С ОГРАНИЧЕННОЙ ОТВЕТСТВЕННОСТЬЮ "БЕТОНСТРОЙИНДУСТРИЯ"</t>
  </si>
  <si>
    <t xml:space="preserve"> "БЕТОНСТРОЙИНДУСТРИЯ"</t>
  </si>
  <si>
    <t>2368008258</t>
  </si>
  <si>
    <t>352630, КРАСНОДАРСКИЙ КРАЙ, БЕЛОРЕЧЕНСК Г, ТОЛСТОГО УЛ, ДОМ 156,..</t>
  </si>
  <si>
    <t>Степанов Иван Викторович</t>
  </si>
  <si>
    <t>+7 (918) 023-45-55'</t>
  </si>
  <si>
    <t>45.071243,38.903565</t>
  </si>
  <si>
    <t>ОБЩЕСТВО С ОГРАНИЧЕННОЙ ОТВЕТСТВЕННОСТЬЮ "КРАСНОДАРБЕТОН"</t>
  </si>
  <si>
    <t xml:space="preserve"> "КРАСНОДАРБЕТОН"</t>
  </si>
  <si>
    <t>2368009050</t>
  </si>
  <si>
    <t>350012, КРАСНОДАРСКИЙ КРАЙ, Г. КРАСНОДАР, УЛ. КРАСНЫХ ПАРТИЗАН, УЧАСТОК 2/В</t>
  </si>
  <si>
    <t>Иванов Юрий Васильевич</t>
  </si>
  <si>
    <t>+7 (988) 080-29-09'</t>
  </si>
  <si>
    <t>44.629602,39.108659</t>
  </si>
  <si>
    <t>ОБЩЕСТВО С ОГРАНИЧЕННОЙ ОТВЕТСТВЕННОСТЬЮ "ГК-БЕТОН"</t>
  </si>
  <si>
    <t xml:space="preserve"> "ГК-БЕТОН"</t>
  </si>
  <si>
    <t>2368013924</t>
  </si>
  <si>
    <t>353292, КРАСНОДАРСКИЙ КРАЙ, ГОРОД ГОРЯЧИЙ КЛЮЧ, УЛИЦА ПСЕКУПСКАЯ, ДОМ 81</t>
  </si>
  <si>
    <t>Кошель Яна Михайловна</t>
  </si>
  <si>
    <t>+7 (918) 022-04-04'</t>
  </si>
  <si>
    <t>45.464777,39.013635</t>
  </si>
  <si>
    <t>ОБЩЕСТВО С ОГРАНИЧЕННОЙ ОТВЕТСТВЕННОСТЬЮ "КУБАНСКАЯ БЕТОННАЯ КОМПАНИЯ"</t>
  </si>
  <si>
    <t xml:space="preserve"> "КУБАНСКАЯ БЕТОННАЯ КОМПАНИЯ"</t>
  </si>
  <si>
    <t>2369007176</t>
  </si>
  <si>
    <t>352722, КРАСНОДАРСКИЙ КРАЙ, ТИМАШЕВСКИЙ РАЙОН, СТАНИЦА МЕДВЕДОВСКАЯ, УЛИЦА СЕВЕРНАЯ, ДОМ 8, ПОМЕЩЕНИЕ 1</t>
  </si>
  <si>
    <t>Житлов Михаил Анатольевич</t>
  </si>
  <si>
    <t>yana@yandex.ru'</t>
  </si>
  <si>
    <t>45.257255,38.119937</t>
  </si>
  <si>
    <t>ОБЩЕСТВО С ОГРАНИЧЕННОЙ ОТВЕТСТВЕННОСТЬЮ "ЮГ-БЕТОН-СЕРВИС"</t>
  </si>
  <si>
    <t xml:space="preserve"> "ЮГ-БЕТОН-СЕРВИС"</t>
  </si>
  <si>
    <t>2370008960</t>
  </si>
  <si>
    <t>353560, Краснодарский край, муниципальный район СЛАВЯНСКИЙ, Город СЛАВЯНСК-НА-КУБАНИ, городское поселение СЛАВЯНСКОЕ, УЛ КРАСНАЯ, Д. 46, ОФИС 102</t>
  </si>
  <si>
    <t>Чумак Николай Сергеевич</t>
  </si>
  <si>
    <t>ygbeton2019@mail.ru'</t>
  </si>
  <si>
    <t>46.550518,39.614976</t>
  </si>
  <si>
    <t xml:space="preserve"> "ЮЖНАЯ СТРОИТЕЛЬНАЯ КОМПАНИЯ"</t>
  </si>
  <si>
    <t>2371001083</t>
  </si>
  <si>
    <t>352030, КРАСНОДАРСКИЙ КРАЙ, РАЙОН КУЩЕВСКИЙ, СТАНИЦА КУЩЕВСКАЯ, ПЕРЕУЛОК КУБАНСКИЙ, 42</t>
  </si>
  <si>
    <t>+7 (905) 403-05-55'</t>
  </si>
  <si>
    <t>ooousc@gmail.com', 'ooousc@gmail.com', 'ooousc@gmail.com'</t>
  </si>
  <si>
    <t>46.568078,39.579942</t>
  </si>
  <si>
    <t>ОБЩЕСТВО С ОГРАНИЧЕННОЙ ОТВЕТСТВЕННОСТЬЮ"ГАРАНТДОРСЕРВИС"</t>
  </si>
  <si>
    <t>"ГАРАНТДОРСЕРВИС"</t>
  </si>
  <si>
    <t>2371004006</t>
  </si>
  <si>
    <t>352030, Краснодарский край, муниципальный район КУЩЕВСКИЙ, СТ-ЦА КУЩЕВСКАЯ, сельское поселение КУЩЕВСКОЕ, УЛ ПРОМЫШЛЕННАЯ, Д. 3,</t>
  </si>
  <si>
    <t>Саакян Арпине Сааковна</t>
  </si>
  <si>
    <t>SAAK@MAIL.RU'</t>
  </si>
  <si>
    <t>46.324766,39.386158</t>
  </si>
  <si>
    <t>ОБЩЕСТВО С ОГРАНИЧЕННОЙ ОТВЕТСТВЕННОСТЬЮ "БЕТОН СЕРВИС-ПЛЮС"</t>
  </si>
  <si>
    <t xml:space="preserve"> "БЕТОН СЕРВИС-ПЛЮС"</t>
  </si>
  <si>
    <t>2371004013</t>
  </si>
  <si>
    <t>353740, КРАСНОДАРСКИЙ КРАЙ, Р-Н Ленинградский, СТ-ЦА Ленинградская, ПЕР. БАЗАРНЫЙ, Д. 20</t>
  </si>
  <si>
    <t>Владимиров Сергей Олегович</t>
  </si>
  <si>
    <t>SERGE@MAIL.RU'</t>
  </si>
  <si>
    <t>44.415477,41.509344</t>
  </si>
  <si>
    <t>ОБЩЕСТВО С ОГРАНИЧЕННОЙ ОТВЕТСТВЕННОСТЬЮ "ЖБИ-999"</t>
  </si>
  <si>
    <t xml:space="preserve"> "ЖБИ-999"</t>
  </si>
  <si>
    <t>2372027172</t>
  </si>
  <si>
    <t>352291, КРАСНОДАРСКИЙ КРАЙ, ОТРАДНЕНСКИЙ РАЙОН, СТАНИЦА ОТРАДНАЯ, УЛИЦА ОКТЯБРЬСКАЯ, ДОМ 151</t>
  </si>
  <si>
    <t>Ширинян Сережа Симонович</t>
  </si>
  <si>
    <t>+7 (918) 475-52-65'</t>
  </si>
  <si>
    <t>45.195971,39.234809</t>
  </si>
  <si>
    <t>ОБЩЕСТВО С ОГРАНИЧЕННОЙ ОТВЕТСТВЕННОСТЬЮ "ДИНСКОЙ КОМБИНАТ БЕТОННЫХ ИЗДЕЛИЙ"</t>
  </si>
  <si>
    <t xml:space="preserve"> "ДИНСКОЙ КОМБИНАТ БЕТОННЫХ ИЗДЕЛИЙ"</t>
  </si>
  <si>
    <t>2373013278</t>
  </si>
  <si>
    <t>353204, КРАСНОДАРСКИЙ КРАЙ, ДИНСКОЙ Р-Н, ДИНСКАЯ СТ-ЦА, ЖЕЛЕЗНОДОРОЖНАЯ УЛ, ДОМ 261, ЛИТЕР П, ОФИС 2</t>
  </si>
  <si>
    <t>Яцык Александр Анатольевич</t>
  </si>
  <si>
    <t>+7 (988) 335-51-11'</t>
  </si>
  <si>
    <t>45.221536,39.671031</t>
  </si>
  <si>
    <t>ОБЩЕСТВО С ОГРАНИЧЕННОЙ ОТВЕТСТВЕННОСТЬЮ "БАЗИСБЕТОН"</t>
  </si>
  <si>
    <t xml:space="preserve"> "БАЗИСБЕТОН"</t>
  </si>
  <si>
    <t>2373018660</t>
  </si>
  <si>
    <t>352332, КРАСНОДАРСКИЙ КРАЙ, Р-Н УСТЬ-ЛАБИНСКИЙ, Г. УСТЬ-ЛАБИНСК, УЛ. ЗАПОЛОТНЯНАЯ, Д. 15, ЛИТЕР В, ПОЕЩЕНИЕ 1</t>
  </si>
  <si>
    <t>Литвиненко Ольга Николаевна</t>
  </si>
  <si>
    <t>+7 (918) 144-91-08'</t>
  </si>
  <si>
    <t>44.933461,38.010909</t>
  </si>
  <si>
    <t>ОБЩЕСТВО С ОГРАНИЧЕННОЙ ОТВЕТСТВЕННОСТЬЮ "ЮГБЕТОНСЕРВИС"</t>
  </si>
  <si>
    <t xml:space="preserve"> "ЮГБЕТОНСЕРВИС"</t>
  </si>
  <si>
    <t>2376005042</t>
  </si>
  <si>
    <t>353389, Краснодарский край, КРЫМСКИЙ, 1 КРЫМСКОЕ, Г КРЫМСК, УЛ МАРШАЛА ЖУКОВА, Д. 53</t>
  </si>
  <si>
    <t>Романов Роман Валерьевич</t>
  </si>
  <si>
    <t>56.033027,93.139224</t>
  </si>
  <si>
    <t xml:space="preserve"> "БСК"</t>
  </si>
  <si>
    <t>2404017772</t>
  </si>
  <si>
    <t>662520, КРАСНОЯРСКИЙ КРАЙ, РАЙОН БЕРЕЗОВСКИЙ, ПОСЕЛОК ГОРОДСКОГО ТИПА БЕРЕЗОВКА, УЛИЦА ЮНОСТИ, ДОМ 13</t>
  </si>
  <si>
    <t>Емельянов Валерий Александрович</t>
  </si>
  <si>
    <t>008883@rambler.ru', 'st@yandex.ru'</t>
  </si>
  <si>
    <t>56.040958,93.083115</t>
  </si>
  <si>
    <t>ОБЩЕСТВО С ОГРАНИЧЕННОЙ ОТВЕТСТВЕННОСТЬЮ "КРАЙСТРОЙБЕТОН"</t>
  </si>
  <si>
    <t xml:space="preserve"> "КРАЙСТРОЙБЕТОН"</t>
  </si>
  <si>
    <t>2404020020</t>
  </si>
  <si>
    <t>662520, КРАСНОЯРСКИЙ КРАЙ, Р-Н БЕРЕЗОВСКИЙ, ПГТ БЕРЕЗОВКА, Ш. 1 КМ А/Д КРАСНОЯРСК-ЖЕЛЕЗНОГОРСК, ЗД. 5, К. 38, ОФИС 2</t>
  </si>
  <si>
    <t>Иванова Анфиса Сергеевна</t>
  </si>
  <si>
    <t>+7 (391) 242-80-11'</t>
  </si>
  <si>
    <t>56.495355,93.271851</t>
  </si>
  <si>
    <t>ОБЩЕСТВО С ОГРАНИЧЕННОЙ ОТВЕТСТВЕННОСТЬЮ "БЕТОННЫЕ ТЕХНОЛОГИИ СЕВЕРА"</t>
  </si>
  <si>
    <t xml:space="preserve"> "БЕТОННЫЕ ТЕХНОЛОГИИ СЕВЕРА"</t>
  </si>
  <si>
    <t>2435006957</t>
  </si>
  <si>
    <t>663040, КРАСНОЯРСКИЙ КРАЙ, СУХОБУЗИМСКИЙ РАЙОН, СЕЛО СУХОБУЗИМСКОЕ, УЛИЦА МАЯКОВСКОГО, ДОМ 54,..</t>
  </si>
  <si>
    <t>Дранишников Сергей Николаевич</t>
  </si>
  <si>
    <t>56.258248,90.495294</t>
  </si>
  <si>
    <t>ОБЩЕСТВО С ОГРАНИЧЕННОЙ ОТВЕТСТВЕННОСТЬЮ "ОПТИМАЛЬНЫЙ ВАРИАНТ"</t>
  </si>
  <si>
    <t xml:space="preserve"> "ОПТИМАЛЬНЫЙ ВАРИАНТ"</t>
  </si>
  <si>
    <t>2443027950</t>
  </si>
  <si>
    <t>КРАСНОЯРСКИЙ КРАЙ,Г АЧИНСК,МКР-Н 3 Д 34</t>
  </si>
  <si>
    <t>Юрков Виктор Игоревич</t>
  </si>
  <si>
    <t>56.231943,90.479789</t>
  </si>
  <si>
    <t>ОБЩЕСТВО С ОГРАНИЧЕННОЙ ОТВЕТСТВЕННОСТЬЮ "ГРАЖДАНСТРОЙ"</t>
  </si>
  <si>
    <t xml:space="preserve"> "ГРАЖДАНСТРОЙ"</t>
  </si>
  <si>
    <t>2443043582</t>
  </si>
  <si>
    <t>662153, КРАСНОЯРСКИЙ КРАЙ, ГОРОД АЧИНСК, ТЕРРИТОРИЯ ЮЖНАЯ ПРОМЗОНА, КВАРТАЛ 2, СТРОЕНИЕ 5</t>
  </si>
  <si>
    <t>Ибадов Габил Садиевич</t>
  </si>
  <si>
    <t>+7 (962) 082-15-83'</t>
  </si>
  <si>
    <t>gs030314@mail.ru'</t>
  </si>
  <si>
    <t>56.236746,90.479735</t>
  </si>
  <si>
    <t>ОБЩЕСТВО С ОГРАНИЧЕННОЙ ОТВЕТСТВЕННОСТЬЮ "БАЛАНС"</t>
  </si>
  <si>
    <t xml:space="preserve"> "БАЛАНС"</t>
  </si>
  <si>
    <t>2443047562</t>
  </si>
  <si>
    <t>662153, КРАСНОЯРСКИЙ КРАЙ, ГОРОД АЧИНСК, ТЕРРИТОРИЯ ЮЖНАЯ ПРОМЗОНА, КВАРТАЛ Х, СТРОЕНИЕ 10, КОРПУС 1</t>
  </si>
  <si>
    <t>Попова Валентина Александровна</t>
  </si>
  <si>
    <t>+7 (923) 312-65-12'</t>
  </si>
  <si>
    <t>56.22198,93.466687</t>
  </si>
  <si>
    <t xml:space="preserve"> "ОСНОВА"</t>
  </si>
  <si>
    <t>2452042970</t>
  </si>
  <si>
    <t>662977, Красноярский край, г Железногорск, ул. Южная, д. 49 У</t>
  </si>
  <si>
    <t>Сильчев Андрей Анатольевич</t>
  </si>
  <si>
    <t>+7 (391) 282-68-56'</t>
  </si>
  <si>
    <t>prioritet12@mail.ru', 'prioritet12@mail.ru'</t>
  </si>
  <si>
    <t>58.201968,92.513817</t>
  </si>
  <si>
    <t>ОБЩЕСТВО С ОГРАНИЧЕННОЙ ОТВЕТСТВЕННОСТЬЮ "РАСКАТ"</t>
  </si>
  <si>
    <t xml:space="preserve"> "РАСКАТ"</t>
  </si>
  <si>
    <t>2454028378</t>
  </si>
  <si>
    <t>662547, КРАСНОЯРСКИЙ КРАЙ, Г. ЛЕСОСИБИРСК, ЗОНА КОММУНАЛЬНО-СКЛАДСКАЯ, Д. 9А, СТР. 1, ПОМЕЩ. 2</t>
  </si>
  <si>
    <t>Любимов Александр Валерьевич</t>
  </si>
  <si>
    <t>raskat888@mail.ru'</t>
  </si>
  <si>
    <t>ОТКРЫТОЕ "СТРОЙИНДУСТРИЯ"</t>
  </si>
  <si>
    <t>2460002547</t>
  </si>
  <si>
    <t>Г КРАСНОЯРСК,УЛ ТЕЛЕВИЗОРНАЯ Д 4 Б</t>
  </si>
  <si>
    <t>+7 (391) 244-90-64', '+7 (391) 244-92-85', '+7 (391) 244-92-54'</t>
  </si>
  <si>
    <t>palanooo@mail.ru', 'sb2462404@mail.ru', 'strojindustria@list.ru'</t>
  </si>
  <si>
    <t>56.033093,92.805491</t>
  </si>
  <si>
    <t>ОБЩЕСТВО С ОГРАНИЧЕННОЙ ОТВЕТСТВЕННОСТЬЮ "БЕТОН-ЭКСПРЕСС"</t>
  </si>
  <si>
    <t xml:space="preserve"> "БЕТОН-ЭКСПРЕСС"</t>
  </si>
  <si>
    <t>2460091280</t>
  </si>
  <si>
    <t>660048, КРАСНОЯРСКИЙ КРАЙ, Г. КРАСНОЯРСК, УЛ. КАЛИНИНА, Д. 64, ОФИС 106</t>
  </si>
  <si>
    <t>Корнева Ольга Владимировна</t>
  </si>
  <si>
    <t>betonexpress@bk.ru', 'betonexpress@inbox.ru', 'betonexpress@mail.ru', 'buh@beton-krsk', 'sigaeva@inbox.ru'</t>
  </si>
  <si>
    <t>56.0326,92.806659</t>
  </si>
  <si>
    <t xml:space="preserve"> "ЕВРО-БЕТОН"</t>
  </si>
  <si>
    <t>2460106338</t>
  </si>
  <si>
    <t>660048, КРАСНОЯРСКИЙ КРАЙ, ГОРОД КРАСНОЯРСК, УЛИЦА КАЛИНИНА, ДОМ 60, ОФИС 17</t>
  </si>
  <si>
    <t>Голиков Артем Юрьевич</t>
  </si>
  <si>
    <t>eurobeton2017@list.ru'</t>
  </si>
  <si>
    <t>56.02193,92.837947</t>
  </si>
  <si>
    <t>ОБЩЕСТВО С ОГРАНИЧЕННОЙ ОТВЕТСТВЕННОСТЬЮ "БИЗНЕС-ИННОВАЦИИ"</t>
  </si>
  <si>
    <t xml:space="preserve"> "БИЗНЕС-ИННОВАЦИИ"</t>
  </si>
  <si>
    <t>2460112300</t>
  </si>
  <si>
    <t>660075, КРАСНОЯРСКИЙ КРАЙ, ГОРОД КРАСНОЯРСК, УЛИЦА КРАСНОЙ ГВАРДИИ, ДОМ 24, ПОМ/ОФИС 28/118</t>
  </si>
  <si>
    <t>Ремизова Екатерина Александровна</t>
  </si>
  <si>
    <t>ОБЩЕСТВО С ОГРАНИЧЕННОЙ ОТВЕТСТВЕННОСТЬЮ ПСК "ЕНИСЕЙЛЕССТРОЙ"</t>
  </si>
  <si>
    <t xml:space="preserve"> ПСК "ЕНИСЕЙЛЕССТРОЙ"</t>
  </si>
  <si>
    <t>2460208160</t>
  </si>
  <si>
    <t>660075, КРАСНОЯРСКИЙ КРАЙ, Г. КРАСНОЯРСК, УЛ. МАЕРЧАКА, Д. 67, К. А, СТРОЕНИЕ 1</t>
  </si>
  <si>
    <t>+7 (391) 295-29-00', '+7 (391) 297-47-88'</t>
  </si>
  <si>
    <t>56.006527,92.839331</t>
  </si>
  <si>
    <t>ОБЩЕСТВО С ОГРАНИЧЕННОЙ ОТВЕТСТВЕННОСТЬЮ "Железногорский бетонный завод"</t>
  </si>
  <si>
    <t xml:space="preserve"> "Железногорский бетонный завод"</t>
  </si>
  <si>
    <t>2460215834</t>
  </si>
  <si>
    <t>http://betongrad.ru</t>
  </si>
  <si>
    <t>660021, КРАСНОЯРСКИЙ КРАЙ, Г. КРАСНОЯРСК, УЛ. БОГРАДА, Д.128,..</t>
  </si>
  <si>
    <t>Ильченко Андрей Анатольевич</t>
  </si>
  <si>
    <t>+7 (391) 221-26-26', '+7 (391) 242-30-10'</t>
  </si>
  <si>
    <t>Общество с ограниченной ответственностью "СпецКомплект"</t>
  </si>
  <si>
    <t xml:space="preserve"> "СпецКомплект"</t>
  </si>
  <si>
    <t>2460244095</t>
  </si>
  <si>
    <t>КРАСНОЯРСКИЙ КРАЙ,Г АЧИНСК,МКР-Н ЮВР Д 18</t>
  </si>
  <si>
    <t>Ильина Вера Николаевна</t>
  </si>
  <si>
    <t>56.00018,92.912714</t>
  </si>
  <si>
    <t>ОБЩЕСТВО С ОГРАНИЧЕННОЙ ОТВЕТСТВЕННОСТЬЮ "АРТ СТРОЙ"</t>
  </si>
  <si>
    <t xml:space="preserve"> "АРТ СТРОЙ"</t>
  </si>
  <si>
    <t>2461029936</t>
  </si>
  <si>
    <t>660010, КРАСНОЯРСКИЙ КРАЙ, ГОРОД КРАСНОЯРСК, ПРОСПЕКТ ИМ.ГАЗЕТЫ КРАСНОЯРСКИЙ РАБОЧИЙ, ДОМ 150, СТРОЕНИЕ 12, ПОМЕЩЕНИЕ 1</t>
  </si>
  <si>
    <t>Ерастов Артём Владимирович</t>
  </si>
  <si>
    <t>24beton@bk.ru', 'stroi24@bk.ru', 'buh_ideal@mail.ru'</t>
  </si>
  <si>
    <t>56.005113,92.93448</t>
  </si>
  <si>
    <t>ОБЩЕСТВО С ОГРАНИЧЕННОЙ ОТВЕТСТВЕННОСТЬЮ "А-БЕТОН124"</t>
  </si>
  <si>
    <t xml:space="preserve"> "А-БЕТОН124"</t>
  </si>
  <si>
    <t>2461043708</t>
  </si>
  <si>
    <t>660095, КРАСНОЯРСКИЙ КРАЙ, ГОРОД КРАСНОЯРСК, УЛИЦА КОММУНАЛЬНАЯ, ДОМ 15,..</t>
  </si>
  <si>
    <t>Сафронов Иван Григорьевич</t>
  </si>
  <si>
    <t>56.001141,92.920951</t>
  </si>
  <si>
    <t>ОБЩЕСТВО С ОГРАНИЧЕННОЙ ОТВЕТСТВЕННОСТЬЮ "БАЗАЛЬТ-С"</t>
  </si>
  <si>
    <t xml:space="preserve"> "БАЗАЛЬТ-С"</t>
  </si>
  <si>
    <t>2461044701</t>
  </si>
  <si>
    <t>660010, КРАСНОЯРСКИЙ КРАЙ, ГОРОД КРАСНОЯРСК, ПРОСПЕКТ ИМ.ГАЗЕТЫ КРАСНОЯРСКИЙ РАБОЧИЙ, ДОМ 150, СТРОЕНИЕ 46, ОФИС 2</t>
  </si>
  <si>
    <t>Денисова Ольга Константиновна</t>
  </si>
  <si>
    <t>56.06865,92.991487</t>
  </si>
  <si>
    <t>ОБЩЕСТВО С ОГРАНИЧЕННОЙ ОТВЕТСТВЕННОСТЬЮ "ВИЛКОМ"</t>
  </si>
  <si>
    <t xml:space="preserve"> "ВИЛКОМ"</t>
  </si>
  <si>
    <t>2461216975</t>
  </si>
  <si>
    <t>660055, КРАСНОЯРСКИЙ КРАЙ, Г. КРАСНОЯРСК, ПР-КТ МЕТАЛЛУРГОВ, Д. 1 М, СТР. 4</t>
  </si>
  <si>
    <t>Щербаков Евгений Александрович</t>
  </si>
  <si>
    <t>+7 (902) 920-80-24'</t>
  </si>
  <si>
    <t>55.999908,93.01434</t>
  </si>
  <si>
    <t>ОБЩЕСТВО С ОГРАНИЧЕННОЙ ОТВЕТСТВЕННОСТЬЮ "ТЕРМОДИНАМИКА"</t>
  </si>
  <si>
    <t xml:space="preserve"> "ТЕРМОДИНАМИКА"</t>
  </si>
  <si>
    <t>2462053770</t>
  </si>
  <si>
    <t>660013, КРАСНОЯРСКИЙ КРАЙ, КРАСНОЯРСК Г, ЛЬВОВСКАЯ УЛ, ДОМ 44,..</t>
  </si>
  <si>
    <t>Корж Татьяна Хамитовна</t>
  </si>
  <si>
    <t>+7 (913) 558-56-57', '+7 (923) 354-07-59'</t>
  </si>
  <si>
    <t>56.006507,92.998817</t>
  </si>
  <si>
    <t>ОБЩЕСТВО С ОГРАНИЧЕННОЙ ОТВЕТСТВЕННОСТЬЮ "СИНАЙ"</t>
  </si>
  <si>
    <t xml:space="preserve"> "СИНАЙ"</t>
  </si>
  <si>
    <t>2462228557</t>
  </si>
  <si>
    <t>660013, КРАСНОЯРСКИЙ КРАЙ, ГОРОД КРАСНОЯРСК, УЛИЦА БОГДАНА ХМЕЛЬНИЦКОГО, ДОМ 4, СТРОЕНИЕ 8</t>
  </si>
  <si>
    <t>Воловик Анатолий Анатольевич</t>
  </si>
  <si>
    <t>+7 (902) 940-04-66'</t>
  </si>
  <si>
    <t>sinay_08@mail.ru'</t>
  </si>
  <si>
    <t>56.041898,92.821724</t>
  </si>
  <si>
    <t xml:space="preserve"> "ПРОМ-БЕТОН"</t>
  </si>
  <si>
    <t>2463112555</t>
  </si>
  <si>
    <t>660061, КРАСНОЯРСКИЙ КРАЙ, ГОРОД КРАСНОЯРСК, УЛИЦА НЕЗАВИСИМОСТИ, ДОМ 22</t>
  </si>
  <si>
    <t>Дранишников Сергей Викторович</t>
  </si>
  <si>
    <t>sigaeva@inbox.ru', 'betonauto@mail.ru'</t>
  </si>
  <si>
    <t>56.024395,92.753497</t>
  </si>
  <si>
    <t>ОБЩЕСТВО С ОГРАНИЧЕННОЙ ОТВЕТСТВЕННОСТЬЮ "ФИНПРОМ"</t>
  </si>
  <si>
    <t xml:space="preserve"> "ФИНПРОМ"</t>
  </si>
  <si>
    <t>2463120612</t>
  </si>
  <si>
    <t>660130, КРАСНОЯРСКИЙ КРАЙ, ГОРОД КРАСНОЯРСК, УЛИЦА ЕЛЕНЫ СТАСОВОЙ, ДОМ 24,..</t>
  </si>
  <si>
    <t>Бурцев Владимир Владимирович</t>
  </si>
  <si>
    <t>56.056131,92.741639</t>
  </si>
  <si>
    <t>ОБЩЕСТВО С ОГРАНИЧЕННОЙ ОТВЕТСТВЕННОСТЬЮ "БЕТОН В ТРЭНДЕ"</t>
  </si>
  <si>
    <t xml:space="preserve"> "БЕТОН В ТРЭНДЕ"</t>
  </si>
  <si>
    <t>2463121983</t>
  </si>
  <si>
    <t>660061, КРАСНОЯРСКИЙ КРАЙ, ГОРОД КРАСНОЯРСК, УЛИЦА КАЛИНИНА, ДОМ 106Д, КАБИНЕТ 2-02</t>
  </si>
  <si>
    <t>Ильин Вадим Васильевич</t>
  </si>
  <si>
    <t>56.035924,92.790606</t>
  </si>
  <si>
    <t>ОБЩЕСТВО С ОГРАНИЧЕННОЙ ОТВЕТСТВЕННОСТЬЮ "БЕТОН АЛЬФА"</t>
  </si>
  <si>
    <t xml:space="preserve"> "БЕТОН АЛЬФА"</t>
  </si>
  <si>
    <t>2463124127</t>
  </si>
  <si>
    <t>660061, КРАСНОЯРСКИЙ КРАЙ, Г. Красноярск, УЛ. КАЛИНИНА, Д. 53А, СТР. 11</t>
  </si>
  <si>
    <t>Гостев Валерий Александрович</t>
  </si>
  <si>
    <t>56.03692,92.789779</t>
  </si>
  <si>
    <t>ОБЩЕСТВО С ОГРАНИЧЕННОЙ ОТВЕТСТВЕННОСТЬЮ "Бетон-Авто"</t>
  </si>
  <si>
    <t xml:space="preserve"> "Бетон-Авто"</t>
  </si>
  <si>
    <t>2463235557</t>
  </si>
  <si>
    <t>660061, КРАСНОЯРСКИЙ КРАЙ, ГОРОД КРАСНОЯРСК, УЛИЦА КАЛИНИНА, ДОМ 53</t>
  </si>
  <si>
    <t>+7 (391) 281-20-69'</t>
  </si>
  <si>
    <t>55.000167,82.971607</t>
  </si>
  <si>
    <t>ОБЩЕСТВО С ОГРАНИЧЕННОЙ ОТВЕТСТВЕННОСТЬЮ "СИБИРСКИЙ БЕТОН"</t>
  </si>
  <si>
    <t xml:space="preserve"> "СИБИРСКИЙ БЕТОН"</t>
  </si>
  <si>
    <t>2464082173</t>
  </si>
  <si>
    <t>630009, НОВОСИБИРСКАЯ ОБЛАСТЬ, Г НОВОСИБИРСК, УЛ ДЕКАБРИСТОВ, 150 К 1</t>
  </si>
  <si>
    <t xml:space="preserve"> Управляющая Компания</t>
  </si>
  <si>
    <t>+7 (383) 325-25-79', '+7 (383) 325-25-78'</t>
  </si>
  <si>
    <t>55.975828,92.905662</t>
  </si>
  <si>
    <t>ОБЩЕСТВО С ОГРАНИЧЕННОЙ ОТВЕТСТВЕННОСТЬЮ "КОНКРИТУМ"</t>
  </si>
  <si>
    <t xml:space="preserve"> "КОНКРИТУМ"</t>
  </si>
  <si>
    <t>2464152430</t>
  </si>
  <si>
    <t>660079, КРАСНОЯРСКИЙ КРАЙ, ГОРОД КРАСНОЯРСК, УЛИЦА МУСОРГСКОГО, ДОМ 19, СТРОЕНИЕ 1, ОФИС 14</t>
  </si>
  <si>
    <t>Попов Иван Васильевич</t>
  </si>
  <si>
    <t>katina@arban.ru'</t>
  </si>
  <si>
    <t>55.987724,92.848835</t>
  </si>
  <si>
    <t>2464152705</t>
  </si>
  <si>
    <t>660012, КРАСНОЯРСКИЙ КРАЙ, ГОРОД КРАСНОЯРСК, УЛИЦА СУДОСТРОИТЕЛЬНАЯ, ДОМ 123,..</t>
  </si>
  <si>
    <t>Погребняк Юлия Петровна</t>
  </si>
  <si>
    <t>nbt2020@mail.ru'</t>
  </si>
  <si>
    <t>56.0352,92.897685</t>
  </si>
  <si>
    <t>ОБЩЕСТВО С ОГРАНИЧЕННОЙ ОТВЕТСТВЕННОСТЬЮ "АвтоЛесТрейд"</t>
  </si>
  <si>
    <t xml:space="preserve"> "АвтоЛесТрейд"</t>
  </si>
  <si>
    <t>2464216772</t>
  </si>
  <si>
    <t>660135, КРАСНОЯРСКИЙ КРАЙ, ГОРОД КРАСНОЯРСК, УЛИЦА МОЛОКОВА, ДОМ 37 А, ПОМЕЩЕНИЕ 25</t>
  </si>
  <si>
    <t>Порфиенко Алексей Владимирович</t>
  </si>
  <si>
    <t>+7 (391) 261-65-40', '+7 (391) 261-65-40'</t>
  </si>
  <si>
    <t>56.062997,92.907468</t>
  </si>
  <si>
    <t>ОБЩЕСТВО С ОГРАНИЧЕННОЙ ОТВЕТСТВЕННОСТЬЮ "БЕТОНГРАД"</t>
  </si>
  <si>
    <t xml:space="preserve"> "БЕТОНГРАД"</t>
  </si>
  <si>
    <t>2465136463</t>
  </si>
  <si>
    <t>660125, КРАСНОЯРСКИЙ КРАЙ, КРАСНОЯРСК Г, ВОДОПЬЯНОВА УЛ, ДОМ 2,..</t>
  </si>
  <si>
    <t>Кабанов Андрей Валентинович</t>
  </si>
  <si>
    <t>+7 (902) 940-71-74'</t>
  </si>
  <si>
    <t>56.033455,93.134715</t>
  </si>
  <si>
    <t>ОБЩЕСТВО С ОГРАНИЧЕННОЙ ОТВЕТСТВЕННОСТЬЮ "БЕТОН ИНВЕСТ"</t>
  </si>
  <si>
    <t xml:space="preserve"> "БЕТОН ИНВЕСТ"</t>
  </si>
  <si>
    <t>2465136946</t>
  </si>
  <si>
    <t>662520, КРАСНОЯРСКИЙ КРАЙ, РАЙОН БЕРЕЗОВСКИЙ, ПОСЕЛОК ГОРОДСКОГО ТИПА БЕРЕЗОВКА, УЛИЦА ЮНОСТИ, ПОМЕЩЕНИЕ 2, КАБИНЕТ 9</t>
  </si>
  <si>
    <t>Хруль Алексей Сергеевич</t>
  </si>
  <si>
    <t>beton_invest@mail.ru', 'invest@mail.ru', 'kolmakova_lg@mail.ru'</t>
  </si>
  <si>
    <t>56.024828,92.882108</t>
  </si>
  <si>
    <t>ОБЩЕСТВО С ОГРАНИЧЕННОЙ ОТВЕТСТВЕННОСТЬЮ "АБН-СТРОЙ"</t>
  </si>
  <si>
    <t xml:space="preserve"> "АБН-СТРОЙ"</t>
  </si>
  <si>
    <t>2465160184</t>
  </si>
  <si>
    <t>660020, КРАСНОЯРСКИЙ КРАЙ, ГОРОД КРАСНОЯРСК, УЛИЦА ЗАГОРОДНАЯ, ДОМ 29,..</t>
  </si>
  <si>
    <t>Саградян Ван Ваганович</t>
  </si>
  <si>
    <t>56.106017,93.065158</t>
  </si>
  <si>
    <t xml:space="preserve"> "РЕГИОН БЕТОН"</t>
  </si>
  <si>
    <t>2465167729</t>
  </si>
  <si>
    <t>660111, КРАСНОЯРСКИЙ КРАЙ, ГОРОД КРАСНОЯРСК, УЛИЦА ПОГРАНИЧНИКОВ, ДОМ 12 Г, ПОМЕЩЕНИЕ 11, ОФИС 305</t>
  </si>
  <si>
    <t>Кузякин Андрей Васильевич</t>
  </si>
  <si>
    <t>+7 (902) 927-57-94'</t>
  </si>
  <si>
    <t>56.053668,92.919146</t>
  </si>
  <si>
    <t>ОБЩЕСТВО С ОГРАНИЧЕННОЙ ОТВЕТСТВЕННОСТЬЮ "КРАСНОЯРСКИЙ СПЕЦИАЛЬНЫЙ БЕТОН"</t>
  </si>
  <si>
    <t xml:space="preserve"> "КРАСНОЯРСКИЙ СПЕЦИАЛЬНЫЙ БЕТОН"</t>
  </si>
  <si>
    <t>2465170383</t>
  </si>
  <si>
    <t>660098, КРАСНОЯРСКИЙ КРАЙ, ГОРОД КРАСНОЯРСК, УЛИЦА АЛЕКСЕЕВА, ДОМ 17,..</t>
  </si>
  <si>
    <t>Корнилович Ирина Валерьевна</t>
  </si>
  <si>
    <t>+7 (953) 586-67-67'</t>
  </si>
  <si>
    <t>56.064223,92.981228</t>
  </si>
  <si>
    <t>ОБЩЕСТВО С ОГРАНИЧЕННОЙ ОТВЕТСТВЕННОСТЬЮ ПКФ "СПЕЦБЕТОН"</t>
  </si>
  <si>
    <t xml:space="preserve"> ПКФ "СПЕЦБЕТОН"</t>
  </si>
  <si>
    <t>2465172599</t>
  </si>
  <si>
    <t>660055, КРАСНОЯРСКИЙ КРАЙ, ГОРОД КРАСНОЯРСК, УЛИЦА ДЖАМБУЛЬСКАЯ, ДОМ 16, СТРОЕНИЕ  2, ОФИС  3-32</t>
  </si>
  <si>
    <t>pkspecbeton@mail.ru'</t>
  </si>
  <si>
    <t>56.034742,92.912974</t>
  </si>
  <si>
    <t>ОБЩЕСТВО С ОГРАНИЧЕННОЙ ОТВЕТСТВЕННОСТЬЮ "Элкон-Бетон"</t>
  </si>
  <si>
    <t xml:space="preserve"> "Элкон-Бетон"</t>
  </si>
  <si>
    <t>2465275724</t>
  </si>
  <si>
    <t>660077, КРАСНОЯРСКИЙ КРАЙ, ГОРОД КРАСНОЯРСК, УЛИЦА ВЗЛЕТНАЯ, 12, 49</t>
  </si>
  <si>
    <t>Рукосуева Людмила Владимировна</t>
  </si>
  <si>
    <t>+7 (962) 082-00-17'</t>
  </si>
  <si>
    <t>56.014182,92.889007</t>
  </si>
  <si>
    <t>ОБЩЕСТВО С ОГРАНИЧЕННОЙ ОТВЕТСТВЕННОСТЬЮ "МИТРА"</t>
  </si>
  <si>
    <t xml:space="preserve"> "МИТРА"</t>
  </si>
  <si>
    <t>2465309451</t>
  </si>
  <si>
    <t>660049, КРАСНОЯРСКИЙ КРАЙ, Г. КРАСНОЯРСК, УЛ. ЛЕНИНА, Д. 5А, ПОМЕЩ. 87</t>
  </si>
  <si>
    <t>Карелин Константин Сергеевич</t>
  </si>
  <si>
    <t>modulbeton@bk.ru'</t>
  </si>
  <si>
    <t>56.038303,92.839322</t>
  </si>
  <si>
    <t>ОБЩЕСТВО С ОГРАНИЧЕННОЙ ОТВЕТСТВЕННОСТЬЮ "БЕТОННЫЙ ЗАВОД № 1"</t>
  </si>
  <si>
    <t xml:space="preserve"> "БЕТОННЫЙ ЗАВОД № 1"</t>
  </si>
  <si>
    <t>2465319971</t>
  </si>
  <si>
    <t>http://beton001.ru</t>
  </si>
  <si>
    <t>660048, КРАСНОЯРСКИЙ КРАЙ, ГОРОД КРАСНОЯРСК, УЛИЦА 2-Я БРЯНСКАЯ, ЗДАНИЕ 4, ПОМЕЩЕНИЕ 4-05</t>
  </si>
  <si>
    <t>Симонихин Денис Владимирович</t>
  </si>
  <si>
    <t>+7 (923) 324-85-55'</t>
  </si>
  <si>
    <t>svetab3@yandex.ru'</t>
  </si>
  <si>
    <t>56.114872,92.910792</t>
  </si>
  <si>
    <t>ОБЩЕСТВО С ОГРАНИЧЕННОЙ ОТВЕТСТВЕННОСТЬЮ "ПРОИЗВОДСТВЕННАЯ СТРОИТЕЛЬНАЯ КОМПАНИЯ СОЮЗСТРОЙ"</t>
  </si>
  <si>
    <t xml:space="preserve"> "ПРОИЗВОДСТВЕННАЯ СТРОИТЕЛЬНАЯ КОМПАНИЯ СОЮЗСТРОЙ"</t>
  </si>
  <si>
    <t>2465324629</t>
  </si>
  <si>
    <t>660119, КРАСНОЯРСКИЙ КРАЙ, ГОРОД КРАСНОЯРСК, ПРОСПЕКТ МОЛОДЕЖНЫЙ, ДОМ 27,..</t>
  </si>
  <si>
    <t>Сидоренков Евгений Александрович</t>
  </si>
  <si>
    <t>56.054598,92.923682</t>
  </si>
  <si>
    <t>ОБЩЕСТВО С ОГРАНИЧЕННОЙ ОТВЕТСТВЕННОСТЬЮ "МЕКАБЕТОН"</t>
  </si>
  <si>
    <t xml:space="preserve"> "МЕКАБЕТОН"</t>
  </si>
  <si>
    <t>2465331048</t>
  </si>
  <si>
    <t>660098, КРАСНОЯРСКИЙ КРАЙ, ГОРОД КРАСНОЯРСК, УЛИЦА АЛЕКСЕЕВА, ДОМ 5, ПОМЕЩЕНИЕ 248</t>
  </si>
  <si>
    <t>Мишин Максим Владимирович</t>
  </si>
  <si>
    <t>stroyresurs124@mail.ru'</t>
  </si>
  <si>
    <t>56.097171,93.066263</t>
  </si>
  <si>
    <t>2465334320</t>
  </si>
  <si>
    <t>660111, КРАСНОЯРСКИЙ КРАЙ, ГОРОД КРАСНОЯРСК, УЛИЦА ПОГРАНИЧНИКОВ, ЗД 9В</t>
  </si>
  <si>
    <t>info@krasbeton.ru'</t>
  </si>
  <si>
    <t>56.032856,92.92406</t>
  </si>
  <si>
    <t xml:space="preserve"> "СПЕЦСТРОЙБЕТОН"</t>
  </si>
  <si>
    <t>2465336857</t>
  </si>
  <si>
    <t>660022, КРАСНОЯРСКИЙ КРАЙ, Г. Красноярск, УЛ. ПАРТИЗАНА ЖЕЛЕЗНЯКА, Д. 21А,..</t>
  </si>
  <si>
    <t>Гаджибалаев Тарлан Фарманович</t>
  </si>
  <si>
    <t>EVRODOM24@YANDEX.RU'</t>
  </si>
  <si>
    <t>56.06364,92.939735</t>
  </si>
  <si>
    <t>ОБЩЕСТВО С ОГРАНИЧЕННОЙ ОТВЕТСТВЕННОСТЬЮ "ИМПУЛЬС"</t>
  </si>
  <si>
    <t xml:space="preserve"> "ИМПУЛЬС"</t>
  </si>
  <si>
    <t>2465340067</t>
  </si>
  <si>
    <t>660127, КРАСНОЯРСКИЙ КРАЙ, Г. Красноярск, УЛ. МАТЕ ЗАЛКИ, Д. 21,..</t>
  </si>
  <si>
    <t>Тукиш Антон Леонидович</t>
  </si>
  <si>
    <t>56.116468,92.938208</t>
  </si>
  <si>
    <t>ОБЩЕСТВО С ОГРАНИЧЕННОЙ ОТВЕТСТВЕННОСТЬЮ "КСК-БЕТОН"</t>
  </si>
  <si>
    <t xml:space="preserve"> "КСК-БЕТОН"</t>
  </si>
  <si>
    <t>2465346710</t>
  </si>
  <si>
    <t>660119, Красноярский край, ГОРОД КРАСНОЯРСК, Г КРАСНОЯРСК, УЛ 40 ЛЕТ ПОБЕДЫ, Д. 2</t>
  </si>
  <si>
    <t>Гейлаш Михаил Александрович</t>
  </si>
  <si>
    <t>POHOMOV01@YANDEX.RU'</t>
  </si>
  <si>
    <t>56.060956,92.903605</t>
  </si>
  <si>
    <t xml:space="preserve"> "АРТЕМИДА"</t>
  </si>
  <si>
    <t>2466149948</t>
  </si>
  <si>
    <t>660125, КРАСНОЯРСКИЙ КРАЙ, Г. КРАСНОЯРСК, ПЕР. СВЕТЛОГОРСКИЙ, Д. 20, СТР. 4, ОФИС 305</t>
  </si>
  <si>
    <t>Палозян Рачик Амбарцумович</t>
  </si>
  <si>
    <t>+7 (391) 295-98-92'</t>
  </si>
  <si>
    <t>56.046097,92.939834</t>
  </si>
  <si>
    <t>ОБЩЕСТВО С ОГРАНИЧЕННОЙ ОТВЕТСТВЕННОСТЬЮ "СПЕЦСТРОЙТЕХ24"</t>
  </si>
  <si>
    <t xml:space="preserve"> "СПЕЦСТРОЙТЕХ24"</t>
  </si>
  <si>
    <t>2466179692</t>
  </si>
  <si>
    <t>660005, КРАСНОЯРСКИЙ КРАЙ, Г. КРАСНОЯРСК, УЛ. КРАСНОДАРСКАЯ, Д. 8,..</t>
  </si>
  <si>
    <t>Андреев Юрий Сергеевич</t>
  </si>
  <si>
    <t>+7 (929) 338-79-34'</t>
  </si>
  <si>
    <t>ОБЩЕСТВО С ОГРАНИЧЕННОЙ ОТВЕТСТВЕННОСТЬЮ "СИБСТРОЙ"</t>
  </si>
  <si>
    <t xml:space="preserve"> "СИБСТРОЙ"</t>
  </si>
  <si>
    <t>2466184036</t>
  </si>
  <si>
    <t>660050, КРАСНОЯРСКИЙ КРАЙ, ГОРОД КРАСНОЯРСК, УЛИЦА НОВАЯ, ДОМ 13А, ОФИС 2-03</t>
  </si>
  <si>
    <t>Паля Всеволод Дмитриевич</t>
  </si>
  <si>
    <t>+7 (913) 176-61-59'</t>
  </si>
  <si>
    <t>56.026503,92.861258</t>
  </si>
  <si>
    <t>ОБЩЕСТВО С ОГРАНИЧЕННОЙ ОТВЕТСТВЕННОСТЬЮ "БЕТАДИАМАНТ"</t>
  </si>
  <si>
    <t xml:space="preserve"> "БЕТАДИАМАНТ"</t>
  </si>
  <si>
    <t>2466196867</t>
  </si>
  <si>
    <t>660056, КРАСНОЯРСКИЙ КРАЙ, Г. КРАСНОЯРСК, УЛ. ЮРИЯ ГАГАРИНА, Д. 105, СТР. В1, ПОМЕЩ. 3</t>
  </si>
  <si>
    <t>Ильина Мария Сергеевна</t>
  </si>
  <si>
    <t>56.045267,92.888738</t>
  </si>
  <si>
    <t>ОБЩЕСТВО С ОГРАНИЧЕННОЙ ОТВЕТСТВЕННОСТЬЮ "СПЕЦ БЕТОН"</t>
  </si>
  <si>
    <t xml:space="preserve"> "СПЕЦ БЕТОН"</t>
  </si>
  <si>
    <t>2466197148</t>
  </si>
  <si>
    <t>660043, КРАСНОЯРСКИЙ КРАЙ, ГОРОД КРАСНОЯРСК, УЛИЦА КАРАУЛЬНАЯ, ДОМ 88, ПОМЕЩЕНИЕ 321</t>
  </si>
  <si>
    <t>Литовченко Константин Юрьевич</t>
  </si>
  <si>
    <t>56.043351,92.889618</t>
  </si>
  <si>
    <t>ОБЩЕСТВО С ОГРАНИЧЕННОЙ ОТВЕТСТВЕННОСТЬЮ "Ладейское"</t>
  </si>
  <si>
    <t xml:space="preserve"> "Ладейское"</t>
  </si>
  <si>
    <t>2466247134</t>
  </si>
  <si>
    <t>660020, КРАСНОЯРСКИЙ КРАЙ, ГОРОД КРАСНОЯРСК, УЛИЦА ШАХТЕРОВ, ЗДАНИЕ 61, ОФИС 24</t>
  </si>
  <si>
    <t>Аполлонов Олег Александрович</t>
  </si>
  <si>
    <t>56.044548,92.846975</t>
  </si>
  <si>
    <t>ОБЩЕСТВО С ОГРАНИЧЕННОЙ ОТВЕТСТВЕННОСТЬЮ ПРОИЗВОДСТВЕННАЯ КОММЕРЧЕСКАЯ ФИРМА "АТЛАНТА"</t>
  </si>
  <si>
    <t xml:space="preserve"> ПРОИЗВОДСТВЕННАЯ КОММЕРЧЕСКАЯ ФИРМА "АТЛАНТА"</t>
  </si>
  <si>
    <t>2466278140</t>
  </si>
  <si>
    <t>660048, КРАСНОЯРСКИЙ КРАЙ, ГОРОД КРАСНОЯРСК, УЛИЦА МАЕРЧАКА, ДОМ 104А</t>
  </si>
  <si>
    <t>Гиренко Руслан Владиславович</t>
  </si>
  <si>
    <t>2205123@mail.ru', 'atlanta_s@inbox.ru', '2205123@mail.ruatlanta_s', '@inbox.ru'</t>
  </si>
  <si>
    <t>43.351513,132.128793</t>
  </si>
  <si>
    <t>ОБЩЕСТВО С ОГРАНИЧЕННОЙ ОТВЕТСТВЕННОСТЬЮ "Мегастрой"</t>
  </si>
  <si>
    <t xml:space="preserve"> "Мегастрой"</t>
  </si>
  <si>
    <t>2502047077</t>
  </si>
  <si>
    <t>692756, Приморский край, г Артем, ул Уткинская, д 28</t>
  </si>
  <si>
    <t>Цирульников Сергей Константинович</t>
  </si>
  <si>
    <t>+7 (908) 557-77-68'</t>
  </si>
  <si>
    <t>43.360821,132.185594</t>
  </si>
  <si>
    <t>ОБЩЕСТВО С ОГРАНИЧЕННОЙ ОТВЕТСТВЕННОСТЬЮ "АРТЕМОВСКИЙ БЕТОННЫЙ ЗАВОД"</t>
  </si>
  <si>
    <t xml:space="preserve"> "АРТЕМОВСКИЙ БЕТОННЫЙ ЗАВОД"</t>
  </si>
  <si>
    <t>2502051570</t>
  </si>
  <si>
    <t>692759, ПРИМОРСКИЙ КРАЙ, ГОРОД АРТЕМ, УЛИЦА ВОКЗАЛЬНАЯ, ДОМ 113/4</t>
  </si>
  <si>
    <t>Коваль Юрий Геннадьевич</t>
  </si>
  <si>
    <t>+7 (908) 449-81-29', '+7 (902) 556-70-14', '+7 (423) 258-11-81'</t>
  </si>
  <si>
    <t>43.37094,131.993049</t>
  </si>
  <si>
    <t>ОБЩЕСТВО С ОГРАНИЧЕННОЙ ОТВЕТСТВЕННОСТЬЮ "СИБ ИНЖИНИРИНГ"</t>
  </si>
  <si>
    <t xml:space="preserve"> "СИБ ИНЖИНИРИНГ"</t>
  </si>
  <si>
    <t>2502068408</t>
  </si>
  <si>
    <t>692481, Приморский край, НАДЕЖДИНСКИЙ, 2 НАДЕЖДИНСКОЕ, С ВОЛЬНО-НАДЕЖДИНСКОЕ</t>
  </si>
  <si>
    <t>Волобуева Светлана Викторовна</t>
  </si>
  <si>
    <t>43.109079,132.338864</t>
  </si>
  <si>
    <t>ОБЩЕСТВО С ОГРАНИЧЕННОЙ ОТВЕТСТВЕННОСТЬЮ "СТРОЙСЕРВИС-ДВ"</t>
  </si>
  <si>
    <t xml:space="preserve"> "СТРОЙСЕРВИС-ДВ"</t>
  </si>
  <si>
    <t>2503032700</t>
  </si>
  <si>
    <t>692801, ПРИМОРСКИЙ КРАЙ, ГОРОД БОЛЬШОЙ КАМЕНЬ, УЛИЦА ЛЕНИНА, ДОМ 13, ОФИС 13</t>
  </si>
  <si>
    <t>Сизиков Александр Леонидович</t>
  </si>
  <si>
    <t>+7 (984) 191-83-43', '+7 (914) 538-51-50', '+7 (908) 972-50-99'</t>
  </si>
  <si>
    <t>43.107842,132.338424</t>
  </si>
  <si>
    <t>ОБЩЕСТВО С ОГРАНИЧЕННОЙ ОТВЕТСТВЕННОСТЬЮ "ШКОТРИС-БК"</t>
  </si>
  <si>
    <t xml:space="preserve"> "ШКОТРИС-БК"</t>
  </si>
  <si>
    <t>2503033655</t>
  </si>
  <si>
    <t>692801, ПРИМОРСКИЙ КРАЙ, БОЛЬШОЙ КАМЕНЬ Г, ЛАЗО УЛ, ДОМ 8, ОФИС 23</t>
  </si>
  <si>
    <t>Шпаков Денис Викторович</t>
  </si>
  <si>
    <t>+7 (950) 281-77-77'</t>
  </si>
  <si>
    <t>43.128479,132.351764</t>
  </si>
  <si>
    <t>ОБЩЕСТВО С ОГРАНИЧЕННОЙ ОТВЕТСТВЕННОСТЬЮ "БЕАТОН ПАРТНЕР"</t>
  </si>
  <si>
    <t xml:space="preserve"> "БЕАТОН ПАРТНЕР"</t>
  </si>
  <si>
    <t>2503036832</t>
  </si>
  <si>
    <t>692806, ПРИМОРСКИЙ КРАЙ, Г. БОЛЬШОЙ КАМЕНЬ, УЛ. КОЛХОЗНАЯ, Д. 12А</t>
  </si>
  <si>
    <t>beaton2006@mail.ru'</t>
  </si>
  <si>
    <t>44.545327,135.522979</t>
  </si>
  <si>
    <t>ОБЩЕСТВО С ОГРАНИЧЕННОЙ ОТВЕТСТВЕННОСТЬЮ "ДАЛЬНЕГОРСКИЙ БЕТОН"</t>
  </si>
  <si>
    <t xml:space="preserve"> "ДАЛЬНЕГОРСКИЙ БЕТОН"</t>
  </si>
  <si>
    <t>2505015362</t>
  </si>
  <si>
    <t>692442, ПРИМОРСКИЙ КРАЙ, ДАЛЬНЕГОРСК Г, ПРИМОРСКАЯ УЛ, ДОМ 13, ОФИС 32</t>
  </si>
  <si>
    <t>Ежов Николай Владимирович</t>
  </si>
  <si>
    <t>+7 (924) 267-62-76'</t>
  </si>
  <si>
    <t>42.848392,132.960292</t>
  </si>
  <si>
    <t>ОБЩЕСТВО С ОГРАНИЧЕННОЙ ОТВЕТСТВЕННОСТЬЮ "БРК-50"</t>
  </si>
  <si>
    <t xml:space="preserve"> "БРК-50"</t>
  </si>
  <si>
    <t>2508097780</t>
  </si>
  <si>
    <t>692906, ПРИМОРСКИЙ КРАЙ, НАХОДКА Г, ШОССЕЙНАЯ УЛ, 183А, 3</t>
  </si>
  <si>
    <t>Губаль Евгений Васильевич</t>
  </si>
  <si>
    <t>42.767705,133.068665</t>
  </si>
  <si>
    <t>ОБЩЕСТВО С ОГРАНИЧЕННОЙ ОТВЕТСТВЕННОСТЬЮ "ЛЮКОР"</t>
  </si>
  <si>
    <t xml:space="preserve"> "ЛЮКОР"</t>
  </si>
  <si>
    <t>2508117700</t>
  </si>
  <si>
    <t>http://nesyemnaya-opalubka-nakhodka.umi.ru</t>
  </si>
  <si>
    <t>692943, ПРИМОРСКИЙ КРАЙ, ГОРОД НАХОДКА, УЛИЦА ВАСЯНОВИЧА, 9</t>
  </si>
  <si>
    <t>Коровин Ярослав Олегович</t>
  </si>
  <si>
    <t>+7 (914) 715-38-01', '+7 (423) 666-17-08'</t>
  </si>
  <si>
    <t>42.825346,132.89326</t>
  </si>
  <si>
    <t>ОБЩЕСТВО С ОГРАНИЧЕННОЙ ОТВЕТСТВЕННОСТЬЮ "АННИ"</t>
  </si>
  <si>
    <t xml:space="preserve"> "АННИ"</t>
  </si>
  <si>
    <t>2508133244</t>
  </si>
  <si>
    <t>692904, ПРИМОРСКИЙ КРАЙ, Г. НАХОДКА, ПР-КТ НАХОДКИНСКИЙ, Д. 12, ОФИС 121</t>
  </si>
  <si>
    <t>Саргсян Анаит Гургеновна</t>
  </si>
  <si>
    <t>ОБЩЕСТВО С ОГРАНИЧЕННОЙ ОТВЕТСТВЕННОСТЬЮ "БРК-150"</t>
  </si>
  <si>
    <t xml:space="preserve"> "БРК-150"</t>
  </si>
  <si>
    <t>2508137954</t>
  </si>
  <si>
    <t>692906, ПРИМОРСКИЙ КРАЙ, ГОРОД НАХОДКА, ПРОСПЕКТ СЕВЕРНЫЙ, ДОМ 77, ОФИС 1</t>
  </si>
  <si>
    <t>Ворона Руслан Анатольевич</t>
  </si>
  <si>
    <t>43.807722,131.917294</t>
  </si>
  <si>
    <t>ОБЩЕСТВО С ОГРАНИЧЕННОЙ ОТВЕТСТВЕННОСТЬЮ "РБУ №34"</t>
  </si>
  <si>
    <t xml:space="preserve"> "РБУ №34"</t>
  </si>
  <si>
    <t>2511079205</t>
  </si>
  <si>
    <t>692519, Приморский край, г Уссурийск, ул Целинная, д 2 а</t>
  </si>
  <si>
    <t>Ерёменко Дмитрий Владимирович</t>
  </si>
  <si>
    <t>+7 (914) 068-88-07', '+7 (924) 422-50-00', '+7 (914) 686-57-23', '+7 (924) 254-20-07'</t>
  </si>
  <si>
    <t>43.114318,131.894261</t>
  </si>
  <si>
    <t>ОБЩЕСТВО С ОГРАНИЧЕННОЙ ОТВЕТСТВЕННОСТЬЮ "ДЕЛЬТА"</t>
  </si>
  <si>
    <t xml:space="preserve"> "ДЕЛЬТА"</t>
  </si>
  <si>
    <t>2511085417</t>
  </si>
  <si>
    <t>Г ВЛАДИВОСТОК,УЛ СВЕТЛАНСКАЯ, 55, КОРП 2</t>
  </si>
  <si>
    <t>Ерёменко Вера Федоровна</t>
  </si>
  <si>
    <t>+7 (924) 422-50-00', '+7 (902) 523-21-92'</t>
  </si>
  <si>
    <t>43.775256,131.89745</t>
  </si>
  <si>
    <t>ОБЩЕСТВО С ОГРАНИЧЕННОЙ ОТВЕТСТВЕННОСТЬЮ "ДЕЛЬТА Е"</t>
  </si>
  <si>
    <t xml:space="preserve"> "ДЕЛЬТА Е"</t>
  </si>
  <si>
    <t>2511100898</t>
  </si>
  <si>
    <t>692548, ПРИМОРСКИЙ КРАЙ, УССУРИЙСК Г, СВЕТЛАЯ УЛ, ДОМ 29</t>
  </si>
  <si>
    <t>Еременко Вера Федоровна</t>
  </si>
  <si>
    <t>+7 (924) 528-94-91', '+7 (924) 425-50-00'</t>
  </si>
  <si>
    <t>ОБЩЕСТВО С ОГРАНИЧЕННОЙ ОТВЕТСТВЕННОСТЬЮ "ПРИМБЕТОН"</t>
  </si>
  <si>
    <t xml:space="preserve"> "ПРИМБЕТОН"</t>
  </si>
  <si>
    <t>2511108752</t>
  </si>
  <si>
    <t>690069, ПРИМОРСКИЙ КРАЙ, ГОРОД ВЛАДИВОСТОК, УЛИЦА РУССКАЯ, ДОМ 27В, ПОМЕЩЕНИЕ 35</t>
  </si>
  <si>
    <t>Казновский Филипп Анатольевич</t>
  </si>
  <si>
    <t>primbeton@bk.ru'</t>
  </si>
  <si>
    <t>43.873684,131.954305</t>
  </si>
  <si>
    <t>ОБЩЕСТВО С ОГРАНИЧЕННОЙ ОТВЕТСТВЕННОСТЬЮ "БЕТОН125"</t>
  </si>
  <si>
    <t xml:space="preserve"> "БЕТОН125"</t>
  </si>
  <si>
    <t>2511113985</t>
  </si>
  <si>
    <t>692555, ПРИМОРСКИЙ КРАЙ, ГОРОД УССУРИЙСК, СЕЛО ВОЗДВИЖЕНКА, УЛИЦА СОВЕТСКАЯ, ДОМ 17, КАБИНЕТ 1</t>
  </si>
  <si>
    <t>Беликов Дмитрий Сергеевич</t>
  </si>
  <si>
    <t>43.793128,131.993848</t>
  </si>
  <si>
    <t>ОБЩЕСТВО С ОГРАНИЧЕННОЙ ОТВЕТСТВЕННОСТЬЮ "МОНОЛИТЪ"</t>
  </si>
  <si>
    <t xml:space="preserve"> "МОНОЛИТЪ"</t>
  </si>
  <si>
    <t>2511116400</t>
  </si>
  <si>
    <t>692501, ПРИМОРСКИЙ КРАЙ, Г. Уссурийск, УЛ. ВОРОВСКОГО, Д. 13</t>
  </si>
  <si>
    <t>43.329817,131.874929</t>
  </si>
  <si>
    <t>ОБЩЕСТВО С ОГРАНИЧЕННОЙ ОТВЕТСТВЕННОСТЬЮ "СтройГеология"</t>
  </si>
  <si>
    <t xml:space="preserve"> "СтройГеология"</t>
  </si>
  <si>
    <t>2521013147</t>
  </si>
  <si>
    <t>692495, ПРИМОРСКИЙ КРАЙ, Р-Н НАДЕЖДИНСКИЙ, П ТАВРИЧАНКА, УЛ. ШАХТЕРСКАЯ, Д.22А</t>
  </si>
  <si>
    <t>Тарасенко Константин Геннадьевич</t>
  </si>
  <si>
    <t>+7 (904) 622-63-99'</t>
  </si>
  <si>
    <t>PGRC@yandex.ru'</t>
  </si>
  <si>
    <t>ОБЩЕСТВО С ОГРАНИЧЕННОЙ ОТВЕТСТВЕННОСТЬЮ "РЕД ФОРМ"</t>
  </si>
  <si>
    <t xml:space="preserve"> "РЕД ФОРМ"</t>
  </si>
  <si>
    <t>2521015610</t>
  </si>
  <si>
    <t>Мезенцев Владимир Анатольевич</t>
  </si>
  <si>
    <t>+7 (964) 433-99-97'</t>
  </si>
  <si>
    <t>43.117675,131.893057</t>
  </si>
  <si>
    <t>ОБЩЕСТВО С ОГРАНИЧЕННОЙ ОТВЕТСТВЕННОСТЬЮ "ТИХООКЕАНСКАЯ СТРОИТЕЛЬНАЯ КОМПАНИЯ"</t>
  </si>
  <si>
    <t xml:space="preserve"> "ТИХООКЕАНСКАЯ СТРОИТЕЛЬНАЯ КОМПАНИЯ"</t>
  </si>
  <si>
    <t>2536072709</t>
  </si>
  <si>
    <t>Г ВЛАДИВОСТОК,УЛ СУХАНОВА, 3</t>
  </si>
  <si>
    <t>Яруллин Владимир Викторович</t>
  </si>
  <si>
    <t>+7 (423) 231-78-51', '+7 (421) 240-00-44'</t>
  </si>
  <si>
    <t>43.241787,132.014393</t>
  </si>
  <si>
    <t xml:space="preserve"> "ЕВРОСТРОЙ"</t>
  </si>
  <si>
    <t>2536132676</t>
  </si>
  <si>
    <t>Г ВЛАДИВОСТОК,УЛ УСПЕНСКОГО, 65</t>
  </si>
  <si>
    <t>Колясков Александр Иванович</t>
  </si>
  <si>
    <t>+7 (423) 222-09-13'</t>
  </si>
  <si>
    <t>43.117767,131.8971</t>
  </si>
  <si>
    <t>ОБЩЕСТВО С ОГРАНИЧЕННОЙ ОТВЕТСТВЕННОСТЬЮ "СТРОЙМАСТЕР ДВ"</t>
  </si>
  <si>
    <t xml:space="preserve"> "СТРОЙМАСТЕР ДВ"</t>
  </si>
  <si>
    <t>2536286073</t>
  </si>
  <si>
    <t>690091, ПРИМОРСКИЙ КРАЙ, ГОРОД ВЛАДИВОСТОК, ПЕРЕУЛОК НЕКРАСОВСКИЙ, ДОМ 32</t>
  </si>
  <si>
    <t>Луков Максим Валентинович</t>
  </si>
  <si>
    <t>master@mail.ru', 's_mel@mail.ru'</t>
  </si>
  <si>
    <t>43.109836,131.932089</t>
  </si>
  <si>
    <t>ОБЩЕСТВО С ОГРАНИЧЕННОЙ ОТВЕТСТВЕННОСТЬЮ "ФАРВАТЕР № 575"</t>
  </si>
  <si>
    <t xml:space="preserve"> "ФАРВАТЕР № 575"</t>
  </si>
  <si>
    <t>2536286394</t>
  </si>
  <si>
    <t>690005, ПРИМОРСКИЙ КРАЙ, Г. ВЛАДИВОСТОК, УЛ. ИВАНОВСКАЯ, Д. 2,..</t>
  </si>
  <si>
    <t>Семянов Евгений Васильевич</t>
  </si>
  <si>
    <t>fstroy@yandex.ru'</t>
  </si>
  <si>
    <t>43.0747,131.936904</t>
  </si>
  <si>
    <t>ОБЩЕСТВО С ОГРАНИЧЕННОЙ ОТВЕТСТВЕННОСТЬЮ "ГТ-СТРОЙ"</t>
  </si>
  <si>
    <t xml:space="preserve"> "ГТ-СТРОЙ"</t>
  </si>
  <si>
    <t>2537136560</t>
  </si>
  <si>
    <t>690017, ПРИМОРСКИЙ КРАЙ, Г. ВЛАДИВОСТОК, УЛ. КАТЕРНАЯ, Д. 2А, ОФИС 1</t>
  </si>
  <si>
    <t>Омельяненко Александр Петрович</t>
  </si>
  <si>
    <t>43.19194,131.921561</t>
  </si>
  <si>
    <t>ОБЩЕСТВО С ОГРАНИЧЕННОЙ ОТВЕТСТВЕННОСТЬЮ "ПОРТКАР"</t>
  </si>
  <si>
    <t xml:space="preserve"> "ПОРТКАР"</t>
  </si>
  <si>
    <t>2539090664</t>
  </si>
  <si>
    <t>690022, Приморский край, Владивосток, пр-кт 100 лет Владивостоку, д 159 д</t>
  </si>
  <si>
    <t>Бессонов Олег Владимирович</t>
  </si>
  <si>
    <t>+7 (423) 231-30-58'</t>
  </si>
  <si>
    <t>43.130683,131.890039</t>
  </si>
  <si>
    <t>ОБЩЕСТВО С ОГРАНИЧЕННОЙ ОТВЕТСТВЕННОСТЬЮ "СТРОЙКОД"</t>
  </si>
  <si>
    <t xml:space="preserve"> "СТРОЙКОД"</t>
  </si>
  <si>
    <t>2540270301</t>
  </si>
  <si>
    <t>690078, Приморский край, ВЛАДИВОСТОКСКИЙ, Г ВЛАДИВОСТОК, УЛ КОМСОМОЛЬСКАЯ, Д. 5А</t>
  </si>
  <si>
    <t>Гайдрахманов Руслан Равильевич</t>
  </si>
  <si>
    <t>43.135624,131.955931</t>
  </si>
  <si>
    <t>"БЕТОНЫЧ"</t>
  </si>
  <si>
    <t>2543119926</t>
  </si>
  <si>
    <t>690087, ПРИМОРСКИЙ КРАЙ, ГОРОД ВЛАДИВОСТОК, УЛИЦА РУДНЕВА, ДОМ 17, ОФИС 2/10</t>
  </si>
  <si>
    <t>Немальцын Илья Александрович</t>
  </si>
  <si>
    <t>+7 (924) 730-56-60', '+7 (962) 339-68-43', '+7 (924) 127-12-43'</t>
  </si>
  <si>
    <t>ОБЩЕСТВО С ОГРАНИЧЕННОЙ ОТВЕТСТВЕННОСТЬЮ "БЕТТОМАКС"</t>
  </si>
  <si>
    <t xml:space="preserve"> "БЕТТОМАКС"</t>
  </si>
  <si>
    <t>2543126176</t>
  </si>
  <si>
    <t>692806, ПРИМОРСКИЙ КРАЙ, Г. Большой Камень, УЛ. АЛЛЕЯ ТРУДА, Д. 35 А, ПОМЕЩ. 5</t>
  </si>
  <si>
    <t>Канчин Александр Петрович</t>
  </si>
  <si>
    <t>info@zahar.ru'</t>
  </si>
  <si>
    <t>43.134203,131.961168</t>
  </si>
  <si>
    <t>ОБЩЕСТВО С ОГРАНИЧЕННОЙ ОТВЕТСТВЕННОСТЬЮ "СТРОИТЕЛЬНАЯ КОМПАНИЯ "КАЛИБРИ"</t>
  </si>
  <si>
    <t xml:space="preserve"> "СТРОИТЕЛЬНАЯ КОМПАНИЯ "КАЛИБРИ"</t>
  </si>
  <si>
    <t>2543128487</t>
  </si>
  <si>
    <t>690087, ПРИМОРСКИЙ КРАЙ, Г. ВЛАДИВОСТОК, УЛ. РУДНЕВА, Д. 19, ОФИС 1</t>
  </si>
  <si>
    <t>Пасечник Екатерина Александровна</t>
  </si>
  <si>
    <t>+7 (914) 068-45-55'</t>
  </si>
  <si>
    <t>43.283646,132.058869</t>
  </si>
  <si>
    <t>ОБЩЕСТВО С ОГРАНИЧЕННОЙ ОТВЕТСТВЕННОСТЬЮ " ПИРАМИДА-ДВ"</t>
  </si>
  <si>
    <t xml:space="preserve"> " ПИРАМИДА-ДВ"</t>
  </si>
  <si>
    <t>2543132476</t>
  </si>
  <si>
    <t>690054, ПРИМОРСКИЙ КРАЙ, ГОРОД ВЛАДИВОСТОК, УЛИЦА РЫБАЦКАЯ, ДОМ 56</t>
  </si>
  <si>
    <t>Онипер Евгений Владимирович</t>
  </si>
  <si>
    <t>43.145314,131.916548</t>
  </si>
  <si>
    <t>ОБЩЕСТВО С ОГРАНИЧЕННОЙ ОТВЕТСТВЕННОСТЬЮ "БЕТОНУМ"</t>
  </si>
  <si>
    <t xml:space="preserve"> "БЕТОНУМ"</t>
  </si>
  <si>
    <t>2543142058</t>
  </si>
  <si>
    <t>690062, ПРИМОРСКИЙ КРАЙ, ГОРОД ВЛАДИВОСТОК, ПЕРЕУЛОК ДНЕПРОВСКИЙ, ДОМ 5, КОРПУС 1 ПОМЕЩЕНИЕ Ш</t>
  </si>
  <si>
    <t>Каменный Никита Дмитриевич</t>
  </si>
  <si>
    <t>43.143163,131.925792</t>
  </si>
  <si>
    <t>ОБЩЕСТВО С ОГРАНИЧЕННОЙ ОТВЕТСТВЕННОСТЬЮ "ВЛАДБЕТОН"</t>
  </si>
  <si>
    <t xml:space="preserve"> "ВЛАДБЕТОН"</t>
  </si>
  <si>
    <t>2543149230</t>
  </si>
  <si>
    <t>690062, ПРИМОРСКИЙ КРАЙ, Г. Владивосток, УЛ. ДНЕПРОВСКАЯ, Д. 21, ОФИС 7</t>
  </si>
  <si>
    <t>Донич Сергей Валерьевич</t>
  </si>
  <si>
    <t>43.165557,131.905104</t>
  </si>
  <si>
    <t>ОБЩЕСТВО С ОГРАНИЧЕННОЙ ОТВЕТСТВЕННОСТЬЮ "БАСТИОН ДВ"</t>
  </si>
  <si>
    <t xml:space="preserve"> "БАСТИОН ДВ"</t>
  </si>
  <si>
    <t>2543154279</t>
  </si>
  <si>
    <t>690039, ПРИМОРСКИЙ КРАЙ, ГОРОД ВЛАДИВОСТОК, УЛИЦА РУССКАЯ, ДОМ 3, ОФИС 31</t>
  </si>
  <si>
    <t>Серов Дмитрий Анатольевич</t>
  </si>
  <si>
    <t>45.31188,41.513395</t>
  </si>
  <si>
    <t>ОБЩЕСТВО С ОГРАНИЧЕННОЙ ОТВЕТСТВЕННОСТЬЮ "КОНКРЕТ"</t>
  </si>
  <si>
    <t xml:space="preserve"> "КОНКРЕТ"</t>
  </si>
  <si>
    <t>2607015940</t>
  </si>
  <si>
    <t>356126, СТАВРОПОЛЬСКИЙ КРАЙ, ИЗОБИЛЬНЕНСКИЙ Р-Н, П СОЛНЕЧНОДОЛЬСК, УЛ ТЕХНИЧЕСКАЯ, Д 14, КОРП 33</t>
  </si>
  <si>
    <t>Хаблов Геннадий Алексеевич</t>
  </si>
  <si>
    <t>ross_26@mail.ru'</t>
  </si>
  <si>
    <t>45.491364,41.196604</t>
  </si>
  <si>
    <t>ОБЩЕСТВО С ОГРАНИЧЕННОЙ ОТВЕТСТВЕННОСТЬЮ "МОНОЛИТ-СВАРОГ"</t>
  </si>
  <si>
    <t xml:space="preserve"> "МОНОЛИТ-СВАРОГ"</t>
  </si>
  <si>
    <t>2615016785</t>
  </si>
  <si>
    <t>356000, СТАВРОПОЛЬСКИЙ КРАЙ, НОВОАЛЕКСАНДРОВСКИЙ Р-Н, Г НОВОАЛЕКСАНДРОВСК, УЛ ЖЕЛЕЗНОДОРОЖНАЯ, Д 139 Е</t>
  </si>
  <si>
    <t>Трунова Алла Владимировна</t>
  </si>
  <si>
    <t>54.959832,73.385406</t>
  </si>
  <si>
    <t>ОБЩЕСТВО С ОГРАНИЧЕННОЙ ОТВЕТСТВЕННОСТЬЮ "ПРЕДГОРНОЕ ДРСУ-17"</t>
  </si>
  <si>
    <t xml:space="preserve"> "ПРЕДГОРНОЕ ДРСУ-17"</t>
  </si>
  <si>
    <t>2618023029</t>
  </si>
  <si>
    <t>Г ОМСК,ПРОСП К МАРКСА, 34 А</t>
  </si>
  <si>
    <t>Анастасов Артур Иванович</t>
  </si>
  <si>
    <t>44.164735,43.460332</t>
  </si>
  <si>
    <t xml:space="preserve"> "СТРОЙБЛОК"</t>
  </si>
  <si>
    <t>2625036572</t>
  </si>
  <si>
    <t>357820, СТАВРОПОЛЬСКИЙ КРАЙ, Г ГЕОРГИЕВСК, УЛ ОКТЯБРЬСКАЯ, Д 114</t>
  </si>
  <si>
    <t>Каркарашвили Елена Владимировна</t>
  </si>
  <si>
    <t>44.045044,42.834143</t>
  </si>
  <si>
    <t>ОБЩЕСТВО С ОГРАНИЧЕННОЙ ОТВЕТСТВЕННОСТЬЮ "ЮГДОРСТРОЙ"</t>
  </si>
  <si>
    <t xml:space="preserve"> "ЮГДОРСТРОЙ"</t>
  </si>
  <si>
    <t>2626039520</t>
  </si>
  <si>
    <t>http://ugdorstroi.ru</t>
  </si>
  <si>
    <t>357600, СТАВРОПОЛЬСКИЙ КРАЙ, Г ЕССЕНТУКИ, ШОССЕ БОРГУСТАНСКОЕ, Д 4, КОРП Г</t>
  </si>
  <si>
    <t>Уваров Александр Николаевич</t>
  </si>
  <si>
    <t>44.045621,42.835931</t>
  </si>
  <si>
    <t>ОБЩЕСТВО С ОГРАНИЧЕННОЙ ОТВЕТСТВЕННОСТЬЮ "БЕТОН-СК"</t>
  </si>
  <si>
    <t xml:space="preserve"> "БЕТОН-СК"</t>
  </si>
  <si>
    <t>2626047714</t>
  </si>
  <si>
    <t>357601, СТАВРОПОЛЬСКИЙ КРАЙ, Г ЕССЕНТУКИ, ШОССЕ БОРГУСТАНСКОЕ, Д 4, КОРП Б</t>
  </si>
  <si>
    <t>Бостанджиев Анзор Шотаевич</t>
  </si>
  <si>
    <t>betonsk26@mail.ru'</t>
  </si>
  <si>
    <t>43.905933,42.716203</t>
  </si>
  <si>
    <t>ОБЩЕСТВО С ОГРАНИЧЕННОЙ ОТВЕТСТВЕННОСТЬЮ "КИТ-БЕТОН"</t>
  </si>
  <si>
    <t xml:space="preserve"> "КИТ-БЕТОН"</t>
  </si>
  <si>
    <t>2628056520</t>
  </si>
  <si>
    <t>357748, СТАВРОПОЛЬСКИЙ КРАЙ, Г КИСЛОВОДСК, ПРОСПЕКТ ПОБЕДЫ, Д 2 Д</t>
  </si>
  <si>
    <t>Чомаев Шамиль Робертович</t>
  </si>
  <si>
    <t>+7 (928) 370-66-66', '+7 (928) 301-31-34'</t>
  </si>
  <si>
    <t>43.895255,42.711002</t>
  </si>
  <si>
    <t>ОБЩЕСТВО С ОГРАНИЧЕННОЙ ОТВЕТСТВЕННОСТЬЮ "РАДАН-Строй"</t>
  </si>
  <si>
    <t xml:space="preserve"> "РАДАН-Строй"</t>
  </si>
  <si>
    <t>2628801084</t>
  </si>
  <si>
    <t>357700, Ставропольский край, г Кисловодск, ул Ге Ксении, д 26</t>
  </si>
  <si>
    <t>Болуров Руслан Ахматович</t>
  </si>
  <si>
    <t>+7 (928) 955-05-50'</t>
  </si>
  <si>
    <t>44.097757,42.942956</t>
  </si>
  <si>
    <t>ОБЩЕСТВО С ОГРАНИЧЕННОЙ ОТВЕТСТВЕННОСТЬЮ "ПРОМДОРСТРОЙ"</t>
  </si>
  <si>
    <t xml:space="preserve"> "ПРОМДОРСТРОЙ"</t>
  </si>
  <si>
    <t>2629012565</t>
  </si>
  <si>
    <t>357401, СТАВРОПОЛЬСКИЙ КРАЙ, Г ЛЕРМОНТОВ, ШОССЕ ЧЕРКЕССКОЕ, Д 15, ОФИС 1</t>
  </si>
  <si>
    <t>Клевцов Евгений Александрович</t>
  </si>
  <si>
    <t>DORREMSTROI2018@GMAIL.COM'</t>
  </si>
  <si>
    <t>44.201084,43.144978</t>
  </si>
  <si>
    <t>ОБЩЕСТВО С ОГРАНИЧЕННОЙ ОТВЕТСТВЕННОСТЬЮ "СУ-130"</t>
  </si>
  <si>
    <t xml:space="preserve"> "СУ-130"</t>
  </si>
  <si>
    <t>2630034443</t>
  </si>
  <si>
    <t>СТАВРОПОЛЬСКИЙ КРАЙ,Г МИНЕРАЛЬНЫЕ ВОДЫ,УЛ ВОСТОЧНАЯ, Д 2</t>
  </si>
  <si>
    <t>Петросян Роберт Борисович</t>
  </si>
  <si>
    <t>+7 (928) 351-87-57'</t>
  </si>
  <si>
    <t>44.617797,41.984058</t>
  </si>
  <si>
    <t xml:space="preserve"> "БЕТОН СК"</t>
  </si>
  <si>
    <t>2631036891</t>
  </si>
  <si>
    <t>357115, СТАВРОПОЛЬСКИЙ КРАЙ, Г НЕВИННОМЫССК, ПРОЕЗД КУЗНЕЦКИЙ, Д 9</t>
  </si>
  <si>
    <t>Шаев Александр Анатольевич</t>
  </si>
  <si>
    <t>+7 (928) 315-35-55'</t>
  </si>
  <si>
    <t>44.053091,42.993846</t>
  </si>
  <si>
    <t>ОБЩЕСТВО С ОГРАНИЧЕННОЙ ОТВЕТСТВЕННОСТЬЮ "СДК"</t>
  </si>
  <si>
    <t xml:space="preserve"> "СДК"</t>
  </si>
  <si>
    <t>2632073624</t>
  </si>
  <si>
    <t>Джугань Сергей Викторович</t>
  </si>
  <si>
    <t>+7 (906) 497-28-40'</t>
  </si>
  <si>
    <t>44.043787,43.02826</t>
  </si>
  <si>
    <t>ОБЩЕСТВО С ОГРАНИЧЕННОЙ ОТВЕТСТВЕННОСТЬЮ "ХИМ ГРУПП ЮГ"</t>
  </si>
  <si>
    <t xml:space="preserve"> "ХИМ ГРУПП ЮГ"</t>
  </si>
  <si>
    <t>2632109197</t>
  </si>
  <si>
    <t>357502, СТАВРОПОЛЬСКИЙ КРАЙ, Г ПЯТИГОРСК, УЛ ЕРМОЛОВА, Д 12, ЛИТЕР Е, ПОМЕЩЕНИЕ 6</t>
  </si>
  <si>
    <t>Абдулаев Хабибулла Ахмедович</t>
  </si>
  <si>
    <t>44.013467,42.816842</t>
  </si>
  <si>
    <t>ОБЩЕСТВО С ОГРАНИЧЕННОЙ ОТВЕТСТВЕННОСТЬЮ "СОССТАВ"</t>
  </si>
  <si>
    <t xml:space="preserve"> "СОССТАВ"</t>
  </si>
  <si>
    <t>2634092904</t>
  </si>
  <si>
    <t>СТАВРОПОЛЬСКИЙ КРАЙ,Г ЕССЕНТУКИ,УЛ БЕЛОУГОЛЬНАЯ, Д 14 А</t>
  </si>
  <si>
    <t>Верещак Евгений Николаевич</t>
  </si>
  <si>
    <t>+7 (928) 321-23-78'</t>
  </si>
  <si>
    <t>45.040356,41.95745</t>
  </si>
  <si>
    <t>ОБЩЕСТВО С ОГРАНИЧЕННОЙ ОТВЕТСТВЕННОСТЬЮ "РБУ-НОРД"</t>
  </si>
  <si>
    <t xml:space="preserve"> "РБУ-НОРД"</t>
  </si>
  <si>
    <t>2634102535</t>
  </si>
  <si>
    <t>355017, СТАВРОПОЛЬСКИЙ КРАЙ, Г СТАВРОПОЛЬ, УЛ М.МОРОЗОВА, Д 22, ОФИС 205</t>
  </si>
  <si>
    <t>Тлепсеруков Энвер Ибрагимович</t>
  </si>
  <si>
    <t>+7 (928) 811-85-35'</t>
  </si>
  <si>
    <t>45.033687,42.02848</t>
  </si>
  <si>
    <t>ОБЩЕСТВО С ОГРАНИЧЕННОЙ ОТВЕТСТВЕННОСТЬЮ "ДЕВАС"</t>
  </si>
  <si>
    <t xml:space="preserve"> "ДЕВАС"</t>
  </si>
  <si>
    <t>2634104148</t>
  </si>
  <si>
    <t>355013, СТАВРОПОЛЬСКИЙ КРАЙ, Г СТАВРОПОЛЬ, УЛ МИМОЗ, Д 24, ПОМЕЩЕНИЕ 406</t>
  </si>
  <si>
    <t>Самарин Василий Спиридонович</t>
  </si>
  <si>
    <t>45.042941,41.996446</t>
  </si>
  <si>
    <t>ОБЩЕСТВО С ОГРАНИЧЕННОЙ ОТВЕТСТВЕННОСТЬЮ "ПРОИЗВОДСТВЕННАЯ КОМПАНИЯ "БЕТОН-МАСТЕР"</t>
  </si>
  <si>
    <t xml:space="preserve"> "ПРОИЗВОДСТВЕННАЯ КОМПАНИЯ "БЕТОН-МАСТЕР"</t>
  </si>
  <si>
    <t>2634810993</t>
  </si>
  <si>
    <t>355012, СТАВРОПОЛЬСКИЙ КРАЙ, Г СТАВРОПОЛЬ, УЛ ЛЕНИНА, Д 65,..</t>
  </si>
  <si>
    <t>Абалаков Александр Викторович</t>
  </si>
  <si>
    <t>+7 (962) 450-00-34'</t>
  </si>
  <si>
    <t>master@yandex.ru'</t>
  </si>
  <si>
    <t>44.799388,44.14501</t>
  </si>
  <si>
    <t>ОБЩЕСТВО С ОГРАНИЧЕННОЙ ОТВЕТСТВЕННОСТЬЮ "КУБ-СК"</t>
  </si>
  <si>
    <t xml:space="preserve"> "КУБ-СК"</t>
  </si>
  <si>
    <t>2635214457</t>
  </si>
  <si>
    <t>356800, СТАВРОПОЛЬСКИЙ КРАЙ, Г БУДЕННОВСК, УЛ РОЗЫ ЛЮКСЕМБУРГ, Д 53</t>
  </si>
  <si>
    <t>Богдан Никита Валерьевич</t>
  </si>
  <si>
    <t>+7 (962) 405-06-00'</t>
  </si>
  <si>
    <t>45.013816,41.913855</t>
  </si>
  <si>
    <t>ОБЩЕСТВО С ОГРАНИЧЕННОЙ ОТВЕТСТВЕННОСТЬЮ "СТРОЙМЕХАНИЗАЦИЯ"</t>
  </si>
  <si>
    <t xml:space="preserve"> "СТРОЙМЕХАНИЗАЦИЯ"</t>
  </si>
  <si>
    <t>2635235538</t>
  </si>
  <si>
    <t>355040, СТАВРОПОЛЬСКИЙ КРАЙ, Г СТАВРОПОЛЬ, УЛ ПИРОГОВА, Д 15/1, ОФИС 612</t>
  </si>
  <si>
    <t>Демина Галина Александровна</t>
  </si>
  <si>
    <t>44.993506,41.942898</t>
  </si>
  <si>
    <t xml:space="preserve"> "БЕТОН ЮГ"</t>
  </si>
  <si>
    <t>2635239860</t>
  </si>
  <si>
    <t>355030, СТАВРОПОЛЬСКИЙ КРАЙ, Г СТАВРОПОЛЬ, ПРОЕЗД 3 ЮГО-ЗАПАДНЫЙ, Д 29, ОФИС 404</t>
  </si>
  <si>
    <t>Петров Петр Петрович</t>
  </si>
  <si>
    <t>6872144@mai.ru'</t>
  </si>
  <si>
    <t>45.095936,41.959705</t>
  </si>
  <si>
    <t>ОБЩЕСТВО С ОГРАНИЧЕННОЙ ОТВЕТСТВЕННОСТЬЮ "СТАВБЕТОНПРОМ"</t>
  </si>
  <si>
    <t xml:space="preserve"> "СТАВБЕТОНПРОМ"</t>
  </si>
  <si>
    <t>2635247533</t>
  </si>
  <si>
    <t>355035, СТАВРОПОЛЬСКИЙ КРАЙ, Г СТАВРОПОЛЬ, УЛ КОЛОМИЙЦЕВА, Д 10 А</t>
  </si>
  <si>
    <t>Дагбашян Артур Агаронович</t>
  </si>
  <si>
    <t>ОБЩЕСТВО С ОГРАНИЧЕННОЙ ОТВЕТСТВЕННОСТЬЮ "ГЕРМЕС-СТРОЙ ПРОИЗВОДСТВО"</t>
  </si>
  <si>
    <t xml:space="preserve"> "ГЕРМЕС-СТРОЙ ПРОИЗВОДСТВО"</t>
  </si>
  <si>
    <t>2635250350</t>
  </si>
  <si>
    <t>355035, СТАВРОПОЛЬСКИЙ КРАЙ, Г. Ставрополь, УЛ. КОЛОМИЙЦЕВА, Д. 21, ПОМЕЩ. 2</t>
  </si>
  <si>
    <t>Щипачева Аксана Викторовна</t>
  </si>
  <si>
    <t>STROI26@YANDEX.RU'</t>
  </si>
  <si>
    <t>45.054366,41.912247</t>
  </si>
  <si>
    <t>ОБЩЕСТВО С ОГРАНИЧЕННОЙ ОТВЕТСТВЕННОСТЬЮ "ДЕКО ЮГ"</t>
  </si>
  <si>
    <t xml:space="preserve"> "ДЕКО ЮГ"</t>
  </si>
  <si>
    <t>2635253368</t>
  </si>
  <si>
    <t>355035, Ставропольский край, ГОРОД СТАВРОПОЛЬ, Г СТАВРОПОЛЬ, УЛ 2 ПРОМЫШЛЕННАЯ, Д. 7</t>
  </si>
  <si>
    <t xml:space="preserve"> Общество С Ограниченной Ответственностью "Управляющая Компания "Эвилин"</t>
  </si>
  <si>
    <t>CK_VARIANT@MAIL.RU'</t>
  </si>
  <si>
    <t>45.101662,41.972964</t>
  </si>
  <si>
    <t xml:space="preserve"> "ПАРТНЕР"</t>
  </si>
  <si>
    <t>2636051759</t>
  </si>
  <si>
    <t>Г СТАВРОПОЛЬ,УЛ КОЛОМИЙЦЕВА, Д 1</t>
  </si>
  <si>
    <t>Ромасев Вадим Владимирович</t>
  </si>
  <si>
    <t>45.106039,41.962068</t>
  </si>
  <si>
    <t>ОБЩЕСТВО С ОГРАНИЧЕННОЙ ОТВЕТСТВЕННОСТЬЮ "СВД-ЛТД"</t>
  </si>
  <si>
    <t xml:space="preserve"> "СВД-ЛТД"</t>
  </si>
  <si>
    <t>2636206868</t>
  </si>
  <si>
    <t>355035, СТАВРОПОЛЬСКИЙ КРАЙ, Г СТАВРОПОЛЬ, УЛ СЕВЕРНЫЙ ОБХОД, Д 11, ОФИС 315</t>
  </si>
  <si>
    <t>Понарин Сергей Сергеевич</t>
  </si>
  <si>
    <t>+7 (928) 222-59-79'</t>
  </si>
  <si>
    <t>45.063801,41.936403</t>
  </si>
  <si>
    <t xml:space="preserve"> "ОНИКС"</t>
  </si>
  <si>
    <t>2636207124</t>
  </si>
  <si>
    <t>355018, Ставропольский край, г Ставрополь, переулок Онежский, д 28/2,..</t>
  </si>
  <si>
    <t>Константинов Егор Михайлович</t>
  </si>
  <si>
    <t>+7 (928) 012-84-99'</t>
  </si>
  <si>
    <t>45.048807,41.986888</t>
  </si>
  <si>
    <t>ОБЩЕСТВО С ОГРАНИЧЕННОЙ ОТВЕТСТВЕННОСТЬЮ "РБК АЛЬЯНС"</t>
  </si>
  <si>
    <t xml:space="preserve"> "РБК АЛЬЯНС"</t>
  </si>
  <si>
    <t>2636213336</t>
  </si>
  <si>
    <t>355008, СТАВРОПОЛЬСКИЙ КРАЙ, Г СТАВРОПОЛЬ, ПЕРЕУЛОК РЫЛЕЕВА, Д 7, ПОМЕЩЕНИЕ 11</t>
  </si>
  <si>
    <t>Шанов Руслан Юрьевич</t>
  </si>
  <si>
    <t>45.030508,41.96788</t>
  </si>
  <si>
    <t>ОБЩЕСТВО С ОГРАНИЧЕННОЙ ОТВЕТСТВЕННОСТЬЮ "БЕТОН КА"</t>
  </si>
  <si>
    <t xml:space="preserve"> "БЕТОН КА"</t>
  </si>
  <si>
    <t>2636808703</t>
  </si>
  <si>
    <t>Г СТАВРОПОЛЬ,УЛ КАМЕНОЛОМСКАЯ, Д 6, КОРП 1</t>
  </si>
  <si>
    <t>Каменев Николай Федорович</t>
  </si>
  <si>
    <t>+7 (928) 321-86-33'</t>
  </si>
  <si>
    <t>44.088137,43.073122</t>
  </si>
  <si>
    <t>ОБЩЕСТВО С ОГРАНИЧЕННОЙ ОТВЕТСТВЕННОСТЬЮ "ХОРС"</t>
  </si>
  <si>
    <t xml:space="preserve"> "ХОРС"</t>
  </si>
  <si>
    <t>2649000180</t>
  </si>
  <si>
    <t>357432, СТАВРОПОЛЬСКИЙ КРАЙ, Г ЖЕЛЕЗНОВОДСК, П ИНОЗЕМЦЕВО, ПЕРЕУЛОК ОКТЯБРЬСКИЙ, Д 13 А</t>
  </si>
  <si>
    <t>Трепалин Роман Алексеевич</t>
  </si>
  <si>
    <t>76@MAIL.RU'</t>
  </si>
  <si>
    <t>51.378475,42.117332</t>
  </si>
  <si>
    <t>3604083541</t>
  </si>
  <si>
    <t>Воронежская область, БОРИСОГЛЕБСКИЙ, Г БОРИСОГЛЕБСК, УЛ МАТРОСОВСКАЯ, ЗД. 111В</t>
  </si>
  <si>
    <t>Бровко Александр Владимирович</t>
  </si>
  <si>
    <t>PERSPEKTIVA@MAIL.RU'</t>
  </si>
  <si>
    <t>50.572022,137.001929</t>
  </si>
  <si>
    <t>ОБЩЕСТВО С ОГРАНИЧЕННОЙ ОТВЕТСТВЕННОСТЬЮ "ДВ Завод Строительных Материалов"</t>
  </si>
  <si>
    <t xml:space="preserve"> "ДВ Завод Строительных Материалов"</t>
  </si>
  <si>
    <t>2703074063</t>
  </si>
  <si>
    <t>681027, Хабаровский край, г Комсомольск-на-Амуре, ш Северное, д 8</t>
  </si>
  <si>
    <t>Корнеевец Степан Александрович</t>
  </si>
  <si>
    <t>kms@yandex.ru'</t>
  </si>
  <si>
    <t>50.543839,137.008855</t>
  </si>
  <si>
    <t>ОБЩЕСТВО С ОГРАНИЧЕННОЙ ОТВЕТСТВЕННОСТЬЮ "ТОРГОВЫЙ ДОМ ГРАВЗАВОД"</t>
  </si>
  <si>
    <t xml:space="preserve"> "ТОРГОВЫЙ ДОМ ГРАВЗАВОД"</t>
  </si>
  <si>
    <t>2703083910</t>
  </si>
  <si>
    <t>681000, ХАБАРОВСКИЙ КРАЙ, ГОРОД КОМСОМОЛЬСК-НА-АМУРЕ, УЛИЦА КОМСОМОЛЬСКАЯ, ДОМ 49, КОРПУС 3,..</t>
  </si>
  <si>
    <t>Перминов Максим Константинович</t>
  </si>
  <si>
    <t>+7 (914) 183-11-11'</t>
  </si>
  <si>
    <t>50.599731,137.029427</t>
  </si>
  <si>
    <t>ОБЩЕСТВО С ОГРАНИЧЕННОЙ ОТВЕТСТВЕННОСТЬЮ "АМУР СИМВОЛ БЕТОН"</t>
  </si>
  <si>
    <t xml:space="preserve"> "АМУР СИМВОЛ БЕТОН"</t>
  </si>
  <si>
    <t>2703103444</t>
  </si>
  <si>
    <t>681008, ХАБАРОВСКИЙ КРАЙ, Г. Комсомольск-на-Амуре, УЛ. КУЛЬТУРНАЯ, Д. 1, ОФИС 10 "А"</t>
  </si>
  <si>
    <t>Мельник Лев Борисович</t>
  </si>
  <si>
    <t>GLAVBUH@SIMVOLBETON.RU'</t>
  </si>
  <si>
    <t>49.126142,140.315823</t>
  </si>
  <si>
    <t>ОБЩЕСТВО С ОГРАНИЧЕННОЙ ОТВЕТСТВЕННОСТЬЮ "ВАНИНСКИЙ БЕТОННЫЙ ЗАВОД"</t>
  </si>
  <si>
    <t xml:space="preserve"> "ВАНИНСКИЙ БЕТОННЫЙ ЗАВОД"</t>
  </si>
  <si>
    <t>2709015201</t>
  </si>
  <si>
    <t>682851, Хабаровский край, Ванинский район, п Токи, ПЕР МАГАДАНСКИЙ, д 16А</t>
  </si>
  <si>
    <t>prombeton@mail.ru'</t>
  </si>
  <si>
    <t>48.371648,135.128942</t>
  </si>
  <si>
    <t>ОБЩЕСТВО С ОГРАНИЧЕННОЙ ОТВЕТСТВЕННОСТЬЮ "Компания "Транс Бетон"</t>
  </si>
  <si>
    <t xml:space="preserve"> "Компания "Транс Бетон"</t>
  </si>
  <si>
    <t>2720041413</t>
  </si>
  <si>
    <t>680509, ХАБАРОВСКИЙ КРАЙ, РАЙОН ХАБАРОВСКИЙ, СЕЛО ИЛЬИНКА, УЛИЦА СОЛНЕЧНАЯ, ДОМ 5А</t>
  </si>
  <si>
    <t>Подбегалин Леонид Викторович</t>
  </si>
  <si>
    <t>48.528731,135.122222</t>
  </si>
  <si>
    <t>ОБЩЕСТВО С ОГРАНИЧЕННОЙ ОТВЕТСТВЕННОСТЬЮ "КОМПАНИЯ БЕТОН-27"</t>
  </si>
  <si>
    <t xml:space="preserve"> "КОМПАНИЯ БЕТОН-27"</t>
  </si>
  <si>
    <t>2720057861</t>
  </si>
  <si>
    <t>680009, ХАБАРОВСКИЙ КРАЙ, ГОРОД ХАБАРОВСК, УЛИЦА ЯРОВАЯ, ДОМ 8, ОФИС 2</t>
  </si>
  <si>
    <t>+7 (914) 541-20-17'</t>
  </si>
  <si>
    <t>48.551787,135.053304</t>
  </si>
  <si>
    <t>ОБЩЕСТВО С ОГРАНИЧЕННОЙ ОТВЕТСТВЕННОСТЬЮ "Виктория ДВ"</t>
  </si>
  <si>
    <t xml:space="preserve"> "Виктория ДВ"</t>
  </si>
  <si>
    <t>2721196018</t>
  </si>
  <si>
    <t>680025, ХАБАРОВСКИЙ КРАЙ, ГОРОД ХАБАРОВСК, УЛИЦА КРЕЩЕНСКАЯ, ДОМ 2,..</t>
  </si>
  <si>
    <t>Баталов Роман Владимирович</t>
  </si>
  <si>
    <t>48.478903,135.065144</t>
  </si>
  <si>
    <t xml:space="preserve"> "РАЗВИТИЕ"</t>
  </si>
  <si>
    <t>2721224226</t>
  </si>
  <si>
    <t>680000, ХАБАРОВСКИЙ КРАЙ, ГОРОД ХАБАРОВСК, УЛИЦА ДЗЕРЖИНСКОГО, ДОМ 52, ПОМЕЩЕНИЕ I(18-19)</t>
  </si>
  <si>
    <t>Гевондян Ваган Восканович</t>
  </si>
  <si>
    <t>48.474549,135.066204</t>
  </si>
  <si>
    <t>ОБЩЕСТВО С ОГРАНИЧЕННОЙ ОТВЕТСТВЕННОСТЬЮ "МАГНИТ-ДВ"</t>
  </si>
  <si>
    <t xml:space="preserve"> "МАГНИТ-ДВ"</t>
  </si>
  <si>
    <t>2721231520</t>
  </si>
  <si>
    <t>680000, ХАБАРОВСКИЙ КРАЙ, ГОРОД ХАБАРОВСК, УЛИЦА ФРУНЗЕ, ДОМ 56</t>
  </si>
  <si>
    <t>Чернец Игорь Валерьевич</t>
  </si>
  <si>
    <t>olga89098786002@yandex.ru'</t>
  </si>
  <si>
    <t>48.487814,135.115458</t>
  </si>
  <si>
    <t>ОБЩЕСТВО С ОГРАНИЧЕННОЙ ОТВЕТСТВЕННОСТЬЮ  "СТРОЙ-СЕРВИС"</t>
  </si>
  <si>
    <t xml:space="preserve">  "СТРОЙ-СЕРВИС"</t>
  </si>
  <si>
    <t>2721233453</t>
  </si>
  <si>
    <t>680000, ХАБАРОВСКИЙ КРАЙ, Г. ХАБАРОВСК, УЛ. ПРОМЫШЛЕННАЯ, Д. 8А, ОФИС 315</t>
  </si>
  <si>
    <t>Сидельников Дмитрий Викторович</t>
  </si>
  <si>
    <t>+7 (914) 400-20-92'</t>
  </si>
  <si>
    <t>48.429737,135.162692</t>
  </si>
  <si>
    <t>ОБЩЕСТВО С ОГРАНИЧЕННОЙ ОТВЕТСТВЕННОСТЬЮ "Магнит"</t>
  </si>
  <si>
    <t xml:space="preserve"> "Магнит"</t>
  </si>
  <si>
    <t>2722093632</t>
  </si>
  <si>
    <t>680032, ХАБАРОВСКИЙ КРАЙ, ГОРОД ХАБАРОВСК, ПЕРЕУЛОК КАМЫШОВЫЙ, ДОМ 5</t>
  </si>
  <si>
    <t>48.531404,135.032005</t>
  </si>
  <si>
    <t>ОБЩЕСТВО С ОГРАНИЧЕННОЙ ОТВЕТСТВЕННОСТЬЮ "РСК ДВ"</t>
  </si>
  <si>
    <t xml:space="preserve"> "РСК ДВ"</t>
  </si>
  <si>
    <t>2722093826</t>
  </si>
  <si>
    <t>680054, ХАБАРОВСКИЙ КРАЙ, ГОРОД ХАБАРОВСК, УЛИЦА УБОРЕВИЧА, ДОМ 54,..</t>
  </si>
  <si>
    <t>Лазарев Руслан Валерьевич</t>
  </si>
  <si>
    <t>+7 (914) 404-95-80'</t>
  </si>
  <si>
    <t>48.565156,135.024082</t>
  </si>
  <si>
    <t>ОБЩЕСТВО С ОГРАНИЧЕННОЙ ОТВЕТСТВЕННОСТЬЮ "ВЕЗУ БЕТОН"</t>
  </si>
  <si>
    <t xml:space="preserve"> "ВЕЗУ БЕТОН"</t>
  </si>
  <si>
    <t>2722125933</t>
  </si>
  <si>
    <t>680018, ХАБАРОВСКИЙ КРАЙ, ГОРОД ХАБАРОВСК, УЛИЦА КИРОВА, ДОМ 1, ЛИТЕР Б</t>
  </si>
  <si>
    <t>Махорин Алексей Александрович</t>
  </si>
  <si>
    <t>48.535193,135.041509</t>
  </si>
  <si>
    <t>ОБЩЕСТВО С ОГРАНИЧЕННОЙ ОТВЕТСТВЕННОСТЬЮ "ТК "ХАБТРАНССТРОЙ</t>
  </si>
  <si>
    <t xml:space="preserve"> "ТК "ХАБТРАНССТРОЙ</t>
  </si>
  <si>
    <t>2722131165</t>
  </si>
  <si>
    <t>680000, ХАБАРОВСКИЙ КРАЙ, ГОРОД ХАБАРОВСК, УЛИЦА ПРОФЕССОРА ДАНИЛОВСКОГО М.П., ДОМ 18Б,..</t>
  </si>
  <si>
    <t>Пурдышов Александр Владимирович</t>
  </si>
  <si>
    <t>48.429791,135.112152</t>
  </si>
  <si>
    <t>ОБЩЕСТВО С ОГРАНИЧЕННОЙ ОТВЕТСТВЕННОСТЬЮ  "ХАБТРАНССТРОЙ"</t>
  </si>
  <si>
    <t xml:space="preserve">  "ХАБТРАНССТРОЙ"</t>
  </si>
  <si>
    <t>2723152545</t>
  </si>
  <si>
    <t>680023, ХАБАРОВСКИЙ КРАЙ, ГОРОД ХАБАРОВСК, УЛИЦА КРАСНОРЕЧЕНСКАЯ, 94, 404</t>
  </si>
  <si>
    <t>ОБЩЕСТВО С ОГРАНИЧЕННОЙ ОТВЕТСТВЕННОСТЬЮ "КонкритСтрой"</t>
  </si>
  <si>
    <t xml:space="preserve"> "КонкритСтрой"</t>
  </si>
  <si>
    <t>2723155514</t>
  </si>
  <si>
    <t>680001, ХАБАРОВСКИЙ КРАЙ, ГОРОД ХАБАРОВСК, УЛИЦА СТРОИТЕЛЬНАЯ, ДОМ 20, ЛИТЕР К, ОФИС 6</t>
  </si>
  <si>
    <t>Большаков Алексей Анатольевич</t>
  </si>
  <si>
    <t>+7 (914) 311-19-53'</t>
  </si>
  <si>
    <t>concretstr@mail.ru'</t>
  </si>
  <si>
    <t>48.403043,135.130065</t>
  </si>
  <si>
    <t>ОБЩЕСТВО С ОГРАНИЧЕННОЙ ОТВЕТСТВЕННОСТЬЮ "АМУР БЕТОН"</t>
  </si>
  <si>
    <t xml:space="preserve"> "АМУР БЕТОН"</t>
  </si>
  <si>
    <t>2723178952</t>
  </si>
  <si>
    <t>680015, ХАБАРОВСКИЙ КРАЙ, ГОРОД ХАБАРОВСК, УЛИЦА ХАЛТУРИНА, ДОМ 3, КОРПУС А</t>
  </si>
  <si>
    <t>Боклач Игорь Вениаминович</t>
  </si>
  <si>
    <t>+7 (914) 410-19-66'</t>
  </si>
  <si>
    <t>beton86@list.ru'</t>
  </si>
  <si>
    <t>48.531148,135.163069</t>
  </si>
  <si>
    <t>ОБЩЕСТВО С ОГРАНИЧЕННОЙ ОТВЕТСТВЕННОСТЬЮ "СтройКомплекс"</t>
  </si>
  <si>
    <t xml:space="preserve"> "СтройКомплекс"</t>
  </si>
  <si>
    <t>2724140091</t>
  </si>
  <si>
    <t>680031, ХАБАРОВСКИЙ КРАЙ, ГОРОД ХАБАРОВСК, ШОССЕ МАТВЕЕВСКОЕ, 41Г</t>
  </si>
  <si>
    <t>Столбовой Юрий Станиславович</t>
  </si>
  <si>
    <t>48.522788,135.113176</t>
  </si>
  <si>
    <t>ОБЩЕСТВО С ОГРАНИЧЕННОЙ ОТВЕТСТВЕННОСТЬЮ "Дальневосточная производственно-строительная компания "Бетонно-Растворный Узел"</t>
  </si>
  <si>
    <t xml:space="preserve"> "Дальневосточная производственно-строительная компания "Бетонно-Растворный Узел"</t>
  </si>
  <si>
    <t>2724167671</t>
  </si>
  <si>
    <t>680009, ХАБАРОВСКИЙ КРАЙ, ГОРОД ХАБАРОВСК, УЛИЦА КРАСНОДАРСКАЯ, ДОМ 102, ЛИТЕР А</t>
  </si>
  <si>
    <t>Юн Вероника Владимировна</t>
  </si>
  <si>
    <t>b4@dvleader.ru'</t>
  </si>
  <si>
    <t>48.434944,135.155604</t>
  </si>
  <si>
    <t>ОБЩЕСТВО С ОГРАНИЧЕННОЙ ОТВЕТСТВЕННОСТЬЮ "ХАБАРОВСКАЯ БЕТОННАЯ КОМПАНИЯ"</t>
  </si>
  <si>
    <t xml:space="preserve"> "ХАБАРОВСКАЯ БЕТОННАЯ КОМПАНИЯ"</t>
  </si>
  <si>
    <t>2724203457</t>
  </si>
  <si>
    <t>680032, Хабаровский край, Хабаровск, УЛ АВТОНОМНАЯ, ДОМ 6А</t>
  </si>
  <si>
    <t>Красюк Алексей Викторович</t>
  </si>
  <si>
    <t>+7 (924) 106-17-71'</t>
  </si>
  <si>
    <t>48.460696,135.133002</t>
  </si>
  <si>
    <t>2724213134</t>
  </si>
  <si>
    <t>680014, ХАБАРОВСКИЙ КРАЙ, ХАБАРОВСК Г, ШКОТОВА УЛ, ДОМ 17, ОФИС 1</t>
  </si>
  <si>
    <t>Каминский Николай Георгиевич</t>
  </si>
  <si>
    <t>accountant@mail.ru'</t>
  </si>
  <si>
    <t>48.529471,135.163392</t>
  </si>
  <si>
    <t>ОБЩЕСТВО С ОГРАНИЧЕННОЙ ОТВЕТСТВЕННОСТЬЮ "БАСТИОН-ДВ"</t>
  </si>
  <si>
    <t xml:space="preserve"> "БАСТИОН-ДВ"</t>
  </si>
  <si>
    <t>2724219577</t>
  </si>
  <si>
    <t>680031, ХАБАРОВСКИЙ КРАЙ, ГОРОД ХАБАРОВСК, УЛИЦА ШТУРМАНСКАЯ, ДОМ 7А</t>
  </si>
  <si>
    <t>Бабаев Вячеслав Леонидович</t>
  </si>
  <si>
    <t>khv@yandex.ru'</t>
  </si>
  <si>
    <t>48.435733,135.130253</t>
  </si>
  <si>
    <t xml:space="preserve"> "ГРАНД-БЕТОН"</t>
  </si>
  <si>
    <t>2724222675</t>
  </si>
  <si>
    <t>680032, ХАБАРОВСКИЙ КРАЙ, ГОРОД ХАБАРОВСК, УЛИЦА КЛУБНАЯ, ДОМ 23,..</t>
  </si>
  <si>
    <t>Давыдов Сергей Александрович</t>
  </si>
  <si>
    <t>48.504268,135.073992</t>
  </si>
  <si>
    <t>ОБЩЕСТВО С ОГРАНИЧЕННОЙ ОТВЕТСТВЕННОСТЬЮ ТПК "ДАЛЬСТРОЙ"</t>
  </si>
  <si>
    <t xml:space="preserve"> ТПК "ДАЛЬСТРОЙ"</t>
  </si>
  <si>
    <t>2724226729</t>
  </si>
  <si>
    <t>680022, ХАБАРОВСКИЙ КРАЙ, Г. ХАБАРОВСК, УЛ. ВЯЗЕМСКАЯ, Д. 12,..</t>
  </si>
  <si>
    <t>Крылов Алексей Александрович</t>
  </si>
  <si>
    <t>+7 (914) 205-13-44'</t>
  </si>
  <si>
    <t>48.530301,135.090341</t>
  </si>
  <si>
    <t>ОБЩЕСТВО С ОГРАНИЧЕННОЙ ОТВЕТСТВЕННОСТЬЮ "ДСК-ПРОГРЕСС"</t>
  </si>
  <si>
    <t xml:space="preserve"> "ДСК-ПРОГРЕСС"</t>
  </si>
  <si>
    <t>2724241950</t>
  </si>
  <si>
    <t>680009, ХАБАРОВСКИЙ КРАЙ, Г. ХАБАРОВСК, УЛ. КОЛА БЕЛЬДЫ, Д. 7, ПОМЕЩ. 41</t>
  </si>
  <si>
    <t>Оганисян Сурен Гарникович</t>
  </si>
  <si>
    <t>48.499277,135.125582</t>
  </si>
  <si>
    <t>ОБЩЕСТВО С ОГРАНИЧЕННОЙ ОТВЕТСТВЕННОСТЬЮ "АТЛАНТ БЕТОН ДВ"</t>
  </si>
  <si>
    <t xml:space="preserve"> "АТЛАНТ БЕТОН ДВ"</t>
  </si>
  <si>
    <t>2724242375</t>
  </si>
  <si>
    <t>680031, ХАБАРОВСКИЙ КРАЙ, ГОРОД ХАБАРОВСК, УЛИЦА РЫБИНСКАЯ, ДОМ 64</t>
  </si>
  <si>
    <t>Королько Андрей Андреевич</t>
  </si>
  <si>
    <t>48.451841,135.155784</t>
  </si>
  <si>
    <t>ОБЩЕСТВО С ОГРАНИЧЕННОЙ ОТВЕТСТВЕННОСТЬЮ "БЕТОНПРОФИ-ДВ"</t>
  </si>
  <si>
    <t xml:space="preserve"> "БЕТОНПРОФИ-ДВ"</t>
  </si>
  <si>
    <t>2724246394</t>
  </si>
  <si>
    <t>680052, ХАБАРОВСКИЙ КРАЙ, Г. Хабаровск, УЛ. ДОНСКАЯ, Д. 2А, ОФИС 112</t>
  </si>
  <si>
    <t>Сивцов Александр Сергеевич</t>
  </si>
  <si>
    <t>BETONPROFIDV@INTERNET.RU'</t>
  </si>
  <si>
    <t>48.431124,135.131538</t>
  </si>
  <si>
    <t>ОБЩЕСТВО С ОГРАНИЧЕННОЙ ОТВЕТСТВЕННОСТЬЮ "ЛЮКС-БЕТОН"</t>
  </si>
  <si>
    <t xml:space="preserve"> "ЛЮКС-БЕТОН"</t>
  </si>
  <si>
    <t>2724249236</t>
  </si>
  <si>
    <t>680032, Хабаровский край, ГОРОД ХАБАРОВСК, Г ХАБАРОВСК, УЛ КЛУБНАЯ, Д. 9</t>
  </si>
  <si>
    <t>Давыдов Роман Александрович</t>
  </si>
  <si>
    <t>48.476245,135.068467</t>
  </si>
  <si>
    <t>ОБЩЕСТВО С ОГРАНИЧЕННОЙ ОТВЕТСТВЕННОСТЬЮ "ДАЛЬТЕХНО"</t>
  </si>
  <si>
    <t xml:space="preserve"> "ДАЛЬТЕХНО"</t>
  </si>
  <si>
    <t>2725121567</t>
  </si>
  <si>
    <t>Г ХАБАРОВСК,УЛ ДЗЕРЖИНСКОГО,36 А</t>
  </si>
  <si>
    <t>Петров Павел Викторович</t>
  </si>
  <si>
    <t>48.496012,135.105792</t>
  </si>
  <si>
    <t>ОБЩЕСТВО С ОГРАНИЧЕННОЙ ОТВЕТСТВЕННОСТЬЮ "ФУНДАМЕНТ ДВ"</t>
  </si>
  <si>
    <t xml:space="preserve"> "ФУНДАМЕНТ ДВ"</t>
  </si>
  <si>
    <t>2725122592</t>
  </si>
  <si>
    <t xml:space="preserve"> ХАБАРОВСКИЙ КРАЙ, ХАБАРОВСК, УЛ.ПРОМЫШЛЕННАЯ, 20</t>
  </si>
  <si>
    <t>Малых Елена Анатольевна</t>
  </si>
  <si>
    <t>+7 (914) 158-30-51'</t>
  </si>
  <si>
    <t>50.293092,127.537378</t>
  </si>
  <si>
    <t>ОБЩЕСТВО С ОГРАНИЧЕННОЙ ОТВЕТСТВЕННОСТЬЮ "ПРОИЗВОДСТВЕННО-КОММЕРЧЕСКАЯ ФИРМА "СТРОЙКОМПЛЕКТ-ПЛЮС"</t>
  </si>
  <si>
    <t xml:space="preserve"> "ПРОИЗВОДСТВЕННО-КОММЕРЧЕСКАЯ ФИРМА "СТРОЙКОМПЛЕКТ-ПЛЮС"</t>
  </si>
  <si>
    <t>2801065927</t>
  </si>
  <si>
    <t>Г БЛАГОВЕЩЕНСК,УЛ ГРАЖДАНСКАЯ, Д 121</t>
  </si>
  <si>
    <t>Банышев Николай Алексеевич</t>
  </si>
  <si>
    <t>50.20212,127.755148</t>
  </si>
  <si>
    <t>ОБЩЕСТВО С ОГРАНИЧЕННОЙ ОТВЕТСТВЕННОСТЬЮ "Айбэкс"</t>
  </si>
  <si>
    <t xml:space="preserve"> "Айбэкс"</t>
  </si>
  <si>
    <t>2801150770</t>
  </si>
  <si>
    <t>675503, АМУРСКАЯ ОБЛ, БЛАГОВЕЩЕНСКИЙ Р-Н, ГРИБСКОЕ С, МЕДИЦИНСКАЯ УЛ, ДОМ 20</t>
  </si>
  <si>
    <t>Максименко Андрей Николаевич</t>
  </si>
  <si>
    <t>+7 (962) 284-50-90'</t>
  </si>
  <si>
    <t>50.296763,127.540702</t>
  </si>
  <si>
    <t>ОБЩЕСТВО С ОГРАНИЧЕННОЙ ОТВЕТСТВЕННОСТЬЮ "КЕДР - ДАЛЬНЕВОСТОЧНЫЙ"</t>
  </si>
  <si>
    <t xml:space="preserve"> "КЕДР - ДАЛЬНЕВОСТОЧНЫЙ"</t>
  </si>
  <si>
    <t>2801173714</t>
  </si>
  <si>
    <t>675000, Амурская область, г Благовещенск, ул Пионерская, д 204, корп 2</t>
  </si>
  <si>
    <t>Васильев Иван Владимирович</t>
  </si>
  <si>
    <t>50.341304,127.596317</t>
  </si>
  <si>
    <t>ОБЩЕСТВО С ОГРАНИЧЕННОЙ ОТВЕТСТВЕННОСТЬЮ "ДВ-Бетон"</t>
  </si>
  <si>
    <t xml:space="preserve"> "ДВ-Бетон"</t>
  </si>
  <si>
    <t>2801181948</t>
  </si>
  <si>
    <t>675020, АМУРСКАЯ ОБЛАСТЬ, ГОРОД БЛАГОВЕЩЕНСК, УЛИЦА ПОГРАНИЧНАЯ, 134</t>
  </si>
  <si>
    <t>Вац Владимир Анатольевич</t>
  </si>
  <si>
    <t>50.249618,127.562827</t>
  </si>
  <si>
    <t>ОБЩЕСТВО С ОГРАНИЧЕННОЙ ОТВЕТСТВЕННОСТЬЮ "НАДЕЖДА"</t>
  </si>
  <si>
    <t xml:space="preserve"> "НАДЕЖДА"</t>
  </si>
  <si>
    <t>2801193647</t>
  </si>
  <si>
    <t>675000, АМУРСКАЯ ОБЛАСТЬ, Г. БЛАГОВЕЩЕНСК, УЛ. ЛАЗО, Д.2, ОФИС 210</t>
  </si>
  <si>
    <t>Иванова Наталья Васильевна</t>
  </si>
  <si>
    <t>+7 (924) 677-08-53'</t>
  </si>
  <si>
    <t>50.275824,127.530452</t>
  </si>
  <si>
    <t xml:space="preserve"> "БЕТОНПАРТНЕР"</t>
  </si>
  <si>
    <t>2801251835</t>
  </si>
  <si>
    <t>675016, АМУРСКАЯ ОБЛ, БЛАГОВЕЩЕНСК Г, ЛОМОНОСОВА УЛ, ДОМ 223, ОФИС 21</t>
  </si>
  <si>
    <t>Женжебир Михаил Сергеевич</t>
  </si>
  <si>
    <t>50.268156,127.522843</t>
  </si>
  <si>
    <t>ОБЩЕСТВО С ОГРАНИЧЕННОЙ ОТВЕТСТВЕННОСТЬЮ «НЕВА28»</t>
  </si>
  <si>
    <t xml:space="preserve"> «НЕВА28»</t>
  </si>
  <si>
    <t>2801261015</t>
  </si>
  <si>
    <t>675011, АМУРСКАЯ ОБЛ., Г. Благовещенск, УЛ ГОРЬКОГО, Д. 159, ОФИС 28</t>
  </si>
  <si>
    <t>Нехорошев Максим Михайлович</t>
  </si>
  <si>
    <t>50.906726,128.561044</t>
  </si>
  <si>
    <t>ОБЩЕСТВО С ОГРАНИЧЕННОЙ ОТВЕТСТВЕННОСТЬЮ "ПРОИЗВОДСТВЕННО СТРОИТЕЛЬНАЯ КОМПАНИЯ - АМУРСТРОЙ"</t>
  </si>
  <si>
    <t xml:space="preserve"> "ПРОИЗВОДСТВЕННО СТРОИТЕЛЬНАЯ КОМПАНИЯ - АМУРСТРОЙ"</t>
  </si>
  <si>
    <t>2804020201</t>
  </si>
  <si>
    <t>676856, Амурская область, городской округ ГОРОД БЕЛОГОРСК, Город БЕЛОГОРСК, УЛ 9 МАЯ, Д. 216, ПОМЕЩ. 1</t>
  </si>
  <si>
    <t>Белоус Иван Николаевич</t>
  </si>
  <si>
    <t>BUH@LIDER-STK'</t>
  </si>
  <si>
    <t xml:space="preserve"> "ИНДУСТРИЯ"</t>
  </si>
  <si>
    <t>2807006420</t>
  </si>
  <si>
    <t>676401, АМУРСКАЯ ОБЛАСТЬ, Г. СВОБОДНЫЙ, ТЕР ТОСЭР СВОБОДНЫЙ</t>
  </si>
  <si>
    <t>Хмелев Александр Сергеевич</t>
  </si>
  <si>
    <t>+7 (914) 585-44-49'</t>
  </si>
  <si>
    <t>50.263325,130.274976</t>
  </si>
  <si>
    <t>"УПРАВЛЕНИЕ КАРЬЕРО-БЕТОННОГО ХОЗЯЙСТВА"</t>
  </si>
  <si>
    <t>2813005337</t>
  </si>
  <si>
    <t>АМУРСКАЯ ОБЛ.,БУРЕЙСКИЙ Р-Н,РП ТАЛАКАН,А/Я 14</t>
  </si>
  <si>
    <t>Жовнер Максим Александрович</t>
  </si>
  <si>
    <t>ukbh@yandex.ru'</t>
  </si>
  <si>
    <t>64.480162,40.732346</t>
  </si>
  <si>
    <t>ОБЩЕСТВО С ОГРАНИЧЕННОЙ ОТВЕТСТВЕННОСТЬЮ "СЕВЕР БЕТОН"</t>
  </si>
  <si>
    <t xml:space="preserve"> "СЕВЕР БЕТОН"</t>
  </si>
  <si>
    <t>2901285588</t>
  </si>
  <si>
    <t>163016, АРХАНГЕЛЬСКАЯ ОБЛАСТЬ, ГОРОД АРХАНГЕЛЬСК, УЛИЦА СТАРОЖАРОВИХИНСКАЯ, ДОМ 7, КОРПУС 1, ОФИС 3</t>
  </si>
  <si>
    <t>Жих Роман Витальевич</t>
  </si>
  <si>
    <t>+7 (921) 246-89-31'</t>
  </si>
  <si>
    <t>64.556451,39.813432</t>
  </si>
  <si>
    <t>ОБЩЕСТВО С ОГРАНИЧЕННОЙ ОТВЕТСТВЕННОСТЬЮ "ЗАВОД ЖЕЛЕЗОБЕТОННЫХ ИЗДЕЛИЙ ПЛЮС"</t>
  </si>
  <si>
    <t xml:space="preserve"> "ЗАВОД ЖЕЛЕЗОБЕТОННЫХ ИЗДЕЛИЙ ПЛЮС"</t>
  </si>
  <si>
    <t>2902077728</t>
  </si>
  <si>
    <t>164500, Архангельская область, г Северодвинск, ул Ломоносова, д 62, корп 4, офис 54</t>
  </si>
  <si>
    <t>Тадевосян Араик Гевондович</t>
  </si>
  <si>
    <t>+7 (911) 872-46-20'</t>
  </si>
  <si>
    <t>64.582548,39.880572</t>
  </si>
  <si>
    <t>ОБЩЕСТВО С ОГРАНИЧЕННОЙ ОТВЕТСТВЕННОСТЬЮ "ТПК"БЕТОН"</t>
  </si>
  <si>
    <t xml:space="preserve"> "ТПК"БЕТОН"</t>
  </si>
  <si>
    <t>2902082580</t>
  </si>
  <si>
    <t>164500, АРХАНГЕЛЬСКАЯ ОБЛАСТЬ, Г. СЕВЕРОДВИНСК, Ш. АРХАНГЕЛЬСКОЕ, Д. 24, ОФИС 5</t>
  </si>
  <si>
    <t>Немиров Валерий Геннадьевич</t>
  </si>
  <si>
    <t>+7 (911) 585-65-26'</t>
  </si>
  <si>
    <t>61.319809,47.146488</t>
  </si>
  <si>
    <t>ОБЩЕСТВО С ОГРАНИЧЕННОЙ ОТВЕТСТВЕННОСТЬЮ "МОНОЛИТТРАНССЕРВИС"</t>
  </si>
  <si>
    <t xml:space="preserve"> "МОНОЛИТТРАНССЕРВИС"</t>
  </si>
  <si>
    <t>2905011394</t>
  </si>
  <si>
    <t>165650, АРХАНГЕЛЬСКАЯ ОБЛАСТЬ, Г. КОРЯЖМА, УЛ. МАТРОСОВА, Д.1, К.А,..</t>
  </si>
  <si>
    <t>Семашкевич Владимир Яковлевич</t>
  </si>
  <si>
    <t>+7 (921) 488-83-66', '+7 (931) 417-29-20', '+7 (929) 144-00-76'</t>
  </si>
  <si>
    <t>89212918082@mail.ru'</t>
  </si>
  <si>
    <t>59.897361,30.433233</t>
  </si>
  <si>
    <t>ОБЩЕСТВО С ОГРАНИЧЕННОЙ ОТВЕТСТВЕННОСТЬЮ "ВЫМПЕЛ"</t>
  </si>
  <si>
    <t xml:space="preserve"> "ВЫМПЕЛ"</t>
  </si>
  <si>
    <t>2905012599</t>
  </si>
  <si>
    <t>192029, САНКТ-ПЕТЕРБУРГ ГОРОД, ПРОСПЕКТ ОБУХОВСКОЙ ОБОРОНЫ, ДОМ 76, КОРПУС 4 ЛИТЕР А, ОФИС 627</t>
  </si>
  <si>
    <t>Вохминова Екатерина Борисовна</t>
  </si>
  <si>
    <t>+7 (921) 246-17-51'</t>
  </si>
  <si>
    <t>sp15@yandex.ru'</t>
  </si>
  <si>
    <t>62.70874,40.280484</t>
  </si>
  <si>
    <t>ОБЩЕСТВО С ОГРАНИЧЕННОЙ ОТВЕТСТВЕННОСТЬЮ "ПЛЕСЕЦКИЙ БЕТОННЫЙ ЗАВОД"</t>
  </si>
  <si>
    <t xml:space="preserve"> "ПЛЕСЕЦКИЙ БЕТОННЫЙ ЗАВОД"</t>
  </si>
  <si>
    <t>2920015668</t>
  </si>
  <si>
    <t>164262, АРХАНГЕЛЬСКАЯ ОБЛАСТЬ, РАЙОН ПЛЕСЕЦКИЙ, РАБОЧИЙ ПОСЕЛОК ПЛЕСЕЦК, УЛИЦА ЛЕНИНА, ДОМ 29, ОФИС 7</t>
  </si>
  <si>
    <t>Холодов Никита Валерьевич</t>
  </si>
  <si>
    <t>+7 (906) 283-48-44'</t>
  </si>
  <si>
    <t>48.275848,46.168168</t>
  </si>
  <si>
    <t>3001729514</t>
  </si>
  <si>
    <t>416506, АСТРАХАНСКАЯ ОБЛАСТЬ, Г. АХТУБИНСК, УЛ. БАХЧИВАНДЖИ, Д.23</t>
  </si>
  <si>
    <t>Демичев Александр Евгеньевич</t>
  </si>
  <si>
    <t>46.325501,48.054262</t>
  </si>
  <si>
    <t>ОБЩЕСТВО С ОГРАНИЧЕННОЙ ОТВЕТСТВЕННОСТЬЮ "КОРУНД-СТРОЙ"</t>
  </si>
  <si>
    <t xml:space="preserve"> "КОРУНД-СТРОЙ"</t>
  </si>
  <si>
    <t>3017052997</t>
  </si>
  <si>
    <t>414057, АСТРАХАНСКАЯ ОБЛАСТЬ, Г. АСТРАХАНЬ, УЛ. СТАНЦИЯ КУТУМНАЯ, Д.28</t>
  </si>
  <si>
    <t>Воронин Владимир Сергеевич</t>
  </si>
  <si>
    <t>+7 (917) 177-94-47', '+7 (927) 567-66-77'</t>
  </si>
  <si>
    <t>50.585378,36.740969</t>
  </si>
  <si>
    <t>ОБЩЕСТВО С ОГРАНИЧЕННОЙ ОТВЕТСТВЕННОСТЬЮ "АВТОМОНОЛИТ"</t>
  </si>
  <si>
    <t xml:space="preserve"> "АВТОМОНОЛИТ"</t>
  </si>
  <si>
    <t>3102040760</t>
  </si>
  <si>
    <t>308517, БЕЛГОРОДСКАЯ ОБЛ, БЕЛГОРОДСКИЙ Р-Н, БЕЛОВСКОЕ С, ЦЕНТРАЛЬНАЯ УЛ, ДОМ 57</t>
  </si>
  <si>
    <t>Калитин Роман Николаевич</t>
  </si>
  <si>
    <t>+7 (915) 563-57-77'</t>
  </si>
  <si>
    <t>50.577994,36.758307</t>
  </si>
  <si>
    <t>ОБЩЕСТВО С ОГРАНИЧЕННОЙ ОТВЕТСТВЕННОСТЬЮ  "АЛЬФА"</t>
  </si>
  <si>
    <t xml:space="preserve">  "АЛЬФА"</t>
  </si>
  <si>
    <t>3102046200</t>
  </si>
  <si>
    <t>308517, БЕЛГОРОДСКАЯ ОБЛ, БЕЛГОРОДСКИЙ Р-Н, БЕЛОВСКОЕ С, ЗАРЕЧЕНСКАЯ УЛ, ДОМ 1Г, ОФИС 1</t>
  </si>
  <si>
    <t>Матюхов Андрей Сергеевич</t>
  </si>
  <si>
    <t>50.551274,36.740942</t>
  </si>
  <si>
    <t>ОБЩЕСТВО С ОГРАНИЧЕННОЙ ОТВЕТСТВЕННОСТЬЮ "БЕЛСТРОЙБЕТОН"</t>
  </si>
  <si>
    <t xml:space="preserve"> "БЕЛСТРОЙБЕТОН"</t>
  </si>
  <si>
    <t>3102048303</t>
  </si>
  <si>
    <t>308510, БЕЛГОРОДСКАЯ ОБЛАСТЬ, РАЙОН БЕЛГОРОДСКИЙ, ПОСЕЛОК ГОРОДСКОГО ТИПА РАЗУМНОЕ, УЛИЦА ЭНЕРГЕТИКОВ, ДОМ 2, МАССИВ 71</t>
  </si>
  <si>
    <t>Попаз Георгий Ильич</t>
  </si>
  <si>
    <t>50.494917,38.370873</t>
  </si>
  <si>
    <t>ОБЩЕСТВО С ОГРАНИЧЕННОЙ ОТВЕТСТВЕННОСТЬЮ "ГенподрядГрупп"</t>
  </si>
  <si>
    <t xml:space="preserve"> "ГенподрядГрупп"</t>
  </si>
  <si>
    <t>3111505852</t>
  </si>
  <si>
    <t>http://r31.fssprus.ru</t>
  </si>
  <si>
    <t>309910, БЕЛГОРОДСКАЯ ОБЛАСТЬ, Р-Н КРАСНОГВАРДЕЙСКИЙ, П БИРЮЧ (КОЛОМЫЦЕВСКОЕ С/П), ПЛ-КА ЦЕМЕНТНОГО КОМБИНАТА</t>
  </si>
  <si>
    <t>Вершков Петр Николаевич</t>
  </si>
  <si>
    <t>50.600892,36.59343</t>
  </si>
  <si>
    <t>ОБЩЕСТВО С ОГРАНИЧЕННОЙ ОТВЕТСТВЕННОСТЬЮ "СТРОЙГРАНИТ"</t>
  </si>
  <si>
    <t xml:space="preserve"> "СТРОЙГРАНИТ"</t>
  </si>
  <si>
    <t>3120085072</t>
  </si>
  <si>
    <t>308009, БЕЛГОРОДСКАЯ ОБЛАСТЬ, Г. БЕЛГОРОД, Б-Р НАРОДНЫЙ, Д. 70, ОФИС 628</t>
  </si>
  <si>
    <t>Зотов Антон Анатольевич</t>
  </si>
  <si>
    <t>50.409018,36.912745</t>
  </si>
  <si>
    <t>ОБЩЕСТВО С ОГРАНИЧЕННОЙ ОТВЕТСТВЕННОСТЬЮ "ГЕОБЕТОН"</t>
  </si>
  <si>
    <t xml:space="preserve"> "ГЕОБЕТОН"</t>
  </si>
  <si>
    <t>3120104381</t>
  </si>
  <si>
    <t>309295, БЕЛГОРОДСКАЯ ОБЛАСТЬ, ГОРОД ШЕБЕКИНО, УЛИЦА РЖЕВСКОЕ ШОССЕ, ДОМ 21, ОФИС 3</t>
  </si>
  <si>
    <t>Громов Алексей Вячеславович</t>
  </si>
  <si>
    <t>50.623784,36.559159</t>
  </si>
  <si>
    <t>ОБЩЕСТВО С ОГРАНИЧЕННОЙ ОТВЕТСТВЕННОСТЬЮ "ЦЕНТР БЕТОН"</t>
  </si>
  <si>
    <t xml:space="preserve"> "ЦЕНТР БЕТОН"</t>
  </si>
  <si>
    <t>3121186122</t>
  </si>
  <si>
    <t>308032, Белгородская область, городской округ ГОРОД БЕЛГОРОД, Город БЕЛГОРОД, ПРОЕЗД ПРОМЫШЛЕННЫЙ, Д. 8А, ОФИС 2</t>
  </si>
  <si>
    <t>Прокопов Олег Викторович</t>
  </si>
  <si>
    <t>+7 (909) 206-05-99', '+7 (952) 436-00-36'</t>
  </si>
  <si>
    <t>s_beton@list.ru'</t>
  </si>
  <si>
    <t>50.621109,38.682354</t>
  </si>
  <si>
    <t>ОБЩЕСТВО С ОГРАНИЧЕННОЙ ОТВЕТСТВЕННОСТЬЮ "ПРОМСТРОЙКОМПЛЕКТ"</t>
  </si>
  <si>
    <t xml:space="preserve"> "ПРОМСТРОЙКОМПЛЕКТ"</t>
  </si>
  <si>
    <t>3122002240</t>
  </si>
  <si>
    <t>309857, БЕЛГОРОДСКАЯ ОБЛАСТЬ, Р-Н АЛЕКСЕЕВСКИЙ, Г. АЛЕКСЕЕВКА, УЛ. МАЯКОВСКОГО, Д. 134</t>
  </si>
  <si>
    <t>Хорунжий Андрей Владимирович</t>
  </si>
  <si>
    <t>+7 (910) 366-43-93', '+7 (920) 567-34-67'</t>
  </si>
  <si>
    <t>2015@mail.ru'</t>
  </si>
  <si>
    <t>50.620869,38.641283</t>
  </si>
  <si>
    <t>ОБЩЕСТВО С ОГРАНИЧЕННОЙ ОТВЕТСТВЕННОСТЬЮ "АЛЯСКА"</t>
  </si>
  <si>
    <t xml:space="preserve"> "АЛЯСКА"</t>
  </si>
  <si>
    <t>3122015384</t>
  </si>
  <si>
    <t>309854, Белгородская область, городской округ АЛЕКСЕЕВСКИЙ, Город АЛЕКСЕЕВКА, УЛ П.ЮЩЕНКО, Д. 1, ОФИС 2</t>
  </si>
  <si>
    <t>Головчан Алексей Юрьевич</t>
  </si>
  <si>
    <t>50.61744,36.568583</t>
  </si>
  <si>
    <t>ОБЩЕСТВО С ОГРАНИЧЕННОЙ ОТВЕТСТВЕННОСТЬЮ "СТРОЙ-ЭКОБЕТОН"</t>
  </si>
  <si>
    <t xml:space="preserve"> "СТРОЙ-ЭКОБЕТОН"</t>
  </si>
  <si>
    <t>3123139304</t>
  </si>
  <si>
    <t>Г БЕЛГОРОД,ПЕР 5-Й ЗАВОДСКОЙ, Д 9</t>
  </si>
  <si>
    <t>Кравченко Виктор Александрович</t>
  </si>
  <si>
    <t>50.612799,36.567981</t>
  </si>
  <si>
    <t>ОБЩЕСТВО С ОГРАНИЧЕННОЙ ОТВЕТСТВЕННОСТЬЮ "БЕЛГОРОДСКИЙ РАСТВОР"</t>
  </si>
  <si>
    <t xml:space="preserve"> "БЕЛГОРОДСКИЙ РАСТВОР"</t>
  </si>
  <si>
    <t>3123154253</t>
  </si>
  <si>
    <t>Г БЕЛГОРОД,ПЕР 5-Й ЗАВОДСКОЙ, Д 3</t>
  </si>
  <si>
    <t>Натычко Василий Михайлович</t>
  </si>
  <si>
    <t>50.598953,36.606015</t>
  </si>
  <si>
    <t>ОБЩЕСТВО С ОГРАНИЧЕННОЙ ОТВЕТСТВЕННОСТЬЮ "БЕЛГОРОДСКАЯ ИНДУСТРИЯ СТРОИТЕЛЬНЫХ МАТЕРИАЛОВ"</t>
  </si>
  <si>
    <t xml:space="preserve"> "БЕЛГОРОДСКАЯ ИНДУСТРИЯ СТРОИТЕЛЬНЫХ МАТЕРИАЛОВ"</t>
  </si>
  <si>
    <t>3123171844</t>
  </si>
  <si>
    <t>308001, БЕЛГОРОДСКАЯ ОБЛАСТЬ, Г. БЕЛГОРОД, Б-Р НАРОДНЫЙ, Д. 2А,..</t>
  </si>
  <si>
    <t>Потемкин Виталий Алексеевич</t>
  </si>
  <si>
    <t>50.571044,36.581186</t>
  </si>
  <si>
    <t>ОБЩЕСТВО С ОГРАНИЧЕННОЙ ОТВЕТСТВЕННОСТЬЮ "БЕТОН 31"</t>
  </si>
  <si>
    <t xml:space="preserve"> "БЕТОН 31"</t>
  </si>
  <si>
    <t>3123331343</t>
  </si>
  <si>
    <t>308033, БЕЛГОРОДСКАЯ ОБЛАСТЬ, Г. БЕЛГОРОД, ПР-КТ ВАТУТИНА, Д. 14,..</t>
  </si>
  <si>
    <t>+7 (909) 208-87-77'</t>
  </si>
  <si>
    <t>olga_dergileva@mail.ru'</t>
  </si>
  <si>
    <t xml:space="preserve"> "ДМБ"</t>
  </si>
  <si>
    <t>3123405161</t>
  </si>
  <si>
    <t>308015, БЕЛГОРОДСКАЯ ОБЛАСТЬ, Г. БЕЛГОРОД, УЛ. СУМСКАЯ, Д. 64, КАБИНЕТ 18</t>
  </si>
  <si>
    <t>Борисов Александр Викторович</t>
  </si>
  <si>
    <t>50.597467,36.679614</t>
  </si>
  <si>
    <t>ОБЩЕСТВО С ОГРАНИЧЕННОЙ ОТВЕТСТВЕННОСТЬЮ "ПГС-СНАБ"</t>
  </si>
  <si>
    <t xml:space="preserve"> "ПГС-СНАБ"</t>
  </si>
  <si>
    <t>3123411101</t>
  </si>
  <si>
    <t>308009, БЕЛГОРОДСКАЯ ОБЛАСТЬ, Г. БЕЛГОРОД, УЛ. КОНСТАНТИНА ЗАСЛОНОВА, Д. 193, ЭТАЖ 1, ОФИС 1</t>
  </si>
  <si>
    <t>Московченко Евгений Николаевич</t>
  </si>
  <si>
    <t>+7 (952) 424-65-55'</t>
  </si>
  <si>
    <t>50.585184,36.573586</t>
  </si>
  <si>
    <t>ОБЩЕСТВО С ОГРАНИЧЕННОЙ ОТВЕТСТВЕННОСТЬЮ "ИННОВАЦИЯ"</t>
  </si>
  <si>
    <t xml:space="preserve"> "ИННОВАЦИЯ"</t>
  </si>
  <si>
    <t>3123417142</t>
  </si>
  <si>
    <t>308027, БЕЛГОРОДСКАЯ ОБЛ, БЕЛГОРОД Г, ЖЕЛЕЗНОДОРОЖНАЯ УЛ, ДОМ 121,..</t>
  </si>
  <si>
    <t>Усов Владимир Юрьевич</t>
  </si>
  <si>
    <t>+7 (915) 521-92-41'</t>
  </si>
  <si>
    <t>50.611022,36.582938</t>
  </si>
  <si>
    <t>ОБЩЕСТВО С ОГРАНИЧЕННОЙ ОТВЕТСТВЕННОСТЬЮ "ПК БЕТОН БЕЛОГОРЬЯ"</t>
  </si>
  <si>
    <t xml:space="preserve"> "ПК БЕТОН БЕЛОГОРЬЯ"</t>
  </si>
  <si>
    <t>3123429003</t>
  </si>
  <si>
    <t>308002, БЕЛГОРОДСКАЯ ОБЛАСТЬ, Г. БЕЛГОРОД, ПР-КТ Б.ХМЕЛЬНИЦКОГО, Д. 80А, ПОМЕЩ. 14</t>
  </si>
  <si>
    <t>Капустин Евгений Николаевич</t>
  </si>
  <si>
    <t>+7 (915) 577-66-55'</t>
  </si>
  <si>
    <t>50.620275,36.594993</t>
  </si>
  <si>
    <t>ОБЩЕСТВО С ОГРАНИЧЕННОЙ ОТВЕТСТВЕННОСТЬЮ ПРОИЗВОДСТВЕННАЯ КОМПАНИЯ "ОСТОВ"</t>
  </si>
  <si>
    <t xml:space="preserve"> ПРОИЗВОДСТВЕННАЯ КОМПАНИЯ "ОСТОВ"</t>
  </si>
  <si>
    <t>3123442759</t>
  </si>
  <si>
    <t>308023, БЕЛГОРОДСКАЯ ОБЛАСТЬ, Г. БЕЛГОРОД, УЛ. СТУДЕНЧЕСКАЯ, Д. 1, ОФИС 1</t>
  </si>
  <si>
    <t>Олейник Игорь Васильевич</t>
  </si>
  <si>
    <t>toporkovakira29@gmail.com'</t>
  </si>
  <si>
    <t>50.565843,36.552521</t>
  </si>
  <si>
    <t>ОБЩЕСТВО С ОГРАНИЧЕННОЙ ОТВЕТСТВЕННОСТЬЮ "ГРАНД МЕКА"</t>
  </si>
  <si>
    <t xml:space="preserve"> "ГРАНД МЕКА"</t>
  </si>
  <si>
    <t>3123484149</t>
  </si>
  <si>
    <t>308036, БЕЛГОРОДСКАЯ ОБЛ., Г. Белгород, УЛ. СПОРТИВНАЯ, Д. 5,..</t>
  </si>
  <si>
    <t>Курбанова Зарипат Магомедрасуловна</t>
  </si>
  <si>
    <t>1990@MAIL.RU'</t>
  </si>
  <si>
    <t>50.162405,38.131517</t>
  </si>
  <si>
    <t>ОБЩЕСТВО С ОГРАНИЧЕННОЙ ОТВЕТСТВЕННОСТЬЮ "БЕЛПРОМСТРОЙ"</t>
  </si>
  <si>
    <t xml:space="preserve"> "БЕЛПРОМСТРОЙ"</t>
  </si>
  <si>
    <t>3126018379</t>
  </si>
  <si>
    <t>309994, БЕЛГОРОДСКАЯ ОБЛАСТЬ, Р-Н ВАЛУЙСКИЙ, Г. ВАЛУЙКИ, ПЕР. 2-Й НОВОСЕЛОВСКИЙ, Д.26/3</t>
  </si>
  <si>
    <t>Бежинар Руслан Викторович</t>
  </si>
  <si>
    <t>50.549116,38.374771</t>
  </si>
  <si>
    <t>ОБЩЕСТВО С ОГРАНИЧЕННОЙ ОТВЕТСТВЕННОСТЬЮ "БЕЛОГОРЬЕ"</t>
  </si>
  <si>
    <t xml:space="preserve"> "БЕЛОГОРЬЕ"</t>
  </si>
  <si>
    <t>3128102065</t>
  </si>
  <si>
    <t>БЕЛГОРОДСКАЯ ОБЛ.,КРАСНОГВАРДЕЙСКИЙ Р-Н,С КОЛОМЫЦЕВО,УЛ МОЛОДЕЖНАЯ, Д 26</t>
  </si>
  <si>
    <t>Гричанникова Елена Борисовна</t>
  </si>
  <si>
    <t>51.303892,37.915346</t>
  </si>
  <si>
    <t>ОБЩЕСТВО С ОГРАНИЧЕННОЙ ОТВЕТСТВЕННОСТЬЮ "ОСКОЛ-БЕТОН"</t>
  </si>
  <si>
    <t xml:space="preserve"> "ОСКОЛ-БЕТОН"</t>
  </si>
  <si>
    <t>3128110154</t>
  </si>
  <si>
    <t>309502, БЕЛГОРОДСКАЯ ОБЛАСТЬ, Г. СТАРЫЙ ОСКОЛ, ПР-Д СТАЛЕВАРОВ, Д. 31</t>
  </si>
  <si>
    <t>Колесников Сергей Егорович</t>
  </si>
  <si>
    <t>+7 (910) 321-46-20'</t>
  </si>
  <si>
    <t>oskolbeton@yandex.ru'</t>
  </si>
  <si>
    <t>51.237066,37.926503</t>
  </si>
  <si>
    <t>ОБЩЕСТВО С ОГРАНИЧЕННОЙ ОТВЕТСТВЕННОСТЬЮ ТОРГОВЫЙ ДОМ "СТРОЙ-БЕТОН"</t>
  </si>
  <si>
    <t xml:space="preserve"> ТОРГОВЫЙ ДОМ "СТРОЙ-БЕТОН"</t>
  </si>
  <si>
    <t>3128113469</t>
  </si>
  <si>
    <t>309540, БЕЛГОРОДСКАЯ ОБЛАСТЬ, Г. СТАРЫЙ ОСКОЛ, ПЛ-КА ТРАНСПОРТНАЯ ПРОЕЗД Ш-3 (СТАНЦИЯ КОТЕЛ П, СТР. 8А</t>
  </si>
  <si>
    <t>53.241374,34.375373</t>
  </si>
  <si>
    <t>ОБЩЕСТВО С ОГРАНИЧЕННОЙ ОТВЕТСТВЕННОСТЬЮ "ОФИС-ЦЕНТР"</t>
  </si>
  <si>
    <t xml:space="preserve"> "ОФИС-ЦЕНТР"</t>
  </si>
  <si>
    <t>3234052810</t>
  </si>
  <si>
    <t>Г БРЯНСК,УЛ ГОРЬКОГО Д 2-А</t>
  </si>
  <si>
    <t>Бацаев Рамазан Магомедович</t>
  </si>
  <si>
    <t>53.205107,34.437572</t>
  </si>
  <si>
    <t>ОБЩЕСТВО С ОГРАНИЧЕННОЙ ОТВЕТСТВЕННОСТЬЮ "ТОРГОВЫЙ ДОМ БЕТОН"</t>
  </si>
  <si>
    <t xml:space="preserve"> "ТОРГОВЫЙ ДОМ БЕТОН"</t>
  </si>
  <si>
    <t>3241014069</t>
  </si>
  <si>
    <t>241020, БРЯНСКАЯ ОБЛАСТЬ, Г. БРЯНСК, УЛ. БОГДАНА ХМЕЛЬНИЦКОГО, Д. 88А, ОФИС 2Б</t>
  </si>
  <si>
    <t>Новосельцева Анастасия Сергеевна</t>
  </si>
  <si>
    <t>52.728778,32.24589</t>
  </si>
  <si>
    <t>ОБЩЕСТВО С ОГРАНИЧЕННОЙ ОТВЕТСТВЕННОСТЬЮ "МЕТРОБЕТОН"</t>
  </si>
  <si>
    <t xml:space="preserve"> "МЕТРОБЕТОН"</t>
  </si>
  <si>
    <t>3241018497</t>
  </si>
  <si>
    <t>243140, Брянская область, ГОРОД КЛИНЦЫ, С ЗАЙМИЩЕ, УЛ СКАЧКОВСКАЯ, Д. 2А</t>
  </si>
  <si>
    <t>Пилипенко Владимир Федорович</t>
  </si>
  <si>
    <t>53.10846,34.08236</t>
  </si>
  <si>
    <t>ОБЩЕСТВО С ОГРАНИЧЕННОЙ ОТВЕТСТВЕННОСТЬЮ "БЕТОН-ЕВРОСТАНДАРТ"</t>
  </si>
  <si>
    <t xml:space="preserve"> "БЕТОН-ЕВРОСТАНДАРТ"</t>
  </si>
  <si>
    <t>3245015930</t>
  </si>
  <si>
    <t>243361, БРЯНСКАЯ ОБЛАСТЬ, ВЫГОНИЧСКИЙ РАЙОН, ПОСЕЛОК ВЫГОНИЧИ, УЛИЦА КОСМОНАВТОВ, ДОМ 16</t>
  </si>
  <si>
    <t>Болмат Евгений Владимирович</t>
  </si>
  <si>
    <t>53.678682,33.291466</t>
  </si>
  <si>
    <t>ОБЩЕСТВО С ОГРАНИЧЕННОЙ ОТВЕТСТВЕННОСТЬЮ «БЕТОН-РЕГИОН»</t>
  </si>
  <si>
    <t xml:space="preserve"> «БЕТОН-РЕГИОН»</t>
  </si>
  <si>
    <t>3245016998</t>
  </si>
  <si>
    <t>242750, БРЯНСКАЯ ОБЛАСТЬ, РАЙОН ДУБРОВСКИЙ, ДЕРЕВНЯ СТАРОЕ КОЛЫШКИНО, УЛИЦА ЦЕНТРАЛЬНАЯ, ДОМ 30, ОФИС 3</t>
  </si>
  <si>
    <t>Титова Юлия Владимировна</t>
  </si>
  <si>
    <t>53.542256,33.740084</t>
  </si>
  <si>
    <t>ОБЩЕСТВО С ОГРАНИЧЕННОЙ ОТВЕТСТВЕННОСТЬЮ «ИНТЕРБЕТОН»</t>
  </si>
  <si>
    <t xml:space="preserve"> «ИНТЕРБЕТОН»</t>
  </si>
  <si>
    <t>3245017960</t>
  </si>
  <si>
    <t>242700, БРЯНСКАЯ ОБЛАСТЬ, РАЙОН ЖУКОВСКИЙ, ГОРОД ЖУКОВКА, УЛИЦА ГЕРЦЕНА, ДОМ 7</t>
  </si>
  <si>
    <t>Аветисян Граир Гарегинович</t>
  </si>
  <si>
    <t>53.255959,34.277313</t>
  </si>
  <si>
    <t>ОБЩЕСТВО С ОГРАНИЧЕННОЙ ОТВЕТСТВЕННОСТЬЮ "МЕГАПОЛИС-СНАБ"</t>
  </si>
  <si>
    <t xml:space="preserve"> "МЕГАПОЛИС-СНАБ"</t>
  </si>
  <si>
    <t>3245515612</t>
  </si>
  <si>
    <t>241524, БРЯНСКАЯ ОБЛАСТЬ, Р-Н БРЯНСКИЙ, С ТОЛМАЧЕВО, УЛ. ТРУДОВАЯ, Д. 54</t>
  </si>
  <si>
    <t>Марков Игорь Викторович</t>
  </si>
  <si>
    <t>+7 (980) 314-61-26', '+7 (910) 333-34-14'</t>
  </si>
  <si>
    <t>snab@mail.ru'</t>
  </si>
  <si>
    <t>53.201688,34.463246</t>
  </si>
  <si>
    <t>ОБЩЕСТВО С ОГРАНИЧЕННОЙ ОТВЕТСТВЕННОСТЬЮ "ЭКСОН"</t>
  </si>
  <si>
    <t xml:space="preserve"> "ЭКСОН"</t>
  </si>
  <si>
    <t>3245516567</t>
  </si>
  <si>
    <t>241518, БРЯНСКАЯ ОБЛ, БРЯНСКИЙ Р-Н, СВЕНЬ-ТРАНСПОРТНАЯ П, ЗЕЛЕНЫЙ БОР УЛ, ДОМ 36</t>
  </si>
  <si>
    <t>Прудников Виталий Евгеньевич</t>
  </si>
  <si>
    <t>+7 (952) 968-55-44'</t>
  </si>
  <si>
    <t>info@ecson32.ru'</t>
  </si>
  <si>
    <t>52.570868,33.250799</t>
  </si>
  <si>
    <t xml:space="preserve"> "ТЕХНОПАРК"</t>
  </si>
  <si>
    <t>3252502692</t>
  </si>
  <si>
    <t>243550, БРЯНСКАЯ ОБЛАСТЬ, РАЙОН ПОГАРСКИЙ, ПОСЕЛОК ГОРОДСКОГО ТИПА ПОГАР, УЛИЦА ЛЕНИНА, ДОМ 155</t>
  </si>
  <si>
    <t>Картель Владимир Васильевич</t>
  </si>
  <si>
    <t>lobova_32@mail.ru'</t>
  </si>
  <si>
    <t>53.240867,34.355933</t>
  </si>
  <si>
    <t>ОБЩЕСТВО С ОГРАНИЧЕННОЙ ОТВЕТСТВЕННОСТЬЮ "СОЮЗ-БЕТОН"</t>
  </si>
  <si>
    <t xml:space="preserve"> "СОЮЗ-БЕТОН"</t>
  </si>
  <si>
    <t>3257017435</t>
  </si>
  <si>
    <t>241050, БРЯНСКАЯ ОБЛАСТЬ, ГОРОД БРЯНСК, УЛИЦА ГРИБОЕДОВА, ДОМ 24, ОФИС 304</t>
  </si>
  <si>
    <t>Колесников Олег Валерьевич</t>
  </si>
  <si>
    <t>+7 (906) 503-88-11'</t>
  </si>
  <si>
    <t>53.2493,34.381383</t>
  </si>
  <si>
    <t>ОБЩЕСТВО С ОГРАНИЧЕННОЙ ОТВЕТСТВЕННОСТЬЮ "МАСТЕР БЕТОН"</t>
  </si>
  <si>
    <t xml:space="preserve"> "МАСТЕР БЕТОН"</t>
  </si>
  <si>
    <t>3257032063</t>
  </si>
  <si>
    <t>241050, Брянская область, г Брянск, ул Калинина, д 98а, оф 209</t>
  </si>
  <si>
    <t>Муриков Алексей Евгеньевич</t>
  </si>
  <si>
    <t>+7 (920) 869-95-14'</t>
  </si>
  <si>
    <t>market@masterbeton32.ru'</t>
  </si>
  <si>
    <t>53.214189,34.644499</t>
  </si>
  <si>
    <t xml:space="preserve"> "ПРОМИНВЕСТ"</t>
  </si>
  <si>
    <t>3257043192</t>
  </si>
  <si>
    <t>241902, БРЯНСКАЯ ОБЛАСТЬ, Г. БРЯНСК, РП БЕЛЫЕ БЕРЕГА, УЛ. СТРОИТЕЛЕЙ, Д. 35</t>
  </si>
  <si>
    <t>Тогобицкая Мадина Умаралиевна</t>
  </si>
  <si>
    <t>+7 (915) 530-87-21', '+7 (980) 311-59-87'</t>
  </si>
  <si>
    <t>53.240361,34.356769</t>
  </si>
  <si>
    <t>ОБЩЕСТВО С ОГРАНИЧЕННОЙ ОТВЕТСТВЕННОСТЬЮ "ТОРГОВЫЙ ДОМ "СОЮЗ-БЕТОН"</t>
  </si>
  <si>
    <t xml:space="preserve"> "ТОРГОВЫЙ ДОМ "СОЮЗ-БЕТОН"</t>
  </si>
  <si>
    <t>3257054162</t>
  </si>
  <si>
    <t>241050, БРЯНСКАЯ ОБЛ, БРЯНСК Г, ГРИБОЕДОВА УЛ, ДОМ 18, ПОМЕЩЕНИЕ 1</t>
  </si>
  <si>
    <t>Праздникова Ольга Михайловна</t>
  </si>
  <si>
    <t>+7 (962) 141-11-33', '+7 (920) 831-78-47'</t>
  </si>
  <si>
    <t>56.392303,38.704705</t>
  </si>
  <si>
    <t>ОБЩЕСТВО С ОГРАНИЧЕННОЙ ОТВЕТСТВЕННОСТЬЮ "АЛЕКССТРОЙДЕТАЛЬ"</t>
  </si>
  <si>
    <t xml:space="preserve"> "АЛЕКССТРОЙДЕТАЛЬ"</t>
  </si>
  <si>
    <t>3301014732</t>
  </si>
  <si>
    <t>ВЛАДИМИРСКАЯ ОБЛ.,Г АЛЕКСАНДРОВ,УЛ ИНСТИТУТСКАЯ,24</t>
  </si>
  <si>
    <t>Кожухова Светлана Викторовна</t>
  </si>
  <si>
    <t>+7 (919) 019-60-44', '+7 (910) 185-77-65'</t>
  </si>
  <si>
    <t>56.377612,38.722617</t>
  </si>
  <si>
    <t>ОБЩЕСТВО С ОГРАНИЧЕННОЙ ОТВЕТСТВЕННОСТЬЮ "БЕТОН СМ"</t>
  </si>
  <si>
    <t xml:space="preserve"> "БЕТОН СМ"</t>
  </si>
  <si>
    <t>3301032234</t>
  </si>
  <si>
    <t>601655, ВЛАДИМИРСКАЯ ОБЛАСТЬ, Р-Н АЛЕКСАНДРОВСКИЙ, Г. АЛЕКСАНДРОВ, УЛ. ЭНТУЗИАСТОВ, Д. 23,..</t>
  </si>
  <si>
    <t>Калайчев Янис Владимирович</t>
  </si>
  <si>
    <t>+7 (919) 002-24-44'</t>
  </si>
  <si>
    <t>bsm3@yandex.ru'</t>
  </si>
  <si>
    <t>56.241659,42.114125</t>
  </si>
  <si>
    <t>ОБЩЕСТВО С ОГРАНИЧЕННОЙ ОТВЕТСТВЕННОСТЬЮ "ПОСТАВКА БЕТОНА"</t>
  </si>
  <si>
    <t xml:space="preserve"> "ПОСТАВКА БЕТОНА"</t>
  </si>
  <si>
    <t>3304025436</t>
  </si>
  <si>
    <t>601443, ВЛАДИМИРСКАЯ ОБЛАСТЬ, РАЙОН ВЯЗНИКОВСКИЙ, ГОРОД ВЯЗНИКИ, УЛИЦА ЗАГОТЗЕРНО, ДОМ 7, ЭТАЖ 1, ПОМЕЩЕНИЕ 3</t>
  </si>
  <si>
    <t>Иванов Илья Константинович</t>
  </si>
  <si>
    <t>+7 (930) 830-73-16'</t>
  </si>
  <si>
    <t>55.62267,40.690332</t>
  </si>
  <si>
    <t>ОБЩЕСТВО С ОГРАНИЧЕННОЙ ОТВЕТСТВЕННОСТЬЮ "ИНДУСТРИЯБЕТОН"</t>
  </si>
  <si>
    <t xml:space="preserve"> "ИНДУСТРИЯБЕТОН"</t>
  </si>
  <si>
    <t>3304026101</t>
  </si>
  <si>
    <t>601503, ВЛАДИМИРСКАЯ ОБЛАСТЬ, ГОРОД ГУСЬ-ХРУСТАЛЬНЫЙ, УЛИЦА ЧАЙКОВСКОГО, ДОМ 11,..</t>
  </si>
  <si>
    <t>Кравченко Дмитрий Александрович</t>
  </si>
  <si>
    <t>fox@mail.ru'</t>
  </si>
  <si>
    <t>56.370798,41.313089</t>
  </si>
  <si>
    <t xml:space="preserve"> "БЕТОНИТ"</t>
  </si>
  <si>
    <t>3305053620</t>
  </si>
  <si>
    <t>ВЛАДИМИРСКАЯ ОБЛ.,Г КОВРОВ,УЛ ОКТЯБРЬСКАЯ,24А</t>
  </si>
  <si>
    <t>Кузнецов Андрей Михайлович</t>
  </si>
  <si>
    <t>56.335131,41.291008</t>
  </si>
  <si>
    <t>ОБЩЕСТВО С ОГРАНИЧЕННОЙ ОТВЕТСТВЕННОСТЬЮ "КОВРОВ-БЕТОН"</t>
  </si>
  <si>
    <t xml:space="preserve"> "КОВРОВ-БЕТОН"</t>
  </si>
  <si>
    <t>3305800952</t>
  </si>
  <si>
    <t>601915, ВЛАДИМИРСКАЯ ОБЛАСТЬ, ГОРОД КОВРОВ, ПЕРЕУЛОК ДУБОВЫЙ, ДОМ 1</t>
  </si>
  <si>
    <t>Щербаков Дмитрий Вячеславович</t>
  </si>
  <si>
    <t>55.559226,42.047749</t>
  </si>
  <si>
    <t>ОБЩЕСТВО С ОГРАНИЧЕННОЙ ОТВЕТСТВЕННОСТЬЮ "МУРОМ БЕТОН"</t>
  </si>
  <si>
    <t xml:space="preserve"> "МУРОМ БЕТОН"</t>
  </si>
  <si>
    <t>3307021503</t>
  </si>
  <si>
    <t>602264, ВЛАДИМИРСКАЯ ОБЛ, МУРОМСКИЙ РАЙОН, МУРОМ Г, РАДИОЗАВОДСКОЕ Ш, ДОМ 13Б</t>
  </si>
  <si>
    <t>Шишов Валерий Александрович</t>
  </si>
  <si>
    <t>+7 (920) 941-13-96'</t>
  </si>
  <si>
    <t>55.583103,42.020063</t>
  </si>
  <si>
    <t>ОБЩЕСТВО С ОГРАНИЧЕННОЙ ОТВЕТСТВЕННОСТЬЮ "МУРОМБЕТОНСНАБ"</t>
  </si>
  <si>
    <t xml:space="preserve"> "МУРОМБЕТОНСНАБ"</t>
  </si>
  <si>
    <t>3307023300</t>
  </si>
  <si>
    <t>602266, ВЛАДИМИРСКАЯ ОБЛАСТЬ, Г. МУРОМ, УЛ. ЮБИЛЕЙНАЯ, Д. 60, ЭТАЖ 2, КАБИНЕТ 21</t>
  </si>
  <si>
    <t>Морозов Дмитрий Александрович</t>
  </si>
  <si>
    <t>murombetonsnab@mail.ru'</t>
  </si>
  <si>
    <t>55.575098,42.017494</t>
  </si>
  <si>
    <t>ОБЩЕСТВО С ОГРАНИЧЕННОЙ ОТВЕТСТВЕННОСТЬЮ "МУРОМБЕТОНСТРОЙ"</t>
  </si>
  <si>
    <t xml:space="preserve"> "МУРОМБЕТОНСТРОЙ"</t>
  </si>
  <si>
    <t>3307025089</t>
  </si>
  <si>
    <t>602254, ВЛАДИМИРСКАЯ ОБЛ., Г. Муром, УЛ. МОСКОВСКАЯ, Д. 101, ЭТАЖ 3 КАБИНЕТ 302,303</t>
  </si>
  <si>
    <t>Морозова Елена Владимировна</t>
  </si>
  <si>
    <t>56.154059,40.399044</t>
  </si>
  <si>
    <t>ОБЩЕСТВО С ОГРАНИЧЕННОЙ ОТВЕТСТВЕННОСТЬЮ "МЕГАЛИТТЕРРА"</t>
  </si>
  <si>
    <t xml:space="preserve"> "МЕГАЛИТТЕРРА"</t>
  </si>
  <si>
    <t>3310006181</t>
  </si>
  <si>
    <t>600960, ВЛАДИМИРСКАЯ ОБЛАСТЬ, ГОРОД ВЛАДИМИР, ПРОЕЗД ПРОМЫШЛЕННЫЙ, 5</t>
  </si>
  <si>
    <t>Климов Михаил Сергеевич</t>
  </si>
  <si>
    <t>56.500785,38.83585</t>
  </si>
  <si>
    <t>ОБЩЕСТВО С ОГРАНИЧЕННОЙ ОТВЕТСТВЕННОСТЬЮ "СТРОЙСИТИ"</t>
  </si>
  <si>
    <t xml:space="preserve"> "СТРОЙСИТИ"</t>
  </si>
  <si>
    <t>3311023648</t>
  </si>
  <si>
    <t>601630, ВЛАДИМИРСКАЯ ОБЛАСТЬ, РАЙОН АЛЕКСАНДРОВСКИЙ, ПОСЕЛОК ГОРОДСКОГО ТИПА БАЛАКИРЕВО, КВАРТАЛ ЮГО-ЗАПАДНЫЙ, ДОМ 13,..</t>
  </si>
  <si>
    <t>Овсепян Мушег Задорович</t>
  </si>
  <si>
    <t>92@mail.ru'</t>
  </si>
  <si>
    <t>56.160586,38.873489</t>
  </si>
  <si>
    <t>ОБЩЕСТВО С ОГРАНИЧЕННОЙ ОТВЕТСТВЕННОСТЬЮ "ФИЛКОМ"</t>
  </si>
  <si>
    <t xml:space="preserve"> "ФИЛКОМ"</t>
  </si>
  <si>
    <t>3316012590</t>
  </si>
  <si>
    <t>ВЛАДИМИРСКАЯ ОБЛ.,Г КИРЖАЧ,УЛ ЛЕНИНГРАДСКАЯ,19А</t>
  </si>
  <si>
    <t>Филяков Глеб Сергеевич</t>
  </si>
  <si>
    <t>+7 (903) 789-69-42'</t>
  </si>
  <si>
    <t>56.134686,38.847932</t>
  </si>
  <si>
    <t>ОБЩЕСТВО С ОГРАНИЧЕННОЙ ОТВЕТСТВЕННОСТЬЮ "БЕТОНСТРОЙ33"</t>
  </si>
  <si>
    <t xml:space="preserve"> "БЕТОНСТРОЙ33"</t>
  </si>
  <si>
    <t>3316019356</t>
  </si>
  <si>
    <t>601010, ВЛАДИМИРСКАЯ ОБЛАСТЬ, КИРЖАЧСКИЙ РАЙОН, ГОРОД КИРЖАЧ, УЛИЦА ШЕЛКОВИКОВ, ДОМ 20/9</t>
  </si>
  <si>
    <t>Полозова Анна Викторовна</t>
  </si>
  <si>
    <t>td_elena_savina@mail.ru'</t>
  </si>
  <si>
    <t>56.139045,38.850025</t>
  </si>
  <si>
    <t xml:space="preserve"> "МОНОЛИТ-БЕТОН"</t>
  </si>
  <si>
    <t>3316019395</t>
  </si>
  <si>
    <t>601010, ВЛАДИМИРСКАЯ ОБЛАСТЬ, РАЙОН КИРЖАЧСКИЙ, ГОРОД КИРЖАЧ, УЛИЦА ШЕЛКОВИКОВ, ДОМ 23А, ПОМЕЩЕНИЕ 12</t>
  </si>
  <si>
    <t>Долгопятова Ксения Владимировна</t>
  </si>
  <si>
    <t>56.10044,40.075992</t>
  </si>
  <si>
    <t>ОБЩЕСТВО С ОГРАНИЧЕННОЙ ОТВЕТСТВЕННОСТЬЮ "БЭСТБЕТОН"</t>
  </si>
  <si>
    <t xml:space="preserve"> "БЭСТБЕТОН"</t>
  </si>
  <si>
    <t>3323007457</t>
  </si>
  <si>
    <t>601214, ВЛАДИМИРСКАЯ ОБЛАСТЬ, СОБИНСКИЙ РАЙОН, СЕЛО БАБАЕВО, УЛИЦА ЗАРЕЧНАЯ, ДОМ 25,..</t>
  </si>
  <si>
    <t>Куделин Назар Вячеславович</t>
  </si>
  <si>
    <t>bestbeton33@mail.ru'</t>
  </si>
  <si>
    <t>56.086545,40.234589</t>
  </si>
  <si>
    <t>ОБЩЕСТВО С ОГРАНИЧЕННОЙ ОТВЕТСТВЕННОСТЬЮ "ПМК-178 бетон"</t>
  </si>
  <si>
    <t xml:space="preserve"> "ПМК-178 бетон"</t>
  </si>
  <si>
    <t>3327108865</t>
  </si>
  <si>
    <t>600901, ВЛАДИМИРСКАЯ ОБЛАСТЬ, ГОРОД ВЛАДИМИР, ЮРЬЕВЕЦ МИКРОРАЙОН, УЛИЦА НОЯБРЬСКАЯ, 133</t>
  </si>
  <si>
    <t>Смородин Олег Александрович</t>
  </si>
  <si>
    <t>+7 (903) 645-23-12'</t>
  </si>
  <si>
    <t>56.192811,40.49502</t>
  </si>
  <si>
    <t>ОБЩЕСТВО С ОГРАНИЧЕННОЙ ОТВЕТСТВЕННОСТЬЮ "ГлавСтройРесурс"</t>
  </si>
  <si>
    <t xml:space="preserve"> "ГлавСтройРесурс"</t>
  </si>
  <si>
    <t>3327849895</t>
  </si>
  <si>
    <t>http://gsr33.ru</t>
  </si>
  <si>
    <t>600020, Владимирская область, г Владимир, ул Производственная, д 20</t>
  </si>
  <si>
    <t>Жаренов Алексей Юрьевич</t>
  </si>
  <si>
    <t>ОБЩЕСТВО С ОГРАНИЧЕННОЙ ОТВЕТСТВЕННОСТЬЮ "РУСБЕТОН"</t>
  </si>
  <si>
    <t xml:space="preserve"> "РУСБЕТОН"</t>
  </si>
  <si>
    <t>3328017145</t>
  </si>
  <si>
    <t>600014, ВЛАДИМИРСКАЯ ОБЛАСТЬ, ГОРОД ВЛАДИМИР, УЛИЦА ПОСЁЛОК РТС, ДОМ 34, ЭТАЖ 2, КАБИНЕТ 34</t>
  </si>
  <si>
    <t>Келерман Ян Натанович</t>
  </si>
  <si>
    <t>+7 (904) 594-45-66'</t>
  </si>
  <si>
    <t>d@bk.ru'</t>
  </si>
  <si>
    <t>56.146357,40.452458</t>
  </si>
  <si>
    <t>ОБЩЕСТВО С ОГРАНИЧЕННОЙ ОТВЕТСТВЕННОСТЬЮ "ВЛАДПРОМСТРОЙ"</t>
  </si>
  <si>
    <t xml:space="preserve"> "ВЛАДПРОМСТРОЙ"</t>
  </si>
  <si>
    <t>3329049541</t>
  </si>
  <si>
    <t>600016, ВЛАДИМИРСКАЯ ОБЛАСТЬ, Г. ВЛАДИМИР, УЛ. БОЛЬШАЯ НИЖЕГОРОДСКАЯ, Д. 108</t>
  </si>
  <si>
    <t>Александров Александр Сергеевич</t>
  </si>
  <si>
    <t>+7 (495) 580-23-78', '+7 (499) 608-02-52'</t>
  </si>
  <si>
    <t>48.824512,44.850439</t>
  </si>
  <si>
    <t>ОБЩЕСТВО С ОГРАНИЧЕННОЙ ОТВЕТСТВЕННОСТЬЮ "СТИЛ"</t>
  </si>
  <si>
    <t xml:space="preserve"> "СТИЛ"</t>
  </si>
  <si>
    <t>3435096261</t>
  </si>
  <si>
    <t>404105, ВОЛГОГРАДСКАЯ ОБЛАСТЬ, ГОРОД ВОЛЖСКИЙ, УЛИЦА АЛЕКСАНДРОВА, 83 А</t>
  </si>
  <si>
    <t>Великодная Инна Владимировна</t>
  </si>
  <si>
    <t>+7 (903) 316-34-60'</t>
  </si>
  <si>
    <t>48.779478,44.767165</t>
  </si>
  <si>
    <t>Общество с ограниченной ответственностью "Бетон-В"</t>
  </si>
  <si>
    <t xml:space="preserve"> "Бетон-В"</t>
  </si>
  <si>
    <t>3435124208</t>
  </si>
  <si>
    <t>404120, ВОЛГОГРАДСКАЯ ОБЛ, ВОЛЖСКИЙ Г, ИМ ГЕНЕРАЛА КАРБЫШЕВА УЛ, ДОМ 76, ОФИС 918</t>
  </si>
  <si>
    <t>Григорьев Юрий Алексеевич</t>
  </si>
  <si>
    <t>v2016@mail.ru'</t>
  </si>
  <si>
    <t>48.797748,44.782912</t>
  </si>
  <si>
    <t>ОБЩЕСТВО С ОГРАНИЧЕННОЙ ОТВЕТСТВЕННОСТЬЮ "ТСК АЛЬТЕРНАТИВА"</t>
  </si>
  <si>
    <t xml:space="preserve"> "ТСК АЛЬТЕРНАТИВА"</t>
  </si>
  <si>
    <t>3435138842</t>
  </si>
  <si>
    <t>404112, ВОЛГОГРАДСКАЯ ОБЛАСТЬ, ГОРОД ВОЛЖСКИЙ, УЛИЦА 7-Я АВТОДОРОГА, СТРОЕНИЕ 3, ОФИС 2.05</t>
  </si>
  <si>
    <t>Бойко Станислав Владимирович</t>
  </si>
  <si>
    <t>48.794591,44.846073</t>
  </si>
  <si>
    <t>ОБЩЕСТВО С ОГРАНИЧЕННОЙ ОТВЕТСТВЕННОСТЬЮ "Ремонтно-строительное управление-5"</t>
  </si>
  <si>
    <t xml:space="preserve"> "Ремонтно-строительное управление-5"</t>
  </si>
  <si>
    <t>3435306159</t>
  </si>
  <si>
    <t>404103, Волгоградская область, г Волжский, ул Александрова,60Д</t>
  </si>
  <si>
    <t>47inna@mail.ru'</t>
  </si>
  <si>
    <t>48.756194,44.463355</t>
  </si>
  <si>
    <t>Общество с ограниченной ответственностью "Бетон.ру"</t>
  </si>
  <si>
    <t xml:space="preserve"> "Бетон.ру"</t>
  </si>
  <si>
    <t>3443127435</t>
  </si>
  <si>
    <t>400048, ВОЛГОГРАДСКАЯ ОБЛАСТЬ, Г. ВОЛГОГРАД, Ш. АВИАТОРОВ, Д. 8, К. Ж, ОФИС 1</t>
  </si>
  <si>
    <t>Шаманаева Светлана Анатольевна</t>
  </si>
  <si>
    <t>+7 (904) 438-08-05'</t>
  </si>
  <si>
    <t>ru34@yandex.ru'</t>
  </si>
  <si>
    <t>48.748128,44.495119</t>
  </si>
  <si>
    <t>ОБЩЕСТВО С ОГРАНИЧЕННОЙ ОТВЕТСТВЕННОСТЬЮ "ТОРГОВЫЙ ДОМ "РАСТВОРО-БЕТОННЫЙ КОМБИНАТ"</t>
  </si>
  <si>
    <t xml:space="preserve"> "ТОРГОВЫЙ ДОМ "РАСТВОРО-БЕТОННЫЙ КОМБИНАТ"</t>
  </si>
  <si>
    <t>3443134344</t>
  </si>
  <si>
    <t>400137, ВОЛГОГРАДСКАЯ ОБЛАСТЬ, ГОРОД ВОЛГОГРАД, БУЛЬВАР 30-ЛЕТИЯ ПОБЕДЫ, ДОМ 21Г, ОФИС 21</t>
  </si>
  <si>
    <t>Фетисов Сергей Александрович</t>
  </si>
  <si>
    <t>48.767383,44.45986</t>
  </si>
  <si>
    <t>ОБЩЕСТВО С ОГРАНИЧЕННОЙ ОТВЕТСТВЕННОСТЬЮ "СТС-СТРОЙ"</t>
  </si>
  <si>
    <t xml:space="preserve"> "СТС-СТРОЙ"</t>
  </si>
  <si>
    <t>3443144342</t>
  </si>
  <si>
    <t>400075, ВОЛГОГРАДСКАЯ ОБЛАСТЬ, ГОРОД ВОЛГОГРАД, ПРОЕЗД ПРУТСКИЙ, ДОМ 3, ОФИС 11</t>
  </si>
  <si>
    <t>Орехов Сергей Анатольевич</t>
  </si>
  <si>
    <t>48.765471,44.457327</t>
  </si>
  <si>
    <t>ОБЩЕСТВО С ОГРАНИЧЕННОЙ ОТВЕТСТВЕННОСТЬЮ "ПРОСТОБЕТОН"</t>
  </si>
  <si>
    <t xml:space="preserve"> "ПРОСТОБЕТОН"</t>
  </si>
  <si>
    <t>3443144470</t>
  </si>
  <si>
    <t>400075, ВОЛГОГРАДСКАЯ ОБЛ., Г. Волгоград, ПР-Д МИРНЫЙ, Д. 5Б, ОФИС 4</t>
  </si>
  <si>
    <t>Дубовцова Ирина Владимировна</t>
  </si>
  <si>
    <t>48.786768,44.488741</t>
  </si>
  <si>
    <t>ОБЩЕСТВО С ОГРАНИЧЕННОЙ ОТВЕТСТВЕННОСТЬЮ "РЕГИОНБЕТОНСТРОЙ"</t>
  </si>
  <si>
    <t xml:space="preserve"> "РЕГИОНБЕТОНСТРОЙ"</t>
  </si>
  <si>
    <t>3443147551</t>
  </si>
  <si>
    <t>400075, ВОЛГОГРАДСКАЯ ОБЛ., Г. Волгоград, УЛ. КРАСНОПОЛЯНСКАЯ, Д. 53А, ОФИС 5</t>
  </si>
  <si>
    <t>Байчорова Зурида Имзаровна</t>
  </si>
  <si>
    <t>RBS34@LIST.RU'</t>
  </si>
  <si>
    <t>48.684487,44.410534</t>
  </si>
  <si>
    <t>ОБЩЕСТВО С ОГРАНИЧЕННОЙ ОТВЕТСТВЕННОСТЬЮ "Трейд"</t>
  </si>
  <si>
    <t xml:space="preserve"> "Трейд"</t>
  </si>
  <si>
    <t>3444172399</t>
  </si>
  <si>
    <t>400034, ВОЛГОГРАДСКАЯ ОБЛАСТЬ, ГОРОД ВОЛГОГРАД, УЛИЦА ИМ. РУТКОВСКОГО, ДОМ 1Б, ОФИС 1</t>
  </si>
  <si>
    <t>Чебанов Эдуард Ильич</t>
  </si>
  <si>
    <t>48.787326,44.497598</t>
  </si>
  <si>
    <t>ОБЩЕСТВО С ОГРАНИЧЕННОЙ ОТВЕТСТВЕННОСТЬЮ "ВИК"</t>
  </si>
  <si>
    <t xml:space="preserve"> "ВИК"</t>
  </si>
  <si>
    <t>3444265332</t>
  </si>
  <si>
    <t>400075, ВОЛГОГРАДСКАЯ ОБЛ, ВОЛГОГРАД Г, КРАСНОПОЛЯНСКАЯ УЛ, ДОМ 84Б, ОФИС 1</t>
  </si>
  <si>
    <t>Покручин Игорь Сергеевич</t>
  </si>
  <si>
    <t>+7 (927) 510-59-60'</t>
  </si>
  <si>
    <t>ОБЩЕСТВО С ОГРАНИЧЕННОЙ ОТВЕТСТВЕННОСТЬЮ "ЖБИ 24"</t>
  </si>
  <si>
    <t xml:space="preserve"> "ЖБИ 24"</t>
  </si>
  <si>
    <t>3459070713</t>
  </si>
  <si>
    <t>Трофимов Александр Николаевич</t>
  </si>
  <si>
    <t>ooogbi24beton@yandex.ru'</t>
  </si>
  <si>
    <t>48.841136,44.551866</t>
  </si>
  <si>
    <t>ОБЩЕСТВО С ОГРАНИЧЕННОЙ ОТВЕТСТВЕННОСТЬЮ "СТРОЙБЕТОН-В"</t>
  </si>
  <si>
    <t xml:space="preserve"> "СТРОЙБЕТОН-В"</t>
  </si>
  <si>
    <t>3459076962</t>
  </si>
  <si>
    <t>400058, ВОЛГОГРАДСКАЯ ОБЛАСТЬ, ГОРОД ВОЛГОГРАД, УЛИЦА ИМ. КОСТЮЧЕНКО (РАБОЧИЙ ПОСЕЛОК ВОДСТРОЙ, ДОМ 2, ОФИС 2</t>
  </si>
  <si>
    <t>48.699855,44.494041</t>
  </si>
  <si>
    <t>ОБЩЕСТВО С ОГРАНИЧЕННОЙ ОТВЕТСТВЕННОСТЬЮ "ЖБИ-34"</t>
  </si>
  <si>
    <t xml:space="preserve"> "ЖБИ-34"</t>
  </si>
  <si>
    <t>3460064440</t>
  </si>
  <si>
    <t>400001, ВОЛГОГРАДСКАЯ ОБЛАСТЬ, Г. ВОЛГОГРАД, УЛ. ПРОФСОЮЗНАЯ, Д. 15Б, ОФИС 15</t>
  </si>
  <si>
    <t>Варданян Арман Самвелович</t>
  </si>
  <si>
    <t>59.238953,38.510183</t>
  </si>
  <si>
    <t>ОБЩЕСТВО С ОГРАНИЧЕННОЙ ОТВЕТСТВЕННОСТЬЮ "ШЕКСНАБЕТОНСТРОЙ"</t>
  </si>
  <si>
    <t xml:space="preserve"> "ШЕКСНАБЕТОНСТРОЙ"</t>
  </si>
  <si>
    <t>3524014662</t>
  </si>
  <si>
    <t>162562, ВОЛОГОДСКАЯ ОБЛ, ШЕКСНИНСКИЙ Р-Н, ШЕКСНА РП, ПОЧИНКОВСКАЯ УЛ, ДОМ 13,..</t>
  </si>
  <si>
    <t>Бровкина Оксана Сергеевна</t>
  </si>
  <si>
    <t>+7 (911) 537-75-78'</t>
  </si>
  <si>
    <t>sheksnabeton@mail.ru'</t>
  </si>
  <si>
    <t>59.194928,39.900587</t>
  </si>
  <si>
    <t>ОБЩЕСТВО С ОГРАНИЧЕННОЙ ОТВЕТСТВЕННОСТЬЮ "СФЕРАБЕТОНА"</t>
  </si>
  <si>
    <t xml:space="preserve"> "СФЕРАБЕТОНА"</t>
  </si>
  <si>
    <t>3525325928</t>
  </si>
  <si>
    <t>160000, ВОЛОГОДСКАЯ ОБЛАСТЬ, ГОРОД ВОЛОГДА, УЛИЦА ЗЕЛЕНАЯ, 30, 26</t>
  </si>
  <si>
    <t>+7 (911) 507-78-63'</t>
  </si>
  <si>
    <t>linibyx@yandex.ru'</t>
  </si>
  <si>
    <t>59.22552,39.864043</t>
  </si>
  <si>
    <t>ОБЩЕСТВО С ОГРАНИЧЕННОЙ ОТВЕТСТВЕННОСТЬЮ "ТОРГОВЫЙ ДОМ СТРОЙИНТЕЛ"</t>
  </si>
  <si>
    <t xml:space="preserve"> "ТОРГОВЫЙ ДОМ СТРОЙИНТЕЛ"</t>
  </si>
  <si>
    <t>3525339511</t>
  </si>
  <si>
    <t>160004, ВОЛОГОДСКАЯ ОБЛАСТЬ, ГОРОД ВОЛОГДА, УЛИЦА БЛАГОВЕЩЕНСКАЯ, ДОМ 100А, ОФИС 10</t>
  </si>
  <si>
    <t>Блинова Ольга Александровна</t>
  </si>
  <si>
    <t>+7 (817) 272-78-65'</t>
  </si>
  <si>
    <t>blinovao@mail.ru'</t>
  </si>
  <si>
    <t>59.223623,39.850074</t>
  </si>
  <si>
    <t>ОБЩЕСТВО С ОГРАНИЧЕННОЙ ОТВЕТСТВЕННОСТЬЮ "ЕВРОХИМСЕРВИС"</t>
  </si>
  <si>
    <t xml:space="preserve"> "ЕВРОХИМСЕРВИС"</t>
  </si>
  <si>
    <t>3525356130</t>
  </si>
  <si>
    <t>160004, ВОЛОГОДСКАЯ ОБЛАСТЬ, Г. ВОЛОГДА, ТУП. ЛЕНИНГРАДСКИЙ, Д. 10, ОФИС 1</t>
  </si>
  <si>
    <t>Кубасов Михаил Александрович</t>
  </si>
  <si>
    <t>moskvinovaok@mail.ru'</t>
  </si>
  <si>
    <t>59.220022,39.811492</t>
  </si>
  <si>
    <t>ОБЩЕСТВО С ОГРАНИЧЕННОЙ ОТВЕТСТВЕННОСТЬЮ "ВОЛОГОДСКАЯ БЕТОННАЯ КОРПОРАЦИЯ"</t>
  </si>
  <si>
    <t xml:space="preserve"> "ВОЛОГОДСКАЯ БЕТОННАЯ КОРПОРАЦИЯ"</t>
  </si>
  <si>
    <t>3525411119</t>
  </si>
  <si>
    <t>160000, ВОЛОГОДСКАЯ ОБЛАСТЬ, Г. ВОЛОГДА, Ш. ОКРУЖНОЕ, Д. 2, ПОМЕЩ. 2</t>
  </si>
  <si>
    <t>Кижапкин Андрей Евгеньевич</t>
  </si>
  <si>
    <t>+7 (981) 503-44-44'</t>
  </si>
  <si>
    <t>59.214454,39.844882</t>
  </si>
  <si>
    <t>ОБЩЕСТВО С ОГРАНИЧЕННОЙ ОТВЕТСТВЕННОСТЬЮ "КУБИТЕК"</t>
  </si>
  <si>
    <t xml:space="preserve"> "КУБИТЕК"</t>
  </si>
  <si>
    <t>3525432768</t>
  </si>
  <si>
    <t>160002, ВОЛОГОДСКАЯ ОБЛАСТЬ, Г. ВОЛОГДА, УЛ. ГАГАРИНА, Д. 25,..</t>
  </si>
  <si>
    <t>Корепина Анастасия Владимировна</t>
  </si>
  <si>
    <t>59.215043,39.874536</t>
  </si>
  <si>
    <t>ОБЩЕСТВО С ОГРАНИЧЕННОЙ ОТВЕТСТВЕННОСТЬЮ "БЕТА"</t>
  </si>
  <si>
    <t xml:space="preserve"> "БЕТА"</t>
  </si>
  <si>
    <t>3525437090</t>
  </si>
  <si>
    <t>160009, ВОЛОГОДСКАЯ ОБЛАСТЬ, ГОРОД ВОЛОГДА, УЛИЦА МАЛЬЦЕВА, ДОМ 37,..</t>
  </si>
  <si>
    <t>Глебов Павел Васильевич</t>
  </si>
  <si>
    <t>+7 (911) 522-06-66'</t>
  </si>
  <si>
    <t>59.224613,39.873098</t>
  </si>
  <si>
    <t>ОБЩЕСТВО С ОГРАНИЧЕННОЙ ОТВЕТСТВЕННОСТЬЮ "ПИТ СТРОЙ"</t>
  </si>
  <si>
    <t xml:space="preserve"> "ПИТ СТРОЙ"</t>
  </si>
  <si>
    <t>3525446418</t>
  </si>
  <si>
    <t>160000, Вологодская область, городской округ ГОРОД ВОЛОГДА, Город ВОЛОГДА, ПР-КТ ПОБЕДЫ, Д. 36, ПОМЕЩ. 26</t>
  </si>
  <si>
    <t>Уханов Алексей Валерьевич</t>
  </si>
  <si>
    <t>da888ps@yandex.ru'</t>
  </si>
  <si>
    <t>59.094373,37.907602</t>
  </si>
  <si>
    <t>ОБЩЕСТВО С ОГРАНИЧЕННОЙ ОТВЕТСТВЕННОСТЬЮ "РУССТРОЙБЕТОН"</t>
  </si>
  <si>
    <t xml:space="preserve"> "РУССТРОЙБЕТОН"</t>
  </si>
  <si>
    <t>3528206340</t>
  </si>
  <si>
    <t>162609, Вологодская область, г Череповец, ул Наседкина, д 8,..</t>
  </si>
  <si>
    <t>Евдокимов Андрей Александрович</t>
  </si>
  <si>
    <t>+7 (921) 251-69-99'</t>
  </si>
  <si>
    <t>alfabeton35@gmail.com'</t>
  </si>
  <si>
    <t xml:space="preserve"> "ГОРБЕТОН"</t>
  </si>
  <si>
    <t>3528216236</t>
  </si>
  <si>
    <t>162604, ВОЛОГОДСКАЯ ОБЛ, ЧЕРЕПОВЕЦ Г, СЕВЕРНОЕ Ш, 46</t>
  </si>
  <si>
    <t>Сидрякова Надежда Александровна</t>
  </si>
  <si>
    <t>zavodkpd11@mail.ru'</t>
  </si>
  <si>
    <t>55.774289,37.669145</t>
  </si>
  <si>
    <t>ОБЩЕСТВО С ОГРАНИЧЕННОЙ ОТВЕТСТВЕННОСТЬЮ "АЛЬФА-БЕТОН"</t>
  </si>
  <si>
    <t xml:space="preserve"> "АЛЬФА-БЕТОН"</t>
  </si>
  <si>
    <t>3528260852</t>
  </si>
  <si>
    <t>105066, МОСКВА ГОРОД, УЛ. НИЖНЯЯ КРАСНОСЕЛЬСКАЯ, Д. 40/12, К. 2, ЭТАЖ 4 ОФИС 427</t>
  </si>
  <si>
    <t>Мирзаев Алексей Игоревич</t>
  </si>
  <si>
    <t>ОБЩЕСТВО С ОГРАНИЧЕННОЙ ОТВЕТСТВЕННОСТЬЮ "АБСОЛЮТ БЕТОН"</t>
  </si>
  <si>
    <t xml:space="preserve"> "АБСОЛЮТ БЕТОН"</t>
  </si>
  <si>
    <t>3528281309</t>
  </si>
  <si>
    <t>Воробцов Андрей Анатольевич</t>
  </si>
  <si>
    <t>+7 (981) 443-69-69'</t>
  </si>
  <si>
    <t>51.69602,39.375027</t>
  </si>
  <si>
    <t>ОБЩЕСТВО С ОГРАНИЧЕННОЙ ОТВЕТСТВЕННОСТЬЮ "БетонТраст"</t>
  </si>
  <si>
    <t xml:space="preserve"> "БетонТраст"</t>
  </si>
  <si>
    <t>3616015680</t>
  </si>
  <si>
    <t>396313, ВОРОНЕЖСКАЯ ОБЛАСТЬ, РАЙОН НОВОУСМАНСКИЙ, СЕЛО БАБЯКОВО, УЛИЦА СОВХОЗНАЯ, 2Ж/2, ОФИС 1</t>
  </si>
  <si>
    <t>Коржова Мария Борисовна</t>
  </si>
  <si>
    <t>+7 (473) 229-52-05'</t>
  </si>
  <si>
    <t>serg090381@gmail.com'</t>
  </si>
  <si>
    <t>51.905676,39.326824</t>
  </si>
  <si>
    <t>ОБЩЕСТВО С ОГРАНИЧЕННОЙ ОТВЕТСТВЕННОСТЬЮ "МОНТАЖСПЕЦСТРОЙ"</t>
  </si>
  <si>
    <t xml:space="preserve"> "МОНТАЖСПЕЦСТРОЙ"</t>
  </si>
  <si>
    <t>3625014676</t>
  </si>
  <si>
    <t>396020, ВОРОНЕЖСКАЯ ОБЛАСТЬ, Р-Н РАМОНСКИЙ, РП РАМОНЬ, УЛ. ГАЗОВАЯ, Д. 45</t>
  </si>
  <si>
    <t>Сидоров Андрей Владимирович</t>
  </si>
  <si>
    <t>+7 (950) 755-21-55'</t>
  </si>
  <si>
    <t>51.920821,39.323572</t>
  </si>
  <si>
    <t>3625016313</t>
  </si>
  <si>
    <t>396020, ВОРОНЕЖСКАЯ ОБЛАСТЬ, РАЙОН РАМОНСКИЙ, РАБОЧИЙ ПОСЕЛОК РАМОНЬ, УЛИЦА СОЛНЕЧНАЯ, ДОМ 8,..</t>
  </si>
  <si>
    <t>Афанасьева Лариса Анатольевна</t>
  </si>
  <si>
    <t>+7 (915) 544-82-15'</t>
  </si>
  <si>
    <t>stin_2018@list.ru', 'stt_2015@list.ru'</t>
  </si>
  <si>
    <t>ОБЩЕСТВО С ОГРАНИЧЕННОЙ ОТВЕТСТВЕННОСТЬЮ "СТРОЙСИСТЕМА"</t>
  </si>
  <si>
    <t xml:space="preserve"> "СТРОЙСИСТЕМА"</t>
  </si>
  <si>
    <t>3661179232</t>
  </si>
  <si>
    <t>394033, Воронежская область, ГОРОД ВОРОНЕЖ, Г ВОРОНЕЖ, ПР-КТ ЛЕНИНСКИЙ, Д. 172</t>
  </si>
  <si>
    <t>Грицынин Александр Иванович</t>
  </si>
  <si>
    <t>STROYSISTEMA36@MAIL.RU'</t>
  </si>
  <si>
    <t>51.704928,39.168864</t>
  </si>
  <si>
    <t>ОБЩЕСТВО С ОГРАНИЧЕННОЙ ОТВЕТСТВЕННОСТЬЮ "РЕММОНТАЖСЕРВИС"</t>
  </si>
  <si>
    <t xml:space="preserve"> "РЕММОНТАЖСЕРВИС"</t>
  </si>
  <si>
    <t>3662011433</t>
  </si>
  <si>
    <t>Г ВОРОНЕЖ,УЛ ГЕНЕРАЛА ЛИЗЮКОВА Д 53 К 176</t>
  </si>
  <si>
    <t>Фетисов Александр Владимирович</t>
  </si>
  <si>
    <t>+7 (473) 271-33-50'</t>
  </si>
  <si>
    <t>51.660289,39.209315</t>
  </si>
  <si>
    <t>ОБЩЕСТВО С ОГРАНИЧЕННОЙ ОТВЕТСТВЕННОСТЬЮ "ПЕРВЫЙ БЕТОН"</t>
  </si>
  <si>
    <t xml:space="preserve"> "ПЕРВЫЙ БЕТОН"</t>
  </si>
  <si>
    <t>3662201191</t>
  </si>
  <si>
    <t>394036, ВОРОНЕЖСКАЯ ОБЛ., Г. Воронеж, УЛ. КАРЛА МАРКСА, Д. 40А, ПОМЕЩ. IX ОФИС 7</t>
  </si>
  <si>
    <t>Войнов Валерий Александрович</t>
  </si>
  <si>
    <t>+7 (905) 049-09-48'</t>
  </si>
  <si>
    <t>51.673517,39.168604</t>
  </si>
  <si>
    <t>ОБЩЕСТВО С ОГРАНИЧЕННОЙ ОТВЕТСТВЕННОСТЬЮ "СТРОЙТОРГКОМ"</t>
  </si>
  <si>
    <t xml:space="preserve"> "СТРОЙТОРГКОМ"</t>
  </si>
  <si>
    <t>3662232601</t>
  </si>
  <si>
    <t>394019, ВОРОНЕЖСКАЯ ОБЛ, ВОРОНЕЖ Г, ЕРЕМЕЕВА УЛ, ДОМ 22, ОФИС 1</t>
  </si>
  <si>
    <t>+7 (473) 220-72-81'</t>
  </si>
  <si>
    <t>51.84724,39.221694</t>
  </si>
  <si>
    <t>ОБЩЕСТВО С ОГРАНИЧЕННОЙ ОТВЕТСТВЕННОСТЬЮ ДРСУ "МАГИСТРАЛЬ"</t>
  </si>
  <si>
    <t xml:space="preserve"> ДРСУ "МАГИСТРАЛЬ"</t>
  </si>
  <si>
    <t>3662267668</t>
  </si>
  <si>
    <t>396002, ВОРОНЕЖСКАЯ ОБЛ., Р-Н Рамонский, УЛ. 5-Я ПРОМЫШЛЕННАЯ ЗОНА (ПРОМЫШЛЕННАЯ ТЕР.), ЗД. 11, ОФИС 103</t>
  </si>
  <si>
    <t>Минасян Самвел Хачикович</t>
  </si>
  <si>
    <t>+7 (910) 732-08-88'</t>
  </si>
  <si>
    <t>51.623339,39.227874</t>
  </si>
  <si>
    <t>ОБЩЕСТВО С ОГРАНИЧЕННОЙ ОТВЕТСТВЕННОСТЬЮ "СТК-БЕТОН"</t>
  </si>
  <si>
    <t xml:space="preserve"> "СТК-БЕТОН"</t>
  </si>
  <si>
    <t>3662273485</t>
  </si>
  <si>
    <t>394014, ВОРОНЕЖСКАЯ ОБЛ, ВОРОНЕЖ Г, ЛЕБЕДЕВА УЛ, ДОМ 10Б, ОФИС 1</t>
  </si>
  <si>
    <t>Фошин Александр Михайлович</t>
  </si>
  <si>
    <t>+7 (473) 300-33-32'</t>
  </si>
  <si>
    <t>51.685283,39.147565</t>
  </si>
  <si>
    <t>ОБЩЕСТВО С ОГРАНИЧЕННОЙ ОТВЕТСТВЕННОСТЬЮ "БЕТОНПЛИТ"</t>
  </si>
  <si>
    <t xml:space="preserve"> "БЕТОНПЛИТ"</t>
  </si>
  <si>
    <t>3662293442</t>
  </si>
  <si>
    <t>394026, ВОРОНЕЖСКАЯ ОБЛ., Г. Воронеж, УЛ. КРАСНОДОНСКАЯ, Д. 24А, ПОМЕЩ. 1</t>
  </si>
  <si>
    <t>Шаранина Наталья Леонидовна</t>
  </si>
  <si>
    <t>VRN@MAIL.RU'</t>
  </si>
  <si>
    <t>51.6033,39.26396</t>
  </si>
  <si>
    <t>ОБЩЕСТВО С ОГРАНИЧЕННОЙ ОТВЕТСТВЕННОСТЬЮ "ВСК-21"</t>
  </si>
  <si>
    <t xml:space="preserve"> "ВСК-21"</t>
  </si>
  <si>
    <t>3663069563</t>
  </si>
  <si>
    <t>394084, ВОРОНЕЖСКАЯ ОБЛАСТЬ, Г. ВОРОНЕЖ, УЛ. ЧЕБЫШЕВА, Д.36, К.И, ОФИС 3</t>
  </si>
  <si>
    <t>Степаненко Владимир Петрович</t>
  </si>
  <si>
    <t>+7 (473) 268-81-90'</t>
  </si>
  <si>
    <t>51.656607,39.237244</t>
  </si>
  <si>
    <t>ОБЩЕСТВО С ОГРАНИЧЕННОЙ ОТВЕТСТВЕННОСТЬЮ "Лебедева 10"</t>
  </si>
  <si>
    <t xml:space="preserve"> "Лебедева 10"</t>
  </si>
  <si>
    <t>3663087403</t>
  </si>
  <si>
    <t>394033, ВОРОНЕЖСКАЯ ОБЛ, ВОРОНЕЖ Г, МОПРА УЛ, ДОМ 8Б,..</t>
  </si>
  <si>
    <t>Поздняков Дмитрий Александрович</t>
  </si>
  <si>
    <t>+7 (473) 294-20-64', '+7 (960) 133-52-29'</t>
  </si>
  <si>
    <t>51.645543,39.241304</t>
  </si>
  <si>
    <t>ОБЩЕСТВО С ОГРАНИЧЕННОЙ ОТВЕТСТВЕННОСТЬЮ "ВОРОНЕЖСКИЙ ЗАВОД ЖЕЛЕЗОБЕТОННЫХ КОНСТРУКЦИЙ"</t>
  </si>
  <si>
    <t xml:space="preserve"> "ВОРОНЕЖСКИЙ ЗАВОД ЖЕЛЕЗОБЕТОННЫХ КОНСТРУКЦИЙ"</t>
  </si>
  <si>
    <t>3663139771</t>
  </si>
  <si>
    <t>394004, ВОРОНЕЖСКАЯ ОБЛАСТЬ, ГОРОД ВОРОНЕЖ, УЛИЦА ЛЕНИНГРАДСКАЯ, ДОМ 116А, ПОМЕЩЕНИЕ 1, ОФИС 3</t>
  </si>
  <si>
    <t>Марахов Павел Евгеньевич</t>
  </si>
  <si>
    <t>51.636689,39.287091</t>
  </si>
  <si>
    <t>ОБЩЕСТВО С ОГРАНИЧЕННОЙ ОТВЕТСТВЕННОСТЬЮ "ХЕТЕК БЕТОН"</t>
  </si>
  <si>
    <t xml:space="preserve"> "ХЕТЕК БЕТОН"</t>
  </si>
  <si>
    <t>3663143680</t>
  </si>
  <si>
    <t>394028, ВОРОНЕЖСКАЯ ОБЛ, ВОРОНЕЖ Г, МОНТАЖНЫЙ ПР, ДОМ 5Е, ОФИС 4</t>
  </si>
  <si>
    <t>Конобеев Александр Анатольевич</t>
  </si>
  <si>
    <t>51.602763,39.251329</t>
  </si>
  <si>
    <t>ОБЩЕСТВО С ОГРАНИЧЕННОЙ ОТВЕТСТВЕННОСТЬЮ "ГЛОБАЛ БЕТОН"</t>
  </si>
  <si>
    <t xml:space="preserve"> "ГЛОБАЛ БЕТОН"</t>
  </si>
  <si>
    <t>3663145246</t>
  </si>
  <si>
    <t>394090, ВОРОНЕЖСКАЯ ОБЛАСТЬ, ГОРОД ВОРОНЕЖ, УЛИЦА РОСТОВСКАЯ, ДОМ 45, ПОМЕЩЕНИЕ НЕЖИЛОЕ, ОФИС 4</t>
  </si>
  <si>
    <t>Копытин Владимир Алексеевич</t>
  </si>
  <si>
    <t>51.603636,39.258902</t>
  </si>
  <si>
    <t>ОБЩЕСТВО С ОГРАНИЧЕННОЙ ОТВЕТСТВЕННОСТЬЮ "АВТОБЕТОНСТРОЙ ЖБИ"</t>
  </si>
  <si>
    <t xml:space="preserve"> "АВТОБЕТОНСТРОЙ ЖБИ"</t>
  </si>
  <si>
    <t>3663147613</t>
  </si>
  <si>
    <t>394028, ВОРОНЕЖСКАЯ ОБЛАСТЬ, Г. ВОРОНЕЖ, УЛ. ЧЕБЫШЕВА, Д. 30, ОФИС 3</t>
  </si>
  <si>
    <t>Строкатов Александр Иванович</t>
  </si>
  <si>
    <t>51.663462,39.182869</t>
  </si>
  <si>
    <t xml:space="preserve"> "ЭЛИТБЕТОН"</t>
  </si>
  <si>
    <t>3664235358</t>
  </si>
  <si>
    <t>394018, ВОРОНЕЖСКАЯ ОБЛАСТЬ, ГОРОД ВОРОНЕЖ, УЛИЦА СВОБОДЫ, ДОМ 75, ОФИС 212</t>
  </si>
  <si>
    <t>Саргсян Сурен Гагикович</t>
  </si>
  <si>
    <t>+7 (966) 100-11-11'</t>
  </si>
  <si>
    <t>51.662021,39.134252</t>
  </si>
  <si>
    <t>Общество с ограниченной ответственностью "УПТК Строительного треста № 5"</t>
  </si>
  <si>
    <t xml:space="preserve"> "УПТК Строительного треста № 5"</t>
  </si>
  <si>
    <t>3665048287</t>
  </si>
  <si>
    <t>394038, ВОРОНЕЖСКАЯ ОБЛ, ВОРОНЕЖ Г, ДОРОЖНАЯ УЛ, ДОМ 17, ЛИТЕР А, ОФИС 20</t>
  </si>
  <si>
    <t>Ларечнев Владимир Михайлович</t>
  </si>
  <si>
    <t>ОБЩЕСТВО С ОГРАНИЧЕННОЙ ОТВЕТСТВЕННОСТЬЮ "АЛМИРА 17"</t>
  </si>
  <si>
    <t xml:space="preserve"> "АЛМИРА 17"</t>
  </si>
  <si>
    <t>3665143903</t>
  </si>
  <si>
    <t>394038, ВОРОНЕЖСКАЯ ОБЛ, ВОРОНЕЖ Г, ДОРОЖНАЯ УЛ, ДОМ 13, ОФИС 34</t>
  </si>
  <si>
    <t>Морозов Андрей Анатольевич</t>
  </si>
  <si>
    <t>+7 (473) 200-89-89'</t>
  </si>
  <si>
    <t>51.65773,39.108749</t>
  </si>
  <si>
    <t>ОБЩЕСТВО С ОГРАНИЧЕННОЙ ОТВЕТСТВЕННОСТЬЮ "ПРОФПЛЮС"</t>
  </si>
  <si>
    <t xml:space="preserve"> "ПРОФПЛЮС"</t>
  </si>
  <si>
    <t>3665804712</t>
  </si>
  <si>
    <t>394086, ВОРОНЕЖСКАЯ ОБЛ., Г. Воронеж, УЛ. ЛЮБЫ ШЕВЦОВОЙ, Д. 9, ПОМЕЩ. I ОФИС 12</t>
  </si>
  <si>
    <t>Солнечная Ксения Леонидовна</t>
  </si>
  <si>
    <t>51.688416,39.22014</t>
  </si>
  <si>
    <t xml:space="preserve"> "СОВРЕМЕННЫЕ СТРОИТЕЛЬНЫЕ ТЕХНОЛОГИИ"</t>
  </si>
  <si>
    <t>3666198408</t>
  </si>
  <si>
    <t>394043, ВОРОНЕЖСКАЯ ОБЛАСТЬ, Г. ВОРОНЕЖ, ПЕР. КУПЯНСКИЙ, Д. 11, ОФИС 205</t>
  </si>
  <si>
    <t>Мосин Владислав Евгеньевич</t>
  </si>
  <si>
    <t>+7 (918) 402-80-40', '+7 (910) 246-28-50', '+7 (900) 301-20-44', '+7 (950) 758-45-14'</t>
  </si>
  <si>
    <t>tehc@yandex.ru'</t>
  </si>
  <si>
    <t>51.670043,39.192975</t>
  </si>
  <si>
    <t>ОБЩЕСТВО С ОГРАНИЧЕННОЙ ОТВЕТСТВЕННОСТЬЮ "ВОРОНЕЖПРОМБЕТОН"</t>
  </si>
  <si>
    <t xml:space="preserve"> "ВОРОНЕЖПРОМБЕТОН"</t>
  </si>
  <si>
    <t>3666223816</t>
  </si>
  <si>
    <t>394030, ВОРОНЕЖСКАЯ ОБЛАСТЬ, Г. ВОРОНЕЖ, УЛ. КОЛЬЦОВСКАЯ, Д. 46А, ЛИТЕРА Б, ОФИС 305</t>
  </si>
  <si>
    <t>Алтухов Сергей Владимирович</t>
  </si>
  <si>
    <t>+7 (920) 226-87-50'</t>
  </si>
  <si>
    <t>56.986732,40.962422</t>
  </si>
  <si>
    <t>ОБЩЕСТВО С ОГРАНИЧЕННОЙ ОТВЕТСТВЕННОСТЬЮ "РАСТВОРО-БЕТОННЫЙ КОМПЛЕКС"</t>
  </si>
  <si>
    <t xml:space="preserve"> "РАСТВОРО-БЕТОННЫЙ КОМПЛЕКС"</t>
  </si>
  <si>
    <t>3702000487</t>
  </si>
  <si>
    <t>153022, Ивановская область, г Иваново, Фрунзенский район, ул Богдана Хмельницкого, д 44, корп 2,..</t>
  </si>
  <si>
    <t>Киселева Елена Николаевна</t>
  </si>
  <si>
    <t>rbsc389370@gmail.com', 'rbsc389370@gmail.com'</t>
  </si>
  <si>
    <t>56.972468,40.95114</t>
  </si>
  <si>
    <t xml:space="preserve"> "КЕРАМАК-БЕТОН"</t>
  </si>
  <si>
    <t>3702106099</t>
  </si>
  <si>
    <t>153015, ИВАНОВСКАЯ ОБЛАСТЬ, Г. ИВАНОВО, УЛ. НЕКРАСОВА, Д. 102</t>
  </si>
  <si>
    <t>Еремченко Александр Александрович</t>
  </si>
  <si>
    <t>542085nv@mail.ru', '542085nv@mail.ru'</t>
  </si>
  <si>
    <t>57.024435,40.960635</t>
  </si>
  <si>
    <t>3702176057</t>
  </si>
  <si>
    <t>153025, ИВАНОВСКАЯ ОБЛ, ИВАНОВО Г, ГАГАРИНА УЛИЦА, ДОМ 19, ЛИТЕР А, ПОМЕЩЕНИЕ 1002</t>
  </si>
  <si>
    <t>anna@yandex.ru', 'betonplus37@yandex.ru'</t>
  </si>
  <si>
    <t>56.963342,41.015064</t>
  </si>
  <si>
    <t>ОБЩЕСТВО С ОГРАНИЧЕННОЙ ОТВЕТСТВЕННОСТЬЮ "КЕРАМАК ПЛЮС"</t>
  </si>
  <si>
    <t xml:space="preserve"> "КЕРАМАК ПЛЮС"</t>
  </si>
  <si>
    <t>3702228996</t>
  </si>
  <si>
    <t>153013, ИВАНОВСКАЯ ОБЛ, ИВАНОВО Г, ТЕКСТИЛЬЩИКОВ ПР-КТ, ДОМ 4,..</t>
  </si>
  <si>
    <t>56.997691,40.951759</t>
  </si>
  <si>
    <t>ОБЩЕСТВО С ОГРАНИЧЕННОЙ ОТВЕТСТВЕННОСТЬЮ "БЕТОН И СТРОИТЕЛЬСТВО"</t>
  </si>
  <si>
    <t xml:space="preserve"> "БЕТОН И СТРОИТЕЛЬСТВО"</t>
  </si>
  <si>
    <t>3702248907</t>
  </si>
  <si>
    <t>153003, Ивановская область, городской округ ИВАНОВО, Город ИВАНОВО, УЛ ПАРИЖСКОЙ КОММУНЫ, Д. 7А, ОФИС 205</t>
  </si>
  <si>
    <t>Петровичев Николай Александрович</t>
  </si>
  <si>
    <t>56.991552,40.908353</t>
  </si>
  <si>
    <t>ОБЩЕСТВО С ОГРАНИЧЕННОЙ ОТВЕТСТВЕННОСТЬЮ "РАСТВОР-БЕТОННЫЙ СЕРВИСНЫЙ ЦЕНТР"</t>
  </si>
  <si>
    <t xml:space="preserve"> "РАСТВОР-БЕТОННЫЙ СЕРВИСНЫЙ ЦЕНТР"</t>
  </si>
  <si>
    <t>3702708544</t>
  </si>
  <si>
    <t>153011, ИВАНОВСКАЯ ОБЛ, ИВАНОВО Г, СУЗДАЛЬСКАЯ УЛ, ДОМ 16 А, ЛИТЕР А46</t>
  </si>
  <si>
    <t>Томмола Елена Вениаминовна</t>
  </si>
  <si>
    <t>57.015346,41.015109</t>
  </si>
  <si>
    <t>ОБЩЕСТВО С ОГРАНИЧЕННОЙ ОТВЕТСТВЕННОСТЬЮ "ПОРТЛАНД-37"</t>
  </si>
  <si>
    <t xml:space="preserve"> "ПОРТЛАНД-37"</t>
  </si>
  <si>
    <t>3702724578</t>
  </si>
  <si>
    <t>153045, ИВАНОВСКАЯ ОБЛ, ИВАНОВО Г, ЧАЙКОВСКОГО УЛ, ДОМ 37А, ЛИТЕР Д, ОФИС 1</t>
  </si>
  <si>
    <t>Кудин Сергей Николаевич</t>
  </si>
  <si>
    <t>Portland37@mail.ru'</t>
  </si>
  <si>
    <t>56.566726,40.104055</t>
  </si>
  <si>
    <t>ОБЩЕСТВО С ОГРАНИЧЕННОЙ ОТВЕТСТВЕННОСТЬЮ "ЛК БЕТОН"</t>
  </si>
  <si>
    <t xml:space="preserve"> "ЛК БЕТОН"</t>
  </si>
  <si>
    <t>3704010480</t>
  </si>
  <si>
    <t>155000, ИВАНОВСКАЯ ОБЛАСТЬ, РАЙОН ГАВРИЛОВО-ПОСАДСКИЙ, ГОРОД ГАВРИЛОВ ПОСАД, УЛИЦА СОВЕТСКАЯ, ДОМ 79</t>
  </si>
  <si>
    <t>Ковалев Александр Георгиевич</t>
  </si>
  <si>
    <t>56.969529,40.968863</t>
  </si>
  <si>
    <t>ОБЩЕСТВО С ОГРАНИЧЕННОЙ ОТВЕТСТВЕННОСТЬЮ "ГАВРИЛОВО-ПОСАДСКИЙ БЕТОННЫЙ ЗАВОД"</t>
  </si>
  <si>
    <t xml:space="preserve"> "ГАВРИЛОВО-ПОСАДСКИЙ БЕТОННЫЙ ЗАВОД"</t>
  </si>
  <si>
    <t>3704011100</t>
  </si>
  <si>
    <t>153032, ИВАНОВСКАЯ ОБЛ., Г. Иваново, УЛ. КИРЯКИНЫХ, Д. 10,..</t>
  </si>
  <si>
    <t>Морозова Ольга Владимировна</t>
  </si>
  <si>
    <t>57.006284,40.851633</t>
  </si>
  <si>
    <t>ОБЩЕСТВО С ОГРАНИЧЕННОЙ ОТВЕТСТВЕННОСТЬЮ "БЕТОН37"</t>
  </si>
  <si>
    <t xml:space="preserve"> "БЕТОН37"</t>
  </si>
  <si>
    <t>3711048679</t>
  </si>
  <si>
    <t>153521, ИВАНОВСКАЯ ОБЛ, ИВАНОВСКИЙ Р-Н, НОВО-ТАЛИЦЫ С, ШКОЛЬНАЯ УЛ, ДОМ 5, ПОМЕЩЕНИЕ 1002</t>
  </si>
  <si>
    <t>Лебедев Дмитрий Николаевич</t>
  </si>
  <si>
    <t>52.554029,103.883973</t>
  </si>
  <si>
    <t>ОБЩЕСТВО С ОГРАНИЧЕННОЙ ОТВЕТСТВЕННОСТЬЮ "Производственный Комплекс "Ресурс"</t>
  </si>
  <si>
    <t xml:space="preserve"> "Производственный Комплекс "Ресурс"</t>
  </si>
  <si>
    <t>3801107093</t>
  </si>
  <si>
    <t>665800, ИРКУТСКАЯ ОБЛАСТЬ, ГОРОД АНГАРСК, КВАРТАЛ 30 (ВТОРОЙ ПРОМЫШЛЕННЫЙ МАССИВ ТЕР.), СТР. 4</t>
  </si>
  <si>
    <t>Анисимов Владимир Юрьевич</t>
  </si>
  <si>
    <t>+7 (914) 927-03-93'</t>
  </si>
  <si>
    <t>52.614611,103.909414</t>
  </si>
  <si>
    <t>ОБЩЕСТВО С ОГРАНИЧЕННОЙ ОТВЕТСТВЕННОСТЬЮ "ЗЖБИ"</t>
  </si>
  <si>
    <t xml:space="preserve"> "ЗЖБИ"</t>
  </si>
  <si>
    <t>3801131145</t>
  </si>
  <si>
    <t>665800, ИРКУТСКАЯ ОБЛ, Ангарский район, АНГАРСК Г, ПЕРВЫЙ ПРОМЫШЛЕННЫЙ НП, 3-Й КВ-Л, СТРОЕНИЕ 10</t>
  </si>
  <si>
    <t>+7 (950) 101-05-85'</t>
  </si>
  <si>
    <t>574444@list.ru'</t>
  </si>
  <si>
    <t>52.502074,103.848292</t>
  </si>
  <si>
    <t xml:space="preserve"> "БЕТОНПРОФИ"</t>
  </si>
  <si>
    <t>3801145067</t>
  </si>
  <si>
    <t>665841, ИРКУТСКАЯ ОБЛАСТЬ, ГОРОД АНГАРСК, МИКРОРАЙОН 18, ДОМ 1,..</t>
  </si>
  <si>
    <t>Мисюков Алексей Сергеевич</t>
  </si>
  <si>
    <t>+7 (908) 650-77-67'</t>
  </si>
  <si>
    <t>52.221372,104.243398</t>
  </si>
  <si>
    <t>ОБЩЕСТВО С ОГРАНИЧЕННОЙ ОТВЕТСТВЕННОСТЬЮ "СТРОЙ ТЕХ СЕРВИС"</t>
  </si>
  <si>
    <t xml:space="preserve"> "СТРОЙ ТЕХ СЕРВИС"</t>
  </si>
  <si>
    <t>3801153195</t>
  </si>
  <si>
    <t>664523, Иркутская область, муниципальный район ИРКУТСКИЙ, РП МАРКОВА, городское поселение МАРКОВСКОЕ, МКР. БЕРЕЗОВЫЙ, Д. 146,..</t>
  </si>
  <si>
    <t>Алиева Инобат Сайткуловна</t>
  </si>
  <si>
    <t>PALADAGT@MAIL.RU'</t>
  </si>
  <si>
    <t>52.753721,103.635373</t>
  </si>
  <si>
    <t>3801154992</t>
  </si>
  <si>
    <t>665458, Иркутская область, ГОРОД УСОЛЬЕ-СИБИРСКОЕ, Г УСОЛЬЕ-СИБИРСКОЕ, ПРОЕЗД СЕРЕГИНА, Д. 22</t>
  </si>
  <si>
    <t>Габидулин Денис Асхатович</t>
  </si>
  <si>
    <t>MAIL@DELO-BETON'</t>
  </si>
  <si>
    <t>52.331136,104.352202</t>
  </si>
  <si>
    <t>ОБЩЕСТВО С ОГРАНИЧЕННОЙ ОТВЕТСТВЕННОСТЬЮ "СИББИТ"</t>
  </si>
  <si>
    <t xml:space="preserve"> "СИББИТ"</t>
  </si>
  <si>
    <t>3808162544</t>
  </si>
  <si>
    <t>Г ИРКУТСК,М/Р ЛЕСНОЙ ПРОЕЗД КЛУБНИЧНЫЙ Д 6</t>
  </si>
  <si>
    <t>Сыроижко Юрий Владимирович</t>
  </si>
  <si>
    <t>56.79653,105.791573</t>
  </si>
  <si>
    <t>ОБЩЕСТВО С ОГРАНИЧЕННОЙ ОТВЕТСТВЕННОСТЬЮ "ПРОИЗВОДСТВЕННО-ТОРГОВАЯ КОМПАНИЯ "ПЧЕЛЫ-СВОБОДНЫЙ"</t>
  </si>
  <si>
    <t xml:space="preserve"> "ПРОИЗВОДСТВЕННО-ТОРГОВАЯ КОМПАНИЯ "ПЧЕЛЫ-СВОБОДНЫЙ"</t>
  </si>
  <si>
    <t>3808192997</t>
  </si>
  <si>
    <t>ИРКУТСКАЯ ОБЛ.,Г УСТЬ-КУТ,УЛ РЕЧНИКОВ Д 36А</t>
  </si>
  <si>
    <t>Радюк Алексей Витальевич</t>
  </si>
  <si>
    <t>52.288503,104.289536</t>
  </si>
  <si>
    <t>ОБЩЕСТВО С ОГРАНИЧЕННОЙ ОТВЕТСТВЕННОСТЬЮ "ИРКУТСКИЙ ЗАВОД СТРОИТЕЛЬНЫХ МАТЕРИАЛОВ"</t>
  </si>
  <si>
    <t xml:space="preserve"> "ИРКУТСКИЙ ЗАВОД СТРОИТЕЛЬНЫХ МАТЕРИАЛОВ"</t>
  </si>
  <si>
    <t>3808276580</t>
  </si>
  <si>
    <t>664011, Иркутская область, ГОРОД ИРКУТСК, Г ИРКУТСК, УЛ СВЕРДЛОВА, Д. 43А</t>
  </si>
  <si>
    <t>Викторова Ирина Андреевна</t>
  </si>
  <si>
    <t>V@MAIL.RU'</t>
  </si>
  <si>
    <t>56.796348,105.797034</t>
  </si>
  <si>
    <t>ОБЩЕСТВО С ОГРАНИЧЕННОЙ ОТВЕТСТВЕННОСТЬЮ "АТЛАНТ-БЕТОН"</t>
  </si>
  <si>
    <t xml:space="preserve"> "АТЛАНТ-БЕТОН"</t>
  </si>
  <si>
    <t>3808276990</t>
  </si>
  <si>
    <t>666788, Иркутская область, УСТЬ-КУТСКИЙ, 1 УСТЬ-КУТСКОЕ, Г УСТЬ-КУТ, УЛ ПРОЛЕТАРСКАЯ, Д. 15</t>
  </si>
  <si>
    <t>Сарафян Оганес Аветисович</t>
  </si>
  <si>
    <t>BALANS2017@MAIL.RU'</t>
  </si>
  <si>
    <t>52.325027,104.241359</t>
  </si>
  <si>
    <t>ОБЩЕСТВО С ОГРАНИЧЕННОЙ ОТВЕТСТВЕННОСТЬЮ "БЕТОНСПЕЦМОНТАЖ"</t>
  </si>
  <si>
    <t xml:space="preserve"> "БЕТОНСПЕЦМОНТАЖ"</t>
  </si>
  <si>
    <t>3810057762</t>
  </si>
  <si>
    <t>664014, ИРКУТСКАЯ ОБЛАСТЬ, Г. ИРКУТСК, УЛ. ТРАКТОВАЯ, Д. 9, ОФИС 56</t>
  </si>
  <si>
    <t>Стремлина Элина Борисовна</t>
  </si>
  <si>
    <t>+7 (950) 106-51-63'</t>
  </si>
  <si>
    <t>52.342081,104.148105</t>
  </si>
  <si>
    <t>ОБЩЕСТВО С ОГРАНИЧЕННОЙ ОТВЕТСТВЕННОСТЬЮ "ВЕРНОЕ РЕШЕНИЕ"</t>
  </si>
  <si>
    <t xml:space="preserve"> "ВЕРНОЕ РЕШЕНИЕ"</t>
  </si>
  <si>
    <t>3810077889</t>
  </si>
  <si>
    <t>664053, ИРКУТСКАЯ ОБЛАСТЬ, Г. ИРКУТСК, ТЕР ГОРКА, Д. 5, ОФИС 110А</t>
  </si>
  <si>
    <t>Ханхалаева Анна Константиновна</t>
  </si>
  <si>
    <t>52.209448,104.062325</t>
  </si>
  <si>
    <t>ОБЩЕСТВО С ОГРАНИЧЕННОЙ ОТВЕТСТВЕННОСТЬЮ "ПИК"</t>
  </si>
  <si>
    <t xml:space="preserve"> "ПИК"</t>
  </si>
  <si>
    <t>3810078709</t>
  </si>
  <si>
    <t>666036, ИРКУТСКАЯ ОБЛАСТЬ, ГОРОД ШЕЛЕХОВ, МИКРОРАЙОН 4-Й, ДОМ 12, ПОМЕЩЕНИЕ 17</t>
  </si>
  <si>
    <t>Романова Екатерина Евгеньевна</t>
  </si>
  <si>
    <t>52.069175,103.82181</t>
  </si>
  <si>
    <t>ОБЩЕСТВО С ОГРАНИЧЕННОЙ ОТВЕТСТВЕННОСТЬЮ "ПОПОВ И КОМПАНИЯ"</t>
  </si>
  <si>
    <t xml:space="preserve"> "ПОПОВ И КОМПАНИЯ"</t>
  </si>
  <si>
    <t>3810332377</t>
  </si>
  <si>
    <t>666025, ИРКУТСКАЯ ОБЛАСТЬ, Р-Н ШЕЛЕХОВСКИЙ, С ШАМАНКА, УЛ. ЮБИЛЕЙНАЯ, Д. 24,..</t>
  </si>
  <si>
    <t>Попов Антон Евгеньевич</t>
  </si>
  <si>
    <t>57283@bk.ru', 'irk@mail.ru'</t>
  </si>
  <si>
    <t>52.277947,104.204429</t>
  </si>
  <si>
    <t>ОБЩЕСТВО С ОГРАНИЧЕННОЙ ОТВЕТСТВЕННОСТЬЮ ФСК "АНГАРА"</t>
  </si>
  <si>
    <t xml:space="preserve"> ФСК "АНГАРА"</t>
  </si>
  <si>
    <t>3811038272</t>
  </si>
  <si>
    <t>664043, ИРКУТСКАЯ ОБЛАСТЬ, ГОРОД ИРКУТСК, УЛИЦА РАКИТНАЯ, ДОМ 14</t>
  </si>
  <si>
    <t>Лаврухин Иван Анатольевич</t>
  </si>
  <si>
    <t>52.279319,104.332304</t>
  </si>
  <si>
    <t>ОБЩЕСТВО С ОГРАНИЧЕННОЙ ОТВЕТСТВЕННОСТЬЮ "ПРОИЗВОДСТВЕННО-СТРОИТЕЛЬНАЯ КОМПАНИЯ "ЗАВОД ЖЕЛЕЗОБЕТОННЫХ ИЗДЕЛИЙ"</t>
  </si>
  <si>
    <t xml:space="preserve"> "ПРОИЗВОДСТВЕННО-СТРОИТЕЛЬНАЯ КОМПАНИЯ "ЗАВОД ЖЕЛЕЗОБЕТОННЫХ ИЗДЕЛИЙ"</t>
  </si>
  <si>
    <t>3811180984</t>
  </si>
  <si>
    <t>664009, ИРКУТСКАЯ ОБЛАСТЬ, Г. ИРКУТСК, УЛ. СОВЕТСКАЯ, Д. 170/1, ОФИС 6</t>
  </si>
  <si>
    <t>Левицкий Игорь Борисович</t>
  </si>
  <si>
    <t>zavodbetonoff@mail.ru'</t>
  </si>
  <si>
    <t>52.275076,104.217904</t>
  </si>
  <si>
    <t>ОБЩЕСТВО С ОГРАНИЧЕННОЙ ОТВЕТСТВЕННОСТЬЮ "ЭКОТЕРМ"</t>
  </si>
  <si>
    <t xml:space="preserve"> "ЭКОТЕРМ"</t>
  </si>
  <si>
    <t>3811435015</t>
  </si>
  <si>
    <t>664043, ИРКУТСКАЯ ОБЛАСТЬ, ГОРОД ИРКУТСК, УЛИЦА РАКИТНАЯ, ДОМ 16, ОФИС 305</t>
  </si>
  <si>
    <t>Ежеленко Никита Геннадьевич</t>
  </si>
  <si>
    <t>52.267217,104.33985</t>
  </si>
  <si>
    <t>ОБЩЕСТВО С ОГРАНИЧЕННОЙ ОТВЕТСТВЕННОСТЬЮ "ПРИОРИТЕТ ПЛЮС"</t>
  </si>
  <si>
    <t xml:space="preserve"> "ПРИОРИТЕТ ПЛЮС"</t>
  </si>
  <si>
    <t>3811460290</t>
  </si>
  <si>
    <t>664081, ИРКУТСКАЯ ОБЛАСТЬ, ГОРОД ИРКУТСК, МИКРОРАЙОН КРЫЛАТЫЙ, ДОМ 9,..</t>
  </si>
  <si>
    <t>Тренченкова Ирина Вячеславовна</t>
  </si>
  <si>
    <t>52.258845,104.35593</t>
  </si>
  <si>
    <t>ОБЩЕСТВО С ОГРАНИЧЕННОЙ ОТВЕТСТВЕННОСТЬЮ "ООО ПЕРВАЯ БЕТОННАЯ КОМПАНИЯ"</t>
  </si>
  <si>
    <t xml:space="preserve"> "ООО ПЕРВАЯ БЕТОННАЯ КОМПАНИЯ"</t>
  </si>
  <si>
    <t>3811473885</t>
  </si>
  <si>
    <t>664050, ИРКУТСКАЯ ОБЛ., Г. Иркутск, УЛ. БАЙКАЛЬСКАЯ, Д. 289/4,..</t>
  </si>
  <si>
    <t>Солодова Татьяна Анатольевна</t>
  </si>
  <si>
    <t>SOLODOV38@MAIL.RU'</t>
  </si>
  <si>
    <t>52.252169,104.326097</t>
  </si>
  <si>
    <t>ОБЩЕСТВО С ОГРАНИЧЕННОЙ ОТВЕТСТВЕННОСТЬЮ "БАЙКАЛЬСКАЯ БЕТОННАЯ КОМПАНИЯ"</t>
  </si>
  <si>
    <t xml:space="preserve"> "БАЙКАЛЬСКАЯ БЕТОННАЯ КОМПАНИЯ"</t>
  </si>
  <si>
    <t>3811474776</t>
  </si>
  <si>
    <t>664075, ИРКУТСКАЯ ОБЛ., Г. Иркутск, УЛ. БАЙКАЛЬСКАЯ, Д. 236Б/1, ПОМЕЩ. 1</t>
  </si>
  <si>
    <t>Барамиков Владимир Владимирович</t>
  </si>
  <si>
    <t>BETON950455@YANDEX.RU'</t>
  </si>
  <si>
    <t>52.237738,104.2023</t>
  </si>
  <si>
    <t>ОБЩЕСТВО С ОГРАНИЧЕННОЙ ОТВЕТСТВЕННОСТЬЮ "БАЙКАЛЬСКИЙ ТОРГОВЫЙ ДОМ"</t>
  </si>
  <si>
    <t xml:space="preserve"> "БАЙКАЛЬСКИЙ ТОРГОВЫЙ ДОМ"</t>
  </si>
  <si>
    <t>3812092191</t>
  </si>
  <si>
    <t>http://sunirk-irk.ru</t>
  </si>
  <si>
    <t>664528, ИРКУТСКАЯ ОБЛАСТЬ, Р-Н ИРКУТСКИЙ, РП МАРКОВА, УЛ. КАЙСКАЯ, Д. 1</t>
  </si>
  <si>
    <t>Шилина Любовь Владимировна</t>
  </si>
  <si>
    <t>52.273108,104.20336</t>
  </si>
  <si>
    <t>ОБЩЕСТВО С ОГРАНИЧЕННОЙ ОТВЕТСТВЕННОСТЬЮ "БЕТОНСТРОЙ И К"</t>
  </si>
  <si>
    <t xml:space="preserve"> "БЕТОНСТРОЙ И К"</t>
  </si>
  <si>
    <t>3812119245</t>
  </si>
  <si>
    <t>664043, ИРКУТСКАЯ ОБЛАСТЬ, ГОРОД ИРКУТСК, ТЕРРИТОРИЯ МЕЛЬНИКОВО, КМ 9</t>
  </si>
  <si>
    <t>52.234616,104.295168</t>
  </si>
  <si>
    <t>ОБЩЕСТВО С ОГРАНИЧЕННОЙ ОТВЕТСТВЕННОСТЬЮ "СИБ-БЕТОН 38"</t>
  </si>
  <si>
    <t xml:space="preserve"> "СИБ-БЕТОН 38"</t>
  </si>
  <si>
    <t>3812527220</t>
  </si>
  <si>
    <t>664056, Иркутская область, городской округ ГОРОД ИРКУТСК, Город ИРКУТСК, УЛ АКАДЕМИЧЕСКАЯ, Д. 28/4,..</t>
  </si>
  <si>
    <t>Воскобойников Дмитрий Сергеевич</t>
  </si>
  <si>
    <t>52.230761,104.276681</t>
  </si>
  <si>
    <t>ОБЩЕСТВО С ОГРАНИЧЕННОЙ ОТВЕТСТВЕННОСТЬЮ "МТ БЕТОН"</t>
  </si>
  <si>
    <t xml:space="preserve"> "МТ БЕТОН"</t>
  </si>
  <si>
    <t>3812528488</t>
  </si>
  <si>
    <t>664056, ИРКУТСКАЯ ОБЛ, ИРКУТСК Г, РАДУЖНЫЙ МКР, ДОМ 34В, ПОМЕЩЕНИЕ 1</t>
  </si>
  <si>
    <t>Холкин Артём Сергеевич</t>
  </si>
  <si>
    <t>54.11081,102.180139</t>
  </si>
  <si>
    <t>ОБЩЕСТВО С ОГРАНИЧЕННОЙ ОТВЕТСТВЕННОСТЬЮ "УПРАВЛЕНИЕ ПРОМЫШЛЕННЫХ ПРЕДПРИЯТИЙ"</t>
  </si>
  <si>
    <t>3814014368</t>
  </si>
  <si>
    <t>666301, ИРКУТСКАЯ ОБЛАСТЬ, Г. САЯНСК, КВ-Л 2 (ПРОМЫШЛЕННЫЙ УЗЕЛ БАЗА СТРОЙИНДУСТРИИ, №20</t>
  </si>
  <si>
    <t>Зюзин Виктор Петрович</t>
  </si>
  <si>
    <t>54.91883,99.056274</t>
  </si>
  <si>
    <t xml:space="preserve"> "БЕТОНСТРОЙСЕРВИС"</t>
  </si>
  <si>
    <t>3816027387</t>
  </si>
  <si>
    <t>665102, ИРКУТСКАЯ ОБЛАСТЬ, ГОРОД НИЖНЕУДИНСК, УЛИЦА РОЗЫ ШНЕЕРСОН, ДОМ 179,..</t>
  </si>
  <si>
    <t>Юренко Павел Егорович</t>
  </si>
  <si>
    <t>+7 (983) 401-80-55'</t>
  </si>
  <si>
    <t>55.926736,98.007976</t>
  </si>
  <si>
    <t>ОБЩЕСТВО С ОГРАНИЧЕННОЙ ОТВЕТСТВЕННОСТЬЮ "МИЛАН"</t>
  </si>
  <si>
    <t xml:space="preserve"> "МИЛАН"</t>
  </si>
  <si>
    <t>3816028670</t>
  </si>
  <si>
    <t>665002, ИРКУТСКАЯ ОБЛАСТЬ, ГОРОД ТАЙШЕТ, УЛИЦА ПУШКИНА, ДОМ 39/3</t>
  </si>
  <si>
    <t>Солдатенко Михаил Николаевич</t>
  </si>
  <si>
    <t>56.800478,105.810186</t>
  </si>
  <si>
    <t>ОБЩЕСТВО С ОГРАНИЧЕННОЙ ОТВЕТСТВЕННОСТЬЮ "МКС"</t>
  </si>
  <si>
    <t xml:space="preserve"> "МКС"</t>
  </si>
  <si>
    <t>3818042630</t>
  </si>
  <si>
    <t>666780, ИРКУТСКАЯ ОБЛАСТЬ, Г. УСТЬ-КУТ, УЛ. МАЛАЯ, Д. 2</t>
  </si>
  <si>
    <t>Сидоров Иван Игоревич</t>
  </si>
  <si>
    <t>+7 (924) 600-22-40'</t>
  </si>
  <si>
    <t>52.768729,103.624737</t>
  </si>
  <si>
    <t>ОБЩЕСТВО С ОГРАНИЧЕННОЙ ОТВЕТСТВЕННОСТЬЮ "ШУМАК"</t>
  </si>
  <si>
    <t xml:space="preserve"> "ШУМАК"</t>
  </si>
  <si>
    <t>3819011434</t>
  </si>
  <si>
    <t>665452, ИРКУТСКАЯ ОБЛАСТЬ, Г. УСОЛЬЕ-СИБИРСКОЕ, УЛ. ТРАКТОВАЯ, Д.60</t>
  </si>
  <si>
    <t>Попова Надежда Гарриевна</t>
  </si>
  <si>
    <t>52.180311,104.494316</t>
  </si>
  <si>
    <t>ОБЩЕСТВО С ОГРАНИЧЕННОЙ ОТВЕТСТВЕННОСТЬЮ "Нептун"</t>
  </si>
  <si>
    <t xml:space="preserve"> "Нептун"</t>
  </si>
  <si>
    <t>3827035742</t>
  </si>
  <si>
    <t>664051, ИРКУТСКАЯ ОБЛАСТЬ, Р-Н ИРКУТСКИЙ, СНТ ТАЙГА, Д. 5</t>
  </si>
  <si>
    <t>Болеско Евгений Андреевич</t>
  </si>
  <si>
    <t>52.465291,104.361976</t>
  </si>
  <si>
    <t xml:space="preserve"> "СТРОЙТЕХНОЛОГИИ"</t>
  </si>
  <si>
    <t>3827044722</t>
  </si>
  <si>
    <t>664540, ИРКУТСКАЯ ОБЛАСТЬ, Р-Н ИРКУТСКИЙ, С ХОМУТОВО, УЛ. 19 КМ. АВТОДОРОГИ ИРКУТСК-УСТЬ-ОРДЫНСКИЙ</t>
  </si>
  <si>
    <t>Нечаев Дмитрий Анатольевич</t>
  </si>
  <si>
    <t>52.257274,104.185565</t>
  </si>
  <si>
    <t>ОБЩЕСТВО С ОГРАНИЧЕННОЙ ОТВЕТСТВЕННОСТЬЮ "МАРКОВСКИЙ АСФАЛЬТОБЕТОННЫЙ ЗАВОД"</t>
  </si>
  <si>
    <t xml:space="preserve"> "МАРКОВСКИЙ АСФАЛЬТОБЕТОННЫЙ ЗАВОД"</t>
  </si>
  <si>
    <t>3827047949</t>
  </si>
  <si>
    <t>664043, ИРКУТСКАЯ ОБЛАСТЬ, Р-Н ИРКУТСКИЙ, РП МАРКОВА, УЛ. МЕДОВАЯ, Д. 8</t>
  </si>
  <si>
    <t>+7 (950) 088-31-14', '+7 (950) 130-22-11'</t>
  </si>
  <si>
    <t>52.478292,104.40558</t>
  </si>
  <si>
    <t xml:space="preserve"> "ЗАВОД ЖЕЛЕЗОБЕТОННЫХ ИЗДЕЛИЙ"</t>
  </si>
  <si>
    <t>3827065024</t>
  </si>
  <si>
    <t>664540, ИРКУТСКАЯ ОБЛ., Иркутский Р-Н, С. Хомутово, УЛ. 50 ЛЕТ ОКТЯБРЯ, СТР. 11А, ПОМЕЩ. 2</t>
  </si>
  <si>
    <t>Рагин Евгений Викторович</t>
  </si>
  <si>
    <t>52.283864,104.285969</t>
  </si>
  <si>
    <t>ОБЩЕСТВО С ОГРАНИЧЕННОЙ ОТВЕТСТВЕННОСТЬЮ "ДОРОЖНЫЕ ТЕХНОЛОГИИ"</t>
  </si>
  <si>
    <t xml:space="preserve"> "ДОРОЖНЫЕ ТЕХНОЛОГИИ"</t>
  </si>
  <si>
    <t>3849050776</t>
  </si>
  <si>
    <t>Г ИРКУТСК,УЛ СУХЭ-БАТОРА Д 15</t>
  </si>
  <si>
    <t>Токарев Евгений Юрьевич</t>
  </si>
  <si>
    <t>+7 (914) 895-49-15'</t>
  </si>
  <si>
    <t>52.292336,104.368309</t>
  </si>
  <si>
    <t>ОБЩЕСТВО С ОГРАНИЧЕННОЙ ОТВЕТСТВЕННОСТЬЮ "САРМИНСКИЙ БЕТОН"</t>
  </si>
  <si>
    <t xml:space="preserve"> "САРМИНСКИЙ БЕТОН"</t>
  </si>
  <si>
    <t>3849061351</t>
  </si>
  <si>
    <t>664019, ИРКУТСКАЯ ОБЛ, ИРКУТСК Г, БАРРИКАД УЛ, ДОМ 215</t>
  </si>
  <si>
    <t>Ревин Сергей Эдуардович</t>
  </si>
  <si>
    <t>52.291191,104.369827</t>
  </si>
  <si>
    <t>ОБЩЕСТВО С ОГРАНИЧЕННОЙ ОТВЕТСТВЕННОСТЬЮ "НОВЫЙ БЕТОН"</t>
  </si>
  <si>
    <t xml:space="preserve"> "НОВЫЙ БЕТОН"</t>
  </si>
  <si>
    <t>3849070878</t>
  </si>
  <si>
    <t>664019, ИРКУТСКАЯ ОБЛАСТЬ, ГОРОД ИРКУТСК, УЛИЦА БАРРИКАД, ДОМ 214-А</t>
  </si>
  <si>
    <t>Булдаков Максим Владимирович</t>
  </si>
  <si>
    <t>04@mail.ru'</t>
  </si>
  <si>
    <t>52.276079,104.289958</t>
  </si>
  <si>
    <t>ОБЩЕСТВО С ОГРАНИЧЕННОЙ ОТВЕТСТВЕННОСТЬЮ "СВЕРХ"</t>
  </si>
  <si>
    <t xml:space="preserve"> "СВЕРХ"</t>
  </si>
  <si>
    <t>3849085458</t>
  </si>
  <si>
    <t>664003, Иркутская область, ГОРОД ИРКУТСК, Г ИРКУТСК, УЛ КОММУНАРОВ, Д. 3</t>
  </si>
  <si>
    <t>Горбунов Александр Владимирович</t>
  </si>
  <si>
    <t>52.763705,103.646315</t>
  </si>
  <si>
    <t>ОБЩЕСТВО С ОГРАНИЧЕННОЙ ОТВЕТСТВЕННОСТЬЮ "ТД СИБИРСКИЙ БЕТОН"</t>
  </si>
  <si>
    <t xml:space="preserve"> "ТД СИБИРСКИЙ БЕТОН"</t>
  </si>
  <si>
    <t>3851017310</t>
  </si>
  <si>
    <t>665452, ИРКУТСКАЯ ОБЛАСТЬ, Г. УСОЛЬЕ-СИБИРСКОЕ, УЛ. МЕНДЕЛЕЕВА, Д. 59</t>
  </si>
  <si>
    <t>Свириденко Николай Николаевич</t>
  </si>
  <si>
    <t>td_sb@mail.ru'</t>
  </si>
  <si>
    <t>53.150744,103.074016</t>
  </si>
  <si>
    <t>ОБЩЕСТВО С ОГРАНИЧЕННОЙ ОТВЕТСТВЕННОСТЬЮ "ЧЕРЕМХОВСКИЙ АСФАЛЬТО-БЕТОННЫЙ ЗАВОД"</t>
  </si>
  <si>
    <t xml:space="preserve"> "ЧЕРЕМХОВСКИЙ АСФАЛЬТО-БЕТОННЫЙ ЗАВОД"</t>
  </si>
  <si>
    <t>3851025368</t>
  </si>
  <si>
    <t>665413, ИРКУТСКАЯ ОБЛАСТЬ, ГОРОД ЧЕРЕМХОВО, УЛИЦА ПЛЕХАНОВА, СТР 35А</t>
  </si>
  <si>
    <t>Хачатрян Баграт Вагинакович</t>
  </si>
  <si>
    <t>54.577137,22.189744</t>
  </si>
  <si>
    <t>ОБЩЕСТВО С ОГРАНИЧЕННОЙ ОТВЕТСТВЕННОСТЬЮ  " СТРОИТЕЛЬНАЯ КОМПАНИЯ " ЭДИЛЬ "</t>
  </si>
  <si>
    <t xml:space="preserve">  " СТРОИТЕЛЬНАЯ КОМПАНИЯ " ЭДИЛЬ "</t>
  </si>
  <si>
    <t>3902069038</t>
  </si>
  <si>
    <t>238055, КАЛИНИНГРАДСКАЯ ОБЛАСТЬ, Р-Н ГУСЕВСКИЙ, Г. ГУСЕВ, УЛ. ПОБЕДЫ, Д.51</t>
  </si>
  <si>
    <t>54.596003,22.188828</t>
  </si>
  <si>
    <t>ОБЩЕСТВО С ОГРАНИЧЕННОЙ ОТВЕТСТВЕННОСТЬЮ "СтройМаркет"</t>
  </si>
  <si>
    <t xml:space="preserve"> "СтройМаркет"</t>
  </si>
  <si>
    <t>3902800018</t>
  </si>
  <si>
    <t>238050, КАЛИНИНГРАДСКАЯ ОБЛАСТЬ, Р-Н ГУСЕВСКИЙ, Г. ГУСЕВ, ПР-КТ ЛЕНИНА, Д.3Б,..</t>
  </si>
  <si>
    <t>Газизов Олег Вадимович</t>
  </si>
  <si>
    <t>+7 (963) 296-62-64', '+7 (921) 608-57-85'</t>
  </si>
  <si>
    <t>54.709325,20.502618</t>
  </si>
  <si>
    <t>ОБЩЕСТВО С ОГРАНИЧЕННОЙ ОТВЕТСТВЕННОСТЬЮ "ЕВГЕНИЙ И КОМПАНИЯ"</t>
  </si>
  <si>
    <t xml:space="preserve"> "ЕВГЕНИЙ И КОМПАНИЯ"</t>
  </si>
  <si>
    <t>3904048812</t>
  </si>
  <si>
    <t>236006, Калининградская область, городской округ ГОРОД КАЛИНИНГРАД, Город КАЛИНИНГРАД, ПР-КТ МОСКОВСКИЙ, Д. 40, ЛИТЕР CII ИЗ ЛИТЕРА А, ПОМЕЩ. 19</t>
  </si>
  <si>
    <t>Плешков Игорь Владимирович</t>
  </si>
  <si>
    <t>+7 (911) 459-25-09'</t>
  </si>
  <si>
    <t>54.721864,20.449483</t>
  </si>
  <si>
    <t>ОБЩЕСТВО С ОГРАНИЧЕННОЙ ОТВЕТСТВЕННОСТЬЮ "ЛИМЕСТРАНСБЕТОН"</t>
  </si>
  <si>
    <t xml:space="preserve"> "ЛИМЕСТРАНСБЕТОН"</t>
  </si>
  <si>
    <t>3905074050</t>
  </si>
  <si>
    <t>236010, Калининградская область, г Калининград, просп Мира,142</t>
  </si>
  <si>
    <t>Шишкин Борис Александрович</t>
  </si>
  <si>
    <t>ЗАКРЫТОЕ  "БЕТОН ГАРАНТ"</t>
  </si>
  <si>
    <t>3906143726</t>
  </si>
  <si>
    <t>236029, КАЛИНИНГРАДСКАЯ ОБЛАСТЬ, ГОРОД КАЛИНИНГРАД, УЛИЦА ТУРУХАНСКАЯ, ДОМ 1, ЛИТЕР И</t>
  </si>
  <si>
    <t>Хаджаев Бауди Магамедович</t>
  </si>
  <si>
    <t>54.710537,20.537841</t>
  </si>
  <si>
    <t>ОБЩЕСТВО С ОГРАНИЧЕННОЙ ОТВЕТСТВЕННОСТЬЮ "Транс-Жвир Калининград"</t>
  </si>
  <si>
    <t xml:space="preserve"> "Транс-Жвир Калининград"</t>
  </si>
  <si>
    <t>3906289370</t>
  </si>
  <si>
    <t>236016, КАЛИНИНГРАДСКАЯ ОБЛАСТЬ, Г. КАЛИНИНГРАД, УЛ. ЛИТОВСКИЙ ВАЛ, Д. 55,..</t>
  </si>
  <si>
    <t>Ремыга Ирина Сергеевна</t>
  </si>
  <si>
    <t>+7 (906) 237-42-37'</t>
  </si>
  <si>
    <t>audin@mail.ru'</t>
  </si>
  <si>
    <t>54.756677,20.559805</t>
  </si>
  <si>
    <t>ОБЩЕСТВО С ОГРАНИЧЕННОЙ ОТВЕТСТВЕННОСТЬЮ "БАЛТБЕТОН"</t>
  </si>
  <si>
    <t xml:space="preserve"> "БАЛТБЕТОН"</t>
  </si>
  <si>
    <t>3906293190</t>
  </si>
  <si>
    <t>236029, Калининградская область, городской округ ГОРОД КАЛИНИНГРАД, Город КАЛИНИНГРАД, УЛ ТУРУХАНСКАЯ, Д. 1Б, ЛИТЕР М, М1, М2, М3, ЭТАЖ/ПОМЕЩ. 1/32</t>
  </si>
  <si>
    <t>Озерова Людмила Викторовна</t>
  </si>
  <si>
    <t>+7 (909) 797-60-35'</t>
  </si>
  <si>
    <t>U33@DANOR.RU'</t>
  </si>
  <si>
    <t>54.682336,20.466578</t>
  </si>
  <si>
    <t>ОБЩЕСТВО С ОГРАНИЧЕННОЙ ОТВЕТСТВЕННОСТЬЮ "КАЛИНИНГРАДСКАЯ БЕТОННАЯ КОМПАНИЯ"</t>
  </si>
  <si>
    <t xml:space="preserve"> "КАЛИНИНГРАДСКАЯ БЕТОННАЯ КОМПАНИЯ"</t>
  </si>
  <si>
    <t>3906304420</t>
  </si>
  <si>
    <t>236005, КАЛИНИНГРАДСКАЯ ОБЛАСТЬ, Г. КАЛИНИНГРАД, УЛ. КИЕВСКАЯ, Д. 118 А,..</t>
  </si>
  <si>
    <t>Миллер Олег Владимирович</t>
  </si>
  <si>
    <t>+7 (952) 799-89-97'</t>
  </si>
  <si>
    <t>natashabank@rambler.ru'</t>
  </si>
  <si>
    <t>54.673268,20.131093</t>
  </si>
  <si>
    <t>ОБЩЕСТВО С ОГРАНИЧЕННОЙ ОТВЕТСТВЕННОСТЬЮ "БАЛТИКБЕТОН"</t>
  </si>
  <si>
    <t xml:space="preserve"> "БАЛТИКБЕТОН"</t>
  </si>
  <si>
    <t>3906306642</t>
  </si>
  <si>
    <t>238345, Калининградская область, г Светлый, пер Спортивный, 10-"А"</t>
  </si>
  <si>
    <t xml:space="preserve"> Генеральный Директор Франк Дмитрий Владимирович</t>
  </si>
  <si>
    <t>+7 (900) 348-20-00', '+7 (909) 789-81-92'</t>
  </si>
  <si>
    <t>MIKLUSHOVA64@MAIL.RU'</t>
  </si>
  <si>
    <t>ОБЩЕСТВО С ОГРАНИЧЕННОЙ ОТВЕТСТВЕННОСТЬЮ "АРМАБЕТОН39"</t>
  </si>
  <si>
    <t xml:space="preserve"> "АРМАБЕТОН39"</t>
  </si>
  <si>
    <t>3906343299</t>
  </si>
  <si>
    <t>236005, КАЛИНИНГРАДСКАЯ ОБЛАСТЬ, Г. КАЛИНИНГРАД, УЛ. КАМСКАЯ, Д. 63, ЛИТЕР В, ОФИС 1</t>
  </si>
  <si>
    <t>Захаров Александр Александрович</t>
  </si>
  <si>
    <t>+7 (963) 738-18-00'</t>
  </si>
  <si>
    <t>54.688659,20.507864</t>
  </si>
  <si>
    <t>ОБЩЕСТВО С ОГРАНИЧЕННОЙ ОТВЕТСТВЕННОСТЬЮ "БЕТОН39"</t>
  </si>
  <si>
    <t xml:space="preserve"> "БЕТОН39"</t>
  </si>
  <si>
    <t>3906377562</t>
  </si>
  <si>
    <t>236039, КАЛИНИНГРАДСКАЯ ОБЛАСТЬ, ГОРОД КАЛИНИНГРАД, УЛИЦА ЖЕЛЕЗНОДОРОЖНАЯ, ДОМ 12, ЛИТЕР А, ПОМЕЩЕНИЕ 19 КАБИНЕТ 23</t>
  </si>
  <si>
    <t>Рахимов Шухратджон Набиджонович</t>
  </si>
  <si>
    <t>54.703442,20.447138</t>
  </si>
  <si>
    <t>ОБЩЕСТВО С ОГРАНИЧЕННОЙ ОТВЕТСТВЕННОСТЬЮ  "ИННОВАЦИОННЫЕ СТРОИТЕЛЬНЫЕ ТЕХНОЛОГИИ"</t>
  </si>
  <si>
    <t xml:space="preserve">  "ИННОВАЦИОННЫЕ СТРОИТЕЛЬНЫЕ ТЕХНОЛОГИИ"</t>
  </si>
  <si>
    <t>3906394367</t>
  </si>
  <si>
    <t>236010, КАЛИНИНГРАДСКАЯ ОБЛАСТЬ, ГОРОД КАЛИНИНГРАД, НАБЕРЕЖНАЯ ПРАВАЯ, ДОМ 25, ЛИТЕРА Т1, КАБИНЕТ 1</t>
  </si>
  <si>
    <t>Мархаин Сергей Александрович</t>
  </si>
  <si>
    <t>ОБЩЕСТВО С ОГРАНИЧЕННОЙ ОТВЕТСТВЕННОСТЬЮ "СПБ-100% БЕТОН"</t>
  </si>
  <si>
    <t xml:space="preserve"> "СПБ-100% БЕТОН"</t>
  </si>
  <si>
    <t>3906401303</t>
  </si>
  <si>
    <t>236004, КАЛИНИНГРАДСКАЯ ОБЛ., Г. Калининград, УЛ. ДЗЕРЖИНСКОГО, Д. 59Б, ОФИС 14, 15</t>
  </si>
  <si>
    <t>Пурий Степан Яковлевич</t>
  </si>
  <si>
    <t>PURIY39@YANDEX.RU'</t>
  </si>
  <si>
    <t>54.658256,20.530942</t>
  </si>
  <si>
    <t xml:space="preserve"> "БАЛТСТРОЙБЕТОН"</t>
  </si>
  <si>
    <t>3906996844</t>
  </si>
  <si>
    <t>236011, КАЛИНИНГРАДСКАЯ ОБЛАСТЬ, ГОРОД КАЛИНИНГРАД, УЛИЦА ДВИНСКАЯ, ДОМ 93А, ЛИТЕРА А,А</t>
  </si>
  <si>
    <t>Садырев Дмитрий Владимирович</t>
  </si>
  <si>
    <t>ОБЩЕСТВО С ОГРАНИЧЕННОЙ ОТВЕТСТВЕННОСТЬЮ "КЛАССБЕТОН"</t>
  </si>
  <si>
    <t xml:space="preserve"> "КЛАССБЕТОН"</t>
  </si>
  <si>
    <t>3906997421</t>
  </si>
  <si>
    <t>236013, КАЛИНИНГРАДСКАЯ ОБЛАСТЬ, ГОРОД КАЛИНИНГРАД, УЛИЦА МАГНИТОГОРСКАЯ, ДОМ 7, ОФИС 3</t>
  </si>
  <si>
    <t>+7 (921) 261-85-64'</t>
  </si>
  <si>
    <t>54.683705,20.490841</t>
  </si>
  <si>
    <t>ОБЩЕСТВО С ОГРАНИЧЕННОЙ ОТВЕТСТВЕННОСТЬЮ " СИГРАН"</t>
  </si>
  <si>
    <t xml:space="preserve"> " СИГРАН"</t>
  </si>
  <si>
    <t>3907002171</t>
  </si>
  <si>
    <t>Г КАЛИНИНГРАД,ТИХОРЕЦКИЙ ТУПИК, 1/2</t>
  </si>
  <si>
    <t>Лазурко Анатолий Алексеевич</t>
  </si>
  <si>
    <t>54.702375,20.487931</t>
  </si>
  <si>
    <t>ОБЩЕСТВО С ОГРАНИЧЕННОЙ ОТВЕТСТВЕННОСТЬЮ "РАУШЕН"</t>
  </si>
  <si>
    <t xml:space="preserve"> "РАУШЕН"</t>
  </si>
  <si>
    <t>3908036920</t>
  </si>
  <si>
    <t>236039, КАЛИНИНГРАДСКАЯ ОБЛАСТЬ, ГОРОД КАЛИНИНГРАД, УЛИЦА ПОРТОВАЯ, 30, -, -</t>
  </si>
  <si>
    <t>54.95324,20.235172</t>
  </si>
  <si>
    <t>ОБЩЕСТВО С ОГРАНИЧЕННОЙ ОТВЕТСТВЕННОСТЬЮ "ПИОНЕРСКИЙ БЕТОН"</t>
  </si>
  <si>
    <t xml:space="preserve"> "ПИОНЕРСКИЙ БЕТОН"</t>
  </si>
  <si>
    <t>3910005856</t>
  </si>
  <si>
    <t>238590, КАЛИНИНГРАДСКАЯ ОБЛАСТЬ, ГОРОД ПИОНЕРСКИЙ, ПЕРЕУЛОК КОМСОМОЛЬСКИЙ, ДОМ 1,..</t>
  </si>
  <si>
    <t>Семёнова Алла Вячеславовна</t>
  </si>
  <si>
    <t>54.866632,19.943803</t>
  </si>
  <si>
    <t>ОБЩЕСТВО С ОГРАНИЧЕННОЙ ОТВЕТСТВЕННОСТЬЮ "ЯНТАРЬСТРОЙБЕТОН"</t>
  </si>
  <si>
    <t xml:space="preserve"> "ЯНТАРЬСТРОЙБЕТОН"</t>
  </si>
  <si>
    <t>3912500253</t>
  </si>
  <si>
    <t>238580, Калининградская область, городской округ ЯНТАРНЫЙ, ПГТ ЯНТАРНЫЙ, УЛ ЖЕЛЕЗНОДОРОЖНАЯ, Д. 15, ОФИС 2</t>
  </si>
  <si>
    <t>Будурацкий Юрий Валентинович</t>
  </si>
  <si>
    <t>+7 (906) 238-60-69'</t>
  </si>
  <si>
    <t>54.679405,20.138648</t>
  </si>
  <si>
    <t>ОБЩЕСТВО С ОГРАНИЧЕННОЙ ОТВЕТСТВЕННОСТЬЮ  "АКУСТАТ"</t>
  </si>
  <si>
    <t xml:space="preserve">  "АКУСТАТ"</t>
  </si>
  <si>
    <t>3913014070</t>
  </si>
  <si>
    <t>238340, КАЛИНИНГРАДСКАЯ ОБЛ, СВЕТЛЫЙ Г, КАЛИНИНГРАДСКАЯ УЛ, ДОМ 2, ЭТАЖ 1, ПОМЕЩЕНИЕ I</t>
  </si>
  <si>
    <t>Ткаченко Виктор Александрович</t>
  </si>
  <si>
    <t>54.947077,20.227105</t>
  </si>
  <si>
    <t>ОБЩЕСТВО С ОГРАНИЧЕННОЙ ОТВЕТСТВЕННОСТЬЮ "КЛГД БЕТОН"</t>
  </si>
  <si>
    <t xml:space="preserve"> "КЛГД БЕТОН"</t>
  </si>
  <si>
    <t>3917052911</t>
  </si>
  <si>
    <t>238590, Калининградская область, городской округ ПИОНЕРСКИЙ, Город ПИОНЕРСКИЙ, УЛ ВОКЗАЛЬНАЯ, Д. 1А, ЭТАЖ 2, КАБИНЕТ 8</t>
  </si>
  <si>
    <t>Быков Сергей Григорьевич</t>
  </si>
  <si>
    <t>54.873507,20.472273</t>
  </si>
  <si>
    <t>ОБЩЕСТВО С ОГРАНИЧЕННОЙ ОТВЕТСТВЕННОСТЬЮ "ВИК БЕТОН"</t>
  </si>
  <si>
    <t xml:space="preserve"> "ВИК БЕТОН"</t>
  </si>
  <si>
    <t>3917501268</t>
  </si>
  <si>
    <t>http://vik-beton.ru</t>
  </si>
  <si>
    <t>238541, КАЛИНИНГРАДСКАЯ ОБЛАСТЬ, Р-Н ЗЕЛЕНОГРАДСКИЙ, П МЕЛЬНИКОВО, УЛ. ЕНИСЕЙСКАЯ, Д.20</t>
  </si>
  <si>
    <t>Петер Зигфрид Павлович</t>
  </si>
  <si>
    <t>54.746041,20.565545</t>
  </si>
  <si>
    <t>ОБЩЕСТВО С ОГРАНИЧЕННОЙ ОТВЕТСТВЕННОСТЬЮ "Балтийская Бетонная Компания"</t>
  </si>
  <si>
    <t xml:space="preserve"> "Балтийская Бетонная Компания"</t>
  </si>
  <si>
    <t>3917503949</t>
  </si>
  <si>
    <t>236029, Калининградская область, муниципальный округ ГУРЬЕВСКИЙ, П НЕВСКОЕ, УЛ ИНДУСТРИАЛЬНАЯ, ЗД. 19В,</t>
  </si>
  <si>
    <t>Качанович Александр Николаевич</t>
  </si>
  <si>
    <t>54.716123,20.607532</t>
  </si>
  <si>
    <t>Общество с ограниченной ответственностью "Балтийская Бетонная Контора"</t>
  </si>
  <si>
    <t xml:space="preserve"> "Балтийская Бетонная Контора"</t>
  </si>
  <si>
    <t>3917515704</t>
  </si>
  <si>
    <t>238311, КАЛИНИНГРАДСКАЯ ОБЛАСТЬ, РАЙОН ГУРЬЕВСКИЙ, ПОСЕЛОК БОЛЬШОЕ ИСАКОВО, УЛИЦА КООПЕРАТИВНАЯ, ДОМ 18А,..</t>
  </si>
  <si>
    <t>Красовский Жан Сергеевич</t>
  </si>
  <si>
    <t>+7 (909) 784-00-00'</t>
  </si>
  <si>
    <t>54.776275,20.591345</t>
  </si>
  <si>
    <t>ОБЩЕСТВО С ОГРАНИЧЕННОЙ ОТВЕТСТВЕННОСТЬЮ "Бетон Верк"</t>
  </si>
  <si>
    <t xml:space="preserve"> "Бетон Верк"</t>
  </si>
  <si>
    <t>3917516842</t>
  </si>
  <si>
    <t>http://beton-werk.com</t>
  </si>
  <si>
    <t>238300, Калининградская область, г Гурьевск, пер Ясный, д 2,..</t>
  </si>
  <si>
    <t>Патенко Андрей Юрьевич</t>
  </si>
  <si>
    <t>+7 (905) 240-31-17'</t>
  </si>
  <si>
    <t>kahro0759@mail.ru'</t>
  </si>
  <si>
    <t>54.600739,20.43475</t>
  </si>
  <si>
    <t>ОБЩЕСТВО С ОГРАНИЧЕННОЙ ОТВЕТСТВЕННОСТЬЮ "СПЕЦТРАНСБЕТОН"</t>
  </si>
  <si>
    <t xml:space="preserve"> "СПЕЦТРАНСБЕТОН"</t>
  </si>
  <si>
    <t>3917520447</t>
  </si>
  <si>
    <t>238326, Калининградская область, Гурьевский район, п Яблоневка, дом 18,..</t>
  </si>
  <si>
    <t>Махов Андрей Николаевич</t>
  </si>
  <si>
    <t>makhov72@mail.ru'</t>
  </si>
  <si>
    <t>55.126725,36.599979</t>
  </si>
  <si>
    <t xml:space="preserve"> "ГРАД"</t>
  </si>
  <si>
    <t>4003032576</t>
  </si>
  <si>
    <t>249034, КАЛУЖСКАЯ ОБЛ., Г. Обнинск, ПЕР. ЦВЕТНОЙ, Д. 9</t>
  </si>
  <si>
    <t>Зайцев Роман Валерьевич</t>
  </si>
  <si>
    <t>+7 (910) 912-00-50'</t>
  </si>
  <si>
    <t>55.215025,36.667415</t>
  </si>
  <si>
    <t>ОБЩЕСТВО С ОГРАНИЧЕННОЙ ОТВЕТСТВЕННОСТЬЮ "БЕТА МИКС КАЛУГА"</t>
  </si>
  <si>
    <t xml:space="preserve"> "БЕТА МИКС КАЛУГА"</t>
  </si>
  <si>
    <t>4003034238</t>
  </si>
  <si>
    <t>249020, Калужская область, Боровский район, д Денисово, проезд Промышленный, владение 1</t>
  </si>
  <si>
    <t>Демиралп Елена Александровна</t>
  </si>
  <si>
    <t>+7 (910) 604-40-00'</t>
  </si>
  <si>
    <t>betamix2007@yandex.ru'</t>
  </si>
  <si>
    <t>55.172907,36.658486</t>
  </si>
  <si>
    <t>ОБЩЕСТВО С ОГРАНИЧЕННОЙ ОТВЕТСТВЕННОСТЬЮ "НАНО-СТРОЙ-БЕТОН"</t>
  </si>
  <si>
    <t xml:space="preserve"> "НАНО-СТРОЙ-БЕТОН"</t>
  </si>
  <si>
    <t>4003038786</t>
  </si>
  <si>
    <t>249000, КАЛУЖСКАЯ ОБЛ, БОРОВСКИЙ Р-Н, БАЛАБАНОВО Г, КОМСОМОЛЬСКАЯ УЛ, ДОМ 13/2</t>
  </si>
  <si>
    <t>Халитов Исламулла Магомедович</t>
  </si>
  <si>
    <t>+7 (965) 232-15-55'</t>
  </si>
  <si>
    <t>54.721515,35.966783</t>
  </si>
  <si>
    <t>ОБЩЕСТВО С ОГРАНИЧЕННОЙ ОТВЕТСТВЕННОСТЬЮ "Производственное объединение Бизнес-Паритет"</t>
  </si>
  <si>
    <t xml:space="preserve"> "Производственное объединение Бизнес-Паритет"</t>
  </si>
  <si>
    <t>4004016873</t>
  </si>
  <si>
    <t>249844, Калужская область, Дзержинский район, п Полотняный Завод, ул Горняк</t>
  </si>
  <si>
    <t>Дятлов Дмитрий Юрьевич</t>
  </si>
  <si>
    <t>+7 (953) 333-00-05'</t>
  </si>
  <si>
    <t>54.987647,36.24633</t>
  </si>
  <si>
    <t>ОБЩЕСТВО С ОГРАНИЧЕННОЙ ОТВЕТСТВЕННОСТЬЮ "СоюзТрансСнаб"</t>
  </si>
  <si>
    <t xml:space="preserve"> "СоюзТрансСнаб"</t>
  </si>
  <si>
    <t>4011023293</t>
  </si>
  <si>
    <t>249061, КАЛУЖСКАЯ ОБЛАСТЬ, РАЙОН МАЛОЯРОСЛАВЕЦКИЙ, СЕЛО КУДИНОВО, -, -, -</t>
  </si>
  <si>
    <t>Манчук Павел Александрович</t>
  </si>
  <si>
    <t>55.014241,36.479416</t>
  </si>
  <si>
    <t>ОБЩЕСТВО С ОГРАНИЧЕННОЙ ОТВЕТСТВЕННОСТЬЮ "РОСМОНОЛИТ"</t>
  </si>
  <si>
    <t xml:space="preserve"> "РОСМОНОЛИТ"</t>
  </si>
  <si>
    <t>4011026777</t>
  </si>
  <si>
    <t>249096, КАЛУЖСКАЯ ОБЛАСТЬ, РАЙОН МАЛОЯРОСЛАВЕЦКИЙ, ГОРОД МАЛОЯРОСЛАВЕЦ, УЛИЦА МОСКОВСКАЯ, 41, ПОМЕЩЕНИЕ 147</t>
  </si>
  <si>
    <t>Кульбеда Антон Владимирович</t>
  </si>
  <si>
    <t>+7 (920) 611-58-63'</t>
  </si>
  <si>
    <t>55.047672,36.547041</t>
  </si>
  <si>
    <t>ОБЩЕСТВО С ОГРАНИЧЕННОЙ ОТВЕТСТВЕННОСТЬЮ "МАСТЕР-СТРОЙ"</t>
  </si>
  <si>
    <t xml:space="preserve"> "МАСТЕР-СТРОЙ"</t>
  </si>
  <si>
    <t>4011027347</t>
  </si>
  <si>
    <t>249052, КАЛУЖСКАЯ ОБЛАСТЬ, РАЙОН МАЛОЯРОСЛАВЕЦКИЙ, ДЕРЕВНЯ ШЕМЯКИНО, УЛИЦА ЛУГОВАЯ, 10</t>
  </si>
  <si>
    <t>Батраков Николай Михайлович</t>
  </si>
  <si>
    <t>+7 (910) 598-01-36'</t>
  </si>
  <si>
    <t>55.031923,36.531186</t>
  </si>
  <si>
    <t>ОБЩЕСТВО С ОГРАНИЧЕННОЙ ОТВЕТСТВЕННОСТЬЮ "ПК СТРОЙБЕТОН"</t>
  </si>
  <si>
    <t xml:space="preserve"> "ПК СТРОЙБЕТОН"</t>
  </si>
  <si>
    <t>4011029792</t>
  </si>
  <si>
    <t>249051, КАЛУЖСКАЯ ОБЛАСТЬ, Р-Н МАЛОЯРОСЛАВЕЦКИЙ, С КОЛЛОНТАЙ, ВЛД. 1, ПОМЕЩ. 2</t>
  </si>
  <si>
    <t>Чесский Евгений Валерьевич</t>
  </si>
  <si>
    <t>54.530212,34.929687</t>
  </si>
  <si>
    <t>ОБЩЕСТВО С ОГРАНИЧЕННОЙ ОТВЕТСТВЕННОСТЬЮ "БЕТОН-А"</t>
  </si>
  <si>
    <t xml:space="preserve"> "БЕТОН-А"</t>
  </si>
  <si>
    <t>4014006680</t>
  </si>
  <si>
    <t>249930, КАЛУЖСКАЯ ОБЛАСТЬ, МОСАЛЬСКИЙ РАЙОН, ДЕРЕВНЯ САВИНО, УЛИЦА МОЛОДЕЖНАЯ, ДОМ 7,..</t>
  </si>
  <si>
    <t>Крестьянников Павел Викторович</t>
  </si>
  <si>
    <t>54.727474,37.176814</t>
  </si>
  <si>
    <t>ОБЩЕСТВО С ОГРАНИЧЕННОЙ ОТВЕТСТВЕННОСТЬЮ "ДЕЛЬТА ГРУПП"</t>
  </si>
  <si>
    <t xml:space="preserve"> "ДЕЛЬТА ГРУПП"</t>
  </si>
  <si>
    <t>4018010504</t>
  </si>
  <si>
    <t>249100, КАЛУЖСКАЯ ОБЛАСТЬ, РАЙОН ТАРУССКИЙ, ГОРОД ТАРУСА, УЛИЦА ЛЕНИНА, ДОМ 18, ПОМЕЩЕНИЕ 4</t>
  </si>
  <si>
    <t>Ефимочкин Егор Александрович</t>
  </si>
  <si>
    <t>+7 (915) 171-41-71'</t>
  </si>
  <si>
    <t>54.829414,37.133623</t>
  </si>
  <si>
    <t>ОБЩЕСТВО С ОГРАНИЧЕННОЙ ОТВЕТСТВЕННОСТЬЮ "СОГ БЛОК"</t>
  </si>
  <si>
    <t xml:space="preserve"> "СОГ БЛОК"</t>
  </si>
  <si>
    <t>4018011113</t>
  </si>
  <si>
    <t>249108, КАЛУЖСКАЯ ОБЛАСТЬ, ТАРУССКИЙ Р-Н, НЕКРАСОВО С, ТАРУССКАЯ УЛ, ДОМ 41</t>
  </si>
  <si>
    <t>Яковлев Евгений Евгеньевич</t>
  </si>
  <si>
    <t>+7 (926) 354-20-54'</t>
  </si>
  <si>
    <t>53.859074,34.441103</t>
  </si>
  <si>
    <t>ОБЩЕСТВО С ОГРАНИЧЕННОЙ ОТВЕТСТВЕННОСТЬЮ "БЕТОНТРЕЙД"</t>
  </si>
  <si>
    <t xml:space="preserve"> "БЕТОНТРЕЙД"</t>
  </si>
  <si>
    <t>4024015780</t>
  </si>
  <si>
    <t>249406, КАЛУЖСКАЯ ОБЛАСТЬ, РАЙОН ЛЮДИНОВСКИЙ, ГОРОД ЛЮДИНОВО, УЛИЦА МАЯКОВСКОГО, ДОМ 8А</t>
  </si>
  <si>
    <t>Гайдуков Александр Николаевич</t>
  </si>
  <si>
    <t>53.811954,34.537276</t>
  </si>
  <si>
    <t>ОБЩЕСТВО С ОГРАНИЧЕННОЙ ОТВЕТСТВЕННОСТЬЮ "БЕТОН - ТРЕЙД"</t>
  </si>
  <si>
    <t xml:space="preserve"> "БЕТОН - ТРЕЙД"</t>
  </si>
  <si>
    <t>4024017280</t>
  </si>
  <si>
    <t>249413, КАЛУЖСКАЯ ОБЛАСТЬ, РАЙОН ЛЮДИНОВСКИЙ, ДЕРЕВНЯ ВОЙЛОВО, УЛИЦА ПРОМЫШЛЕННАЯ, ЗД 1Б</t>
  </si>
  <si>
    <t>55.177545,36.636145</t>
  </si>
  <si>
    <t xml:space="preserve"> "РОСТСТРОЙБЕТОН"</t>
  </si>
  <si>
    <t>4025416270</t>
  </si>
  <si>
    <t>249008, КАЛУЖСКАЯ ОБЛАСТЬ, Р-Н БОРОВСКИЙ, С СОВХОЗ БОРОВСКИЙ, УЛ. НОВАЯ, Д. 5А</t>
  </si>
  <si>
    <t>Калинин Анатолий Викторович</t>
  </si>
  <si>
    <t>+7 (903) 720-41-15'</t>
  </si>
  <si>
    <t>55.111042,36.640205</t>
  </si>
  <si>
    <t>ОБЩЕСТВО С ОГРАНИЧЕННОЙ ОТВЕТСТВЕННОСТЬЮ "ЖУКОВБЕТИНДУСТРИЯ"</t>
  </si>
  <si>
    <t xml:space="preserve"> "ЖУКОВБЕТИНДУСТРИЯ"</t>
  </si>
  <si>
    <t>4025460230</t>
  </si>
  <si>
    <t>249039, Калужская область, ГОРОД ОБНИНСК, Г ОБНИНСК, Ш КИЕВСКОЕ, Д. 33</t>
  </si>
  <si>
    <t>Слабко Яков Андреевич</t>
  </si>
  <si>
    <t>SLABKO1989@INTERNET.RU'</t>
  </si>
  <si>
    <t>54.499454,36.289548</t>
  </si>
  <si>
    <t>ОБЩЕСТВО С ОГРАНИЧЕННОЙ ОТВЕТСТВЕННОСТЬЮ "КОМПАНИЯ ВИТАЛАН"</t>
  </si>
  <si>
    <t xml:space="preserve"> "КОМПАНИЯ ВИТАЛАН"</t>
  </si>
  <si>
    <t>4027063069</t>
  </si>
  <si>
    <t>http://remontprof.umi.ru</t>
  </si>
  <si>
    <t>248002, КАЛУЖСКАЯ ОБЛ, КАЛУГА Г, САЛТЫКОВА-ЩЕДРИНА УЛ, 125, -, -</t>
  </si>
  <si>
    <t>ОБЩЕСТВО С ОГРАНИЧЕННОЙ ОТВЕТСТВЕННОСТЬЮ "Торговый дом Строй-инвест-Бетон"</t>
  </si>
  <si>
    <t xml:space="preserve"> "Торговый дом Строй-инвест-Бетон"</t>
  </si>
  <si>
    <t>4027101282</t>
  </si>
  <si>
    <t>http://sibeton.ru</t>
  </si>
  <si>
    <t>248000, КАЛУЖСКАЯ ОБЛАСТЬ, ГОРОД КАЛУГА, УЛИЦА ГАГАРИНА, ДОМ 1, ОФИС 400</t>
  </si>
  <si>
    <t>54.549084,36.24978</t>
  </si>
  <si>
    <t>ОБЩЕСТВО С ОГРАНИЧЕННОЙ ОТВЕТСТВЕННОСТЬЮ "Строй-Инвест-Бетон"</t>
  </si>
  <si>
    <t xml:space="preserve"> "Строй-Инвест-Бетон"</t>
  </si>
  <si>
    <t>4027101878</t>
  </si>
  <si>
    <t>248017, КАЛУЖСКАЯ ОБЛ, КАЛУГА Г, ЖЕЛЕЗНЯКИ УЛ, ДОМ 20</t>
  </si>
  <si>
    <t>Водеников Андрей Борисович</t>
  </si>
  <si>
    <t>54.513579,36.300957</t>
  </si>
  <si>
    <t>ОБЩЕСТВО С ОГРАНИЧЕННОЙ ОТВЕТСТВЕННОСТЬЮ "СТРОИТЕЛЬНО-МОНТАЖНОЕ УПРАВЛЕНИЕ ФИЛИАЛ 1"</t>
  </si>
  <si>
    <t xml:space="preserve"> "СТРОИТЕЛЬНО-МОНТАЖНОЕ УПРАВЛЕНИЕ ФИЛИАЛ 1"</t>
  </si>
  <si>
    <t>4027110054</t>
  </si>
  <si>
    <t>248003, КАЛУЖСКАЯ ОБЛАСТЬ, ГОРОД КАЛУГА, ПЕРЕУЛОК ТУЛЬСКИЙ 2-Й, ДОМ 3, ПОМЕЩЕНИЕ 2</t>
  </si>
  <si>
    <t>Зеленков Николай Сергеевич</t>
  </si>
  <si>
    <t>+7 (920) 611-81-80', '+7 (965) 707-07-37'</t>
  </si>
  <si>
    <t>54.554269,36.265132</t>
  </si>
  <si>
    <t>ОБЩЕСТВО С ОГРАНИЧЕННОЙ ОТВЕТСТВЕННОСТЬЮ "ПОЛИГОН ЖБЦ"</t>
  </si>
  <si>
    <t xml:space="preserve"> "ПОЛИГОН ЖБЦ"</t>
  </si>
  <si>
    <t>4028020340</t>
  </si>
  <si>
    <t>http://poligon-kaluga.ru</t>
  </si>
  <si>
    <t>248017, КАЛУЖСКАЯ ОБЛАСТЬ, ГОРОД КАЛУГА, УЛИЦА МОСКОВСКАЯ, 290, -, -</t>
  </si>
  <si>
    <t>Макаричев Владимир Александрович</t>
  </si>
  <si>
    <t>54.562095,36.272282</t>
  </si>
  <si>
    <t xml:space="preserve"> "СТРОИТЕЛЬ"</t>
  </si>
  <si>
    <t>4028029543</t>
  </si>
  <si>
    <t>Г КАЛУГА,УЛ АЗАРОВСКАЯ Д 28 А</t>
  </si>
  <si>
    <t>Дидаев Иса Рамзанович</t>
  </si>
  <si>
    <t>53.082975,158.570524</t>
  </si>
  <si>
    <t xml:space="preserve"> "БАЗАЛЬТ"</t>
  </si>
  <si>
    <t>4100001380</t>
  </si>
  <si>
    <t>684017, КАМЧАТСКИЙ КРАЙ, Р-Н ЕЛИЗОВСКИЙ, П СВЕТЛЫЙ</t>
  </si>
  <si>
    <t>Сизиков Александр Николаевич</t>
  </si>
  <si>
    <t>+7 (909) 838-93-22', '+7 (909) 838-93-13', '+7 (914) 020-44-61'</t>
  </si>
  <si>
    <t>52.933548,158.409384</t>
  </si>
  <si>
    <t>ОБЩЕСТВО С ОГРАНИЧЕННОЙ ОТВЕТСТВЕННОСТЬЮ "БЕТОН 41"</t>
  </si>
  <si>
    <t xml:space="preserve"> "БЕТОН 41"</t>
  </si>
  <si>
    <t>4100039087</t>
  </si>
  <si>
    <t>684090, КАМЧАТСКИЙ КРАЙ, Г. Вилючинск, УЛ. МИРА, Д. 3,..</t>
  </si>
  <si>
    <t>Козлов Роман Олегович</t>
  </si>
  <si>
    <t>BO@KAMBUH.RU'</t>
  </si>
  <si>
    <t>53.045042,158.657939</t>
  </si>
  <si>
    <t>ОБЩЕСТВО С ОГРАНИЧЕННОЙ ОТВЕТСТВЕННОСТЬЮ "САЛГИР"</t>
  </si>
  <si>
    <t xml:space="preserve"> "САЛГИР"</t>
  </si>
  <si>
    <t>4101006983</t>
  </si>
  <si>
    <t>Г ПЕТРОПАВЛОВСК-КАМЧАТСКИЙ,УЛ ВЛАДИВОСТОКСКАЯ 4..</t>
  </si>
  <si>
    <t>Гоцуленко Петр Павлович</t>
  </si>
  <si>
    <t>+7 (961) 968-01-32'</t>
  </si>
  <si>
    <t>53.026528,158.679993</t>
  </si>
  <si>
    <t>ОБЩЕСТВО С ОГРАНИЧЕННОЙ ОТВЕТСТВЕННОСТЬЮ "АВТОКАМСТРОЙ41"</t>
  </si>
  <si>
    <t xml:space="preserve"> "АВТОКАМСТРОЙ41"</t>
  </si>
  <si>
    <t>4101190154</t>
  </si>
  <si>
    <t>683032, КАМЧАТСКИЙ КРАЙ, ГОРОД ПЕТРОПАВЛОВСК-КАМЧАТСКИЙ, УЛИЦА ВЫСОТНАЯ, ДОМ 30, ОФИС 22</t>
  </si>
  <si>
    <t>Кривенко Денис Николаевич</t>
  </si>
  <si>
    <t>+7 (984) 165-31-81'</t>
  </si>
  <si>
    <t>53.058201,158.668953</t>
  </si>
  <si>
    <t xml:space="preserve"> "БЕТОН КОМПЛЕКТ"</t>
  </si>
  <si>
    <t>4101192352</t>
  </si>
  <si>
    <t>683009, КАМЧАТСКИЙ КРАЙ, ГОРОД ПЕТРОПАВЛОВСК-КАМЧАТСКИЙ, УЛИЦА АКАДЕМИКА КУРЧАТОВА, ДОМ 1,..</t>
  </si>
  <si>
    <t>Симаков Алексей Валентинович</t>
  </si>
  <si>
    <t>BK41@YANDEX.RU'</t>
  </si>
  <si>
    <t>53.05189,158.681978</t>
  </si>
  <si>
    <t>ОБЩЕСТВО С ОГРАНИЧЕННОЙ ОТВЕТСТВЕННОСТЬЮ "СТРОЙСИСТЕМА-МАРКЕТ"</t>
  </si>
  <si>
    <t xml:space="preserve"> "СТРОЙСИСТЕМА-МАРКЕТ"</t>
  </si>
  <si>
    <t>4101194222</t>
  </si>
  <si>
    <t>683020, Камчатский край, городской округ ПЕТРОПАВЛОВСК-КАМЧАТСКИЙ, Город ПЕТРОПАВЛОВСК-КАМЧАТСКИЙ, УЛ ДАЛЬНЯЯ, Д. 2/1,</t>
  </si>
  <si>
    <t>Котов Дмитрий Михайлович</t>
  </si>
  <si>
    <t>53.180387,158.380512</t>
  </si>
  <si>
    <t>ОБЩЕСТВО С ОГРАНИЧЕННОЙ ОТВЕТСТВЕННОСТЬЮ "Строительная компания Север"</t>
  </si>
  <si>
    <t xml:space="preserve"> "Строительная компания Север"</t>
  </si>
  <si>
    <t>4105041450</t>
  </si>
  <si>
    <t>684000, Камчатский край, г Елизово, ул Сопочная, д 13</t>
  </si>
  <si>
    <t>Шлычкина Елена Анатольевна</t>
  </si>
  <si>
    <t>+7 (914) 021-00-73'</t>
  </si>
  <si>
    <t>se19@mail.ru', 'SE19@MAIL.RU', 'se19@mail.ru'</t>
  </si>
  <si>
    <t>53.114071,158.518512</t>
  </si>
  <si>
    <t>ОБЩЕСТВО С ОГРАНИЧЕННОЙ ОТВЕТСТВЕННОСТЬЮ "БЕТОН 19 КМ"</t>
  </si>
  <si>
    <t xml:space="preserve"> "БЕТОН 19 КМ"</t>
  </si>
  <si>
    <t>4105097124</t>
  </si>
  <si>
    <t>684014, КАМЧАТСКИЙ КРАЙ, Р-Н ЕЛИЗОВСКИЙ, П НАГОРНЫЙ, УЛ. ШОССЕЙНАЯ, Д. 64</t>
  </si>
  <si>
    <t>Бочериков Сергей Викторович</t>
  </si>
  <si>
    <t>ОБЩЕСТВО С ОГРАНИЧЕННОЙ ОТВЕТСТВЕННОСТЬЮ "МОНОТЭК"</t>
  </si>
  <si>
    <t xml:space="preserve"> "МОНОТЭК"</t>
  </si>
  <si>
    <t>4105097445</t>
  </si>
  <si>
    <t>684014, КАМЧАТСКИЙ КРАЙ, РАЙОН ЕЛИЗОВСКИЙ, ПОСЕЛОК НАГОРНЫЙ, УЛИЦА МОХОВСКАЯ, КОРПУС 1, ОФИС 7</t>
  </si>
  <si>
    <t>Коротков Сергей Николаевич</t>
  </si>
  <si>
    <t>55.388926,86.104912</t>
  </si>
  <si>
    <t>ОБЩЕСТВО С ОГРАНИЧЕННОЙ ОТВЕТСТВЕННОСТЬЮ "КЕМЕРОВСКИЙ БЕТОННО-РАСТВОРНЫЙ ЗАВОД"</t>
  </si>
  <si>
    <t xml:space="preserve"> "КЕМЕРОВСКИЙ БЕТОННО-РАСТВОРНЫЙ ЗАВОД"</t>
  </si>
  <si>
    <t>4205132125</t>
  </si>
  <si>
    <t>Г КЕМЕРОВО,ПРОСП ШАХТЕРОВ,Д 37 А..</t>
  </si>
  <si>
    <t>Денисенко Ольга Александровна</t>
  </si>
  <si>
    <t>55.441647,86.190055</t>
  </si>
  <si>
    <t>ОБЩЕСТВО С ОГРАНИЧЕННОЙ ОТВЕТСТВЕННОСТЬЮ "БРУ"</t>
  </si>
  <si>
    <t xml:space="preserve"> "БРУ"</t>
  </si>
  <si>
    <t>4205240882</t>
  </si>
  <si>
    <t>650071, КЕМЕРОВСКАЯ ОБЛАСТЬ - КУЗБАСС, ГОРОД КЕМЕРОВО, ПРОСПЕКТ В.В.МИХАЙЛОВА, ЗДАНИЕ 2/1, ПОМЕЩЕНИЕ 16</t>
  </si>
  <si>
    <t>Терехов Андрей Иванович</t>
  </si>
  <si>
    <t>+7 (961) 701-91-36'</t>
  </si>
  <si>
    <t>55.36534,86.058955</t>
  </si>
  <si>
    <t>4205334788</t>
  </si>
  <si>
    <t>650021, КЕМЕРОВСКАЯ ОБЛАСТЬ - КУЗБАСС, ГОРОД КЕМЕРОВО, УЛИЦА СТАНЦИОННАЯ, ДОМ 19, ОФИС 211</t>
  </si>
  <si>
    <t>Жиряков Григорий Вениаминович</t>
  </si>
  <si>
    <t>+7 (923) 491-50-00'</t>
  </si>
  <si>
    <t>market42@mail.ru'</t>
  </si>
  <si>
    <t>55.384999,86.082769</t>
  </si>
  <si>
    <t>ОБЩЕСТВО С ОГРАНИЧЕННОЙ ОТВЕТСТВЕННОСТЬЮ "БЕТОН-СТРОЙ КОМПАНИ"</t>
  </si>
  <si>
    <t xml:space="preserve"> "БЕТОН-СТРОЙ КОМПАНИ"</t>
  </si>
  <si>
    <t>4205356492</t>
  </si>
  <si>
    <t>650044, КЕМЕРОВСКАЯ ОБЛАСТЬ - КУЗБАСС, Г. КЕМЕРОВО, УЛ. РУТГЕРСА, Д. 41Г, ОФИС 211</t>
  </si>
  <si>
    <t>Иванов Илья Геннадьевич</t>
  </si>
  <si>
    <t>kem@mail.ru'</t>
  </si>
  <si>
    <t>55.323259,86.158362</t>
  </si>
  <si>
    <t xml:space="preserve"> "ИНТЕРТЕХ"</t>
  </si>
  <si>
    <t>4205373875</t>
  </si>
  <si>
    <t>650036, КЕМЕРОВСКАЯ ОБЛАСТЬ - КУЗБАСС, ГОРОД КЕМЕРОВО, ПРОЕЗД ПРОМЫШЛЕННЫЙ, ДОМ 2,..</t>
  </si>
  <si>
    <t>Моисеев Владимир Евгеньевич</t>
  </si>
  <si>
    <t>55.336902,85.988329</t>
  </si>
  <si>
    <t>ОБЩЕСТВО С ОГРАНИЧЕННОЙ ОТВЕТСТВЕННОСТЬЮ "ОДА-СТРОЙ"</t>
  </si>
  <si>
    <t xml:space="preserve"> "ОДА-СТРОЙ"</t>
  </si>
  <si>
    <t>4205375262</t>
  </si>
  <si>
    <t>650021, КЕМЕРОВСКАЯ ОБЛАСТЬ - КУЗБАСС , ГОРОД КЕМЕРОВО, УЛИЦА ГРУЗОВАЯ, ДОМ 18, ОФИС 312</t>
  </si>
  <si>
    <t>Морозов Антон Владимирович</t>
  </si>
  <si>
    <t>oda173@yandex.ru'</t>
  </si>
  <si>
    <t>55.346655,86.150951</t>
  </si>
  <si>
    <t>ОБЩЕСТВО С ОГРАНИЧЕННОЙ ОТВЕТСТВЕННОСТЬЮ "СИБТРАНС"</t>
  </si>
  <si>
    <t xml:space="preserve"> "СИБТРАНС"</t>
  </si>
  <si>
    <t>4205393208</t>
  </si>
  <si>
    <t>650023, КЕМЕРОВСКАЯ ОБЛАСТЬ - КУЗБАСС, Г. КЕМЕРОВО, ПР-КТ ЛЕНИНА, Д. 118,..</t>
  </si>
  <si>
    <t>Шеркеев Денис Сергеевич</t>
  </si>
  <si>
    <t>55.117283,86.511193</t>
  </si>
  <si>
    <t>ОБЩЕСТВО С ОГРАНИЧЕННОЙ ОТВЕТСТВЕННОСТЬЮ "СТРОЙАРСЕНАЛ"</t>
  </si>
  <si>
    <t xml:space="preserve"> "СТРОЙАРСЕНАЛ"</t>
  </si>
  <si>
    <t>4212024593</t>
  </si>
  <si>
    <t>652455, КЕМЕРОВСКАЯ ОБЛАСТЬ - КУЗБАСС, РАЙОН КРАПИВИНСКИЙ, ПОСЕЛОК БЕРЕЗОВКА, УЛИЦА ЦЕНТРАЛЬНАЯ, 1А</t>
  </si>
  <si>
    <t>Тузовский Владислав Викторович</t>
  </si>
  <si>
    <t>+7 (950) 278-22-44'</t>
  </si>
  <si>
    <t>56.200698,87.717864</t>
  </si>
  <si>
    <t>ОБЩЕСТВО С ОГРАНИЧЕННОЙ ОТВЕТСТВЕННОСТЬЮ "МАРИИНСКОЕ СТРОЙУПРАВЛЕНИЕ"</t>
  </si>
  <si>
    <t xml:space="preserve"> "МАРИИНСКОЕ СТРОЙУПРАВЛЕНИЕ"</t>
  </si>
  <si>
    <t>4213011879</t>
  </si>
  <si>
    <t>652155, КЕМЕРОВСКАЯ ОБЛАСТЬ - КУЗБАСС, РАЙОН МАРИИНСКИЙ, ГОРОД МАРИИНСК, УЛИЦА 50 ЛЕТ ОКТЯБРЯ, ДОМ 76</t>
  </si>
  <si>
    <t>Кальной Александр Николаевич</t>
  </si>
  <si>
    <t>+7 (905) 960-70-44'</t>
  </si>
  <si>
    <t>53.758011,87.085882</t>
  </si>
  <si>
    <t>ОБЩЕСТВО С ОГРАНИЧЕННОЙ ОТВЕТСТВЕННОСТЬЮ "ПРОИЗВОДСТВЕННАЯ КОМПАНИЯ "МОНОЛИТ"</t>
  </si>
  <si>
    <t xml:space="preserve"> "ПРОИЗВОДСТВЕННАЯ КОМПАНИЯ "МОНОЛИТ"</t>
  </si>
  <si>
    <t>4217144196</t>
  </si>
  <si>
    <t>654063, КЕМЕРОВСКАЯ ОБЛАСТЬ - КУЗБАСС, ГОРОД НОВОКУЗНЕЦК, УЛИЦА РУДОКОПРОВАЯ (ЦЕНТРАЛЬНЫЙ Р-Н), 26</t>
  </si>
  <si>
    <t>Горбунов Михаил Викторович</t>
  </si>
  <si>
    <t>53.784002,87.120655</t>
  </si>
  <si>
    <t>ОБЩЕСТВО С ОГРАНИЧЕННОЙ ОТВЕТСТВЕННОСТЬЮ "БЕТОН 42"</t>
  </si>
  <si>
    <t xml:space="preserve"> "БЕТОН 42"</t>
  </si>
  <si>
    <t>4217175853</t>
  </si>
  <si>
    <t>654006, КЕМЕРОВСКАЯ ОБЛАСТЬ - КУЗБАСС, ГОРОД НОВОКУЗНЕЦК, УЛИЦА ЧАЙКИНОЙ (ЦЕНТРАЛЬНЫЙ Р-Н), ДОМ 2А, КОРПУС 10</t>
  </si>
  <si>
    <t>Бирюков Александр Александрович</t>
  </si>
  <si>
    <t>+7 (904) 572-49-12'</t>
  </si>
  <si>
    <t>53.772418,87.123243</t>
  </si>
  <si>
    <t>ОБЩЕСТВО С ОГРАНИЧЕННОЙ ОТВЕТСТВЕННОСТЬЮ "БЕТОН ХОЛДИНГ"</t>
  </si>
  <si>
    <t xml:space="preserve"> "БЕТОН ХОЛДИНГ"</t>
  </si>
  <si>
    <t>4217201140</t>
  </si>
  <si>
    <t>654005, КЕМЕРОВСКАЯ ОБЛАСТЬ - КУЗБАСС ОБЛ., Г. Новокузнецк, ПР-КТ СТРОИТЕЛЕЙ (ЦЕНТРАЛЬНЫЙ Р-Н), Д. 56, ОФИС 10/2</t>
  </si>
  <si>
    <t>Березуцкий Станислав Михайлович</t>
  </si>
  <si>
    <t>52.915258,87.972797</t>
  </si>
  <si>
    <t>ОБЩЕСТВО С ОГРАНИЧЕННОЙ ОТВЕТСТВЕННОСТЬЮ "СпецАвтоТранс"</t>
  </si>
  <si>
    <t xml:space="preserve"> "СпецАвтоТранс"</t>
  </si>
  <si>
    <t>4252000060</t>
  </si>
  <si>
    <t>652971, КЕМЕРОВСКАЯ ОБЛАСТЬ - КУЗБАСС, Р-Н ТАШТАГОЛЬСКИЙ, ПГТ ШЕРЕГЕШ, УЛ. ВОКЗАЛЬНАЯ, Д.57А</t>
  </si>
  <si>
    <t>Голдобин Виталий Викторович</t>
  </si>
  <si>
    <t>+7 (913) 331-88-11'</t>
  </si>
  <si>
    <t>53.899233,87.613884</t>
  </si>
  <si>
    <t>ОБЩЕСТВО С ОГРАНИЧЕННОЙ ОТВЕТСТВЕННОСТЬЮ "АБС-СТРОЙ"</t>
  </si>
  <si>
    <t xml:space="preserve"> "АБС-СТРОЙ"</t>
  </si>
  <si>
    <t>4252015394</t>
  </si>
  <si>
    <t>654217, КЕМЕРОВСКАЯ ОБЛАСТЬ - КУЗБАСС, РАЙОН НОВОКУЗНЕЦКИЙ, ПОСЕЛОК И(ПРИ) СТАНЦИЯ(И) ТАЛЬЖИНО, УЛИЦА СОВЕТСКАЯ, ДОМ 1, КОРПУС Е, ОФИС 3</t>
  </si>
  <si>
    <t>Ежелева Анастасия Алексеевна</t>
  </si>
  <si>
    <t>nrsgb@mail.ru'</t>
  </si>
  <si>
    <t>53.751675,87.057189</t>
  </si>
  <si>
    <t xml:space="preserve"> "ТЕХНОЛОГИЯ"</t>
  </si>
  <si>
    <t>4253040594</t>
  </si>
  <si>
    <t>654063, КЕМЕРОВСКАЯ ОБЛАСТЬ - КУЗБАСС, Г. НОВОКУЗНЕЦК, УЛ. ДИМИТРОВА (КУЙБЫШЕВСКИЙ Р-Н), Д. 21</t>
  </si>
  <si>
    <t>Новожилов Александр Александрович</t>
  </si>
  <si>
    <t>ionova1@yandex.ru'</t>
  </si>
  <si>
    <t>53.782432,87.22804</t>
  </si>
  <si>
    <t>ОБЩЕСТВО С ОГРАНИЧЕННОЙ ОТВЕТСТВЕННОСТЬЮ "КУЗБЕТОН"</t>
  </si>
  <si>
    <t xml:space="preserve"> "КУЗБЕТОН"</t>
  </si>
  <si>
    <t>4253047945</t>
  </si>
  <si>
    <t>654015, КЕМЕРОВСКАЯ ОБЛАСТЬ - КУЗБАСС, ГОРОД НОВОКУЗНЕЦК, УЛИЦА МАЛОЭТАЖНАЯ (КУЗНЕЦКИЙ Р-Н), ДОМ 11, КОРПУС 2, ОФИС 2</t>
  </si>
  <si>
    <t>Матвеенко Андрей Александрович</t>
  </si>
  <si>
    <t>53.780192,87.202151</t>
  </si>
  <si>
    <t>ОБЩЕСТВО С ОГРАНИЧЕННОЙ ОТВЕТСТВЕННОСТЬЮ "ЕВРОБЕТОН-НК"</t>
  </si>
  <si>
    <t xml:space="preserve"> "ЕВРОБЕТОН-НК"</t>
  </si>
  <si>
    <t>4253049389</t>
  </si>
  <si>
    <t>654034, КЕМЕРОВСКАЯ ОБЛАСТЬ - КУЗБАСС, Г. Новокузнецк, УЛ. ЕКИМОВА (КУЗНЕЦКИЙ Р-Н), Д. 24А, ПОМЕЩЕНИЕ 2-Й ЭТАЖ</t>
  </si>
  <si>
    <t>Хавелов Алексей Александрович</t>
  </si>
  <si>
    <t>53.890436,87.303795</t>
  </si>
  <si>
    <t>ОБЩЕСТВО С ОГРАНИЧЕННОЙ ОТВЕТСТВЕННОСТЬЮ "БЕТОНПЛЮС"</t>
  </si>
  <si>
    <t xml:space="preserve"> "БЕТОНПЛЮС"</t>
  </si>
  <si>
    <t>4253050842</t>
  </si>
  <si>
    <t>654043, КЕМЕРОВСКАЯ ОБЛАСТЬ - КУЗБАСС, Г. Новокузнецк, Ш. КОСМИЧЕСКОЕ (ЗАВОДСКОЙ Р-Н), Д. 11, ПОМЕЩ. 2</t>
  </si>
  <si>
    <t>Моисеев Константин Сергеевич</t>
  </si>
  <si>
    <t>NKZ@MAIL.RU'</t>
  </si>
  <si>
    <t>53.859886,87.220018</t>
  </si>
  <si>
    <t>ОБЩЕСТВО С ОГРАНИЧЕННОЙ ОТВЕТСТВЕННОСТЬЮ "БЕТОН-НК"</t>
  </si>
  <si>
    <t xml:space="preserve"> "БЕТОН-НК"</t>
  </si>
  <si>
    <t>4253051613</t>
  </si>
  <si>
    <t>654038, Кемеровская область - Кузбасс, НОВОКУЗНЕЦКИЙ, Г НОВОКУЗНЕЦК, Ш БЫЗОВСКОЕ, Д. 2А, К. 2</t>
  </si>
  <si>
    <t>Нечаев Артур Алексеевич</t>
  </si>
  <si>
    <t>NK@MAIL.RU'</t>
  </si>
  <si>
    <t>56.215353,51.030614</t>
  </si>
  <si>
    <t>ОБЩЕСТВО С ОГРАНИЧЕННОЙ ОТВЕТСТВЕННОСТЬЮ "ЗАПЧАСТЬ"</t>
  </si>
  <si>
    <t xml:space="preserve"> "ЗАПЧАСТЬ"</t>
  </si>
  <si>
    <t>4307004411</t>
  </si>
  <si>
    <t>612965, КИРОВСКАЯ ОБЛАСТЬ, Р-Н ВЯТСКОПОЛЯНСКИЙ, Г. ВЯТСКИЕ ПОЛЯНЫ, УЛ. ЛЕНИНА, Д. 333, К. 11</t>
  </si>
  <si>
    <t>Ягафарова Гузель Фаритовна</t>
  </si>
  <si>
    <t>+7 (912) 821-72-72'</t>
  </si>
  <si>
    <t>58.516456,50.004002</t>
  </si>
  <si>
    <t>ОБЩЕСТВО С ОГРАНИЧЕННОЙ ОТВЕТСТВЕННОСТЬЮ "СПЕЦАВТОСТРОЙ"</t>
  </si>
  <si>
    <t xml:space="preserve"> "СПЕЦАВТОСТРОЙ"</t>
  </si>
  <si>
    <t>4312131077</t>
  </si>
  <si>
    <t>613048, КИРОВСКАЯ ОБЛ, КИРОВО-ЧЕПЕЦКИЙ Р-Н, КИРОВО-ЧЕПЕЦК Г, ЦЕПЕЛИ КВ-Л, 21</t>
  </si>
  <si>
    <t>Самохвалов Сергей Федорович</t>
  </si>
  <si>
    <t>58.558248,49.998225</t>
  </si>
  <si>
    <t>ОБЩЕСТВО С ОГРАНИЧЕННОЙ ОТВЕТСТВЕННОСТЬЮ ИСПЫТАТЕЛЬНЫЙ ЦЕНТР "ЧЕПЕЦКАЯ СТРОИТЕЛЬНАЯ ЛАБОРАТОРИЯ"</t>
  </si>
  <si>
    <t xml:space="preserve"> ИСПЫТАТЕЛЬНЫЙ ЦЕНТР "ЧЕПЕЦКАЯ СТРОИТЕЛЬНАЯ ЛАБОРАТОРИЯ"</t>
  </si>
  <si>
    <t>4312135032</t>
  </si>
  <si>
    <t>613040, КИРОВСКАЯ ОБЛАСТЬ, Г. КИРОВО-ЧЕПЕЦК, УЛ. СТРОИТЕЛЬНАЯ, Д. 2Г, ПОМЕЩ. 3</t>
  </si>
  <si>
    <t>Хохряков Вячеслав Евгеньевич</t>
  </si>
  <si>
    <t>58.320119,48.280063</t>
  </si>
  <si>
    <t>ОБЩЕСТВО С ОГРАНИЧЕННОЙ ОТВЕТСТВЕННОСТЬЮ "ФОРМУЛА БЕТОНА 43"</t>
  </si>
  <si>
    <t xml:space="preserve"> "ФОРМУЛА БЕТОНА 43"</t>
  </si>
  <si>
    <t>4313010597</t>
  </si>
  <si>
    <t>612607, Кировская область, г Котельнич, ул Даровская, д 28 офис 1</t>
  </si>
  <si>
    <t>Васенёв Сергей Анатольевич</t>
  </si>
  <si>
    <t>+7 (912) 820-79-68'</t>
  </si>
  <si>
    <t>58.594644,49.662732</t>
  </si>
  <si>
    <t>ОБЩЕСТВО С ОГРАНИЧЕННОЙ ОТВЕТСТВЕННОСТЬЮ "СНАБКОМПЛЕКТЛОГИСТИК"</t>
  </si>
  <si>
    <t xml:space="preserve"> "СНАБКОМПЛЕКТЛОГИСТИК"</t>
  </si>
  <si>
    <t>4345286911</t>
  </si>
  <si>
    <t>610027, Кировская область, городской округ ГОРОД КИРОВ, Город КИРОВ, УЛ ДЕРЕНДЯЕВА, Д. 80, К. 1, ОФИС 2</t>
  </si>
  <si>
    <t>Холманских Дмитрий Олегович</t>
  </si>
  <si>
    <t>+7 (912) 728-49-48'</t>
  </si>
  <si>
    <t>58.599136,49.680932</t>
  </si>
  <si>
    <t>ОБЩЕСТВО С ОГРАНИЧЕННОЙ ОТВЕТСТВЕННОСТЬЮ ПРОИЗВОДСТВЕННАЯ КОМПАНИЯ "ПРОФСТРОЙ"</t>
  </si>
  <si>
    <t xml:space="preserve"> ПРОИЗВОДСТВЕННАЯ КОМПАНИЯ "ПРОФСТРОЙ"</t>
  </si>
  <si>
    <t>4345406619</t>
  </si>
  <si>
    <t>http://jbi-profstroy.ru</t>
  </si>
  <si>
    <t>610002, КИРОВСКАЯ ОБЛАСТЬ, ГОРОД КИРОВ, УЛИЦА ЛЕНИНА, ДОМ 83, ОФИС 112</t>
  </si>
  <si>
    <t>Даровский Алексей Александрович</t>
  </si>
  <si>
    <t>+7 (922) 668-03-12', '+7 (953) 948-08-73'</t>
  </si>
  <si>
    <t>kmp@gk-profdekor'</t>
  </si>
  <si>
    <t>58.612858,49.624562</t>
  </si>
  <si>
    <t>ОБЩЕСТВО С ОГРАНИЧЕННОЙ ОТВЕТСТВЕННОСТЬЮ "БЕТОН-43"</t>
  </si>
  <si>
    <t xml:space="preserve"> "БЕТОН-43"</t>
  </si>
  <si>
    <t>4345431132</t>
  </si>
  <si>
    <t>610033, КИРОВСКАЯ ОБЛ, КИРОВ Г, ЛЕПСЕ УЛ, ДОМ 38,..</t>
  </si>
  <si>
    <t>Козловских Эдуард Владимирович</t>
  </si>
  <si>
    <t>+7 (982) 383-11-03'</t>
  </si>
  <si>
    <t>beton43@list.ru'</t>
  </si>
  <si>
    <t>58.606441,49.60674</t>
  </si>
  <si>
    <t>ОБЩЕСТВО С ОГРАНИЧЕННОЙ ОТВЕТСТВЕННОСТЬЮ "КОНСТРУКТИВ"</t>
  </si>
  <si>
    <t xml:space="preserve"> "КОНСТРУКТИВ"</t>
  </si>
  <si>
    <t>4345436518</t>
  </si>
  <si>
    <t>610050, КИРОВСКАЯ ОБЛАСТЬ, ГОРОД КИРОВ, УЛИЦА ЦИОЛКОВСКОГО, ДОМ 5, КОРПУС 1</t>
  </si>
  <si>
    <t>Котенёв Андрей Михайлович</t>
  </si>
  <si>
    <t>konstruktiv2016@mail.ru'</t>
  </si>
  <si>
    <t>58.589471,49.684498</t>
  </si>
  <si>
    <t>ОБЩЕСТВО С ОГРАНИЧЕННОЙ ОТВЕТСТВЕННОСТЬЮ "НОВАЯ ЗЕЛЕНЬ"</t>
  </si>
  <si>
    <t xml:space="preserve"> "НОВАЯ ЗЕЛЕНЬ"</t>
  </si>
  <si>
    <t>4345484511</t>
  </si>
  <si>
    <t>610002, КИРОВСКАЯ ОБЛАСТЬ, Г. КИРОВ, УЛ. ПРОЛЕТАРСКАЯ, Д. 14, ПОМЕЩ. 1006</t>
  </si>
  <si>
    <t>Кудрявцев Андрей Васильевич</t>
  </si>
  <si>
    <t>+7 (912) 735-72-00'</t>
  </si>
  <si>
    <t>ooonzkirov@bk.ru'</t>
  </si>
  <si>
    <t>58.609933,49.679773</t>
  </si>
  <si>
    <t>ОБЩЕСТВО С ОГРАНИЧЕННОЙ ОТВЕТСТВЕННОСТЬЮ "СТО КУБОВ"</t>
  </si>
  <si>
    <t xml:space="preserve"> "СТО КУБОВ"</t>
  </si>
  <si>
    <t>4345494686</t>
  </si>
  <si>
    <t>610004, КИРОВСКАЯ ОБЛ, КИРОВ Г, ЛЕНИНА УЛ, ДОМ 35,..</t>
  </si>
  <si>
    <t>Коряковцев Дмитрий Константинович</t>
  </si>
  <si>
    <t>58.605953,49.67308</t>
  </si>
  <si>
    <t>ОБЩЕСТВО С ОГРАНИЧЕННОЙ ОТВЕТСТВЕННОСТЬЮ "РБУ-ГРИБОЕДОВА"</t>
  </si>
  <si>
    <t xml:space="preserve"> "РБУ-ГРИБОЕДОВА"</t>
  </si>
  <si>
    <t>4345511081</t>
  </si>
  <si>
    <t>610002, КИРОВСКАЯ ОБЛ., Г. Киров, УЛ. ВОЛОДАРСКОГО, Д. 88А,..</t>
  </si>
  <si>
    <t>Петухова Анна Константиновна</t>
  </si>
  <si>
    <t>474192@MAIL.RU'</t>
  </si>
  <si>
    <t>58.56649,49.644532</t>
  </si>
  <si>
    <t>ОБЩЕСТВО С ОГРАНИЧЕННОЙ ОТВЕТСТВЕННОСТЬЮ "КИРОВСКИЙ ЗАВОД БЕТОНА"</t>
  </si>
  <si>
    <t xml:space="preserve"> "КИРОВСКИЙ ЗАВОД БЕТОНА"</t>
  </si>
  <si>
    <t>4345513219</t>
  </si>
  <si>
    <t>610025, КИРОВСКАЯ ОБЛ., Г. Киров, УЛ. МОСТОВИЦКАЯ, Д. 5,..</t>
  </si>
  <si>
    <t>Глушков Антон Александрович</t>
  </si>
  <si>
    <t>58.58372,49.613935</t>
  </si>
  <si>
    <t>ОБЩЕСТВО С ОГРАНИЧЕННОЙ ОТВЕТСТВЕННОСТЬЮ "БЕТОН-ПЛЮС"</t>
  </si>
  <si>
    <t xml:space="preserve"> "БЕТОН-ПЛЮС"</t>
  </si>
  <si>
    <t>4345517118</t>
  </si>
  <si>
    <t>610014, Кировская область, ГОРОД КИРОВ, Г КИРОВ, УЛ НЕКРАСОВА, Д. 71,СТР. 3</t>
  </si>
  <si>
    <t>Гущин Алексей Валерьевич</t>
  </si>
  <si>
    <t>447373BETON@MAIL.RU'</t>
  </si>
  <si>
    <t>58.58251,49.613764</t>
  </si>
  <si>
    <t>ОБЩЕСТВО С ОГРАНИЧЕННОЙ ОТВЕТСТВЕННОСТЬЮ "ВЕКТОР-ПЛЮС"</t>
  </si>
  <si>
    <t xml:space="preserve"> "ВЕКТОР-ПЛЮС"</t>
  </si>
  <si>
    <t>4346041600</t>
  </si>
  <si>
    <t>610014, КИРОВСКАЯ ОБЛАСТЬ, Г. КИРОВ, УЛ. НЕКРАСОВА, Д. 71, ОФИС 2</t>
  </si>
  <si>
    <t>Дёмин Евгений Петрович</t>
  </si>
  <si>
    <t>+7 (912) 734-73-73'</t>
  </si>
  <si>
    <t>ОБЩЕСТВО С ОГРАНИЧЕННОЙ ОТВЕТСТВЕННОСТЬЮ "БЕТОНОРАСТВОРНЫЙ ЗАВОД"</t>
  </si>
  <si>
    <t xml:space="preserve"> "БЕТОНОРАСТВОРНЫЙ ЗАВОД"</t>
  </si>
  <si>
    <t>4401105520</t>
  </si>
  <si>
    <t>150064, ЯРОСЛАВСКАЯ ОБЛАСТЬ, ГОРОД ЯРОСЛАВЛЬ, УЛИЦА ПРОМЫШЛЕННАЯ, ДОМ 19, ОФИС 203, ЛИТЕР 3,31</t>
  </si>
  <si>
    <t>Козырев Алексей Павлович</t>
  </si>
  <si>
    <t>57.80396,40.999909</t>
  </si>
  <si>
    <t>ОБЩЕСТВО С ОГРАНИЧЕННОЙ ОТВЕТСТВЕННОСТЬЮ "СЕВЕРНЫЙ БАРС"</t>
  </si>
  <si>
    <t xml:space="preserve"> "СЕВЕРНЫЙ БАРС"</t>
  </si>
  <si>
    <t>4401150635</t>
  </si>
  <si>
    <t>156012, КОСТРОМСКАЯ ОБЛАСТЬ, ГОРОД КОСТРОМА, УЛИЦА КОСТРОМСКАЯ, 101</t>
  </si>
  <si>
    <t>Иванов Сергей Владимирович</t>
  </si>
  <si>
    <t>57.77436,40.968154</t>
  </si>
  <si>
    <t>ОБЩЕСТВО С ОГРАНИЧЕННОЙ ОТВЕТСТВЕННОСТЬЮ "ФРЕГАТ"</t>
  </si>
  <si>
    <t xml:space="preserve"> "ФРЕГАТ"</t>
  </si>
  <si>
    <t>4401153026</t>
  </si>
  <si>
    <t>156008, КОСТРОМСКАЯ ОБЛАСТЬ, ГОРОД КОСТРОМА, УЛИЦА ШАГОВА, 181, 63</t>
  </si>
  <si>
    <t>Фригин Дмитрий Владимирович</t>
  </si>
  <si>
    <t>+7 (920) 649-71-80'</t>
  </si>
  <si>
    <t>57.732858,40.97755</t>
  </si>
  <si>
    <t>ОБЩЕСТВО С ОГРАНИЧЕННОЙ ОТВЕТСТВЕННОСТЬЮ "НОВЫЕ ТЕХНОЛОГИИ"</t>
  </si>
  <si>
    <t xml:space="preserve"> "НОВЫЕ ТЕХНОЛОГИИ"</t>
  </si>
  <si>
    <t>4401178951</t>
  </si>
  <si>
    <t>156009, КОСТРОМСКАЯ ОБЛАСТЬ, ГОРОД КОСТРОМА, УЛИЦА ЮБИЛЕЙНАЯ, ДОМ 28, ЛИТЕР С, ОФИС 2</t>
  </si>
  <si>
    <t>Филиппов Дмитрий Сергеевич</t>
  </si>
  <si>
    <t>+7 (960) 740-22-88'</t>
  </si>
  <si>
    <t>57.769574,40.946522</t>
  </si>
  <si>
    <t>ОБЩЕСТВО С ОГРАНИЧЕННОЙ ОТВЕТСТВЕННОСТЬЮ "СПЕЦБЕТОНСТРОЙ"</t>
  </si>
  <si>
    <t xml:space="preserve"> "СПЕЦБЕТОНСТРОЙ"</t>
  </si>
  <si>
    <t>4401181552</t>
  </si>
  <si>
    <t>156000, КОСТРОМСКАЯ ОБЛАСТЬ, ГОРОД КОСТРОМА, УЛИЦА МЯСНИЦКАЯ, ДОМ 23, КОМНАТА 10</t>
  </si>
  <si>
    <t>+7 (910) 808-70-00', '+7 (953) 640-33-33'</t>
  </si>
  <si>
    <t>57.737836,40.850483</t>
  </si>
  <si>
    <t>ОБЩЕСТВО С ОГРАНИЧЕННОЙ ОТВЕТСТВЕННОСТЬЮ "БЕТОН44"</t>
  </si>
  <si>
    <t xml:space="preserve"> "БЕТОН44"</t>
  </si>
  <si>
    <t>4401190860</t>
  </si>
  <si>
    <t>156001, КОСТРОМСКАЯ ОБЛАСТЬ, ГОРОД КОСТРОМА, УЛИЦА МОСКОВСКАЯ, ДОМ 105, ЛИТЕР Р-9</t>
  </si>
  <si>
    <t>Семин Петр Иванович</t>
  </si>
  <si>
    <t>57.44702,41.1636</t>
  </si>
  <si>
    <t>ОБЩЕСТВО С ОГРАНИЧЕННОЙ ОТВЕТСТВЕННОСТЬЮ "ВОЛГОРЕЧЕНСКИЙ БЕТОНОРАСТВОРНЫЙ ЗАВОД"</t>
  </si>
  <si>
    <t xml:space="preserve"> "ВОЛГОРЕЧЕНСКИЙ БЕТОНОРАСТВОРНЫЙ ЗАВОД"</t>
  </si>
  <si>
    <t>4431004423</t>
  </si>
  <si>
    <t>156901, КОСТРОМСКАЯ ОБЛАСТЬ, ГОРОД ВОЛГОРЕЧЕНСК, УЛИЦА ИНДУСТРИАЛЬНАЯ, 15, ПОМЕЩЕНИЕ 18</t>
  </si>
  <si>
    <t>55.471393,65.326098</t>
  </si>
  <si>
    <t>ОБЩЕСТВО С ОГРАНИЧЕННОЙ ОТВЕТСТВЕННОСТЬЮ "ГАРАНТБЕТОН"</t>
  </si>
  <si>
    <t xml:space="preserve"> "ГАРАНТБЕТОН"</t>
  </si>
  <si>
    <t>4501161616</t>
  </si>
  <si>
    <t>640014, КУРГАНСКАЯ ОБЛ, Г КУРГАН, ПР-КТ МАШИНОСТРОИТЕЛЕЙ, Д 34, СТР 1</t>
  </si>
  <si>
    <t>Назарова Оксана Николаевна</t>
  </si>
  <si>
    <t>55.463335,65.260216</t>
  </si>
  <si>
    <t>ОБЩЕСТВО С ОГРАНИЧЕННОЙ ОТВЕТСТВЕННОСТЬЮ "ТОРГСЕРВИССТРОЙ"</t>
  </si>
  <si>
    <t xml:space="preserve"> "ТОРГСЕРВИССТРОЙ"</t>
  </si>
  <si>
    <t>4501199627</t>
  </si>
  <si>
    <t>640023, КУРГАНСКАЯ ОБЛ, Г КУРГАН, 2 МКРН, Д 9,..</t>
  </si>
  <si>
    <t>Волкова Надежда Петровна</t>
  </si>
  <si>
    <t>tss45@inbox.ru'</t>
  </si>
  <si>
    <t>55.425788,65.283132</t>
  </si>
  <si>
    <t>ОБЩЕСТВО С ОГРАНИЧЕННОЙ ОТВЕТСТВЕННОСТЬЮ "РБУ-45"</t>
  </si>
  <si>
    <t xml:space="preserve"> "РБУ-45"</t>
  </si>
  <si>
    <t>4501201298</t>
  </si>
  <si>
    <t>640001, КУРГАНСКАЯ ОБЛ, Г КУРГАН, УЛ КОЛИ МЯГОТИНА, СТР 6Б, ОФ 4</t>
  </si>
  <si>
    <t>Козлов Андрей Александрович</t>
  </si>
  <si>
    <t>+7 (929) 225-73-31'</t>
  </si>
  <si>
    <t>55.431622,65.293615</t>
  </si>
  <si>
    <t>ОБЩЕСТВО С ОГРАНИЧЕННОЙ ОТВЕТСТВЕННОСТЬЮ "СДТ-МОНОЛИТ"</t>
  </si>
  <si>
    <t xml:space="preserve"> "СДТ-МОНОЛИТ"</t>
  </si>
  <si>
    <t>4501208649</t>
  </si>
  <si>
    <t>640003, КУРГАНСКАЯ ОБЛ, Г КУРГАН, УЛ КЛАРЫ ЦЕТКИН, Д 2, ОФ 5</t>
  </si>
  <si>
    <t>Трофимов Евгений Владимирович</t>
  </si>
  <si>
    <t>+7 (963) 005-76-09'</t>
  </si>
  <si>
    <t>55.449061,65.309965</t>
  </si>
  <si>
    <t>4501208825</t>
  </si>
  <si>
    <t>640004, КУРГАНСКАЯ ОБЛ, Г КУРГАН, УЛ ПАНФИЛОВА, Д 82, ОФ 2</t>
  </si>
  <si>
    <t>Меньшиков Евгений Викторович</t>
  </si>
  <si>
    <t>+7 (909) 724-73-54'</t>
  </si>
  <si>
    <t>55.422119,65.288701</t>
  </si>
  <si>
    <t xml:space="preserve"> "БЕТОН СИТИ"</t>
  </si>
  <si>
    <t>4501232433</t>
  </si>
  <si>
    <t>640032, Курганская область, ГОРОД КУРГАН, Г КУРГАН, УЛ КРАСНОМАЯЧНАЯ, Д. 8</t>
  </si>
  <si>
    <t>Прокопьева Алена Викторовна</t>
  </si>
  <si>
    <t>45@BK.RU'</t>
  </si>
  <si>
    <t>55.428357,65.284228</t>
  </si>
  <si>
    <t>ОБЩЕСТВО С ОГРАНИЧЕННОЙ ОТВЕТСТВЕННОСТЬЮ "БЕТОННЫЙ ЗАВОД 45"</t>
  </si>
  <si>
    <t xml:space="preserve"> "БЕТОННЫЙ ЗАВОД 45"</t>
  </si>
  <si>
    <t>4501232673</t>
  </si>
  <si>
    <t>640003, Курганская область, ГОРОД КУРГАН, Г КУРГАН, УЛ КОЛИ МЯГОТИНА, СТР. 12А</t>
  </si>
  <si>
    <t>Романов Евгений Сергеевич</t>
  </si>
  <si>
    <t>52.121239,35.06403</t>
  </si>
  <si>
    <t>ОБЩЕСТВО С ОГРАНИЧЕННОЙ ОТВЕТСТВЕННОСТЬЮ "ДМИТРИЕВБЕТОН"</t>
  </si>
  <si>
    <t xml:space="preserve"> "ДМИТРИЕВБЕТОН"</t>
  </si>
  <si>
    <t>4605008820</t>
  </si>
  <si>
    <t>307500, КУРСКАЯ ОБЛАСТЬ, Р-Н ДМИТРИЕВСКИЙ, Г. ДМИТРИЕВ, УЛ. ФОСФОРИТНАЯ, Д. 5В</t>
  </si>
  <si>
    <t>Булаев Александр Сергеевич</t>
  </si>
  <si>
    <t>51.775533,38.15684</t>
  </si>
  <si>
    <t>ОБЩЕСТВО С ОГРАНИЧЕННОЙ ОТВЕТСТВЕННОСТЬЮ "ИНВЕСТСТРОЙ"</t>
  </si>
  <si>
    <t xml:space="preserve"> "ИНВЕСТСТРОЙ"</t>
  </si>
  <si>
    <t>4608006596</t>
  </si>
  <si>
    <t>306716, Курская область, муниципальный район КАСТОРЕНСКИЙ, ПГТ ОЛЫМСКИЙ, городское поселение ПОСЕЛОК ОЛЫМСКИЙ, ПЕР ДАЧНЫЙ, Д. 10,..</t>
  </si>
  <si>
    <t>Пальчун Сергей Анатольевич</t>
  </si>
  <si>
    <t>PALCHUN97@MAIL.RU'</t>
  </si>
  <si>
    <t>51.652997,36.091317</t>
  </si>
  <si>
    <t>ОБЩЕСТВО С ОГРАНИЧЕННОЙ ОТВЕТСТВЕННОСТЬЮ "БЕТОННЫЙ ЗАВОД №4"</t>
  </si>
  <si>
    <t xml:space="preserve"> "БЕТОННЫЙ ЗАВОД №4"</t>
  </si>
  <si>
    <t>4611012448</t>
  </si>
  <si>
    <t>305026, КУРСКАЯ ОБЛАСТЬ, Г. КУРСК, ПР-Д СИЛИКАТНЫЙ, Д. 18А</t>
  </si>
  <si>
    <t>Колесникова Инна Викторовна</t>
  </si>
  <si>
    <t>+7 (960) 698-20-87'</t>
  </si>
  <si>
    <t>pesok46@yandex.ru'</t>
  </si>
  <si>
    <t>51.657462,36.056687</t>
  </si>
  <si>
    <t>ОБЩЕСТВО С ОГРАНИЧЕННОЙ ОТВЕТСТВЕННОСТЬЮ "Бетонный завод БЕТОНМАРК"</t>
  </si>
  <si>
    <t xml:space="preserve"> "Бетонный завод БЕТОНМАРК"</t>
  </si>
  <si>
    <t>4611012840</t>
  </si>
  <si>
    <t>305527, КУРСКАЯ ОБЛАСТЬ, РАЙОН КУРСКИЙ, ДЕРЕВНЯ ВОРОШНЕВО, УЛИЦА ГАЗОПРОВОДСКАЯ, 33</t>
  </si>
  <si>
    <t>Костин Евгений Евгеньевич</t>
  </si>
  <si>
    <t>51.658624,36.153579</t>
  </si>
  <si>
    <t>ОБЩЕСТВО С ОГРАНИЧЕННОЙ ОТВЕТСТВЕННОСТЬЮ "ЮМИС"</t>
  </si>
  <si>
    <t xml:space="preserve"> "ЮМИС"</t>
  </si>
  <si>
    <t>4632126870</t>
  </si>
  <si>
    <t>http://umis33.ru</t>
  </si>
  <si>
    <t>305018, КУРСКАЯ ОБЛАСТЬ, ГОРОД КУРСК, УЛИЦА ПРИВОКЗАЛЬНАЯ, ДОМ 15</t>
  </si>
  <si>
    <t>Воронкин Юрий Михайлович</t>
  </si>
  <si>
    <t>+7 (910) 315-96-24'</t>
  </si>
  <si>
    <t>ОБЩЕСТВО С ОГРАНИЧЕННОЙ ОТВЕТСТВЕННОСТЬЮ "Кайрос"</t>
  </si>
  <si>
    <t xml:space="preserve"> "Кайрос"</t>
  </si>
  <si>
    <t>4632158938</t>
  </si>
  <si>
    <t>305044, КУРСКАЯ ОБЛАСТЬ, ГОРОД КУРСК, УЛИЦА КАШИРЦЕВА, ДОМ 4, ОФИС 3</t>
  </si>
  <si>
    <t>Касьянов Валентин Вячеславович</t>
  </si>
  <si>
    <t>+7 (471) 252-17-04'</t>
  </si>
  <si>
    <t>51.712039,36.157936</t>
  </si>
  <si>
    <t>ОБЩЕСТВО С ОГРАНИЧЕННОЙ ОТВЕТСТВЕННОСТЬЮ "ЛЮМИС"</t>
  </si>
  <si>
    <t xml:space="preserve"> "ЛЮМИС"</t>
  </si>
  <si>
    <t>4632244288</t>
  </si>
  <si>
    <t>305007, КУРСКАЯ ОБЛАСТЬ, ГОРОД КУРСК, ПРОЕЗД МОКОВСКИЙ 2-Й, ДОМ 9 В, ОФИС 5</t>
  </si>
  <si>
    <t>Петрова Людмила Евгеньевна</t>
  </si>
  <si>
    <t>+7 (903) 876-81-35'</t>
  </si>
  <si>
    <t>info@lumis46.ru'</t>
  </si>
  <si>
    <t>51.75894,36.12247</t>
  </si>
  <si>
    <t xml:space="preserve"> "БЕТОНИНВЕСТ"</t>
  </si>
  <si>
    <t>4632250651</t>
  </si>
  <si>
    <t>305040, КУРСКАЯ ОБЛАСТЬ, ГОРОД КУРСК, УЛИЦА 50 ЛЕТ ОКТЯБРЯ, ДОМ 124 Д, КАБИНЕТ 3</t>
  </si>
  <si>
    <t>Кованный Андрей Сергеевич</t>
  </si>
  <si>
    <t>51.694043,36.14915</t>
  </si>
  <si>
    <t>ОБЩЕСТВО С ОГРАНИЧЕННОЙ ОТВЕТСТВЕННОСТЬЮ "БЕТОГОР"</t>
  </si>
  <si>
    <t xml:space="preserve"> "БЕТОГОР"</t>
  </si>
  <si>
    <t>4632257417</t>
  </si>
  <si>
    <t>305047, КУРСКАЯ ОБЛАСТЬ, ГОРОД КУРСК, УЛИЦА ЭНГЕЛЬСА, ДОМ 171А, ПОМЕЩЕНИЕ 104</t>
  </si>
  <si>
    <t>Долгополова Карина Валерьевна</t>
  </si>
  <si>
    <t>betogor@mail.ru'</t>
  </si>
  <si>
    <t>ОБЩЕСТВО С ОГРАНИЧЕННОЙ ОТВЕТСТВЕННОСТЬЮ "СКОРОСТЬ"</t>
  </si>
  <si>
    <t xml:space="preserve"> "СКОРОСТЬ"</t>
  </si>
  <si>
    <t>4632267729</t>
  </si>
  <si>
    <t>305018, КУРСКАЯ ОБЛАСТЬ, Г. КУРСК, УЛ. ПРИВОКЗАЛЬНАЯ, Д. 12</t>
  </si>
  <si>
    <t>Захаров Геннадий Владимирович</t>
  </si>
  <si>
    <t>51.656607,36.135658</t>
  </si>
  <si>
    <t>ОБЩЕСТВО С ОГРАНИЧЕННОЙ ОТВЕТСТВЕННОСТЬЮ "КУРСКИЙ БЗ"</t>
  </si>
  <si>
    <t xml:space="preserve"> "КУРСКИЙ БЗ"</t>
  </si>
  <si>
    <t>4632276314</t>
  </si>
  <si>
    <t>305018, КУРСКАЯ ОБЛ., Г. Курск, УЛ. ПРИВОКЗАЛЬНАЯ, Д. 1А, ПОМЕЩ. 3</t>
  </si>
  <si>
    <t>Еськов Михаил Алексеевич</t>
  </si>
  <si>
    <t>51.719254,36.141568</t>
  </si>
  <si>
    <t>ОБЩЕСТВО С ОГРАНИЧЕННОЙ ОТВЕТСТВЕННОСТЬЮ "КУРСКМОНОЛИТСТРОЙ"</t>
  </si>
  <si>
    <t xml:space="preserve"> "КУРСКМОНОЛИТСТРОЙ"</t>
  </si>
  <si>
    <t>4632279925</t>
  </si>
  <si>
    <t>305005, КУРСКАЯ ОБЛ., Г. Курск, ПР-КТ ВЯЧЕСЛАВА КЛЫКОВА, Д. 58,..</t>
  </si>
  <si>
    <t>Овсюк Елена Александровна</t>
  </si>
  <si>
    <t>ELENAOVSYK@GMAIL.RU'</t>
  </si>
  <si>
    <t>51.721563,36.132963</t>
  </si>
  <si>
    <t>ОБЩЕСТВО С ОГРАНИЧЕННОЙ ОТВЕТСТВЕННОСТЬЮ ПРОМЫШЛЕННО-ПРОИЗВОДСТВЕННАЯ КОМПАНИЯ "РЕГИОН БЕТОН"</t>
  </si>
  <si>
    <t xml:space="preserve"> ПРОМЫШЛЕННО-ПРОИЗВОДСТВЕННАЯ КОМПАНИЯ "РЕГИОН БЕТОН"</t>
  </si>
  <si>
    <t>4634012677</t>
  </si>
  <si>
    <t>305005, Курская область, городской округ ГОРОД КУРСК, Город КУРСК, ПР-КТ ВЯЧЕСЛАВА КЛЫКОВА, ЗД. 1Б, ОФИС 3</t>
  </si>
  <si>
    <t>Токарев Сергей Валерьевич</t>
  </si>
  <si>
    <t>+7 (920) 263-00-41'</t>
  </si>
  <si>
    <t>51.675902,35.595519</t>
  </si>
  <si>
    <t>ОБЩЕСТВО С ОГРАНИЧЕННОЙ ОТВЕТСТВЕННОСТЬЮ "КПД-БЕТОН"</t>
  </si>
  <si>
    <t xml:space="preserve"> "КПД-БЕТОН"</t>
  </si>
  <si>
    <t>4634013085</t>
  </si>
  <si>
    <t>307250, КУРСКАЯ ОБЛАСТЬ, ГОРОД КУРЧАТОВ, ПРОМЗОНА ПРОМЗОНА</t>
  </si>
  <si>
    <t>Купреев Станислав Евгеньевич</t>
  </si>
  <si>
    <t>59.911543,32.346707</t>
  </si>
  <si>
    <t>ОБЩЕСТВО С ОГРАНИЧЕННОЙ ОТВЕТСТВЕННОСТЬЮ "РБУ - ВОЛХОВ"</t>
  </si>
  <si>
    <t xml:space="preserve"> "РБУ - ВОЛХОВ"</t>
  </si>
  <si>
    <t>4702010720</t>
  </si>
  <si>
    <t>187406, ЛЕНИНГРАДСКАЯ ОБЛАСТЬ, РАЙОН ВОЛХОВСКИЙ, ГОРОД ВОЛХОВ, ПРОСПЕКТ ВОЛХОВСКИЙ, ДОМ 5, ПОМЕЩЕНИЕ 5</t>
  </si>
  <si>
    <t>Кириллов Виктор Михайлович</t>
  </si>
  <si>
    <t>59.921024,32.314458</t>
  </si>
  <si>
    <t>ОБЩЕСТВО С ОГРАНИЧЕННОЙ ОТВЕТСТВЕННОСТЬЮ "Строительно-Монтажное Управление 212"</t>
  </si>
  <si>
    <t xml:space="preserve"> "Строительно-Монтажное Управление 212"</t>
  </si>
  <si>
    <t>4702016520</t>
  </si>
  <si>
    <t>187401, ЛЕНИНГРАДСКАЯ ОБЛАСТЬ, РАЙОН ВОЛХОВСКИЙ, ГОРОД ВОЛХОВ, УЛИЦА ЛЕНИНА, 8, ЛИТ. Д</t>
  </si>
  <si>
    <t>Баулин Павел Борисович</t>
  </si>
  <si>
    <t>+7 (921) 308-11-12'</t>
  </si>
  <si>
    <t>59.94814,30.560524</t>
  </si>
  <si>
    <t>ОБЩЕСТВО С ОГРАНИЧЕННОЙ ОТВЕТСТВЕННОСТЬЮ "ЛУЯБЕТОМИКС"</t>
  </si>
  <si>
    <t xml:space="preserve"> "ЛУЯБЕТОМИКС"</t>
  </si>
  <si>
    <t>4703139356</t>
  </si>
  <si>
    <t>188689, ЛЕНИНГРАДСКАЯ ОБЛАСТЬ, Р-Н ВСЕВОЛОЖСКИЙ, ГП ЯНИНО-1, ПР-Д ПРОМЫШЛЕННЫЙ (ПРОИЗВОДСТВЕННАЯ ЗОНА ЯНИН, ЗД. 5/1, ПОМЕЩ. 1</t>
  </si>
  <si>
    <t>Кабаков Антон Юрьевич</t>
  </si>
  <si>
    <t>+7 (812) 320-48-90', '+7 (812) 957-90-29'</t>
  </si>
  <si>
    <t>akimova@lujabetomix.ru'</t>
  </si>
  <si>
    <t>59.903733,30.56498</t>
  </si>
  <si>
    <t>ОБЩЕСТВО С ОГРАНИЧЕННОЙ ОТВЕТСТВЕННОСТЬЮ "КОНГЛОМЕРАТ ЛО"</t>
  </si>
  <si>
    <t xml:space="preserve"> "КОНГЛОМЕРАТ ЛО"</t>
  </si>
  <si>
    <t>4703141115</t>
  </si>
  <si>
    <t>188689, ЛЕНИНГРАДСКАЯ ОБЛАСТЬ, РАЙОН ВСЕВОЛОЖСКИЙ, ДЕРЕВНЯ Новосергиевка, ДОМ 5</t>
  </si>
  <si>
    <t>Капица Вячеслав Викторович</t>
  </si>
  <si>
    <t>kmm21@yandex.ru'</t>
  </si>
  <si>
    <t>60.014207,30.666921</t>
  </si>
  <si>
    <t>ОБЩЕСТВО С ОГРАНИЧЕННОЙ ОТВЕТСТВЕННОСТЬЮ "РЕГИОНМОНОЛИТ БЕТОН"</t>
  </si>
  <si>
    <t xml:space="preserve"> "РЕГИОНМОНОЛИТ БЕТОН"</t>
  </si>
  <si>
    <t>4703148488</t>
  </si>
  <si>
    <t>188643, ЛЕНИНГРАДСКАЯ ОБЛАСТЬ, РАЙОН ВСЕВОЛОЖСКИЙ, ГОРОД ВСЕВОЛОЖСК, УЛИЦА ПУШКИНСКАЯ, ДОМ 7, ЛИТЕР А, ОФИС 3</t>
  </si>
  <si>
    <t>Дёмин Максим Сергеевич</t>
  </si>
  <si>
    <t>60.107599,30.489845</t>
  </si>
  <si>
    <t>ОБЩЕСТВО С ОГРАНИЧЕННОЙ ОТВЕТСТВЕННОСТЬЮ "ГСК-БЕТОН"</t>
  </si>
  <si>
    <t xml:space="preserve"> "ГСК-БЕТОН"</t>
  </si>
  <si>
    <t>4703152580</t>
  </si>
  <si>
    <t>188663, ЛЕНИНГРАДСКАЯ ОБЛАСТЬ, РАЙОН ВСЕВОЛОЖСКИЙ, ГОРОДСКОЙ ПОСЕЛОК КУЗЬМОЛОВСКИЙ, УЛИЦА РЯДОВОГО ЛЕОНИДА ИВАНОВА, ДОМ 8-А, ПОМЕЩЕНИЕ 20-Н</t>
  </si>
  <si>
    <t>Михайлов Павел Сергеевич</t>
  </si>
  <si>
    <t>59.91425,30.511539</t>
  </si>
  <si>
    <t>ОБЩЕСТВО С ОГРАНИЧЕННОЙ ОТВЕТСТВЕННОСТЬЮ "СЕВЕРО-ЗАПАДНАЯ БЕТОННАЯ КОМПАНИЯ"</t>
  </si>
  <si>
    <t xml:space="preserve"> "СЕВЕРО-ЗАПАДНАЯ БЕТОННАЯ КОМПАНИЯ"</t>
  </si>
  <si>
    <t>4703153262</t>
  </si>
  <si>
    <t>188691, ЛЕНИНГРАДСКАЯ ОБЛАСТЬ, РАЙОН ВСЕВОЛОЖСКИЙ, ГОРОД КУДРОВО, УЛИЦА ЛЕНИНГРАДСКАЯ (НОВЫЙ ОККЕРВИЛЬ МКР), ДОМ 5, ПОМЕЩЕНИЕ 20-Н</t>
  </si>
  <si>
    <t>buh@szbk-beton'</t>
  </si>
  <si>
    <t>60.017737,30.646888</t>
  </si>
  <si>
    <t>ОБЩЕСТВО С ОГРАНИЧЕННОЙ ОТВЕТСТВЕННОСТЬЮ "ГРУППА КОМПАНИЙ "МОНОЛИТ-СОФИЙСКАЯ"</t>
  </si>
  <si>
    <t xml:space="preserve"> "ГРУППА КОМПАНИЙ "МОНОЛИТ-СОФИЙСКАЯ"</t>
  </si>
  <si>
    <t>4703155855</t>
  </si>
  <si>
    <t>188640, ЛЕНИНГРАДСКАЯ ОБЛАСТЬ, РАЙОН ВСЕВОЛОЖСКИЙ, ГОРОД ВСЕВОЛОЖСК, ПРОСПЕКТ ВСЕВОЛОЖСКИЙ, ДОМ 41, ОФИС № 3/1</t>
  </si>
  <si>
    <t>Горячилов Михаил Геннадьевич</t>
  </si>
  <si>
    <t>60.050242,30.445252</t>
  </si>
  <si>
    <t>ОБЩЕСТВО С ОГРАНИЧЕННОЙ ОТВЕТСТВЕННОСТЬЮ "КАНН БЕТОН"</t>
  </si>
  <si>
    <t xml:space="preserve"> "КАНН БЕТОН"</t>
  </si>
  <si>
    <t>4703155904</t>
  </si>
  <si>
    <t>188678, ЛЕНИНГРАДСКАЯ ОБЛАСТЬ, Р-Н ВСЕВОЛОЖСКИЙ, Г. МУРИНО, ПЛ. ПРИВОКЗАЛЬНАЯ, Д. 1-А, К. 1, ПОМЕЩ. 48-Н ОФИС 32</t>
  </si>
  <si>
    <t>Кудряшов Виталий Юрьевич</t>
  </si>
  <si>
    <t>60.022809,30.645226</t>
  </si>
  <si>
    <t>ОБЩЕСТВО С ОГРАНИЧЕННОЙ ОТВЕТСТВЕННОСТЬЮ "ГРУППА КОМПАНИЙ "ВОЛХОНСКОЕ"</t>
  </si>
  <si>
    <t xml:space="preserve"> "ГРУППА КОМПАНИЙ "ВОЛХОНСКОЕ"</t>
  </si>
  <si>
    <t>4703156062</t>
  </si>
  <si>
    <t>188640, ЛЕНИНГРАДСКАЯ ОБЛАСТЬ, Р-Н ВСЕВОЛОЖСКИЙ, Г. ВСЕВОЛОЖСК, ПР-КТ ВСЕВОЛОЖСКИЙ, Д. 14, ПОМЕЩ. 2.3.2</t>
  </si>
  <si>
    <t>Никульшина Яна Сергеевна</t>
  </si>
  <si>
    <t>60.034708,30.737564</t>
  </si>
  <si>
    <t>ОБЩЕСТВО С ОГРАНИЧЕННОЙ ОТВЕТСТВЕННОСТЬЮ "РЕГИОН-МОНОЛИТ ПЛЮС"</t>
  </si>
  <si>
    <t xml:space="preserve"> "РЕГИОН-МОНОЛИТ ПЛЮС"</t>
  </si>
  <si>
    <t>4703156070</t>
  </si>
  <si>
    <t>188676, ЛЕНИНГРАДСКАЯ ОБЛАСТЬ, РАЙОН ВСЕВОЛОЖСКИЙ, ДЕРЕВНЯ ЩЕГЛОВО, ДОМ 79,..</t>
  </si>
  <si>
    <t>Михайлов Максим Владимирович</t>
  </si>
  <si>
    <t>60.13699,30.205223</t>
  </si>
  <si>
    <t>ОБЩЕСТВО С ОГРАНИЧЕННОЙ ОТВЕТСТВЕННОСТЬЮ "БЕТОННЫЙ ЗАВОД БРИЛЛИАНТ"</t>
  </si>
  <si>
    <t xml:space="preserve"> "БЕТОННЫЙ ЗАВОД БРИЛЛИАНТ"</t>
  </si>
  <si>
    <t>4703174618</t>
  </si>
  <si>
    <t>188650, ЛЕНИНГРАДСКАЯ ОБЛАСТЬ, РАЙОН ВСЕВОЛОЖСКИЙ, ГОРОД СЕРТОЛОВО, УЛИЦА ИНДУСТРИАЛЬНАЯ (СЕРТОЛОВО-1 МКР.), ДОМ 11, КОРПУС 1, КОМНАТА 16-17</t>
  </si>
  <si>
    <t>Трачук Елена Ивановна</t>
  </si>
  <si>
    <t>ОБЩЕСТВО С ОГРАНИЧЕННОЙ ОТВЕТСТВЕННОСТЬЮ "ПОЛАР БЕТОН"</t>
  </si>
  <si>
    <t xml:space="preserve"> "ПОЛАР БЕТОН"</t>
  </si>
  <si>
    <t>4703174760</t>
  </si>
  <si>
    <t>188640, ЛЕНИНГРАДСКАЯ ОБЛАСТЬ, РАЙОН ВСЕВОЛОЖСКИЙ, ГОРОД ВСЕВОЛОЖСК, ШОССЕ ЮЖНОЕ, ДОМ 148, ПОМЕЩЕНИЕ № 14</t>
  </si>
  <si>
    <t>Микляев Павел Владимирович</t>
  </si>
  <si>
    <t>60.709329,28.77205</t>
  </si>
  <si>
    <t>ОБЩЕСТВО С ОГРАНИЧЕННОЙ ОТВЕТСТВЕННОСТЬЮ "СК Монолит"</t>
  </si>
  <si>
    <t xml:space="preserve"> "СК Монолит"</t>
  </si>
  <si>
    <t>4704087037</t>
  </si>
  <si>
    <t>188800, ЛЕНИНГРАДСКАЯ ОБЛАСТЬ, Р-Н ВЫБОРГСКИЙ, Г. ВЫБОРГ, УЛ. КУЙБЫШЕВА, Д.22, ПОМЕЩЕНИЕ 5</t>
  </si>
  <si>
    <t>Сенин Константин Викторович</t>
  </si>
  <si>
    <t>59.890762,32.358269</t>
  </si>
  <si>
    <t>ОБЩЕСТВО С ОГРАНИЧЕННОЙ ОТВЕТСТВЕННОСТЬЮ "ВСК-МОНОЛИТ"</t>
  </si>
  <si>
    <t xml:space="preserve"> "ВСК-МОНОЛИТ"</t>
  </si>
  <si>
    <t>4704096360</t>
  </si>
  <si>
    <t>ЛЕНИНГРАДСКАЯ ОБЛ.,Г ВОЛХОВ,УЛ АВИАЦИОННАЯ, 36..</t>
  </si>
  <si>
    <t>Вавилова Екатерина Александровна</t>
  </si>
  <si>
    <t>+7 (921) 328-04-00'</t>
  </si>
  <si>
    <t>60.65431,28.740744</t>
  </si>
  <si>
    <t>ОБЩЕСТВО С ОГРАНИЧЕННОЙ ОТВЕТСТВЕННОСТЬЮ "БЕТОН 47"</t>
  </si>
  <si>
    <t xml:space="preserve"> "БЕТОН 47"</t>
  </si>
  <si>
    <t>4704101588</t>
  </si>
  <si>
    <t>188919, ЛЕНИНГРАДСКАЯ ОБЛАСТЬ, РАЙОН ВЫБОРГСКИЙ, ПОСЕЛОК СОКОЛИНСКОЕ, УЛИЦА ЛУГОВАЯ, ДОМ 1</t>
  </si>
  <si>
    <t>Писанко Евгений Владимирович</t>
  </si>
  <si>
    <t>+7 (921) 350-27-27'</t>
  </si>
  <si>
    <t>60.689514,28.81631</t>
  </si>
  <si>
    <t>ОБЩЕСТВО С ОГРАНИЧЕННОЙ ОТВЕТСТВЕННОСТЬЮ "БЕТОН ПРОГРЕСС"</t>
  </si>
  <si>
    <t xml:space="preserve"> "БЕТОН ПРОГРЕСС"</t>
  </si>
  <si>
    <t>4704103056</t>
  </si>
  <si>
    <t>188800, ЛЕНИНГРАДСКАЯ ОБЛАСТЬ, РАЙОН ВЫБОРГСКИЙ, ГОРОД ВЫБОРГ, ПОСЕЛОК ЛАЗАРЕВКА, АДМИНИСТРАТИВНОЕ ЗДАНИЕ, ЛИТЕРА А, ПОМЕЩЕНИЕ 34</t>
  </si>
  <si>
    <t>Борисова Екатерина Сергеевна</t>
  </si>
  <si>
    <t>+7 (921) 872-60-32'</t>
  </si>
  <si>
    <t>59.355815,30.060288</t>
  </si>
  <si>
    <t>ОБЩЕСТВО С ОГРАНИЧЕННОЙ ОТВЕТСТВЕННОСТЬЮ "АГРОСТРОЙ "СИВЕРСКИЙ"</t>
  </si>
  <si>
    <t xml:space="preserve"> "АГРОСТРОЙ "СИВЕРСКИЙ"</t>
  </si>
  <si>
    <t>4705034581</t>
  </si>
  <si>
    <t>http://astroy-sv.ru</t>
  </si>
  <si>
    <t>188330, ЛЕНИНГРАДСКАЯ ОБЛАСТЬ, РАЙОН ГАТЧИНСКИЙ, ГОРОДСКОЙ ПОСЕЛОК СИВЕРСКИЙ, ТЕРРИТОРИЯ ПРОМЗОНА, УЧАСТОК №7</t>
  </si>
  <si>
    <t>Драбовский Константин Вячеславович</t>
  </si>
  <si>
    <t>+7 (921) 779-42-41', '+7 (911) 145-56-41'</t>
  </si>
  <si>
    <t>59.559717,30.108223</t>
  </si>
  <si>
    <t>ОБЩЕСТВО С ОГРАНИЧЕННОЙ ОТВЕТСТВЕННОСТЬЮ "АРКТИКА"</t>
  </si>
  <si>
    <t xml:space="preserve"> "АРКТИКА"</t>
  </si>
  <si>
    <t>4705074295</t>
  </si>
  <si>
    <t>188307, ЛЕНИНГРАДСКАЯ ОБЛАСТЬ, Р-Н ГАТЧИНСКИЙ, Г. ГАТЧИНА, УЛ. ЖЕМЧУЖИНА, Д. 2Л, ПОМЕЩ. 35</t>
  </si>
  <si>
    <t>Кабаков Сергей Геннадьевич</t>
  </si>
  <si>
    <t>+7 (921) 798-78-51'</t>
  </si>
  <si>
    <t>59.541681,30.143625</t>
  </si>
  <si>
    <t>ОБЩЕСТВО С ОГРАНИЧЕННОЙ ОТВЕТСТВЕННОСТЬЮ "ПЕРЕДВИЖНОЙ МЕХАНИЗИРОВАННЫЙ КОМПЛЕКС-БЕТОН"</t>
  </si>
  <si>
    <t xml:space="preserve"> "ПЕРЕДВИЖНОЙ МЕХАНИЗИРОВАННЫЙ КОМПЛЕКС-БЕТОН"</t>
  </si>
  <si>
    <t>4705078123</t>
  </si>
  <si>
    <t>188304, ЛЕНИНГРАДСКАЯ ОБЛАСТЬ, РАЙОН ГАТЧИНСКИЙ, ПОСЕЛОК ПРИГОРОДНЫЙ, ШОССЕ ВЫРИЦКОЕ, ДОМ 1Б,..</t>
  </si>
  <si>
    <t>Арутюнян Корюн Размикович</t>
  </si>
  <si>
    <t>+7 (911) 903-04-13'</t>
  </si>
  <si>
    <t>a@mail.ru'</t>
  </si>
  <si>
    <t>59.568907,30.124248</t>
  </si>
  <si>
    <t>ОБЩЕСТВО С ОГРАНИЧЕННОЙ ОТВЕТСТВЕННОСТЬЮ "РЕНДЕРИНГ"</t>
  </si>
  <si>
    <t xml:space="preserve"> "РЕНДЕРИНГ"</t>
  </si>
  <si>
    <t>4705083691</t>
  </si>
  <si>
    <t>188300, ЛЕНИНГРАДСКАЯ ОБЛАСТЬ, ГАТЧИНСКИЙ РАЙОН, ГОРОД ГАТЧИНА, УЛИЦА РАДИЩЕВА, ДОМ 4, ПОМЕЩЕНИЕ IV</t>
  </si>
  <si>
    <t>Евстафиева Екатерина Ивановна</t>
  </si>
  <si>
    <t>59.757683,31.05952</t>
  </si>
  <si>
    <t>ОБЩЕСТВО С ОГРАНИЧЕННОЙ ОТВЕТСТВЕННОСТЬЮ "МГИНСКАЯ РЕМОНТНО-ЭКСПЛУАТАЦИОННАЯ КОМПАНИЯ"</t>
  </si>
  <si>
    <t xml:space="preserve"> "МГИНСКАЯ РЕМОНТНО-ЭКСПЛУАТАЦИОННАЯ КОМПАНИЯ"</t>
  </si>
  <si>
    <t>4706026216</t>
  </si>
  <si>
    <t>187300, ЛЕНИНГРАДСКАЯ ОБЛАСТЬ, РАЙОН КИРОВСКИЙ, рп Мга, УЛИЦА ПРОЛЕТАРСКАЯ, 9</t>
  </si>
  <si>
    <t>Костенич Наталья Павловна</t>
  </si>
  <si>
    <t>59.866707,30.98337</t>
  </si>
  <si>
    <t>ОБЩЕСТВО С ОГРАНИЧЕННОЙ ОТВЕТСТВЕННОСТЬЮ "НОРМА-БЕТОН"</t>
  </si>
  <si>
    <t xml:space="preserve"> "НОРМА-БЕТОН"</t>
  </si>
  <si>
    <t>4706035394</t>
  </si>
  <si>
    <t>187340, ЛЕНИНГРАДСКАЯ ОБЛАСТЬ, РАЙОН КИРОВСКИЙ, ГОРОД КИРОВСК, УЛИЦА ЖЕЛЕЗНОДОРОЖНАЯ, 6Б</t>
  </si>
  <si>
    <t>Альтергот Маргарита Михайловна</t>
  </si>
  <si>
    <t>+7 (921) 564-14-07', '+7 (921) 384-59-41'</t>
  </si>
  <si>
    <t>mgarec@yandex.ru'</t>
  </si>
  <si>
    <t>59.37957,28.617549</t>
  </si>
  <si>
    <t xml:space="preserve"> "ЛЮКСБЕТОН"</t>
  </si>
  <si>
    <t>4707039909</t>
  </si>
  <si>
    <t>188480, ЛЕНИНГРАДСКАЯ ОБЛ., Р-Н Кингисеппский, Г. Кингисепп, УЛ. ВОРОВСКОГО, Д. 21, ПОМЕЩ. 2</t>
  </si>
  <si>
    <t>Белов Анатолий Евгеньевич</t>
  </si>
  <si>
    <t>+7 (813) 754-81-31'</t>
  </si>
  <si>
    <t>59.776197,28.47575</t>
  </si>
  <si>
    <t>ОБЩЕСТВО С ОГРАНИЧЕННОЙ ОТВЕТСТВЕННОСТЬЮ "ПОРТБЕТОН"</t>
  </si>
  <si>
    <t xml:space="preserve"> "ПОРТБЕТОН"</t>
  </si>
  <si>
    <t>4707039987</t>
  </si>
  <si>
    <t>188477, ЛЕНИНГРАДСКАЯ ОБЛАСТЬ, РАЙОН КИНГИСЕППСКИЙ, ДЕРЕВНЯ ВИСТИНО, УЛИЦА ИЖОРСКАЯ, ДОМ 29/1, ПОМЕЩЕНИЕ 6</t>
  </si>
  <si>
    <t>Шкуратов Владимир Владимирович</t>
  </si>
  <si>
    <t>+7 (931) 393-78-30'</t>
  </si>
  <si>
    <t>portbeton@yandex.ru'</t>
  </si>
  <si>
    <t>60.922711,34.114206</t>
  </si>
  <si>
    <t>ОБЩЕСТВО С ОГРАНИЧЕННОЙ ОТВЕТСТВЕННОСТЬЮ "ПОДПОРОЖСКИЙ БЕТОННЫЙ ЗАВОД"</t>
  </si>
  <si>
    <t xml:space="preserve"> "ПОДПОРОЖСКИЙ БЕТОННЫЙ ЗАВОД"</t>
  </si>
  <si>
    <t>4711015410</t>
  </si>
  <si>
    <t>187780, ЛЕНИНГРАДСКАЯ ОБЛ., Р-Н Подпорожский, Г. Подпорожье, УЛ. ЗАПАДНАЯ, Д. 7, ПОМЕЩ. 2</t>
  </si>
  <si>
    <t>Дедюхин Василий Васильевич</t>
  </si>
  <si>
    <t>ОБЩЕСТВО С ОГРАНИЧЕННОЙ ОТВЕТСТВЕННОСТЬЮ "ТРАНССЕРВИС СЕВЕРО-ЗАПАД"</t>
  </si>
  <si>
    <t xml:space="preserve"> "ТРАНССЕРВИС СЕВЕРО-ЗАПАД"</t>
  </si>
  <si>
    <t>4716037376</t>
  </si>
  <si>
    <t>187000, ЛЕНИНГРАДСКАЯ ОБЛАСТЬ, Р-Н ТОСНЕНСКИЙ, Г. ТОСНО, УЛ. ЭНЕРГЕТИКОВ, Д.2/3</t>
  </si>
  <si>
    <t>Цыгин Денис Валерьевич</t>
  </si>
  <si>
    <t>+7 (901) 308-47-79'</t>
  </si>
  <si>
    <t>betonor2015@mail.ru'</t>
  </si>
  <si>
    <t>59.661181,30.551254</t>
  </si>
  <si>
    <t>ОБЩЕСТВО С ОГРАНИЧЕННОЙ ОТВЕТСТВЕННОСТЬЮ "БЕТОННЫЙ ЗАВОД ХУН-ФУ ХУА-СИНЬ"</t>
  </si>
  <si>
    <t xml:space="preserve"> "БЕТОННЫЙ ЗАВОД ХУН-ФУ ХУА-СИНЬ"</t>
  </si>
  <si>
    <t>4716046412</t>
  </si>
  <si>
    <t>187021, ЛЕНИНГРАДСКАЯ ОБЛАСТЬ, РАЙОН ТОСНЕНСКИЙ, ФЁДОРОВСКОЕ ГП, УЛИЦА ПОЧТОВАЯ, ДОМ 33, КОРПУС 1, ПОМЕЩЕНИЕ 4</t>
  </si>
  <si>
    <t xml:space="preserve"> Общество С Ограниченной Ответственностью "Гефест"</t>
  </si>
  <si>
    <t>59.552522,30.102671</t>
  </si>
  <si>
    <t>ОБЩЕСТВО С ОГРАНИЧЕННОЙ ОТВЕТСТВЕННОСТЬЮ "РУСЬ-95"</t>
  </si>
  <si>
    <t xml:space="preserve"> "РУСЬ-95"</t>
  </si>
  <si>
    <t>4719011320</t>
  </si>
  <si>
    <t>ЛЕНИНГРАДСКАЯ ОБЛ.,Г ГАТЧИНА,УЛ КИЕВСКАЯ, 23 А</t>
  </si>
  <si>
    <t>Угланов Сергей Анатольевич</t>
  </si>
  <si>
    <t>59.901802,29.098085</t>
  </si>
  <si>
    <t>ОБЩЕСТВО С ОГРАНИЧЕННОЙ ОТВЕТСТВЕННОСТЬЮ "Гарант-Строй"</t>
  </si>
  <si>
    <t xml:space="preserve"> "Гарант-Строй"</t>
  </si>
  <si>
    <t>4726000135</t>
  </si>
  <si>
    <t>188544, ЛЕНИНГРАДСКАЯ ОБЛАСТЬ, ГОРОД СОСНОВЫЙ БОР, УЛИЦА ПЕТРА ВЕЛИКОГО, ДОМ 10, КОРПУС А, ОФИС 53</t>
  </si>
  <si>
    <t>Миллер Алексей Борисович</t>
  </si>
  <si>
    <t>59.8958,29.092327</t>
  </si>
  <si>
    <t>ОБЩЕСТВО С ОГРАНИЧЕННОЙ ОТВЕТСТВЕННОСТЬЮ "КОНКРИТЛАЙН"</t>
  </si>
  <si>
    <t xml:space="preserve"> "КОНКРИТЛАЙН"</t>
  </si>
  <si>
    <t>4726003009</t>
  </si>
  <si>
    <t>188540, ЛЕНИНГРАДСКАЯ ОБЛАСТЬ, ГОРОД СОСНОВЫЙ БОР, УЛИЦА СИБИРСКАЯ, ДОМ 9, ПОМЕЩЕНИЕ 6</t>
  </si>
  <si>
    <t>+7 (813) 697-32-28'</t>
  </si>
  <si>
    <t>59.437914,32.062067</t>
  </si>
  <si>
    <t>ОБЩЕСТВО С ОГРАНИЧЕННОЙ ОТВЕТСТВЕННОСТЬЮ "БЕТОН 813"</t>
  </si>
  <si>
    <t xml:space="preserve"> "БЕТОН 813"</t>
  </si>
  <si>
    <t>4727005190</t>
  </si>
  <si>
    <t>187110, ЛЕНИНГРАДСКАЯ ОБЛАСТЬ, КИРИШСКИЙ РАЙОН, ГОРОД КИРИШИ, ПРОСПЕКТ ПОБЕДЫ, ДОМ 40, КОРПУС 3А, ОФИС 410</t>
  </si>
  <si>
    <t>Тарабыгин Сергей Викторович</t>
  </si>
  <si>
    <t>59.47439,32.033564</t>
  </si>
  <si>
    <t>ОБЩЕСТВО С ОГРАНИЧЕННОЙ ОТВЕТСТВЕННОСТЬЮ "КИРИШСКИЙ БЕТОННЫЙ УЗЕЛ"</t>
  </si>
  <si>
    <t xml:space="preserve"> "КИРИШСКИЙ БЕТОННЫЙ УЗЕЛ"</t>
  </si>
  <si>
    <t>4727005432</t>
  </si>
  <si>
    <t>187110, ЛЕНИНГРАДСКАЯ ОБЛАСТЬ, РАЙОН КИРИШСКИЙ, ГОРОД КИРИШИ, УЛИЦА ПРИБРЕЖНАЯ, ДОМ 13</t>
  </si>
  <si>
    <t>Гаврич Александр</t>
  </si>
  <si>
    <t>+7 (921) 873-23-25'</t>
  </si>
  <si>
    <t>53.251202,39.171056</t>
  </si>
  <si>
    <t xml:space="preserve"> "СОЮЗ БЕТОН"</t>
  </si>
  <si>
    <t>4803004120</t>
  </si>
  <si>
    <t>399850, ЛИПЕЦКАЯ ОБЛАСТЬ, РАЙОН ДАНКОВСКИЙ, ГОРОД ДАНКОВ, УЛИЦА МИРА, ДОМ 77А</t>
  </si>
  <si>
    <t>Ликунов Сергей Викторович</t>
  </si>
  <si>
    <t>+7 (915) 855-56-66'</t>
  </si>
  <si>
    <t>52.601224,38.43936</t>
  </si>
  <si>
    <t>ОБЩЕСТВО С ОГРАНИЧЕННОЙ ОТВЕТСТВЕННОСТЬЮ "ТВОЙ БЕТОН"</t>
  </si>
  <si>
    <t xml:space="preserve"> "ТВОЙ БЕТОН"</t>
  </si>
  <si>
    <t>4807056792</t>
  </si>
  <si>
    <t>399742, ЛИПЕЦКАЯ ОБЛ, ЕЛЕЦКИЙ Р-Н, ГАЗОПРОВОД П, МИРНАЯ УЛ, ДОМ 23,..</t>
  </si>
  <si>
    <t>Бекренёв Дмитрий Сергеевич</t>
  </si>
  <si>
    <t>+7 (980) 265-50-10'</t>
  </si>
  <si>
    <t>bekrenev@yandex.ru', 'galina_3165@mail.ru'</t>
  </si>
  <si>
    <t>52.613348,39.598376</t>
  </si>
  <si>
    <t>ОБЩЕСТВО С ОГРАНИЧЕННОЙ ОТВЕТСТВЕННОСТЬЮ МПК "БОРИНСКОЕ"</t>
  </si>
  <si>
    <t xml:space="preserve"> МПК "БОРИНСКОЕ"</t>
  </si>
  <si>
    <t>4813024372</t>
  </si>
  <si>
    <t>398050, ЛИПЕЦКАЯ ОБЛАСТЬ, ГОРОД ЛИПЕЦК, УЛИЦА ЗЕГЕЛЯ, ДОМ 28, ПОМЕЩЕНИЕ 4</t>
  </si>
  <si>
    <t>Крохина Лилия Александровна</t>
  </si>
  <si>
    <t>+7 (909) 223-21-22'</t>
  </si>
  <si>
    <t>52.618307,38.540088</t>
  </si>
  <si>
    <t>ОБЩЕСТВО С ОГРАНИЧЕННОЙ ОТВЕТСТВЕННОСТЬЮ "Интехстрой плюс"</t>
  </si>
  <si>
    <t xml:space="preserve"> "Интехстрой плюс"</t>
  </si>
  <si>
    <t>4821035297</t>
  </si>
  <si>
    <t>399774, ЛИПЕЦКАЯ ОБЛАСТЬ, Г. ЕЛЕЦ, УЛ. НОВАЯ, Д.1, К.А</t>
  </si>
  <si>
    <t>Яцкин Роман Юрьевич</t>
  </si>
  <si>
    <t>+7 (920) 515-50-06', '+7 (991) 344-21-09'</t>
  </si>
  <si>
    <t>intexstroy@yandex.ru'</t>
  </si>
  <si>
    <t>52.592187,39.444144</t>
  </si>
  <si>
    <t>ОБЩЕСТВО С ОГРАНИЧЕННОЙ ОТВЕТСТВЕННОСТЬЮ "РЕЗЕРВ-БЕТОН"</t>
  </si>
  <si>
    <t xml:space="preserve"> "РЕЗЕРВ-БЕТОН"</t>
  </si>
  <si>
    <t>4823059208</t>
  </si>
  <si>
    <t>398902, ЛИПЕЦКАЯ ОБЛ, ЛИПЕЦК Г, ЮНОШЕСКАЯ УЛ, ВЛАДЕНИЕ 77Ж, ОФИС 201</t>
  </si>
  <si>
    <t>Стюфляев Алексей Васильевич</t>
  </si>
  <si>
    <t>beton@mail.ru', 'irina19@yandex.ru'</t>
  </si>
  <si>
    <t>ОБЩЕСТВО С ОГРАНИЧЕННОЙ ОТВЕТСТВЕННОСТЬЮ "ЭКСПРЕССБЕТОН"</t>
  </si>
  <si>
    <t xml:space="preserve"> "ЭКСПРЕССБЕТОН"</t>
  </si>
  <si>
    <t>4823071935</t>
  </si>
  <si>
    <t>398902, ЛИПЕЦКАЯ ОБЛАСТЬ, ГОРОД ЛИПЕЦК, УЛИЦА ЮНОШЕСКАЯ, ДОМ 43, ОФИС 207</t>
  </si>
  <si>
    <t>Черникова Юлия Андреевна</t>
  </si>
  <si>
    <t>+7 (920) 501-88-88', '+7 (960) 150-88-88', '+7 (962) 352-72-44'</t>
  </si>
  <si>
    <t>52.625901,39.537407</t>
  </si>
  <si>
    <t>ОБЩЕСТВО С ОГРАНИЧЕННОЙ ОТВЕТСТВЕННОСТЬЮ "ЛИПЕЦКСТРОЙИНДУСТРИЯ"</t>
  </si>
  <si>
    <t xml:space="preserve"> "ЛИПЕЦКСТРОЙИНДУСТРИЯ"</t>
  </si>
  <si>
    <t>4825100476</t>
  </si>
  <si>
    <t>Г ЛИПЕЦК,ТРУБНЫЙ ПРОЕЗД, 1 Б</t>
  </si>
  <si>
    <t>Щерба Алексей Викторович</t>
  </si>
  <si>
    <t>lipetsksi@lipetsk.ru', 'lsi2014@inbox.ru', '48@mail.ru', '13@bk.ru'</t>
  </si>
  <si>
    <t>52.581721,39.484828</t>
  </si>
  <si>
    <t>ОБЩЕСТВО С ОГРАНИЧЕННОЙ ОТВЕТСТВЕННОСТЬЮ "БЕТОН48"</t>
  </si>
  <si>
    <t xml:space="preserve"> "БЕТОН48"</t>
  </si>
  <si>
    <t>4825129203</t>
  </si>
  <si>
    <t>398902, ЛИПЕЦКАЯ ОБЛАСТЬ, ГОРОД ЛИПЕЦК, УЛИЦА АНГАРСКАЯ, СТРОЕНИЕ 1Г, ОФИС 1</t>
  </si>
  <si>
    <t>Горяинов Владислав Витальевич</t>
  </si>
  <si>
    <t>52.5702,39.606083</t>
  </si>
  <si>
    <t>ОБЩЕСТВО С ОГРАНИЧЕННОЙ ОТВЕТСТВЕННОСТЬЮ "МОНОЛИТЛИПЕЦКСТРОЙ"</t>
  </si>
  <si>
    <t xml:space="preserve"> "МОНОЛИТЛИПЕЦКСТРОЙ"</t>
  </si>
  <si>
    <t>4825142765</t>
  </si>
  <si>
    <t>398017, ЛИПЕЦКАЯ ОБЛ., Г. Липецк, УЛ. ФАНЕРНАЯ, Д. 5, ОФИС Б318</t>
  </si>
  <si>
    <t>Кононов Николай Сергеевич</t>
  </si>
  <si>
    <t>N903938@MAIL.RU'</t>
  </si>
  <si>
    <t>52.612495,39.604592</t>
  </si>
  <si>
    <t>ОБЩЕСТВО С ОГРАНИЧЕННОЙ ОТВЕТСТВЕННОСТЬЮ "ЛИПЕЦКИЙ БЕТОН"</t>
  </si>
  <si>
    <t xml:space="preserve"> "ЛИПЕЦКИЙ БЕТОН"</t>
  </si>
  <si>
    <t>4825145484</t>
  </si>
  <si>
    <t>398050, ЛИПЕЦКАЯ ОБЛ., Г. Липецк, УЛ. ЖЕЛЯБОВА, Д. 2, ПОМЕЩ. 18 ОФИС 511</t>
  </si>
  <si>
    <t>Ткачев Илья Валерьянович</t>
  </si>
  <si>
    <t>LIPBETON@GMAIL.COM'</t>
  </si>
  <si>
    <t>52.592959,39.618013</t>
  </si>
  <si>
    <t>ОБЩЕСТВО С ОГРАНИЧЕННОЙ ОТВЕТСТВЕННОСТЬЮ "ДЕМЕТРА Л"</t>
  </si>
  <si>
    <t xml:space="preserve"> "ДЕМЕТРА Л"</t>
  </si>
  <si>
    <t>4826022118</t>
  </si>
  <si>
    <t>Г ЛИПЕЦК,ПЛ МИРА, 1 Б</t>
  </si>
  <si>
    <t>Барсегян Давид Гургенович</t>
  </si>
  <si>
    <t>+7 (920) 545-93-93'</t>
  </si>
  <si>
    <t>52.589134,39.45504</t>
  </si>
  <si>
    <t>ОБЩЕСТВО С ОГРАНИЧЕННОЙ ОТВЕТСТВЕННОСТЬЮ "СТРОЙТЕХБЕТОН"</t>
  </si>
  <si>
    <t xml:space="preserve"> "СТРОЙТЕХБЕТОН"</t>
  </si>
  <si>
    <t>4826136186</t>
  </si>
  <si>
    <t>398902, ЛИПЕЦКАЯ ОБЛАСТЬ, Г. ЛИПЕЦК, УЛ. ЮНОШЕСКАЯ, ВЛД 67В, ОФИС 7</t>
  </si>
  <si>
    <t>Пономорев Вадим Викторович</t>
  </si>
  <si>
    <t>+7 (906) 688-47-52'</t>
  </si>
  <si>
    <t>52.577819,39.486194</t>
  </si>
  <si>
    <t>ОБЩЕСТВО С ОГРАНИЧЕННОЙ ОТВЕТСТВЕННОСТЬЮ "АДС БЕТОН"</t>
  </si>
  <si>
    <t xml:space="preserve"> "АДС БЕТОН"</t>
  </si>
  <si>
    <t>4826145649</t>
  </si>
  <si>
    <t>398902, ЛИПЕЦКАЯ ОБЛАСТЬ, ГОРОД ЛИПЕЦК, УЛИЦА ПРУДНАЯ, ВЛД 1А, КОМНАТА 2</t>
  </si>
  <si>
    <t>+7 (474) 237-98-01'</t>
  </si>
  <si>
    <t>59.583548,150.787763</t>
  </si>
  <si>
    <t>ОБЩЕСТВО С ОГРАНИЧЕННОЙ ОТВЕТСТВЕННОСТЬЮ "МАГАДАНСКИЙ РБУ №1"</t>
  </si>
  <si>
    <t xml:space="preserve"> "МАГАДАНСКИЙ РБУ №1"</t>
  </si>
  <si>
    <t>4900010658</t>
  </si>
  <si>
    <t>685000, МАГАДАНСКАЯ ОБЛ., Г. Магадан, УЛ. РЕЧНАЯ, Д. 25, ОФИС 1</t>
  </si>
  <si>
    <t>Кокшаров Елисей Анатольевич</t>
  </si>
  <si>
    <t>628841@LIST.RU'</t>
  </si>
  <si>
    <t>59.57793,150.817623</t>
  </si>
  <si>
    <t>ОБЩЕСТВО С ОГРАНИЧЕННОЙ ОТВЕТСТВЕННОСТЬЮ "БЕТОННЫЙ ЗАВОД 49"</t>
  </si>
  <si>
    <t xml:space="preserve"> "БЕТОННЫЙ ЗАВОД 49"</t>
  </si>
  <si>
    <t>4909131463</t>
  </si>
  <si>
    <t>685007, МАГАДАНСКАЯ ОБЛАСТЬ, ГОРОД МАГАДАН, ШОССЕ КОЛЫМСКОЕ, ДОМ 15А, ОФИС 1</t>
  </si>
  <si>
    <t>Михайлова Дарья Андреевна</t>
  </si>
  <si>
    <t>bz49@inbox.ru'</t>
  </si>
  <si>
    <t>55.8253,37.95392</t>
  </si>
  <si>
    <t>ОБЩЕСТВО С ОГРАНИЧЕННОЙ ОТВЕТСТВЕННОСТЬЮ "ПК ПРОМБЕТОН"</t>
  </si>
  <si>
    <t xml:space="preserve"> "ПК ПРОМБЕТОН"</t>
  </si>
  <si>
    <t>5001118741</t>
  </si>
  <si>
    <t>143909, МОСКОВСКАЯ ОБЛ, БАЛАШИХА Г, ЗВЕЗДНАЯ УЛ, СТРОЕНИЕ 1, ОФИС 2</t>
  </si>
  <si>
    <t>Фролов Геннадий Николаевич</t>
  </si>
  <si>
    <t>+7 (910) 450-74-92'</t>
  </si>
  <si>
    <t>55.824916,37.926341</t>
  </si>
  <si>
    <t>ОБЩЕСТВО С ОГРАНИЧЕННОЙ ОТВЕТСТВЕННОСТЬЮ "ПАНАЦЕЯ-БЕТОН"</t>
  </si>
  <si>
    <t xml:space="preserve"> "ПАНАЦЕЯ-БЕТОН"</t>
  </si>
  <si>
    <t>5001130570</t>
  </si>
  <si>
    <t>143900, МОСКОВСКАЯ ОБЛАСТЬ, ГОРОДСКОЙ ОКРУГ БАЛАШИХА, БАЛАШИХА Г, ГАГАРИНА МКР, ДОМ 22,..</t>
  </si>
  <si>
    <t>Молодцова Лилия Сергеевна</t>
  </si>
  <si>
    <t>55.425522,38.272525</t>
  </si>
  <si>
    <t>ОБЩЕСТВО С ОГРАНИЧЕННОЙ ОТВЕТСТВЕННОСТЬЮ "ФОРМУЛА БЕТОНА"</t>
  </si>
  <si>
    <t xml:space="preserve"> "ФОРМУЛА БЕТОНА"</t>
  </si>
  <si>
    <t>5002004850</t>
  </si>
  <si>
    <t>140170, МОСКОВСКАЯ ОБЛ, БРОННИЦЫ Г, БЕЛЬСКИЙ ПЕР, ДОМ 11, СТРОЕНИЕ 1</t>
  </si>
  <si>
    <t>Кошецян Артур Шмидтович</t>
  </si>
  <si>
    <t>+7 (915) 433-05-35'</t>
  </si>
  <si>
    <t>55.551247,37.685395</t>
  </si>
  <si>
    <t>ОБЩЕСТВО С ОГРАНИЧЕННОЙ ОТВЕТСТВЕННОСТЬЮ "РЕГИОН-СТРОЙ ЮГ"</t>
  </si>
  <si>
    <t xml:space="preserve"> "РЕГИОН-СТРОЙ ЮГ"</t>
  </si>
  <si>
    <t>5003065647</t>
  </si>
  <si>
    <t>МОСКОВСКАЯ ОБЛ.,Г ВИДНОЕ,УЛ ДОНБАССКАЯ, Д 2</t>
  </si>
  <si>
    <t>Адамов Александр Юрьевич</t>
  </si>
  <si>
    <t>55.538748,37.720762</t>
  </si>
  <si>
    <t>ОБЩЕСТВО С ОГРАНИЧЕННОЙ ОТВЕТСТВЕННОСТЬЮ "ПРОИЗВОДСТВЕННО-СТРОИТЕЛЬНАЯ КОМПАНИЯ "ПРОГРЕСС"</t>
  </si>
  <si>
    <t xml:space="preserve"> "ПРОИЗВОДСТВЕННО-СТРОИТЕЛЬНАЯ КОМПАНИЯ "ПРОГРЕСС"</t>
  </si>
  <si>
    <t>5003088122</t>
  </si>
  <si>
    <t>http://progresiya.ru</t>
  </si>
  <si>
    <t>142701, Московская область, городской округ ЛЕНИНСКИЙ, Город ВИДНОЕ, УЛ ГЕРОЯ СОВЕТСКОГО СОЮЗА В.Н.ФОКИНА, Д. 6,..</t>
  </si>
  <si>
    <t>Ритиков Дмитрий Юрьевич</t>
  </si>
  <si>
    <t>+7 (926) 372-27-35'</t>
  </si>
  <si>
    <t>55.252912,38.743054</t>
  </si>
  <si>
    <t>ОБЩЕСТВО С ОГРАНИЧЕННОЙ ОТВЕТСТВЕННОСТЬЮ "ГРАН"</t>
  </si>
  <si>
    <t xml:space="preserve"> "ГРАН"</t>
  </si>
  <si>
    <t>5005005146</t>
  </si>
  <si>
    <t>МОСКОВСКАЯ ОБЛ.,Г ВОСКРЕСЕНСК,УЛ ГИГАНТА, Д 13</t>
  </si>
  <si>
    <t>Челюбеев Данила Александрович</t>
  </si>
  <si>
    <t>55.311134,38.689775</t>
  </si>
  <si>
    <t>Общество с ограниченной ответственностью "ПРОМ БЕТОН"</t>
  </si>
  <si>
    <t xml:space="preserve"> "ПРОМ БЕТОН"</t>
  </si>
  <si>
    <t>5005061951</t>
  </si>
  <si>
    <t>140200, МОСКОВСКАЯ ОБЛАСТЬ, ГОРОД ВОСКРЕСЕНСК, УЛИЦА 2-Я ЗАВОДСКАЯ, ДОМ 1</t>
  </si>
  <si>
    <t>Тулинов Юрий Юрьевич</t>
  </si>
  <si>
    <t>+7 (926) 998-34-94', '+7 (916) 422-74-39'</t>
  </si>
  <si>
    <t>2800004@bk.ru'</t>
  </si>
  <si>
    <t>56.373235,37.528172</t>
  </si>
  <si>
    <t>ОБЩЕСТВО С ОГРАНИЧЕННОЙ ОТВЕТСТВЕННОСТЬЮ "АЛЬЯНССТРОЙБЕТОНЪ"</t>
  </si>
  <si>
    <t xml:space="preserve"> "АЛЬЯНССТРОЙБЕТОНЪ"</t>
  </si>
  <si>
    <t>5007058048</t>
  </si>
  <si>
    <t>МОСКОВСКАЯ ОБЛ.,Г ДМИТРОВ,УЛ ПРОФЕССИОНАЛЬНАЯ, Д 167</t>
  </si>
  <si>
    <t>Бурова Марьяна Орестовна</t>
  </si>
  <si>
    <t>+7 (495) 506-82-60'</t>
  </si>
  <si>
    <t>56.347664,37.543902</t>
  </si>
  <si>
    <t>ОБЩЕСТВО С ОГРАНИЧЕННОЙ ОТВЕТСТВЕННОСТЬЮ "КОМБИНАТ ЖЕЛЕЗОБЕТОННЫХ ИЗДЕЛИЙ"</t>
  </si>
  <si>
    <t xml:space="preserve"> "КОМБИНАТ ЖЕЛЕЗОБЕТОННЫХ ИЗДЕЛИЙ"</t>
  </si>
  <si>
    <t>5007059002</t>
  </si>
  <si>
    <t>МОСКОВСКАЯ ОБЛ.,Г ДМИТРОВ,УЛ БИРЛОВО ПОЛЕ, Д 32</t>
  </si>
  <si>
    <t>Субачев Станислав Викторович</t>
  </si>
  <si>
    <t>+7 (495) 993-96-84'</t>
  </si>
  <si>
    <t>56.326248,37.50116</t>
  </si>
  <si>
    <t>ОБЩЕСТВО С ОГРАНИЧЕННОЙ ОТВЕТСТВЕННОСТЬЮ "ВЭД-СТРОЙ"</t>
  </si>
  <si>
    <t xml:space="preserve"> "ВЭД-СТРОЙ"</t>
  </si>
  <si>
    <t>5007098481</t>
  </si>
  <si>
    <t>141804, МОСКОВСКАЯ ОБЛАСТЬ, ГОРОД ДМИТРОВ, УЛИЦА 2-Я МОСКОВСКАЯ, ДОМ 21, КОРПУС 1</t>
  </si>
  <si>
    <t>Михайлова Дарья Ивановна</t>
  </si>
  <si>
    <t>+7 (905) 756-35-77'</t>
  </si>
  <si>
    <t>56.091602,37.353189</t>
  </si>
  <si>
    <t>ОБЩЕСТВО С ОГРАНИЧЕННОЙ ОТВЕТСТВЕННОСТЬЮ "СБ БЕТОН"</t>
  </si>
  <si>
    <t xml:space="preserve"> "СБ БЕТОН"</t>
  </si>
  <si>
    <t>5007109454</t>
  </si>
  <si>
    <t>141895, МОСКОВСКАЯ ОБЛАСТЬ, ГОРОД ДМИТРОВ, ДЕРЕВНЯ ГЛАЗОВО, ТЕРРИТОРИЯ ОБЪЕДИНЕНИЯ ЗЕМЛЯ, ДОМ 45</t>
  </si>
  <si>
    <t>Берикян Франч Варужанович</t>
  </si>
  <si>
    <t>55.425548,37.768795</t>
  </si>
  <si>
    <t xml:space="preserve"> "БЕТОН ТРЕЙД"</t>
  </si>
  <si>
    <t>5009107653</t>
  </si>
  <si>
    <t>142003, МОСКОВСКАЯ ОБЛАСТЬ, ГОРОД ДОМОДЕДОВО, УЛИЦА ЗЕЛЕНАЯ (ЗАПАДНЫЙ МКР.), ДОМ 74, КОРПУС 1, ПОМЕЩЕНИЕ 14</t>
  </si>
  <si>
    <t>Ильин-Дьячков Кирилл Юрьевич</t>
  </si>
  <si>
    <t>+7 (495) 585-21-72'</t>
  </si>
  <si>
    <t>55.46261,37.747774</t>
  </si>
  <si>
    <t>ОБЩЕСТВО С ОГРАНИЧЕННОЙ ОТВЕТСТВЕННОСТЬЮ "СПЕЦ РУСЬ-БЕТОН"</t>
  </si>
  <si>
    <t xml:space="preserve"> "СПЕЦ РУСЬ-БЕТОН"</t>
  </si>
  <si>
    <t>5009109805</t>
  </si>
  <si>
    <t>142000, МОСКОВСКАЯ ОБЛАСТЬ, ГОРОД ДОМОДЕДОВО, УЛИЦА КРАСНОДАРСКАЯ (СЕВЕРНЫЙ МКР.), ДОМ 5, СТРОЕНИЕ 1</t>
  </si>
  <si>
    <t>Аскеров Ризван Гамза Оглы</t>
  </si>
  <si>
    <t>+7 (967) 084-44-38'</t>
  </si>
  <si>
    <t>ОБЩЕСТВО С ОГРАНИЧЕННОЙ ОТВЕТСТВЕННОСТЬЮ "ЗАБЕТОНОМ"</t>
  </si>
  <si>
    <t xml:space="preserve"> "ЗАБЕТОНОМ"</t>
  </si>
  <si>
    <t>5009117323</t>
  </si>
  <si>
    <t>142000, МОСКОВСКАЯ ОБЛАСТЬ, Г. ДОМОДЕДОВО, ТЕР ЭКОТРАНС (СЕВЕРНЫЙ МКР.), СТР. 1, ОФИС 2</t>
  </si>
  <si>
    <t>Малыгин Андрей Андреевич</t>
  </si>
  <si>
    <t>55.450997,37.743319</t>
  </si>
  <si>
    <t>ОБЩЕСТВО С ОГРАНИЧЕННОЙ ОТВЕТСТВЕННОСТЬЮ "ГИЗАПРОМСТРОЙ"</t>
  </si>
  <si>
    <t xml:space="preserve"> "ГИЗАПРОМСТРОЙ"</t>
  </si>
  <si>
    <t>5009118648</t>
  </si>
  <si>
    <t>142001, МОСКОВСКАЯ ОБЛ, ДОМОДЕДОВО Г, ГАГАРИНА (СЕВЕРНЫЙ МКР.) УЛ, ДОМ 45, ПОМЕЩЕНИЕ 18</t>
  </si>
  <si>
    <t>Мехралиев Махмуд Фамил Оглы</t>
  </si>
  <si>
    <t>55.471724,37.750577</t>
  </si>
  <si>
    <t>ОБЩЕСТВО С ОГРАНИЧЕННОЙ ОТВЕТСТВЕННОСТЬЮ "АТЛАНТ СС"</t>
  </si>
  <si>
    <t xml:space="preserve"> "АТЛАНТ СС"</t>
  </si>
  <si>
    <t>5009118976</t>
  </si>
  <si>
    <t>142000, МОСКОВСКАЯ ОБЛАСТЬ, ГОРОД ДОМОДЕДОВО, УЛИЦА 33-Й КИЛОМЕТР (М-4 ДОН ТЕР.), СТРОЕНИЕ 4, ЭТАЖ IV КОМНАТА 11</t>
  </si>
  <si>
    <t>Сапунжи Максим Захарьевич</t>
  </si>
  <si>
    <t>+7 (999) 880-28-56'</t>
  </si>
  <si>
    <t>buh2856@gmail.com'</t>
  </si>
  <si>
    <t>55.453544,37.73694</t>
  </si>
  <si>
    <t>ОБЩЕСТВО С ОГРАНИЧЕННОЙ ОТВЕТСТВЕННОСТЬЮ "Ю-СТРОЙБЕТОН"</t>
  </si>
  <si>
    <t xml:space="preserve"> "Ю-СТРОЙБЕТОН"</t>
  </si>
  <si>
    <t>5009123729</t>
  </si>
  <si>
    <t>142001, МОСКОВСКАЯ ОБЛАСТЬ, Г. ДОМОДЕДОВО, УЛ. ЭНЕРГЕТИКОВ (СЕВЕРНЫЙ МКР.), СТР. 12</t>
  </si>
  <si>
    <t>Кочнов Сергей Владимирович</t>
  </si>
  <si>
    <t>55.25206,37.911977</t>
  </si>
  <si>
    <t>ОБЩЕСТВО С ОГРАНИЧЕННОЙ ОТВЕТСТВЕННОСТЬЮ "СОЮЗ МОНОЛИТ"</t>
  </si>
  <si>
    <t xml:space="preserve"> "СОЮЗ МОНОЛИТ"</t>
  </si>
  <si>
    <t>5009129008</t>
  </si>
  <si>
    <t>142060, МОСКОВСКАЯ ОБЛ., Г. Домодедово, ТЕР. РОСМОНОЛИТ, СТР. 2, КАБИНЕТ 24</t>
  </si>
  <si>
    <t>Читалов Илья Александрович</t>
  </si>
  <si>
    <t>56.745113,37.222969</t>
  </si>
  <si>
    <t>ОБЩЕСТВО С ОГРАНИЧЕННОЙ ОТВЕТСТВЕННОСТЬЮ "РЕГИОН-СТРОЙ СЕВЕР"</t>
  </si>
  <si>
    <t xml:space="preserve"> "РЕГИОН-СТРОЙ СЕВЕР"</t>
  </si>
  <si>
    <t>5010055030</t>
  </si>
  <si>
    <t>141980, МОСКОВСКАЯ ОБЛ, ДУБНА Г, АВТОЛЮБИТЕЛЕЙ ПР, ДОМ 15, СТРОЕНИЕ 2, КОМНАТА 1</t>
  </si>
  <si>
    <t>Котельников Юрий Васильевич</t>
  </si>
  <si>
    <t>dubna@mail.ru'</t>
  </si>
  <si>
    <t>56.73006,37.14946</t>
  </si>
  <si>
    <t>ОБЩЕСТВО С ОГРАНИЧЕННОЙ ОТВЕТСТВЕННОСТЬЮ ТОРГОВЫЙ ДОМ "ЛИДЕРСТРОЙ"</t>
  </si>
  <si>
    <t xml:space="preserve"> ТОРГОВЫЙ ДОМ "ЛИДЕРСТРОЙ"</t>
  </si>
  <si>
    <t>5010056763</t>
  </si>
  <si>
    <t>141981, Московская область, городской округ ДУБНА, Город ДУБНА, УЛ 9 МАЯ, Д. 7В, СТР. 2, ПОМЕЩ. 121, ОФИС 1</t>
  </si>
  <si>
    <t>Мокеев Дмитрий Игоревич</t>
  </si>
  <si>
    <t>56.742042,37.182419</t>
  </si>
  <si>
    <t>ОБЩЕСТВО С ОГРАНИЧЕННОЙ ОТВЕТСТВЕННОСТЬЮ "УПРАВЛЯЮЩАЯ КОМПАНИЯ ЛИДЕРСТРОЙ"</t>
  </si>
  <si>
    <t xml:space="preserve"> "УПРАВЛЯЮЩАЯ КОМПАНИЯ ЛИДЕРСТРОЙ"</t>
  </si>
  <si>
    <t>5010058087</t>
  </si>
  <si>
    <t>141985, МОСКОВСКАЯ ОБЛ., Г. Дубна, УЛ. ДАЧНАЯ, Д. 1, СТР. 8, ПОМЕЩ. 2</t>
  </si>
  <si>
    <t>Иванов Алексей Евгеньевич</t>
  </si>
  <si>
    <t>55.726249,37.467536</t>
  </si>
  <si>
    <t>ОБЩЕСТВО С ОГРАНИЧЕННОЙ ОТВЕТСТВЕННОСТЬЮ "ВостокПромБетон"</t>
  </si>
  <si>
    <t xml:space="preserve"> "ВостокПромБетон"</t>
  </si>
  <si>
    <t>5012068813</t>
  </si>
  <si>
    <t>121352, МОСКВА ГОРОД, Б-Р СЛАВЯНСКИЙ, Д. 9, К. 1</t>
  </si>
  <si>
    <t>Ратников Владимир Евгеньевич</t>
  </si>
  <si>
    <t>+7 (495) 748-25-26', '+7 (495) 748-25-56'</t>
  </si>
  <si>
    <t>55.729731,38.029755</t>
  </si>
  <si>
    <t>ОБЩЕСТВО С ОГРАНИЧЕННОЙ ОТВЕТСТВЕННОСТЬЮ "СИНЕРГИЯ"</t>
  </si>
  <si>
    <t xml:space="preserve"> "СИНЕРГИЯ"</t>
  </si>
  <si>
    <t>5012100591</t>
  </si>
  <si>
    <t>143985, МОСКОВСКАЯ ОБЛАСТЬ, ГОРОД БАЛАШИХА, УЛИЦА САВВИНСКАЯ (САВВИНО МКР.), ДОМ 5А, ЭТАЖ 1, ПОМ II КОМ. 7</t>
  </si>
  <si>
    <t>Колибабчук Алина Габдыгалиевна</t>
  </si>
  <si>
    <t>ОБЩЕСТВО С ОГРАНИЧЕННОЙ ОТВЕТСТВЕННОСТЬЮ "ПРОИЗВОДСТВЕННЫЙ ЦЕНТР ТЕХНОСТРОЙ-СЕРВИС"</t>
  </si>
  <si>
    <t xml:space="preserve"> "ПРОИЗВОДСТВЕННЫЙ ЦЕНТР ТЕХНОСТРОЙ-СЕРВИС"</t>
  </si>
  <si>
    <t>5015004600</t>
  </si>
  <si>
    <t>МОСКОВСКАЯ ОБЛ.,Г ЗВЕНИГОРОД,ДОМ ОТДЫХА "ПОРЕЧЬЕ", Д 1</t>
  </si>
  <si>
    <t>Невров Виталий Викторович</t>
  </si>
  <si>
    <t>55.741896,36.856367</t>
  </si>
  <si>
    <t>ОБЩЕСТВО С ОГРАНИЧЕННОЙ ОТВЕТСТВЕННОСТЬЮ"ЕВРОБЕТОН ПЛЮС"</t>
  </si>
  <si>
    <t>"ЕВРОБЕТОН ПЛЮС"</t>
  </si>
  <si>
    <t>5015015094</t>
  </si>
  <si>
    <t>143185, МОСКОВСКАЯ ОБЛАСТЬ, ГОРОД ОДИНЦОВО, ГОРОД ЗВЕНИГОРОД, МИКРОРАЙОН ПРОНИНА, ДОМ 5, ПОМЕЩЕНИЕ IX</t>
  </si>
  <si>
    <t>Ирзаев Иахиа Ибрагимович</t>
  </si>
  <si>
    <t>55.62976,36.966653</t>
  </si>
  <si>
    <t>ОБЩЕСТВО С ОГРАНИЧЕННОЙ ОТВЕТСТВЕННОСТЬЮ "АЛАНСТРОЙ"</t>
  </si>
  <si>
    <t xml:space="preserve"> "АЛАНСТРОЙ"</t>
  </si>
  <si>
    <t>5015015168</t>
  </si>
  <si>
    <t>143041, МОСКОВСКАЯ ОБЛАСТЬ, Г ОДИНЦОВО, Г. ГОЛИЦЫНО, Ш. МОЖАЙСКОЕ, ВЛД. 81, СТР. 1, ПОМЕЩ. 10</t>
  </si>
  <si>
    <t>Ризаев Сахил Ибрагимович</t>
  </si>
  <si>
    <t>1009252@mail.ru'</t>
  </si>
  <si>
    <t>55.74148,36.854642</t>
  </si>
  <si>
    <t>ОБЩЕСТВО С ОГРАНИЧЕННОЙ ОТВЕТСТВЕННОСТЬЮ "АЛЕКС БЕТОН"</t>
  </si>
  <si>
    <t xml:space="preserve"> "АЛЕКС БЕТОН"</t>
  </si>
  <si>
    <t>5015015231</t>
  </si>
  <si>
    <t>143185, МОСКОВСКАЯ ОБЛАСТЬ, ГОРОД ОДИНЦОВО, ГОРОД ЗВЕНИГОРОД, МИКРОРАЙОН ПРОНИНА, ДОМ 6,..</t>
  </si>
  <si>
    <t>Гасанов Бахман Махрам Оглы</t>
  </si>
  <si>
    <t>lexbeton@ya.ru'</t>
  </si>
  <si>
    <t>55.964776,37.890651</t>
  </si>
  <si>
    <t>ОБЩЕСТВО С ОГРАНИЧЕННОЙ ОТВЕТСТВЕННОСТЬЮ "ОЛИМП-ПЛЮС"</t>
  </si>
  <si>
    <t xml:space="preserve"> "ОЛИМП-ПЛЮС"</t>
  </si>
  <si>
    <t>5016008477</t>
  </si>
  <si>
    <t>МОСКОВСКАЯ ОБЛ.,Г ИВАНТЕЕВКА,ЦЕНТРАЛЬНЫЙ ПР, Д 27</t>
  </si>
  <si>
    <t>Ефремов Николай Гаврилович</t>
  </si>
  <si>
    <t>+7 (903) 591-97-86'</t>
  </si>
  <si>
    <t>55.981772,37.903856</t>
  </si>
  <si>
    <t>ОБЩЕСТВО С ОГРАНИЧЕННОЙ ОТВЕТСТВЕННОСТЬЮ "КОМПАНИЯ "РУСБАРС"</t>
  </si>
  <si>
    <t xml:space="preserve"> "КОМПАНИЯ "РУСБАРС"</t>
  </si>
  <si>
    <t>5016010860</t>
  </si>
  <si>
    <t>МОСКОВСКАЯ ОБЛ.,Г ИВАНТЕЕВКА,СТУДЕНЧЕСКИЙ ПР, Д 14 А</t>
  </si>
  <si>
    <t>Газзаев Бесарион Нодарович</t>
  </si>
  <si>
    <t>+7 (495) 582-33-17', '+7 (964) 764-36-39'</t>
  </si>
  <si>
    <t>55.966897,36.554299</t>
  </si>
  <si>
    <t>ОБЩЕСТВО С ОГРАНИЧЕННОЙ ОТВЕТСТВЕННОСТЬЮ "Строительные технологии и бетон"</t>
  </si>
  <si>
    <t xml:space="preserve"> "Строительные технологии и бетон"</t>
  </si>
  <si>
    <t>5017095585</t>
  </si>
  <si>
    <t>143560, МОСКОВСКАЯ ОБЛАСТЬ, ГОРОДСКОЙ ОКРУГ ИСТРА, ПОСЕЛОК РУМЯНЦЕВО, ШОССЕ ВОЛОКОЛАМСКОЕ, ДОМ 120, СТРОЕНИЕ 6</t>
  </si>
  <si>
    <t>Бароян Сейран Масикович</t>
  </si>
  <si>
    <t>m9beton@mail.ru'</t>
  </si>
  <si>
    <t>55.865051,36.600958</t>
  </si>
  <si>
    <t xml:space="preserve"> "СТРОЙ.ТЕХ.ПАРК"</t>
  </si>
  <si>
    <t>5017106452</t>
  </si>
  <si>
    <t>143523, МОСКОВСКАЯ ОБЛАСТЬ, ГОРОДСКОЙ ОКРУГ ИСТРА, ДЕРЕВНЯ МАНСУРОВО, ДОМ 8</t>
  </si>
  <si>
    <t>Муртазалиев Рамазан Ахмедович</t>
  </si>
  <si>
    <t>+7 (910) 462-35-80', '+7 (985) 487-92-20'</t>
  </si>
  <si>
    <t>55.814937,37.086938</t>
  </si>
  <si>
    <t>ОБЩЕСТВО С ОГРАНИЧЕННОЙ ОТВЕТСТВЕННОСТЬЮ "АБЗ-РИГА"</t>
  </si>
  <si>
    <t xml:space="preserve"> "АБЗ-РИГА"</t>
  </si>
  <si>
    <t>5017107551</t>
  </si>
  <si>
    <t>143581, МОСКОВСКАЯ ОБЛАСТЬ, ГОРОДСКОЙ ОКРУГ ИСТРА, СЕЛО ПАВЛОВСКАЯ СЛОБОДА, УЛИЦА ЛУНАЧАРСКОГО, СТРОЕНИЕ 8А</t>
  </si>
  <si>
    <t>Елисеева Марина Николаевна</t>
  </si>
  <si>
    <t>+7 (903) 128-46-40'</t>
  </si>
  <si>
    <t>1284640@mail.ru'</t>
  </si>
  <si>
    <t>55.873188,36.754965</t>
  </si>
  <si>
    <t>ОБЩЕСТВО С ОГРАНИЧЕННОЙ ОТВЕТСТВЕННОСТЬЮ "МЕЙДЖОР БЕТОН"</t>
  </si>
  <si>
    <t xml:space="preserve"> "МЕЙДЖОР БЕТОН"</t>
  </si>
  <si>
    <t>5017113795</t>
  </si>
  <si>
    <t>143521, МОСКОВСКАЯ ОБЛАСТЬ, ГОРОД ИСТРА, ДЕРЕВНЯ КОТОВО, СТРОЕНИЕ 40, ПОМЕЩЕНИЕ 6 (2 ЭТАЖ)</t>
  </si>
  <si>
    <t>Майоров Максим Сергеевич</t>
  </si>
  <si>
    <t>+7 (926) 682-04-76'</t>
  </si>
  <si>
    <t>ОБЩЕСТВО С ОГРАНИЧЕННОЙ ОТВЕТСТВЕННОСТЬЮ "МКУ-БЕТОН"</t>
  </si>
  <si>
    <t xml:space="preserve"> "МКУ-БЕТОН"</t>
  </si>
  <si>
    <t>5017118828</t>
  </si>
  <si>
    <t>143573, МОСКОВСКАЯ ОБЛАСТЬ, ГОРОДСКОЙ ОКРУГ ИСТРА, ДЕРЕВНЯ АЛЕКСЕЕВКА, ТЕРРИТОРИЯ П/Б ЗАО МАНСУРОВСКОЕ КАРЬЕРОУПРАВЛЕНИЕ, ДОМ 3, ПОМЕЩЕНИЕ 35</t>
  </si>
  <si>
    <t>Володин Роман Александрович</t>
  </si>
  <si>
    <t>+7 (926) 258-55-94'</t>
  </si>
  <si>
    <t>55.862904,37.042983</t>
  </si>
  <si>
    <t>ОБЩЕСТВО С ОГРАНИЧЕННОЙ ОТВЕТСТВЕННОСТЬЮ "ТД ГЕРАСТРОЙ"</t>
  </si>
  <si>
    <t xml:space="preserve"> "ТД ГЕРАСТРОЙ"</t>
  </si>
  <si>
    <t>5017127269</t>
  </si>
  <si>
    <t>143591, МОСКОВСКАЯ ОБЛ., Г. Истра, С. Рождествено, Б-Р СИРЕНЕВЫЙ, Д. 6,..</t>
  </si>
  <si>
    <t>Баль Константин Александрович</t>
  </si>
  <si>
    <t>KOS2808BAL89@GMAIL.COM'</t>
  </si>
  <si>
    <t>55.802943,37.025897</t>
  </si>
  <si>
    <t>ОБЩЕСТВО С ОГРАНИЧЕННОЙ ОТВЕТСТВЕННОСТЬЮ "ИНКОМ-БЕТОН"</t>
  </si>
  <si>
    <t xml:space="preserve"> "ИНКОМ-БЕТОН"</t>
  </si>
  <si>
    <t>5017127815</t>
  </si>
  <si>
    <t>143582, Московская область, ИСТРА, Д ЗАХАРОВО, Д. 57</t>
  </si>
  <si>
    <t>Приходько Дмитрий Николаевич</t>
  </si>
  <si>
    <t>NOSEMA@BK.RU'</t>
  </si>
  <si>
    <t>55.910447,37.789366</t>
  </si>
  <si>
    <t>ОБЩЕСТВО С ОГРАНИЧЕННОЙ ОТВЕТСТВЕННОСТЬЮ ФИРМА "АЗС-ЭКСПРЕСС"</t>
  </si>
  <si>
    <t xml:space="preserve"> ФИРМА "АЗС-ЭКСПРЕСС"</t>
  </si>
  <si>
    <t>5018023294</t>
  </si>
  <si>
    <t>МОСКОВСКАЯ ОБЛ.,Г КОРОЛЕВ,ЯРОСЛАВСКИЙ ПР, Д 1 А</t>
  </si>
  <si>
    <t>+7 (495) 516-89-58'</t>
  </si>
  <si>
    <t>rumyanceva@mail.ru'</t>
  </si>
  <si>
    <t>55.906189,37.790974</t>
  </si>
  <si>
    <t>ОБЩЕСТВО С ОГРАНИЧЕННОЙ ОТВЕТСТВЕННОСТЬЮ "ПКФ СТРОЙБЕТОН"</t>
  </si>
  <si>
    <t xml:space="preserve"> "ПКФ СТРОЙБЕТОН"</t>
  </si>
  <si>
    <t>5018059580</t>
  </si>
  <si>
    <t>141070, МОСКОВСКАЯ ОБЛАСТЬ, Г. КОРОЛЁВ, ПР-Д ЯРОСЛАВСКИЙ, Д.12</t>
  </si>
  <si>
    <t>Губайдулин Руслан Наилевич</t>
  </si>
  <si>
    <t>+7 (495) 504-33-55'</t>
  </si>
  <si>
    <t>pochta@sbeton.ru'</t>
  </si>
  <si>
    <t>ОБЩЕСТВО С ОГРАНИЧЕННОЙ ОТВЕТСТВЕННОСТЬЮ "ЛЕССТРОН"</t>
  </si>
  <si>
    <t xml:space="preserve"> "ЛЕССТРОН"</t>
  </si>
  <si>
    <t>5018182103</t>
  </si>
  <si>
    <t>141074, МОСКОВСКАЯ ОБЛ, КОРОЛЕВ Г, ПИОНЕРСКАЯ УЛ, ДОМ 1, ПОМЕЩЕНИЕ 71</t>
  </si>
  <si>
    <t>Косяков Антон Александрович</t>
  </si>
  <si>
    <t>+7 (929) 999-64-64'</t>
  </si>
  <si>
    <t>55.92025,37.814699</t>
  </si>
  <si>
    <t xml:space="preserve"> "АЙСБЕРГ"</t>
  </si>
  <si>
    <t>5018191309</t>
  </si>
  <si>
    <t>141070, МОСКОВСКАЯ ОБЛАСТЬ, ГОРОД КОРОЛЁВ, УЛИЦА КАЛИНИНА, ДОМ 14, ПОМЕЩЕНИЕ 21</t>
  </si>
  <si>
    <t>Жупанов Александр Сергеевич</t>
  </si>
  <si>
    <t>+7 (915) 303-08-61'</t>
  </si>
  <si>
    <t>55.945241,37.839843</t>
  </si>
  <si>
    <t>ОБЩЕСТВО С ОГРАНИЧЕННОЙ ОТВЕТСТВЕННОСТЬЮ "БЕТОННЫЙ ЗАВОД АТЛАС-БЕТОН"</t>
  </si>
  <si>
    <t xml:space="preserve"> "БЕТОННЫЙ ЗАВОД АТЛАС-БЕТОН"</t>
  </si>
  <si>
    <t>5018198470</t>
  </si>
  <si>
    <t>141068, МОСКОВСКАЯ ОБЛАСТЬ, ГОРОД КОРОЛЕВ, МИКРОРАЙОН ТЕКСТИЛЬЩИК, УЛИЦА ТАРАСОВСКАЯ, ДОМ 25,..</t>
  </si>
  <si>
    <t>Арутюнян Амик Абелович</t>
  </si>
  <si>
    <t>54.833132,38.16099</t>
  </si>
  <si>
    <t>ОБЩЕСТВО С ОГРАНИЧЕННОЙ ОТВЕТСТВЕННОСТЬЮ "Г.С.К. ГРУПП"</t>
  </si>
  <si>
    <t xml:space="preserve"> "Г.С.К. ГРУПП"</t>
  </si>
  <si>
    <t>5019022712</t>
  </si>
  <si>
    <t>142900, МОСКОВСКАЯ ОБЛАСТЬ, ГОРОД КАШИРА, УЛИЦА ПРИОВРАЖНАЯ, ДОМ 14</t>
  </si>
  <si>
    <t>Вагин Андрей Викторович</t>
  </si>
  <si>
    <t>+7 (916) 083-36-09', '+7 (915) 334-80-18'</t>
  </si>
  <si>
    <t>56.341178,36.764424</t>
  </si>
  <si>
    <t>ОБЩЕСТВО С ОГРАНИЧЕННОЙ ОТВЕТСТВЕННОСТЬЮ "Ямуга- Строй"</t>
  </si>
  <si>
    <t xml:space="preserve"> "Ямуга- Строй"</t>
  </si>
  <si>
    <t>5020073510</t>
  </si>
  <si>
    <t>141604, МОСКОВСКАЯ ОБЛАСТЬ, Г КЛИН, ПР-Д КЕРАМИЧЕСКИЙ, Д. 15А, К. 17, ОФИС 1</t>
  </si>
  <si>
    <t>Стрельников Виталий Евгеньевич</t>
  </si>
  <si>
    <t>+7 (963) 676-35-11', '+7 (905) 709-40-89'</t>
  </si>
  <si>
    <t>56.325968,36.699</t>
  </si>
  <si>
    <t>ОБЩЕСТВО С ОГРАНИЧЕННОЙ ОТВЕТСТВЕННОСТЬЮ "ЯМУГАБЕТОНСТРОЙ"</t>
  </si>
  <si>
    <t xml:space="preserve"> "ЯМУГАБЕТОНСТРОЙ"</t>
  </si>
  <si>
    <t>5020085812</t>
  </si>
  <si>
    <t>141607, МОСКОВСКАЯ ОБЛАСТЬ, ГОРОД КЛИН, ШОССЕ ВОЛОКОЛАМСКОЕ, ДОМ 25, СТРОЕНИЕ 7, ОФИС 305 "В"</t>
  </si>
  <si>
    <t>Ершов Дмитрий Александрович</t>
  </si>
  <si>
    <t>uslugiklin@bk.ru', 'deltabalans@mail.ru', 'uslugiklin@bk.ru'</t>
  </si>
  <si>
    <t>55.364742,37.522153</t>
  </si>
  <si>
    <t>ОБЩЕСТВО С ОГРАНИЧЕННОЙ ОТВЕТСТВЕННОСТЬЮ "ГЕЯ"</t>
  </si>
  <si>
    <t xml:space="preserve"> "ГЕЯ"</t>
  </si>
  <si>
    <t>5021001540</t>
  </si>
  <si>
    <t>МОСКОВСКАЯ ОБЛ.,Г КЛИМОВСК,УЛ ЛЕНИНА, Д 2/2</t>
  </si>
  <si>
    <t>Антохин Владимир Николаевич</t>
  </si>
  <si>
    <t>54.991671,38.751085</t>
  </si>
  <si>
    <t>ОБЩЕСТВО С ОГРАНИЧЕННОЙ ОТВЕТСТВЕННОСТЬЮ "АльфаБетон"</t>
  </si>
  <si>
    <t xml:space="preserve"> "АльфаБетон"</t>
  </si>
  <si>
    <t>5022041112</t>
  </si>
  <si>
    <t>140478, МОСКОВСКАЯ ОБЛАСТЬ, Г КОЛОМНА, Д ИГНАТЬЕВО, ЗДАНИЕ АДМИНИСТРАТИВНОЕ, ИНВ №19438</t>
  </si>
  <si>
    <t>Пустынникова Светлана Александровна</t>
  </si>
  <si>
    <t>+7 (916) 353-75-27', '+7 (499) 753-06-60', '+7 (964) 591-72-17'</t>
  </si>
  <si>
    <t>55.091314,38.749252</t>
  </si>
  <si>
    <t>ОБЩЕСТВО С ОГРАНИЧЕННОЙ ОТВЕТСТВЕННОСТЬЮ "РУСБЕТОНСТРОЙ"</t>
  </si>
  <si>
    <t xml:space="preserve"> "РУСБЕТОНСТРОЙ"</t>
  </si>
  <si>
    <t>5022055771</t>
  </si>
  <si>
    <t>140411, МОСКОВСКАЯ ОБЛАСТЬ, Г КОЛОМНА, УЛ. ЛЕНИНА, Д. 139, ПОМЕЩ. 2</t>
  </si>
  <si>
    <t>Маилов Рустам Сафарханович</t>
  </si>
  <si>
    <t>+7 (903) 573-97-16'</t>
  </si>
  <si>
    <t>55.535916,37.158003</t>
  </si>
  <si>
    <t>ОБЩЕСТВО С ОГРАНИЧЕННОЙ ОТВЕТСТВЕННОСТЬЮ "СИТИБЕТОН"</t>
  </si>
  <si>
    <t xml:space="preserve"> "СИТИБЕТОН"</t>
  </si>
  <si>
    <t>5024097142</t>
  </si>
  <si>
    <t>108808, МОСКВА Г, ПЕРВОМАЙСКОЕ П, ПЕРВОМАЙСКОЕ П, ЦЕНТРАЛЬНАЯ УЛ, ДОМ 31, ПОМЕЩЕНИЕ 5</t>
  </si>
  <si>
    <t>Турчак Светлана Александровна</t>
  </si>
  <si>
    <t>+7 (495) 773-73-40'</t>
  </si>
  <si>
    <t>55.905644,36.821809</t>
  </si>
  <si>
    <t>ОБЩЕСТВО С ОГРАНИЧЕННОЙ ОТВЕТСТВЕННОСТЬЮ "ИНКОМ - БЕТОН"</t>
  </si>
  <si>
    <t xml:space="preserve"> "ИНКОМ - БЕТОН"</t>
  </si>
  <si>
    <t>5024130015</t>
  </si>
  <si>
    <t>143502, МОСКОВСКАЯ ОБЛАСТЬ, Г ИСТРА, С ЛУЧИНСКОЕ, УЛ. СОВЕТСКАЯ, СТР. 4</t>
  </si>
  <si>
    <t>Попов Валерий Иванович</t>
  </si>
  <si>
    <t>+7 (985) 158-87-40'</t>
  </si>
  <si>
    <t>popov@inkov-beton'</t>
  </si>
  <si>
    <t>55.575577,36.695182</t>
  </si>
  <si>
    <t>ОБЩЕСТВО С ОГРАНИЧЕННОЙ ОТВЕТСТВЕННОСТЬЮ "ИЛЬБЕТОН"</t>
  </si>
  <si>
    <t xml:space="preserve"> "ИЛЬБЕТОН"</t>
  </si>
  <si>
    <t>5024151424</t>
  </si>
  <si>
    <t>МОСКОВСКАЯ ОБЛ.,ОДИНЦОВСКИЙ Р-Н,Г КУБИНКА,П/О КУБИНКА-1,СТ ПЕТЕЛИНО</t>
  </si>
  <si>
    <t>Костанов Илья Робизонович</t>
  </si>
  <si>
    <t>+7 (926) 564-53-45'</t>
  </si>
  <si>
    <t>55.82356,37.332833</t>
  </si>
  <si>
    <t>ОБЩЕСТВО С ОГРАНИЧЕННОЙ ОТВЕТСТВЕННОСТЬЮ "ПК РЕСУРС"</t>
  </si>
  <si>
    <t xml:space="preserve"> "ПК РЕСУРС"</t>
  </si>
  <si>
    <t>5024163236</t>
  </si>
  <si>
    <t>143402, МОСКОВСКАЯ ОБЛАСТЬ, ГОРОД КРАСНОГОРСК, УЛИЦА ПИОНЕРСКАЯ, ДОМ 17</t>
  </si>
  <si>
    <t>Журавлев Никита Сергеевич</t>
  </si>
  <si>
    <t>+7 (925) 374-75-55'</t>
  </si>
  <si>
    <t>55.820546,37.33799</t>
  </si>
  <si>
    <t>ОБЩЕСТВО С ОГРАНИЧЕННОЙ ОТВЕТСТВЕННОСТЬЮ "БЕТОНТРАНССТРОЙ"</t>
  </si>
  <si>
    <t xml:space="preserve"> "БЕТОНТРАНССТРОЙ"</t>
  </si>
  <si>
    <t>5024177623</t>
  </si>
  <si>
    <t>143402, МОСКОВСКАЯ ОБЛАСТЬ, ГОРОД КРАСНОГОРСК, УЛИЦА ШКОЛЬНАЯ, ДОМ 1,..</t>
  </si>
  <si>
    <t>Алиев Нурлан Рахиб Оглы</t>
  </si>
  <si>
    <t>+7 (925) 830-87-57'</t>
  </si>
  <si>
    <t>55.812752,37.316224</t>
  </si>
  <si>
    <t>ОБЩЕСТВО С ОГРАНИЧЕННОЙ ОТВЕТСТВЕННОСТЬЮ "ГРАНД БЕТОН"</t>
  </si>
  <si>
    <t xml:space="preserve"> "ГРАНД БЕТОН"</t>
  </si>
  <si>
    <t>5024185141</t>
  </si>
  <si>
    <t>143406, Московская область, городской округ КРАСНОГОРСК, Город КРАСНОГОРСК, УЛ ЖЕЛЕЗНОДОРОЖНАЯ, Д. 26, ПОМЕЩ. I, ОФИС 8</t>
  </si>
  <si>
    <t>Криволапчук Денис Дмитриевич</t>
  </si>
  <si>
    <t>55.806798,37.322054</t>
  </si>
  <si>
    <t>ОБЩЕСТВО С ОГРАНИЧЕННОЙ ОТВЕТСТВЕННОСТЬЮ "М.А.М. ХОЛДИНГ"</t>
  </si>
  <si>
    <t xml:space="preserve"> "М.А.М. ХОЛДИНГ"</t>
  </si>
  <si>
    <t>5024185198</t>
  </si>
  <si>
    <t>143405, МОСКОВСКАЯ ОБЛ, КРАСНОГОРСК ГО, КРАСНОГОРСК Г, КОРОЛЕВА УЛ, ДОМ 9,..</t>
  </si>
  <si>
    <t>Мартиросян Мисак Арутович</t>
  </si>
  <si>
    <t>CONSULT@MODUS-STAFF'</t>
  </si>
  <si>
    <t>55.820369,37.319484</t>
  </si>
  <si>
    <t>ОБЩЕСТВО С ОГРАНИЧЕННОЙ ОТВЕТСТВЕННОСТЬЮ "К-СТРОЙ"</t>
  </si>
  <si>
    <t xml:space="preserve"> "К-СТРОЙ"</t>
  </si>
  <si>
    <t>5024201900</t>
  </si>
  <si>
    <t>143405, МОСКОВСКАЯ ОБЛАСТЬ, ГОРОД КРАСНОГОРСК, ДЕРЕВНЯ ГОЛЬЕВО, ПРОМЗОНА -, СТРОЕНИЕ 1/ОБЪЕКТ № 1, КАБИНЕТ 6</t>
  </si>
  <si>
    <t>Самушия Илья Зурабович</t>
  </si>
  <si>
    <t>55.81563,37.350548</t>
  </si>
  <si>
    <t>ОБЩЕСТВО С ОГРАНИЧЕННОЙ ОТВЕТСТВЕННОСТЬЮ "КИТОН"</t>
  </si>
  <si>
    <t xml:space="preserve"> "КИТОН"</t>
  </si>
  <si>
    <t>5024210013</t>
  </si>
  <si>
    <t>143405, Московская область, городской округ КРАСНОГОРСК, Город КРАСНОГОРСК, УЛ ПАВШИНСКАЯ, Д. 2, ЭТАЖ ПОДВАЛ, ПОМЕЩ. 63, КОМ 2</t>
  </si>
  <si>
    <t>Михейкин Алексей Алексеевич</t>
  </si>
  <si>
    <t>89083074957@MAIL.RU'</t>
  </si>
  <si>
    <t>55.827848,37.195391</t>
  </si>
  <si>
    <t>ОБЩЕСТВО С ОГРАНИЧЕННОЙ ОТВЕТСТВЕННОСТЬЮ "ПК ПАРТНЕР НАХАБИНО"</t>
  </si>
  <si>
    <t xml:space="preserve"> "ПК ПАРТНЕР НАХАБИНО"</t>
  </si>
  <si>
    <t>5024219778</t>
  </si>
  <si>
    <t>Московская область, КРАСНОГОРСК, РП НАХАБИНО, УЛ ИНСТИТУТСКАЯ, СТР. 1, КОМ. 11</t>
  </si>
  <si>
    <t xml:space="preserve"> Общество С Ограниченной Ответственностью "Ибора Групп"</t>
  </si>
  <si>
    <t>55.831413,37.238959</t>
  </si>
  <si>
    <t>ОБЩЕСТВО С ОГРАНИЧЕННОЙ ОТВЕТСТВЕННОСТЬЮ "СК ГРАНД"</t>
  </si>
  <si>
    <t xml:space="preserve"> "СК ГРАНД"</t>
  </si>
  <si>
    <t>5024223460</t>
  </si>
  <si>
    <t>143444, Московская область, КРАСНОГОРСК, Г КРАСНОГОРСК, УЛ ГЕОЛОГОВ, Д. 4, К. 2, ОФИС 5</t>
  </si>
  <si>
    <t>Игнатьев Сергей Алексеевич</t>
  </si>
  <si>
    <t>56.018499,37.434298</t>
  </si>
  <si>
    <t>ОБЩЕСТВО С ОГРАНИЧЕННОЙ ОТВЕТСТВЕННОСТЬЮ "СПЕЦСМУ МОНОЛИТ"</t>
  </si>
  <si>
    <t xml:space="preserve"> "СПЕЦСМУ МОНОЛИТ"</t>
  </si>
  <si>
    <t>5025022301</t>
  </si>
  <si>
    <t>МОСКОВСКАЯ ОБЛ.,Г ЛОБНЯ,УЛ ТЕКСТИЛЬНАЯ, Д 7 А</t>
  </si>
  <si>
    <t>Каменев Сергей Александрович</t>
  </si>
  <si>
    <t>+7 (903) 182-85-65'</t>
  </si>
  <si>
    <t>55.57125,37.947012</t>
  </si>
  <si>
    <t>"ФИРМА "СТРОИТЕЛЬ"</t>
  </si>
  <si>
    <t>5026003608</t>
  </si>
  <si>
    <t>МОСКОВСКАЯ ОБЛ.,Г ЛЫТКАРИНО,ПРОМЗОНА ТУРАЕВО, СТР 6</t>
  </si>
  <si>
    <t>Мичугин Анатолий Александрович</t>
  </si>
  <si>
    <t>+7 (495) 552-55-04', '+7 (495) 552-55-04'</t>
  </si>
  <si>
    <t>info@stroitel-beton'</t>
  </si>
  <si>
    <t>55.152794,37.488242</t>
  </si>
  <si>
    <t>ОБЩЕСТВО С ОГРАНИЧЕННОЙ ОТВЕТСТВЕННОСТЬЮ "РМ-БЕТОН""</t>
  </si>
  <si>
    <t xml:space="preserve"> "РМ-БЕТОН""</t>
  </si>
  <si>
    <t>5027137080</t>
  </si>
  <si>
    <t>142301, МОСКОВСКАЯ ОБЛ., Г. Чехов, УЛ. ОКТЯБРЬСКАЯ, Д. 17, КОМ. 207А</t>
  </si>
  <si>
    <t>Проданов Игорь Александрович</t>
  </si>
  <si>
    <t>+7 (496) 663-22-52', '+7 (985) 760-86-25'</t>
  </si>
  <si>
    <t>55.649667,37.852015</t>
  </si>
  <si>
    <t>ОБЩЕСТВО С ОГРАНИЧЕННОЙ ОТВЕТСТВЕННОСТЬЮ "ОПУС-ИНВЕСТ"</t>
  </si>
  <si>
    <t xml:space="preserve"> "ОПУС-ИНВЕСТ"</t>
  </si>
  <si>
    <t>5027152507</t>
  </si>
  <si>
    <t>МОСКОВСКАЯ ОБЛ.,ЛЮБЕРЕЦКИЙ Р-Н,Г КОТЕЛЬНИКИ,МИКРОРАЙОН СИЛИКАТ, ПРОМЗОНА, СТР 15/11</t>
  </si>
  <si>
    <t>Назаров Андрей Николаевич</t>
  </si>
  <si>
    <t>+7 (495) 646-29-85'</t>
  </si>
  <si>
    <t>gadaishaeva_em@unistrom.ru'</t>
  </si>
  <si>
    <t>55.646629,37.852751</t>
  </si>
  <si>
    <t>ОБЩЕСТВО С ОГРАНИЧЕННОЙ ОТВЕТСТВЕННОСТЬЮ "ТРАК-БЕТОН"</t>
  </si>
  <si>
    <t xml:space="preserve"> "ТРАК-БЕТОН"</t>
  </si>
  <si>
    <t>5027207700</t>
  </si>
  <si>
    <t>140053, МОСКОВСКАЯ ОБЛАСТЬ, Г. КОТЕЛЬНИКИ, МКР СИЛИКАТ, Д.41, ОФИС 101</t>
  </si>
  <si>
    <t>Дьяконов Александр Владимирович</t>
  </si>
  <si>
    <t>+7 (495) 792-00-72'</t>
  </si>
  <si>
    <t>55.6796,37.884911</t>
  </si>
  <si>
    <t>ОБЩЕСТВО С ОГРАНИЧЕННОЙ ОТВЕТСТВЕННОСТЬЮ "АСТРА БЕТОН"</t>
  </si>
  <si>
    <t xml:space="preserve"> "АСТРА БЕТОН"</t>
  </si>
  <si>
    <t>5027220080</t>
  </si>
  <si>
    <t>140005, МОСКОВСКАЯ ОБЛАСТЬ, ГОРОД ЛЮБЕРЦЫ, УЛИЦА КИРОВА, 51, ПОМЕЩЕНИЕ V</t>
  </si>
  <si>
    <t>Ветчинкин Василий Васильевич</t>
  </si>
  <si>
    <t>+7 (498) 553-73-33'</t>
  </si>
  <si>
    <t>55.8846,37.445141</t>
  </si>
  <si>
    <t>ОБЩЕСТВО С ОГРАНИЧЕННОЙ ОТВЕТСТВЕННОСТЬЮ "СТРОЙСОЮЗ ОКТЯБРЬСКИЙ"</t>
  </si>
  <si>
    <t xml:space="preserve"> "СТРОЙСОЮЗ ОКТЯБРЬСКИЙ"</t>
  </si>
  <si>
    <t>5027233957</t>
  </si>
  <si>
    <t>МОСКОВСКАЯ ОБЛ.,Г ХИМКИ,УЛ СПАРТАКОВСКАЯ, 11..</t>
  </si>
  <si>
    <t>Молчанов Денис Викторович</t>
  </si>
  <si>
    <t>55.673199,37.938873</t>
  </si>
  <si>
    <t>ОБЩЕСТВО С ОГРАНИЧЕННОЙ ОТВЕТСТВЕННОСТЬЮ "ПРОФЭКОБЕТОН"</t>
  </si>
  <si>
    <t xml:space="preserve"> "ПРОФЭКОБЕТОН"</t>
  </si>
  <si>
    <t>5027307616</t>
  </si>
  <si>
    <t>140000, Московская область, ЛЮБЕРЦЫ, Г ЛЮБЕРЦЫ, ПРОЕЗД ПРОЕКТИРУЕМЫЙ 4296, Д. 4,ЛИТЕР 2В</t>
  </si>
  <si>
    <t>Брязгунов Евгений Николаевич</t>
  </si>
  <si>
    <t>55.598711,37.604906</t>
  </si>
  <si>
    <t>ОБЩЕСТВО С ОГРАНИЧЕННОЙ ОТВЕТСТВЕННОСТЬЮ "Растворобетонный узел - 131"</t>
  </si>
  <si>
    <t xml:space="preserve"> "Растворобетонный узел - 131"</t>
  </si>
  <si>
    <t>5028030117</t>
  </si>
  <si>
    <t>http://rbu131.ru</t>
  </si>
  <si>
    <t>117535, МОСКВА ГОРОД, ПРОЕЗД РОССОШАНСКИЙ, ДОМ 4, КОРПУС 3,..</t>
  </si>
  <si>
    <t>Яковлев Павел Михайлович</t>
  </si>
  <si>
    <t>rbu131@mail.ru'</t>
  </si>
  <si>
    <t>55.454514,36.036223</t>
  </si>
  <si>
    <t>ОБЩЕСТВО С ОГРАНИЧЕННОЙ ОТВЕТСТВЕННОСТЬЮ "РАСТВОРОБЕТОННЫЙ УЗЕЛ 108"</t>
  </si>
  <si>
    <t xml:space="preserve"> "РАСТВОРОБЕТОННЫЙ УЗЕЛ 108"</t>
  </si>
  <si>
    <t>5028030773</t>
  </si>
  <si>
    <t>143217, МОСКОВСКАЯ ОБЛ., Г. Можайск, Д. Язёво, Д. 66, ОФИС 2</t>
  </si>
  <si>
    <t>Кривобородов Денис Александрович</t>
  </si>
  <si>
    <t>+7 (926) 395-61-81'</t>
  </si>
  <si>
    <t>55.489203,36.032836</t>
  </si>
  <si>
    <t>ОБЩЕСТВО С ОГРАНИЧЕННОЙ ОТВЕТСТВЕННОСТЬЮ "РБУ-108"</t>
  </si>
  <si>
    <t xml:space="preserve"> "РБУ-108"</t>
  </si>
  <si>
    <t>5028033622</t>
  </si>
  <si>
    <t>143201, МОСКОВСКАЯ ОБЛАСТЬ, ГОРОД МОЖАЙСК, УЛИЦА ЮБИЛЕЙНАЯ, ДОМ 2,..</t>
  </si>
  <si>
    <t>+7 (926) 283-02-39'</t>
  </si>
  <si>
    <t>55.930428,37.77511</t>
  </si>
  <si>
    <t>ОБЩЕСТВО С ОГРАНИЧЕННОЙ ОТВЕТСТВЕННОСТЬЮ "БЕТОННЫЙ ЗАВОД ПРАЙД"</t>
  </si>
  <si>
    <t xml:space="preserve"> "БЕТОННЫЙ ЗАВОД ПРАЙД"</t>
  </si>
  <si>
    <t>5029149323</t>
  </si>
  <si>
    <t>141004, МОСКОВСКАЯ ОБЛАСТЬ, ГОРОД МЫТИЩИ, УЛИЦА СИЛИКАТНАЯ, СТРОЕНИЕ 20, ПОМЕЩЕНИЕ 7 ОФИС 1А</t>
  </si>
  <si>
    <t>Рахимжанов Аркадий Олегович</t>
  </si>
  <si>
    <t>55.923246,37.78306</t>
  </si>
  <si>
    <t>ОБЩЕСТВО С ОГРАНИЧЕННОЙ ОТВЕТСТВЕННОСТЬЮ "МЭТР"</t>
  </si>
  <si>
    <t xml:space="preserve"> "МЭТР"</t>
  </si>
  <si>
    <t>5029149919</t>
  </si>
  <si>
    <t>141007, МОСКОВСКАЯ ОБЛАСТЬ, Г. МЫТИЩИ, УЛ. МЕДИЦИНСКАЯ, Д. 6/2, ПОМЕЩЕНИЕ 2, ОФИС 10</t>
  </si>
  <si>
    <t>Константинов Константин Николаевич</t>
  </si>
  <si>
    <t>+7 (495) 118-40-07'</t>
  </si>
  <si>
    <t>zakaz@mt-al'</t>
  </si>
  <si>
    <t>55.940336,37.566009</t>
  </si>
  <si>
    <t>ОБЩЕСТВО С ОГРАНИЧЕННОЙ ОТВЕТСТВЕННОСТЬЮ "НВЛ-ГРУПП"</t>
  </si>
  <si>
    <t xml:space="preserve"> "НВЛ-ГРУПП"</t>
  </si>
  <si>
    <t>5029211109</t>
  </si>
  <si>
    <t>127204, МОСКВА ГОРОД, ЛН. 1-Я СЕВЕРНАЯ, Д. 1, СТР. 16</t>
  </si>
  <si>
    <t>Бредун Александр Григорьевич</t>
  </si>
  <si>
    <t>+7 (926) 700-44-77'</t>
  </si>
  <si>
    <t>55.986561,37.728496</t>
  </si>
  <si>
    <t xml:space="preserve"> "МАСШТАБ"</t>
  </si>
  <si>
    <t>5029255064</t>
  </si>
  <si>
    <t>141033, МОСКОВСКАЯ ОБЛАСТЬ, ГОРОД МЫТИЩИ, ДЕРЕВНЯ ПИРОГОВО, УЛИЦА ЦЕНТРАЛЬНАЯ, ДОМ 98А, СТРОЕНИЕ  1, КОМНАТА  19</t>
  </si>
  <si>
    <t>Гринин Александр Сергеевич</t>
  </si>
  <si>
    <t>55.934765,37.741378</t>
  </si>
  <si>
    <t>ОБЩЕСТВО С ОГРАНИЧЕННОЙ ОТВЕТСТВЕННОСТЬЮ "ТСК-БЕТОН"</t>
  </si>
  <si>
    <t xml:space="preserve"> "ТСК-БЕТОН"</t>
  </si>
  <si>
    <t>5029256205</t>
  </si>
  <si>
    <t>141006, МОСКОВСКАЯ ОБЛАСТЬ, ГОРОД МЫТИЩИ, ШОССЕ ВОЛКОВСКОЕ, ВЛАДЕНИЕ 10, СТРОЕНИЕ 1, ОФИС 1</t>
  </si>
  <si>
    <t>Клингер Сергей Игоревич</t>
  </si>
  <si>
    <t>55.974146,37.723717</t>
  </si>
  <si>
    <t>5029261685</t>
  </si>
  <si>
    <t>141033, МОСКОВСКАЯ ОБЛ., Г. Мытищи, Д. Пирогово, УЛ. СОВХОЗНАЯ, Д. 2, ПОМЕЩ. 9</t>
  </si>
  <si>
    <t>Молчанов Роман Павлович</t>
  </si>
  <si>
    <t>55.933862,37.747415</t>
  </si>
  <si>
    <t>ОБЩЕСТВО С ОГРАНИЧЕННОЙ ОТВЕТСТВЕННОСТЬЮ "АВЕРС БЕТОН"</t>
  </si>
  <si>
    <t xml:space="preserve"> "АВЕРС БЕТОН"</t>
  </si>
  <si>
    <t>5029267430</t>
  </si>
  <si>
    <t>141006, Московская область, МЫТИЩИ, Г МЫТИЩИ, ПРОЕЗД 159, ВЛД. 4,СТР. 1</t>
  </si>
  <si>
    <t>Шинкарёв Дмитрий Валерьевич</t>
  </si>
  <si>
    <t>ARSHIN79@MAIL.RU'</t>
  </si>
  <si>
    <t>55.456449,36.938257</t>
  </si>
  <si>
    <t xml:space="preserve"> "МЕРИДИАН"</t>
  </si>
  <si>
    <t>5030048841</t>
  </si>
  <si>
    <t>143340, МОСКВА ГОРОД, ПОСЕЛЕНИЕ НОВОФЕДОРОВСКОЕ, ДЕРЕВНЯ КУЗНЕЦОВО, МТП, АБК НА МТП</t>
  </si>
  <si>
    <t>Ломаш Виктор Петрович</t>
  </si>
  <si>
    <t>+7 (985) 776-00-01'</t>
  </si>
  <si>
    <t>55.394591,36.763248</t>
  </si>
  <si>
    <t>ОБЩЕСТВО С ОГРАНИЧЕННОЙ ОТВЕТСТВЕННОСТЬЮ "СТРОИТЕЛЬНАЯ ИСПЫТАТЕЛЬНАЯ ЛАБОРАТОРИЯ "ЖБК"</t>
  </si>
  <si>
    <t xml:space="preserve"> "СТРОИТЕЛЬНАЯ ИСПЫТАТЕЛЬНАЯ ЛАБОРАТОРИЯ "ЖБК"</t>
  </si>
  <si>
    <t>5030062187</t>
  </si>
  <si>
    <t>143302, МОСКОВСКАЯ ОБЛАСТЬ, ГОРОД НАРО-ФОМИНСК, УЛИЦА ВОЛОДАРСКОГО, ДОМ 137А</t>
  </si>
  <si>
    <t>Турсин Игорь Евгеньевич</t>
  </si>
  <si>
    <t>+7 (496) 344-64-55', '+7 (925) 214-25-87', '+7 (916) 711-98-12'</t>
  </si>
  <si>
    <t>55.115759,36.622473</t>
  </si>
  <si>
    <t>ОБЩЕСТВО С ОГРАНИЧЕННОЙ ОТВЕТСТВЕННОСТЬЮ "УНИВЕРСАЛ-СТРОЙ"</t>
  </si>
  <si>
    <t xml:space="preserve"> "УНИВЕРСАЛ-СТРОЙ"</t>
  </si>
  <si>
    <t>5030089037</t>
  </si>
  <si>
    <t>249032, КАЛУЖСКАЯ ОБЛАСТЬ, ГОРОД ОБНИНСК, УЛИЦА КУРЧАТОВА, ДОМ 41, ОФИС 305</t>
  </si>
  <si>
    <t>Ахназарян Карен Барсегович</t>
  </si>
  <si>
    <t>+7 (926) 143-54-83'</t>
  </si>
  <si>
    <t>55.388701,36.725626</t>
  </si>
  <si>
    <t>ОБЩЕСТВО С ОГРАНИЧЕННОЙ ОТВЕТСТВЕННОСТЬЮ "АР.СТРОЙБЕТОН"</t>
  </si>
  <si>
    <t xml:space="preserve"> "АР.СТРОЙБЕТОН"</t>
  </si>
  <si>
    <t>5030098112</t>
  </si>
  <si>
    <t>143300, МОСКОВСКАЯ ОБЛАСТЬ, ГОРОД НАРО-ФОМИНСК, УЛИЦА КАЛИНИНА, ДОМ 8/1, ЭТАЖ ВТОРОЙ ПОМЕЩЕНИЕ 65</t>
  </si>
  <si>
    <t>Тадевосян Артур Араратович</t>
  </si>
  <si>
    <t>55.884469,38.482228</t>
  </si>
  <si>
    <t>ОБЩЕСТВО С ОГРАНИЧЕННОЙ ОТВЕТСТВЕННОСТЬЮ "БОГОРОДСКИЙ БЕТОН"</t>
  </si>
  <si>
    <t xml:space="preserve"> "БОГОРОДСКИЙ БЕТОН"</t>
  </si>
  <si>
    <t>5031088766</t>
  </si>
  <si>
    <t>142402, МОСКОВСКАЯ ОБЛАСТЬ, ГОРОД НОГИНСК, УЛИЦА ИЛЬИЧА, ПРОМПЛОЩАДКА 1, СТРОЕНИЕ 12</t>
  </si>
  <si>
    <t>Щербаков Динарий Михайлович</t>
  </si>
  <si>
    <t>+7 (496) 515-25-04', '+7 (903) 155-92-95'</t>
  </si>
  <si>
    <t>55.861439,38.45862</t>
  </si>
  <si>
    <t>ОБЩЕСТВО С ОГРАНИЧЕННОЙ ОТВЕТСТВЕННОСТЬЮ "БетоноГрад"</t>
  </si>
  <si>
    <t xml:space="preserve"> "БетоноГрад"</t>
  </si>
  <si>
    <t>5031100999</t>
  </si>
  <si>
    <t>http://бетоноград.рф</t>
  </si>
  <si>
    <t>142412, МОСКОВСКАЯ ОБЛАСТЬ, ГОРОД НОГИНСК, УЛИЦА ЗАХАРОВСКАЯ, ДОМ 2</t>
  </si>
  <si>
    <t>Белоконь Владимир Васильевич</t>
  </si>
  <si>
    <t>+7 (903) 215-70-20'</t>
  </si>
  <si>
    <t>55.836019,38.434069</t>
  </si>
  <si>
    <t>ОБЩЕСТВО С ОГРАНИЧЕННОЙ ОТВЕТСТВЕННОСТЬЮ "МАН-ГРУПП"</t>
  </si>
  <si>
    <t xml:space="preserve"> "МАН-ГРУПП"</t>
  </si>
  <si>
    <t>5031117329</t>
  </si>
  <si>
    <t>142410, МОСКОВСКАЯ ОБЛАСТЬ, ГОРОД НОГИНСК, ШОССЕ ЭЛЕКТРОСТАЛЬСКОЕ, ДОМ 29-А, ОФИС 36</t>
  </si>
  <si>
    <t>Александров Иван Викторович</t>
  </si>
  <si>
    <t>+7 (925) 664-46-08', '+7 (926) 196-22-42'</t>
  </si>
  <si>
    <t>nbeton14@mail.ru'</t>
  </si>
  <si>
    <t>55.854476,38.441866</t>
  </si>
  <si>
    <t>ОБЩЕСТВО С ОГРАНИЧЕННОЙ ОТВЕТСТВЕННОСТЬЮ "МОНОЛИТ М"</t>
  </si>
  <si>
    <t xml:space="preserve"> "МОНОЛИТ М"</t>
  </si>
  <si>
    <t>5031139509</t>
  </si>
  <si>
    <t>142450, МОСКОВСКАЯ ОБЛ., Г. Ногинск, УЛ. КОМИССАРОВСКАЯ, Д. 51, ПОМЕЩ. 14,15</t>
  </si>
  <si>
    <t>Тараканов Максим Николаевич</t>
  </si>
  <si>
    <t>55.933474,38.631725</t>
  </si>
  <si>
    <t>ОБЩЕСТВО С ОГРАНИЧЕННОЙ ОТВЕТСТВЕННОСТЬЮ "ГИССАР БЕТОН"</t>
  </si>
  <si>
    <t xml:space="preserve"> "ГИССАР БЕТОН"</t>
  </si>
  <si>
    <t>5031140416</t>
  </si>
  <si>
    <t>142436, МОСКОВСКАЯ ОБЛ., Г. Ногинск, ЗОНА ДАЧНОЙ ЗАСТРОЙКИ ТИМКОВСКИЕ ПОЛЯНЫ, Д. 23</t>
  </si>
  <si>
    <t>Темиров Фуркат Неъматжонович</t>
  </si>
  <si>
    <t>GISSARBETON@YANDEX.RU'</t>
  </si>
  <si>
    <t>55.734962,36.861541</t>
  </si>
  <si>
    <t>ОБЩЕСТВО С ОГРАНИЧЕННОЙ ОТВЕТСТВЕННОСТЬЮ "ДЕКА"</t>
  </si>
  <si>
    <t xml:space="preserve"> "ДЕКА"</t>
  </si>
  <si>
    <t>5032055837</t>
  </si>
  <si>
    <t>МОСКОВСКАЯ ОБЛ.,Г ЗВЕНИГОРОД,УЛ СОВЕТСКАЯ, Д 4</t>
  </si>
  <si>
    <t>Ризаев Ибрагим Махарович</t>
  </si>
  <si>
    <t>+7 (495) 364-80-40'</t>
  </si>
  <si>
    <t>55.662303,37.248913</t>
  </si>
  <si>
    <t xml:space="preserve"> "СТРОЙМОНТАЖ"</t>
  </si>
  <si>
    <t>5032138113</t>
  </si>
  <si>
    <t>МОСКОВСКАЯ ОБЛ.,Г ОДИНЦОВО,УЛ ПОЛЕВАЯ КАЗАРМА 4 А</t>
  </si>
  <si>
    <t>Амбарцумян Гурген Гагикович</t>
  </si>
  <si>
    <t>55.754436,36.870722</t>
  </si>
  <si>
    <t>5032209491</t>
  </si>
  <si>
    <t>143055, МОСКОВСКАЯ ОБЛАСТЬ, ГОРОД ОДИНЦОВО, ДЕРЕВНЯ СУПОНЕВО, 170</t>
  </si>
  <si>
    <t>Парликов Александр Захарович</t>
  </si>
  <si>
    <t>+7 (916) 595-31-14', '+7 (916) 178-96-65'</t>
  </si>
  <si>
    <t>55.624535,37.003448</t>
  </si>
  <si>
    <t>ОБЩЕСТВО С ОГРАНИЧЕННОЙ ОТВЕТСТВЕННОСТЬЮ "ЖБИ ТРЕСТА МОСОБЛСТРОЙ № 6"</t>
  </si>
  <si>
    <t xml:space="preserve"> "ЖБИ ТРЕСТА МОСОБЛСТРОЙ № 6"</t>
  </si>
  <si>
    <t>5032233293</t>
  </si>
  <si>
    <t>143050, МОСКОВСКАЯ ОБЛАСТЬ, Г ОДИНЦОВО, РП БОЛЬШИЕ ВЯЗЁМЫ, ПР-Д ПРОИЗВОДСТВЕННЫЙ, ВЛД. 2, СТР. 1</t>
  </si>
  <si>
    <t>Сарахонов Худоёр Джурахонович</t>
  </si>
  <si>
    <t>+7 (926) 408-05-78'</t>
  </si>
  <si>
    <t>55.723511,36.76526</t>
  </si>
  <si>
    <t>ОБЩЕСТВО С ОГРАНИЧЕННОЙ ОТВЕТСТВЕННОСТЬЮ "БЕТОН СТРОЙ ИНВЕСТ"</t>
  </si>
  <si>
    <t xml:space="preserve"> "БЕТОН СТРОЙ ИНВЕСТ"</t>
  </si>
  <si>
    <t>5032265295</t>
  </si>
  <si>
    <t>143056, МОСКОВСКАЯ ОБЛАСТЬ, ГОРОД ОДИНЦОВО, ДЕРЕВНЯ ЯГУНИНО, ДОМ 12Б</t>
  </si>
  <si>
    <t>Фурашов Владимир Васильевич</t>
  </si>
  <si>
    <t>+7 (916) 742-10-57'</t>
  </si>
  <si>
    <t>55.376089,37.53932</t>
  </si>
  <si>
    <t>ОБЩЕСТВО С ОГРАНИЧЕННОЙ ОТВЕТСТВЕННОСТЬЮ  "СТРОЙПРОЕКТ"</t>
  </si>
  <si>
    <t xml:space="preserve">  "СТРОЙПРОЕКТ"</t>
  </si>
  <si>
    <t>5032275470</t>
  </si>
  <si>
    <t>МОСКОВСКАЯ ОБЛ.,Г КЛИМОВСК,ПРОСП 50 ЛЕТ ОКТЯБРЯ, 12А</t>
  </si>
  <si>
    <t>Розум Юрий Леонидович</t>
  </si>
  <si>
    <t>+7 (926) 238-05-86', '+7 (960) 125-57-77'</t>
  </si>
  <si>
    <t>55.782532,36.787529</t>
  </si>
  <si>
    <t>ОБЩЕСТВО С ОГРАНИЧЕННОЙ ОТВЕТСТВЕННОСТЬЮ "БЕТОН СТРОЙ-ВЕКТОР"</t>
  </si>
  <si>
    <t xml:space="preserve"> "БЕТОН СТРОЙ-ВЕКТОР"</t>
  </si>
  <si>
    <t>5032303631</t>
  </si>
  <si>
    <t>143055, МОСКОВСКАЯ ОБЛАСТЬ, ОДИНЦОВСКИЙ РАЙОН, ДЕРЕВНЯ ИВАШКОВО, ДОМ 2,..</t>
  </si>
  <si>
    <t>Шуренков Виктор Сергеевич</t>
  </si>
  <si>
    <t>vektor@yandex.ru'</t>
  </si>
  <si>
    <t>55.680224,37.322745</t>
  </si>
  <si>
    <t>ОБЩЕСТВО С ОГРАНИЧЕННОЙ ОТВЕТСТВЕННОСТЬЮ "БЕТОН-СНАБ"</t>
  </si>
  <si>
    <t xml:space="preserve"> "БЕТОН-СНАБ"</t>
  </si>
  <si>
    <t>5032316302</t>
  </si>
  <si>
    <t>143005, МОСКОВСКАЯ ОБЛАСТЬ, ГОРОД ОДИНЦОВО, ШОССЕ МИНСКОЕ, ДОМ 5, КАБ 20</t>
  </si>
  <si>
    <t>Чмеренко Светлана Юрьевна</t>
  </si>
  <si>
    <t>55.626065,37.023948</t>
  </si>
  <si>
    <t>ОБЩЕСТВО С ОГРАНИЧЕННОЙ ОТВЕТСТВЕННОСТЬЮ "ЭКОТРАНСБЕТОН"</t>
  </si>
  <si>
    <t xml:space="preserve"> "ЭКОТРАНСБЕТОН"</t>
  </si>
  <si>
    <t>5032316888</t>
  </si>
  <si>
    <t>143050, МОСКОВСКАЯ ОБЛАСТЬ, ОДИНЦОВСКИЙ РАЙОН, ДЕРЕВНЯ МАЛЫЕ ВЯЗЕМЫ, ШОССЕ ПЕТРОВСКОЕ, ДОМ 5, ПОМЕЩЕНИЕ 15, ОФИС 8</t>
  </si>
  <si>
    <t>Мусаев Ахмед</t>
  </si>
  <si>
    <t>ОБЩЕСТВО С ОГРАНИЧЕННОЙ ОТВЕТСТВЕННОСТЬЮ "МСК БЕТОН"</t>
  </si>
  <si>
    <t xml:space="preserve"> "МСК БЕТОН"</t>
  </si>
  <si>
    <t>5032320901</t>
  </si>
  <si>
    <t>143006, МОСКОВСКАЯ ОБЛАСТЬ, ГОРОД ОДИНЦОВО, ПРОЕЗД ТРАНСПОРТНЫЙ, ДОМ 1, КОРПУС ЛИТЕР Б, ОФИС 213 ЭТАЖ 2</t>
  </si>
  <si>
    <t>Молчанов Александр Владимирович</t>
  </si>
  <si>
    <t>55.671097,37.269305</t>
  </si>
  <si>
    <t>ОБЩЕСТВО С ОГРАНИЧЕННОЙ ОТВЕТСТВЕННОСТЬЮ "БУМЕРАНГ-БЕТОН"</t>
  </si>
  <si>
    <t xml:space="preserve"> "БУМЕРАНГ-БЕТОН"</t>
  </si>
  <si>
    <t>5032322786</t>
  </si>
  <si>
    <t>143002, МОСКОВСКАЯ ОБЛАСТЬ, ГОРОД ОДИНЦОВО, ШОССЕ МОЖАЙСКОЕ, ДОМ 8, ЗДАНИЕ ЦЕХ НЕСТАНД.ОБОРУД, ОФИС 205</t>
  </si>
  <si>
    <t>Котлярова Екатерина Валентиновна</t>
  </si>
  <si>
    <t>ОБЩЕСТВО С ОГРАНИЧЕННОЙ ОТВЕТСТВЕННОСТЬЮ "РБУ МОНОЛИТ"</t>
  </si>
  <si>
    <t xml:space="preserve"> "РБУ МОНОЛИТ"</t>
  </si>
  <si>
    <t>5032338137</t>
  </si>
  <si>
    <t>143001, Московская область, ОДИНЦОВСКИЙ, Г ОДИНЦОВО, УЛ ЧИСТЯКОВОЙ, Д. 2, ПОМЕЩ./КОМ XXXIII/16</t>
  </si>
  <si>
    <t>Боков Ислам Хас-Магомедович</t>
  </si>
  <si>
    <t>BOKOV_ISLAM@INBOX.RU'</t>
  </si>
  <si>
    <t>55.708212,36.793548</t>
  </si>
  <si>
    <t>ОБЩЕСТВО С ОГРАНИЧЕННОЙ ОТВЕТСТВЕННОСТЬЮ "БЕТОННЫЙ ЗАВОД "ВАВИЛОН"</t>
  </si>
  <si>
    <t xml:space="preserve"> "БЕТОННЫЙ ЗАВОД "ВАВИЛОН"</t>
  </si>
  <si>
    <t>5032342800</t>
  </si>
  <si>
    <t>143180, Московская область, ОДИНЦОВСКИЙ, Г ЗВЕНИГОРОД, УЛ КИРОВА, Д. 78, К. 5</t>
  </si>
  <si>
    <t>Антонюк Елена Ивановна</t>
  </si>
  <si>
    <t>55.656504,38.912341</t>
  </si>
  <si>
    <t>ОБЩЕСТВО С ОГРАНИЧЕННОЙ ОТВЕТСТВЕННОСТЬЮ "АЛЬЯНС БЕТОН"</t>
  </si>
  <si>
    <t xml:space="preserve"> "АЛЬЯНС БЕТОН"</t>
  </si>
  <si>
    <t>5034051700</t>
  </si>
  <si>
    <t>142643, МОСКОВСКАЯ ОБЛАСТЬ, ГОРОД ОРЕХОВО-ЗУЕВО, ДЕРЕВНЯ РАДОВАНЬЕ, ДОМ 55</t>
  </si>
  <si>
    <t>Семёнов Илья Петрович</t>
  </si>
  <si>
    <t>+7 (903) 517-35-11'</t>
  </si>
  <si>
    <t>55.792392,38.940396</t>
  </si>
  <si>
    <t>ОБЩЕСТВО С ОГРАНИЧЕННОЙ ОТВЕТСТВЕННОСТЬЮ "АРМАДА-ЦЕНТР"</t>
  </si>
  <si>
    <t xml:space="preserve"> "АРМАДА-ЦЕНТР"</t>
  </si>
  <si>
    <t>5034055744</t>
  </si>
  <si>
    <t>142603, МОСКОВСКАЯ ОБЛАСТЬ, ГОРОД ОРЕХОВО-ЗУЕВО, УЛИЦА ДЗЕРЖИНСКОГО, ДОМ 15А, ОФИС 3</t>
  </si>
  <si>
    <t>Кургузиков Юрий Львович</t>
  </si>
  <si>
    <t>+7 (916) 919-56-76'</t>
  </si>
  <si>
    <t>value1@mail.ru'</t>
  </si>
  <si>
    <t>55.839957,38.966878</t>
  </si>
  <si>
    <t>ОБЩЕСТВО С ОГРАНИЧЕННОЙ ОТВЕТСТВЕННОСТЬЮ "ОРЕХОВО СТРОЙ БЕТОН"</t>
  </si>
  <si>
    <t xml:space="preserve"> "ОРЕХОВО СТРОЙ БЕТОН"</t>
  </si>
  <si>
    <t>5034056949</t>
  </si>
  <si>
    <t>142605, МОСКОВСКАЯ ОБЛАСТЬ, ГОРОД ОРЕХОВО-ЗУЕВО, ПОСЕЛОК ПРИГОРОДНЫЙ, ДОМ 13, КАБИНЕТ 1</t>
  </si>
  <si>
    <t>Комаров Алексей Владимирович</t>
  </si>
  <si>
    <t>55.738034,38.94495</t>
  </si>
  <si>
    <t>ОБЩЕСТВО С ОГРАНИЧЕННОЙ ОТВЕТСТВЕННОСТЬЮ "ЛИКИНО-РБУ"</t>
  </si>
  <si>
    <t xml:space="preserve"> "ЛИКИНО-РБУ"</t>
  </si>
  <si>
    <t>5034061096</t>
  </si>
  <si>
    <t>142671, Московская область, ОРЕХОВО-ЗУЕВСКИЙ, Г ЛИКИНО-ДУЛЁВО, УЛ КАЛИНИНА, Д. 1,ЛИТЕР 2П</t>
  </si>
  <si>
    <t>Авдеев Максим Александрович</t>
  </si>
  <si>
    <t>9035714741@MAIL.RU'</t>
  </si>
  <si>
    <t>55.781545,38.620937</t>
  </si>
  <si>
    <t>ОБЩЕСТВО С ОГРАНИЧЕННОЙ ОТВЕТСТВЕННОСТЬЮ "ОРЕХ БЕТОН"</t>
  </si>
  <si>
    <t xml:space="preserve"> "ОРЕХ БЕТОН"</t>
  </si>
  <si>
    <t>5035030693</t>
  </si>
  <si>
    <t>142506, МОСКОВСКАЯ ОБЛАСТЬ, ГОРОД ПАВЛОВСКИЙ ПОСАД, УЛИЦА 1 МАЯ, ДОМ 34, ПОМЕЩЕНИЕ II</t>
  </si>
  <si>
    <t>Зюзин Александр Олегович</t>
  </si>
  <si>
    <t>ZAKAZ@OREHBETON.RU'</t>
  </si>
  <si>
    <t>55.776958,38.695542</t>
  </si>
  <si>
    <t>ОБЩЕСТВО С ОГРАНИЧЕННОЙ ОТВЕТСТВЕННОСТЬЮ " ПОБЕДА БЕТОН"</t>
  </si>
  <si>
    <t xml:space="preserve"> " ПОБЕДА БЕТОН"</t>
  </si>
  <si>
    <t>5035031048</t>
  </si>
  <si>
    <t>142505, МОСКОВСКАЯ ОБЛАСТЬ, ГОРОД ПАВЛОВСКИЙ ПОСАД, УЛИЦА ИНТЕРНАЦИОНАЛЬНАЯ, ДОМ 34А, ЛИТ 2Э, КАБИНЕТ 3</t>
  </si>
  <si>
    <t>Рожнов Эдуард Геннадьевич</t>
  </si>
  <si>
    <t>ОБЩЕСТВО С ОГРАНИЧЕННОЙ ОТВЕТСТВЕННОСТЬЮ "Стройрегион XXI"</t>
  </si>
  <si>
    <t xml:space="preserve"> "Стройрегион XXI"</t>
  </si>
  <si>
    <t>5035040571</t>
  </si>
  <si>
    <t>http://stroyregion21.ru</t>
  </si>
  <si>
    <t>142505, МОСКОВСКАЯ ОБЛАСТЬ, Г. ПАВЛОВСКИЙ ПОСАД, ПЕР. КОРНЕВО-ЮДИНСКИЙ, Д. 2/3</t>
  </si>
  <si>
    <t>Волков Юрий Александрович</t>
  </si>
  <si>
    <t>55.463564,37.564698</t>
  </si>
  <si>
    <t>ОБЩЕСТВО С ОГРАНИЧЕННОЙ ОТВЕТСТВЕННОСТЬЮ "Стройнеруд"</t>
  </si>
  <si>
    <t xml:space="preserve"> "Стройнеруд"</t>
  </si>
  <si>
    <t>5036123630</t>
  </si>
  <si>
    <t>142101, МОСКОВСКАЯ ОБЛАСТЬ, Г. ПОДОЛЬСК, ПР-Д ЦЕМЕНТНЫЙ, Д.4</t>
  </si>
  <si>
    <t>Брагина Мария Ивановна</t>
  </si>
  <si>
    <t>+7 (916) 972-66-64'</t>
  </si>
  <si>
    <t>3541147@mail.ru', 'ga3532183@strnerud.ru', 'р5027816@mail.ru'</t>
  </si>
  <si>
    <t>55.463319,37.581101</t>
  </si>
  <si>
    <t>ОБЩЕСТВО С ОГРАНИЧЕННОЙ ОТВЕТСТВЕННОСТЬЮ "БЕТОН-ПОДОЛЬСК"</t>
  </si>
  <si>
    <t xml:space="preserve"> "БЕТОН-ПОДОЛЬСК"</t>
  </si>
  <si>
    <t>5036127225</t>
  </si>
  <si>
    <t>142111, МОСКОВСКАЯ ОБЛАСТЬ, Г. ПОДОЛЬСК, ПР-Д НЕФТЕБАЗОВСКИЙ, Д.12</t>
  </si>
  <si>
    <t>Наврузов Зарифжон</t>
  </si>
  <si>
    <t>+7 (903) 778-83-10'</t>
  </si>
  <si>
    <t>podolskbeton@andex.ru'</t>
  </si>
  <si>
    <t>55.360633,37.499651</t>
  </si>
  <si>
    <t>ОБЩЕСТВО С ОГРАНИЧЕННОЙ ОТВЕТСТВЕННОСТЬЮ "КОРПОРАЦИЯ ГЛОБАЛ БЕТОН"</t>
  </si>
  <si>
    <t xml:space="preserve"> "КОРПОРАЦИЯ ГЛОБАЛ БЕТОН"</t>
  </si>
  <si>
    <t>5036144414</t>
  </si>
  <si>
    <t>142180, МОСКОВСКАЯ ОБЛАСТЬ, Г. ПОДОЛЬСК, УЛ. СУВОРОВА (КЛИМОВСК МКР.), Д. 2А</t>
  </si>
  <si>
    <t>Артамонов Александр Алексеевич</t>
  </si>
  <si>
    <t>55.573963,38.919456</t>
  </si>
  <si>
    <t>ОБЩЕСТВО С ОГРАНИЧЕННОЙ ОТВЕТСТВЕННОСТЬЮ "ПРОИЗВОДСТВЕННАЯ КОМПАНИЯ "ЮГБЕТОН"</t>
  </si>
  <si>
    <t xml:space="preserve"> "ПРОИЗВОДСТВЕННАЯ КОМПАНИЯ "ЮГБЕТОН"</t>
  </si>
  <si>
    <t>5036146588</t>
  </si>
  <si>
    <t>http://ugbeton.com</t>
  </si>
  <si>
    <t>МОСКОВСКАЯ ОБЛ.,ОРЕХОВО-ЗУЕВСКИЙ Р-Н,Г КУРОВСКОЕ,УЛ ПОЧТОВАЯ, Д 26/14</t>
  </si>
  <si>
    <t>Гусев Анатолий Сергеевич</t>
  </si>
  <si>
    <t>55.428843,37.504897</t>
  </si>
  <si>
    <t>ОБЩЕСТВО С ОГРАНИЧЕННОЙ ОТВЕТСТВЕННОСТЬЮ "СТРОЙМОНОЛИТ 70"</t>
  </si>
  <si>
    <t xml:space="preserve"> "СТРОЙМОНОЛИТ 70"</t>
  </si>
  <si>
    <t>5036160575</t>
  </si>
  <si>
    <t>142119, Московская область, городской округ ПОДОЛЬСК, Город ПОДОЛЬСК, УЛ ЛЕНИНГРАДСКАЯ, Д. 2, ЭТАЖ 1, ПОМЕЩ. 3 ОФИС 04</t>
  </si>
  <si>
    <t>Стыркин Юрий Николаевич</t>
  </si>
  <si>
    <t>+7 (495) 542-20-40'</t>
  </si>
  <si>
    <t>ОБЩЕСТВО С ОГРАНИЧЕННОЙ ОТВЕТСТВЕННОСТЬЮ "ПРОИЗВОДСТВЕННО-СТРОИТЕЛЬНАЯ КОМПАНИЯ АНКЕР"</t>
  </si>
  <si>
    <t xml:space="preserve"> "ПРОИЗВОДСТВЕННО-СТРОИТЕЛЬНАЯ КОМПАНИЯ АНКЕР"</t>
  </si>
  <si>
    <t>5036171104</t>
  </si>
  <si>
    <t>142101, МОСКОВСКАЯ ОБЛАСТЬ, Г. ПОДОЛЬСК, ПР-Д НЕФТЕБАЗОВСКИЙ, Д. 8Б, ЗД. ЖБИ, ПОМЕЩ. 7 ЭТАЖ 1</t>
  </si>
  <si>
    <t>Умаханов Рустам Сулумбекович</t>
  </si>
  <si>
    <t>+7 (929) 278-88-95'</t>
  </si>
  <si>
    <t>55.418124,37.478828</t>
  </si>
  <si>
    <t>ОБЩЕСТВО С ОГРАНИЧЕННОЙ ОТВЕТСТВЕННОСТЬЮ "СПЕЦМОНОЛИТ ГРУПП"</t>
  </si>
  <si>
    <t xml:space="preserve"> "СПЕЦМОНОЛИТ ГРУПП"</t>
  </si>
  <si>
    <t>5036177843</t>
  </si>
  <si>
    <t>142121, МОСКОВСКАЯ ОБЛАСТЬ, ГОРОД ПОДОЛЬСК, УЛИЦА АКАДЕМИКА ДОЛЛЕЖАЛЯ (КУЗНЕЧИКИ МКР.), ДОМ 24,..</t>
  </si>
  <si>
    <t>Леонов Сергей Александрович</t>
  </si>
  <si>
    <t>56.155914,37.989035</t>
  </si>
  <si>
    <t>ОБЩЕСТВО С ОГРАНИЧЕННОЙ ОТВЕТСТВЕННОСТЬЮ "БЕТОН - МОНОЛИТ"</t>
  </si>
  <si>
    <t xml:space="preserve"> "БЕТОН - МОНОЛИТ"</t>
  </si>
  <si>
    <t>5038069177</t>
  </si>
  <si>
    <t>141250, МОСКОВСКАЯ ОБЛАСТЬ, Г ПУШКИНО, С РАХМАНОВО</t>
  </si>
  <si>
    <t>Жамкочян Андраник Ерджаникович</t>
  </si>
  <si>
    <t>56.024929,37.470419</t>
  </si>
  <si>
    <t>ОБЩЕСТВО С ОГРАНИЧЕННОЙ ОТВЕТСТВЕННОСТЬЮ "РегионСтройБетон"</t>
  </si>
  <si>
    <t xml:space="preserve"> "РегионСтройБетон"</t>
  </si>
  <si>
    <t>5038086888</t>
  </si>
  <si>
    <t>http://regionstroibeton.ru</t>
  </si>
  <si>
    <t>141733, Московская область, городской округ ЛОБНЯ, Город ЛОБНЯ, УЛ ЖИРОХОВА, Д. 3,..</t>
  </si>
  <si>
    <t>Донской Станислав Валентинович</t>
  </si>
  <si>
    <t>+7 (496) 531-74-57'</t>
  </si>
  <si>
    <t>55.968171,37.934723</t>
  </si>
  <si>
    <t>ОБЩЕСТВО С ОГРАНИЧЕННОЙ ОТВЕТСТВЕННОСТЬЮ "Строй Дом"</t>
  </si>
  <si>
    <t xml:space="preserve"> "Строй Дом"</t>
  </si>
  <si>
    <t>5038092306</t>
  </si>
  <si>
    <t>141281, МОСКОВСКАЯ ОБЛАСТЬ, Г ПУШКИНО, Г. ИВАНТЕЕВКА, УЛ. ТРУДОВАЯ, Д.12,..</t>
  </si>
  <si>
    <t>Карибов Александр Македонович</t>
  </si>
  <si>
    <t>55.997301,37.873224</t>
  </si>
  <si>
    <t>ОБЩЕСТВО С ОГРАНИЧЕННОЙ ОТВЕТСТВЕННОСТЬЮ "Экобетон Групп"</t>
  </si>
  <si>
    <t xml:space="preserve"> "Экобетон Групп"</t>
  </si>
  <si>
    <t>5038094896</t>
  </si>
  <si>
    <t>http://ecobeton.msk.ru</t>
  </si>
  <si>
    <t>141205, МОСКОВСКАЯ ОБЛАСТЬ, Г ПУШКИНО, УЛ. ЛУГОВАЯ, ВЛД. 47-Б</t>
  </si>
  <si>
    <t>Коротеев Роман Александрович</t>
  </si>
  <si>
    <t>eco_beton@mail.ru', 'eco_beton_buh@mail.ru', 'eco_beton@mail.ru', 'eco_beton_buh@mail.ru'</t>
  </si>
  <si>
    <t>55.966937,37.889097</t>
  </si>
  <si>
    <t>ОБЩЕСТВО С ОГРАНИЧЕННОЙ ОТВЕТСТВЕННОСТЬЮ "ПРОИЗВОДСТВЕННАЯ КОМПАНИЯ МОСОБЛСТРОЙ №20"</t>
  </si>
  <si>
    <t xml:space="preserve"> "ПРОИЗВОДСТВЕННАЯ КОМПАНИЯ МОСОБЛСТРОЙ №20"</t>
  </si>
  <si>
    <t>5038108330</t>
  </si>
  <si>
    <t>141280, МОСКОВСКАЯ ОБЛАСТЬ, Г ПУШКИНО, Г. ИВАНТЕЕВКА, ПР-Д ЦЕНТРАЛЬНЫЙ, Д.29</t>
  </si>
  <si>
    <t>Голомазова Виктория Валериевна</t>
  </si>
  <si>
    <t>mos20@list.ru', 'mos20@mail.ru'</t>
  </si>
  <si>
    <t>56.141718,38.004863</t>
  </si>
  <si>
    <t xml:space="preserve"> "ПРОГРЕСС"</t>
  </si>
  <si>
    <t>5038127855</t>
  </si>
  <si>
    <t>141250, МОСКОВСКАЯ ОБЛАСТЬ, Г ПУШКИНО, С РАХМАНОВО, ТЕР ПРОМЗОНА РАХМАНОВО, ВЛД. 1, СТР. 1, ПОМЕЩ. 30</t>
  </si>
  <si>
    <t>Манукян Айк Амбарцумович</t>
  </si>
  <si>
    <t>+7 (915) 190-00-04'</t>
  </si>
  <si>
    <t>55.970131,37.931255</t>
  </si>
  <si>
    <t>ОБЩЕСТВО С ОГРАНИЧЕННОЙ ОТВЕТСТВЕННОСТЬЮ "НЕРУДБЕТОНЛОГИСТИК"</t>
  </si>
  <si>
    <t xml:space="preserve"> "НЕРУДБЕТОНЛОГИСТИК"</t>
  </si>
  <si>
    <t>5038128961</t>
  </si>
  <si>
    <t>141281, МОСКОВСКАЯ ОБЛАСТЬ, Г ПУШКИНО, Г. ИВАНТЕЕВКА, УЛ. ТРУДОВАЯ, Д. 7, ПОМЕЩ. 017</t>
  </si>
  <si>
    <t>Коротынова Мария Олеговна</t>
  </si>
  <si>
    <t>+7 (926) 026-08-09'</t>
  </si>
  <si>
    <t>56.107649,38.143374</t>
  </si>
  <si>
    <t>ОБЩЕСТВО С ОГРАНИЧЕННОЙ ОТВЕТСТВЕННОСТЬЮ "РБУ КРАСНОАРМЕЙСКИЙ"</t>
  </si>
  <si>
    <t xml:space="preserve"> "РБУ КРАСНОАРМЕЙСКИЙ"</t>
  </si>
  <si>
    <t>5038140817</t>
  </si>
  <si>
    <t>141290, МОСКОВСКАЯ ОБЛАСТЬ, Г ПУШКИНО, Г. КРАСНОАРМЕЙСК, УЛ. АКАДЕМИКА ЯНГЕЛЯ, Д. 23, СТР. 8</t>
  </si>
  <si>
    <t>Махи Ринат Халаф</t>
  </si>
  <si>
    <t>56.158391,37.833411</t>
  </si>
  <si>
    <t>ОБЩЕСТВО С ОГРАНИЧЕННОЙ ОТВЕТСТВЕННОСТЬЮ "ЛЕГИОНСТРОЙ"</t>
  </si>
  <si>
    <t xml:space="preserve"> "ЛЕГИОНСТРОЙ"</t>
  </si>
  <si>
    <t>5038155210</t>
  </si>
  <si>
    <t>141270, МОСКОВСКАЯ ОБЛАСТЬ, Г ПУШКИНО, РП СОФРИНО, МКР СОФРИНО-1, Д. 5,..</t>
  </si>
  <si>
    <t>Малиновский Александр Олегович</t>
  </si>
  <si>
    <t>55.994934,37.854799</t>
  </si>
  <si>
    <t>ОБЩЕСТВО С ОГРАНИЧЕННОЙ ОТВЕТСТВЕННОСТЬЮ "СКОРП XXI"</t>
  </si>
  <si>
    <t xml:space="preserve"> "СКОРП XXI"</t>
  </si>
  <si>
    <t>5038159134</t>
  </si>
  <si>
    <t>141205, МОСКОВСКАЯ ОБЛ., Г. Пушкино, Ш. КУДРИНСКОЕ, Д. 3</t>
  </si>
  <si>
    <t>Бузун Сергей Иванович</t>
  </si>
  <si>
    <t>INFO@SCORP-XXI'</t>
  </si>
  <si>
    <t>55.542151,38.014547</t>
  </si>
  <si>
    <t>ОБЩЕСТВО С ОГРАНИЧЕННОЙ ОТВЕТСТВЕННОСТЬЮ "ДЕЛЬТАСТРОЙ"</t>
  </si>
  <si>
    <t xml:space="preserve"> "ДЕЛЬТАСТРОЙ"</t>
  </si>
  <si>
    <t>5040051610</t>
  </si>
  <si>
    <t>140125, МОСКОВСКАЯ ОБЛАСТЬ, ГОРОД РАМЕНСКОЕ, ДЕРЕВНЯ КАМЕННОЕ ТЯЖИНО, ДОМ 29</t>
  </si>
  <si>
    <t>Тюрихова Олеся Николаевна</t>
  </si>
  <si>
    <t>+7 (903) 795-85-37', '+7 (916) 598-56-76'</t>
  </si>
  <si>
    <t>55.566618,38.224492</t>
  </si>
  <si>
    <t>ОБЩЕСТВО С ОГРАНИЧЕННОЙ ОТВЕТСТВЕННОСТЬЮ "МИЛЛХАУС"</t>
  </si>
  <si>
    <t xml:space="preserve"> "МИЛЛХАУС"</t>
  </si>
  <si>
    <t>5040104446</t>
  </si>
  <si>
    <t>140100, МОСКОВСКАЯ ОБЛАСТЬ, Г. РАМЕНСКОЕ, УЛ. ВОКЗАЛЬНАЯ, Д. 4, ЭТАЖ 3, ПОМЕЩ. 136</t>
  </si>
  <si>
    <t>Чередников Николай Николаевич</t>
  </si>
  <si>
    <t>+7 (929) 653-73-07'</t>
  </si>
  <si>
    <t>55.508305,38.345235</t>
  </si>
  <si>
    <t>ОБЩЕСТВО С ОГРАНИЧЕННОЙ ОТВЕТСТВЕННОСТЬЮ "ЭНЕРГОЖБИ"</t>
  </si>
  <si>
    <t xml:space="preserve"> "ЭНЕРГОЖБИ"</t>
  </si>
  <si>
    <t>5040133800</t>
  </si>
  <si>
    <t>140152, МОСКОВСКАЯ ОБЛАСТЬ, Г. РАМЕНСКОЕ, Д КУЗНЕЦОВО, УЛ. ГАГАРИНА, СТР. 86</t>
  </si>
  <si>
    <t>Глебов Александр Васильевич</t>
  </si>
  <si>
    <t>+7 (496) 464-21-70'</t>
  </si>
  <si>
    <t>55.62977,38.107343</t>
  </si>
  <si>
    <t>ОБЩЕСТВО С ОГРАНИЧЕННОЙ ОТВЕТСТВЕННОСТЬЮ "ИСКРА-БЕТОН"</t>
  </si>
  <si>
    <t xml:space="preserve"> "ИСКРА-БЕТОН"</t>
  </si>
  <si>
    <t>5040143773</t>
  </si>
  <si>
    <t>140121, МОСКОВСКАЯ ОБЛАСТЬ, ГОРОД РАМЕНСКОЕ, РАБОЧИЙ ПОСЕЛОК ИЛЬИНСКИЙ, УЛИЦА КРАСНОЗНАМЕННАЯ, ДОМ 53А/2, ОФИС 1</t>
  </si>
  <si>
    <t>Дроздова Елена Вячеславовна</t>
  </si>
  <si>
    <t>+7 (916) 379-73-28'</t>
  </si>
  <si>
    <t>55.656245,38.080735</t>
  </si>
  <si>
    <t>ОБЩЕСТВО С ОГРАНИЧЕННОЙ ОТВЕТСТВЕННОСТЬЮ "БЕТОННО-СТРОИТЕЛЬНЫЙ КОМПЛЕКС"</t>
  </si>
  <si>
    <t xml:space="preserve"> "БЕТОННО-СТРОИТЕЛЬНЫЙ КОМПЛЕКС"</t>
  </si>
  <si>
    <t>5040151862</t>
  </si>
  <si>
    <t>140142, МОСКОВСКАЯ ОБЛАСТЬ, ГОРОД РАМЕНСКОЕ, ДЕРЕВНЯ ВЯЛКИ, УЛИЦА СОЛНЕЧНАЯ, ДОМ 1, ОФИС 1</t>
  </si>
  <si>
    <t>Ковзович Елена Валерьевна</t>
  </si>
  <si>
    <t>+7 (915) 407-77-17'</t>
  </si>
  <si>
    <t>55.437654,38.177124</t>
  </si>
  <si>
    <t>ОБЩЕСТВО С ОГРАНИЧЕННОЙ ОТВЕТСТВЕННОСТЬЮ "АБЗ МАСТЕР"</t>
  </si>
  <si>
    <t xml:space="preserve"> "АБЗ МАСТЕР"</t>
  </si>
  <si>
    <t>5040159501</t>
  </si>
  <si>
    <t>140170, МОСКОВСКАЯ ОБЛАСТЬ, ГОРОД РАМЕНСКОЕ, ДЕРЕВНЯ ДЬЯКОВО, УЧАСТОК 1/1</t>
  </si>
  <si>
    <t>Карпилов Кирилл Игорьевич</t>
  </si>
  <si>
    <t>55.571932,38.210892</t>
  </si>
  <si>
    <t>ОБЩЕСТВО С ОГРАНИЧЕННОЙ ОТВЕТСТВЕННОСТЬЮ "МОНОЛИТ БЕТОН"</t>
  </si>
  <si>
    <t xml:space="preserve"> "МОНОЛИТ БЕТОН"</t>
  </si>
  <si>
    <t>5040165706</t>
  </si>
  <si>
    <t>140105, МОСКОВСКАЯ ОБЛАСТЬ, ГОРОД РАМЕНСКОЕ, УЛИЦА ВОРОВСКОГО, ДОМ 5, ОФИС 304/2</t>
  </si>
  <si>
    <t>Овакимян Аваг Дереникович</t>
  </si>
  <si>
    <t>55.587499,38.469337</t>
  </si>
  <si>
    <t>ОБЩЕСТВО С ОГРАНИЧЕННОЙ ОТВЕТСТВЕННОСТЬЮ "БЕТОН ПРОМ"</t>
  </si>
  <si>
    <t xml:space="preserve"> "БЕТОН ПРОМ"</t>
  </si>
  <si>
    <t>5040167661</t>
  </si>
  <si>
    <t>140145, МОСКОВСКАЯ ОБЛАСТЬ, Г. РАМЕНСКОЕ, С РЕЧИЦЫ, УЛ. СОВХОЗНАЯ, Д. 24А, СТР. 1, ОФИС 3</t>
  </si>
  <si>
    <t>Ефремов Алексей Александрович</t>
  </si>
  <si>
    <t>55.609421,38.097839</t>
  </si>
  <si>
    <t>ОБЩЕСТВО С ОГРАНИЧЕННОЙ ОТВЕТСТВЕННОСТЬЮ "СНАБСЕРВИС"</t>
  </si>
  <si>
    <t xml:space="preserve"> "СНАБСЕРВИС"</t>
  </si>
  <si>
    <t>5040170142</t>
  </si>
  <si>
    <t>140182, МОСКОВСКАЯ ОБЛАСТЬ, Г. ЖУКОВСКИЙ, УЛ. ГАГАРИНА, СТР. 64А, КОМ. 1.12, ПОМЕЩ. 1</t>
  </si>
  <si>
    <t>Медведев Алексей Алексеевич</t>
  </si>
  <si>
    <t>55.506913,37.570644</t>
  </si>
  <si>
    <t>ОБЩЕСТВО С ОГРАНИЧЕННОЙ ОТВЕТСТВЕННОСТЬЮ "ТЕХПРОМБЕТОН"</t>
  </si>
  <si>
    <t xml:space="preserve"> "ТЕХПРОМБЕТОН"</t>
  </si>
  <si>
    <t>5040171957</t>
  </si>
  <si>
    <t>108851, Г.Москва, внутригородская территория города федерального значения ГОРОДСКОЙ ОКРУГ ЩЕРБИНКА, Город ЩЕРБИНКА, УЛ ЮБИЛЕЙНАЯ, Д. 14, КОМ. 30</t>
  </si>
  <si>
    <t>Козырева Дарья Алексеевна</t>
  </si>
  <si>
    <t>TEKHPROMBETON@BK.RU'</t>
  </si>
  <si>
    <t>55.609492,38.092898</t>
  </si>
  <si>
    <t>"ЛЕВ"</t>
  </si>
  <si>
    <t>5040173538</t>
  </si>
  <si>
    <t>140187, МОСКОВСКАЯ ОБЛ., Г. Жуковский, УЛ. КОРОЛЕВА, СТР. 6/1, ПОМЕЩ. 3 КОМ. 1</t>
  </si>
  <si>
    <t>Ильин Дмитрий Владимирович</t>
  </si>
  <si>
    <t>ER@GMAIL.COM'</t>
  </si>
  <si>
    <t>55.556553,38.115122</t>
  </si>
  <si>
    <t>ОБЩЕСТВО С ОГРАНИЧЕННОЙ ОТВЕТСТВЕННОСТЬЮ "МРС-БЕТОН"</t>
  </si>
  <si>
    <t xml:space="preserve"> "МРС-БЕТОН"</t>
  </si>
  <si>
    <t>5040176264</t>
  </si>
  <si>
    <t>140182, МОСКОВСКАЯ ОБЛ., Г. Жуковский, УЛ. НАРКОМВОД, Д. 23, ЭТАЖ 1 КОМ. 113</t>
  </si>
  <si>
    <t>Кружилин Александр Вячеславович</t>
  </si>
  <si>
    <t>56.324436,38.146069</t>
  </si>
  <si>
    <t>ОБЩЕСТВО С ОГРАНИЧЕННОЙ ОТВЕТСТВЕННОСТЬЮ "Стройинвест-Сервис"</t>
  </si>
  <si>
    <t xml:space="preserve"> "Стройинвест-Сервис"</t>
  </si>
  <si>
    <t>5042116359</t>
  </si>
  <si>
    <t>143103, МОСКОВСКАЯ ОБЛАСТЬ, ГОРОД СЕРГИЕВ ПОСАД, ПРОСПЕКТ КРАСНОЙ АРМИИ, 205 А, ПОМ.1, ПОМ.5</t>
  </si>
  <si>
    <t>Круглов Валерий Владимирович</t>
  </si>
  <si>
    <t>56.281876,38.1837</t>
  </si>
  <si>
    <t>ОБЩЕСТВО С ОГРАНИЧЕННОЙ ОТВЕТСТВЕННОСТЬЮ "Экостром Бетон"</t>
  </si>
  <si>
    <t xml:space="preserve"> "Экостром Бетон"</t>
  </si>
  <si>
    <t>5042134157</t>
  </si>
  <si>
    <t>141311, МОСКОВСКАЯ ОБЛАСТЬ, ГОРОД СЕРГИЕВ ПОСАД, ДЕРЕВНЯ ТУРАКОВО, ДОМ 124 А, ПОМЕЩЕНИЕ 3, КОМНАТА 1</t>
  </si>
  <si>
    <t>Деяк Надежда Викторовна</t>
  </si>
  <si>
    <t>+7 (985) 301-70-90'</t>
  </si>
  <si>
    <t>buh@beton-ekostrom'</t>
  </si>
  <si>
    <t>56.281456,38.184364</t>
  </si>
  <si>
    <t>ОБЩЕСТВО С ОГРАНИЧЕННОЙ ОТВЕТСТВЕННОСТЬЮ "СЕРГИЕВО-ПОСАДСКАЯ БЕТОННАЯ КОМПАНИЯ"</t>
  </si>
  <si>
    <t xml:space="preserve"> "СЕРГИЕВО-ПОСАДСКАЯ БЕТОННАЯ КОМПАНИЯ"</t>
  </si>
  <si>
    <t>5042140150</t>
  </si>
  <si>
    <t>141311, МОСКОВСКАЯ ОБЛАСТЬ, ГОРОДСКОЙ ОКРУГ СЕРГИЕВО-ПОСАДСКИЙ , ДЕРЕВНЯ ТУРАКОВО, ДОМ 124 Б, ПОМЕЩЕНИЕ 2, КОМНАТА 15</t>
  </si>
  <si>
    <t>Тютляев Константин Александрович</t>
  </si>
  <si>
    <t>+7 (909) 921-40-22'</t>
  </si>
  <si>
    <t>buh@sp-bk'</t>
  </si>
  <si>
    <t>56.251987,37.956992</t>
  </si>
  <si>
    <t>ОБЩЕСТВО С ОГРАНИЧЕННОЙ ОТВЕТСТВЕННОСТЬЮ "БЕТОН 100"</t>
  </si>
  <si>
    <t xml:space="preserve"> "БЕТОН 100"</t>
  </si>
  <si>
    <t>5042145504</t>
  </si>
  <si>
    <t>141371, МОСКОВСКАЯ ОБЛАСТЬ, Г СЕРГИЕВ ПОСАД, Г. ХОТЬКОВО, УЛ. ОСТРОВСКОГО, Д. 10</t>
  </si>
  <si>
    <t>Мишин Андрей Владимирович</t>
  </si>
  <si>
    <t>+7 (903) 235-33-88'</t>
  </si>
  <si>
    <t>56.288326,38.12866</t>
  </si>
  <si>
    <t>ОБЩЕСТВО С ОГРАНИЧЕННОЙ ОТВЕТСТВЕННОСТЬЮ "С-СТРОЙ"</t>
  </si>
  <si>
    <t xml:space="preserve"> "С-СТРОЙ"</t>
  </si>
  <si>
    <t>5042146579</t>
  </si>
  <si>
    <t>141304, МОСКОВСКАЯ ОБЛАСТЬ, ГОРОД СЕРГИЕВ ПОСАД, ШОССЕ МОСКОВСКОЕ, ДОМ 3, СТРОЕНИЕ 1, ОФИС 20</t>
  </si>
  <si>
    <t>Ревин Михаил Борисович</t>
  </si>
  <si>
    <t>+7 (925) 507-98-25', '+7 (499) 707-28-04'</t>
  </si>
  <si>
    <t>56.284674,38.14262</t>
  </si>
  <si>
    <t>ОБЩЕСТВО С ОГРАНИЧЕННОЙ ОТВЕТСТВЕННОСТЬЮ "ПОСАДБЕТОН"</t>
  </si>
  <si>
    <t xml:space="preserve"> "ПОСАДБЕТОН"</t>
  </si>
  <si>
    <t>5042147572</t>
  </si>
  <si>
    <t>141305, МОСКОВСКАЯ ОБЛАСТЬ, ГОРОД СЕРГИЕВ ПОСАД, УЛИЦА ЦЕНТРАЛЬНАЯ, ДОМ 1 В, ПОМЕЩЕНИЕ 5, ОФИС 3</t>
  </si>
  <si>
    <t>Беспалова Ольга Александровна</t>
  </si>
  <si>
    <t>+7 (925) 010-06-02'</t>
  </si>
  <si>
    <t>56.327685,38.158852</t>
  </si>
  <si>
    <t>ОБЩЕСТВО С ОГРАНИЧЕННОЙ ОТВЕТСТВЕННОСТЬЮ "А-СТРОЙ"</t>
  </si>
  <si>
    <t xml:space="preserve"> "А-СТРОЙ"</t>
  </si>
  <si>
    <t>5042157838</t>
  </si>
  <si>
    <t>141303, МОСКОВСКАЯ ОБЛ., Г. Сергиев Посад, УЛ. ЗУБАЧЕВСКАЯ, Д. 11А, ПОМЕЩ. 1 КОМ. 3</t>
  </si>
  <si>
    <t>54.901963,37.370958</t>
  </si>
  <si>
    <t>ОБЩЕСТВО С ОГРАНИЧЕННОЙ ОТВЕТСТВЕННОСТЬЮ "ДАСКОН БЕТОН СТРОЙ""</t>
  </si>
  <si>
    <t xml:space="preserve"> "ДАСКОН БЕТОН СТРОЙ""</t>
  </si>
  <si>
    <t>5043048020</t>
  </si>
  <si>
    <t>http://daskon-tour.ru</t>
  </si>
  <si>
    <t>142253, МОСКОВСКАЯ ОБЛАСТЬ, ГОРОДСКОЙ ОКРУГ СЕРПУХОВ, П БОЛЬШЕВИК, УЛ. ЛЕНИНА, Д.112, ПОМ.1</t>
  </si>
  <si>
    <t>Данилин Геннадий Николаевич</t>
  </si>
  <si>
    <t>stoi@yandex.ru'</t>
  </si>
  <si>
    <t>55.540496,37.07269</t>
  </si>
  <si>
    <t>Общество с ограниченной ответственностью "ПРОМЫШЛЕННО-СТРОИТЕЛЬНАЯ КОМПАНИЯ "МОНОЛИТ- БЕТОН"</t>
  </si>
  <si>
    <t xml:space="preserve"> "ПРОМЫШЛЕННО-СТРОИТЕЛЬНАЯ КОМПАНИЯ "МОНОЛИТ- БЕТОН"</t>
  </si>
  <si>
    <t>5043049930</t>
  </si>
  <si>
    <t>http://mtbeton.ru</t>
  </si>
  <si>
    <t>МОСКОВСКАЯ ОБЛ.,НАРО-ФОМИНСКИЙ Р-Н,Г АПРЕЛЕВКА,УЛ МАЯКОВСКОГО, Д 29</t>
  </si>
  <si>
    <t>Савченкова Оксана Михайловна</t>
  </si>
  <si>
    <t>+7 (903) 269-79-84', '+7 (499) 270-62-36'</t>
  </si>
  <si>
    <t>55.145164,37.152065</t>
  </si>
  <si>
    <t>ОБЩЕСТВО С ОГРАНИЧЕННОЙ ОТВЕТСТВЕННОСТЬЮ "ОБЩИЕ БЕТОННЫЕ РЕШЕНИЯ"</t>
  </si>
  <si>
    <t xml:space="preserve"> "ОБЩИЕ БЕТОННЫЕ РЕШЕНИЯ"</t>
  </si>
  <si>
    <t>5043072841</t>
  </si>
  <si>
    <t>142341, МОСКОВСКАЯ ОБЛ., Г. Чехов, С. Стремилово, УЛ. ПЛАТОНОВА, СТР. 25А</t>
  </si>
  <si>
    <t>Трифонова Светлана Алексеевна</t>
  </si>
  <si>
    <t>56.197038,36.971576</t>
  </si>
  <si>
    <t>ОБЩЕСТВО С ОГРАНИЧЕННОЙ ОТВЕТСТВЕННОСТЬЮ "БЕТОН МАГНАТ"</t>
  </si>
  <si>
    <t xml:space="preserve"> "БЕТОН МАГНАТ"</t>
  </si>
  <si>
    <t>5044087015</t>
  </si>
  <si>
    <t>http://betonmagnat.ru</t>
  </si>
  <si>
    <t>141503, МОСКОВСКАЯ ОБЛАСТЬ, ГОРОД СОЛНЕЧНОГОРСК, УЛИЦА КРАСНАЯ, ДОМ 136, КОМНАТА 14</t>
  </si>
  <si>
    <t>Захаров Виталий Александрович</t>
  </si>
  <si>
    <t>+7 (925) 204-66-81', '+7 (964) 718-37-31'</t>
  </si>
  <si>
    <t>56.12551,37.213941</t>
  </si>
  <si>
    <t>ОБЩЕСТВО С ОГРАНИЧЕННОЙ ОТВЕТСТВЕННОСТЬЮ "Эргана"</t>
  </si>
  <si>
    <t xml:space="preserve"> "Эргана"</t>
  </si>
  <si>
    <t>5044087287</t>
  </si>
  <si>
    <t>141533, МОСКОВСКАЯ ОБЛАСТЬ, Г. СОЛНЕЧНОГОРСК, Д ХОРУГВИНО, ВЛД. 1, СТР. 1</t>
  </si>
  <si>
    <t>Позднякова Мария Сергеевна</t>
  </si>
  <si>
    <t>+7 (985) 649-39-05', '+7 (968) 913-70-00'</t>
  </si>
  <si>
    <t>xorugvino@sksbeton.ru8'</t>
  </si>
  <si>
    <t>55.578869,38.241821</t>
  </si>
  <si>
    <t>Общество с ограниченной ответственностью "ТРАНССТРОЙ"</t>
  </si>
  <si>
    <t xml:space="preserve"> "ТРАНССТРОЙ"</t>
  </si>
  <si>
    <t>5044088114</t>
  </si>
  <si>
    <t>МОСКОВСКАЯ ОБЛ.,Г РАМЕНСКОЕ,ДОНИНСКОЕ ШОССЕ, Д 2,..</t>
  </si>
  <si>
    <t>Рогачев Павел Анатольевич</t>
  </si>
  <si>
    <t>+7 (903) 724-62-04'</t>
  </si>
  <si>
    <t>55.98296,37.131593</t>
  </si>
  <si>
    <t>ОБЩЕСТВО С ОГРАНИЧЕННОЙ ОТВЕТСТВЕННОСТЬЮ "ЛОРЕНЦО"</t>
  </si>
  <si>
    <t xml:space="preserve"> "ЛОРЕНЦО"</t>
  </si>
  <si>
    <t>5044123979</t>
  </si>
  <si>
    <t>141551, Московская область, СОЛНЕЧНОГОРСК, РП АНДРЕЕВКА, УЛ СТАРОАНДРЕЕВСКАЯ, Д. 43, К. 1, КОМ. 2</t>
  </si>
  <si>
    <t>Буванов Роман Михайлович</t>
  </si>
  <si>
    <t>LORENCO765@YANDEX.RU'</t>
  </si>
  <si>
    <t>56.225083,36.93541</t>
  </si>
  <si>
    <t>ОБЩЕСТВО С ОГРАНИЧЕННОЙ ОТВЕТСТВЕННОСТЬЮ «НЕО-БЕТОН»</t>
  </si>
  <si>
    <t xml:space="preserve"> «НЕО-БЕТОН»</t>
  </si>
  <si>
    <t>5044125207</t>
  </si>
  <si>
    <t>141542, Московская область, СОЛНЕЧНОГОРСК, П СМИРНОВКА, СТР. 10</t>
  </si>
  <si>
    <t>Курбаков Евгений Александрович</t>
  </si>
  <si>
    <t>54.895248,38.04641</t>
  </si>
  <si>
    <t>ОБЩЕСТВО С ОГРАНИЧЕННОЙ ОТВЕТСТВЕННОСТЬЮ "РЕГИОН-СТРОЙ ДОН"</t>
  </si>
  <si>
    <t xml:space="preserve"> "РЕГИОН-СТРОЙ ДОН"</t>
  </si>
  <si>
    <t>5045045650</t>
  </si>
  <si>
    <t>http://7493434.ru</t>
  </si>
  <si>
    <t>142800, Московская область, городской округ СТУПИНО, Город СТУПИНО, УЛ ТРАНСПОРТНАЯ, ВЛД. 22/2, СТР. 1, КОМ. 7</t>
  </si>
  <si>
    <t>Гребенников Александр Петрович</t>
  </si>
  <si>
    <t>+7 (903) 713-46-42', '+7 (499) 343-67-15'</t>
  </si>
  <si>
    <t>55.889361,37.444853</t>
  </si>
  <si>
    <t>ОБЩЕСТВО С ОГРАНИЧЕННОЙ ОТВЕТСТВЕННОСТЬЮ "ТОРГОВО-СТРОИТЕЛЬНАЯ КОМПАНИЯ "БЕТОН"</t>
  </si>
  <si>
    <t xml:space="preserve"> "ТОРГОВО-СТРОИТЕЛЬНАЯ КОМПАНИЯ "БЕТОН"</t>
  </si>
  <si>
    <t>5047089349</t>
  </si>
  <si>
    <t>http://moscow.tskbeton.ru</t>
  </si>
  <si>
    <t>141402, МОСКОВСКАЯ ОБЛАСТЬ, Г. ХИМКИ, Ш. ВАШУТИНСКОЕ, ВЛД. 13, ЭТ/ПОМ/КАБ 2/I/27</t>
  </si>
  <si>
    <t>Буренок Анна Юрьевна</t>
  </si>
  <si>
    <t>55.73512,37.651915</t>
  </si>
  <si>
    <t>ОБЩЕСТВО С ОГРАНИЧЕННОЙ ОТВЕТСТВЕННОСТЬЮ "МОСОБЛБЕТОН"</t>
  </si>
  <si>
    <t xml:space="preserve"> "МОСОБЛБЕТОН"</t>
  </si>
  <si>
    <t>5047158137</t>
  </si>
  <si>
    <t>115172, МОСКВА Г, КРАСНОХОЛМСКАЯ НАБ, ДОМ 13, СТР 1, ЭТ 1 ПОМ XVII КОМ 8</t>
  </si>
  <si>
    <t>Калугин Дмитрий Владимирович</t>
  </si>
  <si>
    <t>info@mobeton.org'</t>
  </si>
  <si>
    <t>55.888897,37.428145</t>
  </si>
  <si>
    <t xml:space="preserve"> "СТРОЙБЕТОНСЕРВИС"</t>
  </si>
  <si>
    <t>5047167815</t>
  </si>
  <si>
    <t>141407, МОСКОВСКАЯ ОБЛАСТЬ, ГОРОД ХИМКИ, ПРОСПЕКТ ЮБИЛЕЙНЫЙ, СТРОЕНИЕ 6А, ПОМ. 24</t>
  </si>
  <si>
    <t>Шайдулин Заур Валиевич</t>
  </si>
  <si>
    <t>+7 (495) 784-70-88', '+7 (922) 875-75-50'</t>
  </si>
  <si>
    <t>stroi@mail.ru'</t>
  </si>
  <si>
    <t>55.900824,37.40009</t>
  </si>
  <si>
    <t>ОБЩЕСТВО С ОГРАНИЧЕННОЙ ОТВЕТСТВЕННОСТЬЮ "ОПТОРГ"</t>
  </si>
  <si>
    <t xml:space="preserve"> "ОПТОРГ"</t>
  </si>
  <si>
    <t>5047172188</t>
  </si>
  <si>
    <t>141407, Московская область, г Химки, ул Молодежная, д 52</t>
  </si>
  <si>
    <t>Очилов Зоидчон Алибоевич</t>
  </si>
  <si>
    <t>+7 (915) 036-59-08', '+7 (985) 144-77-21'</t>
  </si>
  <si>
    <t>optorgbeton@mail.ru'</t>
  </si>
  <si>
    <t>56.007343,37.436346</t>
  </si>
  <si>
    <t>ОБЩЕСТВО С ОГРАНИЧЕННОЙ ОТВЕТСТВЕННОСТЬЮ "ЖБИ ПРОЧНОСТЬ"</t>
  </si>
  <si>
    <t xml:space="preserve"> "ЖБИ ПРОЧНОСТЬ"</t>
  </si>
  <si>
    <t>5047183013</t>
  </si>
  <si>
    <t>141730, МОСКОВСКАЯ ОБЛАСТЬ, Г. ЛОБНЯ, Ш. ШЕРЕМЕТЬЕВСКОЕ, Д. 7</t>
  </si>
  <si>
    <t>Кадиров Никита Юрьевич</t>
  </si>
  <si>
    <t>+7 (965) 404-88-82'</t>
  </si>
  <si>
    <t>55.900037,37.444701</t>
  </si>
  <si>
    <t>ОБЩЕСТВО С ОГРАНИЧЕННОЙ ОТВЕТСТВЕННОСТЬЮ "ЭЛИОН"</t>
  </si>
  <si>
    <t xml:space="preserve"> "ЭЛИОН"</t>
  </si>
  <si>
    <t>5047194583</t>
  </si>
  <si>
    <t>141400, МОСКОВСКАЯ ОБЛ, ХИМКИ Г, ЗАВОДСКАЯ УЛ, ДОМ 1, ОФИС 201</t>
  </si>
  <si>
    <t>Касаткин Денис Евгеньевич</t>
  </si>
  <si>
    <t>+7 (903) 237-59-90', '+7 (903) 728-23-21'</t>
  </si>
  <si>
    <t>55.935395,37.334208</t>
  </si>
  <si>
    <t>ОБЩЕСТВО С ОГРАНИЧЕННОЙ ОТВЕТСТВЕННОСТЬЮ ПКФ "СОЮЗ МОНОЛИТ"</t>
  </si>
  <si>
    <t xml:space="preserve"> ПКФ "СОЮЗ МОНОЛИТ"</t>
  </si>
  <si>
    <t>5047207553</t>
  </si>
  <si>
    <t>141407, МОСКОВСКАЯ ОБЛАСТЬ, Г. ХИМКИ, МКР ПОДРЕЗКОВО, ТЕР КВАРТАЛ ЧЕРКИЗОВО, ВЛД. 1, ОФИС 105</t>
  </si>
  <si>
    <t>Мухорин Дмитрий Павлович</t>
  </si>
  <si>
    <t>+7 (965) 266-35-36'</t>
  </si>
  <si>
    <t>55.891113,37.421156</t>
  </si>
  <si>
    <t>ОБЩЕСТВО С ОГРАНИЧЕННОЙ ОТВЕТСТВЕННОСТЬЮ ПРОИЗВОДСТВЕННАЯ КОМПАНИЯ "БЕТОН-КРАФТ"</t>
  </si>
  <si>
    <t xml:space="preserve"> ПРОИЗВОДСТВЕННАЯ КОМПАНИЯ "БЕТОН-КРАФТ"</t>
  </si>
  <si>
    <t>5047220970</t>
  </si>
  <si>
    <t>141407, МОСКОВСКАЯ ОБЛАСТЬ, Г. ХИМКИ, УЛ. ЛАВОЧКИНА, Д. 13, К. 2, ПОМЕЩ. 4</t>
  </si>
  <si>
    <t>Чеченева Мария Анатольевна</t>
  </si>
  <si>
    <t>55.89881,37.477633</t>
  </si>
  <si>
    <t xml:space="preserve"> "РУБИН"</t>
  </si>
  <si>
    <t>5047227415</t>
  </si>
  <si>
    <t>141406, МОСКОВСКАЯ ОБЛАСТЬ, Г. ХИМКИ, УЛ. СОВХОЗНАЯ, Д. 10, ПОМЕЩ. 3</t>
  </si>
  <si>
    <t>Арапов Игорь Викторович</t>
  </si>
  <si>
    <t>55.938708,37.511068</t>
  </si>
  <si>
    <t>ОБЩЕСТВО С ОГРАНИЧЕННОЙ ОТВЕТСТВЕННОСТЬЮ "СЕВЕР-БЕТОН"</t>
  </si>
  <si>
    <t xml:space="preserve"> "СЕВЕР-БЕТОН"</t>
  </si>
  <si>
    <t>5047247147</t>
  </si>
  <si>
    <t>141700, МОСКОВСКАЯ ОБЛ., Г. Долгопрудный, УЛ. ДИРИЖАБЕЛЬНАЯ, Д. 6, К. 3, ЭТАЖ 1 ОФИС 12Б</t>
  </si>
  <si>
    <t>Поликарпов Станислав Олегович</t>
  </si>
  <si>
    <t>55.946713,37.336759</t>
  </si>
  <si>
    <t>ОБЩЕСТВО С ОГРАНИЧЕННОЙ ОТВЕТСТВЕННОСТЬЮ "ТЕХНОПРОМСТРОЙ"</t>
  </si>
  <si>
    <t xml:space="preserve"> "ТЕХНОПРОМСТРОЙ"</t>
  </si>
  <si>
    <t>5047249680</t>
  </si>
  <si>
    <t>141446, Московская область, городской округ ХИМКИ, Город ХИМКИ, МКР. ПОДРЕЗКОВО, УЛ ЦЕНТРАЛЬНАЯ, Д. 2/5, ПОМЕЩ. 49</t>
  </si>
  <si>
    <t>Корнаев Денис Олегович</t>
  </si>
  <si>
    <t>55.896792,37.404761</t>
  </si>
  <si>
    <t>ОБЩЕСТВО С ОГРАНИЧЕННОЙ ОТВЕТСТВЕННОСТЬЮ "БЕТОНСЕРВИСПЛЮС"</t>
  </si>
  <si>
    <t xml:space="preserve"> "БЕТОНСЕРВИСПЛЮС"</t>
  </si>
  <si>
    <t>5047254673</t>
  </si>
  <si>
    <t>141501, МОСКОВСКАЯ ОБЛ., Г. Химки, ПР-КТ ЮБИЛЕЙНЫЙ, Д. 77, ПОМЕЩ. 1 ПОМЕЩЕНИЕ 8</t>
  </si>
  <si>
    <t>Задорожный Роман Анатольевич</t>
  </si>
  <si>
    <t>9219311699@MAIL.RU'</t>
  </si>
  <si>
    <t>55.136164,37.481145</t>
  </si>
  <si>
    <t>ОБЩЕСТВО С ОГРАНИЧЕННОЙ ОТВЕТСТВЕННОСТЬЮ "ДЕТАКС"</t>
  </si>
  <si>
    <t xml:space="preserve"> "ДЕТАКС"</t>
  </si>
  <si>
    <t>5048016576</t>
  </si>
  <si>
    <t>142301, МОСКОВСКАЯ ОБЛАСТЬ, Г. ЧЕХОВ, УЛ. ЛИТЕЙНАЯ, Д. 7, ОФИС 8</t>
  </si>
  <si>
    <t>Качнов Сергей Александрович</t>
  </si>
  <si>
    <t>+7 (926) 268-80-36'</t>
  </si>
  <si>
    <t>55.128989,37.528244</t>
  </si>
  <si>
    <t>ОБЩЕСТВО С ОГРАНИЧЕННОЙ ОТВЕТСТВЕННОСТЬЮ "ЧЕХОВСКИЙ ЗАВОД ЖЕЛЕЗОБЕТОННЫХ ИЗДЕЛИЙ"</t>
  </si>
  <si>
    <t xml:space="preserve"> "ЧЕХОВСКИЙ ЗАВОД ЖЕЛЕЗОБЕТОННЫХ ИЗДЕЛИЙ"</t>
  </si>
  <si>
    <t>5048037110</t>
  </si>
  <si>
    <t>142326, МОСКОВСКАЯ ОБЛАСТЬ, ГОРОД ЧЕХОВ, ДЕРЕВНЯ КУЗЬМИНО-ФИЛЬЧАКОВО, ДОМ 1</t>
  </si>
  <si>
    <t>Буслов Виталий Иванович</t>
  </si>
  <si>
    <t>55.713968,37.569683</t>
  </si>
  <si>
    <t>ОБЩЕСТВО С ОГРАНИЧЕННОЙ ОТВЕТСТВЕННОСТЬЮ "МИРАСТРОЙ"</t>
  </si>
  <si>
    <t xml:space="preserve"> "МИРАСТРОЙ"</t>
  </si>
  <si>
    <t>5050120662</t>
  </si>
  <si>
    <t>https://mirastroy.ru</t>
  </si>
  <si>
    <t>119270, МОСКВА ГОРОД, НАБЕРЕЖНАЯ ЛУЖНЕЦКАЯ, ДОМ 2/4, СТРОЕНИЕ 19, ЭТАЖ 2, ПОМЕЩЕНИЕ 219</t>
  </si>
  <si>
    <t>Никитин Кирилл Александрович</t>
  </si>
  <si>
    <t>+7 (495) 481-87-77', '+7 (925) 496-55-57', '+7 (903) 505-12-14'</t>
  </si>
  <si>
    <t>info@mirastroy.ru'</t>
  </si>
  <si>
    <t>55.931996,38.032387</t>
  </si>
  <si>
    <t>ОБЩЕСТВО С ОГРАНИЧЕННОЙ ОТВЕТСТВЕННОСТЬЮ "ЕВРОПРОМБЕТОН ЩЕЛКОВО"</t>
  </si>
  <si>
    <t xml:space="preserve"> "ЕВРОПРОМБЕТОН ЩЕЛКОВО"</t>
  </si>
  <si>
    <t>5050123342</t>
  </si>
  <si>
    <t>141100, МОСКОВСКАЯ ОБЛАСТЬ, ГОРОД ЩЁЛКОВО, УЛИЦА МЕЛИОРАТОРОВ, ДОМ 4, КОМНАТА 39</t>
  </si>
  <si>
    <t>Алехин Владимир Николаевич</t>
  </si>
  <si>
    <t>+7 (925) 513-61-00'</t>
  </si>
  <si>
    <t>79037116245@YANDEX.RU'</t>
  </si>
  <si>
    <t>55.923165,37.992017</t>
  </si>
  <si>
    <t>ОБЩЕСТВО С ОГРАНИЧЕННОЙ ОТВЕТСТВЕННОСТЬЮ "МИРАСТРОЙ БЕТОН"</t>
  </si>
  <si>
    <t xml:space="preserve"> "МИРАСТРОЙ БЕТОН"</t>
  </si>
  <si>
    <t>5050130283</t>
  </si>
  <si>
    <t>141100, МОСКОВСКАЯ ОБЛАСТЬ, Г. ЩЁЛКОВО, ПЛ. ЛЕНИНА, Д. 10, ОФИС 42А</t>
  </si>
  <si>
    <t>Оганисян Оганес Суренович</t>
  </si>
  <si>
    <t>+7 (985) 011-24-58'</t>
  </si>
  <si>
    <t>55.90305,38.006866</t>
  </si>
  <si>
    <t>ОБЩЕСТВО С ОГРАНИЧЕННОЙ ОТВЕТСТВЕННОСТЬЮ "ЛИДЕРБЕТОН"</t>
  </si>
  <si>
    <t xml:space="preserve"> "ЛИДЕРБЕТОН"</t>
  </si>
  <si>
    <t>5050131230</t>
  </si>
  <si>
    <t>141108, МОСКОВСКАЯ ОБЛАСТЬ, ГОРОД ЩЁЛКОВО, УЛИЦА 3-Я ЛИНИЯ, ДОМ 33, ОФИС 3</t>
  </si>
  <si>
    <t>Елоев Алан Валерьевич</t>
  </si>
  <si>
    <t>+7 (962) 616-90-86'</t>
  </si>
  <si>
    <t>55.922782,37.991209</t>
  </si>
  <si>
    <t>ОБЩЕСТВО С ОГРАНИЧЕННОЙ ОТВЕТСТВЕННОСТЬЮ "Б35"</t>
  </si>
  <si>
    <t xml:space="preserve"> "Б35"</t>
  </si>
  <si>
    <t>5050133171</t>
  </si>
  <si>
    <t>141100, МОСКОВСКАЯ ОБЛАСТЬ, Г. ЩЁЛКОВО, ПЛ. ЛЕНИНА, Д. 5, КОМ. 403/3</t>
  </si>
  <si>
    <t>Мельников Роман Прокопьевич</t>
  </si>
  <si>
    <t>+7 (925) 085-36-48'</t>
  </si>
  <si>
    <t>55.832596,38.203579</t>
  </si>
  <si>
    <t>ОБЩЕСТВО С ОГРАНИЧЕННОЙ ОТВЕТСТВЕННОСТЬЮ "СТРОИТЕЛЬНО-МОНТАЖНОЕ УПРАВЛЕНИЕ-7 ВОСТОК"</t>
  </si>
  <si>
    <t xml:space="preserve"> "СТРОИТЕЛЬНО-МОНТАЖНОЕ УПРАВЛЕНИЕ-7 ВОСТОК"</t>
  </si>
  <si>
    <t>5050139134</t>
  </si>
  <si>
    <t>141170, МОСКОВСКАЯ ОБЛАСТЬ, ГОРОД ЩЁЛКОВО, РАБОЧИЙ ПОСЕЛОК МОНИНО, УЛИЦА АЛКСНИСА, ДОМ 46, ПОМЕЩЕНИЕ 11</t>
  </si>
  <si>
    <t>Прядкин Петр Петрович</t>
  </si>
  <si>
    <t>ОБЩЕСТВО С ОГРАНИЧЕННОЙ ОТВЕТСТВЕННОСТЬЮ "ТЕКАТО ЦЕНТР"</t>
  </si>
  <si>
    <t xml:space="preserve"> "ТЕКАТО ЦЕНТР"</t>
  </si>
  <si>
    <t>5050140080</t>
  </si>
  <si>
    <t>141100, МОСКОВСКАЯ ОБЛАСТЬ, Г. ЩЁЛКОВО, УЛ. ЗАРЕЧНАЯ, Д. 105, ОФИС 55</t>
  </si>
  <si>
    <t>Щенков Вадим Сергеевич</t>
  </si>
  <si>
    <t>55.918328,38.025803</t>
  </si>
  <si>
    <t>ОБЩЕСТВО С ОГРАНИЧЕННОЙ ОТВЕТСТВЕННОСТЬЮ "БЕР БЕТОН"</t>
  </si>
  <si>
    <t xml:space="preserve"> "БЕР БЕТОН"</t>
  </si>
  <si>
    <t>5050141430</t>
  </si>
  <si>
    <t>141100, МОСКОВСКАЯ ОБЛАСТЬ, ГОРОД ЩЁЛКОВО, УЛИЦА ЗАРЕЧНАЯ, ДОМ 137В, ЛИТЕРА Б3, КАБИНЕТЫ 24, 28</t>
  </si>
  <si>
    <t>Нилов Константин Анатольевич</t>
  </si>
  <si>
    <t>berbeton@mail.ru'</t>
  </si>
  <si>
    <t>55.664385,37.963855</t>
  </si>
  <si>
    <t>ОБЩЕСТВО С ОГРАНИЧЕННОЙ ОТВЕТСТВЕННОСТЬЮ "ОЛИМП-БЕТОН"</t>
  </si>
  <si>
    <t xml:space="preserve"> "ОЛИМП-БЕТОН"</t>
  </si>
  <si>
    <t>5055003313</t>
  </si>
  <si>
    <t>МОСКОВСКАЯ ОБЛ.,ЛЮБЕРЕЦКИЙ Р-Н,PП ТОМИЛИНО,УЛ ГАРШИНА, Д 11</t>
  </si>
  <si>
    <t>Петров Илья Виталиевич</t>
  </si>
  <si>
    <t>+7 (916) 465-47-57'</t>
  </si>
  <si>
    <t>55.430947,37.276213</t>
  </si>
  <si>
    <t>ОБЩЕСТВО С ОГРАНИЧЕННОЙ ОТВЕТСТВЕННОСТЬЮ "НИКС-БЕТОН"</t>
  </si>
  <si>
    <t xml:space="preserve"> "НИКС-БЕТОН"</t>
  </si>
  <si>
    <t>5074041018</t>
  </si>
  <si>
    <t>142150, МОСКВА ГОРОД, ДЕРЕВНЯ КРАСНАЯ ПАХРА, УЛИЦА ЗАВОДСКАЯ, 25, -, -</t>
  </si>
  <si>
    <t>Иванов Ярослав Владимирович</t>
  </si>
  <si>
    <t>55.34644,37.504555</t>
  </si>
  <si>
    <t>ОБЩЕСТВО С ОГРАНИЧЕННОЙ ОТВЕТСТВЕННОСТЬЮ "ПКР ГРУПП"</t>
  </si>
  <si>
    <t xml:space="preserve"> "ПКР ГРУПП"</t>
  </si>
  <si>
    <t>5074061039</t>
  </si>
  <si>
    <t>142180, МОСКОВСКАЯ ОБЛАСТЬ, ГОРОД ПОДОЛЬСК, ПРОЕЗД ФАБРИЧНЫЙ (КЛИМОВСК МКР.), ДОМ 4, КОРПУС АДМИНИСТРАТИВНЫЙ, ОФИС 301</t>
  </si>
  <si>
    <t>Янковский Александр Анатольевич</t>
  </si>
  <si>
    <t>56.024737,35.490209</t>
  </si>
  <si>
    <t>ОБЩЕСТВО С ОГРАНИЧЕННОЙ ОТВЕТСТВЕННОСТЬЮ торгово-транспортная компания "БСК"</t>
  </si>
  <si>
    <t xml:space="preserve"> торгово-транспортная компания "БСК"</t>
  </si>
  <si>
    <t>5079013046</t>
  </si>
  <si>
    <t>143700, МОСКОВСКАЯ ОБЛАСТЬ, РАБОЧИЙ ПОСЕЛОК ШАХОВСКАЯ, ШОССЕ ВОЛОЧАНОВСКОЕ, 12</t>
  </si>
  <si>
    <t>Кузнецов Владимир Александрович</t>
  </si>
  <si>
    <t>ttkbsk@gmail.com'</t>
  </si>
  <si>
    <t>67.170693,32.38918</t>
  </si>
  <si>
    <t>ОБЩЕСТВО С ОГРАНИЧЕННОЙ ОТВЕТСТВЕННОСТЬЮ "ОСНОВА ПЛЮС"</t>
  </si>
  <si>
    <t xml:space="preserve"> "ОСНОВА ПЛЮС"</t>
  </si>
  <si>
    <t>5102000760</t>
  </si>
  <si>
    <t>184046, МУРМАНСКАЯ ОБЛ, КАНДАЛАКШСКИЙ Р-Н, КАНДАЛАКША Г, ОБЪЕЗДНАЯ УЛ, ДОМ 7</t>
  </si>
  <si>
    <t>Бычков Евгений Борисович</t>
  </si>
  <si>
    <t>+7 (921) 283-47-41'</t>
  </si>
  <si>
    <t>osnova_kand@mail.ru'</t>
  </si>
  <si>
    <t>67.554295,33.433777</t>
  </si>
  <si>
    <t>ОБЩЕСТВО С ОГРАНИЧЕННОЙ ОТВЕТСТВЕННОСТЬЮ "ТЕХБЕТОН"</t>
  </si>
  <si>
    <t xml:space="preserve"> "ТЕХБЕТОН"</t>
  </si>
  <si>
    <t>5118004665</t>
  </si>
  <si>
    <t>184209, МУРМАНСКАЯ ОБЛАСТЬ, ГОРОД АПАТИТЫ, ПРОСПЕКТ СИДОРЕНКО, ДОМ 36,..</t>
  </si>
  <si>
    <t>Каретников Евгений Викторович</t>
  </si>
  <si>
    <t>56.223191,43.179051</t>
  </si>
  <si>
    <t>ОБЩЕСТВО С ОГРАНИЧЕННОЙ ОТВЕТСТВЕННОСТЬЮ "ПРОМБЕТОН-С"</t>
  </si>
  <si>
    <t xml:space="preserve"> "ПРОМБЕТОН-С"</t>
  </si>
  <si>
    <t>5214013359</t>
  </si>
  <si>
    <t>606072, НИЖЕГОРОДСКАЯ ОБЛАСТЬ, РАЙОН ВОЛОДАРСКИЙ, ГОРОД ВОЛОДАРСК, УЛИЦА КАЛИНИНСКАЯ, ДОМ 6, ОФИС 302</t>
  </si>
  <si>
    <t>Воробьева Оксана Владимировна</t>
  </si>
  <si>
    <t>+7 (920) 050-88-90'</t>
  </si>
  <si>
    <t>56.766815,43.261894</t>
  </si>
  <si>
    <t>ОБЩЕСТВО С ОГРАНИЧЕННОЙ ОТВЕТСТВЕННОСТЬЮ "ЧКАЛОВСКИЙ БЕТОН"</t>
  </si>
  <si>
    <t xml:space="preserve"> "ЧКАЛОВСКИЙ БЕТОН"</t>
  </si>
  <si>
    <t>5236008433</t>
  </si>
  <si>
    <t>606540, НИЖЕГОРОДСКАЯ ОБЛАСТЬ, ГОРОД ЧКАЛОВСК, УЛИЦА НЕКРАСОВА, ДОМ 7</t>
  </si>
  <si>
    <t>Клюкин Сергей Алексеевич</t>
  </si>
  <si>
    <t>chkbeton@mail.ru'</t>
  </si>
  <si>
    <t>55.396759,43.826665</t>
  </si>
  <si>
    <t>ОБЩЕСТВО С ОГРАНИЧЕННОЙ ОТВЕТСТВЕННОСТЬЮ "КАРТ"</t>
  </si>
  <si>
    <t xml:space="preserve"> "КАРТ"</t>
  </si>
  <si>
    <t>5243040413</t>
  </si>
  <si>
    <t>607220, Нижегородская область, городской округ ГОРОД АРЗАМАС, Город АРЗАМАС, УЛ КАРЛА МАРКСА, Д. 62,..</t>
  </si>
  <si>
    <t>Волков Василий Николаевич</t>
  </si>
  <si>
    <t>PLITKINILYA@YANDEX.RU'</t>
  </si>
  <si>
    <t>56.107594,43.529888</t>
  </si>
  <si>
    <t xml:space="preserve"> "АДАМАНТ"</t>
  </si>
  <si>
    <t>5245017603</t>
  </si>
  <si>
    <t>607600, НИЖЕГОРОДСКАЯ ОБЛАСТЬ, Р-Н БОГОРОДСКИЙ, Г. БОГОРОДСК, УЛ. 2-Я РЯЗАНКА, Д.61</t>
  </si>
  <si>
    <t>Саденов Андрей Олегович</t>
  </si>
  <si>
    <t>+7 (893) 849-66-57'</t>
  </si>
  <si>
    <t>56.103593,43.50902</t>
  </si>
  <si>
    <t>ОБЩЕСТВО С ОГРАНИЧЕННОЙ ОТВЕТСТВЕННОСТЬЮ "БЕТОННЫЙ ЗАВОД ОКА"</t>
  </si>
  <si>
    <t xml:space="preserve"> "БЕТОННЫЙ ЗАВОД ОКА"</t>
  </si>
  <si>
    <t>5245024689</t>
  </si>
  <si>
    <t>607600, НИЖЕГОРОДСКАЯ ОБЛАСТЬ, РАЙОН БОГОРОДСКИЙ, ГОРОД БОГОРОДСК, УЛИЦА ЛЕНИНА, 137, 6</t>
  </si>
  <si>
    <t>Валигура Галина Викторовна</t>
  </si>
  <si>
    <t>+7 (910) 791-12-47'</t>
  </si>
  <si>
    <t>ame@mozbt.com'</t>
  </si>
  <si>
    <t>56.101293,43.51821</t>
  </si>
  <si>
    <t>ОБЩЕСТВО С ОГРАНИЧЕННОЙ ОТВЕТСТВЕННОСТЬЮ "БЕТОННЫЙ ЗАВОД МОНОЛИТ"</t>
  </si>
  <si>
    <t xml:space="preserve"> "БЕТОННЫЙ ЗАВОД МОНОЛИТ"</t>
  </si>
  <si>
    <t>5245031277</t>
  </si>
  <si>
    <t>607600, НИЖЕГОРОДСКАЯ ОБЛАСТЬ, БОГОРОДСКИЙ РАЙОН, ГОРОД БОГОРОДСК, УЛИЦА ВЕНЕЦКОГО, ДОМ 5, ОФИС 30.1</t>
  </si>
  <si>
    <t>Ильин Игорь Евгеньевич</t>
  </si>
  <si>
    <t>56.397584,44.019434</t>
  </si>
  <si>
    <t>ОБЩЕСТВО С ОГРАНИЧЕННОЙ ОТВЕТСТВЕННОСТЬЮ "НЕКЛЮДОВСКИЙ БЕТОННЫЙ ЗАВОД"</t>
  </si>
  <si>
    <t xml:space="preserve"> "НЕКЛЮДОВСКИЙ БЕТОННЫЙ ЗАВОД"</t>
  </si>
  <si>
    <t>5246052329</t>
  </si>
  <si>
    <t>606461, НИЖЕГОРОДСКАЯ ОБЛАСТЬ, Г. БОР, П НЕКЛЮДОВО, КВ-Л ДРУЖБА, Д. 25Б</t>
  </si>
  <si>
    <t>Воронина Ирина Романовна</t>
  </si>
  <si>
    <t>+7 (831) 230-56-65'</t>
  </si>
  <si>
    <t>betonstrelka@yandex.ru'</t>
  </si>
  <si>
    <t>56.646687,43.404304</t>
  </si>
  <si>
    <t>ОБЩЕСТВО С ОГРАНИЧЕННОЙ ОТВЕТСТВЕННОСТЬЮ " РАСТВОРНЫЙ УЗЕЛ"</t>
  </si>
  <si>
    <t xml:space="preserve"> " РАСТВОРНЫЙ УЗЕЛ"</t>
  </si>
  <si>
    <t>5248022986</t>
  </si>
  <si>
    <t>606520, НИЖЕГОРОДСКАЯ ОБЛАСТЬ, Р-Н ГОРОДЕЦКИЙ, Г. ЗАВОЛЖЬЕ, УЛ. ЛЕСОЗАВОДСКАЯ, Д. 44, ОФИС 1</t>
  </si>
  <si>
    <t>Шляпников Андрей Анатольевич</t>
  </si>
  <si>
    <t>56.252577,43.397441</t>
  </si>
  <si>
    <t>ОБЩЕСТВО С ОГРАНИЧЕННОЙ ОТВЕТСТВЕННОСТЬЮ ПРОИЗВОДСТВЕННО-КОММЕРЧЕСКАЯ ФИРМА "ПОИСК"</t>
  </si>
  <si>
    <t xml:space="preserve"> ПРОИЗВОДСТВЕННО-КОММЕРЧЕСКАЯ ФИРМА "ПОИСК"</t>
  </si>
  <si>
    <t>5249101197</t>
  </si>
  <si>
    <t>606002, Нижегородская область, г Дзержинск, ул Лермонтова, д 2</t>
  </si>
  <si>
    <t>Ступак Григорий Иванович</t>
  </si>
  <si>
    <t>56.232984,43.496345</t>
  </si>
  <si>
    <t>ОБЩЕСТВО С ОГРАНИЧЕННОЙ ОТВЕТСТВЕННОСТЬЮ "ОСНОВА-БЕТОН"</t>
  </si>
  <si>
    <t xml:space="preserve"> "ОСНОВА-БЕТОН"</t>
  </si>
  <si>
    <t>5249157376</t>
  </si>
  <si>
    <t>606000, НИЖЕГОРОДСКАЯ ОБЛАСТЬ, ГОРОД ДЗЕРЖИНСК, ШОССЕ РЕЧНОЕ, ДОМ 3, ОФИС 3</t>
  </si>
  <si>
    <t>Сигирская Юлия Петровна</t>
  </si>
  <si>
    <t>+7 (910) 388-03-68'</t>
  </si>
  <si>
    <t>56.235881,43.482628</t>
  </si>
  <si>
    <t>ОБЩЕСТВО С ОГРАНИЧЕННОЙ ОТВЕТСТВЕННОСТЬЮ "БЕТОНСТРОЙМ"</t>
  </si>
  <si>
    <t xml:space="preserve"> "БЕТОНСТРОЙМ"</t>
  </si>
  <si>
    <t>5249166388</t>
  </si>
  <si>
    <t>606010, НИЖЕГОРОДСКАЯ ОБЛАСТЬ, ГОРОД ДЗЕРЖИНСК, УЛИЦА ОКТЯБРЬСКАЯ, ДОМ 51,..</t>
  </si>
  <si>
    <t>Смирнов Алексей Игоревич</t>
  </si>
  <si>
    <t>56.154295,44.214512</t>
  </si>
  <si>
    <t>ОБЩЕСТВО С ОГРАНИЧЕННОЙ ОТВЕТСТВЕННОСТЬЮ "АСДОР"</t>
  </si>
  <si>
    <t xml:space="preserve"> "АСДОР"</t>
  </si>
  <si>
    <t>5250048251</t>
  </si>
  <si>
    <t>607657, НИЖЕГОРОДСКАЯ ОБЛАСТЬ, РАЙОН КСТОВСКИЙ, ГОРОД КСТОВО, ПРОСПЕКТ КАПИТАНА РАЧКОВА, 7, 80</t>
  </si>
  <si>
    <t>Гоголев Андрей Сергеевич</t>
  </si>
  <si>
    <t>+7 (904) 928-47-85'</t>
  </si>
  <si>
    <t>56.166611,44.18264</t>
  </si>
  <si>
    <t>ОБЩЕСТВО С ОГРАНИЧЕННОЙ ОТВЕТСТВЕННОСТЬЮ  "ЗАВОД БЕТОНСТРОЙ"</t>
  </si>
  <si>
    <t xml:space="preserve">  "ЗАВОД БЕТОНСТРОЙ"</t>
  </si>
  <si>
    <t>5250060330</t>
  </si>
  <si>
    <t>607650, НИЖЕГОРОДСКАЯ ОБЛАСТЬ, РАЙОН КСТОВСКИЙ, ГОРОД КСТОВО, УЛИЦА МАГИСТРАЛЬНАЯ, ДОМ 45А, ОФИС 1</t>
  </si>
  <si>
    <t>Роньжин Олег Сергеевич</t>
  </si>
  <si>
    <t>+7 (904) 799-76-45'</t>
  </si>
  <si>
    <t>55.945771,43.105228</t>
  </si>
  <si>
    <t>ОБЩЕСТВО С ОГРАНИЧЕННОЙ ОТВЕТСТВЕННОСТЬЮ "КИРПИЧНЫЙ ДВОР"</t>
  </si>
  <si>
    <t xml:space="preserve"> "КИРПИЧНЫЙ ДВОР"</t>
  </si>
  <si>
    <t>5252035145</t>
  </si>
  <si>
    <t>606104, НИЖЕГОРОДСКАЯ ОБЛАСТЬ, РАЙОН ПАВЛОВСКИЙ, ГОРОД ПАВЛОВО, УЛИЦА КЛЕНОВАЯ, 1А</t>
  </si>
  <si>
    <t>Евдокимова Наталья Михайловна</t>
  </si>
  <si>
    <t>+7 (910) 103-71-64'</t>
  </si>
  <si>
    <t>55.952137,43.070544</t>
  </si>
  <si>
    <t>ОБЩЕСТВО С ОГРАНИЧЕННОЙ ОТВЕТСТВЕННОСТЬЮ "АРДАТОВСКИЙ БЕТОН"</t>
  </si>
  <si>
    <t xml:space="preserve"> "АРДАТОВСКИЙ БЕТОН"</t>
  </si>
  <si>
    <t>5252035265</t>
  </si>
  <si>
    <t>606103, НИЖЕГОРОДСКАЯ ОБЛАСТЬ, РАЙОН ПАВЛОВСКИЙ, ГОРОД ПАВЛОВО, УЛИЦА КОММУНИСТИЧЕСКАЯ, ДОМ 61,..</t>
  </si>
  <si>
    <t>Галанова Елена Леонидовна</t>
  </si>
  <si>
    <t>+7 (950) 353-51-44'</t>
  </si>
  <si>
    <t>55.942978,43.074236</t>
  </si>
  <si>
    <t>ОБЩЕСТВО С ОГРАНИЧЕННОЙ ОТВЕТСТВЕННОСТЬЮ "ПАВЛОВСКИЙ БЕТОН"</t>
  </si>
  <si>
    <t xml:space="preserve"> "ПАВЛОВСКИЙ БЕТОН"</t>
  </si>
  <si>
    <t>5252035321</t>
  </si>
  <si>
    <t>606100, НИЖЕГОРОДСКАЯ ОБЛ, ПАВЛОВСКИЙ Р-Н, ПАВЛОВО Г, КОММУНИСТИЧЕСКАЯ УЛ, 81</t>
  </si>
  <si>
    <t>Качалов Сергей Александрович</t>
  </si>
  <si>
    <t>+7 (902) 787-33-58'</t>
  </si>
  <si>
    <t>beton@mail.ru', 'fedyaeva62@mail.ru'</t>
  </si>
  <si>
    <t>54.923771,43.352929</t>
  </si>
  <si>
    <t>ОБЩЕСТВО С ОГРАНИЧЕННОЙ ОТВЕТСТВЕННОСТЬЮ "ШТЕТТЕР-БЕТОН"</t>
  </si>
  <si>
    <t xml:space="preserve"> "ШТЕТТЕР-БЕТОН"</t>
  </si>
  <si>
    <t>5254488454</t>
  </si>
  <si>
    <t>607186, НИЖЕГОРОДСКАЯ ОБЛАСТЬ, ГОРОД САРОВ, УЛИЦА СИЛКИНА, 31</t>
  </si>
  <si>
    <t>Кашина Любовь Ивановна</t>
  </si>
  <si>
    <t>+7 (831) 306-71-17'</t>
  </si>
  <si>
    <t>54.919083,43.333085</t>
  </si>
  <si>
    <t>ОБЩЕСТВО С ОГРАНИЧЕННОЙ ОТВЕТСТВЕННОСТЬЮ "БЕТОНЭК"</t>
  </si>
  <si>
    <t xml:space="preserve"> "БЕТОНЭК"</t>
  </si>
  <si>
    <t>5254493736</t>
  </si>
  <si>
    <t>607188, НИЖЕГОРОДСКАЯ ОБЛАСТЬ, ГОРОД САРОВ, УЛИЦА ЖЕЛЕЗНОДОРОЖНАЯ, ДОМ 11, ПОМЕЩЕНИЕ 4</t>
  </si>
  <si>
    <t>Пушков Сергей Александрович</t>
  </si>
  <si>
    <t>54.91041,43.216403</t>
  </si>
  <si>
    <t>ОБЩЕСТВО С ОГРАНИЧЕННОЙ ОТВЕТСТВЕННОСТЬЮ "АЛГОРИТМ"</t>
  </si>
  <si>
    <t xml:space="preserve"> "АЛГОРИТМ"</t>
  </si>
  <si>
    <t>5254495878</t>
  </si>
  <si>
    <t>607328, Нижегородская область, ДИВЕЕВСКИЙ, СП. САТИС, УЛ ЗАВОДСКАЯ, Д. 12</t>
  </si>
  <si>
    <t>Петров Алексей Викторович</t>
  </si>
  <si>
    <t>ALGORITM052@MAIL.RU'</t>
  </si>
  <si>
    <t>56.231378,43.907621</t>
  </si>
  <si>
    <t>ОБЩЕСТВО С ОГРАНИЧЕННОЙ ОТВЕТСТВЕННОСТЬЮ "МЕРКУРИЙ 16"</t>
  </si>
  <si>
    <t xml:space="preserve"> "МЕРКУРИЙ 16"</t>
  </si>
  <si>
    <t>5256148929</t>
  </si>
  <si>
    <t>603064, НИЖЕГОРОДСКАЯ ОБЛАСТЬ, ГОРОД НИЖНИЙ НОВГОРОД, УЛИЦА ОКСКАЯ ГАВАНЬ, ДОМ 9, КОРПУС 3, ОФИС 1</t>
  </si>
  <si>
    <t>Цепелева Екатерина Николаевна</t>
  </si>
  <si>
    <t>+7 (951) 904-93-03'</t>
  </si>
  <si>
    <t>56.236191,43.913711</t>
  </si>
  <si>
    <t>ОБЩЕСТВО С ОГРАНИЧЕННОЙ ОТВЕТСТВЕННОСТЬЮ "ЛАДА-С"</t>
  </si>
  <si>
    <t xml:space="preserve"> "ЛАДА-С"</t>
  </si>
  <si>
    <t>5256153580</t>
  </si>
  <si>
    <t>603064, НИЖЕГОРОДСКАЯ ОБЛ, НИЖНИЙ НОВГОРОД Г, ОКСКАЯ ГАВАНЬ УЛ, ДОМ 6, ПОМЕЩЕНИЕ 12, ОФИС 2</t>
  </si>
  <si>
    <t>Агеев Александр Сергеевич</t>
  </si>
  <si>
    <t>SD@yandex.ru'</t>
  </si>
  <si>
    <t>56.242709,43.924644</t>
  </si>
  <si>
    <t>ОБЩЕСТВО С ОГРАНИЧЕННОЙ ОТВЕТСТВЕННОСТЬЮ "МОНОЛИТ-НН"</t>
  </si>
  <si>
    <t xml:space="preserve"> "МОНОЛИТ-НН"</t>
  </si>
  <si>
    <t>5256178779</t>
  </si>
  <si>
    <t>603016, НИЖЕГОРОДСКАЯ ОБЛАСТЬ, ГОРОД НИЖНИЙ НОВГОРОД, УЛИЦА МОНАСТЫРКА, ДОМ 1А, ОФИС 1</t>
  </si>
  <si>
    <t>Дмитриев Алексей Алексеевич</t>
  </si>
  <si>
    <t>monolitbz@mail.ru'</t>
  </si>
  <si>
    <t>56.362965,43.854252</t>
  </si>
  <si>
    <t>ОБЩЕСТВО С ОГРАНИЧЕННОЙ ОТВЕТСТВЕННОСТЬЮ "РЕГИОН-СЕРВИС"</t>
  </si>
  <si>
    <t xml:space="preserve"> "РЕГИОН-СЕРВИС"</t>
  </si>
  <si>
    <t>5257041255</t>
  </si>
  <si>
    <t>Г НИЖНИЙ НОВГОРОД,УЛ СВОБОДЫ Д 120..</t>
  </si>
  <si>
    <t>Щуров Сергей Владимирович</t>
  </si>
  <si>
    <t>+7 (831) 225-73-70'</t>
  </si>
  <si>
    <t>56.313513,43.903938</t>
  </si>
  <si>
    <t>ОБЩЕСТВО С ОГРАНИЧЕННОЙ ОТВЕТСТВЕННОСТЬЮ "МИР СТРОЙ"</t>
  </si>
  <si>
    <t xml:space="preserve"> "МИР СТРОЙ"</t>
  </si>
  <si>
    <t>5257182658</t>
  </si>
  <si>
    <t>603028, НИЖЕГОРОДСКАЯ ОБЛАСТЬ, Г. НИЖНИЙ НОВГОРОД, УЛ. АЭРОДРОМНАЯ, Д. 1, ПОМЕЩ. 404</t>
  </si>
  <si>
    <t>Авдоян Рустам Зрбаевич</t>
  </si>
  <si>
    <t>152mirstroi@mail.ru', 'ceo@mirstroy-nn'</t>
  </si>
  <si>
    <t>56.293722,43.94827</t>
  </si>
  <si>
    <t>ОБЩЕСТВО С ОГРАНИЧЕННОЙ ОТВЕТСТВЕННОСТЬЮ "ЦЕНТР НН"</t>
  </si>
  <si>
    <t xml:space="preserve"> "ЦЕНТР НН"</t>
  </si>
  <si>
    <t>5258135435</t>
  </si>
  <si>
    <t>603140, НИЖЕГОРОДСКАЯ ОБЛАСТЬ, ГОРОД НИЖНИЙ НОВГОРОД, ПЕРЕУЛОК МОТАЛЬНЫЙ, ДОМ 10А, ПОМЕЩЕНИЕ 32</t>
  </si>
  <si>
    <t>Зубарев Александр Дмитриевич</t>
  </si>
  <si>
    <t>+7 (987) 535-53-70'</t>
  </si>
  <si>
    <t>56.310503,43.998342</t>
  </si>
  <si>
    <t>ОБЩЕСТВО С ОГРАНИЧЕННОЙ ОТВЕТСТВЕННОСТЬЮ "СТК БАЗИС"</t>
  </si>
  <si>
    <t xml:space="preserve"> "СТК БАЗИС"</t>
  </si>
  <si>
    <t>5258143115</t>
  </si>
  <si>
    <t>603000, НИЖЕГОРОДСКАЯ ОБЛАСТЬ, ГОРОД НИЖНИЙ НОВГОРОД, УЛИЦА БЕЛИНСКОГО, ДОМ 38,..</t>
  </si>
  <si>
    <t>Карабельщиков Анатолий Александрович</t>
  </si>
  <si>
    <t>ОБЩЕСТВО С ОГРАНИЧЕННОЙ ОТВЕТСТВЕННОСТЬЮ "АСР БЕТОН"</t>
  </si>
  <si>
    <t xml:space="preserve"> "АСР БЕТОН"</t>
  </si>
  <si>
    <t>5259153109</t>
  </si>
  <si>
    <t>603074, Нижегородская область, ГОРОД НИЖНИЙ НОВГОРОД, Г НИЖНИЙ НОВГОРОД, УЛ БУРНАКОВСКАЯ, Д. 12</t>
  </si>
  <si>
    <t>Марков Артем Валерьевич</t>
  </si>
  <si>
    <t>56.323013,43.984364</t>
  </si>
  <si>
    <t>ОБЩЕСТВО С ОГРАНИЧЕННОЙ ОТВЕТСТВЕННОСТЬЮ "БЗМ"</t>
  </si>
  <si>
    <t xml:space="preserve"> "БЗМ"</t>
  </si>
  <si>
    <t>5260322030</t>
  </si>
  <si>
    <t>603109, НИЖЕГОРОДСКАЯ ОБЛАСТЬ, Г. НИЖНИЙ НОВГОРОД, УЛ. СУЕТИНСКАЯ, Д.1 А, ПОМЕЩЕНИЕ П32</t>
  </si>
  <si>
    <t>+7 (831) 430-34-38'</t>
  </si>
  <si>
    <t>56.311037,44.055888</t>
  </si>
  <si>
    <t>ОБЩЕСТВО С ОГРАНИЧЕННОЙ ОТВЕТСТВЕННОСТЬЮ "ПРОИЗВОДСТВЕННО-КОММЕРЧЕСКАЯ ФИРМА РУССКИЙ БЕТОН И ЦЕМЕНТ"</t>
  </si>
  <si>
    <t xml:space="preserve"> "ПРОИЗВОДСТВЕННО-КОММЕРЧЕСКАЯ ФИРМА РУССКИЙ БЕТОН И ЦЕМЕНТ"</t>
  </si>
  <si>
    <t>5260387359</t>
  </si>
  <si>
    <t>603093, НИЖЕГОРОДСКАЯ ОБЛАСТЬ, Г. НИЖНИЙ НОВГОРОД, УЛ. ЯБЛОНЕВАЯ, Д.18, ОФИС 6</t>
  </si>
  <si>
    <t>Зубавин Андрей Константинович</t>
  </si>
  <si>
    <t>2748736@mail.ru'</t>
  </si>
  <si>
    <t>56.342506,44.097112</t>
  </si>
  <si>
    <t>ОБЩЕСТВО С ОГРАНИЧЕННОЙ ОТВЕТСТВЕННОСТЬЮ "ПРОМТЕХБЕТОН"</t>
  </si>
  <si>
    <t xml:space="preserve"> "ПРОМТЕХБЕТОН"</t>
  </si>
  <si>
    <t>5260404188</t>
  </si>
  <si>
    <t>606440, НИЖЕГОРОДСКАЯ ОБЛАСТЬ, ГОРОД БОР, УЛИЦА НАХИМОВА, ДОМ 79В, ОФИС 1</t>
  </si>
  <si>
    <t>Петрюк Андрей Юрьевич</t>
  </si>
  <si>
    <t>+7 (986) 725-08-51'</t>
  </si>
  <si>
    <t>56.3252,43.993428</t>
  </si>
  <si>
    <t>ОБЩЕСТВО С ОГРАНИЧЕННОЙ ОТВЕТСТВЕННОСТЬЮ "ФИНТРАСТ"</t>
  </si>
  <si>
    <t xml:space="preserve"> "ФИНТРАСТ"</t>
  </si>
  <si>
    <t>5260420550</t>
  </si>
  <si>
    <t>603109, НИЖЕГОРОДСКАЯ ОБЛАСТЬ, Г. НИЖНИЙ НОВГОРОД, УЛ. ДОБРОЛЮБОВА, Д. 6А, ПОМЕЩ. П3</t>
  </si>
  <si>
    <t>Гургуров Максим Вадимович</t>
  </si>
  <si>
    <t>+7 (930) 819-40-56'</t>
  </si>
  <si>
    <t>56.325599,44.003453</t>
  </si>
  <si>
    <t>ОБЩЕСТВО С ОГРАНИЧЕННОЙ ОТВЕТСТВЕННОСТЬЮ  "БЕСТБЕТОН НН"</t>
  </si>
  <si>
    <t xml:space="preserve">  "БЕСТБЕТОН НН"</t>
  </si>
  <si>
    <t>5260437257</t>
  </si>
  <si>
    <t>603005, НИЖЕГОРОДСКАЯ ОБЛАСТЬ, ГОРОД НИЖНИЙ НОВГОРОД, УЛИЦА ПОЖАРСКОГО, ДОМ 6А, ПОМЕЩЕНИЕ П7</t>
  </si>
  <si>
    <t>Шевелев Николай Владимирович</t>
  </si>
  <si>
    <t>ОБЩЕСТВО С ОГРАНИЧЕННОЙ ОТВЕТСТВЕННОСТЬЮ  "БЕТОН ПЛЮС"</t>
  </si>
  <si>
    <t xml:space="preserve">  "БЕТОН ПЛЮС"</t>
  </si>
  <si>
    <t>5261099699</t>
  </si>
  <si>
    <t>603141, НИЖЕГОРОДСКАЯ ОБЛАСТЬ, ГОРОД НИЖНИЙ НОВГОРОД, ПОСЕЛОК ЧЕРЕПИЧНЫЙ, ДОМ 14, ПОМЕЩЕНИЕ 16 ОФИС 31</t>
  </si>
  <si>
    <t>Демин Сергей Викторович</t>
  </si>
  <si>
    <t>+7 (920) 057-22-55', '+7 (831) 776-19-60'</t>
  </si>
  <si>
    <t>56.301289,44.029909</t>
  </si>
  <si>
    <t>ОБЩЕСТВО С ОГРАНИЧЕННОЙ ОТВЕТСТВЕННОСТЬЮ "СТРОЙХОЛДИНГ-НН"</t>
  </si>
  <si>
    <t xml:space="preserve"> "СТРОЙХОЛДИНГ-НН"</t>
  </si>
  <si>
    <t>5262365696</t>
  </si>
  <si>
    <t>603105, НИЖЕГОРОДСКАЯ ОБЛАСТЬ, ГОРОД НИЖНИЙ НОВГОРОД, УЛИЦА ВАНЕЕВА, ДОМ 127, ПОМЕЩЕНИЕ П7 КАБИНЕТ №3</t>
  </si>
  <si>
    <t>Клементьев Александр Андреевич</t>
  </si>
  <si>
    <t>56.28353,44.034786</t>
  </si>
  <si>
    <t>ОБЩЕСТВО С ОГРАНИЧЕННОЙ ОТВЕТСТВЕННОСТЬЮ "НИЖЕГОРОДСКИЙ ЗАВОД ЖБИ-2"</t>
  </si>
  <si>
    <t xml:space="preserve"> "НИЖЕГОРОДСКИЙ ЗАВОД ЖБИ-2"</t>
  </si>
  <si>
    <t>5262368721</t>
  </si>
  <si>
    <t>603136, НИЖЕГОРОДСКАЯ ОБЛАСТЬ, ГОРОД НИЖНИЙ НОВГОРОД, УЛИЦА ВАНЕЕВА, ДОМ 229, ПОМЕЩЕНИЕ 5 ОФИС 7</t>
  </si>
  <si>
    <t>Моисеева Юлия Григорьевна</t>
  </si>
  <si>
    <t>56.362067,43.820278</t>
  </si>
  <si>
    <t>ОБЩЕСТВО С ОГРАНИЧЕННОЙ ОТВЕТСТВЕННОСТЬЮ "ТЕХНОЛОГИИ СЕРВИСА"</t>
  </si>
  <si>
    <t xml:space="preserve"> "ТЕХНОЛОГИИ СЕРВИСА"</t>
  </si>
  <si>
    <t>5263122488</t>
  </si>
  <si>
    <t>603050, НИЖЕГОРОДСКАЯ ОБЛ, НИЖНИЙ НОВГОРОД Г, ТЕЛЕГРАФНАЯ УЛ, ДОМ 2,..</t>
  </si>
  <si>
    <t>Салихов Артём Артурович</t>
  </si>
  <si>
    <t>+7 (909) 292-22-15'</t>
  </si>
  <si>
    <t>ОБЩЕСТВО С ОГРАНИЧЕННОЙ ОТВЕТСТВЕННОСТЬЮ ТД "ЖБС-5"</t>
  </si>
  <si>
    <t xml:space="preserve"> ТД "ЖБС-5"</t>
  </si>
  <si>
    <t>5263132944</t>
  </si>
  <si>
    <t>603037, НИЖЕГОРОДСКАЯ ОБЛАСТЬ, Г. НИЖНИЙ НОВГОРОД, УЛ. ФЕДОСЕЕНКО, Д. 44А, ОФИС 4</t>
  </si>
  <si>
    <t>Гришанин Геннадий Михайлович</t>
  </si>
  <si>
    <t>+7 (910) 790-26-02', '+7 (831) 225-88-88'</t>
  </si>
  <si>
    <t>58.497429,31.194681</t>
  </si>
  <si>
    <t>ОБЩЕСТВО С ОГРАНИЧЕННОЙ ОТВЕТСТВЕННОСТЬЮ "ЭЛЕКТРОНСТРОЙ"</t>
  </si>
  <si>
    <t xml:space="preserve"> "ЭЛЕКТРОНСТРОЙ"</t>
  </si>
  <si>
    <t>5310014316</t>
  </si>
  <si>
    <t>173526, НОВГОРОДСКАЯ ОБЛАСТЬ, Р-Н НОВГОРОДСКИЙ, РП ПАНКОВКА, УЛ. ИНДУСТРИАЛЬНАЯ, Д.19</t>
  </si>
  <si>
    <t>Лосев Владимир Никитович</t>
  </si>
  <si>
    <t>59.121056,31.649866</t>
  </si>
  <si>
    <t>ОБЩЕСТВО С ОГРАНИЧЕННОЙ ОТВЕТСТВЕННОСТЬЮ "АРТИК"</t>
  </si>
  <si>
    <t xml:space="preserve"> "АРТИК"</t>
  </si>
  <si>
    <t>5318008071</t>
  </si>
  <si>
    <t>НОВГОРОДСКАЯ ОБЛ.,Г ЧУДОВО,ПЕР БАЗОВСКИЙ Д 3 КОРП 1</t>
  </si>
  <si>
    <t>Григорян Саркис Володяевич</t>
  </si>
  <si>
    <t xml:space="preserve"> "ЖЕЛЕЗОБЕТОННЫЕ ИЗДЕЛИЯ -1"</t>
  </si>
  <si>
    <t>5320023630</t>
  </si>
  <si>
    <t>http://бетон-боровичи.рф</t>
  </si>
  <si>
    <t>174411, НОВГОРОДСКАЯ ОБЛАСТЬ, Р-Н БОРОВИЧСКИЙ, Г. БОРОВИЧИ, УЛ. ЮГО-ЗАПАДНАЯ, Д.2</t>
  </si>
  <si>
    <t>58.57459,31.285312</t>
  </si>
  <si>
    <t>ОБЩЕСТВО С ОГРАНИЧЕННОЙ ОТВЕТСТВЕННОСТЬЮ "Бетон ВС"</t>
  </si>
  <si>
    <t xml:space="preserve"> "Бетон ВС"</t>
  </si>
  <si>
    <t>5321152237</t>
  </si>
  <si>
    <t>http://kulsh.ru</t>
  </si>
  <si>
    <t>173008, НОВГОРОДСКАЯ ОБЛ., Г. Великий Новгород, УЛ. БОЛЬШАЯ САНКТ-ПЕТЕРБУРГСКАЯ, Д. 173, ОФИС 101</t>
  </si>
  <si>
    <t>Васильев Виталий Игоревич</t>
  </si>
  <si>
    <t>58.542645,31.224604</t>
  </si>
  <si>
    <t>ОБЩЕСТВО С ОГРАНИЧЕННОЙ ОТВЕТСТВЕННОСТЬЮ "БСМ"</t>
  </si>
  <si>
    <t xml:space="preserve"> "БСМ"</t>
  </si>
  <si>
    <t>5321160750</t>
  </si>
  <si>
    <t>173024, НОВГОРОДСКАЯ ОБЛАСТЬ, ГОРОД ВЕЛИКИЙ НОВГОРОД, УЛИЦА КОЧЕТОВА, 8, 118</t>
  </si>
  <si>
    <t>Саркисян Ара Рафикович</t>
  </si>
  <si>
    <t>+7 (960) 200-56-48'</t>
  </si>
  <si>
    <t>58.559708,31.252928</t>
  </si>
  <si>
    <t>ОБЩЕСТВО С ОГРАНИЧЕННОЙ ОТВЕТСТВЕННОСТЬЮ "БЕТОНЛИДЕР"</t>
  </si>
  <si>
    <t xml:space="preserve"> "БЕТОНЛИДЕР"</t>
  </si>
  <si>
    <t>5321170684</t>
  </si>
  <si>
    <t>173008, НОВГОРОДСКАЯ ОБЛАСТЬ, ГОРОД ВЕЛИКИЙ НОВГОРОД, УЛИЦА МАГИСТРАЛЬНАЯ, ДОМ 2</t>
  </si>
  <si>
    <t>Федотенко Игорь Евгеньевич</t>
  </si>
  <si>
    <t>betonlider53@yandex.ru'</t>
  </si>
  <si>
    <t>59.938676,30.314494</t>
  </si>
  <si>
    <t>ОБЩЕСТВО С ОГРАНИЧЕННОЙ ОТВЕТСТВЕННОСТЬЮ "СтарорусСтройБетон"</t>
  </si>
  <si>
    <t xml:space="preserve"> "СтарорусСтройБетон"</t>
  </si>
  <si>
    <t>5322013532</t>
  </si>
  <si>
    <t>http://beton.strussa.biz</t>
  </si>
  <si>
    <t>199155, САНКТ-ПЕТЕРБУРГ ГОРОД, НАБЕРЕЖНАЯ МОРСКАЯ, 31, 1, ЛИТЕР А ПОМ.10Н</t>
  </si>
  <si>
    <t>Груничев Дмитрий Валерьевич</t>
  </si>
  <si>
    <t>+7 (921) 842-72-72'</t>
  </si>
  <si>
    <t>55.051494,82.975451</t>
  </si>
  <si>
    <t>ОБЩЕСТВО С ОГРАНИЧЕННОЙ ОТВЕТСТВЕННОСТЬЮ "АРТ ГРУПП"</t>
  </si>
  <si>
    <t xml:space="preserve"> "АРТ ГРУПП"</t>
  </si>
  <si>
    <t>5401401168</t>
  </si>
  <si>
    <t>630015, НОВОСИБИРСКАЯ ОБЛАСТЬ, Г НОВОСИБИРСК, УЛ КОМБИНАТСКАЯ,  1 ОФИС 204</t>
  </si>
  <si>
    <t>Алексеев Александр Александрович</t>
  </si>
  <si>
    <t>54.946291,82.858545</t>
  </si>
  <si>
    <t>ОБЩЕСТВО С ОГРАНИЧЕННОЙ ОТВЕТСТВЕННОСТЬЮ "АБЗ-54"</t>
  </si>
  <si>
    <t xml:space="preserve"> "АБЗ-54"</t>
  </si>
  <si>
    <t>5401991809</t>
  </si>
  <si>
    <t>630088, НОВОСИБИРСКАЯ ОБЛАСТЬ, Г НОВОСИБИРСК, УЛ ПЕТУХОВА, 17А ОФИС 306</t>
  </si>
  <si>
    <t>Аббасов Агил Аюбович</t>
  </si>
  <si>
    <t>96@mail.ru', 'afos@ngs.ru'</t>
  </si>
  <si>
    <t>55.055764,82.908769</t>
  </si>
  <si>
    <t>ОБЩЕСТВО С ОГРАНИЧЕННОЙ ОТВЕТСТВЕННОСТЬЮ "ПРОГРЕСС-БЕТОН"</t>
  </si>
  <si>
    <t xml:space="preserve"> "ПРОГРЕСС-БЕТОН"</t>
  </si>
  <si>
    <t>5402022204</t>
  </si>
  <si>
    <t>630049, НОВОСИБИРСКАЯ ОБЛАСТЬ, Г НОВОСИБИРСК, ПРОСПЕКТ КРАСНЫЙ, 153А ЭТАЖ 4 ОФИС 8</t>
  </si>
  <si>
    <t>Токмаков Евгений Борисович</t>
  </si>
  <si>
    <t>+7 (961) 847-70-70'</t>
  </si>
  <si>
    <t>54.95522,82.855688</t>
  </si>
  <si>
    <t>ОБЩЕСТВО С ОГРАНИЧЕННОЙ ОТВЕТСТВЕННОСТЬЮ "НГС-БЕТОН"</t>
  </si>
  <si>
    <t xml:space="preserve"> "НГС-БЕТОН"</t>
  </si>
  <si>
    <t>5403010995</t>
  </si>
  <si>
    <t>Г НОВОСИБИРСК,УЛ ПЕТУХОВА, 27 А</t>
  </si>
  <si>
    <t>+7 (383) 317-65-22', '+7 (383) 217-43-77'</t>
  </si>
  <si>
    <t>54.960395,82.946562</t>
  </si>
  <si>
    <t>ОБЩЕСТВО С ОГРАНИЧЕННОЙ ОТВЕТСТВЕННОСТЬЮ "ФЕРРО-КОНКРИТ"</t>
  </si>
  <si>
    <t xml:space="preserve"> "ФЕРРО-КОНКРИТ"</t>
  </si>
  <si>
    <t>5403058041</t>
  </si>
  <si>
    <t>630033, НОВОСИБИРСКАЯ ОБЛАСТЬ, Г НОВОСИБИРСК, УЛ ТЮМЕНСКАЯ, 2 КАБИНЕТ 307</t>
  </si>
  <si>
    <t>Гибелева Ирина Николаевна</t>
  </si>
  <si>
    <t>+7 (383) 317-17-66', '+7 (952) 924-37-30'</t>
  </si>
  <si>
    <t>ОБЩЕСТВО С ОГРАНИЧЕННОЙ ОТВЕТСТВЕННОСТЬЮ  "54 БЕТОН"</t>
  </si>
  <si>
    <t xml:space="preserve">  "54 БЕТОН"</t>
  </si>
  <si>
    <t>5404004881</t>
  </si>
  <si>
    <t>630551, НОВОСИБИРСКАЯ ОБЛАСТЬ, НОВОСИБИРСКИЙ РАЙОН, С ГУСИНЫЙ БРОД, УЛ СИБИРСКАЯ, 20/1 КАБ 10</t>
  </si>
  <si>
    <t>Галоян Ваник Юрикович</t>
  </si>
  <si>
    <t>54.987239,83.040552</t>
  </si>
  <si>
    <t>ОБЩЕСТВО С ОГРАНИЧЕННОЙ ОТВЕТСТВЕННОСТЬЮ "Б2"</t>
  </si>
  <si>
    <t xml:space="preserve"> "Б2"</t>
  </si>
  <si>
    <t>5404011342</t>
  </si>
  <si>
    <t>Г НОВОСИБИРСК,УЛ КЛЮЧ-КАМЫШЕНСКОЕ ПЛАТО, 7</t>
  </si>
  <si>
    <t>Ефремов Вячеслав Викторович</t>
  </si>
  <si>
    <t>+7 (913) 393-33-36', '+7 (913) 382-10-20'</t>
  </si>
  <si>
    <t>54.990834,82.908159</t>
  </si>
  <si>
    <t>ОБЩЕСТВО С ОГРАНИЧЕННОЙ ОТВЕТСТВЕННОСТЬЮ "БИЛДЕР БЕТОН"</t>
  </si>
  <si>
    <t xml:space="preserve"> "БИЛДЕР БЕТОН"</t>
  </si>
  <si>
    <t>5404013766</t>
  </si>
  <si>
    <t>630073, НОВОСИБИРСКАЯ ОБЛАСТЬ, Г НОВОСИБИРСК, ПРОСПЕКТ КАРЛА МАРКСА, 47/2 ПОМ 512 ЭТАЖ 5</t>
  </si>
  <si>
    <t>Кильмухаметов Рустам Рашитович</t>
  </si>
  <si>
    <t>+7 (952) 926-90-50', '+7 (913) 894-81-90'</t>
  </si>
  <si>
    <t>55.15856,83.118212</t>
  </si>
  <si>
    <t>ОБЩЕСТВО С ОГРАНИЧЕННОЙ ОТВЕТСТВЕННОСТЬЮ "РЕСУРСЫ"</t>
  </si>
  <si>
    <t xml:space="preserve"> "РЕСУРСЫ"</t>
  </si>
  <si>
    <t>5404049184</t>
  </si>
  <si>
    <t>630517, НОВОСИБИРСКАЯ ОБЛАСТЬ, НОВОСИБИРСКИЙ РАЙОН, СТ МОЧИЩЕ, ПАШИНСКИЙ ПЕРЕЕЗД ВОСТОЧНОЕ ШОССЕ, 1 ОФИС 8</t>
  </si>
  <si>
    <t>Александрова Наталья Юрьевна</t>
  </si>
  <si>
    <t>+7 (905) 903-69-77', '+7 (905) 964-22-70'</t>
  </si>
  <si>
    <t>ОБЩЕСТВО С ОГРАНИЧЕННОЙ ОТВЕТСТВЕННОСТЬЮ "НЗСК-1"</t>
  </si>
  <si>
    <t xml:space="preserve"> "НЗСК-1"</t>
  </si>
  <si>
    <t>5404065468</t>
  </si>
  <si>
    <t>630041, НОВОСИБИРСКАЯ ОБЛАСТЬ, Г НОВОСИБИРСК, УЛ ХИНГАНСКАЯ, 1 ЭТАЖ 1</t>
  </si>
  <si>
    <t>Суховецкий Виктор Юрьевич</t>
  </si>
  <si>
    <t>+7 (913) 066-79-66', '+7 (913) 954-41-24'</t>
  </si>
  <si>
    <t>54.991743,83.051952</t>
  </si>
  <si>
    <t xml:space="preserve"> "ЖБИ-11"</t>
  </si>
  <si>
    <t>5405021431</t>
  </si>
  <si>
    <t>630039, НОВОСИБИРСКАЯ ОБЛАСТЬ, Г НОВОСИБИРСК, УЛ ПРОЛЕТАРСКАЯ, 261 ОФИС 17</t>
  </si>
  <si>
    <t>+7 (383) 347-03-48', '+7 (383) 213-70-60'</t>
  </si>
  <si>
    <t>55.024094,82.960692</t>
  </si>
  <si>
    <t>ОБЩЕСТВО С ОГРАНИЧЕННОЙ ОТВЕТСТВЕННОСТЬЮ "КОЛИЗЕЙ СИБСТРОЙ"</t>
  </si>
  <si>
    <t xml:space="preserve"> "КОЛИЗЕЙ СИБСТРОЙ"</t>
  </si>
  <si>
    <t>5405022474</t>
  </si>
  <si>
    <t>630008, НОВОСИБИРСКАЯ ОБЛАСТЬ, Г НОВОСИБИРСК, УЛ БОРИСА БОГАТКОВА, 142 ОФ 2</t>
  </si>
  <si>
    <t>Короткевич Дмитрий Александрович</t>
  </si>
  <si>
    <t>+7 (913) 777-44-00', '+7 (999) 466-33-70'</t>
  </si>
  <si>
    <t>55.013524,82.932503</t>
  </si>
  <si>
    <t>ОБЩЕСТВО С ОГРАНИЧЕННОЙ ОТВЕТСТВЕННОСТЬЮ "ЕВРОБЕТОН-ВОСТОК"</t>
  </si>
  <si>
    <t xml:space="preserve"> "ЕВРОБЕТОН-ВОСТОК"</t>
  </si>
  <si>
    <t>5405072394</t>
  </si>
  <si>
    <t>630102, Новосибирская область, ГОРОД НОВОСИБИРСК, Г НОВОСИБИРСК, УЛ ШЕВЧЕНКО, Д. 2/1</t>
  </si>
  <si>
    <t>Чумадевский Павел Николаевич</t>
  </si>
  <si>
    <t>O002XX@BK.RU'</t>
  </si>
  <si>
    <t>54.999139,83.012085</t>
  </si>
  <si>
    <t>ОБЩЕСТВО С ОГРАНИЧЕННОЙ ОТВЕТСТВЕННОСТЬЮ "ТРАНСУГОЛЬ 2000"</t>
  </si>
  <si>
    <t xml:space="preserve"> "ТРАНСУГОЛЬ 2000"</t>
  </si>
  <si>
    <t>5405503731</t>
  </si>
  <si>
    <t>630126, Новосибирская область, г Новосибирск, ул Выборная, 126</t>
  </si>
  <si>
    <t>Захаров Геннадий Михайлович</t>
  </si>
  <si>
    <t>+7 (903) 941-87-12', '+7 (905) 908-97-47', '+7 (384) 661-50-74'</t>
  </si>
  <si>
    <t>55.019501,82.923807</t>
  </si>
  <si>
    <t>ОБЩЕСТВО С ОГРАНИЧЕННОЙ ОТВЕТСТВЕННОСТЬЮ "ОПЭКС ПЛЮС"</t>
  </si>
  <si>
    <t xml:space="preserve"> "ОПЭКС ПЛЮС"</t>
  </si>
  <si>
    <t>5406603658</t>
  </si>
  <si>
    <t>630007, НОВОСИБИРСКАЯ ОБЛАСТЬ, Г НОВОСИБИРСК, КРАСНЫЙ ПРОСПЕКТ, 14 ОФИС 302</t>
  </si>
  <si>
    <t>Куян Дмитрий Анатольевич</t>
  </si>
  <si>
    <t>2125854@mail.ru'</t>
  </si>
  <si>
    <t>ОБЩЕСТВО С ОГРАНИЧЕННОЙ ОТВЕТСТВЕННОСТЬЮ ТОРГОВЫЙ ДОМ "ЕВРОБЕТОН"</t>
  </si>
  <si>
    <t xml:space="preserve"> ТОРГОВЫЙ ДОМ "ЕВРОБЕТОН"</t>
  </si>
  <si>
    <t>5406619320</t>
  </si>
  <si>
    <t>630510, НОВОСИБИРСКАЯ ОБЛАСТЬ, НОВОСИБИРСКИЙ РАЙОН, ДП КУДРЯШОВСКИЙ, ТЕРРИТОРИЯ ДНТ СЛАВЯНКА, ЗДАНИЕ 1 ПОМЕЩЕНИЕ 1А</t>
  </si>
  <si>
    <t>+7 (913) 386-76-33', '+7 (913) 393-91-33', '+7 (383) 292-38-53', '+7 (383) 367-00-03'</t>
  </si>
  <si>
    <t>55.029575,82.908365</t>
  </si>
  <si>
    <t>ОБЩЕСТВО С ОГРАНИЧЕННОЙ ОТВЕТСТВЕННОСТЬЮ "БЕТОНПРОЕКТИНВЕСТ"</t>
  </si>
  <si>
    <t xml:space="preserve"> "БЕТОНПРОЕКТИНВЕСТ"</t>
  </si>
  <si>
    <t>5406811721</t>
  </si>
  <si>
    <t>630004, НОВОСИБИРСКАЯ ОБЛАСТЬ, Г НОВОСИБИРСК, ПРОСПЕКТ ДИМИТРОВА, 4/1 ЭТАЖ/ОФИС 3/3F-3</t>
  </si>
  <si>
    <t>Лясота Сергей Петрович</t>
  </si>
  <si>
    <t>2021@GMAIL.COM'</t>
  </si>
  <si>
    <t>54.889806,83.08616</t>
  </si>
  <si>
    <t>ОБЩЕСТВО С ОГРАНИЧЕННОЙ ОТВЕТСТВЕННОСТЬЮ "МЕВА"</t>
  </si>
  <si>
    <t xml:space="preserve"> "МЕВА"</t>
  </si>
  <si>
    <t>5408024857</t>
  </si>
  <si>
    <t>630060, НОВОСИБИРСКАЯ ОБЛАСТЬ, ГОРОД НОВОСИБИРСК, УЛИЦА ЛЕСОСЕЧНАЯ, ДОМ 5,..</t>
  </si>
  <si>
    <t>Мадина Полина Васильевна</t>
  </si>
  <si>
    <t>55.111619,82.976224</t>
  </si>
  <si>
    <t>ОБЩЕСТВО С ОГРАНИЧЕННОЙ ОТВЕТСТВЕННОСТЬЮ "Авангард 88"</t>
  </si>
  <si>
    <t xml:space="preserve"> "Авангард 88"</t>
  </si>
  <si>
    <t>5410776420</t>
  </si>
  <si>
    <t>630129, НОВОСИБИРСКАЯ ОБЛАСТЬ, Г НОВОСИБИРСК, УЛ РАССВЕТНАЯ, 14..</t>
  </si>
  <si>
    <t>Баяндин Андрей Сергеевич</t>
  </si>
  <si>
    <t>+7 (913) 760-70-40'</t>
  </si>
  <si>
    <t>sportnovosib@mail.ru'</t>
  </si>
  <si>
    <t>55.05069,83.128578</t>
  </si>
  <si>
    <t>ОБЩЕСТВО С ОГРАНИЧЕННОЙ ОТВЕТСТВЕННОСТЬЮ "ЗЖБИ РАЗДОЛЬНОЕ"</t>
  </si>
  <si>
    <t xml:space="preserve"> "ЗЖБИ РАЗДОЛЬНОЕ"</t>
  </si>
  <si>
    <t>5433197042</t>
  </si>
  <si>
    <t>630550, НОВОСИБИРСКАЯ ОБЛАСТЬ, РАЙОН НОВОСИБИРСКИЙ, СЕЛО РАЗДОЛЬНОЕ, УЛИЦА ПРОМЫШЛЕННАЯ, ДОМ 3</t>
  </si>
  <si>
    <t>Колотов Артем Иванович</t>
  </si>
  <si>
    <t>+7 (923) 775-43-77', '+7 (913) 948-39-08', '+7 (383) 294-15-15'</t>
  </si>
  <si>
    <t>razdolnoe54@yandex.ru'</t>
  </si>
  <si>
    <t>55.036602,83.393213</t>
  </si>
  <si>
    <t>ОБЩЕСТВО С ОГРАНИЧЕННОЙ ОТВЕТСТВЕННОСТЬЮ "ПЛОТНИКОВО-СТРОЙБЕТОН"</t>
  </si>
  <si>
    <t xml:space="preserve"> "ПЛОТНИКОВО-СТРОЙБЕТОН"</t>
  </si>
  <si>
    <t>5433956652</t>
  </si>
  <si>
    <t>630540, НОВОСИБИРСКАЯ ОБЛАСТЬ, РАЙОН НОВОСИБИРСКИЙ, СЕЛО ПЛОТНИКОВО, УЛИЦА ШКОЛЬНАЯ, ДОМ 10В</t>
  </si>
  <si>
    <t>Алфименко Михаил Владимирович</t>
  </si>
  <si>
    <t>lyudmila@mail.ru'</t>
  </si>
  <si>
    <t>55.143152,82.963845</t>
  </si>
  <si>
    <t>ОБЩЕСТВО С ОГРАНИЧЕННОЙ ОТВЕТСТВЕННОСТЬЮ "АБК БЕТОН"</t>
  </si>
  <si>
    <t xml:space="preserve"> "АБК БЕТОН"</t>
  </si>
  <si>
    <t>5433961540</t>
  </si>
  <si>
    <t>630531, НОВОСИБИРСКАЯ ОБЛАСТЬ, НОВОСИБИРСКИЙ РАЙОН, П САДОВЫЙ, УЛ ПРОИЗВОДСТВЕННАЯ, ЗД 26А</t>
  </si>
  <si>
    <t>+7 (983) 310-57-75'</t>
  </si>
  <si>
    <t>55.110532,83.004215</t>
  </si>
  <si>
    <t>ОБЩЕСТВО С ОГРАНИЧЕННОЙ ОТВЕТСТВЕННОСТЬЮ "БРЗ-2"</t>
  </si>
  <si>
    <t xml:space="preserve"> "БРЗ-2"</t>
  </si>
  <si>
    <t>5433970657</t>
  </si>
  <si>
    <t>630517, НОВОСИБИРСКАЯ ОБЛАСТЬ, НОВОСИБИРСКИЙ РАЙОН , ст Иня-Восточная, ПАШИНСКИЙ ПЕРЕЕЗД ВОСТОЧНОЕ ШОССЕ, ЗДАНИЕ 1, ОФИС 4</t>
  </si>
  <si>
    <t>Данелия Юрий Валериевич</t>
  </si>
  <si>
    <t>54.920201,82.982288</t>
  </si>
  <si>
    <t>ОБЩЕСТВО С ОГРАНИЧЕННОЙ ОТВЕТСТВЕННОСТЬЮ "СИББЕТОН42"</t>
  </si>
  <si>
    <t xml:space="preserve"> "СИББЕТОН42"</t>
  </si>
  <si>
    <t>5433971393</t>
  </si>
  <si>
    <t>630501, НОВОСИБИРСКАЯ ОБЛАСТЬ, РАЙОН НОВОСИБИРСКИЙ, РАБОЧИЙ ПОСЕЛОК КРАСНООБСК, МИКРОРАЙОН 2, ДОМ 246, ЭТАЖ ЦОКОЛЬНЫЙ</t>
  </si>
  <si>
    <t>Быков Дмитрий Владимирович</t>
  </si>
  <si>
    <t>55.031701,82.719701</t>
  </si>
  <si>
    <t>ОБЩЕСТВО С ОГРАНИЧЕННОЙ ОТВЕТСТВЕННОСТЬЮ "СИБИРСКИЕ РАСТВОРЫ"</t>
  </si>
  <si>
    <t xml:space="preserve"> "СИБИРСКИЕ РАСТВОРЫ"</t>
  </si>
  <si>
    <t>5433976419</t>
  </si>
  <si>
    <t>630512, Новосибирская область, НОВОСИБИРСКИЙ РАЙОН, С КРИВОДАНОВКА, ТЕР ДНП УСАДЬБА МАРЬИНО, УЛ КЕДРОВАЯ, 5</t>
  </si>
  <si>
    <t>Семенов Игорь Владимирович</t>
  </si>
  <si>
    <t>kadrevrobeton@yandex.ru'</t>
  </si>
  <si>
    <t>54.366104,81.892955</t>
  </si>
  <si>
    <t>ОБЩЕСТВО С ОГРАНИЧЕННОЙ ОТВЕТСТВЕННОСТЬЮ "ШАРАПСКИЙ БЕТОН"</t>
  </si>
  <si>
    <t xml:space="preserve"> "ШАРАПСКИЙ БЕТОН"</t>
  </si>
  <si>
    <t>5434138427</t>
  </si>
  <si>
    <t>633261, НОВОСИБИРСКАЯ ОБЛАСТЬ, ОРДЫНСКИЙ РАЙОН , РП ОРДЫНСКОЕ, УЛ ЮНЫХ ЛЕНИНЦЕВ, 2А</t>
  </si>
  <si>
    <t>Старых Сергей Владимирович</t>
  </si>
  <si>
    <t>+7 (913) 002-77-78', '+7 (961) 224-65-33', '+7 (913) 782-86-14'</t>
  </si>
  <si>
    <t>55.239794,84.358022</t>
  </si>
  <si>
    <t>ОБЩЕСТВО С ОГРАНИЧЕННОЙ ОТВЕТСТВЕННОСТЬЮ "Тогучинский бетон"</t>
  </si>
  <si>
    <t xml:space="preserve"> "Тогучинский бетон"</t>
  </si>
  <si>
    <t>5438319270</t>
  </si>
  <si>
    <t>http://toguchinbeton.ru</t>
  </si>
  <si>
    <t>633454, НОВОСИБИРСКАЯ ОБЛАСТЬ, РАЙОН ТОГУЧИНСКИЙ, ГОРОД ТОГУЧИН, УЛИЦА МАКСИМА ГОРЬКОГО, 86</t>
  </si>
  <si>
    <t>Гейне Александр Робертович</t>
  </si>
  <si>
    <t>+7 (383) 402-21-42'</t>
  </si>
  <si>
    <t>54.743635,83.139888</t>
  </si>
  <si>
    <t>ОБЩЕСТВО С ОГРАНИЧЕННОЙ ОТВЕТСТВЕННОСТЬЮ "ЭСТА"</t>
  </si>
  <si>
    <t xml:space="preserve"> "ЭСТА"</t>
  </si>
  <si>
    <t>5445029067</t>
  </si>
  <si>
    <t>633004, НОВОСИБИРСКАЯ ОБЛАСТЬ, Г БЕРДСК, УЛ ХИМЗАВОДСКАЯ, 13/3 ОФИС 3</t>
  </si>
  <si>
    <t>Галушко Андрей Дмитриевич</t>
  </si>
  <si>
    <t>54.739097,83.036429</t>
  </si>
  <si>
    <t>ОБЩЕСТВО С ОГРАНИЧЕННОЙ ОТВЕТСТВЕННОСТЬЮ "МОНОЛИТ-СМ"</t>
  </si>
  <si>
    <t xml:space="preserve"> "МОНОЛИТ-СМ"</t>
  </si>
  <si>
    <t>5445115407</t>
  </si>
  <si>
    <t>НОВОСИБИРСКАЯ ОБЛ.,Г БЕРДСК,УЛ ЗЕЛЕНАЯ РОЩА,2-Я ПЛОЩАДКА ОАО "БЭМЗ"</t>
  </si>
  <si>
    <t>Далберг Лариса Витальевна</t>
  </si>
  <si>
    <t>ОБЩЕСТВО С ОГРАНИЧЕННОЙ ОТВЕТСТВЕННОСТЬЮ "ШПАТЕЛЬ"</t>
  </si>
  <si>
    <t xml:space="preserve"> "ШПАТЕЛЬ"</t>
  </si>
  <si>
    <t>5501181100</t>
  </si>
  <si>
    <t>644085, ОМСКАЯ ОБЛ, ОМСК Г, МИРА ПР-КТ, ДОМ 185, ПОМЕЩЕНИЕ 4</t>
  </si>
  <si>
    <t>Чулковская Екатерина Степановна</t>
  </si>
  <si>
    <t>+7 (913) 961-60-01'</t>
  </si>
  <si>
    <t>54.942754,73.453768</t>
  </si>
  <si>
    <t>ОБЩЕСТВО С ОГРАНИЧЕННОЙ ОТВЕТСТВЕННОСТЬЮ "БЕТСИНТЕЗ"</t>
  </si>
  <si>
    <t xml:space="preserve"> "БЕТСИНТЕЗ"</t>
  </si>
  <si>
    <t>5501212968</t>
  </si>
  <si>
    <t>644117, ОМСКАЯ ОБЛАСТЬ, ГОРОД ОМСК, ГОРОДОК 18-Й ВОЕННЫЙ, ДОМ 187,..</t>
  </si>
  <si>
    <t>Беляков Сергей Александрович</t>
  </si>
  <si>
    <t>+7 (913) 630-72-85', '+7 (962) 039-87-63', '+7 (983) 622-04-02'</t>
  </si>
  <si>
    <t>54.946493,73.394299</t>
  </si>
  <si>
    <t>ОБЩЕСТВО С ОГРАНИЧЕННОЙ ОТВЕТСТВЕННОСТЬЮ "МОНОЛИТ 777"</t>
  </si>
  <si>
    <t xml:space="preserve"> "МОНОЛИТ 777"</t>
  </si>
  <si>
    <t>5501261884</t>
  </si>
  <si>
    <t>Г ОМСК,УЛ КАРБЫШЕВА 3..</t>
  </si>
  <si>
    <t>Катышев Андрей Николаевич</t>
  </si>
  <si>
    <t>+7 (381) 226-76-93'</t>
  </si>
  <si>
    <t>54.970158,73.405214</t>
  </si>
  <si>
    <t>ОБЩЕСТВО С ОГРАНИЧЕННОЙ ОТВЕТСТВЕННОСТЬЮ ПРОИЗВОДСТВЕННАЯ КОМПАНИЯ "ПРОМБЕТОН"</t>
  </si>
  <si>
    <t xml:space="preserve"> ПРОИЗВОДСТВЕННАЯ КОМПАНИЯ "ПРОМБЕТОН"</t>
  </si>
  <si>
    <t>5503179850</t>
  </si>
  <si>
    <t>644046, ОМСКАЯ ОБЛАСТЬ, Г. ОМСК, УЛ. 5-Я ЛИНИЯ, Д. 157А, ОФИС 204</t>
  </si>
  <si>
    <t>Бормотов Евгений Михайлович</t>
  </si>
  <si>
    <t>+7 (913) 674-54-91', '+7 (963) 050-76-47'</t>
  </si>
  <si>
    <t>54.993768,73.354629</t>
  </si>
  <si>
    <t>ОБЩЕСТВО С ОГРАНИЧЕННОЙ ОТВЕТСТВЕННОСТЬЮ "ПРОИЗВОДСТВЕННАЯ КОМПАНИЯ ТЕХНОСТРОЙ"</t>
  </si>
  <si>
    <t xml:space="preserve"> "ПРОИЗВОДСТВЕННАЯ КОМПАНИЯ ТЕХНОСТРОЙ"</t>
  </si>
  <si>
    <t>5503192386</t>
  </si>
  <si>
    <t>644043, ОМСКАЯ ОБЛАСТЬ, ГОРОД ОМСК, УЛИЦА ФРУНЗЕ, ДОМ 1, КОРПУС 3,..</t>
  </si>
  <si>
    <t>Фогель Сергей Иванович</t>
  </si>
  <si>
    <t>55.015795,73.412562</t>
  </si>
  <si>
    <t>ОБЩЕСТВО С ОГРАНИЧЕННОЙ ОТВЕТСТВЕННОСТЬЮ "КОМПАНИЯ "БЕТОНИР"</t>
  </si>
  <si>
    <t xml:space="preserve"> "КОМПАНИЯ "БЕТОНИР"</t>
  </si>
  <si>
    <t>5503252846</t>
  </si>
  <si>
    <t>644052, Омская область, г Омск, ул Сурикова, д 14/8</t>
  </si>
  <si>
    <t>Кинзельский Андрей Николаевич</t>
  </si>
  <si>
    <t>+7 (913) 970-77-66', '+7 (906) 919-42-17'</t>
  </si>
  <si>
    <t>54.985163,73.393122</t>
  </si>
  <si>
    <t>ОБЩЕСТВО С ОГРАНИЧЕННОЙ ОТВЕТСТВЕННОСТЬЮ "ОМСКСТРОЙБЕТОН"</t>
  </si>
  <si>
    <t xml:space="preserve"> "ОМСКСТРОЙБЕТОН"</t>
  </si>
  <si>
    <t>5504139071</t>
  </si>
  <si>
    <t>644024, ОМСКАЯ ОБЛ,  г Омск, УЛ 10 ЛЕТ ОКТЯБРЯ, Д 43</t>
  </si>
  <si>
    <t>Кущей Олег Владимирович</t>
  </si>
  <si>
    <t>systems@mail.ru'</t>
  </si>
  <si>
    <t>54.943975,73.378049</t>
  </si>
  <si>
    <t>ОБЩЕСТВО С ОГРАНИЧЕННОЙ ОТВЕТСТВЕННОСТЬЮ ПРОИЗВОДСТВЕННАЯ КОМПАНИЯ "БЕТОН-СТРОЙ"</t>
  </si>
  <si>
    <t xml:space="preserve"> ПРОИЗВОДСТВЕННАЯ КОМПАНИЯ "БЕТОН-СТРОЙ"</t>
  </si>
  <si>
    <t>5505050669</t>
  </si>
  <si>
    <t>644020, Омская область,  г Омск, ул Рождественского, д 9, корп 1,..</t>
  </si>
  <si>
    <t>Червоткин Владислав Владимирович</t>
  </si>
  <si>
    <t>+7 (913) 972-23-68', '+7 (913) 140-27-07'</t>
  </si>
  <si>
    <t>pk_bs55@list.ru', 'pk_ps55@list.ru'</t>
  </si>
  <si>
    <t>54.983143,73.474159</t>
  </si>
  <si>
    <t>ОБЩЕСТВО С ОГРАНИЧЕННОЙ ОТВЕТСТВЕННОСТЬЮ "ФОРМ АЛЬЯНС"</t>
  </si>
  <si>
    <t xml:space="preserve"> "ФОРМ АЛЬЯНС"</t>
  </si>
  <si>
    <t>5506189906</t>
  </si>
  <si>
    <t>644076, ОМСКАЯ ОБЛ., Г. Омск, УЛ. РОМАНЕНКО, Д. 10А, К. 1,..</t>
  </si>
  <si>
    <t>Кенинг Лариса Витальевна</t>
  </si>
  <si>
    <t>54.929312,73.288028</t>
  </si>
  <si>
    <t>ОБЩЕСТВО С ОГРАНИЧЕННОЙ ОТВЕТСТВЕННОСТЬЮ "ПРОИЗВОДСТВЕННАЯ ФИРМА ОМСК-БЕТОН"</t>
  </si>
  <si>
    <t xml:space="preserve"> "ПРОИЗВОДСТВЕННАЯ ФИРМА ОМСК-БЕТОН"</t>
  </si>
  <si>
    <t>5507134610</t>
  </si>
  <si>
    <t>644016, Омская область, г Омск, ул Семиреченская, д 99</t>
  </si>
  <si>
    <t>Шорников Георгий Альбертович</t>
  </si>
  <si>
    <t>omskbeton@mail.ru'</t>
  </si>
  <si>
    <t>54.698837,73.044459</t>
  </si>
  <si>
    <t>ОБЩЕСТВО С ОГРАНИЧЕННОЙ ОТВЕТСТВЕННОСТЬЮ "Азово-Бетон"</t>
  </si>
  <si>
    <t xml:space="preserve"> "Азово-Бетон"</t>
  </si>
  <si>
    <t>5509007495</t>
  </si>
  <si>
    <t>646880, ОМСКАЯ ОБЛ., Р-Н Азовский немецкий национальный, С. Азово, УЛ. ЦРМ, Д. 9, К. 1</t>
  </si>
  <si>
    <t>Ширлинг Вячеслав Владимирович</t>
  </si>
  <si>
    <t>+7 (951) 400-97-05'</t>
  </si>
  <si>
    <t>54.985597,71.287624</t>
  </si>
  <si>
    <t>ОБЩЕСТВО С ОГРАНИЧЕННОЙ ОТВЕТСТВЕННОСТЬЮ "ЗАВОД БЕТОНСТРОЙ"</t>
  </si>
  <si>
    <t xml:space="preserve"> "ЗАВОД БЕТОНСТРОЙ"</t>
  </si>
  <si>
    <t>5514016294</t>
  </si>
  <si>
    <t>646010, Омская область, ИСИЛЬКУЛЬСКИЙ, 2 СОЛНЦЕВСКОЕ, С СОЛНЦЕВКА, УЛ ЮЖНАЯ, Д. 32</t>
  </si>
  <si>
    <t>Лаукерт Андрей Христьянович</t>
  </si>
  <si>
    <t>A1836A@YANDEX.RU'</t>
  </si>
  <si>
    <t>54.753461,73.607263</t>
  </si>
  <si>
    <t>ОБЩЕСТВО С ОГРАНИЧЕННОЙ ОТВЕТСТВЕННОСТЬЮ "ПРОИЗВОДСТВЕННО-КОММЕРЧЕСКАЯ ФИРМА "БЕТОН"</t>
  </si>
  <si>
    <t xml:space="preserve"> "ПРОИЗВОДСТВЕННО-КОММЕРЧЕСКАЯ ФИРМА "БЕТОН"</t>
  </si>
  <si>
    <t>5528034261</t>
  </si>
  <si>
    <t>644552, ОМСКАЯ ОБЛАСТЬ, РАЙОН ОМСКИЙ, СЕЛО УСТЬ-ЗАОСТРОВКА, УЛИЦА КУЙБЫШЕВА, ДОМ 186/1</t>
  </si>
  <si>
    <t>Канищев Александр Викторович</t>
  </si>
  <si>
    <t>50.968379,60.131411</t>
  </si>
  <si>
    <t>ОБЩЕСТВО С ОГРАНИЧЕННОЙ ОТВЕТСТВЕННОСТЬЮ "СТРОИТЕЛЬНО-ПРОИЗВОДСТВЕННАЯ БАЗА"</t>
  </si>
  <si>
    <t xml:space="preserve"> "СТРОИТЕЛЬНО-ПРОИЗВОДСТВЕННАЯ БАЗА"</t>
  </si>
  <si>
    <t>5603042747</t>
  </si>
  <si>
    <t>ОРЕНБУРГСКАЯ ОБЛ.,ЯСНЕНСКИЙ Р-Н,С КОТАНСУ,УЛ НАБЕРЕЖНАЯ Д 2</t>
  </si>
  <si>
    <t>Омаров Ризван Омарович</t>
  </si>
  <si>
    <t>+7 (353) 427-43-79'</t>
  </si>
  <si>
    <t>51.470837,58.423938</t>
  </si>
  <si>
    <t>ОБЩЕСТВО С ОГРАНИЧЕННОЙ ОТВЕТСТВЕННОСТЬЮ  ТОРГОВЫЙ ДОМ "БЕТОН+"</t>
  </si>
  <si>
    <t xml:space="preserve">  ТОРГОВЫЙ ДОМ "БЕТОН+"</t>
  </si>
  <si>
    <t>5604032269</t>
  </si>
  <si>
    <t>462635, ОРЕНБУРГСКАЯ ОБЛ., Г. Гай, ПР-Д ТЕХНОЛОГИЧЕСКИЙ, ЗД. 9Г</t>
  </si>
  <si>
    <t>Николаев Евгений Сергеевич</t>
  </si>
  <si>
    <t>+7 (922) 535-52-93'</t>
  </si>
  <si>
    <t>ipp@mail.ru'</t>
  </si>
  <si>
    <t>51.413968,57.595529</t>
  </si>
  <si>
    <t>ОБЩЕСТВО С ОГРАНИЧЕННОЙ ОТВЕТСТВЕННОСТЬЮ "МЕДНОГОРСКИЕ ЖЕЛЕЗОБЕТОННЫЕ ИЗДЕЛИЯ"</t>
  </si>
  <si>
    <t xml:space="preserve"> "МЕДНОГОРСКИЕ ЖЕЛЕЗОБЕТОННЫЕ ИЗДЕЛИЯ"</t>
  </si>
  <si>
    <t>5606022160</t>
  </si>
  <si>
    <t>462271, Оренбургская область, ГОРОД МЕДНОГОРСК, Г МЕДНОГОРСК, ПЕР ЗАРЕЧНЫЙ, Д. 2</t>
  </si>
  <si>
    <t>Оганисян Армен Арамович</t>
  </si>
  <si>
    <t>51.837057,55.15902</t>
  </si>
  <si>
    <t>ОБЩЕСТВО С ОГРАНИЧЕННОЙ ОТВЕТСТВЕННОСТЬЮ "БЕТОНОВ И КО"</t>
  </si>
  <si>
    <t xml:space="preserve"> "БЕТОНОВ И КО"</t>
  </si>
  <si>
    <t>5609183173</t>
  </si>
  <si>
    <t>460052, ОРЕНБУРГСКАЯ ОБЛАСТЬ, Г. ОРЕНБУРГ, УЛ. ПРОСТОРНАЯ, Д. 21,..</t>
  </si>
  <si>
    <t>Безроднова Екатерина Михайловна</t>
  </si>
  <si>
    <t>51.837408,55.149947</t>
  </si>
  <si>
    <t>ОБЩЕСТВО С ОГРАНИЧЕННОЙ ОТВЕТСТВЕННОСТЬЮ "БЕНАР"</t>
  </si>
  <si>
    <t xml:space="preserve"> "БЕНАР"</t>
  </si>
  <si>
    <t>5609196510</t>
  </si>
  <si>
    <t>460052, Оренбургская область, городской округ ГОРОД ОРЕНБУРГ, Город ОРЕНБУРГ, УЛ САЛМЫШСКАЯ, Д. 19,..</t>
  </si>
  <si>
    <t>Мазитов Альберт Равильевич</t>
  </si>
  <si>
    <t>BETON56@LIST.RU'</t>
  </si>
  <si>
    <t>51.728147,55.097512</t>
  </si>
  <si>
    <t>ОБЩЕСТВО С ОГРАНИЧЕННОЙ ОТВЕТСТВЕННОСТЬЮ "Б-56"</t>
  </si>
  <si>
    <t xml:space="preserve"> "Б-56"</t>
  </si>
  <si>
    <t>5610234841</t>
  </si>
  <si>
    <t>460027, ОРЕНБУРГСКАЯ ОБЛ, ОРЕНБУРГ Г, БЕЛЯЕВСКАЯ УЛ, ДОМ 2/8</t>
  </si>
  <si>
    <t>Вдовенко Сергей Иванович</t>
  </si>
  <si>
    <t>51.721614,55.125369</t>
  </si>
  <si>
    <t>5610244110</t>
  </si>
  <si>
    <t>460045, Оренбургская область, ГОРОД ОРЕНБУРГ, Г ОРЕНБУРГ, УЛ БЕЛЯЕВСКАЯ, Д. 48</t>
  </si>
  <si>
    <t>Сторожилов Андрей Валерьевич</t>
  </si>
  <si>
    <t>51.22842,58.616797</t>
  </si>
  <si>
    <t>ОБЩЕСТВО С ОГРАНИЧЕННОЙ ОТВЕТСТВЕННОСТЬЮ "СТРОЙСЕРВИСПЛЮС"</t>
  </si>
  <si>
    <t xml:space="preserve"> "СТРОЙСЕРВИСПЛЮС"</t>
  </si>
  <si>
    <t>5614065707</t>
  </si>
  <si>
    <t>ОРЕНБУРГСКАЯ ОБЛ.,Г ОРСК,УЛ МОРОЗОВА Д 37 БАЗА ГЕОФИЗИКОВ</t>
  </si>
  <si>
    <t>Приходько Елена Александровна</t>
  </si>
  <si>
    <t>+7 (353) 726-78-76'</t>
  </si>
  <si>
    <t>51.215677,58.674029</t>
  </si>
  <si>
    <t>ОБЩЕСТВО С ОГРАНИЧЕННОЙ ОТВЕТСТВЕННОСТЬЮ "ОРСКИЙ ЗАВОД ЖЕЛЕЗОБЕТОННЫХ ИЗДЕЛИЙ"</t>
  </si>
  <si>
    <t xml:space="preserve"> "ОРСКИЙ ЗАВОД ЖЕЛЕЗОБЕТОННЫХ ИЗДЕЛИЙ"</t>
  </si>
  <si>
    <t>5614087098</t>
  </si>
  <si>
    <t>462413, Оренбургская область, ГОРОД ОРСК, Г ОРСК, ПЕР ОГНЕУПОРНЫЙ, Д. 23</t>
  </si>
  <si>
    <t>Беломестнов Денис Борисович</t>
  </si>
  <si>
    <t>51.780069,52.78356</t>
  </si>
  <si>
    <t>ОБЩЕСТВО С ОГРАНИЧЕННОЙ ОТВЕТСТВЕННОСТЬЮ "ТОРГОВЫЙ ДОМ "СДО"</t>
  </si>
  <si>
    <t xml:space="preserve"> "ТОРГОВЫЙ ДОМ "СДО"</t>
  </si>
  <si>
    <t>5648021578</t>
  </si>
  <si>
    <t>461170, ОРЕНБУРГСКАЯ ОБЛАСТЬ, РАЙОН ТАШЛИНСКИЙ, СЕЛО ТАШЛА, УЛИЦА ЗАРЕЧНАЯ, ДОМ 1А СТРОЕНИЕ 1А</t>
  </si>
  <si>
    <t>Есаян Гайк Суренович</t>
  </si>
  <si>
    <t>53.032318,36.147866</t>
  </si>
  <si>
    <t>5720022857</t>
  </si>
  <si>
    <t>302209, ОРЛОВСКАЯ ОБЛАСТЬ, РАЙОН ОРЛОВСКИЙ, СЕЛЬСКОЕ ПОСЕЛЕНИЕ ПЛАТОНОВСКОЕ, УЛИЦА РАЗДОЛЬНАЯ, ДОМ 97, ОФИС 1</t>
  </si>
  <si>
    <t>Силаев Александр Александрович</t>
  </si>
  <si>
    <t>+7 (910) 201-15-62', '+7 (910) 207-68-44'</t>
  </si>
  <si>
    <t>52.989629,36.073306</t>
  </si>
  <si>
    <t>ОБЩЕСТВО С ОГРАНИЧЕННОЙ ОТВЕТСТВЕННОСТЬЮ "СТРОЙБЕТОНПРОЕКТ"</t>
  </si>
  <si>
    <t xml:space="preserve"> "СТРОЙБЕТОНПРОЕКТ"</t>
  </si>
  <si>
    <t>5752046882</t>
  </si>
  <si>
    <t>302027, ОРЛОВСКАЯ ОБЛАСТЬ, Г. ОРЁЛ, ПЕР. ЯГОДНЫЙ, Д. 8Б</t>
  </si>
  <si>
    <t>Смоленский Владимир Васильевич</t>
  </si>
  <si>
    <t>52.922811,35.970673</t>
  </si>
  <si>
    <t>ОБЩЕСТВО С ОГРАНИЧЕННОЙ ОТВЕТСТВЕННОСТЬЮ "ЭПСИЛОН"</t>
  </si>
  <si>
    <t xml:space="preserve"> "ЭПСИЛОН"</t>
  </si>
  <si>
    <t>5752072000</t>
  </si>
  <si>
    <t>302008, ОРЛОВСКАЯ ОБЛАСТЬ, РАЙОН ОРЛОВСКИЙ, ПОСЕЛОК ДРУЖНЫЙ, УЛИЦА МАШИНОСТРОИТЕЛЬНАЯ, ДОМ 12</t>
  </si>
  <si>
    <t>Рыжинков Александр Николаевич</t>
  </si>
  <si>
    <t>+7 (495) 783-60-20', '+7 (903) 637-17-52'</t>
  </si>
  <si>
    <t>epsilonbeton@yandex.ru'</t>
  </si>
  <si>
    <t>52.965793,36.056956</t>
  </si>
  <si>
    <t>ОБЩЕСТВО С ОГРАНИЧЕННОЙ ОТВЕТСТВЕННОСТЬЮ "ОРЛОВСКИЙ БЕТОН"</t>
  </si>
  <si>
    <t xml:space="preserve"> "ОРЛОВСКИЙ БЕТОН"</t>
  </si>
  <si>
    <t>5753068462</t>
  </si>
  <si>
    <t>302028, ОРЛОВСКАЯ ОБЛАСТЬ, ГОРОД ОРЁЛ, УЛИЦА МАКСИМА ГОРЬКОГО, ДОМ 1, ПОМЕЩЕНИЕ 1, КОМНАТА 7</t>
  </si>
  <si>
    <t>Васильцова (Савелова) Ирина Ивановна</t>
  </si>
  <si>
    <t>+7 (910) 308-98-52'</t>
  </si>
  <si>
    <t>52.98616,36.035468</t>
  </si>
  <si>
    <t xml:space="preserve"> "СТРОЙ-ГРУПП"</t>
  </si>
  <si>
    <t>5753072324</t>
  </si>
  <si>
    <t>302020, ОРЛОВСКАЯ ОБЛАСТЬ, ГОРОД ОРЁЛ, УЛИЦА БАЗОВАЯ, ДОМ 9, КАБИНЕТ 12</t>
  </si>
  <si>
    <t>52.988296,36.074285</t>
  </si>
  <si>
    <t>ОБЩЕСТВО С ОГРАНИЧЕННОЙ ОТВЕТСТВЕННОСТЬЮ "СТРОЙМОНОЛИТ57"</t>
  </si>
  <si>
    <t xml:space="preserve"> "СТРОЙМОНОЛИТ57"</t>
  </si>
  <si>
    <t>5753073536</t>
  </si>
  <si>
    <t>302027, ОРЛОВСКАЯ ОБЛАСТЬ, ГОРОД ОРЁЛ, УЛИЦА ОКТЯБРЬСКАЯ, ДОМ 79,..</t>
  </si>
  <si>
    <t>Сырцев Константин Сергеевич</t>
  </si>
  <si>
    <t>+7 (919) 263-49-64'</t>
  </si>
  <si>
    <t>53.010527,36.106588</t>
  </si>
  <si>
    <t xml:space="preserve"> "ЖЕЛЕЗОБЕТОННЫЕ КОНСТРУКЦИИ"</t>
  </si>
  <si>
    <t>5754023129</t>
  </si>
  <si>
    <t>302023, ОРЛОВСКАЯ ОБЛАСТЬ, Г. ОРЁЛ, ПЕР. СИЛИКАТНЫЙ, Д. 1, ПОМЕЩ. 12</t>
  </si>
  <si>
    <t>+7 (960) 656-22-66'</t>
  </si>
  <si>
    <t>57gbk@mail.ru'</t>
  </si>
  <si>
    <t>53.115746,46.604839</t>
  </si>
  <si>
    <t>5803028965</t>
  </si>
  <si>
    <t>442530, Пензенская область, городской округ ГОРОД КУЗНЕЦК, Город КУЗНЕЦК, УЛ КИРОВА, ЗД. 157, КОМ. 207</t>
  </si>
  <si>
    <t>Лыжин Михаил Евгеньевич</t>
  </si>
  <si>
    <t>+7 (937) 431-81-60'</t>
  </si>
  <si>
    <t>53.124258,46.568772</t>
  </si>
  <si>
    <t xml:space="preserve"> "ФАВОРИТ ПЛЮС"</t>
  </si>
  <si>
    <t>5803031157</t>
  </si>
  <si>
    <t>442539, ПЕНЗЕНСКАЯ ОБЛ., Г. Кузнецк, УЛ. БЕЛИНСКОГО, ЗД. 8А, КОМ. 12</t>
  </si>
  <si>
    <t>53.347967,45.06625</t>
  </si>
  <si>
    <t>ОБЩЕСТВО С ОГРАНИЧЕННОЙ ОТВЕТСТВЕННОСТЬЮ "ИНТЕРСТРОЙ"</t>
  </si>
  <si>
    <t xml:space="preserve"> "ИНТЕРСТРОЙ"</t>
  </si>
  <si>
    <t>5809902146</t>
  </si>
  <si>
    <t>442780, ПЕНЗЕНСКАЯ ОБЛАСТЬ, Р-Н БЕССОНОВСКИЙ, С БЕССОНОВКА, УЛ. БОЛЬШОЙ КОЛОЯР, Д.107</t>
  </si>
  <si>
    <t>Пиксин Алексей Петрович</t>
  </si>
  <si>
    <t>+7 (892) 734-15-78'</t>
  </si>
  <si>
    <t>5809902146_580901001@eo.tensor'</t>
  </si>
  <si>
    <t>53.038561,45.967458</t>
  </si>
  <si>
    <t>ОБЩЕСТВО С ОГРАНИЧЕННОЙ ОТВЕТСТВЕННОСТЬЮ "БАРССТРОЙ"</t>
  </si>
  <si>
    <t xml:space="preserve"> "БАРССТРОЙ"</t>
  </si>
  <si>
    <t>5812008700</t>
  </si>
  <si>
    <t>442327, ПЕНЗЕНСКАЯ ОБЛАСТЬ, РАЙОН ГОРОДИЩЕНСКИЙ, СЕЛО СРЕДНЯЯ ЕЛЮЗАНЬ, УЛИЦА НИЖНЯЯ, ДОМ 81Б</t>
  </si>
  <si>
    <t>Бибарсов Ильдар Жиганшаевич</t>
  </si>
  <si>
    <t>+7 (927) 378-37-88'</t>
  </si>
  <si>
    <t>53.023636,45.952869</t>
  </si>
  <si>
    <t>ОБЩЕСТВО С ОГРАНИЧЕННОЙ ОТВЕТСТВЕННОСТЬЮ СТРОИТЕЛЬНАЯ КОМПАНИЯ "БАРССТРОЙ"</t>
  </si>
  <si>
    <t xml:space="preserve"> СТРОИТЕЛЬНАЯ КОМПАНИЯ "БАРССТРОЙ"</t>
  </si>
  <si>
    <t>5812009302</t>
  </si>
  <si>
    <t>442327, ПЕНЗЕНСКАЯ ОБЛ., Р-Н Городищенский, С. Средняя Елюзань, УЛ. СОВЕТСКАЯ, ДВЛД. 104</t>
  </si>
  <si>
    <t>Бибарсов Якуб Рашидович</t>
  </si>
  <si>
    <t>BARSSTROY58@GMAIL.COM'</t>
  </si>
  <si>
    <t>53.141136,45.032267</t>
  </si>
  <si>
    <t>ОБЩЕСТВО С ОГРАНИЧЕННОЙ ОТВЕТСТВЕННОСТЬЮ "СПЕЦБЕТОН +"</t>
  </si>
  <si>
    <t xml:space="preserve"> "СПЕЦБЕТОН +"</t>
  </si>
  <si>
    <t>5829003348</t>
  </si>
  <si>
    <t>440513, ПЕНЗЕНСКАЯ ОБЛАСТЬ, Р-Н ПЕНЗЕНСКИЙ, С ЗАСЕЧНОЕ, УЛ. ОЛИМПИЙСКАЯ, Д. 15</t>
  </si>
  <si>
    <t>Кальманов Александр Викторович</t>
  </si>
  <si>
    <t>+7 (906) 157-45-66'</t>
  </si>
  <si>
    <t>53.195042,45.018316</t>
  </si>
  <si>
    <t>ОБЩЕСТВО С ОГРАНИЧЕННОЙ ОТВЕТСТВЕННОСТЬЮ "ТЕХНО ТРЕЙД"</t>
  </si>
  <si>
    <t xml:space="preserve"> "ТЕХНО ТРЕЙД"</t>
  </si>
  <si>
    <t>5829003683</t>
  </si>
  <si>
    <t>440052, ПЕНЗЕНСКАЯ ОБЛАСТЬ, ГОРОД ПЕНЗА, УЛИЦА КАЛИНИНА, СТР 135, ОФИС 3 ЛИТЕР А</t>
  </si>
  <si>
    <t>Белов Владимир Викторович</t>
  </si>
  <si>
    <t>53.190262,45.039902</t>
  </si>
  <si>
    <t>ОБЩЕСТВО С ОГРАНИЧЕННОЙ ОТВЕТСТВЕННОСТЬЮ "КОНТУР"</t>
  </si>
  <si>
    <t xml:space="preserve"> "КОНТУР"</t>
  </si>
  <si>
    <t>5834117510</t>
  </si>
  <si>
    <t>440007, ПЕНЗЕНСКАЯ ОБЛАСТЬ, Г. ПЕНЗА, УЛ. ИЗМАЙЛОВА, ДВЛД 26, ОФИС 12</t>
  </si>
  <si>
    <t>Голубев Вячеслав Львович</t>
  </si>
  <si>
    <t>53.178736,45.120302</t>
  </si>
  <si>
    <t>ОБЩЕСТВО С ОГРАНИЧЕННОЙ ОТВЕТСТВЕННОСТЬЮ "СТРОЙ-РЕСУРС"</t>
  </si>
  <si>
    <t xml:space="preserve"> "СТРОЙ-РЕСУРС"</t>
  </si>
  <si>
    <t>5834117750</t>
  </si>
  <si>
    <t>440014, ПЕНЗЕНСКАЯ ОБЛАСТЬ, ГОРОД ПЕНЗА, УЛИЦА ЛЕСОЗАЩИТНАЯ, ДОМ 5,..</t>
  </si>
  <si>
    <t>Киреева Елена Вячеславовна</t>
  </si>
  <si>
    <t>+7 (987) 502-81-87'</t>
  </si>
  <si>
    <t>53.269543,44.911264</t>
  </si>
  <si>
    <t>ОБЩЕСТВО С ОГРАНИЧЕННОЙ ОТВЕТСТВЕННОСТЬЮ "ЖБИ ИНВЕСТ"</t>
  </si>
  <si>
    <t xml:space="preserve"> "ЖБИ ИНВЕСТ"</t>
  </si>
  <si>
    <t>5835132870</t>
  </si>
  <si>
    <t>440040, ПЕНЗЕНСКАЯ ОБЛАСТЬ, Г. ПЕНЗА, УЛ. НОВОСЕЛОВ, Д. 401, ЛИТЕР А</t>
  </si>
  <si>
    <t>Левухина Вероника Игоревна</t>
  </si>
  <si>
    <t>elena192319@mail.ru'</t>
  </si>
  <si>
    <t>53.236507,45.011659</t>
  </si>
  <si>
    <t>ОБЩЕСТВО С ОГРАНИЧЕННОЙ ОТВЕТСТВЕННОСТЬЮ "ДЕСАМ-ТРАНС"</t>
  </si>
  <si>
    <t xml:space="preserve"> "ДЕСАМ-ТРАНС"</t>
  </si>
  <si>
    <t>5835134170</t>
  </si>
  <si>
    <t>440015, ПЕНЗЕНСКАЯ ОБЛ., Г. Пенза, УЛ. АУСТРИНА, ДВЛД. 98, КОМ. 9</t>
  </si>
  <si>
    <t>Дебердеев Али Анвярович</t>
  </si>
  <si>
    <t>53.198435,45.009171</t>
  </si>
  <si>
    <t>ОБЩЕСТВО С ОГРАНИЧЕННОЙ ОТВЕТСТВЕННОСТЬЮ "ПензаБетон"</t>
  </si>
  <si>
    <t xml:space="preserve"> "ПензаБетон"</t>
  </si>
  <si>
    <t>5836656330</t>
  </si>
  <si>
    <t>440000, ПЕНЗЕНСКАЯ ОБЛАСТЬ, Г. ПЕНЗА, УЛ. ПЛЕХАНОВА, Д.12,..</t>
  </si>
  <si>
    <t>Четвериков Игорь Николаевич</t>
  </si>
  <si>
    <t>+7 (927) 372-64-54'</t>
  </si>
  <si>
    <t>PENZABETON@GMAIL.COM'</t>
  </si>
  <si>
    <t>53.233554,44.999415</t>
  </si>
  <si>
    <t>ОБЩЕСТВО С ОГРАНИЧЕННОЙ ОТВЕТСТВЕННОСТЬЮ "ПРОИЗВОДСТВЕННО-КОММЕРЧЕСКАЯ ФИРМА ПЕНЗАБЕТОН"</t>
  </si>
  <si>
    <t xml:space="preserve"> "ПРОИЗВОДСТВЕННО-КОММЕРЧЕСКАЯ ФИРМА ПЕНЗАБЕТОН"</t>
  </si>
  <si>
    <t>5836675446</t>
  </si>
  <si>
    <t>Г ПЕНЗА,УЛ ГАГАРИНА,19</t>
  </si>
  <si>
    <t>Кичигин Кирилл Олегович</t>
  </si>
  <si>
    <t>53.188918,45.015477</t>
  </si>
  <si>
    <t>ОБЩЕСТВО С ОГРАНИЧЕННОЙ ОТВЕТСТВЕННОСТЬЮ "РЕБУС М"</t>
  </si>
  <si>
    <t xml:space="preserve"> "РЕБУС М"</t>
  </si>
  <si>
    <t>5836679909</t>
  </si>
  <si>
    <t>440000, ПЕНЗЕНСКАЯ ОБЛАСТЬ, Г. ПЕНЗА, УЛ. МОСКОВСКАЯ, СТР 29, ОФИС 201</t>
  </si>
  <si>
    <t>Альбеков Дамир Рашидович</t>
  </si>
  <si>
    <t>+7 (906) 397-36-37'</t>
  </si>
  <si>
    <t>53.188999,45.006952</t>
  </si>
  <si>
    <t xml:space="preserve"> "АЛТИС"</t>
  </si>
  <si>
    <t>5836694833</t>
  </si>
  <si>
    <t>440026, ПЕНЗЕНСКАЯ ОБЛАСТЬ, Г. ПЕНЗА, УЛ. КРАСНАЯ, Д. 74,..</t>
  </si>
  <si>
    <t>Кудрин Андрей Сергеевич</t>
  </si>
  <si>
    <t>+7 (904) 268-75-93'</t>
  </si>
  <si>
    <t>53.177376,45.019987</t>
  </si>
  <si>
    <t>ОБЩЕСТВО С ОГРАНИЧЕННОЙ ОТВЕТСТВЕННОСТЬЮ "СПЕЦСТРОЙИНВЕСТ"</t>
  </si>
  <si>
    <t xml:space="preserve"> "СПЕЦСТРОЙИНВЕСТ"</t>
  </si>
  <si>
    <t>5836695153</t>
  </si>
  <si>
    <t>440052, ПЕНЗЕНСКАЯ ОБЛ., Г. Пенза, УЛ. НАБЕРЕЖНАЯ РЕКИ МОЙКИ, Д. 2Д, ПОМЕЩ. 3</t>
  </si>
  <si>
    <t>Ануфриева Диана Валерьевна</t>
  </si>
  <si>
    <t>spezstroi58@mail.ru'</t>
  </si>
  <si>
    <t>53.191772,45.17756</t>
  </si>
  <si>
    <t>ОБЩЕСТВО С ОГРАНИЧЕННОЙ ОТВЕТСТВЕННОСТЬЮ "ДИАЛОГ"</t>
  </si>
  <si>
    <t xml:space="preserve"> "ДИАЛОГ"</t>
  </si>
  <si>
    <t>5837037710</t>
  </si>
  <si>
    <t>442960, ПЕНЗЕНСКАЯ ОБЛАСТЬ, ГОРОД ЗАРЕЧНЫЙ, УЛИЦА КОМСОМОЛЬСКАЯ, СТР А2, ОФИС 220</t>
  </si>
  <si>
    <t>Зуева Людмила Юрьевна</t>
  </si>
  <si>
    <t>+7 (927) 287-26-99'</t>
  </si>
  <si>
    <t>53.176674,44.996442</t>
  </si>
  <si>
    <t>ОБЩЕСТВО С ОГРАНИЧЕННОЙ ОТВЕТСТВЕННОСТЬЮ "ОЗГЮР БЕТОН"</t>
  </si>
  <si>
    <t xml:space="preserve"> "ОЗГЮР БЕТОН"</t>
  </si>
  <si>
    <t>5837060445</t>
  </si>
  <si>
    <t>440026, ПЕНЗЕНСКАЯ ОБЛАСТЬ, Г. ПЕНЗА, ПР-Д СВЕРДЛОВА 2-Й, Д.27</t>
  </si>
  <si>
    <t xml:space="preserve"> Директор Ооо "Инвест Пенза" Балабан Суат</t>
  </si>
  <si>
    <t>53.151046,44.97022</t>
  </si>
  <si>
    <t>ОБЩЕСТВО С ОГРАНИЧЕННОЙ ОТВЕТСТВЕННОСТЬЮ "ПК ДЕКОМ"</t>
  </si>
  <si>
    <t xml:space="preserve"> "ПК ДЕКОМ"</t>
  </si>
  <si>
    <t>5837069470</t>
  </si>
  <si>
    <t>440031, ПЕНЗЕНСКАЯ ОБЛАСТЬ, ГОРОД ПЕНЗА, УЛИЦА 40 ЛЕТ ОКТЯБРЯ, ДОМ 12,..</t>
  </si>
  <si>
    <t>Депутатова Юлия Александровна</t>
  </si>
  <si>
    <t>53.136409,45.006737</t>
  </si>
  <si>
    <t>5837073444</t>
  </si>
  <si>
    <t>440004, ПЕНЗЕНСКАЯ ОБЛАСТЬ, Г. ПЕНЗА, УЛ. РЯБОВА, СТР 4, ЛИТЕР Г, КАБИНЕТ 1</t>
  </si>
  <si>
    <t>Поськин Максим Евгеньевич</t>
  </si>
  <si>
    <t>betonvpenze@mail.ru'</t>
  </si>
  <si>
    <t>53.148821,45.016807</t>
  </si>
  <si>
    <t xml:space="preserve"> "ВЕГА"</t>
  </si>
  <si>
    <t>5837074913</t>
  </si>
  <si>
    <t>440056, ПЕНЗЕНСКАЯ ОБЛАСТЬ, ГОРОД ПЕНЗА, УЛИЦА ТЕРНОВСКОГО, ДОМ 98А</t>
  </si>
  <si>
    <t>Борисочев Евгений Анатольевич</t>
  </si>
  <si>
    <t>penza@yandex.ru', 'PENZA@yandex.ru'</t>
  </si>
  <si>
    <t>58.014488,56.222266</t>
  </si>
  <si>
    <t>ОБЩЕСТВО С ОГРАНИЧЕННОЙ ОТВЕТСТВЕННОСТЬЮ "СК-БЕТОН"</t>
  </si>
  <si>
    <t xml:space="preserve"> "СК-БЕТОН"</t>
  </si>
  <si>
    <t>5902038178</t>
  </si>
  <si>
    <t>614990, ПЕРМСКИЙ КРАЙ, ГОРОД ПЕРМЬ, УЛИЦА ОКУЛОВА, ДОМ 18,..</t>
  </si>
  <si>
    <t>Лебедев Александр Михайлович</t>
  </si>
  <si>
    <t>+7 (912) 494-59-11'</t>
  </si>
  <si>
    <t>ОБЩЕСТВО С ОГРАНИЧЕННОЙ ОТВЕТСТВЕННОСТЬЮ "Торговый дом "Центр бетона"</t>
  </si>
  <si>
    <t xml:space="preserve"> "Торговый дом "Центр бетона"</t>
  </si>
  <si>
    <t>5902173931</t>
  </si>
  <si>
    <t>http://centrbetona.ru</t>
  </si>
  <si>
    <t>614058, ПЕРМСКИЙ КРАЙ, ГОРОД ПЕРМЬ, УЛИЦА ФОМИНСКАЯ, ДОМ 43, КОРПУС 2, ОФИС 1</t>
  </si>
  <si>
    <t>Селин Антон Юрьевич</t>
  </si>
  <si>
    <t>+7 (906) 889-28-74', '+7 (982) 470-22-97', '+7 (342) 270-12-02', '+7 (342) 238-85-10'</t>
  </si>
  <si>
    <t>58.008161,56.133126</t>
  </si>
  <si>
    <t>ОБЩЕСТВО С ОГРАНИЧЕННОЙ ОТВЕТСТВЕННОСТЬЮ  "СТРОЙКОНСАЛТИНГ"</t>
  </si>
  <si>
    <t xml:space="preserve">  "СТРОЙКОНСАЛТИНГ"</t>
  </si>
  <si>
    <t>5903036945</t>
  </si>
  <si>
    <t>Г ПЕРМЬ,УЛ 9 ЯНВАРЯ 20</t>
  </si>
  <si>
    <t xml:space="preserve"> Конкурсный Управляющий Мальцев Алексей Яковлевич</t>
  </si>
  <si>
    <t>58.038213,56.063956</t>
  </si>
  <si>
    <t>ОБЩЕСТВО С ОГРАНИЧЕННОЙ ОТВЕТСТВЕННОСТЬЮ "ЧестноБетон"</t>
  </si>
  <si>
    <t xml:space="preserve"> "ЧестноБетон"</t>
  </si>
  <si>
    <t>5903067693</t>
  </si>
  <si>
    <t>614023, ПЕРМСКИЙ КРАЙ, ГОРОД ПЕРМЬ, УЛИЦА ПРОМУЧАСТОК, ДОМ 40А</t>
  </si>
  <si>
    <t>Караваев Андрей Владимирович</t>
  </si>
  <si>
    <t>+7 (342) 247-21-66', '+7 (342) 246-10-61', '+7 (919) 712-61-77'</t>
  </si>
  <si>
    <t>58.00427,56.199844</t>
  </si>
  <si>
    <t>ОБЩЕСТВО С ОГРАНИЧЕННОЙ ОТВЕТСТВЕННОСТЬЮ "ПРОФ-БЕТОН"</t>
  </si>
  <si>
    <t xml:space="preserve"> "ПРОФ-БЕТОН"</t>
  </si>
  <si>
    <t>5903137380</t>
  </si>
  <si>
    <t>614068, ПЕРМСКИЙ КРАЙ, ГОРОД ПЕРМЬ, УЛИЦА ЛЕНИНА, ДОМ 102,..</t>
  </si>
  <si>
    <t>Смирнов Кирилл Владимирович</t>
  </si>
  <si>
    <t>+7 (922) 380-82-81', '+7 (342) 279-81-55', '+7 (342) 277-99-86', '+7 (922) 345-27-25'</t>
  </si>
  <si>
    <t>58.01169,56.182399</t>
  </si>
  <si>
    <t>ОБЩЕСТВО С ОГРАНИЧЕННОЙ ОТВЕТСТВЕННОСТЬЮ "БЕТОН ТОРГ"</t>
  </si>
  <si>
    <t xml:space="preserve"> "БЕТОН ТОРГ"</t>
  </si>
  <si>
    <t>5903143383</t>
  </si>
  <si>
    <t>614068, ПЕРМСКИЙ КРАЙ, ГОРОД ПЕРМЬ, УЛИЦА СЕРГЕЯ ДАНЩИНА, ДОМ 5, ЭТАЖ 2, ОФИС 217</t>
  </si>
  <si>
    <t>Зосимов Манолис Фомич</t>
  </si>
  <si>
    <t>MANOLIS_ZOSIMOV@MAIL.RU', 'b12k@mail.ru', 'ooobetontorg@mail.ru'</t>
  </si>
  <si>
    <t>57.964562,56.260893</t>
  </si>
  <si>
    <t>ОБЩЕСТВО С ОГРАНИЧЕННОЙ ОТВЕТСТВЕННОСТЬЮ "ТД СМК-БЕТОН"</t>
  </si>
  <si>
    <t xml:space="preserve"> "ТД СМК-БЕТОН"</t>
  </si>
  <si>
    <t>5904326083</t>
  </si>
  <si>
    <t>614025, ПЕРМСКИЙ КРАЙ, ГОРОД ПЕРМЬ, УЛИЦА ГЕРОЕВ ХАСАНА, ДОМ 64</t>
  </si>
  <si>
    <t>Томилов Владимир Анатольевич</t>
  </si>
  <si>
    <t>+7 (342) 205-59-32', '+7 (342) 205-57-62', '+7 (342) 286-55-96', '+7 (342) 271-00-35', '+7 (342) 246-30-68'</t>
  </si>
  <si>
    <t>beton@mail.ru', 'Dela_100@mail.ru'</t>
  </si>
  <si>
    <t>57.954874,56.264442</t>
  </si>
  <si>
    <t>Общество с ограниченной ответственностью "Торговый дом "ПЕРМСКИЙ БЕТОН"</t>
  </si>
  <si>
    <t xml:space="preserve"> "Торговый дом "ПЕРМСКИЙ БЕТОН"</t>
  </si>
  <si>
    <t>5904328010</t>
  </si>
  <si>
    <t>614025, ПЕРМСКИЙ КРАЙ, Г. ПЕРМЬ, УЛ. ГЕРОЕВ ХАСАНА, Д. 92, ЭТАЖ 3,ПОМЕЩЕНИЕ 4</t>
  </si>
  <si>
    <t>Липатова Евгения Олеговна</t>
  </si>
  <si>
    <t>+7 (342) 202-02-00', '+7 (342) 203-15-85', '+7 (919) 480-44-80', '+7 (912) 591-91-00', '+7 (912) 249-71-77'</t>
  </si>
  <si>
    <t>info@permbeton.com', 'v2020200@gmail.com', 'fin1@permbeton.com'</t>
  </si>
  <si>
    <t>58.005701,56.261082</t>
  </si>
  <si>
    <t>ОБЩЕСТВО С ОГРАНИЧЕННОЙ ОТВЕТСТВЕННОСТЬЮ "ПРОИЗВОДСТВЕННАЯ КОМПАНИЯ "БЕТОН#1"</t>
  </si>
  <si>
    <t xml:space="preserve"> "ПРОИЗВОДСТВЕННАЯ КОМПАНИЯ "БЕТОН#1"</t>
  </si>
  <si>
    <t>5904362042</t>
  </si>
  <si>
    <t>614007, ПЕРМСКИЙ КРАЙ, Г. ПЕРМЬ, УЛ. РЕВОЛЮЦИИ, Д. 20, ОФИС 712</t>
  </si>
  <si>
    <t>Хчоян Амаяк Амбарцумович</t>
  </si>
  <si>
    <t>+7 (922) 323-37-77'</t>
  </si>
  <si>
    <t>ОБЩЕСТВО С ОГРАНИЧЕННОЙ ОТВЕТСТВЕННОСТЬЮ "АКБ-Град"</t>
  </si>
  <si>
    <t xml:space="preserve"> "АКБ-Град"</t>
  </si>
  <si>
    <t>5905291570</t>
  </si>
  <si>
    <t>614058, Пермский край, г Пермь, ул Деревообделочная 8</t>
  </si>
  <si>
    <t>Зубов Алексей Валерьевич</t>
  </si>
  <si>
    <t>+7 (902) 794-42-53', '+7 (342) 201-95-95', '+7 (342) 203-95-95', '+7 (342) 203-99-03', '+7 (952) 321-18-74'</t>
  </si>
  <si>
    <t>57.969327,56.152952</t>
  </si>
  <si>
    <t>ОБЩЕСТВО С ОГРАНИЧЕННОЙ ОТВЕТСТВЕННОСТЬЮ ТОРГОВО-ПРОИЗВОДСТВЕННАЯ КОМПАНИЯ "АФИНА"</t>
  </si>
  <si>
    <t xml:space="preserve"> ТОРГОВО-ПРОИЗВОДСТВЕННАЯ КОМПАНИЯ "АФИНА"</t>
  </si>
  <si>
    <t>5905997084</t>
  </si>
  <si>
    <t>614065, Пермский край, г Пермь, шоссе Космонавтов 217-69</t>
  </si>
  <si>
    <t>Давыдов Владимир Аркадьевич</t>
  </si>
  <si>
    <t>+7 (902) 801-82-94', '+7 (342) 202-79-79', '+7 (342) 205-57-37'</t>
  </si>
  <si>
    <t>tpk@mail.ru'</t>
  </si>
  <si>
    <t>57.999415,56.202045</t>
  </si>
  <si>
    <t>ОБЩЕСТВО С ОГРАНИЧЕННОЙ ОТВЕТСТВЕННОСТЬЮ "СтройПоставка"</t>
  </si>
  <si>
    <t xml:space="preserve"> "СтройПоставка"</t>
  </si>
  <si>
    <t>5906114743</t>
  </si>
  <si>
    <t>614081, ПЕРМСКИЙ КРАЙ, город пермь, УЛИЦА КРОНШТАДТСКАЯ, ДОМ 51, ОФИС 1</t>
  </si>
  <si>
    <t>Негуляев Василий Алексеевич</t>
  </si>
  <si>
    <t>+7 (342) 294-15-77', '+7 (342) 288-84-53', '+7 (342) 205-78-09'</t>
  </si>
  <si>
    <t>58.094044,56.316059</t>
  </si>
  <si>
    <t>ОБЩЕСТВО С ОГРАНИЧЕННОЙ ОТВЕТСТВЕННОСТЬЮ "МОНОЛИТИНВЕСТ"</t>
  </si>
  <si>
    <t xml:space="preserve"> "МОНОЛИТИНВЕСТ"</t>
  </si>
  <si>
    <t>5907050919</t>
  </si>
  <si>
    <t>614030, ПЕРМСКИЙ КРАЙ, Г. Пермь, УЛ. НОВО-ГАЙВИНСКАЯ, К. 2, СТР. 100А, ОФИС 1</t>
  </si>
  <si>
    <t>Сырвачев Роман Алексеевич</t>
  </si>
  <si>
    <t>MONOLITINVEST159@MAIL.RU', 'unk2433088@mail.ru', 'h2024199@bk.ru'</t>
  </si>
  <si>
    <t>57.991192,55.935712</t>
  </si>
  <si>
    <t>ОБЩЕСТВО С ОГРАНИЧЕННОЙ ОТВЕТСТВЕННОСТЬЮ "БЕТОПЛАСТ"</t>
  </si>
  <si>
    <t xml:space="preserve"> "БЕТОПЛАСТ"</t>
  </si>
  <si>
    <t>5908037710</t>
  </si>
  <si>
    <t>614042, ПЕРМСКИЙ КРАЙ, ГОРОД ПЕРМЬ, УЛИЦА ГАЛЬПЕРИНА, ДОМ 6, КОРПУС 6, ОФИС 12Б</t>
  </si>
  <si>
    <t>Шагалов Максим Константинович</t>
  </si>
  <si>
    <t>+7 (342) 212-84-82', '+7 (922) 328-89-56', '+7 (922) 380-62-24', '+7 (912) 881-12-67', '+7 (342) 258-61-73'</t>
  </si>
  <si>
    <t>58.003007,56.109114</t>
  </si>
  <si>
    <t>ОБЩЕСТВО С ОГРАНИЧЕННОЙ ОТВЕТСТВЕННОСТЬЮ "ЖБКОЛЬЦА-ПЕРМЬ"</t>
  </si>
  <si>
    <t xml:space="preserve"> "ЖБКОЛЬЦА-ПЕРМЬ"</t>
  </si>
  <si>
    <t>5908072577</t>
  </si>
  <si>
    <t>614058, ПЕРМСКИЙ КРАЙ, Г. Пермь, УЛ. МАЯКОВСКОГО, Д. 48,..</t>
  </si>
  <si>
    <t>Репина Альбина Мухаммадовна</t>
  </si>
  <si>
    <t>+7 (963) 015-49-91', '+7 (902) 472-83-78', '+7 (342) 298-83-78'</t>
  </si>
  <si>
    <t>2988378@mail.ru'</t>
  </si>
  <si>
    <t>59.415871,56.777272</t>
  </si>
  <si>
    <t xml:space="preserve"> "УРАЛСТРОЙИНВЕСТ"</t>
  </si>
  <si>
    <t>5911053334</t>
  </si>
  <si>
    <t>618400, ПЕРМСКИЙ КРАЙ, ГОРОД БЕРЕЗНИКИ, УЛИЦА БЕРЕЗНИКОВСКАЯ, 89</t>
  </si>
  <si>
    <t>Завалишин Эдуард Валентинович</t>
  </si>
  <si>
    <t>+7 (902) 793-41-29', '+7 (951) 958-88-99', '+7 (952) 652-25-34'</t>
  </si>
  <si>
    <t>58.11406,57.797255</t>
  </si>
  <si>
    <t>ОБЩЕСТВО С ОГРАНИЧЕННОЙ ОТВЕТСТВЕННОСТЬЮ "Тамерлан"</t>
  </si>
  <si>
    <t xml:space="preserve"> "Тамерлан"</t>
  </si>
  <si>
    <t>5918213474</t>
  </si>
  <si>
    <t>618905, ПЕРМСКИЙ КРАЙ, ГОРОД ЛЫСЬВА, УЛИЦА СМЫШЛЯЕВА, 108, 27</t>
  </si>
  <si>
    <t>Уваров Сергей Владимирович</t>
  </si>
  <si>
    <t>+7 (902) 437-59-10', '+7 (902) 473-59-10', '+7 (950) 465-65-89'</t>
  </si>
  <si>
    <t>1978@MAIL.RU'</t>
  </si>
  <si>
    <t>59.423352,56.813887</t>
  </si>
  <si>
    <t>ОБЩЕСТВО С ОГРАНИЧЕННОЙ ОТВЕТСТВЕННОСТЬЮ "ЛЕС-ЭКСПОРТ"</t>
  </si>
  <si>
    <t xml:space="preserve"> "ЛЕС-ЭКСПОРТ"</t>
  </si>
  <si>
    <t>5919015884</t>
  </si>
  <si>
    <t>618400, ПЕРМСКИЙ КРАЙ, Г. Березники, УЛ. КАРЛА МАРКСА, Д. 103, ОФИС 3</t>
  </si>
  <si>
    <t>Грибинюков Игорь Владимирович</t>
  </si>
  <si>
    <t>59.697737,56.686812</t>
  </si>
  <si>
    <t>ОБЩЕСТВО С ОГРАНИЧЕННОЙ ОТВЕТСТВЕННОСТЬЮ "ЖБК СТРОЙ"</t>
  </si>
  <si>
    <t xml:space="preserve"> "ЖБК СТРОЙ"</t>
  </si>
  <si>
    <t>5919027826</t>
  </si>
  <si>
    <t>618548, ПЕРМСКИЙ КРАЙ, ГОРОД СОЛИКАМСК, УЛИЦА ВОЛОДАРСКОГО, ДОМ 5</t>
  </si>
  <si>
    <t>Антипин Анатолий Григорьевич</t>
  </si>
  <si>
    <t>+7 (902) 839-10-53'</t>
  </si>
  <si>
    <t>59.66673,56.750592</t>
  </si>
  <si>
    <t>ОБЩЕСТВО С ОГРАНИЧЕННОЙ ОТВЕТСТВЕННОСТЬЮ "БЕТОН 59"</t>
  </si>
  <si>
    <t xml:space="preserve"> "БЕТОН 59"</t>
  </si>
  <si>
    <t>5919031371</t>
  </si>
  <si>
    <t>Пермский край, СОЛИКАМСКИЙ, Г СОЛИКАМСК, УЛ ВСЕОБУЧА, Д. 99/1</t>
  </si>
  <si>
    <t>Андрусик Юлия Владимировна</t>
  </si>
  <si>
    <t>58.101692,54.666653</t>
  </si>
  <si>
    <t>ОБЩЕСТВО С ОГРАНИЧЕННОЙ ОТВЕТСТВЕННОСТЬЮ "ВЕРЕЩАГИНСКИЙ БЕТОН"</t>
  </si>
  <si>
    <t xml:space="preserve"> "ВЕРЕЩАГИНСКИЙ БЕТОН"</t>
  </si>
  <si>
    <t>5933998763</t>
  </si>
  <si>
    <t>617120, ПЕРМСКИЙ КРАЙ, РАЙОН ВЕРЕЩАГИНСКИЙ, ГОРОД ВЕРЕЩАГИНО, УЛИЦА СЛАВЯНСКАЯ, ДОМ 39</t>
  </si>
  <si>
    <t>Сухоруков Игорь Александрович</t>
  </si>
  <si>
    <t>+7 (908) 242-93-57'</t>
  </si>
  <si>
    <t>ver_beton@rambler.ru'</t>
  </si>
  <si>
    <t>ОБЩЕСТВО С ОГРАНИЧЕННОЙ ОТВЕТСТВЕННОСТЬЮ "РекомСтрой"</t>
  </si>
  <si>
    <t xml:space="preserve"> "РекомСтрой"</t>
  </si>
  <si>
    <t>5947020117</t>
  </si>
  <si>
    <t>614053, ПЕРМСКИЙ КРАЙ, ГОРОД ПЕРМЬ, УЛИЦА ВОСТОЧНЫЙ ОБХОД, ДОМ 82, ОФИС 3</t>
  </si>
  <si>
    <t>Арутюнян Манук Камоевич</t>
  </si>
  <si>
    <t>+7 (342) 238-75-43', '+7 (342) 238-75-44', '+7 (342) 238-75-66', '+7 (952) 328-99-07', '+7 (342) 238-75-43'</t>
  </si>
  <si>
    <t>rekomstroy@bk.ru', 'bsuplusolga@yandex.ru'</t>
  </si>
  <si>
    <t>58.012348,56.064342</t>
  </si>
  <si>
    <t>ОБЩЕСТВО С ОГРАНИЧЕННОЙ ОТВЕТСТВЕННОСТЬЮ "Пермский Бетонный Завод"</t>
  </si>
  <si>
    <t xml:space="preserve"> "Пермский Бетонный Завод"</t>
  </si>
  <si>
    <t>5948043332</t>
  </si>
  <si>
    <t>614506, Пермский край, Пермский район, д Берег Камы, д 37/3</t>
  </si>
  <si>
    <t>Ронжин Сергей Витальевич</t>
  </si>
  <si>
    <t>+7 (342) 234-78-34', '+7 (952) 317-37-74', '+7 (952) 294-24-97', '+7 (902) 802-70-26'</t>
  </si>
  <si>
    <t>2942497@gmail.com'</t>
  </si>
  <si>
    <t>57.953413,56.100293</t>
  </si>
  <si>
    <t>ОБЩЕСТВО С ОГРАНИЧЕННОЙ ОТВЕТСТВЕННОСТЬЮ "БЕТОННЫЙ ЗАВОД "ВЕГА"</t>
  </si>
  <si>
    <t xml:space="preserve"> "БЕТОННЫЙ ЗАВОД "ВЕГА"</t>
  </si>
  <si>
    <t>5948046397</t>
  </si>
  <si>
    <t>614500, ПЕРМСКИЙ КРАЙ, РАЙОН ПЕРМСКИЙ, ДЕРЕВНЯ ХМЕЛИ, ШОССЕ КОСМОНАВТОВ, ДОМ 320Б, КОРПУС 3, ОФИС 1</t>
  </si>
  <si>
    <t>Капитонов Александр Викторович</t>
  </si>
  <si>
    <t>+7 (342) 271-04-08', '+7 (342) 270-01-99', '+7 (966) 792-18-78', '+7 (902) 792-97-43', '+7 (950) 448-36-24'</t>
  </si>
  <si>
    <t>vegabeton@mail.ru'</t>
  </si>
  <si>
    <t>57.85706,56.30518</t>
  </si>
  <si>
    <t>ОБЩЕСТВО С ОГРАНИЧЕННОЙ ОТВЕТСТВЕННОСТЬЮ "БЕТОННЫЙ ЗАВОД ЛОБАНОВО"</t>
  </si>
  <si>
    <t xml:space="preserve"> "БЕТОННЫЙ ЗАВОД ЛОБАНОВО"</t>
  </si>
  <si>
    <t>5948063240</t>
  </si>
  <si>
    <t>614532, ПЕРМСКИЙ КРАЙ, Р-Н Пермский, С. Лобаново, УЛ. ЦЕНТРАЛЬНАЯ, Д. 92Д</t>
  </si>
  <si>
    <t>Мадосян Артур Ларвендиевич</t>
  </si>
  <si>
    <t>LOBANOVO126@MAIL.RU'</t>
  </si>
  <si>
    <t>56.343947,30.520971</t>
  </si>
  <si>
    <t>ОБЩЕСТВО С ОГРАНИЧЕННОЙ ОТВЕТСТВЕННОСТЬЮ "ТЕХНОЛОГИИ РЕМОНТ СТРОИТЕЛЬСТВО"</t>
  </si>
  <si>
    <t xml:space="preserve"> "ТЕХНОЛОГИИ РЕМОНТ СТРОИТЕЛЬСТВО"</t>
  </si>
  <si>
    <t>6025038374</t>
  </si>
  <si>
    <t>http://teresvl.ru</t>
  </si>
  <si>
    <t>182113, ПСКОВСКАЯ ОБЛАСТЬ, Г. ВЕЛИКИЕ ЛУКИ, ПР-КТ ЛЕНИНА, Д.37,..</t>
  </si>
  <si>
    <t>Рассадовский Алексей Михайлович</t>
  </si>
  <si>
    <t>57.795768,28.365832</t>
  </si>
  <si>
    <t>ОБЩЕСТВО С ОГРАНИЧЕННОЙ ОТВЕТСТВЕННОСТЬЮ "Строительно-монтажное управление № 100"</t>
  </si>
  <si>
    <t xml:space="preserve"> "Строительно-монтажное управление № 100"</t>
  </si>
  <si>
    <t>6027131650</t>
  </si>
  <si>
    <t>180004, ПСКОВСКАЯ ОБЛАСТЬ, Г. ПСКОВ, УЛ. ДЕКАБРИСТОВ, Д.19</t>
  </si>
  <si>
    <t>Красотин Александр Михайлович</t>
  </si>
  <si>
    <t>47.084058,39.510098</t>
  </si>
  <si>
    <t>ОБЩЕСТВО С ОГРАНИЧЕННОЙ ОТВЕТСТВЕННОСТЬЮ "ТОПБЕТОН"</t>
  </si>
  <si>
    <t xml:space="preserve"> "ТОПБЕТОН"</t>
  </si>
  <si>
    <t>6101002012</t>
  </si>
  <si>
    <t>346748, РОСТОВСКАЯ ОБЛ, АЗОВСКИЙ Р-Н, НОВОАЛЕКСАНДРОВКА Х, ЧАПАЕВА ПЕР, ДОМ 4</t>
  </si>
  <si>
    <t>Ключкина Татьяна Климентьевна</t>
  </si>
  <si>
    <t>+7 (928) 138-95-37'</t>
  </si>
  <si>
    <t>leilaalim@mail.ru'</t>
  </si>
  <si>
    <t>46.944748,39.696606</t>
  </si>
  <si>
    <t>ОБЩЕСТВО С ОГРАНИЧЕННОЙ ОТВЕТСТВЕННОСТЬЮ "СТРАТУС"</t>
  </si>
  <si>
    <t xml:space="preserve"> "СТРАТУС"</t>
  </si>
  <si>
    <t>6101004193</t>
  </si>
  <si>
    <t>346751, РОСТОВСКАЯ ОБЛ, АЗОВСКИЙ Р-Н, САМАРСКОЕ С, СЕВЕРНАЯ УЛ, ДОМ 65</t>
  </si>
  <si>
    <t>Стаценко Валерий Александрович</t>
  </si>
  <si>
    <t>ctratuc@yandex.ru'</t>
  </si>
  <si>
    <t>47.274634,39.862705</t>
  </si>
  <si>
    <t>ОБЩЕСТВО С ОГРАНИЧЕННОЙ ОТВЕТСТВЕННОСТЬЮ "АБСОЛЮТ БЕТОН АВТО СТРОЙ"</t>
  </si>
  <si>
    <t xml:space="preserve"> "АБСОЛЮТ БЕТОН АВТО СТРОЙ"</t>
  </si>
  <si>
    <t>6102032884</t>
  </si>
  <si>
    <t>346720, РОСТОВСКАЯ ОБЛ, АКСАЙСКИЙ Р-Н, АКСАЙ Г, ЛЕНИНА ПР-КТ, ДОМ 43/9, ОФИС 5</t>
  </si>
  <si>
    <t>Литвинов Вячеслав Владимирович</t>
  </si>
  <si>
    <t>+7 (903) 434-13-84', '+7 (863) 248-60-50'</t>
  </si>
  <si>
    <t>47.32599,39.913531</t>
  </si>
  <si>
    <t>ОБЩЕСТВО С ОГРАНИЧЕННОЙ ОТВЕТСТВЕННОСТЬЮ "АКСАЙСКИЙ БЕТОННЫЙ ЗАВОД"</t>
  </si>
  <si>
    <t xml:space="preserve"> "АКСАЙСКИЙ БЕТОННЫЙ ЗАВОД"</t>
  </si>
  <si>
    <t>6102065872</t>
  </si>
  <si>
    <t>346710, РОСТОВСКАЯ ОБЛ, АКСАЙСКИЙ Р-Н, БОЛЬШОЙ ЛОГ Х, ФАДЕЕВА УЛ, ДОМ 294Б, КОРПУС 1</t>
  </si>
  <si>
    <t>Зотов Александр Михайлович</t>
  </si>
  <si>
    <t>+7 (960) 466-10-40', '+7 (919) 872-83-63'</t>
  </si>
  <si>
    <t>47.379968,39.892304</t>
  </si>
  <si>
    <t>ОБЩЕСТВО С ОГРАНИЧЕННОЙ ОТВЕТСТВЕННОСТЬЮ "ДОН МОНОЛИТ БЕТОН"</t>
  </si>
  <si>
    <t xml:space="preserve"> "ДОН МОНОЛИТ БЕТОН"</t>
  </si>
  <si>
    <t>6102070985</t>
  </si>
  <si>
    <t>346719, РОСТОВСКАЯ ОБЛ, АКСАЙСКИЙ Р-Н, КРАСНЫЙ П, ПРОМЫШЛЕННАЯ УЛ, УЧ-К 4А</t>
  </si>
  <si>
    <t>Мхитарян Аркадья Самвелович</t>
  </si>
  <si>
    <t>+7 (952) 609-88-88'</t>
  </si>
  <si>
    <t>47.585018,38.8764</t>
  </si>
  <si>
    <t>ОБЩЕСТВО С ОГРАНИЧЕННОЙ ОТВЕТСТВЕННОСТЬЮ "КОМСТРОЙБЕТОН"</t>
  </si>
  <si>
    <t xml:space="preserve"> "КОМСТРОЙБЕТОН"</t>
  </si>
  <si>
    <t>6119015196</t>
  </si>
  <si>
    <t>346970, РОСТОВСКАЯ ОБЛАСТЬ, МАТВЕЕВО-КУРГАНСКИЙ РАЙОН, ПОСЕЛОК МАТВЕЕВ КУРГАН, УЛИЦА ПРОМЫШЛЕННАЯ, ДОМ 2</t>
  </si>
  <si>
    <t>Надолинский Денис Евгеньевич</t>
  </si>
  <si>
    <t>ОБЩЕСТВО С ОГРАНИЧЕННОЙ ОТВЕТСТВЕННОСТЬЮ "КСМ - ПАРТНЕР"</t>
  </si>
  <si>
    <t xml:space="preserve"> "КСМ - ПАРТНЕР"</t>
  </si>
  <si>
    <t>6122010529</t>
  </si>
  <si>
    <t>346800, РОСТОВСКАЯ ОБЛАСТЬ, Р-Н МЯСНИКОВСКИЙ, С ЧАЛТЫРЬ, УЛ. РОСТОВСКАЯ, Д.53, К.А</t>
  </si>
  <si>
    <t>Манхаян Ованес Павлович</t>
  </si>
  <si>
    <t>47.308317,39.487182</t>
  </si>
  <si>
    <t>ОБЩЕСТВО С ОГРАНИЧЕННОЙ ОТВЕТСТВЕННОСТЬЮ "РОСТОВБЕТОНСТРОЙ"</t>
  </si>
  <si>
    <t xml:space="preserve"> "РОСТОВБЕТОНСТРОЙ"</t>
  </si>
  <si>
    <t>6122010649</t>
  </si>
  <si>
    <t>346800, РОСТОВСКАЯ ОБЛАСТЬ, Р-Н МЯСНИКОВСКИЙ, с Чалтырь, ТЕР ЮГО-ВОСТОЧНАЯ ПРОМЗОНА, УЧ 9/4</t>
  </si>
  <si>
    <t>Абдулкадиров Шихабудин Абдулкадирович</t>
  </si>
  <si>
    <t>+7 (903) 403-45-06', '+7 (863) 206-11-41', '+7 (961) 273-52-77'</t>
  </si>
  <si>
    <t>47.296811,39.513691</t>
  </si>
  <si>
    <t>ОБЩЕСТВО С ОГРАНИЧЕННОЙ ОТВЕТСТВЕННОСТЬЮ "ЭМЕРЛИНК-БЕТОН"</t>
  </si>
  <si>
    <t xml:space="preserve"> "ЭМЕРЛИНК-БЕТОН"</t>
  </si>
  <si>
    <t>6122019754</t>
  </si>
  <si>
    <t>346812, РОСТОВСКАЯ ОБЛАСТЬ, МЯСНИКОВСКИЙ РАЙОН, СЕЛО КРЫМ, УЛИЦА ЛЕНИНА, ДОМ 4</t>
  </si>
  <si>
    <t>Тирацуян Дмитрий Геворкович</t>
  </si>
  <si>
    <t>47.661553,40.174941</t>
  </si>
  <si>
    <t>ОБЩЕСТВО С ОГРАНИЧЕННОЙ ОТВЕТСТВЕННОСТЬЮ "БВТ"</t>
  </si>
  <si>
    <t xml:space="preserve"> "БВТ"</t>
  </si>
  <si>
    <t>6125032560</t>
  </si>
  <si>
    <t>346481, РОСТОВСКАЯ ОБЛ, ОКТЯБРЬСКИЙ Р-Н, ЗАРЕЧНЫЙ Х, ПРОМЫШЛЕННАЯ УЛ, ДОМ 1, ОФИС 1</t>
  </si>
  <si>
    <t>Денисов Александр Сергеевич</t>
  </si>
  <si>
    <t>+7 (928) 776-40-80', '+7 (928) 770-02-82'</t>
  </si>
  <si>
    <t>47.08877,39.381783</t>
  </si>
  <si>
    <t>ОБЩЕСТВО С ОГРАНИЧЕННОЙ ОТВЕТСТВЕННОСТЬЮ ПРОИЗВОДСТВЕННО-СТРОИТЕЛЬНАЯ КОМПАНИЯ "АВАЛОН"</t>
  </si>
  <si>
    <t xml:space="preserve"> ПРОИЗВОДСТВЕННО-СТРОИТЕЛЬНАЯ КОМПАНИЯ "АВАЛОН"</t>
  </si>
  <si>
    <t>6140026391</t>
  </si>
  <si>
    <t>346780, РОСТОВСКАЯ ОБЛ, АЗОВ Г, КАГАЛЬНИЦКОЕ Ш, ДОМ 1</t>
  </si>
  <si>
    <t>Садовова Наталья Владимировна</t>
  </si>
  <si>
    <t>ОБЩЕСТВО С ОГРАНИЧЕННОЙ ОТВЕТСТВЕННОСТЬЮ "Юг-бетон+"</t>
  </si>
  <si>
    <t xml:space="preserve"> "Юг-бетон+"</t>
  </si>
  <si>
    <t>6141043551</t>
  </si>
  <si>
    <t>346884, РОСТОВСКАЯ ОБЛ, БАТАЙСК Г, КОМАРОВА УЛ, 131, А, 6</t>
  </si>
  <si>
    <t>Арабачян Нвер Саядович</t>
  </si>
  <si>
    <t>+7 (918) 893-09-25'</t>
  </si>
  <si>
    <t>47.138554,39.708563</t>
  </si>
  <si>
    <t>ОБЩЕСТВО С ОГРАНИЧЕННОЙ ОТВЕТСТВЕННОСТЬЮ "БЕТОНДА"</t>
  </si>
  <si>
    <t xml:space="preserve"> "БЕТОНДА"</t>
  </si>
  <si>
    <t>6141058692</t>
  </si>
  <si>
    <t>346888, Ростовская область, ГОРОД БАТАЙСК, Г БАТАЙСК, УЛ М.ГОРЬКОГО, ЗД. 372</t>
  </si>
  <si>
    <t>Куцый Екатерина Викторовна</t>
  </si>
  <si>
    <t>DA@MAIL.RU'</t>
  </si>
  <si>
    <t>47.360213,39.875964</t>
  </si>
  <si>
    <t>ОБЩЕСТВО С ОГРАНИЧЕННОЙ ОТВЕТСТВЕННОСТЬЮ "САН ЛАВЕР +"</t>
  </si>
  <si>
    <t xml:space="preserve"> "САН ЛАВЕР +"</t>
  </si>
  <si>
    <t>6143077394</t>
  </si>
  <si>
    <t>346735, Ростовская область, муниципальный район АКСАЙСКИЙ, П РАССВЕТ, сельское поселение РАССВЕТОВСКОЕ, УЛ КОМСОМОЛЬСКАЯ, ЗД. 47Б, ПОМЕЩ. 6</t>
  </si>
  <si>
    <t>Енчев Евгений Сергеевич</t>
  </si>
  <si>
    <t>+7 (928) 124-20-35'</t>
  </si>
  <si>
    <t>47.489414,42.163686</t>
  </si>
  <si>
    <t>ОБЩЕСТВО С ОГРАНИЧЕННОЙ ОТВЕТСТВЕННОСТЬЮ "АСФАЛЬТНО-БЕТОННЫЙ ЗАВОД +"</t>
  </si>
  <si>
    <t xml:space="preserve"> "АСФАЛЬТНО-БЕТОННЫЙ ЗАВОД +"</t>
  </si>
  <si>
    <t>6143085677</t>
  </si>
  <si>
    <t>347360, РОСТОВСКАЯ ОБЛАСТЬ, Г. ВОЛГОДОНСК, Ш. РОСТОВСКОЕ, Д. 1</t>
  </si>
  <si>
    <t>Гринько Андрей Васильевич</t>
  </si>
  <si>
    <t>+7 (928) 126-67-40'</t>
  </si>
  <si>
    <t>zotovaliuba@yandex.ru'</t>
  </si>
  <si>
    <t>48.325074,40.233107</t>
  </si>
  <si>
    <t>ОБЩЕСТВО С ОГРАНИЧЕННОЙ ОТВЕТСТВЕННОСТЬЮ "КОМАНДОР"</t>
  </si>
  <si>
    <t xml:space="preserve"> "КОМАНДОР"</t>
  </si>
  <si>
    <t>6147029200</t>
  </si>
  <si>
    <t>347800, РОСТОВСКАЯ ОБЛАСТЬ, Г. КАМЕНСК-ШАХТИНСКИЙ, УЛ. ЗАВОДСКАЯ, Д.51</t>
  </si>
  <si>
    <t>Лобова Ольга Петровна</t>
  </si>
  <si>
    <t>+7 (928) 108-96-45', '+7 (863) 652-00-81', '+7 (863) 652-01-68', '+7 (960) 462-54-82'</t>
  </si>
  <si>
    <t>48.306697,40.242638</t>
  </si>
  <si>
    <t xml:space="preserve"> "ПИРАМИДА"</t>
  </si>
  <si>
    <t>6147037956</t>
  </si>
  <si>
    <t>347803, РОСТОВСКАЯ ОБЛ, КАМЕНСК-ШАХТИНСКИЙ Г, ЗАПАДНАЯ УЛ, 2, В</t>
  </si>
  <si>
    <t>Николаева Инна Дмитриевна</t>
  </si>
  <si>
    <t>+7 (863) 655-13-57', '+7 (961) 302-60-40'</t>
  </si>
  <si>
    <t>irina19102006@yandex.ru', 'irina19102006@yandex.ru'</t>
  </si>
  <si>
    <t>48.323133,40.274043</t>
  </si>
  <si>
    <t>ОБЩЕСТВО С ОГРАНИЧЕННОЙ ОТВЕТСТВЕННОСТЬЮ «ТИГАРБО БЕТОН»</t>
  </si>
  <si>
    <t xml:space="preserve"> «ТИГАРБО БЕТОН»</t>
  </si>
  <si>
    <t>6147039777</t>
  </si>
  <si>
    <t>347810, РОСТОВСКАЯ ОБЛАСТЬ, ГОРОД КАМЕНСК-ШАХТИНСКИЙ, ПЕРЕУЛОК КРУПСКОЙ, ДОМ 51, ПОМЕЩЕНИЕ 11</t>
  </si>
  <si>
    <t>Геворкян Роберт Эдвардович</t>
  </si>
  <si>
    <t>+7 (863) 657-02-65', '+7 (903) 488-08-88', '+7 (909) 415-55-88'</t>
  </si>
  <si>
    <t>48.300602,40.30561</t>
  </si>
  <si>
    <t>ОБЩЕСТВО С ОГРАНИЧЕННОЙ ОТВЕТСТВЕННОСТЬЮ "ТИГАРБО БЕТОН КАМЕНСК"</t>
  </si>
  <si>
    <t xml:space="preserve"> "ТИГАРБО БЕТОН КАМЕНСК"</t>
  </si>
  <si>
    <t>6147040807</t>
  </si>
  <si>
    <t>347800, РОСТОВСКАЯ ОБЛ, КАМЕНСК-ШАХТИНСКИЙ Г, НАРОДНАЯ УЛ, ДОМ 25Б</t>
  </si>
  <si>
    <t>Арушанов Борис Сергеевич</t>
  </si>
  <si>
    <t>+7 (863) 654-20-58', '+7 (928) 110-08-31'</t>
  </si>
  <si>
    <t>46.493631,41.522747</t>
  </si>
  <si>
    <t>ОБЩЕСТВО С ОГРАНИЧЕННОЙ ОТВЕТСТВЕННОСТЬЮ "ВОДРЕМСТРОЙ"</t>
  </si>
  <si>
    <t xml:space="preserve"> "ВОДРЕМСТРОЙ"</t>
  </si>
  <si>
    <t>6153006956</t>
  </si>
  <si>
    <t>347639, РОСТОВСКАЯ ОБЛ, САЛЬСКИЙ Р-Н, САЛЬСК Г, СМИРНОВА УЛ, ДОМ 43</t>
  </si>
  <si>
    <t>Ложниченко Валерий Викторович</t>
  </si>
  <si>
    <t>+7 (863) 727-05-10', '+7 (863) 727-00-28'</t>
  </si>
  <si>
    <t>salskvrs@rambler.ru'</t>
  </si>
  <si>
    <t>46.470845,41.560215</t>
  </si>
  <si>
    <t>ОБЩЕСТВО С ОГРАНИЧЕННОЙ ОТВЕТСТВЕННОСТЬЮ "САЛЬСКИЙ РБУ"</t>
  </si>
  <si>
    <t xml:space="preserve"> "САЛЬСКИЙ РБУ"</t>
  </si>
  <si>
    <t>6153008745</t>
  </si>
  <si>
    <t>347632, РОСТОВСКАЯ ОБЛ., Сальский Р-Н, Г. Сальск, УЛ. ПРОМЫШЛЕННАЯ, Д. 2/2</t>
  </si>
  <si>
    <t>Супрычева Ольга Витальевна</t>
  </si>
  <si>
    <t>47.24788,38.877361</t>
  </si>
  <si>
    <t>ОБЩЕСТВО С ОГРАНИЧЕННОЙ ОТВЕТСТВЕННОСТЬЮ "АКРАС-БЕТОН"</t>
  </si>
  <si>
    <t xml:space="preserve"> "АКРАС-БЕТОН"</t>
  </si>
  <si>
    <t>6154085950</t>
  </si>
  <si>
    <t>РОСТОВСКАЯ ОБЛ.,Г ТАГАНРОГ,УЛ МЕНДЕЛЕЕВА, 117</t>
  </si>
  <si>
    <t>Мирошниченко Ирина Павловна</t>
  </si>
  <si>
    <t>47.224422,38.857265</t>
  </si>
  <si>
    <t>ОБЩЕСТВО С ОГРАНИЧЕННОЙ ОТВЕТСТВЕННОСТЬЮ "ТАГАНБЕТОНСТРОЙ"</t>
  </si>
  <si>
    <t xml:space="preserve"> "ТАГАНБЕТОНСТРОЙ"</t>
  </si>
  <si>
    <t>6154153270</t>
  </si>
  <si>
    <t>347933, РОСТОВСКАЯ ОБЛАСТЬ, ГОРОД ТАГАНРОГ, УЛИЦА СЫЗРАНОВА, ДОМ 25, КОРПУС 4, КОМНАТА 1</t>
  </si>
  <si>
    <t>Лазарев Александр Олегович</t>
  </si>
  <si>
    <t>tag@mail.ru'</t>
  </si>
  <si>
    <t>ОБЩЕСТВО С ОГРАНИЧЕННОЙ ОТВЕТСТВЕННОСТЬЮ "РОСТОВСТАЛЬБЕТОН"</t>
  </si>
  <si>
    <t xml:space="preserve"> "РОСТОВСТАЛЬБЕТОН"</t>
  </si>
  <si>
    <t>6155069430</t>
  </si>
  <si>
    <t>346519, РОСТОВСКАЯ ОБЛАСТЬ, ГОРОД ШАХТЫ, УЛИЦА ЧАПЛЫГИНА, 54</t>
  </si>
  <si>
    <t>Белоозеров Алексей Евгеньевич</t>
  </si>
  <si>
    <t>+7 (918) 528-40-04'</t>
  </si>
  <si>
    <t>Chikova@remzltd.ru'</t>
  </si>
  <si>
    <t>47.282673,39.499157</t>
  </si>
  <si>
    <t>ОБЩЕСТВО С ОГРАНИЧЕННОЙ ОТВЕТСТВЕННОСТЬЮ "БЕТОНВЕРК"</t>
  </si>
  <si>
    <t xml:space="preserve"> "БЕТОНВЕРК"</t>
  </si>
  <si>
    <t>6155077141</t>
  </si>
  <si>
    <t>346800, РОСТОВСКАЯ ОБЛАСТЬ, Р-Н МЯСНИКОВСКИЙ, С ЧАЛТЫРЬ, ТЕРРИТОРИЯ ЮГО-ВОСТОЧНАЯ ПРОМЗОНА, Д. 9/4</t>
  </si>
  <si>
    <t>Ключко Борис Сергеевич</t>
  </si>
  <si>
    <t>+7 (961) 293-35-49', '+7 (863) 298-90-10', '+7 (863) 625-60-22', '+7 (863) 622-14-18'</t>
  </si>
  <si>
    <t>47.725381,40.225984</t>
  </si>
  <si>
    <t>ОБЩЕСТВО С ОГРАНИЧЕННОЙ ОТВЕТСТВЕННОСТЬЮ "БЕТОНВЕРК ЛТД"</t>
  </si>
  <si>
    <t xml:space="preserve"> "БЕТОНВЕРК ЛТД"</t>
  </si>
  <si>
    <t>6155078699</t>
  </si>
  <si>
    <t>346513, РОСТОВСКАЯ ОБЛАСТЬ, ГОРОД ШАХТЫ, ПЕРЕУЛОК ШИШКИНА, ДОМ 162, ОФИС 241</t>
  </si>
  <si>
    <t>Ступка Тимур Альбертович</t>
  </si>
  <si>
    <t>+7 (918) 517-11-10', '+7 (908) 504-04-56'</t>
  </si>
  <si>
    <t>45.057174,41.995521</t>
  </si>
  <si>
    <t>ОБЩЕСТВО С ОГРАНИЧЕННОЙ ОТВЕТСТВЕННОСТЬЮ "Барин"</t>
  </si>
  <si>
    <t xml:space="preserve"> "Барин"</t>
  </si>
  <si>
    <t>6161060700</t>
  </si>
  <si>
    <t>355008, СТАВРОПОЛЬСКИЙ КРАЙ, Г СТАВРОПОЛЬ, УЛ ГРАЖДАНСКАЯ, Д 8, ОФИС 502</t>
  </si>
  <si>
    <t>Магомедов Арсен Исаевич</t>
  </si>
  <si>
    <t>+7 (928) 197-18-95'</t>
  </si>
  <si>
    <t>47.663871,40.425526</t>
  </si>
  <si>
    <t>6161071660</t>
  </si>
  <si>
    <t>РОСТОВСКАЯ ОБЛ.,ОКТЯБРЬСКИЙ Р-Н,П НОВОЗАРЯНСКИЙ,УЛ КАЛИНИНА, 28</t>
  </si>
  <si>
    <t>Кравченко Андрей Витальевич</t>
  </si>
  <si>
    <t>+7 (928) 447-50-56', '+7 (988) 144-44-77', '+7 (918) 407-88-10'</t>
  </si>
  <si>
    <t>47.254057,39.729242</t>
  </si>
  <si>
    <t xml:space="preserve"> "КОМБИНАТ СТРОИТЕЛЬНЫХ МАТЕРИАЛОВ"</t>
  </si>
  <si>
    <t>6161092966</t>
  </si>
  <si>
    <t>344038, РОСТОВСКАЯ ОБЛАСТЬ, ГОРОД РОСТОВ-НА-ДОНУ, УЛИЦА НОВАТОРОВ, ДОМ 11, ОФИС 1</t>
  </si>
  <si>
    <t>Потанин Александр Анатольевич</t>
  </si>
  <si>
    <t>47.218522,38.850627</t>
  </si>
  <si>
    <t>ОБЩЕСТВО С ОГРАНИЧЕННОЙ ОТВЕТСТВЕННОСТЬЮ "РБУ 22"</t>
  </si>
  <si>
    <t xml:space="preserve"> "РБУ 22"</t>
  </si>
  <si>
    <t>6163214754</t>
  </si>
  <si>
    <t>347933, РОСТОВСКАЯ ОБЛАСТЬ, ГОРОД ТАГАНРОГ, УЛИЦА СЕРГЕЯ ШИЛО, ДОМ 265, КОРПУС В, ОФИС 47</t>
  </si>
  <si>
    <t>Погорелов Юрий Николаевич</t>
  </si>
  <si>
    <t>47.227837,39.720663</t>
  </si>
  <si>
    <t>ОБЩЕСТВО С ОГРАНИЧЕННОЙ ОТВЕТСТВЕННОСТЬЮ «КАМЕННОЕ СОЛНЦЕ-3»</t>
  </si>
  <si>
    <t xml:space="preserve"> «КАМЕННОЕ СОЛНЦЕ-3»</t>
  </si>
  <si>
    <t>6163218822</t>
  </si>
  <si>
    <t>344006, РОСТОВСКАЯ ОБЛАСТЬ, ГОРОД РОСТОВ-НА-ДОНУ, УЛИЦА МАКСИМА ГОРЬКОГО, ДОМ 148, ЛИТЕРА Б, КОМНАТА 200</t>
  </si>
  <si>
    <t>Урожай Марина Борисовна</t>
  </si>
  <si>
    <t>47.219703,39.710773</t>
  </si>
  <si>
    <t>ОБЩЕСТВО С ОГРАНИЧЕННОЙ ОТВЕТСТВЕННОСТЬЮ  "СПЕЦМОНОЛИТСТРОЙ"</t>
  </si>
  <si>
    <t xml:space="preserve">  "СПЕЦМОНОЛИТСТРОЙ"</t>
  </si>
  <si>
    <t>6164101915</t>
  </si>
  <si>
    <t>Г РОСТОВ-НА-ДОНУ,ПЕР СОБОРНЫЙ, 21</t>
  </si>
  <si>
    <t>Имамедов Абдулла Имамедович</t>
  </si>
  <si>
    <t>+7 (863) 240-35-46', '+7 (928) 229-00-53', '+7 (863) 210-02-25', '+7 (928) 229-46-06', '+7 (863) 210-02-24', '+7 (863) 210-02-26', '+7 (863) 240-80-38'</t>
  </si>
  <si>
    <t>specmonolit1@rambler.ru', 'specmonolit1@mail.ru'</t>
  </si>
  <si>
    <t>47.205545,39.71009</t>
  </si>
  <si>
    <t>ОБЩЕСТВО С ОГРАНИЧЕННОЙ ОТВЕТСТВЕННОСТЬЮ «ТОРГОВЫЙ ДВОР «БЕРЕГ»</t>
  </si>
  <si>
    <t xml:space="preserve"> «ТОРГОВЫЙ ДВОР «БЕРЕГ»</t>
  </si>
  <si>
    <t>6164123588</t>
  </si>
  <si>
    <t>344002, РОСТОВСКАЯ ОБЛ, РОСТОВ-НА-ДОНУ Г, ШОССЕЙНАЯ УЛ, ДОМ 47, КОРПУС Г, ОФИС 26</t>
  </si>
  <si>
    <t>Богза Сергей Сергеевич</t>
  </si>
  <si>
    <t>47.218381,39.703523</t>
  </si>
  <si>
    <t>ОБЩЕСТВО С ОГРАНИЧЕННОЙ ОТВЕТСТВЕННОСТЬЮ "ДИМИКС"</t>
  </si>
  <si>
    <t xml:space="preserve"> "ДИМИКС"</t>
  </si>
  <si>
    <t>6164311197</t>
  </si>
  <si>
    <t>344082, РОСТОВСКАЯ ОБЛАСТЬ, Г. РОСТОВ-НА-ДОНУ, УЛ. ШАУМЯНА, Д. 30,..</t>
  </si>
  <si>
    <t>Заковоротний Михаил Вадимович</t>
  </si>
  <si>
    <t>+7 (863) 229-47-79', '+7 (908) 507-42-41', '+7 (863) 240-30-90', '+7 (918) 553-26-83', '+7 (928) 296-35-67'</t>
  </si>
  <si>
    <t>mizak@mail.ru', 'buh89085074241@mail.ru'</t>
  </si>
  <si>
    <t>47.269132,39.685449</t>
  </si>
  <si>
    <t>ОБЩЕСТВО С ОГРАНИЧЕННОЙ ОТВЕТСТВЕННОСТЬЮ СВР "БЕТОН"</t>
  </si>
  <si>
    <t xml:space="preserve"> СВР "БЕТОН"</t>
  </si>
  <si>
    <t>6165219275</t>
  </si>
  <si>
    <t>344064, РОСТОВСКАЯ ОБЛ, РОСТОВ-НА-ДОНУ Г, ВАВИЛОВА УЛ, ДОМ 58, ОФИС 309 А</t>
  </si>
  <si>
    <t>Васильев Валерий Евгеньевич</t>
  </si>
  <si>
    <t>47.275221,39.660395</t>
  </si>
  <si>
    <t>ОБЩЕСТВО С ОГРАНИЧЕННОЙ ОТВЕТСТВЕННОСТЬЮ "АЮТАБЕТОНСТРОЙ"</t>
  </si>
  <si>
    <t xml:space="preserve"> "АЮТАБЕТОНСТРОЙ"</t>
  </si>
  <si>
    <t>6165226233</t>
  </si>
  <si>
    <t>344069, РОСТОВСКАЯ ОБЛАСТЬ, Г. РОСТОВ-НА-ДОНУ, УЛ. ОГАНОВА, Д. 37, ЛИТЕР Г, ОФИС 2А</t>
  </si>
  <si>
    <t>Пятибратова Лариса Васильевна</t>
  </si>
  <si>
    <t>qalyizgr@yandex.ru'</t>
  </si>
  <si>
    <t>47.264014,39.775137</t>
  </si>
  <si>
    <t>ОБЩЕСТВО С ОГРАНИЧЕННОЙ ОТВЕТСТВЕННОСТЬЮ "КОМБИНАТ СТРОИТЕЛЬНЫХ МАТЕРИАЛОВ "РЕМСТРОЙСЕРВИС"</t>
  </si>
  <si>
    <t xml:space="preserve"> "КОМБИНАТ СТРОИТЕЛЬНЫХ МАТЕРИАЛОВ "РЕМСТРОЙСЕРВИС"</t>
  </si>
  <si>
    <t>6166001433</t>
  </si>
  <si>
    <t>http://ksm-rss.ru</t>
  </si>
  <si>
    <t>Г РОСТОВ-НА-ДОНУ,УЛ КУРЧАТОВА, 1 А</t>
  </si>
  <si>
    <t>Иващенко Александр Васильевич</t>
  </si>
  <si>
    <t>+7 (863) 254-34-47', '+7 (863) 290-84-09', '+7 (863) 220-49-78', '+7 (863) 227-84-08', '+7 (863) 290-84-09'</t>
  </si>
  <si>
    <t>47.244417,39.757072</t>
  </si>
  <si>
    <t>ОБЩЕСТВО С ОГРАНИЧЕННОЙ ОТВЕТСТВЕННОСТЬЮ ТОРГОВО-ПРОИЗВОДСТВЕННАЯ КОМПАНИЯ "ИДЕАЛ-ЛЮКС"</t>
  </si>
  <si>
    <t xml:space="preserve"> ТОРГОВО-ПРОИЗВОДСТВЕННАЯ КОМПАНИЯ "ИДЕАЛ-ЛЮКС"</t>
  </si>
  <si>
    <t>6166102713</t>
  </si>
  <si>
    <t>344029, РОСТОВСКАЯ ОБЛ, РОСТОВ-НА-ДОНУ Г, 1-Й КОННОЙ АРМИИ УЛ, ДОМ 1Б, ОФИС 8</t>
  </si>
  <si>
    <t>Котляров Андрей Викторович</t>
  </si>
  <si>
    <t>kotlnastya@yandex.ru'</t>
  </si>
  <si>
    <t>47.28172,39.763225</t>
  </si>
  <si>
    <t xml:space="preserve"> "БЕТОН-ЮГ"</t>
  </si>
  <si>
    <t>6166110714</t>
  </si>
  <si>
    <t>344065, РОСТОВСКАЯ ОБЛ, РОСТОВ-НА-ДОНУ Г, ВЯТСКАЯ УЛ, ДОМ 61, КОМНАТА 7</t>
  </si>
  <si>
    <t>Омельченко Вячеслав Александрович</t>
  </si>
  <si>
    <t>+7 (863) 279-90-29', '+7 (863) 279-95-09'</t>
  </si>
  <si>
    <t>47.265004,39.774355</t>
  </si>
  <si>
    <t>ОБЩЕСТВО С ОГРАНИЧЕННОЙ ОТВЕТСТВЕННОСТЬЮ "КОМБИНАТ СТРОИТЕЛЬНЫХ МАТЕРИАЛОВ "МОНОЛИТСТРОЙ"</t>
  </si>
  <si>
    <t xml:space="preserve"> "КОМБИНАТ СТРОИТЕЛЬНЫХ МАТЕРИАЛОВ "МОНОЛИТСТРОЙ"</t>
  </si>
  <si>
    <t>6166114162</t>
  </si>
  <si>
    <t>344020, РОСТОВСКАЯ ОБЛ, РОСТОВ-НА-ДОНУ Г, КУРЧАТОВА УЛ, ДОМ 1Д, ОФИС 3</t>
  </si>
  <si>
    <t>47.298864,39.771023</t>
  </si>
  <si>
    <t>ОБЩЕСТВО С ОГРАНИЧЕННОЙ ОТВЕТСТВЕННОСТЬЮ "МОНОЛИТ 161"</t>
  </si>
  <si>
    <t xml:space="preserve"> "МОНОЛИТ 161"</t>
  </si>
  <si>
    <t>6166121427</t>
  </si>
  <si>
    <t>344065, РОСТОВСКАЯ ОБЛ., Г. Ростов-на-Дону, УЛ. КАСКАДНАЯ, Д. 158/1, ОФИС 1</t>
  </si>
  <si>
    <t>Цой Алексей Ермолаевич</t>
  </si>
  <si>
    <t>161@YANDEX.RU'</t>
  </si>
  <si>
    <t>47.242417,39.834848</t>
  </si>
  <si>
    <t>ОБЩЕСТВО С ОГРАНИЧЕННОЙ ОТВЕТСТВЕННОСТЬЮ "ЮГ СТРОЙ"</t>
  </si>
  <si>
    <t xml:space="preserve"> "ЮГ СТРОЙ"</t>
  </si>
  <si>
    <t>6167199000</t>
  </si>
  <si>
    <t>344111, РОСТОВСКАЯ ОБЛАСТЬ, Г. РОСТОВ-НА-ДОНУ, ПР-КТ 40-ЛЕТИЯ ПОБЕДЫ, Д. 99, ЛИТЕР А, КОМ. 11</t>
  </si>
  <si>
    <t>Кочубеев Василий Викторович</t>
  </si>
  <si>
    <t>47.220315,39.717842</t>
  </si>
  <si>
    <t>ОБЩЕСТВО С ОГРАНИЧЕННОЙ ОТВЕТСТВЕННОСТЬЮ "СК "АДМИРАЛ"</t>
  </si>
  <si>
    <t xml:space="preserve"> "СК "АДМИРАЛ"</t>
  </si>
  <si>
    <t>6168077702</t>
  </si>
  <si>
    <t>344002, Ростовская область, городской округ ГОРОД РОСТОВ-НА-ДОНУ, Город РОСТОВ-НА-ДОНУ, УЛ СЕРАФИМОВИЧА, Д. 92, ОФИС 1 (1 ЭТАЖ)</t>
  </si>
  <si>
    <t>Бессмертный Александр Валерьевич</t>
  </si>
  <si>
    <t>+7 (961) 291-08-15', '+7 (938) 102-44-80'</t>
  </si>
  <si>
    <t>47.226729,39.598124</t>
  </si>
  <si>
    <t>ОБЩЕСТВО С ОГРАНИЧЕННОЙ ОТВЕТСТВЕННОСТЬЮ "КСМ-15"</t>
  </si>
  <si>
    <t xml:space="preserve"> "КСМ-15"</t>
  </si>
  <si>
    <t>6168109256</t>
  </si>
  <si>
    <t>344000, РОСТОВСКАЯ ОБЛ, РОСТОВ-НА-ДОНУ Г, ТКАЧЕВА УЛ, ДОМ 14, ОФИС 27</t>
  </si>
  <si>
    <t>Николаев Олег Владимирович</t>
  </si>
  <si>
    <t>47.208857,39.637722</t>
  </si>
  <si>
    <t>ОБЩЕСТВО С ОГРАНИЧЕННОЙ ОТВЕТСТВЕННОСТЬЮ «БЕТОНПРОМ»</t>
  </si>
  <si>
    <t xml:space="preserve"> «БЕТОНПРОМ»</t>
  </si>
  <si>
    <t>6168111311</t>
  </si>
  <si>
    <t>344058, РОСТОВСКАЯ ОБЛАСТЬ, ГОРОД РОСТОВ-НА-ДОНУ, ПРОСПЕКТ КОММУНИСТИЧЕСКИЙ, ДОМ 20/4, КОМНАТА 7</t>
  </si>
  <si>
    <t>47.197458,39.612174</t>
  </si>
  <si>
    <t>ОБЩЕСТВО С ОГРАНИЧЕННОЙ ОТВЕТСТВЕННОСТЬЮ "БЕТОН ЮГ 161"</t>
  </si>
  <si>
    <t xml:space="preserve"> "БЕТОН ЮГ 161"</t>
  </si>
  <si>
    <t>6168112019</t>
  </si>
  <si>
    <t>344033, РОСТОВСКАЯ ОБЛАСТЬ, ГОРОД РОСТОВ-НА-ДОНУ, УЛИЦА ПЕСКОВА, ДОМ 1/7, ОФИС 7-9</t>
  </si>
  <si>
    <t>Полуботко Виктор Владимирович</t>
  </si>
  <si>
    <t>ОБЩЕСТВО С ОГРАНИЧЕННОЙ ОТВЕТСТВЕННОСТЬЮ "АЛАР"</t>
  </si>
  <si>
    <t xml:space="preserve"> "АЛАР"</t>
  </si>
  <si>
    <t>6226013637</t>
  </si>
  <si>
    <t>391306, РЯЗАНСКАЯ ОБЛ., Г. Касимов, УЛ. СЕВЕРНАЯ, ЗД. 5В</t>
  </si>
  <si>
    <t>54.577665,39.747316</t>
  </si>
  <si>
    <t xml:space="preserve"> "ЛИДЕР СТРОЙ"</t>
  </si>
  <si>
    <t>6230092529</t>
  </si>
  <si>
    <t>390011, РЯЗАНСКАЯ ОБЛАСТЬ, Г. РЯЗАНЬ, Р-Н ЮЖНЫЙ ПРОМУЗЕЛ, Д. 10, СТР. 1, ОФИС 36</t>
  </si>
  <si>
    <t>Клеутин Игорь Иванович</t>
  </si>
  <si>
    <t>+7 (906) 649-16-61'</t>
  </si>
  <si>
    <t>lider62@gmail.com', 'ls_abz@mail.ru'</t>
  </si>
  <si>
    <t>54.588069,39.780482</t>
  </si>
  <si>
    <t>ОБЩЕСТВО С ОГРАНИЧЕННОЙ ОТВЕТСТВЕННОСТЬЮ "НАУЧНО-ПРОИЗВОДСТВЕННОЕ ПРЕДПРИЯТИЕ "ДОМ СЕРВИС И М"</t>
  </si>
  <si>
    <t xml:space="preserve"> "НАУЧНО-ПРОИЗВОДСТВЕННОЕ ПРЕДПРИЯТИЕ "ДОМ СЕРВИС И М"</t>
  </si>
  <si>
    <t>6230107542</t>
  </si>
  <si>
    <t>390047, РЯЗАНСКАЯ ОБЛ, РЯЗАНЬ Г, СВЯЗИ УЛ, ДОМ 29, ЛИТЕРА А, ПОМ/ОФИС Н2/5</t>
  </si>
  <si>
    <t>Фахриев Александр Сергеевич</t>
  </si>
  <si>
    <t>+7 (960) 571-12-48', '+7 (910) 902-46-67'</t>
  </si>
  <si>
    <t>54.557976,39.829126</t>
  </si>
  <si>
    <t>ОБЩЕСТВО С ОГРАНИЧЕННОЙ ОТВЕТСТВЕННОСТЬЮ "АС-БЕТОН"</t>
  </si>
  <si>
    <t xml:space="preserve"> "АС-БЕТОН"</t>
  </si>
  <si>
    <t>6230118495</t>
  </si>
  <si>
    <t>390000, РЯЗАНСКАЯ ОБЛАСТЬ, ГОРОД РЯЗАНЬ, РАЙОН ВОСТОЧНЫЙ ПРОМУЗЕЛ, СООРУЖЕНИЕ 47/1, ОФИС 7</t>
  </si>
  <si>
    <t>Криворотов Константин Владимирович</t>
  </si>
  <si>
    <t>54.369586,41.950964</t>
  </si>
  <si>
    <t xml:space="preserve"> "ВОЗРОЖДЕНИЕ"</t>
  </si>
  <si>
    <t>6232009332</t>
  </si>
  <si>
    <t>391434, РЯЗАНСКАЯ ОБЛАСТЬ, Г. САСОВО, ПР-Д ПРОМЫШЛЕННЫЙ, Д. 11</t>
  </si>
  <si>
    <t>Дзюба Сергей Владимирович</t>
  </si>
  <si>
    <t>+7 (910) 641-15-46'</t>
  </si>
  <si>
    <t>voqrojdenie@mail.ru'</t>
  </si>
  <si>
    <t>ОБЩЕСТВО С ОГРАНИЧЕННОЙ ОТВЕТСТВЕННОСТЬЮ "БЕТОННО-СМЕСИТЕЛЬНЫЙ ЦЕХ-1"</t>
  </si>
  <si>
    <t xml:space="preserve"> "БЕТОННО-СМЕСИТЕЛЬНЫЙ ЦЕХ-1"</t>
  </si>
  <si>
    <t>6234002942</t>
  </si>
  <si>
    <t>Г РЯЗАНЬ,УЛ ЧКАЛОВА, Д 21</t>
  </si>
  <si>
    <t>54.63154,39.774418</t>
  </si>
  <si>
    <t>ОБЩЕСТВО С ОГРАНИЧЕННОЙ ОТВЕТСТВЕННОСТЬЮ "БЕТОНОСМЕСИТЕЛЬНЫЕ ТЕХНОЛОГИИ"</t>
  </si>
  <si>
    <t xml:space="preserve"> "БЕТОНОСМЕСИТЕЛЬНЫЕ ТЕХНОЛОГИИ"</t>
  </si>
  <si>
    <t>6234123400</t>
  </si>
  <si>
    <t>390006, РЯЗАНСКАЯ ОБЛАСТЬ, Г. РЯЗАНЬ, Ш. СОЛОТЧИНСКОЕ, Д. 2, ПОМЕЩ. Н8</t>
  </si>
  <si>
    <t>Хрульков Дмитрий Павлович</t>
  </si>
  <si>
    <t>+7 (930) 782-05-05', '+7 (910) 901-49-69'</t>
  </si>
  <si>
    <t>sekretar@beton62.ru'</t>
  </si>
  <si>
    <t>54.602658,39.76787</t>
  </si>
  <si>
    <t>ОБЩЕСТВО С ОГРАНИЧЕННОЙ ОТВЕТСТВЕННОСТЬЮ "БЕТОН 777"</t>
  </si>
  <si>
    <t xml:space="preserve"> "БЕТОН 777"</t>
  </si>
  <si>
    <t>6234166732</t>
  </si>
  <si>
    <t>390047, РЯЗАНСКАЯ ОБЛАСТЬ, Г. РЯЗАНЬ, Ш. КУЙБЫШЕВСКОЕ, Д. 25, СТР. 18, ОФИС 1</t>
  </si>
  <si>
    <t>Петрова Анастасия Дмитриевна</t>
  </si>
  <si>
    <t>+7 (910) 616-57-92'</t>
  </si>
  <si>
    <t>54.634151,39.747945</t>
  </si>
  <si>
    <t>ОБЩЕСТВО С ОГРАНИЧЕННОЙ ОТВЕТСТВЕННОСТЬЮ "М-БЕТОН62"</t>
  </si>
  <si>
    <t xml:space="preserve"> "М-БЕТОН62"</t>
  </si>
  <si>
    <t>6234184040</t>
  </si>
  <si>
    <t>390000, РЯЗАНСКАЯ ОБЛАСТЬ, Г. РЯЗАНЬ, ПЛ. СОБОРНАЯ, Д. 9, ЛИТЕРА А, ПОМ/ОФИС Н18/3</t>
  </si>
  <si>
    <t>Минбулатов Руслан Ахмедович</t>
  </si>
  <si>
    <t>+7 (980) 560-74-11'</t>
  </si>
  <si>
    <t>54.632509,39.749194</t>
  </si>
  <si>
    <t>6234200380</t>
  </si>
  <si>
    <t>390000, Рязанская область, ГОРОД РЯЗАНЬ, Г РЯЗАНЬ, УЛ НОВОСЛОБОДСКАЯ, Д. 20А</t>
  </si>
  <si>
    <t>Серегин Вячеслав Викторович</t>
  </si>
  <si>
    <t>53.177014,50.164531</t>
  </si>
  <si>
    <t>ОБЩЕСТВО С ОГРАНИЧЕННОЙ ОТВЕТСТВЕННОСТЬЮ "ФАБРИКА КАЧЕСТВЕННОГО БЕТОНА"</t>
  </si>
  <si>
    <t xml:space="preserve"> "ФАБРИКА КАЧЕСТВЕННОГО БЕТОНА"</t>
  </si>
  <si>
    <t>6311161185</t>
  </si>
  <si>
    <t>443017, САМАРСКАЯ ОБЛАСТЬ, Г. САМАРА, УЛ. НОВО-УРИЦКАЯ, Д. 85, ОФИС 1</t>
  </si>
  <si>
    <t>Скоркин Михаил Владимирович</t>
  </si>
  <si>
    <t>+7 (846) 979-67-92', '+7 (846) 277-14-27'</t>
  </si>
  <si>
    <t>53.225975,50.177951</t>
  </si>
  <si>
    <t>ОБЩЕСТВО С ОГРАНИЧЕННОЙ ОТВЕТСТВЕННОСТЬЮ "БЕТОННО-РАСТВОРНЫЙ ЗАВОД"СТРОЙБЕТОН"</t>
  </si>
  <si>
    <t xml:space="preserve"> "БЕТОННО-РАСТВОРНЫЙ ЗАВОД"СТРОЙБЕТОН"</t>
  </si>
  <si>
    <t>6311172194</t>
  </si>
  <si>
    <t>443011, САМАРСКАЯ ОБЛАСТЬ, ГОРОД САМАРА, УЛИЦА АКАДЕМИКА ПАВЛОВА, ДОМ 35 / 12, КОМНАТА 1</t>
  </si>
  <si>
    <t>Богомолов Сергей Петрович</t>
  </si>
  <si>
    <t>53.192215,50.168842</t>
  </si>
  <si>
    <t>ОБЩЕСТВО С ОГРАНИЧЕННОЙ ОТВЕТСТВЕННОСТЬЮ "ПБ САМАРСКИЙ БЕТОН"</t>
  </si>
  <si>
    <t xml:space="preserve"> "ПБ САМАРСКИЙ БЕТОН"</t>
  </si>
  <si>
    <t>6311173328</t>
  </si>
  <si>
    <t>443093, САМАРСКАЯ ОБЛАСТЬ, ГОРОД САМАРА, УЛИЦА ПАРТИЗАНСКАЯ, ДОМ 80А,..</t>
  </si>
  <si>
    <t>Самарин Данил Михайлович</t>
  </si>
  <si>
    <t>+7 (927) 903-03-07', '+7 (937) 065-15-14'</t>
  </si>
  <si>
    <t>53.178304,50.161117</t>
  </si>
  <si>
    <t>ОБЩЕСТВО С ОГРАНИЧЕННОЙ ОТВЕТСТВЕННОСТЬЮ "БСУ-163"</t>
  </si>
  <si>
    <t xml:space="preserve"> "БСУ-163"</t>
  </si>
  <si>
    <t>6311187708</t>
  </si>
  <si>
    <t>443017, САМАРСКАЯ ОБЛАСТЬ, ГОРОД САМАРА, УЛИЦА НОВОУРИЦКАЯ, ДОМ 33, ЛИТЕР А, ОФИС 7</t>
  </si>
  <si>
    <t>Юдин Сергей Матвеевич</t>
  </si>
  <si>
    <t>53.25521,50.280719</t>
  </si>
  <si>
    <t>ОБЩЕСТВО С ОГРАНИЧЕННОЙ ОТВЕТСТВЕННОСТЬЮ "БЕТОЛИТ"</t>
  </si>
  <si>
    <t xml:space="preserve"> "БЕТОЛИТ"</t>
  </si>
  <si>
    <t>6312173401</t>
  </si>
  <si>
    <t>443098, САМАРСКАЯ ОБЛАСТЬ, Г. САМАРА, ПР-КТ КАРЛА МАРКСА, Д. 495, ЭТАЖ 2</t>
  </si>
  <si>
    <t>Чапаев Марат Ряхимович</t>
  </si>
  <si>
    <t>betolit17@list.ru'</t>
  </si>
  <si>
    <t>53.252964,50.333351</t>
  </si>
  <si>
    <t xml:space="preserve"> "СТРОЙАВТО"</t>
  </si>
  <si>
    <t>6312196688</t>
  </si>
  <si>
    <t>443050, САМАРСКАЯ ОБЛАСТЬ, ГОРОД САМАРА, ПОСЕЛОК ЗУБЧАНИНОВКА, УЛИЦА ОКТЯБРЬСКАЯ, ДОМ 125Б</t>
  </si>
  <si>
    <t>Василькин Геннадий Анатольевич</t>
  </si>
  <si>
    <t>yashina@yandex.ru'</t>
  </si>
  <si>
    <t>53.201499,50.139827</t>
  </si>
  <si>
    <t xml:space="preserve"> "СТРОЙКОМПЛЕКТ"</t>
  </si>
  <si>
    <t>6312201948</t>
  </si>
  <si>
    <t>443096, САМАРСКАЯ ОБЛ., Г. Самара, УЛ. ДАЧНАЯ, Д. 7,..</t>
  </si>
  <si>
    <t>Пупченко Галина Петровна</t>
  </si>
  <si>
    <t>53.217829,50.221906</t>
  </si>
  <si>
    <t>ОБЩЕСТВО С ОГРАНИЧЕННОЙ ОТВЕТСТВЕННОСТЬЮ "ПРОМГРУПП"</t>
  </si>
  <si>
    <t xml:space="preserve"> "ПРОМГРУПП"</t>
  </si>
  <si>
    <t>6312203085</t>
  </si>
  <si>
    <t>443016, Самарская область, городской округ САМАРА, Город САМАРА, внутригородской район городского округа ПРОМЫШЛЕННЫЙ, УЛ 22 ПАРТСЪЕЗДА, Д. 45, ОФИС 403/1</t>
  </si>
  <si>
    <t>Станчу Виталий Валерьевич</t>
  </si>
  <si>
    <t>53.239811,50.296951</t>
  </si>
  <si>
    <t xml:space="preserve"> "СТРОЙПЛЮС"</t>
  </si>
  <si>
    <t>6312213485</t>
  </si>
  <si>
    <t>443044, Самарская область, САМАРА, 4 КИРОВСКИЙ, П ЗУБЧАНИНОВКА, УЛ ТОВАРНАЯ, ВЛД. 25А</t>
  </si>
  <si>
    <t>Кормаков Николай Николаевич</t>
  </si>
  <si>
    <t>53.127397,50.10985</t>
  </si>
  <si>
    <t>ОБЩЕСТВО С ОГРАНИЧЕННОЙ ОТВЕТСТВЕННОСТЬЮ "РБУ-КРЯЖСКОЕ"</t>
  </si>
  <si>
    <t xml:space="preserve"> "РБУ-КРЯЖСКОЕ"</t>
  </si>
  <si>
    <t>6314037274</t>
  </si>
  <si>
    <t>443101, Самарская область, г Самара, ул Утевская, д 28, стр 8, офис 2</t>
  </si>
  <si>
    <t>Батищева Анна Ивановна</t>
  </si>
  <si>
    <t>+7 (846) 244-09-43'</t>
  </si>
  <si>
    <t>tlt@bg63.ru'</t>
  </si>
  <si>
    <t>53.113854,50.064108</t>
  </si>
  <si>
    <t>Общество с ограниченной ответственностью "СБК"</t>
  </si>
  <si>
    <t xml:space="preserve"> "СБК"</t>
  </si>
  <si>
    <t>6314041305</t>
  </si>
  <si>
    <t>443004, Самарская область, г Самара, ул Грозненская, д 13, комн 1</t>
  </si>
  <si>
    <t>Кульнев Андрей Сергеевич</t>
  </si>
  <si>
    <t>samarabk@list.ru'</t>
  </si>
  <si>
    <t>53.114714,50.056059</t>
  </si>
  <si>
    <t>ОБЩЕСТВО С ОГРАНИЧЕННОЙ ОТВЕТСТВЕННОСТЬЮ "ВОЛГАПРОДБЕТОН"</t>
  </si>
  <si>
    <t xml:space="preserve"> "ВОЛГАПРОДБЕТОН"</t>
  </si>
  <si>
    <t>6314045660</t>
  </si>
  <si>
    <t>443033, САМАРСКАЯ ОБЛАСТЬ, ГОРОД САМАРА, УЛИЦА ЗАВОДСКАЯ, ДОМ 9, ОФИС 2</t>
  </si>
  <si>
    <t>Корпич Дмитрий Сергеевич</t>
  </si>
  <si>
    <t>53.240603,50.265555</t>
  </si>
  <si>
    <t>ОБЩЕСТВО С ОГРАНИЧЕННОЙ ОТВЕТСТВЕННОСТЬЮ "Дортехстрой"</t>
  </si>
  <si>
    <t xml:space="preserve"> "Дортехстрой"</t>
  </si>
  <si>
    <t>6315649537</t>
  </si>
  <si>
    <t>443098, САМАРСКАЯ ОБЛАСТЬ, Г. САМАРА, УЛ. ЕЛИЗАРОВА, Д.101, ЛИТЕР А, КОМНАТА 8</t>
  </si>
  <si>
    <t>Черепанов Глеб Борисович</t>
  </si>
  <si>
    <t>+7 (927) 695-76-64'</t>
  </si>
  <si>
    <t>tds2011@rambler.ru'</t>
  </si>
  <si>
    <t>53.08648,49.959769</t>
  </si>
  <si>
    <t>Общество с ограниченной ответственностью "ВМ ГРУПП"</t>
  </si>
  <si>
    <t xml:space="preserve"> "ВМ ГРУПП"</t>
  </si>
  <si>
    <t>6316180738</t>
  </si>
  <si>
    <t>САМАРСКАЯ ОБЛ.,Г НОВОКУЙБЫШЕВСК,УЛ ДЗЕРЖИНСКОГО, Д 6</t>
  </si>
  <si>
    <t>Арутюнян Артур Карапетович</t>
  </si>
  <si>
    <t>+7 (987) 948-48-26', '+7 (927) 784-33-33'</t>
  </si>
  <si>
    <t>ОБЩЕСТВО С ОГРАНИЧЕННОЙ ОТВЕТСТВЕННОСТЬЮ "ПЛАСТ-ДЕКОР"</t>
  </si>
  <si>
    <t xml:space="preserve"> "ПЛАСТ-ДЕКОР"</t>
  </si>
  <si>
    <t>6316205213</t>
  </si>
  <si>
    <t>443096, САМАРСКАЯ ОБЛАСТЬ, ГОРОД САМАРА, УЛИЦА МИЧУРИНА, ДОМ 52, ОФИС 220-15</t>
  </si>
  <si>
    <t>+7 (846) 225-15-77'</t>
  </si>
  <si>
    <t>sattis@list.ru'</t>
  </si>
  <si>
    <t>53.228843,50.179074</t>
  </si>
  <si>
    <t>ОБЩЕСТВО С ОГРАНИЧЕННОЙ ОТВЕТСТВЕННОСТЬЮ "БЕТОН3000"</t>
  </si>
  <si>
    <t xml:space="preserve"> "БЕТОН3000"</t>
  </si>
  <si>
    <t>6316222265</t>
  </si>
  <si>
    <t>443011, САМАРСКАЯ ОБЛ, САМАРА Г, УЛ НОВО-САДОВАЯ, Д 247 С, ОФИС 2</t>
  </si>
  <si>
    <t>Осипов Сергей Иванович</t>
  </si>
  <si>
    <t>alesae@mail.ru'</t>
  </si>
  <si>
    <t>53.213154,50.161153</t>
  </si>
  <si>
    <t>ОБЩЕСТВО С ОГРАНИЧЕННОЙ ОТВЕТСТВЕННОСТЬЮ "ТРАСТЛТД"</t>
  </si>
  <si>
    <t xml:space="preserve"> "ТРАСТЛТД"</t>
  </si>
  <si>
    <t>6316270050</t>
  </si>
  <si>
    <t>443056, САМАРСКАЯ ОБЛ., Г. Самара, УЛ. МИЧУРИНА, Д. 139,..</t>
  </si>
  <si>
    <t>Салфетин Дмитрий Евгеньевич</t>
  </si>
  <si>
    <t>BOLTOWA@YANDEX.RU'</t>
  </si>
  <si>
    <t>53.188141,50.083691</t>
  </si>
  <si>
    <t>ОБЩЕСТВО С ОГРАНИЧЕННОЙ ОТВЕТСТВЕННОСТЬЮ "ЗАВОД СТАЛЬНЫХ ШПУНТОВЫХ КОНСТРУКЦИЙ № 2"</t>
  </si>
  <si>
    <t xml:space="preserve"> "ЗАВОД СТАЛЬНЫХ ШПУНТОВЫХ КОНСТРУКЦИЙ № 2"</t>
  </si>
  <si>
    <t>6317107106</t>
  </si>
  <si>
    <t>443099, САМАРСКАЯ ОБЛАСТЬ, Г. САМАРА, УЛ. АЛЕКСЕЯ ТОЛСТОГО, Д. 100, КОМ. 23</t>
  </si>
  <si>
    <t>Гасанов Малик Салимсултанович</t>
  </si>
  <si>
    <t>zsshk@yandex.ru'</t>
  </si>
  <si>
    <t>53.194276,50.240699</t>
  </si>
  <si>
    <t>ОБЩЕСТВО С ОГРАНИЧЕННОЙ ОТВЕТСТВЕННОСТЬЮ "ЦЕНТРБЕТОН"</t>
  </si>
  <si>
    <t xml:space="preserve"> "ЦЕНТРБЕТОН"</t>
  </si>
  <si>
    <t>6318017060</t>
  </si>
  <si>
    <t>443022, САМАРСКАЯ ОБЛАСТЬ, ГОРОД САМАРА, ШОССЕ ЗАВОДСКОЕ, ДОМ 101, ОФИС 208</t>
  </si>
  <si>
    <t>Исхаков Илгиз Фаритович</t>
  </si>
  <si>
    <t>+7 (937) 204-27-88'</t>
  </si>
  <si>
    <t>centrbeton@bk.ru'</t>
  </si>
  <si>
    <t>53.187855,50.244022</t>
  </si>
  <si>
    <t>ОБЩЕСТВО С ОГРАНИЧЕННОЙ ОТВЕТСТВЕННОСТЬЮ "ПРОИЗВОДСТВЕННАЯ КОМПАНИЯ "ЭТАЛОН-СТРОЙ"</t>
  </si>
  <si>
    <t xml:space="preserve"> "ПРОИЗВОДСТВЕННАЯ КОМПАНИЯ "ЭТАЛОН-СТРОЙ"</t>
  </si>
  <si>
    <t>6318025294</t>
  </si>
  <si>
    <t>443022, САМАРСКАЯ ОБЛАСТЬ, Г. САМАРА, ПР-Д МАЛЬЦЕВА, Д. 4, ОФИС 313</t>
  </si>
  <si>
    <t>Савекин Владислав Алексеевич</t>
  </si>
  <si>
    <t>burosamara163@mail.ru'</t>
  </si>
  <si>
    <t>53.210689,50.17319</t>
  </si>
  <si>
    <t>ОБЩЕСТВО С ОГРАНИЧЕННОЙ ОТВЕТСТВЕННОСТЬЮ "МОБИЛЬНЫЕ БЕТОННЫЕ ТЕХНОЛОГИИ"</t>
  </si>
  <si>
    <t xml:space="preserve"> "МОБИЛЬНЫЕ БЕТОННЫЕ ТЕХНОЛОГИИ"</t>
  </si>
  <si>
    <t>6318032608</t>
  </si>
  <si>
    <t>443086, Самарская область, городской округ САМАРА, Город САМАРА, внутригородской район городского округа ОКТЯБРЬСКИЙ, УЛ РЕВОЛЮЦИОННАЯ, Д. 56,..</t>
  </si>
  <si>
    <t>Сонин Иван Александрович</t>
  </si>
  <si>
    <t>+7 (927) 720-03-21', '+7 (846) 989-10-50'</t>
  </si>
  <si>
    <t>53.1985,50.202907</t>
  </si>
  <si>
    <t xml:space="preserve"> "СПУТНИК"</t>
  </si>
  <si>
    <t>6318065547</t>
  </si>
  <si>
    <t>443067, САМАРСКАЯ ОБЛ., Г. Самара, ПР-Д СРЕДНИЙ, Д. 30, ОФИС 1Б</t>
  </si>
  <si>
    <t>Яшин Александр Сергеевич</t>
  </si>
  <si>
    <t>53.228805,50.261962</t>
  </si>
  <si>
    <t>ОБЩЕСТВО С ОГРАНИЧЕННОЙ ОТВЕТСТВЕННОСТЬЮ "БЕТОН-М""</t>
  </si>
  <si>
    <t xml:space="preserve"> "БЕТОН-М""</t>
  </si>
  <si>
    <t>6318149910</t>
  </si>
  <si>
    <t>443034, САМАРСКАЯ ОБЛ., Г. Самара, УЛ. ЮБИЛЕЙНАЯ, Д. 53А, ПОМЕЩ. 8 ОФИС 805</t>
  </si>
  <si>
    <t>Видманов Андрей Борисович</t>
  </si>
  <si>
    <t>+7 (846) 267-30-60'</t>
  </si>
  <si>
    <t>53.251251,50.259644</t>
  </si>
  <si>
    <t>ОБЩЕСТВО С ОГРАНИЧЕННОЙ ОТВЕТСТВЕННОСТЬЮ "СтройТехРесурс"</t>
  </si>
  <si>
    <t xml:space="preserve"> "СтройТехРесурс"</t>
  </si>
  <si>
    <t>6318230060</t>
  </si>
  <si>
    <t>443106, САМАРСКАЯ ОБЛАСТЬ, ГОРОД САМАРА, УЛИЦА АЛМА-АТИНСКАЯ, ДОМ 114,..</t>
  </si>
  <si>
    <t>Винокуров Валерий Геннадьевич</t>
  </si>
  <si>
    <t>+7 (919) 808-06-16'</t>
  </si>
  <si>
    <t>shiryaeva@gmail.com'</t>
  </si>
  <si>
    <t>53.185508,50.161422</t>
  </si>
  <si>
    <t>ОБЩЕСТВО С ОГРАНИЧЕННОЙ ОТВЕТСТВЕННОСТЬЮ"САМАРСКИЙ ТРУБНЫЙ ЗАВОД"</t>
  </si>
  <si>
    <t>"САМАРСКИЙ ТРУБНЫЙ ЗАВОД"</t>
  </si>
  <si>
    <t>6319194263</t>
  </si>
  <si>
    <t>443082, САМАРСКАЯ ОБЛАСТЬ, ГОРОД САМАРА, УЛИЦА КЛИНИЧЕСКАЯ, ДОМ 212, КОРПУС Г, КОМНАТА 301</t>
  </si>
  <si>
    <t>Рожков Дмитрий Владимирович</t>
  </si>
  <si>
    <t>53.257457,50.223757</t>
  </si>
  <si>
    <t>ОБЩЕСТВО С ОГРАНИЧЕННОЙ ОТВЕТСТВЕННОСТЬЮ "НАНО-БЕТОН"</t>
  </si>
  <si>
    <t xml:space="preserve"> "НАНО-БЕТОН"</t>
  </si>
  <si>
    <t>6319215932</t>
  </si>
  <si>
    <t>443122, САМАРСКАЯ ОБЛ, Г САМАРА , УЛ МОЛОДЕЖНАЯ, Д 9, ОФИС 213</t>
  </si>
  <si>
    <t>Винокуров Евгений Васильевич</t>
  </si>
  <si>
    <t>michurina@bg163.ru'</t>
  </si>
  <si>
    <t>53.204525,50.298398</t>
  </si>
  <si>
    <t>ОБЩЕСТВО С ОГРАНИЧЕННОЙ ОТВЕТСТВЕННОСТЬЮ "Стройиндустрия-М"</t>
  </si>
  <si>
    <t xml:space="preserve"> "Стройиндустрия-М"</t>
  </si>
  <si>
    <t>6319721960</t>
  </si>
  <si>
    <t>443052, САМАРСКАЯ ОБЛАСТЬ, ГОРОД САМАРА, УЛИЦА БЕРЕГОВАЯ, 14</t>
  </si>
  <si>
    <t>Сидоренко Олег Петрович</t>
  </si>
  <si>
    <t>+7 (846) 372-49-25', '+7 (846) 372-49-25'</t>
  </si>
  <si>
    <t>53.563231,49.292554</t>
  </si>
  <si>
    <t>ОБЩЕСТВО С ОГРАНИЧЕННОЙ ОТВЕТСТВЕННОСТЬЮ "ПОВОЛЖСКИЙ БЕТОН"</t>
  </si>
  <si>
    <t xml:space="preserve"> "ПОВОЛЖСКИЙ БЕТОН"</t>
  </si>
  <si>
    <t>6320029120</t>
  </si>
  <si>
    <t>445043, САМАРСКАЯ ОБЛАСТЬ, ГОРОД ТОЛЬЯТТИ, УЛИЦА КОММУНАЛЬНАЯ, Д. 46, ОФ. 206</t>
  </si>
  <si>
    <t>Евграфов Андрей Владиславович</t>
  </si>
  <si>
    <t>85@bk.ru'</t>
  </si>
  <si>
    <t>53.528957,49.3266</t>
  </si>
  <si>
    <t>ОБЩЕСТВО С ОГРАНИЧЕННОЙ ОТВЕТСТВЕННОСТЬЮ "АРИТЕКС"</t>
  </si>
  <si>
    <t xml:space="preserve"> "АРИТЕКС"</t>
  </si>
  <si>
    <t>6321168581</t>
  </si>
  <si>
    <t>445039, САМАРСКАЯ ОБЛАСТЬ, Г. ТОЛЬЯТТИ, УЛ. АВТОСТРОИТЕЛЕЙ, Д.88,..</t>
  </si>
  <si>
    <t>Петров Александр Вячеславович</t>
  </si>
  <si>
    <t>53.509983,49.300989</t>
  </si>
  <si>
    <t>ОБЩЕСТВО С ОГРАНИЧЕННОЙ ОТВЕТСТВЕННОСТЬЮ СТРОИТЕЛЬНАЯ КОМПАНИЯ "РОСТСТРОЙ"</t>
  </si>
  <si>
    <t xml:space="preserve"> СТРОИТЕЛЬНАЯ КОМПАНИЯ "РОСТСТРОЙ"</t>
  </si>
  <si>
    <t>6321415079</t>
  </si>
  <si>
    <t>445051, САМАРСКАЯ ОБЛАСТЬ, ГОРОД ТОЛЬЯТТИ, УЛИЦА МАРШАЛА ЖУКОВА, ДОМ 26, ОФИС 23</t>
  </si>
  <si>
    <t>Катков Денис Евгеньевич</t>
  </si>
  <si>
    <t>+7 (927) 891-42-00'</t>
  </si>
  <si>
    <t>53.525713,49.327561</t>
  </si>
  <si>
    <t>ОБЩЕСТВО С ОГРАНИЧЕННОЙ ОТВЕТСТВЕННОСТЬЮ "ПК РУССКИЙ БЕТОН"</t>
  </si>
  <si>
    <t xml:space="preserve"> "ПК РУССКИЙ БЕТОН"</t>
  </si>
  <si>
    <t>6321447779</t>
  </si>
  <si>
    <t>445056, САМАРСКАЯ ОБЛАСТЬ, Г. ТОЛЬЯТТИ, УЛ. АВТОСТРОИТЕЛЕЙ, Д. 63, ПОМЕЩ. 7</t>
  </si>
  <si>
    <t>Супрунов Владимир Владимирович</t>
  </si>
  <si>
    <t>53.514192,49.428613</t>
  </si>
  <si>
    <t>ОБЩЕСТВО С ОГРАНИЧЕННОЙ ОТВЕТСТВЕННОСТЬЮ "ЛЮКС-СТРОЙ"</t>
  </si>
  <si>
    <t xml:space="preserve"> "ЛЮКС-СТРОЙ"</t>
  </si>
  <si>
    <t>6323110072</t>
  </si>
  <si>
    <t>445017, САМАРСКАЯ ОБЛАСТЬ, ГОРОД ТОЛЬЯТТИ, УЛИЦА ГОЛОСОВА, 57, 56</t>
  </si>
  <si>
    <t>Перфилов Алексей Федорович</t>
  </si>
  <si>
    <t>53.515493,49.412784</t>
  </si>
  <si>
    <t>ОБЩЕСТВО С ОГРАНИЧЕННОЙ ОТВЕТСТВЕННОСТЬЮ "ДСО"</t>
  </si>
  <si>
    <t xml:space="preserve"> "ДСО"</t>
  </si>
  <si>
    <t>6324023746</t>
  </si>
  <si>
    <t>445011, САМАРСКАЯ ОБЛАСТЬ, Г. ТОЛЬЯТТИ, Б-Р МОЛОДЕЖНЫЙ, Д.8,..</t>
  </si>
  <si>
    <t>Харкин Алексей Анатольевич</t>
  </si>
  <si>
    <t>Общество с ограниченной ответственностью "ЕВРОБЕТОН ГОСТ"</t>
  </si>
  <si>
    <t xml:space="preserve"> "ЕВРОБЕТОН ГОСТ"</t>
  </si>
  <si>
    <t>6324044873</t>
  </si>
  <si>
    <t>http://бетон-тольятти.рф</t>
  </si>
  <si>
    <t>445009, САМАРСКАЯ ОБЛ., Г. Тольятти, УЛ. КОМСОМОЛЬСКАЯ, ВЛД. 84А, ОФИС 323/2</t>
  </si>
  <si>
    <t>Ружитский Мовладий Замбекович</t>
  </si>
  <si>
    <t>53.5262,49.338961</t>
  </si>
  <si>
    <t>ОБЩЕСТВО С ОГРАНИЧЕННОЙ ОТВЕТСТВЕННОСТЬЮ "ПАРТНЁР"</t>
  </si>
  <si>
    <t xml:space="preserve"> "ПАРТНЁР"</t>
  </si>
  <si>
    <t>6324057872</t>
  </si>
  <si>
    <t>445056, САМАРСКАЯ ОБЛАСТЬ, ГОРОД ТОЛЬЯТТИ, УЛИЦА 40 ЛЕТ ПОБЕДЫ, ДОМ 45К,..</t>
  </si>
  <si>
    <t>Байрамова Лидия Семеновна</t>
  </si>
  <si>
    <t>+7 (927) 211-37-65'</t>
  </si>
  <si>
    <t>53.517506,49.429583</t>
  </si>
  <si>
    <t>ОБЩЕСТВО С ОГРАНИЧЕННОЙ ОТВЕТСТВЕННОСТЬЮ ПРОИЗВОДСТВЕННАЯ КОМПАНИЯ "ЕВРОБЕТОН"</t>
  </si>
  <si>
    <t xml:space="preserve"> ПРОИЗВОДСТВЕННАЯ КОМПАНИЯ "ЕВРОБЕТОН"</t>
  </si>
  <si>
    <t>6324077660</t>
  </si>
  <si>
    <t>445009, САМАРСКАЯ ОБЛ., Г. Тольятти, УЛ. КОМСОМОЛЬСКАЯ, ВЛД. 84А, ОФИС 408Б</t>
  </si>
  <si>
    <t>Визгалова Елена Романовна</t>
  </si>
  <si>
    <t>53.525017,49.471885</t>
  </si>
  <si>
    <t>ОБЩЕСТВО С ОГРАНИЧЕННОЙ ОТВЕТСТВЕННОСТЬЮ "ТОЛЬЯТТИНСКИЙ ЗАВОД ЖЕЛЕЗОБЕТОННЫХ ИЗДЕЛИЙ №1"</t>
  </si>
  <si>
    <t xml:space="preserve"> "ТОЛЬЯТТИНСКИЙ ЗАВОД ЖЕЛЕЗОБЕТОННЫХ ИЗДЕЛИЙ №1"</t>
  </si>
  <si>
    <t>6324103342</t>
  </si>
  <si>
    <t>445004, САМАРСКАЯ ОБЛАСТЬ, Г. ТОЛЬЯТТИ, УЛ. БАЗОВАЯ, Д. 4, ЭТ/ПОМ 2/5</t>
  </si>
  <si>
    <t>Фролова Анастасия Михайловна</t>
  </si>
  <si>
    <t>tltbeton@gmail.com'</t>
  </si>
  <si>
    <t>53.483115,49.461599</t>
  </si>
  <si>
    <t>ОБЩЕСТВО С ОГРАНИЧЕННОЙ ОТВЕТСТВЕННОСТЬЮ "БЕТОН 163"</t>
  </si>
  <si>
    <t xml:space="preserve"> "БЕТОН 163"</t>
  </si>
  <si>
    <t>6324106897</t>
  </si>
  <si>
    <t>445046, САМАРСКАЯ ОБЛАСТЬ, ГОРОД ТОЛЬЯТТИ, УЛИЦА ЛИЗЫ ЧАЙКИНОЙ, ДОМ 39,..</t>
  </si>
  <si>
    <t>Каркашадзе Гурам Тенгизович</t>
  </si>
  <si>
    <t>eurobeton_2012@mail.ru'</t>
  </si>
  <si>
    <t>53.088341,50.064934</t>
  </si>
  <si>
    <t xml:space="preserve"> "ВОСХОД"</t>
  </si>
  <si>
    <t>6330084257</t>
  </si>
  <si>
    <t>443004, САМАРСКАЯ ОБЛАСТЬ, РАЙОН ВОЛЖСКИЙ, ПОСЕЛОК ПОДСТЕПНОВКА, УЛИЦА ДОРОЖНАЯ, ДОМ 3А, ОФИС 18</t>
  </si>
  <si>
    <t>Долгошея Вадим Анатольевич</t>
  </si>
  <si>
    <t>53.41304,49.469244</t>
  </si>
  <si>
    <t>ОБЩЕСТВО С ОГРАНИЧЕННОЙ ОТВЕТСТВЕННОСТЬЮ "СИТИСТРОЙМАРКЕТ"</t>
  </si>
  <si>
    <t xml:space="preserve"> "СИТИСТРОЙМАРКЕТ"</t>
  </si>
  <si>
    <t>6345025134</t>
  </si>
  <si>
    <t>445351, САМАРСКАЯ ОБЛАСТЬ, Г. ЖИГУЛЕВСК, УЛ. ПАРКОВАЯ, Д.17, ОФИС 10</t>
  </si>
  <si>
    <t>Чернова Надежда Александровна</t>
  </si>
  <si>
    <t>+7 (961) 388-99-69'</t>
  </si>
  <si>
    <t>53.221684,50.604867</t>
  </si>
  <si>
    <t>ОБЩЕСТВО С ОГРАНИЧЕННОЙ ОТВЕТСТВЕННОСТЬЮ "АРМ-БЕТОН"</t>
  </si>
  <si>
    <t xml:space="preserve"> "АРМ-БЕТОН"</t>
  </si>
  <si>
    <t>6350019545</t>
  </si>
  <si>
    <t>446435, САМАРСКАЯ ОБЛАСТЬ, ГОРОД КИНЕЛЬ, УЛИЦА МОСТОВАЯ, ДОМ 49</t>
  </si>
  <si>
    <t>Вардапетян Вардан Рафаелович</t>
  </si>
  <si>
    <t>+7 (927) 727-94-94', '+7 (909) 343-69-10', '+7 (960) 809-83-53'</t>
  </si>
  <si>
    <t>53.250308,50.475078</t>
  </si>
  <si>
    <t>Общество с ограниченной ответственностью "СТРОИТЕЛЬНАЯ КОМПАНИЯ БЕТОН"</t>
  </si>
  <si>
    <t xml:space="preserve"> "СТРОИТЕЛЬНАЯ КОМПАНИЯ БЕТОН"</t>
  </si>
  <si>
    <t>6350020565</t>
  </si>
  <si>
    <t>446441, САМАРСКАЯ ОБЛАСТЬ, ГОРОД КИНЕЛЬ, ПОСЕЛОК ГОРОДСКОГО ТИПА АЛЕКСЕЕВКА, УЛИЦА ГАГАРИНА, 33</t>
  </si>
  <si>
    <t>Допкина Алена Александровна</t>
  </si>
  <si>
    <t>53.637402,52.138605</t>
  </si>
  <si>
    <t>ОБЩЕСТВО С ОГРАНИЧЕННОЙ ОТВЕТСТВЕННОСТЬЮ "ПОХВИСТНЕВСКИЙ БЕТОН"</t>
  </si>
  <si>
    <t xml:space="preserve"> "ПОХВИСТНЕВСКИЙ БЕТОН"</t>
  </si>
  <si>
    <t>6372024370</t>
  </si>
  <si>
    <t>446453, САМАРСКАЯ ОБЛАСТЬ, ГОРОД ПОХВИСТНЕВО, УЛИЦА БЕЗЫМЯННАЯ, ДОМ 1</t>
  </si>
  <si>
    <t>Арутюнян Андраник Рафикович</t>
  </si>
  <si>
    <t>+7 (927) 735-66-36'</t>
  </si>
  <si>
    <t>53.415568,50.130655</t>
  </si>
  <si>
    <t>ОБЩЕСТВО С ОГРАНИЧЕННОЙ ОТВЕТСТВЕННОСТЬЮ "ПРОИЗВОДСТВЕННО-КОММЕРЧЕСКОЕ ПРЕДПРИЯТИЕ "СТРОЙГРУПП"</t>
  </si>
  <si>
    <t xml:space="preserve"> "ПРОИЗВОДСТВЕННО-КОММЕРЧЕСКОЕ ПРЕДПРИЯТИЕ "СТРОЙГРУПП"</t>
  </si>
  <si>
    <t>6376024250</t>
  </si>
  <si>
    <t>446394, САМАРСКАЯ ОБЛАСТЬ, РАЙОН КРАСНОЯРСКИЙ, ПОСЕЛОК ГОРОДСКОГО ТИПА ВОЛЖСКИЙ, УЛИЦА СТЕПАНА РАЗИНА, 1В, КОМНАТА 7</t>
  </si>
  <si>
    <t>Тюмкин Константин Александрович</t>
  </si>
  <si>
    <t>sss_774@mail.ru'</t>
  </si>
  <si>
    <t>53.394584,50.327</t>
  </si>
  <si>
    <t>ОБЩЕСТВО С ОГРАНИЧЕННОЙ ОТВЕТСТВЕННОСТЬЮ "ОСТА СНАБ"</t>
  </si>
  <si>
    <t xml:space="preserve"> "ОСТА СНАБ"</t>
  </si>
  <si>
    <t>6376061051</t>
  </si>
  <si>
    <t>446379, САМАРСКАЯ ОБЛАСТЬ, Р-Н КРАСНОЯРСКИЙ, ПГТ НОВОСЕМЕЙКИНО, УЛ. 2-Й ПОДЪЕМ</t>
  </si>
  <si>
    <t>Осташкин Сергей Геннадьевич</t>
  </si>
  <si>
    <t>51.35002,48.277646</t>
  </si>
  <si>
    <t>ОБЩЕСТВО С ОГРАНИЧЕННОЙ ОТВЕТСТВЕННОСТЬЮ УПРАВЛЯЮЩАЯ КОМПАНИЯ "ПРОГРЕСС ЕРШОВСКИЙ"</t>
  </si>
  <si>
    <t xml:space="preserve"> УПРАВЛЯЮЩАЯ КОМПАНИЯ "ПРОГРЕСС ЕРШОВСКИЙ"</t>
  </si>
  <si>
    <t>6413009800</t>
  </si>
  <si>
    <t>413503, САРАТОВСКАЯ ОБЛАСТЬ, РАЙОН ЕРШОВСКИЙ, ГОРОД ЕРШОВ, УЛИЦА ИНТЕРНАЦИОНАЛЬНАЯ, ДОМ 48/54,..</t>
  </si>
  <si>
    <t>Айвазян Аветик Атабекович</t>
  </si>
  <si>
    <t>+7 (906) 317-66-90'</t>
  </si>
  <si>
    <t>51.644039,46.004621</t>
  </si>
  <si>
    <t xml:space="preserve"> "СТРОЙМИКС"</t>
  </si>
  <si>
    <t>6432005293</t>
  </si>
  <si>
    <t>410536, САРАТОВСКАЯ ОБЛАСТЬ, Г. САРАТОВ, П ЗОРИНСКИЙ, ПРОМЗОНА ПРОМУЗЕЛ ЗОРИНСКИЙ, -, -, -</t>
  </si>
  <si>
    <t>Чумаков Владимир Александрович</t>
  </si>
  <si>
    <t>ОБЩЕСТВО С ОГРАНИЧЕННОЙ ОТВЕТСТВЕННОСТЬЮ "БЕТОНОСМЕСИТЕЛЬНЫЙ УЧАСТОК"</t>
  </si>
  <si>
    <t xml:space="preserve"> "БЕТОНОСМЕСИТЕЛЬНЫЙ УЧАСТОК"</t>
  </si>
  <si>
    <t>6439054814</t>
  </si>
  <si>
    <t>Васильев Александр Алексеевич</t>
  </si>
  <si>
    <t>51.998411,47.816685</t>
  </si>
  <si>
    <t xml:space="preserve"> "ЗАВОД БЕТОННЫХ ИЗДЕЛИЙ"</t>
  </si>
  <si>
    <t>6439070206</t>
  </si>
  <si>
    <t>413840, САРАТОВСКАЯ ОБЛАСТЬ, ГОРОД БАЛАКОВО, УЛИЦА ТРАНСПОРТНАЯ, 4</t>
  </si>
  <si>
    <t>Горин Николай Михайлович</t>
  </si>
  <si>
    <t>52.041186,47.404044</t>
  </si>
  <si>
    <t>ОБЩЕСТВО С ОГРАНИЧЕННОЙ ОТВЕТСТВЕННОСТЬЮ "Бетонострой"</t>
  </si>
  <si>
    <t xml:space="preserve"> "Бетонострой"</t>
  </si>
  <si>
    <t>6441020570</t>
  </si>
  <si>
    <t>412906, САРАТОВСКАЯ ОБЛАСТЬ, ГОРОД ВОЛЬСК, УЛИЦА СТ.РАЗИНА, 150/5</t>
  </si>
  <si>
    <t>Адаев Олег Юрьевич</t>
  </si>
  <si>
    <t>52.041414,48.846199</t>
  </si>
  <si>
    <t xml:space="preserve"> "СТРОЙЭЛЕМЕНТ"</t>
  </si>
  <si>
    <t>6445025890</t>
  </si>
  <si>
    <t>413723, САРАТОВСКАЯ ОБЛАСТЬ, РАЙОН ПУГАЧЕВСКИЙ, ПОСЕЛОК ПУГАЧЕВСКИЙ, УЛИЦА КИРПИЧНАЯ, ДОМ 3</t>
  </si>
  <si>
    <t>Дерябин Денис Сергеевич</t>
  </si>
  <si>
    <t>+7 (929) 777-20-52'</t>
  </si>
  <si>
    <t>52.255746,43.751934</t>
  </si>
  <si>
    <t>ОБЩЕСТВО С ОГРАНИЧЕННОЙ ОТВЕТСТВЕННОСТЬЮ " БКР"</t>
  </si>
  <si>
    <t xml:space="preserve"> " БКР"</t>
  </si>
  <si>
    <t>6446012702</t>
  </si>
  <si>
    <t>412033, САРАТОВСКАЯ ОБЛАСТЬ, ГОРОД РТИЩЕВО, УЛИЦА ЗОИ КОСМОДЕМЬЯНСКОЙ, ДОМ 74</t>
  </si>
  <si>
    <t>Газимагамаев Иса Абдулваганович</t>
  </si>
  <si>
    <t>+7 (937) 222-81-97'</t>
  </si>
  <si>
    <t>51.47597,46.12734</t>
  </si>
  <si>
    <t>ОБЩЕСТВО С ОГРАНИЧЕННОЙ ОТВЕТСТВЕННОСТЬЮ "БЕТОННЫЕ СМЕСИ"</t>
  </si>
  <si>
    <t xml:space="preserve"> "БЕТОННЫЕ СМЕСИ"</t>
  </si>
  <si>
    <t>6449073397</t>
  </si>
  <si>
    <t>413100, САРАТОВСКАЯ ОБЛАСТЬ, ГОРОД ЭНГЕЛЬС, УЛИЦА МИНСКАЯ, 32, 189</t>
  </si>
  <si>
    <t>Коновалов Сергей Николаевич</t>
  </si>
  <si>
    <t>11@mail.ru'</t>
  </si>
  <si>
    <t>51.465518,46.135991</t>
  </si>
  <si>
    <t>ОБЩЕСТВО С ОГРАНИЧЕННОЙ ОТВЕТСТВЕННОСТЬЮ "ЭНГЕЛЬССКИЙ БЕТОННЫЙ ЗАВОД"</t>
  </si>
  <si>
    <t xml:space="preserve"> "ЭНГЕЛЬССКИЙ БЕТОННЫЙ ЗАВОД"</t>
  </si>
  <si>
    <t>6449102048</t>
  </si>
  <si>
    <t>413116, Саратовская область, ЭНГЕЛЬССКИЙ, 1 ГОРОД ЭНГЕЛЬС, Г ЭНГЕЛЬС, ПР-КТ СТРОИТЕЛЕЙ, Д. 32А</t>
  </si>
  <si>
    <t>Кондратьев Игорь Владимирович</t>
  </si>
  <si>
    <t>OOOEBZ@YANDEX.RU'</t>
  </si>
  <si>
    <t>ОБЩЕСТВО С ОГРАНИЧЕННОЙ ОТВЕТСТВЕННОСТЬЮ "ЛОГИСТ БЕТОН"</t>
  </si>
  <si>
    <t xml:space="preserve"> "ЛОГИСТ БЕТОН"</t>
  </si>
  <si>
    <t>6450095317</t>
  </si>
  <si>
    <t>410031, САРАТОВСКАЯ ОБЛАСТЬ, Г. САРАТОВ, УЛ. ОКТЯБРЬСКАЯ, Д. 43, ПОМЕЩ. 8,9</t>
  </si>
  <si>
    <t>Кудряшова Светлана Вячеславовна</t>
  </si>
  <si>
    <t>+7 (917) 320-39-89'</t>
  </si>
  <si>
    <t>51.563465,46.018617</t>
  </si>
  <si>
    <t>ОБЩЕСТВО С ОГРАНИЧЕННОЙ ОТВЕТСТВЕННОСТЬЮ "ГБЗ"</t>
  </si>
  <si>
    <t xml:space="preserve"> "ГБЗ"</t>
  </si>
  <si>
    <t>6452125221</t>
  </si>
  <si>
    <t>410010, САРАТОВСКАЯ ОБЛАСТЬ, ГОРОД САРАТОВ, УЛИЦА ЗЕНИТНАЯ, ДОМ 14А</t>
  </si>
  <si>
    <t>Яковлев Александр Сергеевич</t>
  </si>
  <si>
    <t>51.549717,46.022183</t>
  </si>
  <si>
    <t>ОБЩЕСТВО С ОГРАНИЧЕННОЙ ОТВЕТСТВЕННОСТЬЮ "ЖБК ВОЛГА"</t>
  </si>
  <si>
    <t xml:space="preserve"> "ЖБК ВОЛГА"</t>
  </si>
  <si>
    <t>6452144016</t>
  </si>
  <si>
    <t>410005, САРАТОВСКАЯ ОБЛАСТЬ, ГОРОД САРАТОВ, УЛИЦА 1-Я САДОВАЯ, ДОМ 104, ПОМЕЩЕНИЕ 42</t>
  </si>
  <si>
    <t>Бельский Максим Владимирович</t>
  </si>
  <si>
    <t>+7 (937) 267-21-53'</t>
  </si>
  <si>
    <t>51.572931,46.02742</t>
  </si>
  <si>
    <t>ОБЩЕСТВО С ОГРАНИЧЕННОЙ ОТВЕТСТВЕННОСТЬЮ "СТРОИТЕЛЬНО-ПРОИЗВОДСТВЕННОЕ ПРЕДПРИЯТИЕ "АРКАДА"</t>
  </si>
  <si>
    <t xml:space="preserve"> "СТРОИТЕЛЬНО-ПРОИЗВОДСТВЕННОЕ ПРЕДПРИЯТИЕ "АРКАДА"</t>
  </si>
  <si>
    <t>6452928437</t>
  </si>
  <si>
    <t>Г САРАТОВ,УЛ ДЕПУТАТСКАЯ, Д 1</t>
  </si>
  <si>
    <t>Смирнова Валентина Александровна</t>
  </si>
  <si>
    <t>51.601046,45.888945</t>
  </si>
  <si>
    <t>ОБЩЕСТВО С ОГРАНИЧЕННОЙ ОТВЕТСТВЕННОСТЬЮ "СМУ-99"</t>
  </si>
  <si>
    <t xml:space="preserve"> "СМУ-99"</t>
  </si>
  <si>
    <t>6453117304</t>
  </si>
  <si>
    <t>410086, САРАТОВСКАЯ ОБЛАСТЬ, ГОРОД САРАТОВ, УЛИЦА ПЕСЧАНО-УМЕТСКАЯ, 41</t>
  </si>
  <si>
    <t>Сахно Виктор Михайлович</t>
  </si>
  <si>
    <t>51.60066,45.968626</t>
  </si>
  <si>
    <t>ОБЩЕСТВО С ОГРАНИЧЕННОЙ ОТВЕТСТВЕННОСТЬЮ  "АЛЬФА-РЕКОРД БЕТОН"</t>
  </si>
  <si>
    <t xml:space="preserve">  "АЛЬФА-РЕКОРД БЕТОН"</t>
  </si>
  <si>
    <t>6453145661</t>
  </si>
  <si>
    <t>410080, САРАТОВСКАЯ ОБЛАСТЬ, ГОРОД САРАТОВ, ПРОСПЕКТ СТРОИТЕЛЕЙ</t>
  </si>
  <si>
    <t>Набиев Танрыверди Ислам Оглы</t>
  </si>
  <si>
    <t>51.533551,45.967853</t>
  </si>
  <si>
    <t>ОБЩЕСТВО С ОГРАНИЧЕННОЙ ОТВЕТСТВЕННОСТЬЮ "ЕВРОБЕТОН ПЛЮС"</t>
  </si>
  <si>
    <t xml:space="preserve"> "ЕВРОБЕТОН ПЛЮС"</t>
  </si>
  <si>
    <t>6454104876</t>
  </si>
  <si>
    <t>410054, САРАТОВСКАЯ ОБЛАСТЬ, Г. САРАТОВ, УЛ. 2-Я САДОВАЯ, Д. 138,..</t>
  </si>
  <si>
    <t>ДИРЕКТОР Яковлев Леонид Вячеславович</t>
  </si>
  <si>
    <t>+7 (927) 223-53-01'</t>
  </si>
  <si>
    <t>51.499031,45.965059</t>
  </si>
  <si>
    <t>ОБЩЕСТВО С ОГРАНИЧЕННОЙ ОТВЕТСТВЕННОСТЬЮ "ВОЛГА-БЕТОН"</t>
  </si>
  <si>
    <t xml:space="preserve"> "ВОЛГА-БЕТОН"</t>
  </si>
  <si>
    <t>6455048222</t>
  </si>
  <si>
    <t>410015, САРАТОВСКАЯ ОБЛАСТЬ, ГОРОД САРАТОВ, МИКРОРАЙОН ЮРИШ, ,</t>
  </si>
  <si>
    <t>Чечуевский Алексей Сергеевич</t>
  </si>
  <si>
    <t>+7 (905) 381-40-40'</t>
  </si>
  <si>
    <t>46.991195,142.744275</t>
  </si>
  <si>
    <t>ОБЩЕСТВО С ОГРАНИЧЕННОЙ ОТВЕТСТВЕННОСТЬЮ "АЛЮРТ"</t>
  </si>
  <si>
    <t xml:space="preserve"> "АЛЮРТ"</t>
  </si>
  <si>
    <t>6501162268</t>
  </si>
  <si>
    <t>Г ЮЖНО-САХАЛИНСК,ПЕРЕУЛОК УКРАИНСКИЙ, 13-А..</t>
  </si>
  <si>
    <t>Луференко Алёна Юрьевна</t>
  </si>
  <si>
    <t xml:space="preserve"> "СТРОЙ БЕТОН"</t>
  </si>
  <si>
    <t>6501185402</t>
  </si>
  <si>
    <t>693904, САХАЛИНСКАЯ ОБЛАСТЬ, Г. ЮЖНО-САХАЛИНСК, С ДАЛЬНЕЕ, УЛ. УДАРНАЯ, Д.4/7</t>
  </si>
  <si>
    <t>Соколов Алексей Николаевич</t>
  </si>
  <si>
    <t>+7 (914) 757-01-22'</t>
  </si>
  <si>
    <t>50.848778,142.65916</t>
  </si>
  <si>
    <t>ОБЩЕСТВО С ОГРАНИЧЕННОЙ ОТВЕТСТВЕННОСТЬЮ "Сахстройбетон"</t>
  </si>
  <si>
    <t xml:space="preserve"> "Сахстройбетон"</t>
  </si>
  <si>
    <t>6501266210</t>
  </si>
  <si>
    <t>САХАЛИНСКАЯ ОБЛ.,РП ТЫМОВСКОЕ,УЛ БИБЛИОТЕЧНАЯ, 4 К 11</t>
  </si>
  <si>
    <t>Акопян Ваник Ашотович</t>
  </si>
  <si>
    <t>46.977572,142.696152</t>
  </si>
  <si>
    <t>ОБЩЕСТВО С ОГРАНИЧЕННОЙ ОТВЕТСТВЕННОСТЬЮ "САХЦЕМЕНТ"</t>
  </si>
  <si>
    <t xml:space="preserve"> "САХЦЕМЕНТ"</t>
  </si>
  <si>
    <t>6501289507</t>
  </si>
  <si>
    <t>693005, САХАЛИНСКАЯ ОБЛАСТЬ, Г. ЮЖНО-САХАЛИНСК, УЛ. ХОЛМСКАЯ, Д. 5</t>
  </si>
  <si>
    <t>То Владислав Александрович</t>
  </si>
  <si>
    <t>ОБЩЕСТВО С ОГРАНИЧЕННОЙ ОТВЕТСТВЕННОСТЬЮ "ДВБЕТОН"</t>
  </si>
  <si>
    <t xml:space="preserve"> "ДВБЕТОН"</t>
  </si>
  <si>
    <t>6501295998</t>
  </si>
  <si>
    <t>693000, САХАЛИНСКАЯ ОБЛАСТЬ, Г. ЮЖНО-САХАЛИНСК, ПР-КТ МИРА, Д. 2Б\9</t>
  </si>
  <si>
    <t>Ясинская Юлия Александровна</t>
  </si>
  <si>
    <t>dvbeton@list.ru'</t>
  </si>
  <si>
    <t>46.967765,142.751587</t>
  </si>
  <si>
    <t>ОБЩЕСТВО С ОГРАНИЧЕННОЙ ОТВЕТСТВЕННОСТЬЮ "БЕТОН РЕСУРС"</t>
  </si>
  <si>
    <t xml:space="preserve"> "БЕТОН РЕСУРС"</t>
  </si>
  <si>
    <t>6501302490</t>
  </si>
  <si>
    <t>693000, САХАЛИНСКАЯ ОБЛАСТЬ, ГОРОД ЮЖНО-САХАЛИНСК, УЛИЦА ДЕТСКАЯ, ДОМ 6А,..</t>
  </si>
  <si>
    <t>46.942909,142.749665</t>
  </si>
  <si>
    <t>ОБЩЕСТВО С ОГРАНИЧЕННОЙ ОТВЕТСТВЕННОСТЬЮ "СИНТЕЗ"</t>
  </si>
  <si>
    <t xml:space="preserve"> "СИНТЕЗ"</t>
  </si>
  <si>
    <t>6501310075</t>
  </si>
  <si>
    <t>693013, САХАЛИНСКАЯ ОБЛАСТЬ, ГОРОД ЮЖНО-САХАЛИНСК, УЛИЦА ЕМЕЛЬЯНОВА А.О., ДОМ 15,..</t>
  </si>
  <si>
    <t>Рогов Евгений Викторович</t>
  </si>
  <si>
    <t>+7 (914) 747-69-68'</t>
  </si>
  <si>
    <t>46.999757,142.740242</t>
  </si>
  <si>
    <t>ОБЩЕСТВО С ОГРАНИЧЕННОЙ ОТВЕТСТВЕННОСТЬЮ "САХБА"</t>
  </si>
  <si>
    <t xml:space="preserve"> "САХБА"</t>
  </si>
  <si>
    <t>6501315595</t>
  </si>
  <si>
    <t>693012, САХАЛИНСКАЯ ОБЛ., Г. Южно-Сахалинск, ПЕР. ЭНЕРГЕТИКОВ, Д. 3/4, СТР. 1, ПОМЕЩ. 1</t>
  </si>
  <si>
    <t>Алборов Георгий Серафимович</t>
  </si>
  <si>
    <t>1987BAS@MAIL.RU'</t>
  </si>
  <si>
    <t>49.156872,142.113882</t>
  </si>
  <si>
    <t>ОБЩЕСТВО С ОГРАНИЧЕННОЙ ОТВЕТСТВЕННОСТЬЮ "БЕТОН-ДВ"</t>
  </si>
  <si>
    <t xml:space="preserve"> "БЕТОН-ДВ"</t>
  </si>
  <si>
    <t>6508010930</t>
  </si>
  <si>
    <t>694910, САХАЛИНСКАЯ ОБЛ., Р-Н Углегорский, ПГТ. Шахтерск, УЛ. ЛЕНИНА, Д. 21</t>
  </si>
  <si>
    <t>Шахунов Александр Сергеевич</t>
  </si>
  <si>
    <t>281826SSV@MAIL.RU'</t>
  </si>
  <si>
    <t>47.047481,142.055384</t>
  </si>
  <si>
    <t>ОБЩЕСТВО С ОГРАНИЧЕННОЙ ОТВЕТСТВЕННОСТЬЮ "Инвест Групп"</t>
  </si>
  <si>
    <t xml:space="preserve"> "Инвест Групп"</t>
  </si>
  <si>
    <t>6509020843</t>
  </si>
  <si>
    <t>694620, САХАЛИНСКАЯ ОБЛАСТЬ, Р-Н ХОЛМСКИЙ, Г. ХОЛМСК, УЛ. ПЕРВОМАЙСКАЯ, Д.11</t>
  </si>
  <si>
    <t>Лейбина Дина Михайловна</t>
  </si>
  <si>
    <t>56.908581,60.816286</t>
  </si>
  <si>
    <t>ОБЩЕСТВО С ОГРАНИЧЕННОЙ ОТВЕТСТВЕННОСТЬЮ "МАН Групп"</t>
  </si>
  <si>
    <t xml:space="preserve"> "МАН Групп"</t>
  </si>
  <si>
    <t>6604028779</t>
  </si>
  <si>
    <t>623701, СВЕРДЛОВСКАЯ ОБЛ, Г БЕРЕЗОВСКИЙ, УЛ ТЕАТРАЛЬНАЯ, Д 22, ОФ 53</t>
  </si>
  <si>
    <t>Михалицын Андрей Николаевич</t>
  </si>
  <si>
    <t>+7 (904) 173-49-55', '+7 (343) 288-53-53', '+7 (922) 513-71-76', '+7 (908) 916-89-80'</t>
  </si>
  <si>
    <t>56.429011,61.900265</t>
  </si>
  <si>
    <t>ОБЩЕСТВО С ОГРАНИЧЕННОЙ ОТВЕТСТВЕННОСТЬЮ "Бетон-Регион"</t>
  </si>
  <si>
    <t xml:space="preserve"> "Бетон-Регион"</t>
  </si>
  <si>
    <t>6612036653</t>
  </si>
  <si>
    <t>623400, СВЕРДЛОВСКАЯ ОБЛ, Г КАМЕНСК-УРАЛЬСКИЙ, УЛ ГОЛОВИНА Д 25</t>
  </si>
  <si>
    <t>Потехин Андрей Николаевич</t>
  </si>
  <si>
    <t>59.757887,59.984491</t>
  </si>
  <si>
    <t>ОБЩЕСТВО С ОГРАНИЧЕННОЙ ОТВЕТСТВЕННОСТЬЮ "КАРПИНСК БЕТОН"</t>
  </si>
  <si>
    <t xml:space="preserve"> "КАРПИНСК БЕТОН"</t>
  </si>
  <si>
    <t>6617027645</t>
  </si>
  <si>
    <t>624930, СВЕРДЛОВСКАЯ ОБЛ, КАРПИНСК Г, 9 МАЯ УЛ, ДОМ 1А, КОРПУС 2, ПОМЕЩЕНИЕ 20</t>
  </si>
  <si>
    <t>Лунгу Сергей Викторович</t>
  </si>
  <si>
    <t>karpinsk_beton@mail.ru'</t>
  </si>
  <si>
    <t>59.75781,60.25315</t>
  </si>
  <si>
    <t>ОБЩЕСТВО С ОГРАНИЧЕННОЙ ОТВЕТСТВЕННОСТЬЮ "КС-БЕТОН"</t>
  </si>
  <si>
    <t xml:space="preserve"> "КС-БЕТОН"</t>
  </si>
  <si>
    <t>6617029226</t>
  </si>
  <si>
    <t>624443, Свердловская область, КРАСНОТУРЬИНСК, Г КРАСНОТУРЬИНСК, УЛ КАТАЛЕЙ, Д. 14</t>
  </si>
  <si>
    <t>Байков Сергей Борисович</t>
  </si>
  <si>
    <t>57.375941,59.930754</t>
  </si>
  <si>
    <t>ОБЩЕСТВО С ОГРАНИЧЕННОЙ ОТВЕТСТВЕННОСТЬЮ "Гермес-Строй"</t>
  </si>
  <si>
    <t xml:space="preserve"> "Гермес-Строй"</t>
  </si>
  <si>
    <t>6621018354</t>
  </si>
  <si>
    <t>624160, СВЕРДЛОВСКАЯ ОБЛ, Г ВЕРХНИЙ ТАГИЛ, УЛ ЖУКОВСКОГО, Д 7, КОРП А</t>
  </si>
  <si>
    <t>Сабровский Дмитрий Эвальдович</t>
  </si>
  <si>
    <t>+7 (912) 618-22-20'</t>
  </si>
  <si>
    <t>57.903799,60.012357</t>
  </si>
  <si>
    <t>ОБЩЕСТВО С ОГРАНИЧЕННОЙ ОТВЕТСТВЕННОСТЬЮ "МАСТЕР ЛЕВША"</t>
  </si>
  <si>
    <t xml:space="preserve"> "МАСТЕР ЛЕВША"</t>
  </si>
  <si>
    <t>6623124580</t>
  </si>
  <si>
    <t>622013, СВЕРДЛОВСКАЯ ОБЛ, НИЖНИЙ ТАГИЛ Г, КУЛИБИНА УЛ, ДОМ 62, СТРОЕНИЕ 2, ПОМЕЩЕНИЕ 4</t>
  </si>
  <si>
    <t>Павленко Артем Васильевич</t>
  </si>
  <si>
    <t>+7 (912) 606-51-21'</t>
  </si>
  <si>
    <t>57.922134,59.913434</t>
  </si>
  <si>
    <t>ОБЩЕСТВО С ОГРАНИЧЕННОЙ ОТВЕТСТВЕННОСТЬЮ "ЭЛЬБА-БЕТОН"</t>
  </si>
  <si>
    <t xml:space="preserve"> "ЭЛЬБА-БЕТОН"</t>
  </si>
  <si>
    <t>6623124911</t>
  </si>
  <si>
    <t>622022, СВЕРДЛОВСКАЯ ОБЛ, НИЖНИЙ ТАГИЛ Г, ВЕРХНЯЯ ЧЕРЕПАНОВА УЛ, Д 78</t>
  </si>
  <si>
    <t>Хорончин Андрей Валерьевич</t>
  </si>
  <si>
    <t>+7 (912) 270-90-07', '+7 (922) 155-22-16'</t>
  </si>
  <si>
    <t>57.938711,59.929164</t>
  </si>
  <si>
    <t>ОБЩЕСТВО С ОГРАНИЧЕННОЙ ОТВЕТСТВЕННОСТЬЮ "ПРОИЗВОДСТВЕННОЕ ОБЪЕДИНЕНИЕ СРЕДНИЙ УРАЛ"</t>
  </si>
  <si>
    <t xml:space="preserve"> "ПРОИЗВОДСТВЕННОЕ ОБЪЕДИНЕНИЕ СРЕДНИЙ УРАЛ"</t>
  </si>
  <si>
    <t>6623129998</t>
  </si>
  <si>
    <t>622001, СВЕРДЛОВСКАЯ ОБЛ, Г НИЖНИЙ ТАГИЛ, УЛ КРАСНОЗНАМЕННАЯ, Д 55, ОФ 3</t>
  </si>
  <si>
    <t>57.935104,59.911117</t>
  </si>
  <si>
    <t>ОБЩЕСТВО С ОГРАНИЧЕННОЙ ОТВЕТСТВЕННОСТЬЮ "БЕТОН М НТ"</t>
  </si>
  <si>
    <t xml:space="preserve"> "БЕТОН М НТ"</t>
  </si>
  <si>
    <t>6623136579</t>
  </si>
  <si>
    <t>622022, СВЕРДЛОВСКАЯ ОБЛ, Г НИЖНИЙ ТАГИЛ, УЛ АПРЕЛЬСКАЯ, Д 17</t>
  </si>
  <si>
    <t>Галиахметов Марат Валерьевич</t>
  </si>
  <si>
    <t>59.591634,60.578978</t>
  </si>
  <si>
    <t>ОБЩЕСТВО С ОГРАНИЧЕННОЙ ОТВЕТСТВЕННОСТЬЮ "Форум"</t>
  </si>
  <si>
    <t xml:space="preserve"> "Форум"</t>
  </si>
  <si>
    <t>6632031967</t>
  </si>
  <si>
    <t>624992, СВЕРДЛОВСКАЯ ОБЛ, Г СЕРОВ, УЛ ЗАГОРОДКА, 12А</t>
  </si>
  <si>
    <t>Пичугин Владимир Владимирович</t>
  </si>
  <si>
    <t>+7 (922) 205-27-85'</t>
  </si>
  <si>
    <t>56.860236,61.320807</t>
  </si>
  <si>
    <t>ОБЩЕСТВО С ОГРАНИЧЕННОЙ ОТВЕТСТВЕННОСТЬЮ "БСУ-3"</t>
  </si>
  <si>
    <t xml:space="preserve"> "БСУ-3"</t>
  </si>
  <si>
    <t>6639018570</t>
  </si>
  <si>
    <t>http://atombz.ru</t>
  </si>
  <si>
    <t>624250, СВЕРДЛОВСКАЯ ОБЛАСТЬ, Г. ЗАРЕЧНЫЙ, ПРОМПЛОЩАДКА БАЭС -4</t>
  </si>
  <si>
    <t>Масленникова Мария Владимировна</t>
  </si>
  <si>
    <t>56.757761,60.586308</t>
  </si>
  <si>
    <t>ОБЩЕСТВО С ОГРАНИЧЕННОЙ ОТВЕТСТВЕННОСТЬЮ "СТВ БЕТОН"</t>
  </si>
  <si>
    <t xml:space="preserve"> "СТВ БЕТОН"</t>
  </si>
  <si>
    <t>6658316011</t>
  </si>
  <si>
    <t>620103, СВЕРДЛОВСКАЯ ОБЛАСТЬ, ГОРОД ЕКАТЕРИНБУРГ, УЛИЦА ОКРУЖНАЯ, СТРОЕНИЕ 88, ОФИС 1</t>
  </si>
  <si>
    <t>Салазкин Артем Александрович</t>
  </si>
  <si>
    <t>+7 (343) 200-85-55', '+7 (343) 300-00-77', '+7 (343) 383-00-30'</t>
  </si>
  <si>
    <t>buh2@stvbeton.ru', 'zavod@stvbeton.ru'</t>
  </si>
  <si>
    <t>56.799172,60.495192</t>
  </si>
  <si>
    <t>ОБЩЕСТВО С ОГРАНИЧЕННОЙ ОТВЕТСТВЕННОСТЬЮ "БЕТОННЫЙ ЗАВОД "БЕТОПРОМ"</t>
  </si>
  <si>
    <t xml:space="preserve"> "БЕТОННЫЙ ЗАВОД "БЕТОПРОМ"</t>
  </si>
  <si>
    <t>6658510509</t>
  </si>
  <si>
    <t>620905, СВЕРДЛОВСКАЯ ОБЛ, ЕКАТЕРИНБУРГ Г, СУХОДОЛЬСКАЯ УЛ, ДОМ 161</t>
  </si>
  <si>
    <t>Лапшин Антон Александрович</t>
  </si>
  <si>
    <t>+7 (919) 376-49-99'</t>
  </si>
  <si>
    <t>56.818533,60.560787</t>
  </si>
  <si>
    <t>ОБЩЕСТВО С ОГРАНИЧЕННОЙ ОТВЕТСТВЕННОСТЬЮ "БЕТОННЫЙ ЗАВОД "ЕВРАЗ"</t>
  </si>
  <si>
    <t xml:space="preserve"> "БЕТОННЫЙ ЗАВОД "ЕВРАЗ"</t>
  </si>
  <si>
    <t>6658525706</t>
  </si>
  <si>
    <t>620102, СВЕРДЛОВСКАЯ ОБЛ, ЕКАТЕРИНБУРГ Г, ШАУМЯНА УЛ, ДОМ 102,..</t>
  </si>
  <si>
    <t>Кононенко Анастасия Валерьевна</t>
  </si>
  <si>
    <t>56.847203,60.558335</t>
  </si>
  <si>
    <t>ОБЩЕСТВО С ОГРАНИЧЕННОЙ ОТВЕТСТВЕННОСТЬЮ "ГРОСС ГРУПП ЕК"</t>
  </si>
  <si>
    <t xml:space="preserve"> "ГРОСС ГРУПП ЕК"</t>
  </si>
  <si>
    <t>6658533432</t>
  </si>
  <si>
    <t>620034, СВЕРДЛОВСКАЯ ОБЛАСТЬ, ГОРОД ЕКАТЕРИНБУРГ, УЛИЦА КОЛМОГОРОВА, СТРОЕНИЕ 5, ОФИС 36</t>
  </si>
  <si>
    <t>grossgruppyek@mail.ru'</t>
  </si>
  <si>
    <t>56.824917,60.55219</t>
  </si>
  <si>
    <t>ОБЩЕСТВО С ОГРАНИЧЕННОЙ ОТВЕТСТВЕННОСТЬЮ "МИКСПРО"</t>
  </si>
  <si>
    <t xml:space="preserve"> "МИКСПРО"</t>
  </si>
  <si>
    <t>6658536592</t>
  </si>
  <si>
    <t>620043, СВЕРДЛОВСКАЯ ОБЛ, Г ЕКАТЕРИНБУРГ, УЛ РЕПИНА, СТР 42А, ОФ 205/2</t>
  </si>
  <si>
    <t>Герасимов Вячеслав Тихонович</t>
  </si>
  <si>
    <t>56.875585,60.789687</t>
  </si>
  <si>
    <t>ОБЩЕСТВО С ОГРАНИЧЕННОЙ ОТВЕТСТВЕННОСТЬЮ "РСУ "МАГИСТРАЛЬ"</t>
  </si>
  <si>
    <t xml:space="preserve"> "РСУ "МАГИСТРАЛЬ"</t>
  </si>
  <si>
    <t>6659142738</t>
  </si>
  <si>
    <t>СВЕРДЛОВСКАЯ ОБЛ.,Г БЕРЕЗОВСКИЙ,УЛ 42 КВАРТАЛ, Д 3</t>
  </si>
  <si>
    <t>Корепин Николай Николаевич</t>
  </si>
  <si>
    <t>+7 (343) 253-07-18', '+7 (343) 253-07-19', '+7 (343) 253-07-20', '+7 (922) 209-23-43', '+7 (343) 253-07-19'</t>
  </si>
  <si>
    <t>56.862849,60.565162</t>
  </si>
  <si>
    <t>ОБЩЕСТВО С ОГРАНИЧЕННОЙ ОТВЕТСТВЕННОСТЬЮ ТОРГОВО-ПРОИЗВОДСТВЕННАЯ КОМПАНИЯ "БЕТОПРОМ"</t>
  </si>
  <si>
    <t xml:space="preserve"> ТОРГОВО-ПРОИЗВОДСТВЕННАЯ КОМПАНИЯ "БЕТОПРОМ"</t>
  </si>
  <si>
    <t>6659223433</t>
  </si>
  <si>
    <t>620141, СВЕРДЛОВСКАЯ ОБЛАСТЬ, ГОРОД ЕКАТЕРИНБУРГ, УЛИЦА КРУПНОСОРТЩИКОВ, 14, ОФИС 402</t>
  </si>
  <si>
    <t>56.848104,60.664713</t>
  </si>
  <si>
    <t>ОБЩЕСТВО С ОГРАНИЧЕННОЙ ОТВЕТСТВЕННОСТЬЮ "Бетопром"</t>
  </si>
  <si>
    <t xml:space="preserve"> "Бетопром"</t>
  </si>
  <si>
    <t>6670294533</t>
  </si>
  <si>
    <t>620049, СВЕРДЛОВСКАЯ ОБЛ, Г ЕКАТЕРИНБУРГ, УЛ ПЕРВОМАЙСКАЯ, 109, ОФ 135</t>
  </si>
  <si>
    <t>56.855762,60.660428</t>
  </si>
  <si>
    <t>ОБЩЕСТВО С ОГРАНИЧЕННОЙ ОТВЕТСТВЕННОСТЬЮ "КБМ-Строй"</t>
  </si>
  <si>
    <t xml:space="preserve"> "КБМ-Строй"</t>
  </si>
  <si>
    <t>6670412226</t>
  </si>
  <si>
    <t>620137, СВЕРДЛОВСКАЯ ОБЛ, Г ЕКАТЕРИНБУРГ, СТУДЕНЧЕСКАЯ УЛ, 1, А, ОФИС 412</t>
  </si>
  <si>
    <t>Гневашева Оксана Анатольевна</t>
  </si>
  <si>
    <t>+7 (922) 160-26-40'</t>
  </si>
  <si>
    <t>info@kbm-e'</t>
  </si>
  <si>
    <t>56.855743,60.65582</t>
  </si>
  <si>
    <t>ОБЩЕСТВО С ОГРАНИЧЕННОЙ ОТВЕТСТВЕННОСТЬЮ "ЖБИ 4"</t>
  </si>
  <si>
    <t xml:space="preserve"> "ЖБИ 4"</t>
  </si>
  <si>
    <t>6670455357</t>
  </si>
  <si>
    <t>620066, СВЕРДЛОВСКАЯ ОБЛ, Г ЕКАТЕРИНБУРГ, УЛ КУЛИБИНА, Д 1А,..</t>
  </si>
  <si>
    <t>Вавилов Александр Евгеньевич</t>
  </si>
  <si>
    <t>+7 (912) 605-60-50', '+7 (963) 448-65-31'</t>
  </si>
  <si>
    <t>56.681324,60.5408</t>
  </si>
  <si>
    <t>ОБЩЕСТВО С ОГРАНИЧЕННОЙ ОТВЕТСТВЕННОСТЬЮ "УРАЛЬСКИЙ БЕТОННЫЙ ЗАВОД"</t>
  </si>
  <si>
    <t xml:space="preserve"> "УРАЛЬСКИЙ БЕТОННЫЙ ЗАВОД"</t>
  </si>
  <si>
    <t>6670485305</t>
  </si>
  <si>
    <t>620904, СВЕРДЛОВСКАЯ ОБЛ, Г ЕКАТЕРИНБУРГ, С ГОРНЫЙ ЩИТ, УЛ 3-Я САМОРОДНАЯ, Д 1, ОФ 1</t>
  </si>
  <si>
    <t>Галевский Дмитрий Валерьевич</t>
  </si>
  <si>
    <t>ОБЩЕСТВО С ОГРАНИЧЕННОЙ ОТВЕТСТВЕННОСТЬЮ "БЕТОН ГРАД"</t>
  </si>
  <si>
    <t xml:space="preserve"> "БЕТОН ГРАД"</t>
  </si>
  <si>
    <t>6671069844</t>
  </si>
  <si>
    <t>620026, СВЕРДЛОВСКАЯ ОБЛ, Г ЕКАТЕРИНБУРГ, УЛ БЕЛИНСКОГО, Д 86, ОФ 301</t>
  </si>
  <si>
    <t>Симонян Геворг Сергеевич</t>
  </si>
  <si>
    <t>+7 (912) 650-10-01'</t>
  </si>
  <si>
    <t>56.813414,60.548858</t>
  </si>
  <si>
    <t>ОБЩЕСТВО С ОГРАНИЧЕННОЙ ОТВЕТСТВЕННОСТЬЮ "БЕТОНАЭРОДРОМДОРСТРОЙ"</t>
  </si>
  <si>
    <t xml:space="preserve"> "БЕТОНАЭРОДРОМДОРСТРОЙ"</t>
  </si>
  <si>
    <t>6671084970</t>
  </si>
  <si>
    <t>620043, СВЕРДЛОВСКАЯ ОБЛ, Г ЕКАТЕРИНБУРГ, УЛ ВОЛГОГРАДСКАЯ, СТР 193, ОФ СТ-13</t>
  </si>
  <si>
    <t>Кочнев Виталий Геннадьевич</t>
  </si>
  <si>
    <t>+7 (912) 247-57-20'</t>
  </si>
  <si>
    <t>56.827513,60.586596</t>
  </si>
  <si>
    <t>ОБЩЕСТВО С ОГРАНИЧЕННОЙ ОТВЕТСТВЕННОСТЬЮ "М ТРИ"</t>
  </si>
  <si>
    <t xml:space="preserve"> "М ТРИ"</t>
  </si>
  <si>
    <t>6671104601</t>
  </si>
  <si>
    <t>620014, СВЕРДЛОВСКАЯ ОБЛ, Г ЕКАТЕРИНБУРГ, УЛ МОСКОВСКАЯ, Д 75,..</t>
  </si>
  <si>
    <t>Стенина Виктория Владимировна</t>
  </si>
  <si>
    <t>betonm3@yandex.ru'</t>
  </si>
  <si>
    <t>56.812409,60.595327</t>
  </si>
  <si>
    <t>Общество с ограниченной ответственностью "Высокогорский бетонно-растворный узел"</t>
  </si>
  <si>
    <t xml:space="preserve"> "Высокогорский бетонно-растворный узел"</t>
  </si>
  <si>
    <t>6671176243</t>
  </si>
  <si>
    <t>Г ЕКАТЕРИНБУРГ,УЛ ФРУНЗЕ Д 96 ОФ 106</t>
  </si>
  <si>
    <t>Турушев Сергей Львович</t>
  </si>
  <si>
    <t>56.829675,60.592228</t>
  </si>
  <si>
    <t>ОБЩЕСТВО С ОГРАНИЧЕННОЙ ОТВЕТСТВЕННОСТЬЮ "Юнимикс-Урал"</t>
  </si>
  <si>
    <t xml:space="preserve"> "Юнимикс-Урал"</t>
  </si>
  <si>
    <t>6671447567</t>
  </si>
  <si>
    <t>620014, СВЕРДЛОВСКАЯ ОБЛ, Г ЕКАТЕРИНБУРГ, УЛ РАДИЩЕВА, Д 25, ОФ 206</t>
  </si>
  <si>
    <t>Напин Сергей Дмитриевич</t>
  </si>
  <si>
    <t>+7 (343) 215-92-20', '+7 (343) 378-96-05'</t>
  </si>
  <si>
    <t>buh@unimix-ural'</t>
  </si>
  <si>
    <t>56.827975,60.593971</t>
  </si>
  <si>
    <t>ОБЩЕСТВО С ОГРАНИЧЕННОЙ ОТВЕТСТВЕННОСТЬЮ "ЕкатБетон"</t>
  </si>
  <si>
    <t xml:space="preserve"> "ЕкатБетон"</t>
  </si>
  <si>
    <t>6671465703</t>
  </si>
  <si>
    <t>620014, СВЕРДЛОВСКАЯ ОБЛ, Г ЕКАТЕРИНБУРГ, УЛИЦА ХОХРЯКОВА, 72, ОФИС 522</t>
  </si>
  <si>
    <t>Шилова Анна Анатольевна</t>
  </si>
  <si>
    <t>+7 (343) 361-22-76'</t>
  </si>
  <si>
    <t>ekatbeton31012@mail.ru'</t>
  </si>
  <si>
    <t>56.822937,60.626346</t>
  </si>
  <si>
    <t>Общество с ограниченной ответственностью "ПК Строй Микс Сервис"</t>
  </si>
  <si>
    <t xml:space="preserve"> "ПК Строй Микс Сервис"</t>
  </si>
  <si>
    <t>6672218030</t>
  </si>
  <si>
    <t>Г ЕКАТЕРИНБУРГ,УЛ ТВЕРИТИНА Д 34 ОФ 155</t>
  </si>
  <si>
    <t>Чу Эдуард Санович</t>
  </si>
  <si>
    <t>+7 (343) 326-49-76', '+7 (343) 326-45-95', '+7 (912) 285-30-54', '+7 (343) 378-32-66'</t>
  </si>
  <si>
    <t>56.880592,60.61995</t>
  </si>
  <si>
    <t>ОБЩЕСТВО С ОГРАНИЧЕННОЙ ОТВЕТСТВЕННОСТЬЮ "АВС-БИЗНЕСКОМ"</t>
  </si>
  <si>
    <t xml:space="preserve"> "АВС-БИЗНЕСКОМ"</t>
  </si>
  <si>
    <t>6673186430</t>
  </si>
  <si>
    <t>620091, СВЕРДЛОВСКАЯ ОБЛ, Г ЕКАТЕРИНБУРГ, УЛ ЭЛЕКТРИКОВ, 12, 11</t>
  </si>
  <si>
    <t>Суфиев Альберт Рафисович</t>
  </si>
  <si>
    <t>+7 (922) 100-06-30'</t>
  </si>
  <si>
    <t>57.646616,63.064715</t>
  </si>
  <si>
    <t xml:space="preserve"> "СПЕЦТЕХБЕТОН"</t>
  </si>
  <si>
    <t>6676007714</t>
  </si>
  <si>
    <t>623854, СВЕРДЛОВСКАЯ ОБЛ., Г. Ирбит, УЛ. ШЕСТОВСКИХ, Д. 2</t>
  </si>
  <si>
    <t>Колмаков Алексей Александрович</t>
  </si>
  <si>
    <t>SPEZTEXBETON@YANDEX.RU'</t>
  </si>
  <si>
    <t>ОБЩЕСТВО С ОГРАНИЧЕННОЙ ОТВЕТСТВЕННОСТЬЮ "Региональные поставки"</t>
  </si>
  <si>
    <t xml:space="preserve"> "Региональные поставки"</t>
  </si>
  <si>
    <t>6678040918</t>
  </si>
  <si>
    <t>620089, СВЕРДЛОВСКАЯ ОБЛ, Г ЕКАТЕРИНБУРГ, УЛ МАШИННАЯ, СТР 42А, ОФ 501</t>
  </si>
  <si>
    <t>Багиров Дмитрий Борисович</t>
  </si>
  <si>
    <t>+7 (902) 261-38-85'</t>
  </si>
  <si>
    <t>kta@kbm-e'</t>
  </si>
  <si>
    <t>56.891337,60.739211</t>
  </si>
  <si>
    <t>ОБЩЕСТВО С ОГРАНИЧЕННОЙ ОТВЕТСТВЕННОСТЬЮ БСК ГРУПП</t>
  </si>
  <si>
    <t xml:space="preserve"> БСК ГРУПП</t>
  </si>
  <si>
    <t>6678056731</t>
  </si>
  <si>
    <t>623704, СВЕРДЛОВСКАЯ ОБЛ, Г БЕРЕЗОВСКИЙ, УЛ ПРОФСОЮЗНАЯ, Д 1, А</t>
  </si>
  <si>
    <t>56.848891,60.595831</t>
  </si>
  <si>
    <t>ОБЩЕСТВО С ОГРАНИЧЕННОЙ ОТВЕТСТВЕННОСТЬЮ "БЕТОНОСМЕСИТЕЛЬНЫЙ УЗЕЛ-3"</t>
  </si>
  <si>
    <t xml:space="preserve"> "БЕТОНОСМЕСИТЕЛЬНЫЙ УЗЕЛ-3"</t>
  </si>
  <si>
    <t>6678114493</t>
  </si>
  <si>
    <t>620027, СВЕРДЛОВСКАЯ ОБЛ., Г. Екатеринбург, ПЕР. КРАСНЫЙ, Д. 4А,..</t>
  </si>
  <si>
    <t>Сайбель Анатолий Андреевич</t>
  </si>
  <si>
    <t>56.911225,60.816888</t>
  </si>
  <si>
    <t>ОБЩЕСТВО С ОГРАНИЧЕННОЙ ОТВЕТСТВЕННОСТЬЮ "ЭТАЛОН-БЕТОН"</t>
  </si>
  <si>
    <t xml:space="preserve"> "ЭТАЛОН-БЕТОН"</t>
  </si>
  <si>
    <t>6678118219</t>
  </si>
  <si>
    <t>623701, Свердловская область, БЕРЕЗОВСКИЙ, Г БЕРЕЗОВСКИЙ, УЛ БРУСНИЦЫНА, Д. 2</t>
  </si>
  <si>
    <t>Устюгов Артем Сергеевич</t>
  </si>
  <si>
    <t>BETON@YANDEX.RU'</t>
  </si>
  <si>
    <t>56.862534,60.573346</t>
  </si>
  <si>
    <t>ОБЩЕСТВО С ОГРАНИЧЕННОЙ ОТВЕТСТВЕННОСТЬЮ "УЗСМ"</t>
  </si>
  <si>
    <t xml:space="preserve"> "УЗСМ"</t>
  </si>
  <si>
    <t>6678119893</t>
  </si>
  <si>
    <t>620141, Свердловская область, ГОРОД ЕКАТЕРИНБУРГ, Г ЕКАТЕРИНБУРГ, УЛ ЛЕТЧИКОВ, Д. 15-Б</t>
  </si>
  <si>
    <t>Терентьев Роберт Александрович</t>
  </si>
  <si>
    <t>URAL@MAIL.RU'</t>
  </si>
  <si>
    <t>56.760544,60.728188</t>
  </si>
  <si>
    <t>ОБЩЕСТВО С ОГРАНИЧЕННОЙ ОТВЕТСТВЕННОСТЬЮ "ЕГСК-Бетон"</t>
  </si>
  <si>
    <t xml:space="preserve"> "ЕГСК-Бетон"</t>
  </si>
  <si>
    <t>6679014445</t>
  </si>
  <si>
    <t>620010, СВЕРДЛОВСКАЯ ОБЛ, ЕКАТЕРИНБУРГ Г, ул Альпинистов, д 57, литер х</t>
  </si>
  <si>
    <t>Широченко Александр Петрович</t>
  </si>
  <si>
    <t>+7 (343) 383-62-95', '+7 (343) 383-62-21'</t>
  </si>
  <si>
    <t>56.682363,60.561955</t>
  </si>
  <si>
    <t xml:space="preserve"> "ПК МОНОЛИТ"</t>
  </si>
  <si>
    <t>6679130530</t>
  </si>
  <si>
    <t>620902, СВЕРДЛОВСКАЯ ОБЛАСТЬ, ГОРОД ЕКАТЕРИНБУРГ, УЛИЦА 10-Я САМОРОДНАЯ, СТРОЕНИЕ 10, ПОМЕЩЕНИЕ 1</t>
  </si>
  <si>
    <t>Коуров Александр Тимофеевич</t>
  </si>
  <si>
    <t>svk05buh@gmail.com'</t>
  </si>
  <si>
    <t>56.696965,60.542516</t>
  </si>
  <si>
    <t>6679131460</t>
  </si>
  <si>
    <t>620024, СВЕРДЛОВСКАЯ ОБЛ, Г ЕКАТЕРИНБУРГ, ПОЛЕВСКОЙ ТРАКТ 17 КМ, Д 7, СТР 1</t>
  </si>
  <si>
    <t>Линович Алексей Витальевич</t>
  </si>
  <si>
    <t>concrete@yandex.ru'</t>
  </si>
  <si>
    <t>56.739836,60.609862</t>
  </si>
  <si>
    <t>ОБЩЕСТВО С ОГРАНИЧЕННОЙ ОТВЕТСТВЕННОСТЬЮ "ТД УБЗ"</t>
  </si>
  <si>
    <t xml:space="preserve"> "ТД УБЗ"</t>
  </si>
  <si>
    <t>6679132079</t>
  </si>
  <si>
    <t>620024, СВЕРДЛОВСКАЯ ОБЛАСТЬ, ГОРОД ЕКАТЕРИНБУРГ, УЛИЦА БИСЕРТСКАЯ, ДОМ 4В, ОФИС 1</t>
  </si>
  <si>
    <t>Данилов Михаил Андреевич</t>
  </si>
  <si>
    <t>ubzbuh@mail.ru'</t>
  </si>
  <si>
    <t>60.612485,56.792961</t>
  </si>
  <si>
    <t>ОБЩЕСТВО С ОГРАНИЧЕННОЙ ОТВЕТСТВЕННОСТЬЮ "МАННЭКС"</t>
  </si>
  <si>
    <t xml:space="preserve"> "МАННЭКС"</t>
  </si>
  <si>
    <t>6679132689</t>
  </si>
  <si>
    <t>620085, СВЕРДЛОВСКАЯ ОБЛАСТЬ, ГОРОД ЕКАТЕРИНБУРГ, УЛИЦА КРЕСТИНСКОГО, ДОМ 19,..</t>
  </si>
  <si>
    <t>Маннапов Ярослав Дамирович</t>
  </si>
  <si>
    <t>60.578978,59.591634</t>
  </si>
  <si>
    <t>ОБЩЕСТВО С ОГРАНИЧЕННОЙ ОТВЕТСТВЕННОСТЬЮ "СТРОЙ-ТРЕЙД"</t>
  </si>
  <si>
    <t xml:space="preserve"> "СТРОЙ-ТРЕЙД"</t>
  </si>
  <si>
    <t>6680006350</t>
  </si>
  <si>
    <t>624992, СВЕРДЛОВСКАЯ ОБЛ, Г СЕРОВ, УЛ ЗАГОРОДКА, Д 12А</t>
  </si>
  <si>
    <t>+7 (982) 620-25-75'</t>
  </si>
  <si>
    <t>serov_forum@mail.ru'</t>
  </si>
  <si>
    <t>59.816533,58.652395</t>
  </si>
  <si>
    <t>ОБЩЕСТВО С ОГРАНИЧЕННОЙ ОТВЕТСТВЕННОСТЬЮ "СТРОЙМАШСЕРВИС"</t>
  </si>
  <si>
    <t xml:space="preserve"> "СТРОЙМАШСЕРВИС"</t>
  </si>
  <si>
    <t>6681004324</t>
  </si>
  <si>
    <t>624200, СВЕРДЛОВСКАЯ ОБЛ, Г ЛЕСНОЙ, ПР ТЕХНИЧЕСКИЙ, Д 36</t>
  </si>
  <si>
    <t>valeriy@gmail.com'</t>
  </si>
  <si>
    <t>59.831616,58.358511</t>
  </si>
  <si>
    <t>ОБЩЕСТВО С ОГРАНИЧЕННОЙ ОТВЕТСТВЕННОСТЬЮ "СТРОЙПЛЮС УРАЛ"</t>
  </si>
  <si>
    <t xml:space="preserve"> "СТРОЙПЛЮС УРАЛ"</t>
  </si>
  <si>
    <t>6681004596</t>
  </si>
  <si>
    <t>624320, СВЕРДЛОВСКАЯ ОБЛ, Г ВЕРХНЯЯ ТУРА, УЛ МАШИНОСТРОИТЕЛЕЙ, 11, 67</t>
  </si>
  <si>
    <t>Мельников Александр Владимирович</t>
  </si>
  <si>
    <t>+7 (904) 171-87-46', '+7 (904) 176-84-58', '+7 (922) 615-88-19'</t>
  </si>
  <si>
    <t>07@mail.ru'</t>
  </si>
  <si>
    <t>59.803409,58.647713</t>
  </si>
  <si>
    <t>ОБЩЕСТВО С ОГРАНИЧЕННОЙ ОТВЕТСТВЕННОСТЬЮ "СЕВЕРНЫЙ БЕТОН"</t>
  </si>
  <si>
    <t xml:space="preserve"> "СЕВЕРНЫЙ БЕТОН"</t>
  </si>
  <si>
    <t>6681008456</t>
  </si>
  <si>
    <t>624200, СВЕРДЛОВСКАЯ ОБЛ, Г ЛЕСНОЙ, ПР ТЕХНИЧЕСКИЙ, Д 56</t>
  </si>
  <si>
    <t>Макурин Сергей Сергеевич</t>
  </si>
  <si>
    <t>+7 (909) 020-99-10'</t>
  </si>
  <si>
    <t>59.71974,58.167859</t>
  </si>
  <si>
    <t>ОБЩЕСТВО С ОГРАНИЧЕННОЙ ОТВЕТСТВЕННОСТЬЮ "КУШВИНСКИЙ БЕТОННЫЙ ЗАВОД"</t>
  </si>
  <si>
    <t xml:space="preserve"> "КУШВИНСКИЙ БЕТОННЫЙ ЗАВОД"</t>
  </si>
  <si>
    <t>6681012798</t>
  </si>
  <si>
    <t>624315, Свердловская область, КУШВИНСКИЙ, П БАРАНЧИНСКИЙ, УЛ ДРУЖБЫ, ДВЛД. 1</t>
  </si>
  <si>
    <t>Мисюрев Николай Юрьевич</t>
  </si>
  <si>
    <t>59.804666,58.645381</t>
  </si>
  <si>
    <t>ОБЩЕСТВО С ОГРАНИЧЕННОЙ ОТВЕТСТВЕННОСТЬЮ "СТРОИТЕЛЬНАЯ КОМПАНИЯ "ГЕРМЕС"</t>
  </si>
  <si>
    <t xml:space="preserve"> "СТРОИТЕЛЬНАЯ КОМПАНИЯ "ГЕРМЕС"</t>
  </si>
  <si>
    <t>6681012928</t>
  </si>
  <si>
    <t>624200, Свердловская область, ГОРОД ЛЕСНОЙ, Г ЛЕСНОЙ, ПРОЕЗД ТЕХНИЧЕСКИЙ, Д. 8,СТР. 3</t>
  </si>
  <si>
    <t>Пшеничников Дмитрий Станиславович</t>
  </si>
  <si>
    <t>59.480015,58.707882</t>
  </si>
  <si>
    <t>ОБЩЕСТВО С ОГРАНИЧЕННОЙ ОТВЕТСТВЕННОСТЬЮ "ДиатонБетон"</t>
  </si>
  <si>
    <t xml:space="preserve"> "ДиатонБетон"</t>
  </si>
  <si>
    <t>6684013937</t>
  </si>
  <si>
    <t>СВЕРДЛОВСКАЯ ОБЛ.,Г КАЧКАНАР,7 МКР-Н 13 1</t>
  </si>
  <si>
    <t>Пономарев Андрей Александрович</t>
  </si>
  <si>
    <t>+7 (922) 604-90-66'</t>
  </si>
  <si>
    <t>59.909383,56.790866</t>
  </si>
  <si>
    <t>ОБЩЕСТВО С ОГРАНИЧЕННОЙ ОТВЕТСТВЕННОСТЬЮ ПРОИЗВОДСТВЕННАЯ КОМПАНИЯ "БЕТОНСТРОЙСЕРВИС"</t>
  </si>
  <si>
    <t xml:space="preserve"> ПРОИЗВОДСТВЕННАЯ КОМПАНИЯ "БЕТОНСТРОЙСЕРВИС"</t>
  </si>
  <si>
    <t>6684016906</t>
  </si>
  <si>
    <t>623280, СВЕРДЛОВСКАЯ ОБЛ, Г РЕВДА, УЛ МИЧУРИНА, 38, 9</t>
  </si>
  <si>
    <t>Хабибова Лилия Радиковна</t>
  </si>
  <si>
    <t>+7 (922) 123-00-40'</t>
  </si>
  <si>
    <t>59.912042,56.798936</t>
  </si>
  <si>
    <t>ОБЩЕСТВО С ОГРАНИЧЕННОЙ ОТВЕТСТВЕННОСТЬЮ "СТРОИТЕЛЬНЫЙ ДОМ"</t>
  </si>
  <si>
    <t xml:space="preserve"> "СТРОИТЕЛЬНЫЙ ДОМ"</t>
  </si>
  <si>
    <t>6684027714</t>
  </si>
  <si>
    <t>623286, СВЕРДЛОВСКАЯ ОБЛ, Г РЕВДА, УЛ ЧАЙКОВСКОГО, Д 31</t>
  </si>
  <si>
    <t>Мхитарян Вануш Маргарович</t>
  </si>
  <si>
    <t>stdom@mail.ru'</t>
  </si>
  <si>
    <t>60.073299,56.707283</t>
  </si>
  <si>
    <t>ОБЩЕСТВО С ОГРАНИЧЕННОЙ ОТВЕТСТВЕННОСТЬЮ РАДИ</t>
  </si>
  <si>
    <t xml:space="preserve"> РАДИ</t>
  </si>
  <si>
    <t>6684034503</t>
  </si>
  <si>
    <t>623271, СВЕРДЛОВСКАЯ ОБЛАСТЬ, ГОРОД ДЕГТЯРСК, УЛИЦА КЛУБНАЯ, ДОМ 14,..</t>
  </si>
  <si>
    <t>Наумов Антон Юрьевич</t>
  </si>
  <si>
    <t>60.619169,56.8397</t>
  </si>
  <si>
    <t xml:space="preserve"> "СПЕКТР"</t>
  </si>
  <si>
    <t>6685105740</t>
  </si>
  <si>
    <t>620075, СВЕРДЛОВСКАЯ ОБЛ, Г ЕКАТЕРИНБУРГ, ПР-КТ ЛЕНИНА, Д 48, ОФ 20/1</t>
  </si>
  <si>
    <t>Корчуганов Дмитрий Николаевич</t>
  </si>
  <si>
    <t>+7 (982) 717-07-01', '+7 (343) 286-43-67'</t>
  </si>
  <si>
    <t>ufa@convex.ru'</t>
  </si>
  <si>
    <t>60.738052,56.78885</t>
  </si>
  <si>
    <t>ОБЩЕСТВО С ОГРАНИЧЕННОЙ ОТВЕТСТВЕННОСТЬЮ "ЖИЛПРОМСТРОЙ"</t>
  </si>
  <si>
    <t xml:space="preserve"> "ЖИЛПРОМСТРОЙ"</t>
  </si>
  <si>
    <t>6685119326</t>
  </si>
  <si>
    <t>620030, СВЕРДЛОВСКАЯ ОБЛ, Г ЕКАТЕРИНБУРГ, ПР БОКСИТОВЫЙ, Д 1, ОФ 205</t>
  </si>
  <si>
    <t>Нейковский Ян Олегович</t>
  </si>
  <si>
    <t>+7 (902) 265-99-72'</t>
  </si>
  <si>
    <t>ОБЩЕСТВО С ОГРАНИЧЕННОЙ ОТВЕТСТВЕННОСТЬЮ "САМСТРОЙ БЕТОН"</t>
  </si>
  <si>
    <t xml:space="preserve"> "САМСТРОЙ БЕТОН"</t>
  </si>
  <si>
    <t>6685124855</t>
  </si>
  <si>
    <t>624021, СВЕРДЛОВСКАЯ ОБЛ, Р-Н СЫСЕРТСКИЙ, Г СЫСЕРТЬ, УЛ САМСТРОЯ, Д 17</t>
  </si>
  <si>
    <t>Субаев Артур Ирекович</t>
  </si>
  <si>
    <t>+7 (922) 024-61-91', '+7 (922) 181-36-17'</t>
  </si>
  <si>
    <t>60.613114,56.911127</t>
  </si>
  <si>
    <t>ОБЩЕСТВО С ОГРАНИЧЕННОЙ ОТВЕТСТВЕННОСТЬЮ "БРУ-СЕРВИС"</t>
  </si>
  <si>
    <t xml:space="preserve"> "БРУ-СЕРВИС"</t>
  </si>
  <si>
    <t>6686038729</t>
  </si>
  <si>
    <t>http://bru12.ru</t>
  </si>
  <si>
    <t>620098, СВЕРДЛОВСКАЯ ОБЛ, Г ЕКАТЕРИНБУРГ, ПР-КТ КОСМОНАВТОВ, 98, ЛИТ А, ОФ 3Ц</t>
  </si>
  <si>
    <t>Батракова Елена Викторовна</t>
  </si>
  <si>
    <t>+7 (343) 214-81-81'</t>
  </si>
  <si>
    <t>bru@mail.ru'</t>
  </si>
  <si>
    <t>60.483137,57.002564</t>
  </si>
  <si>
    <t>ОБЩЕСТВО С ОГРАНИЧЕННОЙ ОТВЕТСТВЕННОСТЬЮ "СРЕДНЕУРАЛЬСКИЙ БЕТОННЫЙ ЗАВОД"</t>
  </si>
  <si>
    <t xml:space="preserve"> "СРЕДНЕУРАЛЬСКИЙ БЕТОННЫЙ ЗАВОД"</t>
  </si>
  <si>
    <t>6686097241</t>
  </si>
  <si>
    <t>624071, СВЕРДЛОВСКАЯ ОБЛ, Г СРЕДНЕУРАЛЬСК, УЛ ЧЕТВЕРТАЯ, Д 11</t>
  </si>
  <si>
    <t>Абдульманов Олег Зинурович</t>
  </si>
  <si>
    <t>+7 (343) 206-11-55', '+7 (343) 206-55-44', '+7 (343) 389-22-11'</t>
  </si>
  <si>
    <t>subz66@yandex.ru'</t>
  </si>
  <si>
    <t>60.566042,56.871099</t>
  </si>
  <si>
    <t>ОБЩЕСТВО С ОГРАНИЧЕННОЙ ОТВЕТСТВЕННОСТЬЮ ГРУППА КОМПАНИЙ "БЕТОН СТРОЙ"</t>
  </si>
  <si>
    <t xml:space="preserve"> ГРУППА КОМПАНИЙ "БЕТОН СТРОЙ"</t>
  </si>
  <si>
    <t>6686116470</t>
  </si>
  <si>
    <t>620141, СВЕРДЛОВСКАЯ ОБЛАСТЬ, ГОРОД ЕКАТЕРИНБУРГ, УЛИЦА АВТОМАГИСТРАЛЬНАЯ, ДОМ 10, ОФИС 1</t>
  </si>
  <si>
    <t>Бобылев Егор Валерьевич</t>
  </si>
  <si>
    <t>ob706@mail.ru'</t>
  </si>
  <si>
    <t>60.585338,56.892974</t>
  </si>
  <si>
    <t>ОБЩЕСТВО С ОГРАНИЧЕННОЙ ОТВЕТСТВЕННОСТЬЮ "КБМ-УРАЛ"</t>
  </si>
  <si>
    <t xml:space="preserve"> "КБМ-УРАЛ"</t>
  </si>
  <si>
    <t>6686130058</t>
  </si>
  <si>
    <t>620088, СВЕРДЛОВСКАЯ ОБЛ, Г ЕКАТЕРИНБУРГ, УЛИЦА 40-ЛЕТИЯ ОКТЯБРЯ, ДОМ 36, ОФИС 10</t>
  </si>
  <si>
    <t>Николайзен Андрей Николаевич</t>
  </si>
  <si>
    <t>kbm_beton@mail.ru'</t>
  </si>
  <si>
    <t>60.579912,56.891273</t>
  </si>
  <si>
    <t>ОБЩЕСТВО С ОГРАНИЧЕННОЙ ОТВЕТСТВЕННОСТЬЮ "БЕТОН-СЕВЕР"</t>
  </si>
  <si>
    <t xml:space="preserve"> "БЕТОН-СЕВЕР"</t>
  </si>
  <si>
    <t>6686141645</t>
  </si>
  <si>
    <t>620088, Свердловская область, ГОРОД ЕКАТЕРИНБУРГ, Г ЕКАТЕРИНБУРГ, УЛ ФЕСТИВАЛЬНАЯ, Д. 15</t>
  </si>
  <si>
    <t>Ныробцев Глеб Андреевич</t>
  </si>
  <si>
    <t>9126522222@MAIL.RU'</t>
  </si>
  <si>
    <t>55.069329,32.688004</t>
  </si>
  <si>
    <t>ОБЩЕСТВО С ОГРАНИЧЕННОЙ ОТВЕТСТВЕННОСТЬЮ "БизнесТрансСтрой"</t>
  </si>
  <si>
    <t xml:space="preserve"> "БизнесТрансСтрой"</t>
  </si>
  <si>
    <t>6727025182</t>
  </si>
  <si>
    <t>215800, СМОЛЕНСКАЯ ОБЛ, ЯРЦЕВСКИЙ Р-Н, ЯРЦЕВО Г, ШКОЛЬНАЯ УЛ, 2, 3</t>
  </si>
  <si>
    <t>Цыганков Артем Петрович</t>
  </si>
  <si>
    <t>+7 (905) 699-90-82'</t>
  </si>
  <si>
    <t>beton67@yandex.ru'</t>
  </si>
  <si>
    <t>54.766293,32.039412</t>
  </si>
  <si>
    <t>ОБЩЕСТВО С ОГРАНИЧЕННОЙ ОТВЕТСТВЕННОСТЬЮ "Премиум плюс"</t>
  </si>
  <si>
    <t xml:space="preserve"> "Премиум плюс"</t>
  </si>
  <si>
    <t>6732054990</t>
  </si>
  <si>
    <t>214004, СМОЛЕНСКАЯ ОБЛАСТЬ, Г. СМОЛЕНСК, УЛ. ОРШАНСКАЯ, Д. 23,..</t>
  </si>
  <si>
    <t>Столяров Артём Николаевич</t>
  </si>
  <si>
    <t>54.787614,32.097685</t>
  </si>
  <si>
    <t>Общество с ограниченной ответственностью "МАЙКАРТ"</t>
  </si>
  <si>
    <t xml:space="preserve"> "МАЙКАРТ"</t>
  </si>
  <si>
    <t>6732063338</t>
  </si>
  <si>
    <t>214020, Смоленская область, городской округ ГОРОД СМОЛЕНСК, Город СМОЛЕНСК, УЛ ШЕВЧЕНКО, Д. 99В, СТР. 4, ОФИС 306</t>
  </si>
  <si>
    <t>Савельева Кристина Викторовна</t>
  </si>
  <si>
    <t>+7 (910) 781-33-32'</t>
  </si>
  <si>
    <t>54.77575,32.076234</t>
  </si>
  <si>
    <t>ОБЩЕСТВО С ОГРАНИЧЕННОЙ ОТВЕТСТВЕННОСТЬЮ "ГРАНДСТРОЙАЛЬЯНС"</t>
  </si>
  <si>
    <t xml:space="preserve"> "ГРАНДСТРОЙАЛЬЯНС"</t>
  </si>
  <si>
    <t>6732072710</t>
  </si>
  <si>
    <t>214020, СМОЛЕНСКАЯ ОБЛАСТЬ, ГОРОД СМОЛЕНСК, УЛИЦА ШЕВЧЕНКО, ДОМ 65Б</t>
  </si>
  <si>
    <t>Савченкова Анна Владимировна</t>
  </si>
  <si>
    <t>+7 (910) 785-04-64'</t>
  </si>
  <si>
    <t>54.758651,32.074617</t>
  </si>
  <si>
    <t xml:space="preserve"> "БЕТОН +"</t>
  </si>
  <si>
    <t>6732077387</t>
  </si>
  <si>
    <t>214019, СМОЛЕНСКАЯ ОБЛ, СМОЛЕНСК Г, ТИХВИНКА П, ДОМ 27, ОФИС 5</t>
  </si>
  <si>
    <t>Осипов Сергей Сергеевич</t>
  </si>
  <si>
    <t>+7 (910) 110-58-85'</t>
  </si>
  <si>
    <t>54.753627,32.107055</t>
  </si>
  <si>
    <t>ОБЩЕСТВО С ОГРАНИЧЕННОЙ ОТВЕТСТВЕННОСТЬЮ "БЕТОНСТРОЙ СМОЛЕНСК"</t>
  </si>
  <si>
    <t xml:space="preserve"> "БЕТОНСТРОЙ СМОЛЕНСК"</t>
  </si>
  <si>
    <t>6732080534</t>
  </si>
  <si>
    <t>Г СМОЛЕНСК,УЛ РЫЛЕНКОВА Д 89</t>
  </si>
  <si>
    <t>Асташенков Дмитрий Евгеньевич</t>
  </si>
  <si>
    <t>54.947837,31.072753</t>
  </si>
  <si>
    <t>ОБЩЕСТВО С ОГРАНИЧЕННОЙ ОТВЕТСТВЕННОСТЬЮ "СМОЛЕНСКИЙ БЕТОННЫЙ ЗАВОД"</t>
  </si>
  <si>
    <t xml:space="preserve"> "СМОЛЕНСКИЙ БЕТОННЫЙ ЗАВОД"</t>
  </si>
  <si>
    <t>6732197074</t>
  </si>
  <si>
    <t>216790, Смоленская область, муниципальный район РУДНЯНСКИЙ, Город РУДНЯ, городское поселение РУДНЯНСКОЕ, УЛ ВОКЗАЛЬНАЯ, Д. 30,</t>
  </si>
  <si>
    <t>Тарасенкова Вероника Викторовна</t>
  </si>
  <si>
    <t>54.779058,32.054638</t>
  </si>
  <si>
    <t>ОБЩЕСТВО С ОГРАНИЧЕННОЙ ОТВЕТСТВЕННОСТЬЮ "ПЕЧЕРСКИЙ БЕТОННЫЙ ЗАВОД"</t>
  </si>
  <si>
    <t xml:space="preserve"> "ПЕЧЕРСКИЙ БЕТОННЫЙ ЗАВОД"</t>
  </si>
  <si>
    <t>6732206917</t>
  </si>
  <si>
    <t>214000, СМОЛЕНСКАЯ ОБЛ., Г. Смоленск, УЛ. МАРШАЛА ЖУКОВА, Д. 9,..</t>
  </si>
  <si>
    <t>52.73078,41.465946</t>
  </si>
  <si>
    <t>ОБЩЕСТВО С ОГРАНИЧЕННОЙ ОТВЕТСТВЕННОСТЬЮ "Бетон-Продукт"</t>
  </si>
  <si>
    <t xml:space="preserve"> "Бетон-Продукт"</t>
  </si>
  <si>
    <t>6820032138</t>
  </si>
  <si>
    <t>392000, ТАМБОВСКАЯ ОБЛ, ТАМБОВ Г, МОСКОВСКАЯ УЛ, ДОМ 54А</t>
  </si>
  <si>
    <t>Пилягин Александр Романович</t>
  </si>
  <si>
    <t>+7 (910) 857-08-05'</t>
  </si>
  <si>
    <t>52.708241,41.613719</t>
  </si>
  <si>
    <t>ОБЩЕСТВО С ОГРАНИЧЕННОЙ ОТВЕТСТВЕННОСТЬЮ "НОВОЛЯДИНСКИЙ БЕТОН"</t>
  </si>
  <si>
    <t xml:space="preserve"> "НОВОЛЯДИНСКИЙ БЕТОН"</t>
  </si>
  <si>
    <t>6820035763</t>
  </si>
  <si>
    <t>392515, Тамбовская область, Тамбовский район, Новая ляда рп, ул Советская, корп 1В</t>
  </si>
  <si>
    <t>Воробей Виктор Вячеславович</t>
  </si>
  <si>
    <t>+7 (910) 752-82-11'</t>
  </si>
  <si>
    <t>79204862946@yandex.ru'</t>
  </si>
  <si>
    <t>ОБЩЕСТВО С ОГРАНИЧЕННОЙ ОТВЕТСТВЕННОСТЬЮ "БЕТОННЫЙ РАСТВОРНЫЙ УЗЕЛ"</t>
  </si>
  <si>
    <t xml:space="preserve"> "БЕТОННЫЙ РАСТВОРНЫЙ УЗЕЛ"</t>
  </si>
  <si>
    <t>6820036943</t>
  </si>
  <si>
    <t>392526, Тамбовская область, муниципальный район ТАМБОВСКИЙ, П СТРОИТЕЛЬ, сельское поселение ЦНИНСКИЙ СЕЛЬСОВЕТ, ЗОНА ПРОМЫШЛЕННАЯ, ЗД. 56,</t>
  </si>
  <si>
    <t>Попова Елена Петровна</t>
  </si>
  <si>
    <t>52.683245,41.496974</t>
  </si>
  <si>
    <t>ОБЩЕСТВО С ОГРАНИЧЕННОЙ ОТВЕТСТВЕННОСТЬЮ "ТАМБОВ БЕТОН"</t>
  </si>
  <si>
    <t xml:space="preserve"> "ТАМБОВ БЕТОН"</t>
  </si>
  <si>
    <t>6820037496</t>
  </si>
  <si>
    <t>392551, ТАМБОВСКАЯ ОБЛАСТЬ, Р-Н ТАМБОВСКИЙ, Д ПЕРИКСА, МКР ПЕРИКСИНСКИЙ, ПОСЕЛЕНИЕ С/С ПОКРОВО-ПРИГОРОДНЫЙ, СТР 2</t>
  </si>
  <si>
    <t>Соболев Андрей Евгениевич</t>
  </si>
  <si>
    <t>+7 (920) 498-88-55'</t>
  </si>
  <si>
    <t>52.898058,40.499044</t>
  </si>
  <si>
    <t>ОБЩЕСТВО С ОГРАНИЧЕННОЙ ОТВЕТСТВЕННОСТЬЮ "КОНТРАСТ"</t>
  </si>
  <si>
    <t xml:space="preserve"> "КОНТРАСТ"</t>
  </si>
  <si>
    <t>6827031013</t>
  </si>
  <si>
    <t>393761, ТАМБОВСКАЯ ОБЛАСТЬ, ГОРОД МИЧУРИНСК, ПЛОЩАДЬ ПРИВОКЗАЛЬНАЯ, ДОМ 3, ЭТАЖ 3, КАБИНЕТ 22</t>
  </si>
  <si>
    <t>Федоров Александр Игоревич</t>
  </si>
  <si>
    <t>52.726979,41.389131</t>
  </si>
  <si>
    <t>ОБЩЕСТВО С ОГРАНИЧЕННОЙ ОТВЕТСТВЕННОСТЬЮ "ТАМБОВБИЗНЕССТРОЙ-БЕТОН"</t>
  </si>
  <si>
    <t xml:space="preserve"> "ТАМБОВБИЗНЕССТРОЙ-БЕТОН"</t>
  </si>
  <si>
    <t>6829036465</t>
  </si>
  <si>
    <t>392028, ТАМБОВСКАЯ ОБЛАСТЬ, Г. ТАМБОВ, УЛ. ВОЛЖСКАЯ, Д.69</t>
  </si>
  <si>
    <t>Семибратов Антон Валерьевич</t>
  </si>
  <si>
    <t>+7 (892) 048-04-00', '+7 (475) 273-92-12', '+7 (475) 273-93-46'</t>
  </si>
  <si>
    <t>52.754964,41.456325</t>
  </si>
  <si>
    <t>Общество с ограниченной ответственностью "МБС"</t>
  </si>
  <si>
    <t xml:space="preserve"> "МБС"</t>
  </si>
  <si>
    <t>6829086829</t>
  </si>
  <si>
    <t>392000, ТАМБОВСКАЯ ОБЛАСТЬ, Г. ТАМБОВ, Б-Р СТРОИТЕЛЕЙ, Д. 6, ЛИТЕРА А, КОМ. 1</t>
  </si>
  <si>
    <t>+7 (906) 658-58-54', '+7 (930) 473-61-41'</t>
  </si>
  <si>
    <t>52.735633,41.472153</t>
  </si>
  <si>
    <t>ОБЩЕСТВО С ОГРАНИЧЕННОЙ ОТВЕТСТВЕННОСТЬЮ "ТамбовСтройБетон"</t>
  </si>
  <si>
    <t xml:space="preserve"> "ТамбовСтройБетон"</t>
  </si>
  <si>
    <t>6829090977</t>
  </si>
  <si>
    <t>392000, ТАМБОВСКАЯ ОБЛАСТЬ, Г. ТАМБОВ, УЛ. МОСКОВСКАЯ, Д.23А</t>
  </si>
  <si>
    <t>Ушков Александр Вячеславович</t>
  </si>
  <si>
    <t>ОБЩЕСТВО С ОГРАНИЧЕННОЙ ОТВЕТСТВЕННОСТЬЮ "БЕТОННО-РАСТВОРНЫЙ УЗЕЛ"</t>
  </si>
  <si>
    <t xml:space="preserve"> "БЕТОННО-РАСТВОРНЫЙ УЗЕЛ"</t>
  </si>
  <si>
    <t>6829099151</t>
  </si>
  <si>
    <t>392029, ТАМБОВСКАЯ ОБЛАСТЬ, Г. ТАМБОВ, УЛ. БАСТИОННАЯ, Д.21</t>
  </si>
  <si>
    <t>Жоголев Анатолий Валерьевич</t>
  </si>
  <si>
    <t>+7 (475) 270-01-08'</t>
  </si>
  <si>
    <t>52.755983,41.446237</t>
  </si>
  <si>
    <t>ОБЩЕСТВО С ОГРАНИЧЕННОЙ ОТВЕТСТВЕННОСТЬЮ "РАССКАЗОВСКИЙ БЕТОННЫЙ ЗАВОД"</t>
  </si>
  <si>
    <t xml:space="preserve"> "РАССКАЗОВСКИЙ БЕТОННЫЙ ЗАВОД"</t>
  </si>
  <si>
    <t>6829120702</t>
  </si>
  <si>
    <t>392000, ТАМБОВСКАЯ ОБЛ, ТАМБОВ Г, УЛ СОВЕТСКАЯ, Д 194, ЛИТЕР Л, ОФИС 306</t>
  </si>
  <si>
    <t>52.763852,41.43676</t>
  </si>
  <si>
    <t>ОБЩЕСТВО С ОГРАНИЧЕННОЙ ОТВЕТСТВЕННОСТЬЮ "ЦОКОЛЬПЛЮС"</t>
  </si>
  <si>
    <t xml:space="preserve"> "ЦОКОЛЬПЛЮС"</t>
  </si>
  <si>
    <t>6829123534</t>
  </si>
  <si>
    <t>392000, ТАМБОВСКАЯ ОБЛАСТЬ, ГОРОД ТАМБОВ, УЛИЦА СОВЕТСКАЯ, ДОМ 208</t>
  </si>
  <si>
    <t>Евдокимов Роман Николаевич</t>
  </si>
  <si>
    <t>+7 (915) 877-33-88'</t>
  </si>
  <si>
    <t>52.754822,41.458517</t>
  </si>
  <si>
    <t>ОБЩЕСТВО С ОГРАНИЧЕННОЙ ОТВЕТСТВЕННОСТЬЮ "БЕТОН68"</t>
  </si>
  <si>
    <t xml:space="preserve"> "БЕТОН68"</t>
  </si>
  <si>
    <t>6829152895</t>
  </si>
  <si>
    <t>392000, ТАМБОВСКАЯ ОБЛАСТЬ, ГОРОД ТАМБОВ, БУЛЬВАР СТРОИТЕЛЕЙ, ДОМ 6, ЛИТЕР Б, КОМНАТА 1,2</t>
  </si>
  <si>
    <t>52.757787,41.454726</t>
  </si>
  <si>
    <t>ОБЩЕСТВО С ОГРАНИЧЕННОЙ ОТВЕТСТВЕННОСТЬЮ "БИОНИК БЕТОН"</t>
  </si>
  <si>
    <t xml:space="preserve"> "БИОНИК БЕТОН"</t>
  </si>
  <si>
    <t>6829162893</t>
  </si>
  <si>
    <t>392000, Тамбовская область, ГОРОД ТАМБОВ, Г ТАМБОВ, УЛ УРОЖАЙНАЯ, Д. 2А</t>
  </si>
  <si>
    <t>Летягин Павел Алексеевич</t>
  </si>
  <si>
    <t>56.816646,35.913828</t>
  </si>
  <si>
    <t>ОБЩЕСТВО С ОГРАНИЧЕННОЙ ОТВЕТСТВЕННОСТЬЮ "ТВЕРСКОЙ БЕТОННЫЙ ЗАВОД №1"</t>
  </si>
  <si>
    <t xml:space="preserve"> "ТВЕРСКОЙ БЕТОННЫЙ ЗАВОД №1"</t>
  </si>
  <si>
    <t>6906012768</t>
  </si>
  <si>
    <t>170043, ТВЕРСКАЯ ОБЛАСТЬ, ГОРОД ТВЕРЬ, УЛИЦА МОЖАЙСКОГО, ДОМ 89,..</t>
  </si>
  <si>
    <t>Семёнов Евгений Александрович</t>
  </si>
  <si>
    <t>+7 (915) 741-02-56'</t>
  </si>
  <si>
    <t>57.577857,34.57426</t>
  </si>
  <si>
    <t>ОБЩЕСТВО С ОГРАНИЧЕННОЙ ОТВЕТСТВЕННОСТЬЮ "Вышневолоцкий Промстройбетон"</t>
  </si>
  <si>
    <t xml:space="preserve"> "Вышневолоцкий Промстройбетон"</t>
  </si>
  <si>
    <t>6908011992</t>
  </si>
  <si>
    <t>171161, ТВЕРСКАЯ ОБЛАСТЬ, ГОРОД ВЫШНИЙ ВОЛОЧЕК, ШОССЕ МОСКОВСКОЕ, 2</t>
  </si>
  <si>
    <t>Шарипов Валерий Алексеевич</t>
  </si>
  <si>
    <t>+7 (910) 936-98-08'</t>
  </si>
  <si>
    <t>57.576921,34.559554</t>
  </si>
  <si>
    <t>ОБЩЕСТВО С ОГРАНИЧЕННОЙ ОТВЕТСТВЕННОСТЬЮ "РУССКИЙ БЕТОН"</t>
  </si>
  <si>
    <t xml:space="preserve"> "РУССКИЙ БЕТОН"</t>
  </si>
  <si>
    <t>6908015027</t>
  </si>
  <si>
    <t>171161, ТВЕРСКАЯ ОБЛАСТЬ, Г ВЫШНИЙ ВОЛОЧЕК, УЛ 1-Я ПРОЛЕТАРСКАЯ, Д 15</t>
  </si>
  <si>
    <t>Толкачев Евгений Викторович</t>
  </si>
  <si>
    <t>57.623773,34.485327</t>
  </si>
  <si>
    <t>ОБЩЕСТВО С ОГРАНИЧЕННОЙ ОТВЕТСТВЕННОСТЬЮ "ЭЛТРА+"</t>
  </si>
  <si>
    <t xml:space="preserve"> "ЭЛТРА+"</t>
  </si>
  <si>
    <t>6908018807</t>
  </si>
  <si>
    <t>171155, ТВЕРСКАЯ ОБЛАСТЬ, ГОРОД ВЫШНИЙ ВОЛОЧЕК, ПОСЕЛОК ПРИОЗЕРНЫЙ, ДОМ 11</t>
  </si>
  <si>
    <t>Русин Денис Олегович</t>
  </si>
  <si>
    <t>56.548713,36.515465</t>
  </si>
  <si>
    <t>ОБЩЕСТВО С ОГРАНИЧЕННОЙ ОТВЕТСТВЕННОСТЬЮ "Завидово ЖБИ"</t>
  </si>
  <si>
    <t xml:space="preserve"> "Завидово ЖБИ"</t>
  </si>
  <si>
    <t>6911034132</t>
  </si>
  <si>
    <t>171275, ТВЕРСКАЯ ОБЛАСТЬ, РАЙОН КОНАКОВСКИЙ, ДЕРЕВНЯ ШОРНОВО</t>
  </si>
  <si>
    <t>Каплиева Елена Игоревна</t>
  </si>
  <si>
    <t>+7 (920) 151-03-25'</t>
  </si>
  <si>
    <t>57.143209,33.154212</t>
  </si>
  <si>
    <t>ОБЩЕСТВО С ОГРАНИЧЕННОЙ ОТВЕТСТВЕННОСТЬЮ "СЕЛИГЕРСТРОЙ"</t>
  </si>
  <si>
    <t xml:space="preserve"> "СЕЛИГЕРСТРОЙ"</t>
  </si>
  <si>
    <t>6913017365</t>
  </si>
  <si>
    <t>172734, ТВЕРСКАЯ ОБЛАСТЬ, ГОРОД ОСТАШКОВ, УЛИЦА СТРОИТЕЛЕЙ, ДОМ 9А, ПОМЕЩЕНИЕ 28</t>
  </si>
  <si>
    <t>57.019423,34.962512</t>
  </si>
  <si>
    <t>ОБЩЕСТВО С ОГРАНИЧЕННОЙ ОТВЕТСТВЕННОСТЬЮ  "АЛЬФА-СТРОЙ"</t>
  </si>
  <si>
    <t xml:space="preserve">  "АЛЬФА-СТРОЙ"</t>
  </si>
  <si>
    <t>6915011023</t>
  </si>
  <si>
    <t>172011, ТВЕРСКАЯ ОБЛАСТЬ, Г. ТОРЖОК, УЛ. СТАРИЦКАЯ, Д.96А</t>
  </si>
  <si>
    <t>Ильинский Алексей Александрович</t>
  </si>
  <si>
    <t>+7 (910) 930-03-09'</t>
  </si>
  <si>
    <t>ОБЩЕСТВО С ОГРАНИЧЕННОЙ ОТВЕТСТВЕННОСТЬЮ "ПСК МОНОЛИТ"</t>
  </si>
  <si>
    <t xml:space="preserve"> "ПСК МОНОЛИТ"</t>
  </si>
  <si>
    <t>6915015525</t>
  </si>
  <si>
    <t>172011, ТВЕРСКАЯ ОБЛ, ТОРЖОК Г, СТАРИЦКАЯ УЛ, ДОМ 96А</t>
  </si>
  <si>
    <t>Гребенщиков Александр Владимирович</t>
  </si>
  <si>
    <t>+7 (915) 700-71-00'</t>
  </si>
  <si>
    <t>56.164872,34.592262</t>
  </si>
  <si>
    <t>ОБЩЕСТВО С ОГРАНИЧЕННОЙ ОТВЕТСТВЕННОСТЬЮ "ТАНДЕМ"</t>
  </si>
  <si>
    <t>6923008144</t>
  </si>
  <si>
    <t>172332, ТВЕРСКАЯ ОБЛАСТЬ, РАЙОН ЗУБЦОВСКИЙ, ГОРОД ЗУБЦОВ, МИКРОРАЙОН ЮЖНЫЙ, ДОМ 5,..</t>
  </si>
  <si>
    <t>Пейогло Игорь Андреевич</t>
  </si>
  <si>
    <t>+7 (916) 269-58-93'</t>
  </si>
  <si>
    <t>57.233451,37.810791</t>
  </si>
  <si>
    <t>ОБЩЕСТВО С ОГРАНИЧЕННОЙ ОТВЕТСТВЕННОСТЬЮ "КАЛЯЗИНСКАЯ БЕТОННО-СТРОИТЕЛЬНАЯ КОМПАНИЯ"</t>
  </si>
  <si>
    <t xml:space="preserve"> "КАЛЯЗИНСКАЯ БЕТОННО-СТРОИТЕЛЬНАЯ КОМПАНИЯ"</t>
  </si>
  <si>
    <t>6925008566</t>
  </si>
  <si>
    <t>171573, ТВЕРСКАЯ ОБЛ, КАЛЯЗИНСКИЙ Р-Н, КАЛЯЗИН Г, ИНДУСТРИАЛЬНАЯ УЛ, ДОМ 19</t>
  </si>
  <si>
    <t>Костин Александр Николаевич</t>
  </si>
  <si>
    <t>56.659162,36.808559</t>
  </si>
  <si>
    <t>ОБЩЕСТВО С ОГРАНИЧЕННОЙ ОТВЕТСТВЕННОСТЬЮ "КОНАКОВСКИЙ БЕТОН"</t>
  </si>
  <si>
    <t xml:space="preserve"> "КОНАКОВСКИЙ БЕТОН"</t>
  </si>
  <si>
    <t>6949005973</t>
  </si>
  <si>
    <t>171284, ТВЕРСКАЯ ОБЛАСТЬ, РАЙОН КОНАКОВСКИЙ, СЕЛО СЕЛИХОВО, УЛИЦА НОВАЯ, ДОМ 13</t>
  </si>
  <si>
    <t>Козлов Михаил Александрович</t>
  </si>
  <si>
    <t>+7 (915) 748-88-87', '+7 (915) 748-51-11'</t>
  </si>
  <si>
    <t>56.791142,35.910082</t>
  </si>
  <si>
    <t>ОБЩЕСТВО С ОГРАНИЧЕННОЙ ОТВЕТСТВЕННОСТЬЮ "СПЕЦСТРОЙБЕТОН 69"</t>
  </si>
  <si>
    <t xml:space="preserve"> "СПЕЦСТРОЙБЕТОН 69"</t>
  </si>
  <si>
    <t>6949112238</t>
  </si>
  <si>
    <t>170540, ТВЕРСКАЯ ОБЛАСТЬ, РАЙОН КАЛИНИНСКИЙ, ПРОМЫШЛЕННАЯ ЗОНА БОРОВЛЕВО-1, СТРОЕНИЕ 7, ОФИС 12</t>
  </si>
  <si>
    <t>Габриелян Владимир Айрапетович</t>
  </si>
  <si>
    <t>56.700222,36.792982</t>
  </si>
  <si>
    <t>ОБЩЕСТВО С ОГРАНИЧЕННОЙ ОТВЕТСТВЕННОСТЬЮ "ЗАВИДОВО ЖБИ №1"</t>
  </si>
  <si>
    <t xml:space="preserve"> "ЗАВИДОВО ЖБИ №1"</t>
  </si>
  <si>
    <t>6949115084</t>
  </si>
  <si>
    <t>171256, ТВЕРСКАЯ ОБЛ., Конаковский Р-Н, Г. Конаково, УЛ. ВОСТОЧНО-ПРОМЫШЛЕННЫЙ РАЙОН, Д. 2А, СКЛ. МАТЕРИАЛЬНО-ТЕХНИЧЕСКИЙ</t>
  </si>
  <si>
    <t>Бровко Эдуард Юрьевич</t>
  </si>
  <si>
    <t>56.837475,35.874436</t>
  </si>
  <si>
    <t>ОБЩЕСТВО С ОГРАНИЧЕННОЙ ОТВЕТСТВЕННОСТЬЮ "ЭЛТРА"</t>
  </si>
  <si>
    <t xml:space="preserve"> "ЭЛТРА"</t>
  </si>
  <si>
    <t>6950019089</t>
  </si>
  <si>
    <t>170043, ТВЕРСКАЯ ОБЛАСТЬ, ГОРОД ТВЕРЬ, УЛИЦА 8 МАРТА, 23, 13</t>
  </si>
  <si>
    <t>Калинский Александр Викторович</t>
  </si>
  <si>
    <t>56.837352,35.817564</t>
  </si>
  <si>
    <t>ОБЩЕСТВО С ОГРАНИЧЕННОЙ ОТВЕТСТВЕННОСТЬЮ "ТВЕРСКОЙ ЗАВОД ЖБИ"</t>
  </si>
  <si>
    <t xml:space="preserve"> "ТВЕРСКОЙ ЗАВОД ЖБИ"</t>
  </si>
  <si>
    <t>6950036510</t>
  </si>
  <si>
    <t>170040, Тверская область, г Тверь, Пролетарский район, УЛ БОРИХИНО ПОЛЕ, Д 2, ОФИС 44</t>
  </si>
  <si>
    <t>Меркушева Елена Юрьевна</t>
  </si>
  <si>
    <t>ОБЩЕСТВО С ОГРАНИЧЕННОЙ ОТВЕТСТВЕННОСТЬЮ "ТВЕРСКИЕ ЖЕЛЕЗОБЕТОННЫЕ ИЗДЕЛИЯ-3"</t>
  </si>
  <si>
    <t xml:space="preserve"> "ТВЕРСКИЕ ЖЕЛЕЗОБЕТОННЫЕ ИЗДЕЛИЯ-3"</t>
  </si>
  <si>
    <t>6950041327</t>
  </si>
  <si>
    <t>170040, ТВЕРСКАЯ ОБЛАСТЬ, Г. ТВЕРЬ, ПР-КТ НИКОЛАЯ КОРЫТКОВА, Д. 17</t>
  </si>
  <si>
    <t>Стрекаловский Александр Борисович</t>
  </si>
  <si>
    <t>ir@yandex.ru'</t>
  </si>
  <si>
    <t>56.831127,35.819415</t>
  </si>
  <si>
    <t>ОБЩЕСТВО С ОГРАНИЧЕННОЙ ОТВЕТСТВЕННОСТЬЮ "ТК ШЕВРОН"</t>
  </si>
  <si>
    <t xml:space="preserve"> "ТК ШЕВРОН"</t>
  </si>
  <si>
    <t>6950174550</t>
  </si>
  <si>
    <t>170040, ТВЕРСКАЯ ОБЛАСТЬ, ГОРОД ТВЕРЬ, УЛИЦА БОРИХИНО ПОЛЕ, ДОМ 15</t>
  </si>
  <si>
    <t>Почтарёв Михаил Викторович</t>
  </si>
  <si>
    <t>+7 (920) 156-33-33'</t>
  </si>
  <si>
    <t>56.846086,35.817474</t>
  </si>
  <si>
    <t>ОБЩЕСТВО С ОГРАНИЧЕННОЙ ОТВЕТСТВЕННОСТЬЮ "ПРОМЫШЛЕННЫЙ ПАРК РАСЛОВО-БЕТОН"</t>
  </si>
  <si>
    <t xml:space="preserve"> "ПРОМЫШЛЕННЫЙ ПАРК РАСЛОВО-БЕТОН"</t>
  </si>
  <si>
    <t>6950196909</t>
  </si>
  <si>
    <t>170024, Тверская область, городской округ ГОРОД ТВЕРЬ, Город ТВЕРЬ, ПР-КТ НИКОЛАЯ КОРЫТКОВА, Д. 3Б, КОМ. 900</t>
  </si>
  <si>
    <t>Арсеньев Илья Михайлович</t>
  </si>
  <si>
    <t>+7 (915) 719-46-62'</t>
  </si>
  <si>
    <t>56.85621,35.903793</t>
  </si>
  <si>
    <t>ОБЩЕСТВО С ОГРАНИЧЕННОЙ ОТВЕТСТВЕННОСТЬЮ "ТВЕРЬАСФАЛЬТБЕТОН"</t>
  </si>
  <si>
    <t xml:space="preserve"> "ТВЕРЬАСФАЛЬТБЕТОН"</t>
  </si>
  <si>
    <t>6950223951</t>
  </si>
  <si>
    <t>170100, ТВЕРСКАЯ ОБЛАСТЬ, ГОРОД ТВЕРЬ, ПЕРЕУЛОК СВОБОДНЫЙ, ДОМ 3, ОФИС 303</t>
  </si>
  <si>
    <t>Бурлуцкий Николай Александрович</t>
  </si>
  <si>
    <t xml:space="preserve"> ПРОИЗВОДСТВЕННАЯ КОМПАНИЯ "КУБ"</t>
  </si>
  <si>
    <t>6950226840</t>
  </si>
  <si>
    <t>170043, ТВЕРСКАЯ ОБЛАСТЬ, ГОРОД ТВЕРЬ, ШОССЕ ВОЛОКОЛАМСКОЕ, ДОМ 80</t>
  </si>
  <si>
    <t>Мурашова Анна Борисовна</t>
  </si>
  <si>
    <t>56.852027,35.858932</t>
  </si>
  <si>
    <t>ОБЩЕСТВО С ОГРАНИЧЕННОЙ ОТВЕТСТВЕННОСТЬЮ "ФАРТ"</t>
  </si>
  <si>
    <t xml:space="preserve"> "ФАРТ"</t>
  </si>
  <si>
    <t>6950232297</t>
  </si>
  <si>
    <t>170001, ТВЕРСКАЯ ОБЛАСТЬ, ГОРОД ТВЕРЬ, ПРОСПЕКТ КАЛИНИНА, ДОМ 23, ПОМЕЩЕНИЕ 2, ОФИС 301</t>
  </si>
  <si>
    <t>Шаипов Заур Асламбекович</t>
  </si>
  <si>
    <t>56.874877,35.903847</t>
  </si>
  <si>
    <t>ОБЩЕСТВО С ОГРАНИЧЕННОЙ ОТВЕТСТВЕННОСТЬЮ "БЕТОНОКОНТАКТ"</t>
  </si>
  <si>
    <t xml:space="preserve"> "БЕТОНОКОНТАКТ"</t>
  </si>
  <si>
    <t>6952041153</t>
  </si>
  <si>
    <t>170041, ТВЕРСКАЯ ОБЛАСТЬ, ГОРОД ТВЕРЬ, УЛИЦА МУСОРГСКОГО, ДОМ 28, ПОМЕЩЕНИЕ V</t>
  </si>
  <si>
    <t>Гюльмамедов Рафаэль Сахрабович</t>
  </si>
  <si>
    <t>+7 (910) 933-38-73'</t>
  </si>
  <si>
    <t>56.601421,85.352124</t>
  </si>
  <si>
    <t>ОБЩЕСТВО С ОГРАНИЧЕННОЙ ОТВЕТСТВЕННОСТЬЮ "ВЕСТ"</t>
  </si>
  <si>
    <t xml:space="preserve"> "ВЕСТ"</t>
  </si>
  <si>
    <t>7014040920</t>
  </si>
  <si>
    <t>ТОМСКАЯ ОБЛ.,ТОМСКИЙ Р-Н,С СЕМИЛУЖКИ,КОЛХОЗНАЯ УЛ, Д 3, КОРП 1</t>
  </si>
  <si>
    <t>Войцеховский Андрей Александрович</t>
  </si>
  <si>
    <t>56.4937,84.966397</t>
  </si>
  <si>
    <t>ОБЩЕСТВО С ОГРАНИЧЕННОЙ ОТВЕТСТВЕННОСТЬЮ "СП ЖИЛСТРОЙ"</t>
  </si>
  <si>
    <t xml:space="preserve"> "СП ЖИЛСТРОЙ"</t>
  </si>
  <si>
    <t>7017095109</t>
  </si>
  <si>
    <t>Г ТОМСК,ШКОЛЬНЫЙ ПЕР, Д 6</t>
  </si>
  <si>
    <t>Вишняков Сергей Юрьевич</t>
  </si>
  <si>
    <t>56.510507,84.937749</t>
  </si>
  <si>
    <t>ОБЩЕСТВО С ОГРАНИЧЕННОЙ ОТВЕТСТВЕННОСТЬЮ "СЕВЕРСКИЙ БЕТОННЫЙ ЗАВОД"</t>
  </si>
  <si>
    <t xml:space="preserve"> "СЕВЕРСКИЙ БЕТОННЫЙ ЗАВОД"</t>
  </si>
  <si>
    <t>7017393627</t>
  </si>
  <si>
    <t>634009, Томская область, городской округ ГОРОД ТОМСК, Город ТОМСК, УЛ ВОДЯНАЯ, Д. 78, СТР. 5, ПОМЕЩ. 4</t>
  </si>
  <si>
    <t>Бездижий Василий Иванович</t>
  </si>
  <si>
    <t>bonnako@mail.ru', '825012@mail.ru'</t>
  </si>
  <si>
    <t>56.50475,84.947146</t>
  </si>
  <si>
    <t>ОБЩЕСТВО С ОГРАНИЧЕННОЙ ОТВЕТСТВЕННОСТЬЮ "ТОМСКИЕ БЕТОННЫЕ ЗАВОДЫ"</t>
  </si>
  <si>
    <t xml:space="preserve"> "ТОМСКИЕ БЕТОННЫЕ ЗАВОДЫ"</t>
  </si>
  <si>
    <t>7017414242</t>
  </si>
  <si>
    <t>634009, ТОМСКАЯ ОБЛАСТЬ, Г. ТОМСК, ПЕР. ДЕРБЫШЕВСКИЙ, Д. 30</t>
  </si>
  <si>
    <t>Кайгородов Игорь Владимирович</t>
  </si>
  <si>
    <t>56.477691,84.955698</t>
  </si>
  <si>
    <t>ОБЩЕСТВО С ОГРАНИЧЕННОЙ ОТВЕТСТВЕННОСТЬЮ "ТОМСКАЯ БЕТОННО-СТРОИТЕЛЬНАЯ КОМПАНИЯ"</t>
  </si>
  <si>
    <t xml:space="preserve"> "ТОМСКАЯ БЕТОННО-СТРОИТЕЛЬНАЯ КОМПАНИЯ"</t>
  </si>
  <si>
    <t>7017424794</t>
  </si>
  <si>
    <t>634029, ТОМСКАЯ ОБЛАСТЬ, ГОРОД ТОМСК, УЛИЦА КРЫЛОВА, ДОМ 22,..</t>
  </si>
  <si>
    <t>Грицков Вячеслав Владимирович</t>
  </si>
  <si>
    <t>56.524983,85.006363</t>
  </si>
  <si>
    <t>ОБЩЕСТВО С ОГРАНИЧЕННОЙ ОТВЕТСТВЕННОСТЬЮ "ТОП БЕТОН ПЛЮС"</t>
  </si>
  <si>
    <t xml:space="preserve"> "ТОП БЕТОН ПЛЮС"</t>
  </si>
  <si>
    <t>7017443116</t>
  </si>
  <si>
    <t>634015, ТОМСКАЯ ОБЛАСТЬ, ГОРОД ТОМСК, ПРОЕЗД 1-Й ВИЛЮЙСКИЙ, ДОМ 8А, ОФИС 5</t>
  </si>
  <si>
    <t>Шпаренко Антон Александрович</t>
  </si>
  <si>
    <t>56.475777,84.997838</t>
  </si>
  <si>
    <t>ОБЩЕСТВО С ОГРАНИЧЕННОЙ ОТВЕТСТВЕННОСТЬЮ "ТРАНСПРОМСЕРВИС"</t>
  </si>
  <si>
    <t xml:space="preserve"> "ТРАНСПРОМСЕРВИС"</t>
  </si>
  <si>
    <t>7017487145</t>
  </si>
  <si>
    <t>634021, ТОМСКАЯ ОБЛ., Г. Томск, ПР-КТ ФРУНЗЕ, Д. 115В, ОФИС 219</t>
  </si>
  <si>
    <t>Гришаев Владимир Константинович</t>
  </si>
  <si>
    <t>TOMSK@GMAIL.COM'</t>
  </si>
  <si>
    <t>56.740433,84.700118</t>
  </si>
  <si>
    <t>ОБЩЕСТВО С ОГРАНИЧЕННОЙ ОТВЕТСТВЕННОСТЬЮ "СЕВЕРСКБЕТОНСТРОЙ ИНЖИНИРИНГ"</t>
  </si>
  <si>
    <t xml:space="preserve"> "СЕВЕРСКБЕТОНСТРОЙ ИНЖИНИРИНГ"</t>
  </si>
  <si>
    <t>7024040196</t>
  </si>
  <si>
    <t>ТОМСКАЯ ОБЛ.,Г СЕВЕРСК,П САМУСЬ,УЛ ПЕКАРСКОГО, Д 25,..</t>
  </si>
  <si>
    <t>Ганжелюк Михаил Михайлович</t>
  </si>
  <si>
    <t>54.175234,37.599175</t>
  </si>
  <si>
    <t>ОБЩЕСТВО С ОГРАНИЧЕННОЙ ОТВЕТСТВЕННОСТЬЮ "ИНСТРОЙ"</t>
  </si>
  <si>
    <t xml:space="preserve"> "ИНСТРОЙ"</t>
  </si>
  <si>
    <t>7100001392</t>
  </si>
  <si>
    <t>300012, ТУЛЬСКАЯ ОБЛАСТЬ, ГОРОД ТУЛА, ПРОСПЕКТ ЛЕНИНА, ДОМ 85, КОРПУС 6, ОФИС 303А,3 ЭТАЖ</t>
  </si>
  <si>
    <t>Юнчиков Александр Сергеевич</t>
  </si>
  <si>
    <t>54.20819,37.631038</t>
  </si>
  <si>
    <t>ОБЩЕСТВО С ОГРАНИЧЕННОЙ ОТВЕТСТВЕННОСТЬЮ "ТУЛЬСКИЙ БЕТОННЫЙ ЗАВОД"</t>
  </si>
  <si>
    <t xml:space="preserve"> "ТУЛЬСКИЙ БЕТОННЫЙ ЗАВОД"</t>
  </si>
  <si>
    <t>7100008976</t>
  </si>
  <si>
    <t>300002, ТУЛЬСКАЯ ОБЛ., Г. Тула, УЛ. ВЯЗЕМСКАЯ, Д. 8, СТР. НЕЖИЛОЕ ЗДАНИЕ, ПОМЕЩ. 1</t>
  </si>
  <si>
    <t>Шкамратов Иван Николаевич</t>
  </si>
  <si>
    <t>TBZAVOD071@MAIL.RU'</t>
  </si>
  <si>
    <t>54.225475,37.658652</t>
  </si>
  <si>
    <t>ОБЩЕСТВО С ОГРАНИЧЕННОЙ ОТВЕТСТВЕННОСТЬЮ "БРУ БАРСУКИ"</t>
  </si>
  <si>
    <t xml:space="preserve"> "БРУ БАРСУКИ"</t>
  </si>
  <si>
    <t>7100016470</t>
  </si>
  <si>
    <t>300004, Тульская область, ГОРОД ТУЛА, Г ТУЛА, Ш ВЕНЕВСКОЕ, Д. 4, К. 26</t>
  </si>
  <si>
    <t>Федосов Олег Анатольевич</t>
  </si>
  <si>
    <t>BRU0606@YANDEX.RU'</t>
  </si>
  <si>
    <t>54.176109,37.599453</t>
  </si>
  <si>
    <t>ОБЩЕСТВО С ОГРАНИЧЕННОЙ ОТВЕТСТВЕННОСТЬЮ "ТУЛМИКС-БЕТОН"</t>
  </si>
  <si>
    <t xml:space="preserve"> "ТУЛМИКС-БЕТОН"</t>
  </si>
  <si>
    <t>7103053374</t>
  </si>
  <si>
    <t>300012, ТУЛЬСКАЯ ОБЛАСТЬ, ГОРОД ТУЛА, ПРОСПЕКТ ЛЕНИНА, ДОМ 85, ЛИТЕРА Г, ОФИС 210</t>
  </si>
  <si>
    <t>Рустамов Лукман Рустамович</t>
  </si>
  <si>
    <t>+7 (905) 116-99-55', '+7 (960) 606-66-00'</t>
  </si>
  <si>
    <t>54.210902,37.633014</t>
  </si>
  <si>
    <t>ОБЩЕСТВО С ОГРАНИЧЕННОЙ ОТВЕТСТВЕННОСТЬЮ "БЕТОН В25"</t>
  </si>
  <si>
    <t xml:space="preserve"> "БЕТОН В25"</t>
  </si>
  <si>
    <t>7103055678</t>
  </si>
  <si>
    <t>300002, ТУЛЬСКАЯ ОБЛАСТЬ, ГОРОД ТУЛА, УЛИЦА СЫЗРАНСКАЯ, ДОМ 10А, ОФИС 1</t>
  </si>
  <si>
    <t>Дмитриева Надежда Владимировна</t>
  </si>
  <si>
    <t>ОБЩЕСТВО С ОГРАНИЧЕННОЙ ОТВЕТСТВЕННОСТЬЮ "ПРОИЗВОДСТВЕННАЯ КОМПАНИЯ "СОВРЕМЕННЫЕ БЕТОННЫЕ ТЕХНОЛОГИИ"</t>
  </si>
  <si>
    <t xml:space="preserve"> "ПРОИЗВОДСТВЕННАЯ КОМПАНИЯ "СОВРЕМЕННЫЕ БЕТОННЫЕ ТЕХНОЛОГИИ"</t>
  </si>
  <si>
    <t>7104085393</t>
  </si>
  <si>
    <t>300034, Тульская область, городской округ ГОРОД ТУЛА, Город ТУЛА, УЛ ПУШКИНСКАЯ, Д. 57Б, ПОМЕЩ. 4, ЭТАЖ 1 ЗД. НЕЖИЛОЕ</t>
  </si>
  <si>
    <t>Матвеева Надежда Ильинична</t>
  </si>
  <si>
    <t>53.142032,38.099761</t>
  </si>
  <si>
    <t>ОБЩЕСТВО С ОГРАНИЧЕННОЙ ОТВЕТСТВЕННОСТЬЮ "ЕВРОБЕТОНСТРОЙ"</t>
  </si>
  <si>
    <t xml:space="preserve"> "ЕВРОБЕТОНСТРОЙ"</t>
  </si>
  <si>
    <t>7106028295</t>
  </si>
  <si>
    <t>ТУЛЬСКАЯ ОБЛ.,Г ЕФРЕМОВ,УЛ НОВАЯ Д 18</t>
  </si>
  <si>
    <t>Галицкий Алексей Юрьевич</t>
  </si>
  <si>
    <t>+7 (930) 074-12-94'</t>
  </si>
  <si>
    <t>54.189624,37.599786</t>
  </si>
  <si>
    <t>ОБЩЕСТВО С ОГРАНИЧЕННОЙ ОТВЕТСТВЕННОСТЬЮ "УПРАВЛЯЮЩАЯ КОМПАНИЯ НК СЕРВИС"</t>
  </si>
  <si>
    <t xml:space="preserve"> "УПРАВЛЯЮЩАЯ КОМПАНИЯ НК СЕРВИС"</t>
  </si>
  <si>
    <t>7106522169</t>
  </si>
  <si>
    <t>300035, ТУЛЬСКАЯ ОБЛАСТЬ, Г. ТУЛА, УЛ. С.ПЕРОВСКОЙ, Д. 4</t>
  </si>
  <si>
    <t>Антюфеев Борис Константинович</t>
  </si>
  <si>
    <t>54.157634,37.633616</t>
  </si>
  <si>
    <t>ОБЩЕСТВО С ОГРАНИЧЕННОЙ ОТВЕТСТВЕННОСТЬЮ "СТРОИТЕЛЬНО-ИНВЕСТИЦИОННАЯ КОМПАНИЯ ТУЛАБЕТОНСТРОЙ"</t>
  </si>
  <si>
    <t xml:space="preserve"> "СТРОИТЕЛЬНО-ИНВЕСТИЦИОННАЯ КОМПАНИЯ ТУЛАБЕТОНСТРОЙ"</t>
  </si>
  <si>
    <t>7107090360</t>
  </si>
  <si>
    <t>http://тулабетонстрой.рф</t>
  </si>
  <si>
    <t>Г ТУЛА,НОВОМОСКОВСКОЕ ШОССЕ Д 56/58</t>
  </si>
  <si>
    <t>Помозов Евгений Александрович</t>
  </si>
  <si>
    <t>+7 (906) 530-40-50'</t>
  </si>
  <si>
    <t>54.180767,37.628685</t>
  </si>
  <si>
    <t>ОБЩЕСТВО С ОГРАНИЧЕННОЙ ОТВЕТСТВЕННОСТЬЮ "БАРСУКОВСКИЙ БЕТОН"</t>
  </si>
  <si>
    <t xml:space="preserve"> "БАРСУКОВСКИЙ БЕТОН"</t>
  </si>
  <si>
    <t>7107551211</t>
  </si>
  <si>
    <t>300007, Тульская область, г Тула, Центральный район, ул Староникитская, дом 90, помещение IV</t>
  </si>
  <si>
    <t>Косаулин Михаил Владимирович</t>
  </si>
  <si>
    <t>+7 (905) 626-20-00', '+7 (905) 111-74-74'</t>
  </si>
  <si>
    <t>barbet@mail.ru', 'tula@mail.ru'</t>
  </si>
  <si>
    <t>54.505864,37.144142</t>
  </si>
  <si>
    <t>ОБЩЕСТВО С ОГРАНИЧЕННОЙ ОТВЕТСТВЕННОСТЬЮ " АВРОРА"</t>
  </si>
  <si>
    <t xml:space="preserve"> " АВРОРА"</t>
  </si>
  <si>
    <t>7111021087</t>
  </si>
  <si>
    <t>301355, ТУЛЬСКАЯ ОБЛАСТЬ, Р-Н АЛЕКСИНСКИЙ, Д КУДАШЕВКА, УЛ. СОВРЕМЕННАЯ, Д. 2</t>
  </si>
  <si>
    <t>Муравлев Сергей Владимирович</t>
  </si>
  <si>
    <t>+7 (919) 078-11-11'</t>
  </si>
  <si>
    <t>53.766548,38.147965</t>
  </si>
  <si>
    <t>ОБЩЕСТВО С ОГРАНИЧЕННОЙ ОТВЕТСТВЕННОСТЬЮ "ТУЛАРЕГИОН-ИНВЕСТ"</t>
  </si>
  <si>
    <t xml:space="preserve"> "ТУЛАРЕГИОН-ИНВЕСТ"</t>
  </si>
  <si>
    <t>7112027902</t>
  </si>
  <si>
    <t>301832, ТУЛЬСКАЯ ОБЛ., Р-Н Богородицкий, Г. Богородицк, МКР. ВОСТОЧНЫЙ, Д. 3,..</t>
  </si>
  <si>
    <t>Дульнев Дмитрий Сергеевич</t>
  </si>
  <si>
    <t>+7 (930) 791-15-79'</t>
  </si>
  <si>
    <t>tulainvest2015@yandex.ru'</t>
  </si>
  <si>
    <t>53.158871,38.111556</t>
  </si>
  <si>
    <t>ОБЩЕСТВО С ОГРАНИЧЕННОЙ ОТВЕТСТВЕННОСТЬЮ "КОМПОЗИТ"</t>
  </si>
  <si>
    <t xml:space="preserve"> "КОМПОЗИТ"</t>
  </si>
  <si>
    <t>7113010531</t>
  </si>
  <si>
    <t>301840, ТУЛЬСКАЯ ОБЛАСТЬ, Р-Н ЕФРЕМОВСКИЙ, Г. ЕФРЕМОВ, УЛ. ЗАВОДСКАЯ, Д. 11, ОФИС 2</t>
  </si>
  <si>
    <t>Громова Любовь Николаевна</t>
  </si>
  <si>
    <t>+7 (962) 275-00-95'</t>
  </si>
  <si>
    <t>53.139893,38.117323</t>
  </si>
  <si>
    <t>ОБЩЕСТВО С ОГРАНИЧЕННОЙ ОТВЕТСТВЕННОСТЬЮ "АРМСТРОЙ"</t>
  </si>
  <si>
    <t xml:space="preserve"> "АРМСТРОЙ"</t>
  </si>
  <si>
    <t>7113015466</t>
  </si>
  <si>
    <t>301840, ТУЛЬСКАЯ ОБЛ., Р-Н Ефремовский, Г. Ефремов, УЛ. СВЕРДЛОВА, Д. 23, ОФИС 14 ЭТАЖ 1</t>
  </si>
  <si>
    <t>Мукучян Шаген Саргси</t>
  </si>
  <si>
    <t>np911@list.ru'</t>
  </si>
  <si>
    <t>54.005591,38.309976</t>
  </si>
  <si>
    <t xml:space="preserve"> "ФОРТУНА"</t>
  </si>
  <si>
    <t>7116018391</t>
  </si>
  <si>
    <t>ТУЛЬСКАЯ ОБЛ.,Г НОВОМОСКОВСК,УЛ МАЯКОВСКОГО Д 34</t>
  </si>
  <si>
    <t>Семин Андрей Николаевич</t>
  </si>
  <si>
    <t>+7 (910) 943-99-88'</t>
  </si>
  <si>
    <t>54.07944,38.207298</t>
  </si>
  <si>
    <t>ОБЩЕСТВО С ОГРАНИЧЕННОЙ ОТВЕТСТВЕННОСТЬЮ "НИКА ПЛЮС"</t>
  </si>
  <si>
    <t xml:space="preserve"> "НИКА ПЛЮС"</t>
  </si>
  <si>
    <t>7116154517</t>
  </si>
  <si>
    <t>301651, ТУЛЬСКАЯ ОБЛАСТЬ, РАЙОН НОВОМОСКОВСКИЙ, ГОРОД НОВОМОСКОВСК, УЛИЦА СВОБОДЫ, ДОМ 9</t>
  </si>
  <si>
    <t>Жилин Владимир Васильевич</t>
  </si>
  <si>
    <t>+7 (961) 261-75-62'</t>
  </si>
  <si>
    <t>54.007104,38.28679</t>
  </si>
  <si>
    <t>ОБЩЕСТВО С ОГРАНИЧЕННОЙ ОТВЕТСТВЕННОСТЬЮ "ЭТО-БЕТОН"</t>
  </si>
  <si>
    <t xml:space="preserve"> "ЭТО-БЕТОН"</t>
  </si>
  <si>
    <t>7116156553</t>
  </si>
  <si>
    <t>301664, ТУЛЬСКАЯ ОБЛАСТЬ, Р-Н НОВОМОСКОВСКИЙ, Г. НОВОМОСКОВСК, УЛ. ШАХТЕРОВ, Д. 6/13, ОФИС 1</t>
  </si>
  <si>
    <t>Филоненко Василий Павлович</t>
  </si>
  <si>
    <t>54.007967,38.254253</t>
  </si>
  <si>
    <t>ОБЩЕСТВО С ОГРАНИЧЕННОЙ ОТВЕТСТВЕННОСТЬЮ "НОВОМОСКОВСКИЙ ЗАВОД ТОВАРНЫХ БЕТОНОВ"</t>
  </si>
  <si>
    <t xml:space="preserve"> "НОВОМОСКОВСКИЙ ЗАВОД ТОВАРНЫХ БЕТОНОВ"</t>
  </si>
  <si>
    <t>7116159762</t>
  </si>
  <si>
    <t>301657, ТУЛЬСКАЯ ОБЛАСТЬ, НОВОМОСКОВСКИЙ РАЙОН, ГОРОД НОВОМОСКОВСК, УЛИЦА КОСМОНАВТОВ, ДОМ 35, ПОМЕЩЕНИЕ 1, ЭТАЖ 1</t>
  </si>
  <si>
    <t>Варчев Александр Анатольевич</t>
  </si>
  <si>
    <t>54.048009,38.260317</t>
  </si>
  <si>
    <t>ОБЩЕСТВО С ОГРАНИЧЕННОЙ ОТВЕТСТВЕННОСТЬЮ "СК-Регион"</t>
  </si>
  <si>
    <t xml:space="preserve"> "СК-Регион"</t>
  </si>
  <si>
    <t>7116510363</t>
  </si>
  <si>
    <t>301654, ТУЛЬСКАЯ ОБЛАСТЬ, РАЙОН НОВОМОСКОВСКИЙ, ГОРОД НОВОМОСКОВСК, ШОССЕ КОМСОМОЛЬСКОЕ, 4, ОФИС 11</t>
  </si>
  <si>
    <t>Жуков Александр Николаевич</t>
  </si>
  <si>
    <t>+7 (910) 580-05-75', '+7 (920) 773-08-82'</t>
  </si>
  <si>
    <t>t22111980s@yandex.ru'</t>
  </si>
  <si>
    <t>54.163607,37.594531</t>
  </si>
  <si>
    <t xml:space="preserve"> "ПАРУС"</t>
  </si>
  <si>
    <t>7125004116</t>
  </si>
  <si>
    <t>Г ТУЛА,УЛ СТАНИСЛАВСКОГО Д 18-А..</t>
  </si>
  <si>
    <t>Савичев Алексей Евгеньевич</t>
  </si>
  <si>
    <t>54.736816,37.395805</t>
  </si>
  <si>
    <t>ОБЩЕСТВО С ОГРАНИЧЕННОЙ ОТВЕТСТВЕННОСТЬЮ "СПЕЦМАТЕРИАЛЫ"</t>
  </si>
  <si>
    <t xml:space="preserve"> "СПЕЦМАТЕРИАЛЫ"</t>
  </si>
  <si>
    <t>7148000012</t>
  </si>
  <si>
    <t>301000, ТУЛЬСКАЯ ОБЛАСТЬ, ЗАОКСКИЙ РАЙОН, РАБОЧИЙ ПОСЕЛОК ЗАОКСКИЙ, УЛИЦА ЛЕНИНА, ДОМ 68</t>
  </si>
  <si>
    <t>Зацепин Александр Олегович</t>
  </si>
  <si>
    <t>57.113008,65.631346</t>
  </si>
  <si>
    <t>ОБЩЕСТВО С ОГРАНИЧЕННОЙ ОТВЕТСТВЕННОСТЬЮ "ПИРС"</t>
  </si>
  <si>
    <t xml:space="preserve"> "ПИРС"</t>
  </si>
  <si>
    <t>7202031068</t>
  </si>
  <si>
    <t>Г ТЮМЕНЬ,УЛ РЕСПУБЛИКИ, Д 252 КОРП 7</t>
  </si>
  <si>
    <t>Машков Михаил Николаевич</t>
  </si>
  <si>
    <t>betonpirs@mail.ru', 'irss@rambler.ru'</t>
  </si>
  <si>
    <t>60.940258,76.609289</t>
  </si>
  <si>
    <t>ОБЩЕСТВО С ОГРАНИЧЕННОЙ ОТВЕТСТВЕННОСТЬЮ "ТЕМПСТРОЙ БЕТОН"</t>
  </si>
  <si>
    <t xml:space="preserve"> "ТЕМПСТРОЙ БЕТОН"</t>
  </si>
  <si>
    <t>7202252797</t>
  </si>
  <si>
    <t>ТЮМЕНСКАЯ ОБЛ.,ХАНТЫ-МАНСИЙСКИЙ АВТ. ОКРУГ,Г НИЖНЕВАРТОВСК,УЛ ПЕРМСКАЯ,Д 12..</t>
  </si>
  <si>
    <t>Филатов Сергей Николаевич</t>
  </si>
  <si>
    <t>57.108257,65.5692</t>
  </si>
  <si>
    <t>ОБЩЕСТВО С ОГРАНИЧЕННОЙ ОТВЕТСТВЕННОСТЬЮ "ТЮМЕНЬДОРСЕРВИС"</t>
  </si>
  <si>
    <t xml:space="preserve"> "ТЮМЕНЬДОРСЕРВИС"</t>
  </si>
  <si>
    <t>7203302497</t>
  </si>
  <si>
    <t>625033, ТЮМЕНСКАЯ ОБЛАСТЬ, ГОРОД ТЮМЕНЬ, УЛИЦА ПРОКОПИЯ АРТАМОНОВА, ДОМ 3,..</t>
  </si>
  <si>
    <t>Александрова Наталья Николаевна</t>
  </si>
  <si>
    <t>+7 (919) 931-58-04'</t>
  </si>
  <si>
    <t>mk@mail.ru'</t>
  </si>
  <si>
    <t>57.148459,65.562131</t>
  </si>
  <si>
    <t>ОБЩЕСТВО С ОГРАНИЧЕННОЙ ОТВЕТСТВЕННОСТЬЮ "ЭВКАЛИПТ"</t>
  </si>
  <si>
    <t xml:space="preserve"> "ЭВКАЛИПТ"</t>
  </si>
  <si>
    <t>7203362739</t>
  </si>
  <si>
    <t>625048, Тюменская область, городской округ ГОРОД ТЮМЕНЬ, Город ТЮМЕНЬ, УЛ МАКСИМА ГОРЬКОГО, Д. 47,..</t>
  </si>
  <si>
    <t>Осипов Евгений Геннадьевич</t>
  </si>
  <si>
    <t>+7 (929) 268-76-45'</t>
  </si>
  <si>
    <t>57.150753,65.583933</t>
  </si>
  <si>
    <t>ОБЩЕСТВО С ОГРАНИЧЕННОЙ ОТВЕТСТВЕННОСТЬЮ "ТЮМЕНЬСТРОЙСЕРВИС"</t>
  </si>
  <si>
    <t xml:space="preserve"> "ТЮМЕНЬСТРОЙСЕРВИС"</t>
  </si>
  <si>
    <t>7203364461</t>
  </si>
  <si>
    <t>625048, ТЮМЕНСКАЯ ОБЛАСТЬ, Г. ТЮМЕНЬ, УЛ. МИНСКАЯ, Д. 9 Б, ОФИС 310</t>
  </si>
  <si>
    <t>Букат Наталья Андреевна</t>
  </si>
  <si>
    <t>+7 (982) 723-96-27'</t>
  </si>
  <si>
    <t>tumenstroyservice@gmail.com'</t>
  </si>
  <si>
    <t>57.18508,65.595305</t>
  </si>
  <si>
    <t>ОБЩЕСТВО С ОГРАНИЧЕННОЙ ОТВЕТСТВЕННОСТЬЮ "ПРОИЗВОДСТВЕННО-СТРОИТЕЛЬНАЯ КОМПАНИЯ СОГЛАСИЕ"</t>
  </si>
  <si>
    <t xml:space="preserve"> "ПРОИЗВОДСТВЕННО-СТРОИТЕЛЬНАЯ КОМПАНИЯ СОГЛАСИЕ"</t>
  </si>
  <si>
    <t>7203380826</t>
  </si>
  <si>
    <t>625031, ТЮМЕНСКАЯ ОБЛАСТЬ, ГОРОД ТЮМЕНЬ, УЛИЦА ВЕТЕРАНОВ ТРУДА, ДОМ 32А</t>
  </si>
  <si>
    <t>Абдулов Рустам Зуфарович</t>
  </si>
  <si>
    <t>+7 (932) 321-46-99'</t>
  </si>
  <si>
    <t>57.118315,65.602393</t>
  </si>
  <si>
    <t>ОБЩЕСТВО С ОГРАНИЧЕННОЙ ОТВЕТСТВЕННОСТЬЮ "ТВОЯ УСАДЬБА"</t>
  </si>
  <si>
    <t xml:space="preserve"> "ТВОЯ УСАДЬБА"</t>
  </si>
  <si>
    <t>7203382855</t>
  </si>
  <si>
    <t>625019, ТЮМЕНСКАЯ ОБЛАСТЬ, ГОРОД ТЮМЕНЬ, УЛИЦА РЕСПУБЛИКИ, ДОМ 204А, СТРОЕНИЕ 1</t>
  </si>
  <si>
    <t>Колмогорова Екатерина Викторовна</t>
  </si>
  <si>
    <t>+7 (912) 923-92-39', '+7 (982) 783-79-25'</t>
  </si>
  <si>
    <t>57.149665,65.532271</t>
  </si>
  <si>
    <t>ОБЩЕСТВО С ОГРАНИЧЕННОЙ ОТВЕТСТВЕННОСТЬЮ "АЛЬЯНСБЕТОН"</t>
  </si>
  <si>
    <t xml:space="preserve"> "АЛЬЯНСБЕТОН"</t>
  </si>
  <si>
    <t>7203410260</t>
  </si>
  <si>
    <t>625000, ТЮМЕНСКАЯ ОБЛАСТЬ, ГОРОД ТЮМЕНЬ, УЛИЦА КУЗНЕЦОВА, ДОМ 13,..</t>
  </si>
  <si>
    <t>Миллер Татьяна Николаевна</t>
  </si>
  <si>
    <t>+7 (919) 957-82-49'</t>
  </si>
  <si>
    <t>57.116101,65.606687</t>
  </si>
  <si>
    <t>ОБЩЕСТВО С ОГРАНИЧЕННОЙ ОТВЕТСТВЕННОСТЬЮ "ПЧЕЛКА"</t>
  </si>
  <si>
    <t xml:space="preserve"> "ПЧЕЛКА"</t>
  </si>
  <si>
    <t>7203427457</t>
  </si>
  <si>
    <t>625019, ТЮМЕНСКАЯ ОБЛАСТЬ, ГОРОД ТЮМЕНЬ, УЛИЦА РЕСПУБЛИКИ, ДОМ 204А, СТРОЕНИЕ 9</t>
  </si>
  <si>
    <t>+7 (912) 923-92-39'</t>
  </si>
  <si>
    <t>pchelka@yandex.ru', 'phelka@yandex.ru'</t>
  </si>
  <si>
    <t>47.136283,52.6914</t>
  </si>
  <si>
    <t>ОБЩЕСТВО С ОГРАНИЧЕННОЙ ОТВЕТСТВЕННОСТЬЮ "ВЫБОР"</t>
  </si>
  <si>
    <t xml:space="preserve"> "ВЫБОР"</t>
  </si>
  <si>
    <t>7203443089</t>
  </si>
  <si>
    <t>УЛЬЯНОВСКАЯ ОБЛ.,РП ПАВЛОВКА,УЛ КАЛИНИНА, Д 26</t>
  </si>
  <si>
    <t>Мишкин Виктор Михайлович</t>
  </si>
  <si>
    <t>+7 (929) 265-92-41'</t>
  </si>
  <si>
    <t>ОБЩЕСТВО С ОГРАНИЧЕННОЙ ОТВЕТСТВЕННОСТЬЮ "ТЮМЕНСКИЙ БЕТОННЫЙ ЗАВОД"</t>
  </si>
  <si>
    <t xml:space="preserve"> "ТЮМЕНСКИЙ БЕТОННЫЙ ЗАВОД"</t>
  </si>
  <si>
    <t>7203446629</t>
  </si>
  <si>
    <t>625049, ТЮМЕНСКАЯ ОБЛАСТЬ, ГОРОД ТЮМЕНЬ, УЛИЦА МОСКОВСКИЙ ТРАКТ, ДОМ 145,..</t>
  </si>
  <si>
    <t>Асланян Карен Каджикович</t>
  </si>
  <si>
    <t>+7 (961) 779-00-66'</t>
  </si>
  <si>
    <t>57.112324,65.590059</t>
  </si>
  <si>
    <t>ОБЩЕСТВО С ОГРАНИЧЕННОЙ ОТВЕТСТВЕННОСТЬЮ "АСФАЛЬТ БЕТОН"</t>
  </si>
  <si>
    <t xml:space="preserve"> "АСФАЛЬТ БЕТОН"</t>
  </si>
  <si>
    <t>7203458624</t>
  </si>
  <si>
    <t>625046, ТЮМЕНСКАЯ ОБЛАСТЬ, ГОРОД ТЮМЕНЬ, УЛИЦА ОЛИМПИЙСКАЯ, ДОМ 10,..</t>
  </si>
  <si>
    <t>Боришполь Дмитрий Викторович</t>
  </si>
  <si>
    <t>57.104865,65.588918</t>
  </si>
  <si>
    <t xml:space="preserve"> "БЕТОНТОРГ"</t>
  </si>
  <si>
    <t>7203503394</t>
  </si>
  <si>
    <t>625046, ТЮМЕНСКАЯ ОБЛАСТЬ, ГОРОД ТЮМЕНЬ, УЛИЦА ШИРОТНАЯ, ДОМ 148, КОРПУС 3,..</t>
  </si>
  <si>
    <t>Карнач Александр Юрьевич</t>
  </si>
  <si>
    <t>+7 (345) 238-18-88'</t>
  </si>
  <si>
    <t>natalyasimonova15@mail.ru', 'betontorg72@mail.ru', 'poletaevasous@mail.ru', 'natalyasimoniva15@mail.ru'</t>
  </si>
  <si>
    <t>57.139605,65.59394</t>
  </si>
  <si>
    <t>ОБЩЕСТВО С ОГРАНИЧЕННОЙ ОТВЕТСТВЕННОСТЬЮ "ЗАПАДНО-СИБИРСКИЙ КЕРАМЗИТОБЕТОН"</t>
  </si>
  <si>
    <t xml:space="preserve"> "ЗАПАДНО-СИБИРСКИЙ КЕРАМЗИТОБЕТОН"</t>
  </si>
  <si>
    <t>7203512977</t>
  </si>
  <si>
    <t>625013, Тюменская область, городской округ ГОРОД ТЮМЕНЬ, Город ТЮМЕНЬ, УЛ 50 ЛЕТ ОКТЯБРЯ, Д. 57А,..</t>
  </si>
  <si>
    <t>+7 (904) 499-33-38'</t>
  </si>
  <si>
    <t>8888@YANDEX.RU'</t>
  </si>
  <si>
    <t>57.156182,65.54588</t>
  </si>
  <si>
    <t>ОБЩЕСТВО С ОГРАНИЧЕННОЙ ОТВЕТСТВЕННОСТЬЮ "ТЕМПСТРОЙ ЯМАЛ"</t>
  </si>
  <si>
    <t xml:space="preserve"> "ТЕМПСТРОЙ ЯМАЛ"</t>
  </si>
  <si>
    <t>7203513427</t>
  </si>
  <si>
    <t>625000, ТЮМЕНСКАЯ ОБЛ., Г. Тюмень, УЛ. СОВЕТСКАЯ, Д. 51, К. 2,..</t>
  </si>
  <si>
    <t>+7 (922) 474-03-28'</t>
  </si>
  <si>
    <t>57.110862,65.578139</t>
  </si>
  <si>
    <t>ОБЩЕСТВО С ОГРАНИЧЕННОЙ ОТВЕТСТВЕННОСТЬЮ "КОНКРИД"</t>
  </si>
  <si>
    <t xml:space="preserve"> "КОНКРИД"</t>
  </si>
  <si>
    <t>7203515689</t>
  </si>
  <si>
    <t>625051, ТЮМЕНСКАЯ ОБЛ., Г. Тюмень, УЛ. ШИРОТНАЯ, Д. 100, К. 1,..</t>
  </si>
  <si>
    <t>Ильченко Антон Александрович</t>
  </si>
  <si>
    <t>KONKRID72@MAIL.RU'</t>
  </si>
  <si>
    <t>57.157085,65.365957</t>
  </si>
  <si>
    <t xml:space="preserve"> "ХОРОШИЙ БЕТОН"</t>
  </si>
  <si>
    <t>7203522291</t>
  </si>
  <si>
    <t>625061, ТЮМЕНСКАЯ ОБЛ., Г. Тюмень, УЛ. КУПЦОВ КУХТЕРИНЫХ, Д. 45</t>
  </si>
  <si>
    <t>Бронских Александр Евгеньевич</t>
  </si>
  <si>
    <t>HBETON2021@GMAIL.COM'</t>
  </si>
  <si>
    <t>57.144928,65.545233</t>
  </si>
  <si>
    <t>ОБЩЕСТВО С ОГРАНИЧЕННОЙ ОТВЕТСТВЕННОСТЬЮ "ЕВРОПРОМ"</t>
  </si>
  <si>
    <t xml:space="preserve"> "ЕВРОПРОМ"</t>
  </si>
  <si>
    <t>7203528279</t>
  </si>
  <si>
    <t>625048, ТЮМЕНСКАЯ ОБЛ., Г. Тюмень, УЛ. МАЛЫГИНА, Д. 4, ОФИС 1</t>
  </si>
  <si>
    <t>Лепихин Дмитрий Николаевич</t>
  </si>
  <si>
    <t>DIMAN72RU@MAIL.RU'</t>
  </si>
  <si>
    <t>57.129015,65.618823</t>
  </si>
  <si>
    <t>ОБЩЕСТВО С ОГРАНИЧЕННОЙ ОТВЕТСТВЕННОСТЬЮ ТОРГОВЫЙ ДОМ "МЕТАЛЛРЕСУРС"</t>
  </si>
  <si>
    <t xml:space="preserve"> ТОРГОВЫЙ ДОМ "МЕТАЛЛРЕСУРС"</t>
  </si>
  <si>
    <t>7203534032</t>
  </si>
  <si>
    <t>625019, Тюменская область, ГОРОД ТЮМЕНЬ, Г ТЮМЕНЬ, УЛ ГИЛЕВСКАЯ РОЩА, Д. 14,СТР. 6</t>
  </si>
  <si>
    <t>57.135014,65.5571</t>
  </si>
  <si>
    <t>ОБЩЕСТВО С ОГРАНИЧЕННОЙ ОТВЕТСТВЕННОСТЬЮ "ТРАНСПОРТНАЯ НЕФТЕГАЗОВАЯ СТРОИТЕЛЬНАЯ ГРУППА"</t>
  </si>
  <si>
    <t xml:space="preserve"> "ТРАНСПОРТНАЯ НЕФТЕГАЗОВАЯ СТРОИТЕЛЬНАЯ ГРУППА"</t>
  </si>
  <si>
    <t>7204161256</t>
  </si>
  <si>
    <t>625026, ТЮМЕНСКАЯ ОБЛ., Г. Тюмень, УЛ. 50 ЛЕТ ВЛКСМ, Д. 49, СТР. 3, ОФИС 902</t>
  </si>
  <si>
    <t>Кривоносов Федор Иванович</t>
  </si>
  <si>
    <t>56.101328,69.401377</t>
  </si>
  <si>
    <t>7205031242</t>
  </si>
  <si>
    <t>627750, ТЮМЕНСКАЯ ОБЛАСТЬ, ГОРОД ИШИМ, УЛИЦА БЛЮХЕРА, ДОМ 4, КОРПУС 2,..</t>
  </si>
  <si>
    <t>Макушина Татьяна Сергеевна</t>
  </si>
  <si>
    <t>58.280655,68.261856</t>
  </si>
  <si>
    <t>ОБЩЕСТВО С ОГРАНИЧЕННОЙ ОТВЕТСТВЕННОСТЬЮ "СИБИРСКАЯ СТРОИТЕЛЬНАЯ ИНВЕСТИЦИОННАЯ КОМПАНИЯ"</t>
  </si>
  <si>
    <t xml:space="preserve"> "СИБИРСКАЯ СТРОИТЕЛЬНАЯ ИНВЕСТИЦИОННАЯ КОМПАНИЯ"</t>
  </si>
  <si>
    <t>7206040257</t>
  </si>
  <si>
    <t>626150, ТЮМЕНСКАЯ ОБЛАСТЬ, Г. ТОБОЛЬСК, УЛ. БСИ-1, КВАРТАЛ 2, №1/2</t>
  </si>
  <si>
    <t>Булдакова Нина Николаевна</t>
  </si>
  <si>
    <t>+7 (912) 999-88-95'</t>
  </si>
  <si>
    <t>58.222084,68.421064</t>
  </si>
  <si>
    <t>ОБЩЕСТВО С ОГРАНИЧЕННОЙ ОТВЕТСТВЕННОСТЬЮ "Тоболпромресурс"</t>
  </si>
  <si>
    <t xml:space="preserve"> "Тоболпромресурс"</t>
  </si>
  <si>
    <t>7206048626</t>
  </si>
  <si>
    <t>626150, ТЮМЕНСКАЯ ОБЛАСТЬ, ГОРОД ТОБОЛЬСК, КВАРТАЛ 1-Й (ВОСТОЧНЫЙ ПРОМЫШЛЕННЫЙ РАЙОН ТЕР.), ДОМ №3, СТРОЕНИЕ 6</t>
  </si>
  <si>
    <t>Нейковчен Сергей</t>
  </si>
  <si>
    <t>info@tps-tob', 'tpr@tpr-tob', 'tpr@tps-tob'</t>
  </si>
  <si>
    <t>57.179763,65.515409</t>
  </si>
  <si>
    <t>ОБЩЕСТВО С ОГРАНИЧЕННОЙ ОТВЕТСТВЕННОСТЬЮ "ТЮМЕНСКАЯ СТРОИТЕЛЬНАЯ КОМПАНИЯ-БЕТОН"</t>
  </si>
  <si>
    <t xml:space="preserve"> "ТЮМЕНСКАЯ СТРОИТЕЛЬНАЯ КОМПАНИЯ-БЕТОН"</t>
  </si>
  <si>
    <t>7224076827</t>
  </si>
  <si>
    <t>625001, ТЮМЕНСКАЯ ОБЛАСТЬ, ГОРОД ТЮМЕНЬ, УЛИЦА КОММУНИСТИЧЕСКАЯ, ДОМ 70Е, ОФИС 13</t>
  </si>
  <si>
    <t>Жусупова Сауле Теморгалеевна</t>
  </si>
  <si>
    <t>+7 (929) 269-59-82'</t>
  </si>
  <si>
    <t>57.031714,65.721734</t>
  </si>
  <si>
    <t>ОБЩЕСТВО С ОГРАНИЧЕННОЙ ОТВЕТСТВЕННОСТЬЮ "БЕТОННЫЙ ЗАВОД ГОРОД"</t>
  </si>
  <si>
    <t xml:space="preserve"> "БЕТОННЫЙ ЗАВОД ГОРОД"</t>
  </si>
  <si>
    <t>7224082186</t>
  </si>
  <si>
    <t>625504, ТЮМЕНСКАЯ ОБЛАСТЬ, РАЙОН ТЮМЕНСКИЙ, РАБОЧИЙ ПОСЕЛОК БОРОВСКИЙ, УЛИЦА ГЕРЦЕНА, ДОМ 10, СТРОЕНИЕ 5</t>
  </si>
  <si>
    <t>Зарипов Павел Рашитович</t>
  </si>
  <si>
    <t>info@gorodbeton.ru', 'betongorodbuh@mail.ru'</t>
  </si>
  <si>
    <t>48.644761,54.43326</t>
  </si>
  <si>
    <t>ОБЩЕСТВО С ОГРАНИЧЕННОЙ ОТВЕТСТВЕННОСТЬЮ "ПРОМСТРОЙБЕТОН-73"</t>
  </si>
  <si>
    <t xml:space="preserve"> "ПРОМСТРОЙБЕТОН-73"</t>
  </si>
  <si>
    <t>7300001311</t>
  </si>
  <si>
    <t>433409, Ульяновская область, ЧЕРДАКЛИНСКИЙ, 2 МИРНОВСКОЕ, С АРХАНГЕЛЬСКОЕ, УЛ КЛЕНОВАЯ, ДВЛД. 5</t>
  </si>
  <si>
    <t>Петров Юрий Александрович</t>
  </si>
  <si>
    <t>PROMSTROIBETON73@MAIL.RU'</t>
  </si>
  <si>
    <t>48.303275,54.235337</t>
  </si>
  <si>
    <t>ОБЩЕСТВО С ОГРАНИЧЕННОЙ ОТВЕТСТВЕННОСТЬЮ "АВТО-БЕТОН"</t>
  </si>
  <si>
    <t xml:space="preserve"> "АВТО-БЕТОН"</t>
  </si>
  <si>
    <t>7321007988</t>
  </si>
  <si>
    <t>432035, УЛЬЯНОВСКАЯ ОБЛАСТЬ, Г. УЛЬЯНОВСК, ПР-КТ ГАЯ, Д. 100, ЛИТЕРА А 13, ОФИС 14</t>
  </si>
  <si>
    <t>Ибрагимова Светлана Сагитовна</t>
  </si>
  <si>
    <t>733851@mail.ru', 'avtobeton73@mail.ru'</t>
  </si>
  <si>
    <t>48.3611,54.298421</t>
  </si>
  <si>
    <t>ОБЩЕСТВО С ОГРАНИЧЕННОЙ ОТВЕТСТВЕННОСТЬЮ "СПЕЦСТРОЙТЕХНИКА"</t>
  </si>
  <si>
    <t xml:space="preserve"> "СПЕЦСТРОЙТЕХНИКА"</t>
  </si>
  <si>
    <t>7321013808</t>
  </si>
  <si>
    <t>432048, УЛЬЯНОВСКАЯ ОБЛ., Г. Ульяновск, УЛ. НАБЕРЕЖНАЯ РЕКИ СВИЯГИ, Д. 81А,..</t>
  </si>
  <si>
    <t>Ивахненко Алексей Валерьевич</t>
  </si>
  <si>
    <t>48.332515,54.010104</t>
  </si>
  <si>
    <t>ОБЩЕСТВО С ОГРАНИЧЕННОЙ ОТВЕТСТВЕННОСТЬЮ "ВОЛЖСКАЯ ИНВЕСТИЦИОННАЯ КОМПАНИЯ"</t>
  </si>
  <si>
    <t xml:space="preserve"> "ВОЛЖСКАЯ ИНВЕСТИЦИОННАЯ КОМПАНИЯ"</t>
  </si>
  <si>
    <t>7321313819</t>
  </si>
  <si>
    <t>433396, УЛЬЯНОВСКАЯ ОБЛАСТЬ, РАЙОН СЕНГИЛЕЕВСКИЙ, РАБОЧИЙ ПОСЕЛОК КРАСНЫЙ ГУЛЯЙ, УЛИЦА ЖЕЛЕЗНОДОРОЖНАЯ, ДОМ 100</t>
  </si>
  <si>
    <t>Островская Олеся Николаевна</t>
  </si>
  <si>
    <t>+7 (495) 790-79-06', '+7 (937) 275-28-66', '+7 (937) 035-67-56'</t>
  </si>
  <si>
    <t>48.263677,54.271905</t>
  </si>
  <si>
    <t>ОБЩЕСТВО С ОГРАНИЧЕННОЙ ОТВЕТСТВЕННОСТЬЮ "ВМ-БЕТОН"</t>
  </si>
  <si>
    <t xml:space="preserve"> "ВМ-БЕТОН"</t>
  </si>
  <si>
    <t>7325096058</t>
  </si>
  <si>
    <t>432066, УЛЬЯНОВСКАЯ ОБЛАСТЬ, ГОРОД УЛЬЯНОВСК, УЛИЦА ШИГАЕВА, ДОМ 29</t>
  </si>
  <si>
    <t>Хасанова Венера Рафаилевна</t>
  </si>
  <si>
    <t>48.347562,54.346034</t>
  </si>
  <si>
    <t>ОБЩЕСТВО С ОГРАНИЧЕННОЙ ОТВЕТСТВЕННОСТЬЮ "ПРОИЗВОДСТВЕННАЯ КОМПАНИЯ БЕТОН-АВТО"</t>
  </si>
  <si>
    <t xml:space="preserve"> "ПРОИЗВОДСТВЕННАЯ КОМПАНИЯ БЕТОН-АВТО"</t>
  </si>
  <si>
    <t>7325172654</t>
  </si>
  <si>
    <t>432026, УЛЬЯНОВСКАЯ ОБЛ., Г. Ульяновск, УЛ. РЕПИНА, Д. 47А, ОФИС 7</t>
  </si>
  <si>
    <t>Нафина Гулия Мидихатовна</t>
  </si>
  <si>
    <t>48.403132,54.314192</t>
  </si>
  <si>
    <t xml:space="preserve"> "НТС"</t>
  </si>
  <si>
    <t>7327030126</t>
  </si>
  <si>
    <t>Г УЛЬЯНОВСК,УЛ МОСКОВСКОЕ ШОССЕ, Д 28</t>
  </si>
  <si>
    <t>Семенова Полина Валерьевна</t>
  </si>
  <si>
    <t>+7 (903) 338-80-60'</t>
  </si>
  <si>
    <t>48.296924,54.298805</t>
  </si>
  <si>
    <t>ОБЩЕСТВО С ОГРАНИЧЕННОЙ ОТВЕТСТВЕННОСТЬЮ "МОНОЛИТ-ПЛЮС"</t>
  </si>
  <si>
    <t xml:space="preserve"> "МОНОЛИТ-ПЛЮС"</t>
  </si>
  <si>
    <t>7327100119</t>
  </si>
  <si>
    <t>432045, Ульяновская область, ГОРОД УЛЬЯНОВСК, Г УЛЬЯНОВСК, УЛ ГЕРАСИМОВА, Д. 10,СТР. 7</t>
  </si>
  <si>
    <t>Ашкеров Владимир Михайлович</t>
  </si>
  <si>
    <t>48.569527,54.346008</t>
  </si>
  <si>
    <t>ОБЩЕСТВО С ОГРАНИЧЕННОЙ ОТВЕТСТВЕННОСТЬЮ "ТЕХНОРЕСУРС"</t>
  </si>
  <si>
    <t xml:space="preserve"> "ТЕХНОРЕСУРС"</t>
  </si>
  <si>
    <t>7328072898</t>
  </si>
  <si>
    <t>432072, УЛЬЯНОВСКАЯ ОБЛАСТЬ, Г. УЛЬЯНОВСК, ПР-Д ИНЖЕНЕРНЫЙ 2-Й, Д. 2В</t>
  </si>
  <si>
    <t>Карпов Вениамин Эдуардович</t>
  </si>
  <si>
    <t>+7 (951) 096-97-22'</t>
  </si>
  <si>
    <t>48.555199,54.382687</t>
  </si>
  <si>
    <t>ОБЩЕСТВО С ОГРАНИЧЕННОЙ ОТВЕТСТВЕННОСТЬЮ "ОПТИМАЛЬНЫЕ СОВРЕМЕННЫЕ ТЕХНОЛОГИИ"</t>
  </si>
  <si>
    <t xml:space="preserve"> "ОПТИМАЛЬНЫЕ СОВРЕМЕННЫЕ ТЕХНОЛОГИИ"</t>
  </si>
  <si>
    <t>7328077448</t>
  </si>
  <si>
    <t>432051, Ульяновская область, городской округ ГОРОД УЛЬЯНОВСК, П ЛЕНИНСКИЙ, УЛ ЗЕЛЕНАЯ, Д. 14В,..</t>
  </si>
  <si>
    <t>Токарев Сергей Петрович</t>
  </si>
  <si>
    <t>ostbeton@mail.ru', 'ostbeton@mail.ru'</t>
  </si>
  <si>
    <t>54.346008,48.569527</t>
  </si>
  <si>
    <t>ОБЩЕСТВО С ОГРАНИЧЕННОЙ ОТВЕТСТВЕННОСТЬЮ "БЕТОННЫЙ АЛЬЯНС"</t>
  </si>
  <si>
    <t xml:space="preserve"> "БЕТОННЫЙ АЛЬЯНС"</t>
  </si>
  <si>
    <t>7328084702</t>
  </si>
  <si>
    <t>www.бетон-альянс.рф</t>
  </si>
  <si>
    <t xml:space="preserve">432072, УЛЬЯНОВСКАЯ ОБЛАСТЬ, Г, УЛЬЯНОВСК, ПР-Д, ИНЖЕНЕРНЫЙ 2-Й, Д. 2В </t>
  </si>
  <si>
    <t>36-00-03, +7 (8422) 52-14-90</t>
  </si>
  <si>
    <t>48.593557,54.348627</t>
  </si>
  <si>
    <t>ОБЩЕСТВО С ОГРАНИЧЕННОЙ ОТВЕТСТВЕННОСТЬЮ "ПРОИЗВОДСТВЕННАЯ БАЗА СИМБИРСК-БЕТОН"</t>
  </si>
  <si>
    <t xml:space="preserve"> "ПРОИЗВОДСТВЕННАЯ БАЗА СИМБИРСК-БЕТОН"</t>
  </si>
  <si>
    <t>7328089651</t>
  </si>
  <si>
    <t>432072, Ульяновская область, городской округ ГОРОД УЛЬЯНОВСК, Город УЛЬЯНОВСК, ПР-Д МАКСИМОВА, ЗД. 20Б, СТР. 1, ОФИС 1</t>
  </si>
  <si>
    <t>Хамдеев Марсель Гадельжанович</t>
  </si>
  <si>
    <t>+7 (960) 366-00-13'</t>
  </si>
  <si>
    <t>49.563576,54.223459</t>
  </si>
  <si>
    <t>ОБЩЕСТВО С ОГРАНИЧЕННОЙ ОТВЕТСТВЕННОСТЬЮ "Димитровградский Бетонно-растворный Завод"</t>
  </si>
  <si>
    <t xml:space="preserve"> "Димитровградский Бетонно-растворный Завод"</t>
  </si>
  <si>
    <t>7329006129</t>
  </si>
  <si>
    <t>433504, УЛЬЯНОВСКАЯ ОБЛАСТЬ, ГОРОД ДИМИТРОВГРАД, ШОССЕ МУЛЛОВСКОЕ, 49А</t>
  </si>
  <si>
    <t>Герасимов Сергей Зиновьевич</t>
  </si>
  <si>
    <t>+7 (917) 610-39-55'</t>
  </si>
  <si>
    <t>49.566801,54.211102</t>
  </si>
  <si>
    <t>ОБЩЕСТВО С ОГРАНИЧЕННОЙ ОТВЕТСТВЕННОСТЬЮ "СтройДетальКонструкция"</t>
  </si>
  <si>
    <t xml:space="preserve"> "СтройДетальКонструкция"</t>
  </si>
  <si>
    <t>7329007940</t>
  </si>
  <si>
    <t>433502, УЛЬЯНОВСКАЯ ОБЛАСТЬ, ГОРОД ДИМИТРОВГРАД, УЛИЦА ПРОМЫШЛЕННАЯ, ДОМ 26А, ЭТАЖ 2, ОФИС 16</t>
  </si>
  <si>
    <t>Харитонова Любовь Анатольевна</t>
  </si>
  <si>
    <t>+7 (927) 782-13-53', '+7 (937) 211-12-51'</t>
  </si>
  <si>
    <t>dmg@mail.ru'</t>
  </si>
  <si>
    <t>48.834934,54.379378</t>
  </si>
  <si>
    <t>ОБЩЕСТВО С ОГРАНИЧЕННОЙ ОТВЕТСТВЕННОСТЬЮ "СТРОЙ АКТИВ"</t>
  </si>
  <si>
    <t xml:space="preserve"> "СТРОЙ АКТИВ"</t>
  </si>
  <si>
    <t>7329011979</t>
  </si>
  <si>
    <t>433400, УЛЬЯНОВСКАЯ ОБЛАСТЬ, Р-Н ЧЕРДАКЛИНСКИЙ, РП ЧЕРДАКЛЫ, УЛ. СЕВЕРНАЯ, Д.1А</t>
  </si>
  <si>
    <t>Корниенко Алексей Николаевич</t>
  </si>
  <si>
    <t>+7 (929) 792-00-99', '+7 (937) 871-11-31'</t>
  </si>
  <si>
    <t>stroyactive73@mail.ru', 'stroyactiv73@mail.ru'</t>
  </si>
  <si>
    <t>48.603043,54.382556</t>
  </si>
  <si>
    <t>ОБЩЕСТВО С ОГРАНИЧЕННОЙ ОТВЕТСТВЕННОСТЬЮ "НЕРУДНЫЕ МАТЕРИАЛЫ"</t>
  </si>
  <si>
    <t xml:space="preserve"> "НЕРУДНЫЕ МАТЕРИАЛЫ"</t>
  </si>
  <si>
    <t>7329019551</t>
  </si>
  <si>
    <t>Г УЛЬЯНОВСК,ПРОСП ФИЛАТОВА, Д 9..</t>
  </si>
  <si>
    <t>Кочетков Антон Сергеевич</t>
  </si>
  <si>
    <t>49.327651,53.546268</t>
  </si>
  <si>
    <t>ОБЩЕСТВО С ОГРАНИЧЕННОЙ ОТВЕТСТВЕННОСТЬЮ "ФриДом"</t>
  </si>
  <si>
    <t xml:space="preserve"> "ФриДом"</t>
  </si>
  <si>
    <t>7404059411</t>
  </si>
  <si>
    <t>445044, САМАРСКАЯ ОБЛАСТЬ, ГОРОД ТОЛЬЯТТИ, УЛИЦА ОФИЦЕРСКАЯ, ДОМ 15, ОФИС 30А</t>
  </si>
  <si>
    <t>Приходько Александр Анатольевич</t>
  </si>
  <si>
    <t>60.21596,55.480786</t>
  </si>
  <si>
    <t>ОБЩЕСТВО С ОГРАНИЧЕННОЙ ОТВЕТСТВЕННОСТЬЮ "БЕТОМАКС"</t>
  </si>
  <si>
    <t xml:space="preserve"> "БЕТОМАКС"</t>
  </si>
  <si>
    <t>7413028321</t>
  </si>
  <si>
    <t>456140, ЧЕЛЯБИНСКАЯ ОБЛ., Г. Карабаш, УЛ. ЛЕНИНА, Д. 22,..</t>
  </si>
  <si>
    <t>Трефилов Илья Игоревич</t>
  </si>
  <si>
    <t>1926619@MAIL.RU'</t>
  </si>
  <si>
    <t>60.696595,55.752673</t>
  </si>
  <si>
    <t>ОБЩЕСТВО С ОГРАНИЧЕННОЙ ОТВЕТСТВЕННОСТЬЮ "ОзерскМонолит"</t>
  </si>
  <si>
    <t xml:space="preserve"> "ОзерскМонолит"</t>
  </si>
  <si>
    <t>7422044312</t>
  </si>
  <si>
    <t>456787, ЧЕЛЯБИНСКАЯ ОБЛАСТЬ, ГОРОД ОЗЕРСК, УЛИЦА МОНТАЖНИКОВ, 20, 101</t>
  </si>
  <si>
    <t>Нерсесян Максим Аветихович</t>
  </si>
  <si>
    <t>+7 (351) 304-55-36'</t>
  </si>
  <si>
    <t>60.737639,56.068937</t>
  </si>
  <si>
    <t>ОБЩЕСТВО С ОГРАНИЧЕННОЙ ОТВЕТСТВЕННОСТЬЮ "СТРОЙИНДУСТРИЯ 07"</t>
  </si>
  <si>
    <t xml:space="preserve"> "СТРОЙИНДУСТРИЯ 07"</t>
  </si>
  <si>
    <t>7423022368</t>
  </si>
  <si>
    <t>456770, ЧЕЛЯБИНСКАЯ ОБЛАСТЬ, Г. СНЕЖИНСК, УЛ. ТРАНСПОРТНАЯ, Д.29</t>
  </si>
  <si>
    <t>Костарев Вячеслав Александрович</t>
  </si>
  <si>
    <t>+7 (963) 460-32-61', '+7 (929) 237-11-50'</t>
  </si>
  <si>
    <t>61.543347,55.049937</t>
  </si>
  <si>
    <t>ОБЩЕСТВО С ОГРАНИЧЕННОЙ ОТВЕТСТВЕННОСТЬЮ "ГАРАНТ БЕТОН"</t>
  </si>
  <si>
    <t xml:space="preserve"> "ГАРАНТ БЕТОН"</t>
  </si>
  <si>
    <t>7430023468</t>
  </si>
  <si>
    <t>456655, Челябинская область, городской округ КОПЕЙСКИЙ, Город КОПЕЙСК, УЛ ВРУБОВАЯ, Д. 22,</t>
  </si>
  <si>
    <t>Натыкин Петр Владимирович</t>
  </si>
  <si>
    <t>+7 (922) 744-68-69', '+7 (905) 836-99-11'</t>
  </si>
  <si>
    <t>59.049722,53.40151</t>
  </si>
  <si>
    <t>ОБЩЕСТВО С ОГРАНИЧЕННОЙ ОТВЕТСТВЕННОСТЬЮ "ГОРСТРОЙ"</t>
  </si>
  <si>
    <t xml:space="preserve"> "ГОРСТРОЙ"</t>
  </si>
  <si>
    <t>7445037424</t>
  </si>
  <si>
    <t>455019, ЧЕЛЯБИНСКАЯ ОБЛАСТЬ, Г. МАГНИТОГОРСК, УЛ. МУСОРГСКОГО, Д.12</t>
  </si>
  <si>
    <t>Чуйко Евгений Юрьевич</t>
  </si>
  <si>
    <t>58.992023,53.362892</t>
  </si>
  <si>
    <t>ОБЩЕСТВО С ОГРАНИЧЕННОЙ ОТВЕТСТВЕННОСТЬЮ "БЕТОНСТРОЙ-С"</t>
  </si>
  <si>
    <t xml:space="preserve"> "БЕТОНСТРОЙ-С"</t>
  </si>
  <si>
    <t>7445042417</t>
  </si>
  <si>
    <t>455021, ЧЕЛЯБИНСКАЯ ОБЛАСТЬ, Г. МАГНИТОГОРСК, ПР-КТ ЛЕНИНА, Д. 143,..</t>
  </si>
  <si>
    <t>Мирзоев Максим Мирзабекович</t>
  </si>
  <si>
    <t>+7 (906) 852-50-45', '+7 (906) 871-10-01', '+7 (351) 958-01-20'</t>
  </si>
  <si>
    <t>61.447586,55.215637</t>
  </si>
  <si>
    <t>ОБЩЕСТВО С ОГРАНИЧЕННОЙ ОТВЕТСТВЕННОСТЬЮ "БЕТОТЕК БЕТОН"</t>
  </si>
  <si>
    <t xml:space="preserve"> "БЕТОТЕК БЕТОН"</t>
  </si>
  <si>
    <t>7447186598</t>
  </si>
  <si>
    <t>454081, ЧЕЛЯБИНСКАЯ ОБЛАСТЬ, ГОРОД ЧЕЛЯБИНСК, УЛИЦА ГЕРОЕВ ТАНКОГРАДА, 43П, ОФИС 2</t>
  </si>
  <si>
    <t>Останин Алексей Евгеньевич</t>
  </si>
  <si>
    <t>+7 (351) 772-15-19', '+7 (351) 219-09-20', '+7 (351) 772-15-19'</t>
  </si>
  <si>
    <t>61.449805,55.204664</t>
  </si>
  <si>
    <t>ОБЩЕСТВО С ОГРАНИЧЕННОЙ ОТВЕТСТВЕННОСТЬЮ ПРОИЗВОДСТВЕННАЯ КОМПАНИЯ "СКМ"</t>
  </si>
  <si>
    <t xml:space="preserve"> ПРОИЗВОДСТВЕННАЯ КОМПАНИЯ "СКМ"</t>
  </si>
  <si>
    <t>7447215425</t>
  </si>
  <si>
    <t>454081, Челябинская область, городской округ ЧЕЛЯБИНСКИЙ, Город ЧЕЛЯБИНСК, внутригородской район городского округа КАЛИНИНСКИЙ, УЛ ВАЛДАЙСКАЯ, Д. 4П, ОФИС 202</t>
  </si>
  <si>
    <t>Королев Александр Сергеевич</t>
  </si>
  <si>
    <t>+7 (351) 236-24-35', '+7 (351) 222-01-35', '+7 (919) 311-46-24'</t>
  </si>
  <si>
    <t>fedorova@sc74.ru'</t>
  </si>
  <si>
    <t>61.387884,55.191109</t>
  </si>
  <si>
    <t>ОБЩЕСТВО С ОГРАНИЧЕННОЙ ОТВЕТСТВЕННОСТЬЮ ПО "КСМИ"</t>
  </si>
  <si>
    <t xml:space="preserve"> ПО "КСМИ"</t>
  </si>
  <si>
    <t>7448167848</t>
  </si>
  <si>
    <t>454008, Челябинская область, г Челябинск, Свердловский просп, д 5</t>
  </si>
  <si>
    <t>Широких Марк Рудольфович</t>
  </si>
  <si>
    <t>61.31937,55.199419</t>
  </si>
  <si>
    <t>ОБЩЕСТВО С ОГРАНИЧЕННОЙ ОТВЕТСТВЕННОСТЬЮ "БЕТОНСК"</t>
  </si>
  <si>
    <t xml:space="preserve"> "БЕТОНСК"</t>
  </si>
  <si>
    <t>7448167904</t>
  </si>
  <si>
    <t>http://бетонск.рф</t>
  </si>
  <si>
    <t>454014, ЧЕЛЯБИНСКАЯ ОБЛАСТЬ, ГОРОД ЧЕЛЯБИНСК, УЛИЦА СОЛНЕЧНАЯ, ДОМ 7, ОФИС 220</t>
  </si>
  <si>
    <t>Королёв Илья Александрович</t>
  </si>
  <si>
    <t>+7 (982) 306-59-52', '+7 (912) 477-15-84'</t>
  </si>
  <si>
    <t>REMVES@MAIL.RU'</t>
  </si>
  <si>
    <t>61.37741,55.188031</t>
  </si>
  <si>
    <t>ОБЩЕСТВО С ОГРАНИЧЕННОЙ ОТВЕТСТВЕННОСТЬЮ "БРУ-КР"</t>
  </si>
  <si>
    <t xml:space="preserve"> "БРУ-КР"</t>
  </si>
  <si>
    <t>7448196856</t>
  </si>
  <si>
    <t>454106, ЧЕЛЯБИНСКАЯ ОБЛАСТЬ, Г. ЧЕЛЯБИНСК, УЛ. ОСТРОВСКОГО, Д. 30, ОФИС 506</t>
  </si>
  <si>
    <t>Тетюев Александр Александрович</t>
  </si>
  <si>
    <t>+7 (912) 314-61-15', '+7 (919) 346-89-01'</t>
  </si>
  <si>
    <t>61.283904,55.235493</t>
  </si>
  <si>
    <t>ОБЩЕСТВО С ОГРАНИЧЕННОЙ ОТВЕТСТВЕННОСТЬЮ "ЛЕГИОН.БЕТОН"</t>
  </si>
  <si>
    <t xml:space="preserve"> "ЛЕГИОН.БЕТОН"</t>
  </si>
  <si>
    <t>7448233120</t>
  </si>
  <si>
    <t>454015, ЧЕЛЯБИНСКАЯ ОБЛ., Г. Челябинск, П. Челябэнерго, Д. 37, ОФИС 1</t>
  </si>
  <si>
    <t>Лямин Дмитрий Леонидович</t>
  </si>
  <si>
    <t>61.433923,55.130503</t>
  </si>
  <si>
    <t>ОБЩЕСТВО С ОГРАНИЧЕННОЙ ОТВЕТСТВЕННОСТЬЮ "ЮжУралГарант-Челябинск"</t>
  </si>
  <si>
    <t xml:space="preserve"> "ЮжУралГарант-Челябинск"</t>
  </si>
  <si>
    <t>7449088596</t>
  </si>
  <si>
    <t>454078, ЧЕЛЯБИНСКАЯ ОБЛАСТЬ, ГОРОД ЧЕЛЯБИНСК, УЛИЦА ДЗЕРЖИНСКОГО, ДОМ 93Б, ОФИС 503</t>
  </si>
  <si>
    <t>Садыков Василь Рифкатович</t>
  </si>
  <si>
    <t>+7 (351) 247-63-82', '+7 (351) 239-02-13', '+7 (351) 247-40-40'</t>
  </si>
  <si>
    <t>60.588716,56.831433</t>
  </si>
  <si>
    <t>ОБЩЕСТВО С ОГРАНИЧЕННОЙ ОТВЕТСТВЕННОСТЬЮ Производственное объединение "КСМИ"</t>
  </si>
  <si>
    <t xml:space="preserve"> Производственное объединение "КСМИ"</t>
  </si>
  <si>
    <t>7450068805</t>
  </si>
  <si>
    <t>620014, СВЕРДЛОВСКАЯ ОБЛ, Г ЕКАТЕРИНБУРГ, ПЕР ЦЕНТРАЛЬНЫЙ РЫНОК, Д 6, ОФ 310</t>
  </si>
  <si>
    <t>Сергеев Сергей Михайлович</t>
  </si>
  <si>
    <t>+7 (351) 735-94-95', '+7 (912) 600-52-92', '+7 (912) 735-40-30'</t>
  </si>
  <si>
    <t>61.413262,55.155335</t>
  </si>
  <si>
    <t>ОБЩЕСТВО С ОГРАНИЧЕННОЙ ОТВЕТСТВЕННОСТЬЮ "ЮСИМ-СТРОЙ"</t>
  </si>
  <si>
    <t xml:space="preserve"> "ЮСИМ-СТРОЙ"</t>
  </si>
  <si>
    <t>7451198589</t>
  </si>
  <si>
    <t>Г ЧЕЛЯБИНСК,УЛ СВОБОДЫ, Д 84, КОМ 3</t>
  </si>
  <si>
    <t>+7 (351) 270-32-29', '+7 (982) 318-85-03'</t>
  </si>
  <si>
    <t>61.364744,55.091603</t>
  </si>
  <si>
    <t>ОБЩЕСТВО С ОГРАНИЧЕННОЙ ОТВЕТСТВЕННОСТЬЮ "Символ Бетон"</t>
  </si>
  <si>
    <t xml:space="preserve"> "Символ Бетон"</t>
  </si>
  <si>
    <t>7451313048</t>
  </si>
  <si>
    <t>454901, ЧЕЛЯБИНСКАЯ ОБЛАСТЬ, ГОРОД ЧЕЛЯБИНСК, ПОСЕЛОК ВОДРЕМ 40, 20</t>
  </si>
  <si>
    <t>+7 (351) 268-18-95', '+7 (351) 210-15-00', '+7 (351) 245-28-81'</t>
  </si>
  <si>
    <t>61.396041,55.144824</t>
  </si>
  <si>
    <t>ОБЩЕСТВО С ОГРАНИЧЕННОЙ ОТВЕТСТВЕННОСТЬЮ "Урал Строй Транс"</t>
  </si>
  <si>
    <t xml:space="preserve"> "Урал Строй Транс"</t>
  </si>
  <si>
    <t>7451339342</t>
  </si>
  <si>
    <t>454048, ЧЕЛЯБИНСКАЯ ОБЛ, ЧЕЛЯБИНСК Г, ШАУМЯНА УЛ, 89, 21</t>
  </si>
  <si>
    <t>Кунышев Сергей Анатольевич</t>
  </si>
  <si>
    <t>+7 (912) 898-14-13', '+7 (351) 247-28-58'</t>
  </si>
  <si>
    <t>61.257287,55.014706</t>
  </si>
  <si>
    <t>ОБЩЕСТВО С ОГРАНИЧЕННОЙ ОТВЕТСТВЕННОСТЬЮ "ПАНТЕОН"</t>
  </si>
  <si>
    <t xml:space="preserve"> "ПАНТЕОН"</t>
  </si>
  <si>
    <t>7451384560</t>
  </si>
  <si>
    <t>454010, ЧЕЛЯБИНСКАЯ ОБЛАСТЬ, РАЙОН СОСНОВСКИЙ, ПОСЕЛОК САРГАЗЫ, УЛИЦА ПРОИЗВОДСТВЕННАЯ, ДОМ 2, ОФИС 2</t>
  </si>
  <si>
    <t>Барков Илья Александрович</t>
  </si>
  <si>
    <t>+7 (963) 092-07-73', '+7 (963) 233-64-28'</t>
  </si>
  <si>
    <t>b@yandex.ru'</t>
  </si>
  <si>
    <t>61.3979,55.152907</t>
  </si>
  <si>
    <t>ОБЩЕСТВО С ОГРАНИЧЕННОЙ ОТВЕТСТВЕННОСТЬЮ "БЕТОКУБ"</t>
  </si>
  <si>
    <t xml:space="preserve"> "БЕТОКУБ"</t>
  </si>
  <si>
    <t>7451391705</t>
  </si>
  <si>
    <t>http://betocube.ru</t>
  </si>
  <si>
    <t>454092, ЧЕЛЯБИНСКАЯ ОБЛАСТЬ, Г. ЧЕЛЯБИНСК, УЛ. ЕЛЬКИНА, Д. 84, ОФИС 1</t>
  </si>
  <si>
    <t>Зеленский Сергей Александрович</t>
  </si>
  <si>
    <t>+7 (919) 310-61-55'</t>
  </si>
  <si>
    <t>61.388971,55.153277</t>
  </si>
  <si>
    <t>ОБЩЕСТВО С ОГРАНИЧЕННОЙ ОТВЕТСТВЕННОСТЬЮ "ЕДИНАЯ СЛУЖБА СНАБЖЕНИЯ"</t>
  </si>
  <si>
    <t xml:space="preserve"> "ЕДИНАЯ СЛУЖБА СНАБЖЕНИЯ"</t>
  </si>
  <si>
    <t>7451408324</t>
  </si>
  <si>
    <t>454020, ЧЕЛЯБИНСКАЯ ОБЛ., Г. Челябинск, ПР-КТ СВЕРДЛОВСКИЙ, Д. 86,..</t>
  </si>
  <si>
    <t>Люст Алексей Николаевич</t>
  </si>
  <si>
    <t>+7 (967) 862-38-02', '+7 (952) 506-19-01'</t>
  </si>
  <si>
    <t>61.347181,55.100917</t>
  </si>
  <si>
    <t>ОБЩЕСТВО С ОГРАНИЧЕННОЙ ОТВЕТСТВЕННОСТЬЮ "ПОСТ БЕТОН"</t>
  </si>
  <si>
    <t xml:space="preserve"> "ПОСТ БЕТОН"</t>
  </si>
  <si>
    <t>7451454930</t>
  </si>
  <si>
    <t>454045, ЧЕЛЯБИНСКАЯ ОБЛ., Г. Челябинск, УЛ. НЕФТЕБАЗОВАЯ, Д. 1, К. 2 ОФИС 2</t>
  </si>
  <si>
    <t>Яшенькина Анастасия Ивановна</t>
  </si>
  <si>
    <t>WORK783@MAIL.RU'</t>
  </si>
  <si>
    <t>61.388342,55.046352</t>
  </si>
  <si>
    <t>ОБЩЕСТВО С ОГРАНИЧЕННОЙ ОТВЕТСТВЕННОСТЬЮ "НОВОСИНЕГЛАЗОВСКИЙ ЗАВОД СТРОИТЕЛЬНЫХ МАТЕРИАЛОВ"</t>
  </si>
  <si>
    <t xml:space="preserve"> "НОВОСИНЕГЛАЗОВСКИЙ ЗАВОД СТРОИТЕЛЬНЫХ МАТЕРИАЛОВ"</t>
  </si>
  <si>
    <t>7451457579</t>
  </si>
  <si>
    <t>Челябинская область, ЧЕЛЯБИНСКИЙ, 4 СОВЕТСКИЙ, Г ЧЕЛЯБИНСК, УЛ РАБОЧАЯ, Д. 42, К. ПРОИЗВОД.</t>
  </si>
  <si>
    <t>Прокофьев Никита Васильевич</t>
  </si>
  <si>
    <t>NSZSM@INBOX.RU'</t>
  </si>
  <si>
    <t>61.494604,55.159048</t>
  </si>
  <si>
    <t>ОБЩЕСТВО С ОГРАНИЧЕННОЙ ОТВЕТСТВЕННОСТЬЮ Производственно-коммерческая фирма "Стройбетонкомплект"</t>
  </si>
  <si>
    <t xml:space="preserve"> Производственно-коммерческая фирма "Стройбетонкомплект"</t>
  </si>
  <si>
    <t>7452103653</t>
  </si>
  <si>
    <t>454079, ЧЕЛЯБИНСКАЯ ОБЛАСТЬ, ГОРОД ЧЕЛЯБИНСК, УЛИЦА ЛИНЕЙНАЯ, ДОМ 92, ОФИС 1</t>
  </si>
  <si>
    <t>Кащеев Евгений Александрович</t>
  </si>
  <si>
    <t>+7 (919) 114-51-11', '+7 (919) 238-12-21'</t>
  </si>
  <si>
    <t>sbkomp@mail.ru'</t>
  </si>
  <si>
    <t>55.245774,61.923648</t>
  </si>
  <si>
    <t>ОБЩЕСТВО С ОГРАНИЧЕННОЙ ОТВЕТСТВЕННОСТЬЮ "ДЕДАЛ СТАЛЬ"</t>
  </si>
  <si>
    <t xml:space="preserve"> "ДЕДАЛ СТАЛЬ"</t>
  </si>
  <si>
    <t>7452113299</t>
  </si>
  <si>
    <t>456688, ЧЕЛЯБИНСКАЯ ОБЛАСТЬ, РАЙОН КРАСНОАРМЕЙСКИЙ, ПОСЕЛОК ЛЕСНОЙ, УЛИЦА ЦЕНТРАЛЬНАЯ, ДОМ 36</t>
  </si>
  <si>
    <t>Власов Александр Сергеевич</t>
  </si>
  <si>
    <t>+7 (951) 784-21-76', '+7 (906) 867-31-78'</t>
  </si>
  <si>
    <t>profbeton13@mail.ru'</t>
  </si>
  <si>
    <t>61.472362,55.159974</t>
  </si>
  <si>
    <t>ОБЩЕСТВО С ОГРАНИЧЕННОЙ ОТВЕТСТВЕННОСТЬЮ "НОРДБЕТОН"</t>
  </si>
  <si>
    <t xml:space="preserve"> "НОРДБЕТОН"</t>
  </si>
  <si>
    <t>7452140278</t>
  </si>
  <si>
    <t>454007, ЧЕЛЯБИНСКАЯ ОБЛ, ЧЕЛЯБИНСК Г, ЛЕНИНА ПР-КТ, ДОМ 2К, ОФИС 708</t>
  </si>
  <si>
    <t>Родионов Владимир Геннадьевич</t>
  </si>
  <si>
    <t>+7 (351) 231-15-52', '+7 (908) 081-15-52'</t>
  </si>
  <si>
    <t>61.519281,55.158658</t>
  </si>
  <si>
    <t>ОБЩЕСТВО С ОГРАНИЧЕННОЙ ОТВЕТСТВЕННОСТЬЮ "БЕТОНСТРОЙГРУППА"</t>
  </si>
  <si>
    <t xml:space="preserve"> "БЕТОНСТРОЙГРУППА"</t>
  </si>
  <si>
    <t>7452148943</t>
  </si>
  <si>
    <t>454079, ЧЕЛЯБИНСКАЯ ОБЛ, ЧЕЛЯБИНСК Г, ЛИНЕЙНАЯ УЛ, ДОМ 51Б, ОФИС 1</t>
  </si>
  <si>
    <t>Сушков Виктор Федорович</t>
  </si>
  <si>
    <t>+7 (904) 817-20-21'</t>
  </si>
  <si>
    <t>61.417358,55.166927</t>
  </si>
  <si>
    <t>ОБЩЕСТВО С ОГРАНИЧЕННОЙ ОТВЕТСТВЕННОСТЬЮ ПРОИЗВОДСТВЕННАЯ КОМПАНИЯ "АЛЬБА БЕТОН"</t>
  </si>
  <si>
    <t xml:space="preserve"> ПРОИЗВОДСТВЕННАЯ КОМПАНИЯ "АЛЬБА БЕТОН"</t>
  </si>
  <si>
    <t>7453273993</t>
  </si>
  <si>
    <t>454090, ЧЕЛЯБИНСКАЯ ОБЛАСТЬ, Г. ЧЕЛЯБИНСК, УЛ. РОССИЙСКАЯ, Д.159, К.В, ОФИС 204</t>
  </si>
  <si>
    <t>+7 (922) 710-32-00'</t>
  </si>
  <si>
    <t>61.405096,55.173992</t>
  </si>
  <si>
    <t>ОБЩЕСТВО С ОГРАНИЧЕННОЙ ОТВЕТСТВЕННОСТЬЮ "ТЕХНОБЕТОН-УРАЛ"</t>
  </si>
  <si>
    <t xml:space="preserve"> "ТЕХНОБЕТОН-УРАЛ"</t>
  </si>
  <si>
    <t>7453289440</t>
  </si>
  <si>
    <t>454084, Челябинская область, городской округ ЧЕЛЯБИНСКИЙ, Город ЧЕЛЯБИНСК, внутригородской район городского округа КАЛИНИНСКИЙ, УЛ БРАТЬЕВ КАШИРИНЫХ, Д. 10А, ПОМЕЩ. 7</t>
  </si>
  <si>
    <t>Анисимов Антон Викторович</t>
  </si>
  <si>
    <t>+7 (952) 516-60-70', '+7 (919) 322-67-64'</t>
  </si>
  <si>
    <t>bagachm@mail.ru'</t>
  </si>
  <si>
    <t>61.251735,55.155767</t>
  </si>
  <si>
    <t>ОБЩЕСТВО С ОГРАНИЧЕННОЙ ОТВЕТСТВЕННОСТЬЮ "СОВРЕМЕННЫЕ ТЕХНОЛОГИИ СТРОИТЕЛЬСТВА"</t>
  </si>
  <si>
    <t xml:space="preserve"> "СОВРЕМЕННЫЕ ТЕХНОЛОГИИ СТРОИТЕЛЬСТВА"</t>
  </si>
  <si>
    <t>7453330786</t>
  </si>
  <si>
    <t>454902, ЧЕЛЯБИНСКАЯ ОБЛАСТЬ, ГОРОД ЧЕЛЯБИНСК, УЛИЦА ФРУКТОВАЯ, ДОМ 36</t>
  </si>
  <si>
    <t>Луценко Алексей Георгиевич</t>
  </si>
  <si>
    <t>58.977749,53.430013</t>
  </si>
  <si>
    <t>ОБЩЕСТВО С ОГРАНИЧЕННОЙ ОТВЕТСТВЕННОСТЬЮ "Ресурс"</t>
  </si>
  <si>
    <t xml:space="preserve"> "Ресурс"</t>
  </si>
  <si>
    <t>7455002237</t>
  </si>
  <si>
    <t>455000, ЧЕЛЯБИНСКАЯ ОБЛАСТЬ, Г. МАГНИТОГОРСК, УЛ. КАЗАКОВА, Д. 8, ОФИС 10</t>
  </si>
  <si>
    <t>Букреев Алексей Юрьевич</t>
  </si>
  <si>
    <t>+7 (912) 805-76-67'</t>
  </si>
  <si>
    <t>59.005202,53.362129</t>
  </si>
  <si>
    <t>ОБЩЕСТВО С ОГРАНИЧЕННОЙ ОТВЕТСТВЕННОСТЬЮ "Бетон Авто Ресурс"</t>
  </si>
  <si>
    <t xml:space="preserve"> "Бетон Авто Ресурс"</t>
  </si>
  <si>
    <t>7455009225</t>
  </si>
  <si>
    <t>455021, Челябинская область, городской округ МАГНИТОГОРСКИЙ, Город МАГНИТОГОРСК, ПРОЕЗД СИРЕНЕВЫЙ, Д. 12/1,..</t>
  </si>
  <si>
    <t>Рыбакова Марина Анатольевна</t>
  </si>
  <si>
    <t>59.069135,53.445065</t>
  </si>
  <si>
    <t>ОБЩЕСТВО С ОГРАНИЧЕННОЙ ОТВЕТСТВЕННОСТЬЮ "ЕВРОМОНОЛИТСТРОЙ"</t>
  </si>
  <si>
    <t xml:space="preserve"> "ЕВРОМОНОЛИТСТРОЙ"</t>
  </si>
  <si>
    <t>7455017466</t>
  </si>
  <si>
    <t>455007, Челябинская область, г Магнитогорск, ул Заводская, д 6</t>
  </si>
  <si>
    <t>+7 (906) 101-01-31'</t>
  </si>
  <si>
    <t>BUH74@YANDEX.RU'</t>
  </si>
  <si>
    <t>59.073941,53.426585</t>
  </si>
  <si>
    <t>ОБЩЕСТВО С ОГРАНИЧЕННОЙ ОТВЕТСТВЕННОСТЬЮ "ПРИОРИТЕТ"</t>
  </si>
  <si>
    <t xml:space="preserve"> "ПРИОРИТЕТ"</t>
  </si>
  <si>
    <t>7455027619</t>
  </si>
  <si>
    <t>455019, ЧЕЛЯБИНСКАЯ ОБЛАСТЬ, ГОРОД МАГНИТОГОРСК, УЛИЦА КИРОВА, ДОМ 108, СТРОЕНИЕ 2, ОФИС 1</t>
  </si>
  <si>
    <t>Сметанюк Андрей Викторович</t>
  </si>
  <si>
    <t>+7 (982) 333-48-88', '+7 (351) 924-93-08'</t>
  </si>
  <si>
    <t>59.095339,53.413362</t>
  </si>
  <si>
    <t xml:space="preserve"> "ДОМ"</t>
  </si>
  <si>
    <t>7455028877</t>
  </si>
  <si>
    <t>455013, ЧЕЛЯБИНСКАЯ ОБЛАСТЬ, ГОРОД МАГНИТОГОРСК, ШОССЕ ФАБРИЧНОЕ, ДОМ 1, ОФИС 2</t>
  </si>
  <si>
    <t>Бережнов Константин Львович</t>
  </si>
  <si>
    <t>59.124363,53.295353</t>
  </si>
  <si>
    <t>ОБЩЕСТВО С ОГРАНИЧЕННОЙ ОТВЕТСТВЕННОСТЬЮ ПРОИЗВОДСТВЕННАЯ КОМПАНИЯ "БЕТОН АВТО РЕСУРС"</t>
  </si>
  <si>
    <t xml:space="preserve"> ПРОИЗВОДСТВЕННАЯ КОМПАНИЯ "БЕТОН АВТО РЕСУРС"</t>
  </si>
  <si>
    <t>7455029359</t>
  </si>
  <si>
    <t>457400, ЧЕЛЯБИНСКАЯ ОБЛ, АГАПОВСКИЙ Р-Н, АГАПОВКА С, ПИОНЕРСКАЯ УЛ, ДОМ 4, КОРПУС А,..</t>
  </si>
  <si>
    <t>Рыбаков Дмитрий Александрович</t>
  </si>
  <si>
    <t>+7 (932) 014-89-21'</t>
  </si>
  <si>
    <t>59.048833,53.43762</t>
  </si>
  <si>
    <t>ОБЩЕСТВО С ОГРАНИЧЕННОЙ ОТВЕТСТВЕННОСТЬЮ СТРОИТЕЛЬНАЯ КОМПАНИЯ "ФОРТ"</t>
  </si>
  <si>
    <t xml:space="preserve"> СТРОИТЕЛЬНАЯ КОМПАНИЯ "ФОРТ"</t>
  </si>
  <si>
    <t>7455030724</t>
  </si>
  <si>
    <t>455019, ЧЕЛЯБИНСКАЯ ОБЛ, МАГНИТОГОРСК Г, КИРПИЧНЫЙ ПР, ДОМ 10, СТРОЕНИЕ 1, ОФИС 1</t>
  </si>
  <si>
    <t>Потемкин Виталий Владиславович</t>
  </si>
  <si>
    <t>+7 (902) 609-19-28', '+7 (906) 851-07-77'</t>
  </si>
  <si>
    <t>59.11335,53.404962</t>
  </si>
  <si>
    <t xml:space="preserve"> "БРУ ТЕХНОСТРОЙ"</t>
  </si>
  <si>
    <t>455013, Челябинская область, городской округ МАГНИТОГОРСКИЙ, Город МАГНИТОГОРСК, УЛ ЛАЗНИКА, Д. 52, ОФИС 1</t>
  </si>
  <si>
    <t>Насибулин Рустам Зафарович</t>
  </si>
  <si>
    <t>tehst@mail.ru'</t>
  </si>
  <si>
    <t>59.142743,53.304227</t>
  </si>
  <si>
    <t>ОБЩЕСТВО С ОГРАНИЧЕННОЙ ОТВЕТСТВЕННОСТЬЮ "ООО БЕТОН"</t>
  </si>
  <si>
    <t xml:space="preserve"> "ООО БЕТОН"</t>
  </si>
  <si>
    <t>7455040634</t>
  </si>
  <si>
    <t>457400, ЧЕЛЯБИНСКАЯ ОБЛ., Агаповский Р-Н, С. Агаповка, УЛ. ТРУДА, Д. 9Б/2, ПОМЕЩ. 7209</t>
  </si>
  <si>
    <t>Зотова Любовь Анатольевна</t>
  </si>
  <si>
    <t>OOO_BETON74@MAIL.RU'</t>
  </si>
  <si>
    <t>58.927174,53.41669</t>
  </si>
  <si>
    <t>ОБЩЕСТВО С ОГРАНИЧЕННОЙ ОТВЕТСТВЕННОСТЬЮ "Шлакоблок"</t>
  </si>
  <si>
    <t xml:space="preserve"> "Шлакоблок"</t>
  </si>
  <si>
    <t>7456010167</t>
  </si>
  <si>
    <t>455017, ЧЕЛЯБИНСКАЯ ОБЛАСТЬ, Г. МАГНИТОГОРСК, УЛ. КОМСОМОЛЬСКАЯ, Д.133, К.1</t>
  </si>
  <si>
    <t>Сергеев Александр Анатольевич</t>
  </si>
  <si>
    <t>+7 (982) 273-94-61', '+7 (906) 854-10-34'</t>
  </si>
  <si>
    <t>61.375308,55.156862</t>
  </si>
  <si>
    <t>ОБЩЕСТВО С ОГРАНИЧЕННОЙ ОТВЕТСТВЕННОСТЬЮ "ТЕХНОТРЕЙД"</t>
  </si>
  <si>
    <t xml:space="preserve"> "ТЕХНОТРЕЙД"</t>
  </si>
  <si>
    <t>7456020091</t>
  </si>
  <si>
    <t>Г ЧЕЛЯБИНСК,УЛ ЭНТУЗИАСТОВ, Д 12</t>
  </si>
  <si>
    <t>Преданников Дмитрий Александрович</t>
  </si>
  <si>
    <t>+7 (922) 696-41-39'</t>
  </si>
  <si>
    <t>58.998599,53.420039</t>
  </si>
  <si>
    <t>ОБЩЕСТВО С ОГРАНИЧЕННОЙ ОТВЕТСТВЕННОСТЬЮ "СТРОИТЕЛЬМ"</t>
  </si>
  <si>
    <t xml:space="preserve"> "СТРОИТЕЛЬМ"</t>
  </si>
  <si>
    <t>7456048185</t>
  </si>
  <si>
    <t>455023, ЧЕЛЯБИНСКАЯ ОБЛ., Г. Магнитогорск, УЛ. ОКТЯБРЬСКАЯ, Д. 6,..</t>
  </si>
  <si>
    <t>Тукан Галина Николаевна</t>
  </si>
  <si>
    <t>STROITEL_MP@MAIL.RU'</t>
  </si>
  <si>
    <t>58.976833,55.033084</t>
  </si>
  <si>
    <t>ОБЩЕСТВО С ОГРАНИЧЕННОЙ ОТВЕТСТВЕННОСТЬЮ "УРАЛБЕТОН"</t>
  </si>
  <si>
    <t xml:space="preserve"> "УРАЛБЕТОН"</t>
  </si>
  <si>
    <t>7457008114</t>
  </si>
  <si>
    <t>456910, ЧЕЛЯБИНСКАЯ ОБЛ, САТКИНСКИЙ Р-Н, САТКА Г, БАКАЛЬСКАЯ УЛ, ДОМ 10,..</t>
  </si>
  <si>
    <t>Цветков Сергей Александрович</t>
  </si>
  <si>
    <t>+7 (904) 801-73-72', '+7 (963) 082-36-76'</t>
  </si>
  <si>
    <t>ОБЩЕСТВО С ОГРАНИЧЕННОЙ ОТВЕТСТВЕННОСТЬЮ УК "КСМИ"</t>
  </si>
  <si>
    <t xml:space="preserve"> УК "КСМИ"</t>
  </si>
  <si>
    <t>7460016267</t>
  </si>
  <si>
    <t>454038, ЧЕЛЯБИНСКАЯ ОБЛАСТЬ, Г. ЧЕЛЯБИНСК, Ш. МЕТАЛЛУРГОВ, Д.5П, ОФИС 11</t>
  </si>
  <si>
    <t>Миллер Александр Александрович</t>
  </si>
  <si>
    <t>+7 (351) 735-40-30', '+7 (351) 735-94-95'</t>
  </si>
  <si>
    <t>ENA_85@BK.RU'</t>
  </si>
  <si>
    <t>60.697125,55.758509</t>
  </si>
  <si>
    <t>ОБЩЕСТВО С ОГРАНИЧЕННОЙ ОТВЕТСТВЕННОСТЬЮ "ЮЖУРАЛСТРОЙРАЗВИТИЕ"</t>
  </si>
  <si>
    <t xml:space="preserve"> "ЮЖУРАЛСТРОЙРАЗВИТИЕ"</t>
  </si>
  <si>
    <t>7460019839</t>
  </si>
  <si>
    <t>ЧЕЛЯБИНСКАЯ ОБЛ.,Г ОЗЕРСК,ПРОСП КАРЛА МАРКСА, Д 29-В</t>
  </si>
  <si>
    <t>Бреднев Олег Валерьевич</t>
  </si>
  <si>
    <t>+7 (922) 754-11-19', '+7 (902) 862-31-07'</t>
  </si>
  <si>
    <t>55.247837,61.480905</t>
  </si>
  <si>
    <t>ОБЩЕСТВО С ОГРАНИЧЕННОЙ ОТВЕТСТВЕННОСТЬЮ "КЕММА-БЕТОН"</t>
  </si>
  <si>
    <t xml:space="preserve"> "КЕММА-БЕТОН"</t>
  </si>
  <si>
    <t>7460031530</t>
  </si>
  <si>
    <t>454038, ЧЕЛЯБИНСКАЯ ОБЛАСТЬ, Г. ЧЕЛЯБИНСК, УЛ. МРАМОРНАЯ, Д. 26, СТР 4, ОФИС 204</t>
  </si>
  <si>
    <t>Ведерников Александр Васильевич</t>
  </si>
  <si>
    <t>+7 (932) 019-56-05', '+7 (351) 216-50-21'</t>
  </si>
  <si>
    <t>55.250875,61.39525</t>
  </si>
  <si>
    <t>ОБЩЕСТВО С ОГРАНИЧЕННОЙ ОТВЕТСТВЕННОСТЬЮ "АРТЭКС"</t>
  </si>
  <si>
    <t xml:space="preserve"> "АРТЭКС"</t>
  </si>
  <si>
    <t>7460042299</t>
  </si>
  <si>
    <t>454031, ЧЕЛЯБИНСКАЯ ОБЛ, ЧЕЛЯБИНСК Г, МЕТАЛЛУРГОВ Ш, ДОМ 20-А,..</t>
  </si>
  <si>
    <t>Фурсов Артем Григорьевич</t>
  </si>
  <si>
    <t>+7 (902) 897-17-09'</t>
  </si>
  <si>
    <t>61.131712,55.16956</t>
  </si>
  <si>
    <t>ОБЩЕСТВО С ОГРАНИЧЕННОЙ ОТВЕТСТВЕННОСТЬЮ "ПК "БЕТОН"</t>
  </si>
  <si>
    <t xml:space="preserve"> "ПК "БЕТОН"</t>
  </si>
  <si>
    <t>7460053702</t>
  </si>
  <si>
    <t>456501, ЧЕЛЯБИНСКАЯ ОБЛ., Р-Н Сосновский, С. Кременкуль, УЛ. ДОРОЖНАЯ, Д. 38, ПОМЕЩ. 5</t>
  </si>
  <si>
    <t>Рахматулина Ирина Леонидовна</t>
  </si>
  <si>
    <t>PKBETON@LIST.RU'</t>
  </si>
  <si>
    <t>61.26689,55.129437</t>
  </si>
  <si>
    <t xml:space="preserve"> "РИВЕРСТОУН"</t>
  </si>
  <si>
    <t>7460055379</t>
  </si>
  <si>
    <t>456509, Челябинская область, СОСНОВСКИЙ, 2 КРЕМЕНКУЛЬСКОЕ, П ЗАПАДНЫЙ, УЛ РАЗДОЛЬНАЯ (МКР ЗАЛЕСЬЕ), Д. 11</t>
  </si>
  <si>
    <t>Гагарин Артём Юрьевич</t>
  </si>
  <si>
    <t>RIVER_STONE@BK.RU'</t>
  </si>
  <si>
    <t>57.66385,39.847182</t>
  </si>
  <si>
    <t>ОБЩЕСТВО С ОГРАНИЧЕННОЙ ОТВЕТСТВЕННОСТЬЮ "ЦЕНТРАЛЬНЫЙ БЕТОННЫЙ ЗАВОД"</t>
  </si>
  <si>
    <t xml:space="preserve"> "ЦЕНТРАЛЬНЫЙ БЕТОННЫЙ ЗАВОД"</t>
  </si>
  <si>
    <t>7602129420</t>
  </si>
  <si>
    <t>150044, ЯРОСЛАВСКАЯ ОБЛ., Г. Ярославль, УЛ. ПОЛУШКИНА РОЩА, Д. 16, ОФИС 2</t>
  </si>
  <si>
    <t>Черепанин Максим Анатольевич</t>
  </si>
  <si>
    <t>+7 (906) 632-69-89'</t>
  </si>
  <si>
    <t>57.661351,39.817627</t>
  </si>
  <si>
    <t>ОБЩЕСТВО С ОГРАНИЧЕННОЙ ОТВЕТСТВЕННОСТЬЮ "БЕТОН-РАСТВОР"</t>
  </si>
  <si>
    <t xml:space="preserve"> "БЕТОН-РАСТВОР"</t>
  </si>
  <si>
    <t>7602130306</t>
  </si>
  <si>
    <t>150044, ЯРОСЛАВСКАЯ ОБЛАСТЬ, Г. ЯРОСЛАВЛЬ, ПР-Д 1-Й ПРОМЫШЛЕННЫЙ, Д. 14, КОМ. 33</t>
  </si>
  <si>
    <t>Краюхина Татьяна Николаевна</t>
  </si>
  <si>
    <t>kraikhina52@mail.ru'</t>
  </si>
  <si>
    <t>57.72986,39.757288</t>
  </si>
  <si>
    <t>ОБЩЕСТВО С ОГРАНИЧЕННОЙ ОТВЕТСТВЕННОСТЬЮ "НОРСКИЙ БЕТОН"</t>
  </si>
  <si>
    <t xml:space="preserve"> "НОРСКИЙ БЕТОН"</t>
  </si>
  <si>
    <t>7602137502</t>
  </si>
  <si>
    <t>150019, ЯРОСЛАВСКАЯ ОБЛАСТЬ, Г. ЯРОСЛАВЛЬ, ПЕР. КРАСНОПЕРЕВАЛЬСКИЙ, Д. 1, ОФИС 203</t>
  </si>
  <si>
    <t>Комарова Яна Сергеевна</t>
  </si>
  <si>
    <t>kruglova@mail.ru'</t>
  </si>
  <si>
    <t>57.689029,39.803668</t>
  </si>
  <si>
    <t>ОБЩЕСТВО С ОГРАНИЧЕННОЙ ОТВЕТСТВЕННОСТЬЮ ТОРГОВЫЙ ДОМ "ШТЕТТЕРБЕТОН"</t>
  </si>
  <si>
    <t xml:space="preserve"> ТОРГОВЫЙ ДОМ "ШТЕТТЕРБЕТОН"</t>
  </si>
  <si>
    <t>7602146786</t>
  </si>
  <si>
    <t>150042, ЯРОСЛАВСКАЯ ОБЛАСТЬ, ГОРОД ЯРОСЛАВЛЬ, УЛИЦА БЛЮХЕРА, ДОМ 58,..</t>
  </si>
  <si>
    <t>Сбогова Татьяна Владимировна</t>
  </si>
  <si>
    <t>+7 (910) 975-36-29'</t>
  </si>
  <si>
    <t>57.648822,39.938648</t>
  </si>
  <si>
    <t>ОБЩЕСТВО С ОГРАНИЧЕННОЙ ОТВЕТСТВЕННОСТЬЮ "НОРСКИЙ БЕТОННЫЙ ЗАВОД"</t>
  </si>
  <si>
    <t xml:space="preserve"> "НОРСКИЙ БЕТОННЫЙ ЗАВОД"</t>
  </si>
  <si>
    <t>7603075930</t>
  </si>
  <si>
    <t>150055, ЯРОСЛАВСКАЯ ОБЛ., Г. Ярославль, УЛ. КРАСНОБОРСКАЯ, Д. 11,..</t>
  </si>
  <si>
    <t>Марченко Юрий Валерьевич</t>
  </si>
  <si>
    <t>ОБЩЕСТВО С ОГРАНИЧЕННОЙ ОТВЕТСТВЕННОСТЬЮ "ЯРОСЛАВСКИЙ БЕТОННЫЙ ЗАВОД"</t>
  </si>
  <si>
    <t xml:space="preserve"> "ЯРОСЛАВСКИЙ БЕТОННЫЙ ЗАВОД"</t>
  </si>
  <si>
    <t>7604231028</t>
  </si>
  <si>
    <t>150040, ЯРОСЛАВСКАЯ ОБЛ., Г. Ярославль, УЛ. НЕКРАСОВА, Д. 41, ПОМЕЩ. 95</t>
  </si>
  <si>
    <t>Касоян Самвел Магмадович</t>
  </si>
  <si>
    <t>+7 (980) 707-77-11'</t>
  </si>
  <si>
    <t>YARBETON2020@MAIL.RU'</t>
  </si>
  <si>
    <t>57.480073,40.009570</t>
  </si>
  <si>
    <t>ОБЩЕСТВО С ОГРАНИЧЕННОЙ ОТВЕТСТВЕННОСТЬЮ  ТОРГОВЫЙ ДОМ "СКИД"</t>
  </si>
  <si>
    <t xml:space="preserve">  ТОРГОВЫЙ ДОМ "СКИД"</t>
  </si>
  <si>
    <t>7604267112</t>
  </si>
  <si>
    <t>ЯРОСЛАВСКАЯ ОБЛ.,ЯРОСЛАВСКИЙ Р-Н,П/О АНАНЬИНО,Д ТИМОШИНО</t>
  </si>
  <si>
    <t>57.601042,39.876997</t>
  </si>
  <si>
    <t>ОБЩЕСТВО С ОГРАНИЧЕННОЙ ОТВЕТСТВЕННОСТЬЮ "ПЕРВЫЙ ЗАВОД"</t>
  </si>
  <si>
    <t xml:space="preserve"> "ПЕРВЫЙ ЗАВОД"</t>
  </si>
  <si>
    <t>7604352248</t>
  </si>
  <si>
    <t>150023, ЯРОСЛАВСКАЯ ОБЛАСТЬ, Г. ЯРОСЛАВЛЬ, ПР-КТ МОСКОВСКИЙ, Д. 89/2, ОФИС 6</t>
  </si>
  <si>
    <t>Демидов Сергей Николаевич</t>
  </si>
  <si>
    <t>57.573504,39.810342</t>
  </si>
  <si>
    <t>ОБЩЕСТВО С ОГРАНИЧЕННОЙ ОТВЕТСТВЕННОСТЬЮ "УПТК БЕТОН"</t>
  </si>
  <si>
    <t xml:space="preserve"> "УПТК БЕТОН"</t>
  </si>
  <si>
    <t>7604354164</t>
  </si>
  <si>
    <t>150023, ЯРОСЛАВСКАЯ ОБЛАСТЬ, ГОРОД ЯРОСЛАВЛЬ, УЛИЦА ГАГАРИНА, ДОМ 58, ЛИТЕР А, ОФИС 1</t>
  </si>
  <si>
    <t>Голосов Максим Васильевич</t>
  </si>
  <si>
    <t>57.551075,39.957217</t>
  </si>
  <si>
    <t xml:space="preserve"> "ПЕРВЫЙ БЕТОННЫЙ ЗАВОД"</t>
  </si>
  <si>
    <t>7604369837</t>
  </si>
  <si>
    <t>150006, ЯРОСЛАВСКАЯ ОБЛАСТЬ, ГОРОД ЯРОСЛАВЛЬ, ПРОСПЕКТ ФРУНЗЕ, ЗДАНИЕ 97Б, ПОМЕЩЕНИЕ 2</t>
  </si>
  <si>
    <t>Плохов Александр Михайлович</t>
  </si>
  <si>
    <t>57.619142,39.850524</t>
  </si>
  <si>
    <t>ОБЩЕСТВО С ОГРАНИЧЕННОЙ ОТВЕТСТВЕННОСТЬЮ "БЕТОН-РЕГИОН76"</t>
  </si>
  <si>
    <t xml:space="preserve"> "БЕТОН-РЕГИОН76"</t>
  </si>
  <si>
    <t>7604385155</t>
  </si>
  <si>
    <t>150049, Ярославская область, ГОРОД ЯРОСЛАВЛЬ, Г ЯРОСЛАВЛЬ, ПРОЕЗД МЫШКИНСКИЙ, Д. 10</t>
  </si>
  <si>
    <t>Лузин Антон Александрович</t>
  </si>
  <si>
    <t>57.592452,39.867331</t>
  </si>
  <si>
    <t>ОБЩЕСТВО С ОГРАНИЧЕННОЙ ОТВЕТСТВЕННОСТЬЮ "ВИГЕРТ БЕТОН"</t>
  </si>
  <si>
    <t xml:space="preserve"> "ВИГЕРТ БЕТОН"</t>
  </si>
  <si>
    <t>7604385878</t>
  </si>
  <si>
    <t>150030, Ярославская область, ГОРОД ЯРОСЛАВЛЬ, Г ЯРОСЛАВЛЬ, УЛ ГОГОЛЯ, Д. 3</t>
  </si>
  <si>
    <t>Емельянов Михаил Валерьевич</t>
  </si>
  <si>
    <t>VIGERT76@MAIL.RU'</t>
  </si>
  <si>
    <t>ОБЩЕСТВО С ОГРАНИЧЕННОЙ ОТВЕТСТВЕННОСТЬЮ "АРСЕНАЛ-ЗАВОД ЖЕЛЕЗОБЕТОННЫХ ИЗДЕЛИЙ"</t>
  </si>
  <si>
    <t xml:space="preserve"> "АРСЕНАЛ-ЗАВОД ЖЕЛЕЗОБЕТОННЫХ ИЗДЕЛИЙ"</t>
  </si>
  <si>
    <t>7605016915</t>
  </si>
  <si>
    <t>Г ЯРОСЛАВЛЬ,УЛ ГАГАРИНА, Д 68В</t>
  </si>
  <si>
    <t>Ежов Станислав Сергеевич</t>
  </si>
  <si>
    <t>57.542675,39.977177</t>
  </si>
  <si>
    <t>ОБЩЕСТВО С ОГРАНИЧЕННОЙ ОТВЕТСТВЕННОСТЬЮ "ПРОМПОРТБЕТОН"</t>
  </si>
  <si>
    <t xml:space="preserve"> "ПРОМПОРТБЕТОН"</t>
  </si>
  <si>
    <t>7606096007</t>
  </si>
  <si>
    <t>150032, ЯРОСЛАВСКАЯ ОБЛАСТЬ, ГОРОД ЯРОСЛАВЛЬ, ПОСЕЛОК ПРИБРЕЖНЫЙ, ДОМ 37, ЛИТЕРА Б</t>
  </si>
  <si>
    <t>Старков Алексей Владимирович</t>
  </si>
  <si>
    <t>+7 (985) 997-53-71', '+7 (920) 110-61-11'</t>
  </si>
  <si>
    <t>ots@podati.ru'</t>
  </si>
  <si>
    <t>ОБЩЕСТВО С ОГРАНИЧЕННОЙ ОТВЕТСТВЕННОСТЬЮ "СТРОИТЕЛЬ-32"</t>
  </si>
  <si>
    <t xml:space="preserve"> "СТРОИТЕЛЬ-32"</t>
  </si>
  <si>
    <t>7606129809</t>
  </si>
  <si>
    <t>150044, Ярославская область, ГОРОД ЯРОСЛАВЛЬ, Г ЯРОСЛАВЛЬ, ПР-КТ ЛЕНИНГРАДСКИЙ, Д. 27Б</t>
  </si>
  <si>
    <t>32@MAIL.RU'</t>
  </si>
  <si>
    <t>56.751884,38.899405</t>
  </si>
  <si>
    <t>ОБЩЕСТВО С ОГРАНИЧЕННОЙ ОТВЕТСТВЕННОСТЬЮ "СЛАВКОН"</t>
  </si>
  <si>
    <t xml:space="preserve"> "СЛАВКОН"</t>
  </si>
  <si>
    <t>7608008334</t>
  </si>
  <si>
    <t>ЯРОСЛАВСКАЯ ОБЛ.,Г ПЕРЕСЛАВЛЬ-ЗАЛЕССКИЙ,ПЛОЩАДЬ МЕНДЕЛЕЕВА, Д 2, КОРП 44</t>
  </si>
  <si>
    <t>Афонченко Владимир Анатольевич</t>
  </si>
  <si>
    <t>+7 (961) 160-57-16'</t>
  </si>
  <si>
    <t>58.037689,40.359922</t>
  </si>
  <si>
    <t>ОБЩЕСТВО С ОГРАНИЧЕННОЙ ОТВЕТСТВЕННОСТЬЮ "СЕМИБРАТОВСКИЙ БЕТОННЫЙ ЗАВОД"</t>
  </si>
  <si>
    <t xml:space="preserve"> "СЕМИБРАТОВСКИЙ БЕТОННЫЙ ЗАВОД"</t>
  </si>
  <si>
    <t>7609029584</t>
  </si>
  <si>
    <t>ЯРОСЛАВСКАЯ ОБЛ.,ДАНИЛОВСКИЙ Р-Н,Д КОЗЛОВО,УЛ МОЛОДЕЖНАЯ, Д 5</t>
  </si>
  <si>
    <t>Кузьменко Нина Валентиновна</t>
  </si>
  <si>
    <t>+7 (920) 657-17-66'</t>
  </si>
  <si>
    <t>ОБЩЕСТВО С ОГРАНИЧЕННОЙ ОТВЕТСТВЕННОСТЬЮ"КЛК-БЕТОНСЕРВИС"</t>
  </si>
  <si>
    <t>"КЛК-БЕТОНСЕРВИС"</t>
  </si>
  <si>
    <t>7609039720</t>
  </si>
  <si>
    <t>152101, ЯРОСЛАВСКАЯ ОБЛАСТЬ, РОСТОВСКИЙ РАЙОН, РАБОЧИЙ ПОСЕЛОК СЕМИБРАТОВО, УЛИЦА ВОСТОЧНАЯ, ДОМ 13</t>
  </si>
  <si>
    <t>Копансков Михаил Александрович</t>
  </si>
  <si>
    <t>58.056455,38.806717</t>
  </si>
  <si>
    <t>ОБЩЕСТВО С ОГРАНИЧЕННОЙ ОТВЕТСТВЕННОСТЬЮ "ТОРГОВЫЙ ПОРТ"</t>
  </si>
  <si>
    <t xml:space="preserve"> "ТОРГОВЫЙ ПОРТ"</t>
  </si>
  <si>
    <t>7610074408</t>
  </si>
  <si>
    <t>ЯРОСЛАВСКАЯ ОБЛ.,Г РЫБИНСК,ПРОСП ЛЕНИНА, Д 154,..</t>
  </si>
  <si>
    <t>Маслаков Дмитрий Владимирович</t>
  </si>
  <si>
    <t>58.056846,38.825564</t>
  </si>
  <si>
    <t>ОБЩЕСТВО С ОГРАНИЧЕННОЙ ОТВЕТСТВЕННОСТЬЮ "ПОРТ ПЕРЕБОРЫ"</t>
  </si>
  <si>
    <t xml:space="preserve"> "ПОРТ ПЕРЕБОРЫ"</t>
  </si>
  <si>
    <t>7610120573</t>
  </si>
  <si>
    <t>152903, ЯРОСЛАВСКАЯ ОБЛАСТЬ, РАЙОН РЫБИНСКИЙ, ГОРОД РЫБИНСК, УЛИЦА БРАТЬЕВ ОРЛОВЫХ, ДОМ 8, КОРПУС 1,..</t>
  </si>
  <si>
    <t>Зайковский Иван Сергеевич</t>
  </si>
  <si>
    <t>+7 (910) 665-02-56', '+7 (910) 811-85-71', '+7 (910) 239-00-91'</t>
  </si>
  <si>
    <t>58.497072,39.104293</t>
  </si>
  <si>
    <t>ОБЩЕСТВО С ОГРАНИЧЕННОЙ ОТВЕТСТВЕННОСТЬЮ "СЕГМЕНТ-РЕГИОН"</t>
  </si>
  <si>
    <t xml:space="preserve"> "СЕГМЕНТ-РЕГИОН"</t>
  </si>
  <si>
    <t>7624004440</t>
  </si>
  <si>
    <t>152850, Ярославская область, Пошехонский район, г Пошехонье, ул Рыбинская, д 47</t>
  </si>
  <si>
    <t>57.685426,39.930447</t>
  </si>
  <si>
    <t>ОБЩЕСТВО С ОГРАНИЧЕННОЙ ОТВЕТСТВЕННОСТЬЮ "ЯРОСЛАВСКАЯ СЕЛЬХОЗХИМИЯ"</t>
  </si>
  <si>
    <t xml:space="preserve"> "ЯРОСЛАВСКАЯ СЕЛЬХОЗХИМИЯ"</t>
  </si>
  <si>
    <t>7627003638</t>
  </si>
  <si>
    <t>ЯРОСЛАВСКАЯ ОБЛ.,ЯРОСЛАВСКИЙ Р-Н,П/О ЛЕСНАЯ ПОЛЯНА,Д КУЗНЕЧИХА,УЛ ПРОМЫШЛЕННАЯ, Д 8</t>
  </si>
  <si>
    <t>Герасименко Дмитрий Михайлович</t>
  </si>
  <si>
    <t>+7 (920) 367-07-99'</t>
  </si>
  <si>
    <t>57.684131,39.895394</t>
  </si>
  <si>
    <t>ОБЩЕСТВО С ОГРАНИЧЕННОЙ ОТВЕТСТВЕННОСТЬЮ "БРИС"</t>
  </si>
  <si>
    <t xml:space="preserve"> "БРИС"</t>
  </si>
  <si>
    <t>7627054907</t>
  </si>
  <si>
    <t>150539, ЯРОСЛАВСКАЯ ОБЛ., Р-Н Ярославский, РП. Лесная Поляна, Д. 43, СТР. 1, ПОМЕЩ. 11</t>
  </si>
  <si>
    <t xml:space="preserve"> Общество С Ограниченной Ответственностью "Консалтингтранссервис"</t>
  </si>
  <si>
    <t>664343@BRISBETON.RU'</t>
  </si>
  <si>
    <t>55.778011,37.693202</t>
  </si>
  <si>
    <t>ОБЩЕСТВО С ОГРАНИЧЕННОЙ ОТВЕТСТВЕННОСТЬЮ "МелекПир"</t>
  </si>
  <si>
    <t xml:space="preserve"> "МелекПир"</t>
  </si>
  <si>
    <t>7701947402</t>
  </si>
  <si>
    <t>105082, МОСКВА ГОРОД, УЛИЦА ФРИДРИХА ЭНГЕЛЬСА, ДОМ 75, СТРОЕНИЕ 10</t>
  </si>
  <si>
    <t>Богданов Алексей Юрьевич</t>
  </si>
  <si>
    <t>55.784091,37.637407</t>
  </si>
  <si>
    <t>ОБЩЕСТВО С ОГРАНИЧЕННОЙ ОТВЕТСТВЕННОСТЬЮ "М.КУБ"</t>
  </si>
  <si>
    <t xml:space="preserve"> "М.КУБ"</t>
  </si>
  <si>
    <t>7702845499</t>
  </si>
  <si>
    <t>129110, МОСКВА ГОРОД, ПЕР. ОРЛОВО-ДАВЫДОВСКИЙ, Д. 1, ПОМ III, КОМН 3</t>
  </si>
  <si>
    <t>Баев Евгений Иванович</t>
  </si>
  <si>
    <t>+7 (925) 094-95-38'</t>
  </si>
  <si>
    <t>55.764075,37.609164</t>
  </si>
  <si>
    <t>ОБЩЕСТВО С ОГРАНИЧЕННОЙ ОТВЕТСТВЕННОСТЬЮ "РУСЩЕБЕНЬ"</t>
  </si>
  <si>
    <t xml:space="preserve"> "РУСЩЕБЕНЬ"</t>
  </si>
  <si>
    <t>7703379321</t>
  </si>
  <si>
    <t>Г МОСКВА,УЛ ТВЕРСКАЯ, Д 12, СТР 8</t>
  </si>
  <si>
    <t>Соломыкин Антон Викторович</t>
  </si>
  <si>
    <t>+7 (904) 689-67-80', '+7 (904) 292-42-95'</t>
  </si>
  <si>
    <t>55.756584,37.552103</t>
  </si>
  <si>
    <t>ОБЩЕСТВО С ОГРАНИЧЕННОЙ ОТВЕТСТВЕННОСТЬЮ "БЕТОНФАБРИКСТРОЙ"</t>
  </si>
  <si>
    <t xml:space="preserve"> "БЕТОНФАБРИКСТРОЙ"</t>
  </si>
  <si>
    <t>7703408780</t>
  </si>
  <si>
    <t>123100, МОСКВА Г, МАНТУЛИНСКАЯ УЛ, ДОМ 16, ЭТ ЦОК ПОМ III КОМ 14</t>
  </si>
  <si>
    <t>Коцба Артур Алиевич</t>
  </si>
  <si>
    <t>55.749633,37.537434</t>
  </si>
  <si>
    <t>ОБЩЕСТВО С ОГРАНИЧЕННОЙ ОТВЕТСТВЕННОСТЬЮ "ЗАВОД МОСЖБИ"</t>
  </si>
  <si>
    <t xml:space="preserve"> "ЗАВОД МОСЖБИ"</t>
  </si>
  <si>
    <t>7703462146</t>
  </si>
  <si>
    <t>123112, МОСКВА ГОРОД, НАБЕРЕЖНАЯ ПРЕСНЕНСКАЯ, ДОМ 12, ЭТ 45 КОМН 11 ПОМ III М</t>
  </si>
  <si>
    <t>Волчков Александр Николаевич</t>
  </si>
  <si>
    <t>55.765706,37.579286</t>
  </si>
  <si>
    <t>ОБЩЕСТВО С ОГРАНИЧЕННОЙ ОТВЕТСТВЕННОСТЬЮ "БЕТОННЫЙ ЗАВОД КУРМИС"</t>
  </si>
  <si>
    <t xml:space="preserve"> "БЕТОННЫЙ ЗАВОД КУРМИС"</t>
  </si>
  <si>
    <t>7703567220</t>
  </si>
  <si>
    <t>123242, Г.Москва, внутригородская территория города федерального значения МУНИЦИПАЛЬНЫЙ ОКРУГ ПРЕСНЕНСКИЙ, УЛ БОЛЬШАЯ ГРУЗИНСКАЯ, Д. 20, ЭТАЖ/ПОМЕЩЕНИЕ ПОДВАЛ/IV, КОМНАТА/ОФИС 2/32</t>
  </si>
  <si>
    <t>Каспаров Игорь Егишевич</t>
  </si>
  <si>
    <t>kyrmis@gmail.com'</t>
  </si>
  <si>
    <t>55.767246,37.566297</t>
  </si>
  <si>
    <t>ОБЩЕСТВО С ОГРАНИЧЕННОЙ ОТВЕТСТВЕННОСТЬЮ "БМГ - ТРЕЙД"</t>
  </si>
  <si>
    <t xml:space="preserve"> "БМГ - ТРЕЙД"</t>
  </si>
  <si>
    <t>7703706635</t>
  </si>
  <si>
    <t>123557, МОСКВА ГОРОД, УЛИЦА ПРЕСНЕНСКИЙ ВАЛ, ДОМ 16, СТРОЕНИЕ 2</t>
  </si>
  <si>
    <t>Раживин Борис Владимирович</t>
  </si>
  <si>
    <t>55.76363,37.552319</t>
  </si>
  <si>
    <t>ОБЩЕСТВО С ОГРАНИЧЕННОЙ ОТВЕТСТВЕННОСТЬЮ "ТК ТРАНСКАР"</t>
  </si>
  <si>
    <t xml:space="preserve"> "ТК ТРАНСКАР"</t>
  </si>
  <si>
    <t>7703747783</t>
  </si>
  <si>
    <t>123022, МОСКВА ГОРОД, УЛИЦА СЕРГЕЯ МАКЕЕВА, 8</t>
  </si>
  <si>
    <t>Авазашвили Захарий Гурамович</t>
  </si>
  <si>
    <t>55.756665,37.587200</t>
  </si>
  <si>
    <t>ОБЩЕСТВО С ОГРАНИЧЕННОЙ ОТВЕТСТВЕННОСТЬЮ "СТРОЙ РЕСУРС ЮГ"</t>
  </si>
  <si>
    <t xml:space="preserve"> "СТРОЙ РЕСУРС ЮГ"</t>
  </si>
  <si>
    <t>7704402340</t>
  </si>
  <si>
    <t>121069, Г.Москва, внутригородская территория города федерального значения МУНИЦИПАЛЬНЫЙ ОКРУГ АРБАТ, УЛ ПОВАРСКАЯ, Д. 31/29, ЭТ./ПОМЕЩ. П/VI, КОМ./ОФИС 4/82</t>
  </si>
  <si>
    <t>Скляров Эдуард Алексеевич</t>
  </si>
  <si>
    <t>stroyresursyug@yandex.ru'</t>
  </si>
  <si>
    <t>55.673905,37.440308</t>
  </si>
  <si>
    <t>ОБЩЕСТВО С ОГРАНИЧЕННОЙ ОТВЕТСТВЕННОСТЬЮ "НОВОЕ ИЗМЕРЕНИЕ"</t>
  </si>
  <si>
    <t xml:space="preserve"> "НОВОЕ ИЗМЕРЕНИЕ"</t>
  </si>
  <si>
    <t>7704865518</t>
  </si>
  <si>
    <t>119361, МОСКВА ГОРОД, УЛ. БОЛЬШАЯ ОЧАКОВСКАЯ, Д. 47А, СТР. 1, ПОМЕЩ. 57</t>
  </si>
  <si>
    <t>Левый Иван Владимирович</t>
  </si>
  <si>
    <t>+7 (495) 300-91-18', '+7 (929) 598-12-77'</t>
  </si>
  <si>
    <t>ОБЩЕСТВО С ОГРАНИЧЕННОЙ ОТВЕТСТВЕННОСТЬЮ "ПРОИЗВОДСТВЕННАЯ КОМПАНИЯ "ПРОМБЕТОН"</t>
  </si>
  <si>
    <t xml:space="preserve"> "ПРОИЗВОДСТВЕННАЯ КОМПАНИЯ "ПРОМБЕТОН"</t>
  </si>
  <si>
    <t>7705384359</t>
  </si>
  <si>
    <t>115184, МОСКВА ГОРОД, ПЕРЕУЛОК МАЛЫЙ ТАТАРСКИЙ, ДОМ 5, ПОМЕЩЕНИЕ 1 КОМН 3Б</t>
  </si>
  <si>
    <t>Хайбулин Марат Ягфарович</t>
  </si>
  <si>
    <t>+7 (985) 425-05-55'</t>
  </si>
  <si>
    <t>marat@scement.ru'</t>
  </si>
  <si>
    <t>55.697661,37.623564</t>
  </si>
  <si>
    <t>ОБЩЕСТВО С ОГРАНИЧЕННОЙ ОТВЕТСТВЕННОСТЬЮ "ПМК БЕТОН"</t>
  </si>
  <si>
    <t xml:space="preserve"> "ПМК БЕТОН"</t>
  </si>
  <si>
    <t>7705514495</t>
  </si>
  <si>
    <t>117105, Г.Москва, внутригородская территория города федерального значения МУНИЦИПАЛЬНЫЙ ОКРУГ ДОНСКОЙ, Ш ВАРШАВСКОЕ, Д. 17, СТР. 5, ЭТАЖ №2, ПОМЕЩ./ОФИС 22/3</t>
  </si>
  <si>
    <t>Даев Дени Мусаевич</t>
  </si>
  <si>
    <t>55.79013,37.380363</t>
  </si>
  <si>
    <t>ЗАКРЫТОЕ "МКУ-БЕТОНСТРОЙ"</t>
  </si>
  <si>
    <t>7705735279</t>
  </si>
  <si>
    <t>123458, Г.Москва, внутригородская территория города федерального значения МУНИЦИПАЛЬНЫЙ ОКРУГ СТРОГИНО, УЛ МАРШАЛА ПРОШЛЯКОВА, Д. 30, КОМ. 5, ПОМЕЩ. ХIII</t>
  </si>
  <si>
    <t>Полковников Сергей Иванович</t>
  </si>
  <si>
    <t>+7 (495) 757-07-05', '+7 (495) 942-76-56'</t>
  </si>
  <si>
    <t>55.723009,37.571462</t>
  </si>
  <si>
    <t>ОБЩЕСТВО С ОГРАНИЧЕННОЙ ОТВЕТСТВЕННОСТЬЮ "АЯКС СТРОЙ"</t>
  </si>
  <si>
    <t xml:space="preserve"> "АЯКС СТРОЙ"</t>
  </si>
  <si>
    <t>7705783709</t>
  </si>
  <si>
    <t>119048, МОСКВА ГОРОД, УЛ. 3-Я ФРУНЗЕНСКАЯ, Д. 19, ЭТ 1 ПОМ 1 ОФ 11</t>
  </si>
  <si>
    <t>Березиков Александр Хаганович</t>
  </si>
  <si>
    <t>+7 (906) 078-92-81'</t>
  </si>
  <si>
    <t>55.724702,37.607889</t>
  </si>
  <si>
    <t>ОБЩЕСТВО С ОГРАНИЧЕННОЙ ОТВЕТСТВЕННОСТЬЮ "МЕТАЛЛОБЕТОННАЯ ПРОИЗВОДСТВЕННАЯ КОМПАНИЯ"</t>
  </si>
  <si>
    <t xml:space="preserve"> "МЕТАЛЛОБЕТОННАЯ ПРОИЗВОДСТВЕННАЯ КОМПАНИЯ"</t>
  </si>
  <si>
    <t>7706464046</t>
  </si>
  <si>
    <t>119049, МОСКВА ГОРОД, УЛИЦА ДОНСКАЯ, ДОМ 6, СТРОЕНИЕ 1, ЭТ ПОДВАЛ ПОМ 1 ОФИС 20С</t>
  </si>
  <si>
    <t>Субботин Сергей Дмитриевич</t>
  </si>
  <si>
    <t>byx@yandex.ru'</t>
  </si>
  <si>
    <t>ОБЩЕСТВО С ОГРАНИЧЕННОЙ ОТВЕТСТВЕННОСТЬЮ "ЭВЕРЕСТ-МОНОЛИТ"</t>
  </si>
  <si>
    <t xml:space="preserve"> "ЭВЕРЕСТ-МОНОЛИТ"</t>
  </si>
  <si>
    <t>7707428844</t>
  </si>
  <si>
    <t>127473, МОСКВА ГОРОД, ПЕРЕУЛОК 1-Й ВОЛКОНСКИЙ, ДОМ 15, ЭТ ПОДВАЛ ПОМ 1 КОМ 3Б</t>
  </si>
  <si>
    <t>Левицкий Григорий Александрович</t>
  </si>
  <si>
    <t>55.788712,37.595276</t>
  </si>
  <si>
    <t>ОБЩЕСТВО С ОГРАНИЧЕННОЙ ОТВЕТСТВЕННОСТЬЮ "БЕТОННЫЙ ЗАВОД ПАРТНЕР"</t>
  </si>
  <si>
    <t xml:space="preserve"> "БЕТОННЫЙ ЗАВОД ПАРТНЕР"</t>
  </si>
  <si>
    <t>7707441524</t>
  </si>
  <si>
    <t>127055, МОСКВА ГОРОД, ПЕР. ВАДКОВСКИЙ, Д. 12, Э 1 ПОМ 1 К 1 ОФ 98</t>
  </si>
  <si>
    <t>Серебренников Артем Владимирович</t>
  </si>
  <si>
    <t>55.71024,37.590704</t>
  </si>
  <si>
    <t>"СЛАВБЕТОН"</t>
  </si>
  <si>
    <t>7707732065</t>
  </si>
  <si>
    <t>119071, МОСКВА Г., УЛ. ОРДЖОНИКИДЗЕ, Д. 12, СТР. 4, ЭТАЖ 5, КОМНАТА 13</t>
  </si>
  <si>
    <t>Журавлёв Алексей Ильич</t>
  </si>
  <si>
    <t>+7 (495) 505-21-65', '+7 (499) 250-07-95'</t>
  </si>
  <si>
    <t>55.675301,37.58438</t>
  </si>
  <si>
    <t>ОБЩЕСТВО С ОГРАНИЧЕННОЙ ОТВЕТСТВЕННОСТЬЮ "ВЕДИС-ГРУПП"</t>
  </si>
  <si>
    <t xml:space="preserve"> "ВЕДИС-ГРУПП"</t>
  </si>
  <si>
    <t>7707811310</t>
  </si>
  <si>
    <t>117218, МОСКВА ГОРОД, УЛИЦА БОЛЬШАЯ ЧЕРЁМУШКИНСКАЯ, ДОМ 25, СТРОЕНИЕ 97, ЭТ 3 КОМНАТА 324</t>
  </si>
  <si>
    <t>Колпенский Леонид Михайлович</t>
  </si>
  <si>
    <t>troickaja@yandex.ru'</t>
  </si>
  <si>
    <t>55.775864,37.660413</t>
  </si>
  <si>
    <t>ОБЩЕСТВО С ОГРАНИЧЕННОЙ ОТВЕТСТВЕННОСТЬЮ "РЕЛАЙН"</t>
  </si>
  <si>
    <t xml:space="preserve"> "РЕЛАЙН"</t>
  </si>
  <si>
    <t>7708310813</t>
  </si>
  <si>
    <t>107140, МОСКВА ГОРОД, ПЛ. КОМСОМОЛЬСКАЯ, Д. 6, ЭТАЖ 1 ПОМ I КОМ.105</t>
  </si>
  <si>
    <t>Силов Игорь Анатольевич</t>
  </si>
  <si>
    <t>55.712715,37.644486</t>
  </si>
  <si>
    <t>ОБЩЕСТВО С ОГРАНИЧЕННОЙ ОТВЕТСТВЕННОСТЬЮ "БЕТОННЫЙ ЗАВОД СТРОЙБЕТОН"</t>
  </si>
  <si>
    <t xml:space="preserve"> "БЕТОННЫЙ ЗАВОД СТРОЙБЕТОН"</t>
  </si>
  <si>
    <t>7708335021</t>
  </si>
  <si>
    <t>115114, Г.Москва, внутригородская территория города федерального значения МУНИЦИПАЛЬНЫЙ ОКРУГ ДАНИЛОВСКИЙ, ПРОЕЗД 2-Й ПАВЕЛЕЦКИЙ, Д. 5, СТР. 1, ЭТАЖ 2,ПОМЕЩЕНИЕ IV, КОМ. 18,ОФИС 140</t>
  </si>
  <si>
    <t>Панин Павел Евгеньевич</t>
  </si>
  <si>
    <t>55.7816,37.661626</t>
  </si>
  <si>
    <t>ОБЩЕСТВО С ОГРАНИЧЕННОЙ ОТВЕТСТВЕННОСТЬЮ "КОМПЛЕКТСТРОЙ+"</t>
  </si>
  <si>
    <t xml:space="preserve"> "КОМПЛЕКТСТРОЙ+"</t>
  </si>
  <si>
    <t>7708344989</t>
  </si>
  <si>
    <t>107140, МОСКВА ГОРОД, ТУПИК БОЛЬШОЙ КРАСНОПРУДНЫЙ, ДОМ 8/12, Э 0 ПОМ 2 К 4 ОФ 34</t>
  </si>
  <si>
    <t>Иванова Ольга Юрьевна</t>
  </si>
  <si>
    <t>begemotata6@mail.ru'</t>
  </si>
  <si>
    <t>55.786085,37.657799</t>
  </si>
  <si>
    <t>ОБЩЕСТВО С ОГРАНИЧЕННОЙ ОТВЕТСТВЕННОСТЬЮ "ЗАВОД ЖЕЛЕЗОБЕТОННЫХ ИЗДЕЛИЙ ВЫСОТА"</t>
  </si>
  <si>
    <t xml:space="preserve"> "ЗАВОД ЖЕЛЕЗОБЕТОННЫХ ИЗДЕЛИЙ ВЫСОТА"</t>
  </si>
  <si>
    <t>7708388707</t>
  </si>
  <si>
    <t>107140, МОСКВА ГОРОД, УЛ. МАЛАЯ КРАСНОСЕЛЬСКАЯ, Д. 14, ЭТАЖ 1 ПОМ 1 ОФИС 18А</t>
  </si>
  <si>
    <t>Моисеев Роман Анатольевич</t>
  </si>
  <si>
    <t>55.747789,37.656164</t>
  </si>
  <si>
    <t xml:space="preserve"> "ОЛИМП"</t>
  </si>
  <si>
    <t>7709763975</t>
  </si>
  <si>
    <t>109004, Г.Москва, внутригородская территория города федерального значения МУНИЦИПАЛЬНЫЙ ОКРУГ ТАГАНСКИЙ, УЛ ЗЕМЛЯНОЙ ВАЛ, Д. 65, СТР. 2, ПОМЕЩ. 501</t>
  </si>
  <si>
    <t>Казикин Александр Александрович</t>
  </si>
  <si>
    <t>55.87688,37.497252</t>
  </si>
  <si>
    <t>ОБЩЕСТВО С ОГРАНИЧЕННОЙ ОТВЕТСТВЕННОСТЬЮ "УНИВЕРСАЛБЕТОН"</t>
  </si>
  <si>
    <t xml:space="preserve"> "УНИВЕРСАЛБЕТОН"</t>
  </si>
  <si>
    <t>7712103288</t>
  </si>
  <si>
    <t>125599, МОСКВА Г, БУСИНОВСКАЯ ГОРКА УЛ, 1</t>
  </si>
  <si>
    <t>Мандзий Игорь Иванович</t>
  </si>
  <si>
    <t>+7 (903) 662-43-42'</t>
  </si>
  <si>
    <t>55.858013,37.560817</t>
  </si>
  <si>
    <t>ОБЩЕСТВО С ОГРАНИЧЕННОЙ ОТВЕТСТВЕННОСТЬЮ "ТРИУМФ Э"</t>
  </si>
  <si>
    <t xml:space="preserve"> "ТРИУМФ Э"</t>
  </si>
  <si>
    <t>7713391800</t>
  </si>
  <si>
    <t>127474, МОСКВА ГОРОД, Ш. ДМИТРОВСКОЕ, Д. 66,..</t>
  </si>
  <si>
    <t>Манукян Ваге Оганесович</t>
  </si>
  <si>
    <t>+7 (925) 549-52-98', '+7 (495) 644-89-87'</t>
  </si>
  <si>
    <t>55.826347,37.571022</t>
  </si>
  <si>
    <t>ОБЩЕСТВО С ОГРАНИЧЕННОЙ ОТВЕТСТВЕННОСТЬЮ "ДОРСТРОЙИНВЕСТ"</t>
  </si>
  <si>
    <t xml:space="preserve"> "ДОРСТРОЙИНВЕСТ"</t>
  </si>
  <si>
    <t>7713650893</t>
  </si>
  <si>
    <t>127550, МОСКВА ГОРОД, Ш. ДМИТРОВСКОЕ, Д.27, К.1,..</t>
  </si>
  <si>
    <t>Попова Ольга Петровна</t>
  </si>
  <si>
    <t>+7 (495) 780-04-07'</t>
  </si>
  <si>
    <t>55.805801,37.601448</t>
  </si>
  <si>
    <t>ОБЩЕСТВО С ОГРАНИЧЕННОЙ ОТВЕТСТВЕННОСТЬЮ "ФОРМА ЖБИ"</t>
  </si>
  <si>
    <t xml:space="preserve"> "ФОРМА ЖБИ"</t>
  </si>
  <si>
    <t>7714020510</t>
  </si>
  <si>
    <t>Г МОСКВА,УЛ СКЛАДОЧНАЯ, Д 20 А</t>
  </si>
  <si>
    <t>Букреев Олег Александрович</t>
  </si>
  <si>
    <t>+7 (495) 994-02-62'</t>
  </si>
  <si>
    <t>55.800554,37.524345</t>
  </si>
  <si>
    <t>ОБЩЕСТВО С ОГРАНИЧЕННОЙ ОТВЕТСТВЕННОСТЬЮ "ЭЛА -БЕТОН"</t>
  </si>
  <si>
    <t xml:space="preserve"> "ЭЛА -БЕТОН"</t>
  </si>
  <si>
    <t>7714436028</t>
  </si>
  <si>
    <t>125057, МОСКВА ГОРОД, ПРОСПЕКТ ЛЕНИНГРАДСКИЙ, ДОМ 57, КОМНАТА 11А ПОМ. I ЭТ 3 ПОД 3</t>
  </si>
  <si>
    <t>Богатов Максим Алексеевич</t>
  </si>
  <si>
    <t>55.712284,37.518461</t>
  </si>
  <si>
    <t>Общество с ограниченной ответственностью "ПромЭксплуатация"</t>
  </si>
  <si>
    <t xml:space="preserve"> "ПромЭксплуатация"</t>
  </si>
  <si>
    <t>7714818436</t>
  </si>
  <si>
    <t>119330, МОСКВА ГОРОД, УЛИЦА ДРУЖБЫ, ДОМ 4, КОРПУС 1, ЭТАЖ 0 КАБИНЕТ 5</t>
  </si>
  <si>
    <t>Спивак Дмитрий Олегович</t>
  </si>
  <si>
    <t>+7 (495) 240-22-73'</t>
  </si>
  <si>
    <t>55.871905,37.512982</t>
  </si>
  <si>
    <t>ОБЩЕСТВО С ОГРАНИЧЕННОЙ ОТВЕТСТВЕННОСТЬЮ "СВАП БЕТОН"</t>
  </si>
  <si>
    <t xml:space="preserve"> "СВАП БЕТОН"</t>
  </si>
  <si>
    <t>7715890957</t>
  </si>
  <si>
    <t>125635, Г.Москва, внутригородская территория города федерального значения МУНИЦИПАЛЬНЫЙ ОКРУГ ЗАПАДНОЕ ДЕГУНИНО, УЛ АНГАРСКАЯ, Д. 6, ЭТАЖ/ПОМ. 1/IV, КОМ./ОФИС 5/В-03</t>
  </si>
  <si>
    <t>Федосеев Владимир Сергеевич</t>
  </si>
  <si>
    <t>55.868662,37.658796</t>
  </si>
  <si>
    <t>ОБЩЕСТВО С ОГРАНИЧЕННОЙ ОТВЕТСТВЕННОСТЬЮ "МОСБЕТОН"</t>
  </si>
  <si>
    <t xml:space="preserve"> "МОСБЕТОН"</t>
  </si>
  <si>
    <t>7716792776</t>
  </si>
  <si>
    <t>129327, МОСКВА ГОРОД, УЛ. ЛЕНСКАЯ, Д. 26, К. 3</t>
  </si>
  <si>
    <t>Локтионов Алексей Юрьевич</t>
  </si>
  <si>
    <t>+7 (495) 357-92-25'</t>
  </si>
  <si>
    <t>55.858554,37.657592</t>
  </si>
  <si>
    <t>ОБЩЕСТВО С ОГРАНИЧЕННОЙ ОТВЕТСТВЕННОСТЬЮ "БЕТОН-Л"</t>
  </si>
  <si>
    <t xml:space="preserve"> "БЕТОН-Л"</t>
  </si>
  <si>
    <t>7716884201</t>
  </si>
  <si>
    <t>129329, МОСКВА ГОРОД, УЛИЦА КОЛЬСКАЯ, ДОМ 2, КОРПУС 5,..</t>
  </si>
  <si>
    <t>+7 (495) 482-59-74'</t>
  </si>
  <si>
    <t>55.837277,37.415631</t>
  </si>
  <si>
    <t>ОБЩЕСТВО С ОГРАНИЧЕННОЙ ОТВЕТСТВЕННОСТЬЮ "СБЗ"</t>
  </si>
  <si>
    <t xml:space="preserve"> "СБЗ"</t>
  </si>
  <si>
    <t>7716928762</t>
  </si>
  <si>
    <t>125373, МОСКВА Г, ПОХОДНЫЙ ПР, ДОМОВЛАДЕНИЕ 14, ЭТ 2 ПОМ I КОМ 14</t>
  </si>
  <si>
    <t>Штарев Сергей Сергеевич</t>
  </si>
  <si>
    <t>55.728636,37.662695</t>
  </si>
  <si>
    <t>ОБЩЕСТВО С ОГРАНИЧЕННОЙ ОТВЕТСТВЕННОСТЬЮ "Бетон-транс сервис"</t>
  </si>
  <si>
    <t xml:space="preserve"> "Бетон-транс сервис"</t>
  </si>
  <si>
    <t>7717687679</t>
  </si>
  <si>
    <t>109044, Г.Москва, внутригородская территория города федерального значения МУНИЦИПАЛЬНЫЙ ОКРУГ ЮЖНОПОРТОВЫЙ, УЛ КРУТИЦКИЙ ВАЛ, Д. 28, ЭТАЖ 3, ПОМЕЩ. V КОМ.№15</t>
  </si>
  <si>
    <t>+7 (499) 270-62-89'</t>
  </si>
  <si>
    <t>55.811412,37.758222</t>
  </si>
  <si>
    <t>ОБЩЕСТВО С ОГРАНИЧЕННОЙ ОТВЕТСТВЕННОСТЬЮ "СТАНДАРТ-РЕСУРС"</t>
  </si>
  <si>
    <t xml:space="preserve"> "СТАНДАРТ-РЕСУРС"</t>
  </si>
  <si>
    <t>7718592109</t>
  </si>
  <si>
    <t>http://standart-resurs.ru</t>
  </si>
  <si>
    <t>107497, МОСКВА ГОРОД, ПРОЕЗД 2-Й ИРТЫШСКИЙ, ДОМ 4Б, СТРОЕНИЕ 1, ЭТ 3 ПОМ 18.2</t>
  </si>
  <si>
    <t>Овчинников Сергей Иванович</t>
  </si>
  <si>
    <t>+7 (495) 268-35-75', '+7 (496) 616-40-12'</t>
  </si>
  <si>
    <t>55.779499,37.827643</t>
  </si>
  <si>
    <t>ОБЩЕСТВО С ОГРАНИЧЕННОЙ ОТВЕТСТВЕННОСТЬЮ "БЕТОН СНАБ"</t>
  </si>
  <si>
    <t xml:space="preserve"> "БЕТОН СНАБ"</t>
  </si>
  <si>
    <t>7719493478</t>
  </si>
  <si>
    <t>105568, МОСКВА ГОРОД, УЛИЦА ЧЕЧУЛИНА, ДОМ 16,..</t>
  </si>
  <si>
    <t>ГЕНЕРАЛЬНЫЙ ДИРЕКТОР Мкртчян Артем Врежевич</t>
  </si>
  <si>
    <t>55.765701,37.738333</t>
  </si>
  <si>
    <t>ОБЩЕСТВО С ОГРАНИЧЕННОЙ ОТВЕТСТВЕННОСТЬЮ "ПК "БСТ"</t>
  </si>
  <si>
    <t xml:space="preserve"> "ПК "БСТ"</t>
  </si>
  <si>
    <t>7719496214</t>
  </si>
  <si>
    <t>105275, МОСКВА ГОРОД, УЛИЦА СОКОЛИНОЙ ГОРЫ 5-Я, ДОМ 21, КОРПУС 5,..</t>
  </si>
  <si>
    <t>Богацкой Сергей Витальевич</t>
  </si>
  <si>
    <t>55.668924,37.738827</t>
  </si>
  <si>
    <t>ОБЩЕСТВО С ОГРАНИЧЕННОЙ ОТВЕТСТВЕННОСТЬЮ "М-Бетон"</t>
  </si>
  <si>
    <t xml:space="preserve"> "М-Бетон"</t>
  </si>
  <si>
    <t>7719838588</t>
  </si>
  <si>
    <t>109382, МОСКВА Г., УЛ. ЛЮБЛИНСКАЯ, Д. 72, ПОМЕЩ. 26</t>
  </si>
  <si>
    <t>Лебедев Алексей Анатольевич</t>
  </si>
  <si>
    <t>+7 (495) 660-06-44', '+7 (965) 256-22-39', '+7 (916) 631-94-45', '+7 (495) 660-06-43'</t>
  </si>
  <si>
    <t>drozdovanv@pik.ru', 'kuznetsovata@pik.ru', 'drozdova@gradindustry.ru'</t>
  </si>
  <si>
    <t>55.76285,37.6327</t>
  </si>
  <si>
    <t>ОБЩЕСТВО С ОГРАНИЧЕННОЙ ОТВЕТСТВЕННОСТЬЮ "ПСК ПРОФФБЕТОН"</t>
  </si>
  <si>
    <t xml:space="preserve"> "ПСК ПРОФФБЕТОН"</t>
  </si>
  <si>
    <t>7720319019</t>
  </si>
  <si>
    <t>Г МОСКВА,УЛ МЯСНИЦКАЯ, Д 13, СТР 18</t>
  </si>
  <si>
    <t>Зиновкин Александр Васильевич</t>
  </si>
  <si>
    <t>55.751999,37.767456</t>
  </si>
  <si>
    <t>ОБЩЕСТВО С ОГРАНИЧЕННОЙ ОТВЕТСТВЕННОСТЬЮ "СТРОИТЕЛЬНО-МОНТАЖНОЕ УПРАВЛЕНИЕ - 7 "</t>
  </si>
  <si>
    <t xml:space="preserve"> "СТРОИТЕЛЬНО-МОНТАЖНОЕ УПРАВЛЕНИЕ - 7 "</t>
  </si>
  <si>
    <t>7720391505</t>
  </si>
  <si>
    <t>105118, Г.Москва, внутригородская территория города федерального значения МУНИЦИПАЛЬНЫЙ ОКРУГ ПЕРОВО, Ш ЭНТУЗИАСТОВ, Д. 34, ЭТ./ПОМЕЩ. 1/I, КОМ./ОФИС 37/Г55</t>
  </si>
  <si>
    <t>Магакян Арамаис Артаваздович</t>
  </si>
  <si>
    <t>55.734131,37.832881</t>
  </si>
  <si>
    <t>ОБЩЕСТВО С ОГРАНИЧЕННОЙ ОТВЕТСТВЕННОСТЬЮ "БАРСБЕТОН"</t>
  </si>
  <si>
    <t xml:space="preserve"> "БАРСБЕТОН"</t>
  </si>
  <si>
    <t>7720498544</t>
  </si>
  <si>
    <t>111539, МОСКВА ГОРОД, УЛИЦА ВЕШНЯКОВСКАЯ, ДОМ 19, ЭТ 1 ПОМ I ОФ 10К</t>
  </si>
  <si>
    <t>Архипов Сергей Николаевич</t>
  </si>
  <si>
    <t>55.683234,37.458553</t>
  </si>
  <si>
    <t>ОБЩЕСТВО С ОГРАНИЧЕННОЙ ОТВЕТСТВЕННОСТЬЮ "ВестТрансСтрой"</t>
  </si>
  <si>
    <t xml:space="preserve"> "ВестТрансСтрой"</t>
  </si>
  <si>
    <t>7720732963</t>
  </si>
  <si>
    <t>119361, МОСКВА ГОРОД, ПЕРЕУЛОК 2-Й ОЧАКОВСКИЙ, ДОМ 4, ЭТ 2 ПОМ II КОМ 7А</t>
  </si>
  <si>
    <t>Хириев Амин Магомедзагидович</t>
  </si>
  <si>
    <t>vts2011@bk.ru'</t>
  </si>
  <si>
    <t>55.800595,37.63668</t>
  </si>
  <si>
    <t>ОБЩЕСТВО С ОГРАНИЧЕННОЙ ОТВЕТСТВЕННОСТЬЮ "ЭКСТРАПРОМСТРОЙ"</t>
  </si>
  <si>
    <t xml:space="preserve"> "ЭКСТРАПРОМСТРОЙ"</t>
  </si>
  <si>
    <t>7720775460</t>
  </si>
  <si>
    <t>129626, МОСКВА ГОРОД, ПР-КТ МИРА, Д. 102, К. 1, ОФИС 86</t>
  </si>
  <si>
    <t>Шеронов Павел Григорьевич</t>
  </si>
  <si>
    <t>55.748498,37.768822</t>
  </si>
  <si>
    <t>ОБЩЕСТВО С ОГРАНИЧЕННОЙ ОТВЕТСТВЕННОСТЬЮ "ТЕХБЕТОН ПЛЮС"</t>
  </si>
  <si>
    <t xml:space="preserve"> "ТЕХБЕТОН ПЛЮС"</t>
  </si>
  <si>
    <t>7720848319</t>
  </si>
  <si>
    <t>111141, Г.Москва, внутригородская территория города федерального значения МУНИЦИПАЛЬНЫЙ ОКРУГ ПЕРОВО, ПР-КТ ЗЕЛЁНЫЙ, Д. 3, СТР. 20, ПОМЕЩ. III, КОМ. 2</t>
  </si>
  <si>
    <t>EKARETNIKOV76@MAIL.RU'</t>
  </si>
  <si>
    <t>55.721305,37.770978</t>
  </si>
  <si>
    <t>ОБЩЕСТВО С ОГРАНИЧЕННОЙ ОТВЕТСТВЕННОСТЬЮ "СТРОЙБЕТОН 2000"</t>
  </si>
  <si>
    <t xml:space="preserve"> "СТРОЙБЕТОН 2000"</t>
  </si>
  <si>
    <t>7721291920</t>
  </si>
  <si>
    <t>109428, МОСКВА Г, РЯЗАНСКИЙ ПР-КТ, ДОМ 22, КОРПУС 2, ОФИС 706</t>
  </si>
  <si>
    <t>Блинова Ирина Вячеславовна</t>
  </si>
  <si>
    <t>+7 (495) 270-80-45'</t>
  </si>
  <si>
    <t>55.786607,37.674058</t>
  </si>
  <si>
    <t>ОБЩЕСТВО С ОГРАНИЧЕННОЙ ОТВЕТСТВЕННОСТЬЮ "ЗАПАД БЕТОН"</t>
  </si>
  <si>
    <t xml:space="preserve"> "ЗАПАД БЕТОН"</t>
  </si>
  <si>
    <t>7721437167</t>
  </si>
  <si>
    <t>107113, МОСКВА ГОРОД, УЛИЦА МАЛЕНКОВСКАЯ, ДОМ 32, СТРОЕНИЕ 3, ПОМЕЩЕНИЕ 1, КОМНАТА 10 А</t>
  </si>
  <si>
    <t>Дроздов Максим Павлович</t>
  </si>
  <si>
    <t>ОБЩЕСТВО С ОГРАНИЧЕННОЙ ОТВЕТСТВЕННОСТЬЮ "ВОСЦЕМБЕТОН"</t>
  </si>
  <si>
    <t xml:space="preserve"> "ВОСЦЕМБЕТОН"</t>
  </si>
  <si>
    <t>7721836845</t>
  </si>
  <si>
    <t>109428, МОСКВА Г, ЗАРАЙСКАЯ УЛ, ДОМ 21, ПОМ 302 ОФ 1602</t>
  </si>
  <si>
    <t>Солтыс Алексей Александрович</t>
  </si>
  <si>
    <t>+7 (963) 711-68-91'</t>
  </si>
  <si>
    <t>voscembeton@list.ru'</t>
  </si>
  <si>
    <t>55.729224,37.722666</t>
  </si>
  <si>
    <t>ОБЩЕСТВО С ОГРАНИЧЕННОЙ ОТВЕТСТВЕННОСТЬЮ "ОРБЗ"</t>
  </si>
  <si>
    <t xml:space="preserve"> "ОРБЗ"</t>
  </si>
  <si>
    <t>7722463650</t>
  </si>
  <si>
    <t>109052, МОСКВА Г, НИЖЕГОРОДСКАЯ УЛ, ДОМ 104, КОРПУС 3, ПОДВАЛ ПОМ I КОМ 9 ОФ 26</t>
  </si>
  <si>
    <t>Грибченков Денис Юрьевич</t>
  </si>
  <si>
    <t>55.716874,37.746768</t>
  </si>
  <si>
    <t>ОБЩЕСТВО С ОГРАНИЧЕННОЙ ОТВЕТСТВЕННОСТЬЮ "Д Д БЕТОН"</t>
  </si>
  <si>
    <t xml:space="preserve"> "Д Д БЕТОН"</t>
  </si>
  <si>
    <t>7722472975</t>
  </si>
  <si>
    <t>109125, МОСКВА ГОРОД, УЛ. САРАТОВСКАЯ, Д. 22, ЭТ 1 ПОМ XLVII КОМ 8</t>
  </si>
  <si>
    <t>Антонов Сергей Александрович</t>
  </si>
  <si>
    <t>55.730882,37.702292</t>
  </si>
  <si>
    <t>ОБЩЕСТВО С ОГРАНИЧЕННОЙ ОТВЕТСТВЕННОСТЬЮ "ПАТРИОТ БЕТОН ГРУПП"</t>
  </si>
  <si>
    <t xml:space="preserve"> "ПАТРИОТ БЕТОН ГРУПП"</t>
  </si>
  <si>
    <t>7722495482</t>
  </si>
  <si>
    <t>109029, МОСКВА Г., ПР-Д АВТОМОБИЛЬНЫЙ, Д. 9, ПОМЕЩЕНИЕ VI ЭТАЖ 3 КОМ. 22</t>
  </si>
  <si>
    <t>Капитанов Александр Леонидович</t>
  </si>
  <si>
    <t>55.766081,37.71954</t>
  </si>
  <si>
    <t>ОБЩЕСТВО С ОГРАНИЧЕННОЙ ОТВЕТСТВЕННОСТЬЮ ПРОИЗВОДСТВЕННО-ФИНАНСОВОЕ ОБЪЕДИНЕНИЕ "СТОЛИЦА"</t>
  </si>
  <si>
    <t xml:space="preserve"> ПРОИЗВОДСТВЕННО-ФИНАНСОВОЕ ОБЪЕДИНЕНИЕ "СТОЛИЦА"</t>
  </si>
  <si>
    <t>7722496260</t>
  </si>
  <si>
    <t>111020, Г.Москва, внутригородская территория города федерального значения МУНИЦИПАЛЬНЫЙ ОКРУГ ЛЕФОРТОВО, ПЕР ЮРЬЕВСКИЙ, Д. 11, ПОМЕЩ. VIII КОМ. 4 ОФИС 281</t>
  </si>
  <si>
    <t>Шаронов Алексей Анатольевич</t>
  </si>
  <si>
    <t>INFO@STOLICA-12'</t>
  </si>
  <si>
    <t>55.73663,37.718399</t>
  </si>
  <si>
    <t>ОБЩЕСТВО С ОГРАНИЧЕННОЙ ОТВЕТСТВЕННОСТЬЮ "ЮНИС ИМПЭКС"</t>
  </si>
  <si>
    <t xml:space="preserve"> "ЮНИС ИМПЭКС"</t>
  </si>
  <si>
    <t>7722561463</t>
  </si>
  <si>
    <t>111024, МОСКВА Г, АВИАМОТОРНАЯ УЛ, ДОМ 50, СТРОЕНИЕ 1 ЭТ.2, КОМНАТА А, Б, ПОМ.8, КОМ. 5</t>
  </si>
  <si>
    <t>Абалакин Александр Владимирович</t>
  </si>
  <si>
    <t>+7 (495) 790-79-06'</t>
  </si>
  <si>
    <t>55.648987,37.696435</t>
  </si>
  <si>
    <t>ОБЩЕСТВО С ОГРАНИЧЕННОЙ ОТВЕТСТВЕННОСТЬЮ "БЕТОННО-СМЕСИТЕЛЬНЫЙ УЗЕЛ-45"</t>
  </si>
  <si>
    <t xml:space="preserve"> "БЕТОННО-СМЕСИТЕЛЬНЫЙ УЗЕЛ-45"</t>
  </si>
  <si>
    <t>7723394310</t>
  </si>
  <si>
    <t>109235, МОСКВА ГОРОД, ПРОЕЗД ПРОЕКТИРУЕМЫЙ 4294-Й, ДОМ 1А, СТРОЕНИЕ 5</t>
  </si>
  <si>
    <t>Толошко Владислав Викторович</t>
  </si>
  <si>
    <t>55.659383,37.722846</t>
  </si>
  <si>
    <t>ОБЩЕСТВО С ОГРАНИЧЕННОЙ ОТВЕТСТВЕННОСТЬЮ "НОВАБЕТОН"</t>
  </si>
  <si>
    <t xml:space="preserve"> "НОВАБЕТОН"</t>
  </si>
  <si>
    <t>7723437010</t>
  </si>
  <si>
    <t>109651, МОСКВА ГОРОД, УЛ. ИЛОВАЙСКАЯ, Д. 10А, СТР. 1, КОМ. 15</t>
  </si>
  <si>
    <t>Дударев Сергей Вячеславович</t>
  </si>
  <si>
    <t>55.667198,37.70046</t>
  </si>
  <si>
    <t>ОБЩЕСТВО С ОГРАНИЧЕННОЙ ОТВЕТСТВЕННОСТЬЮ "МОНОЛИТКОМПЛЕКТСЕРВИС"</t>
  </si>
  <si>
    <t xml:space="preserve"> "МОНОЛИТКОМПЛЕКТСЕРВИС"</t>
  </si>
  <si>
    <t>7723643616</t>
  </si>
  <si>
    <t>http://mks-beton.ru</t>
  </si>
  <si>
    <t>109383, МОСКВА ГОРОД, ПР-Д БАТЮНИНСКИЙ, Д.15, СТР.4</t>
  </si>
  <si>
    <t>Дубанков Михаил Алексеевич</t>
  </si>
  <si>
    <t>+7 (495) 941-95-50'</t>
  </si>
  <si>
    <t>55.576493,38.207595</t>
  </si>
  <si>
    <t>ОБЩЕСТВО С ОГРАНИЧЕННОЙ ОТВЕТСТВЕННОСТЬЮ "ЛЕВ"</t>
  </si>
  <si>
    <t xml:space="preserve"> "ЛЕВ"</t>
  </si>
  <si>
    <t>7723908862</t>
  </si>
  <si>
    <t>140105, МОСКОВСКАЯ ОБЛАСТЬ, Г. РАМЕНСКОЕ, УЛ. ЧУГУНОВА, Д. 15А, ОФИС 19, КОМ. 3</t>
  </si>
  <si>
    <t>Романов Евгений Романович</t>
  </si>
  <si>
    <t>55.614516,37.724005</t>
  </si>
  <si>
    <t>7724316139</t>
  </si>
  <si>
    <t>115563, МОСКВА ГОРОД, ПРОЕЗД БОРИСОВСКИЙ, ДОМ 44, КОРПУС 3, КОМНАТА 3</t>
  </si>
  <si>
    <t>Муляр Александр Владимирович</t>
  </si>
  <si>
    <t>+7 (968) 968-32-02', '+7 (918) 234-44-56'</t>
  </si>
  <si>
    <t>55.643693,37.650729</t>
  </si>
  <si>
    <t>ОБЩЕСТВО С ОГРАНИЧЕННОЙ ОТВЕТСТВЕННОСТЬЮ "СЕМИКС БЕТОН"</t>
  </si>
  <si>
    <t xml:space="preserve"> "СЕМИКС БЕТОН"</t>
  </si>
  <si>
    <t>7724319122</t>
  </si>
  <si>
    <t>115522, Г.Москва, внутригородская территория города федерального значения МУНИЦИПАЛЬНЫЙ ОКРУГ МОСКВОРЕЧЬЕ-САБУРОВО, УЛ МОСКВОРЕЧЬЕ, Д. 4, К. 5,..</t>
  </si>
  <si>
    <t>Димаксян Рубен Вагинакович</t>
  </si>
  <si>
    <t>+7 (495) 205-07-06', '+7 (915) 155-52-32'</t>
  </si>
  <si>
    <t>55.775297,37.632817</t>
  </si>
  <si>
    <t>ОБЩЕСТВО С ОГРАНИЧЕННОЙ ОТВЕТСТВЕННОСТЬЮ "ПРОИЗВОДСТВЕННАЯ БЕТОННАЯ КОМПАНИЯ"</t>
  </si>
  <si>
    <t xml:space="preserve"> "ПРОИЗВОДСТВЕННАЯ БЕТОННАЯ КОМПАНИЯ"</t>
  </si>
  <si>
    <t>7724338020</t>
  </si>
  <si>
    <t>Г МОСКВА,ПРОСП МИРА, Д 16, СТР 2</t>
  </si>
  <si>
    <t>Ивакин Илья Владимирович</t>
  </si>
  <si>
    <t>55.604926,37.647522</t>
  </si>
  <si>
    <t>ОБЩЕСТВО С ОГРАНИЧЕННОЙ ОТВЕТСТВЕННОСТЬЮ "БЭСТ БЕТОН"</t>
  </si>
  <si>
    <t xml:space="preserve"> "БЭСТ БЕТОН"</t>
  </si>
  <si>
    <t>7724343319</t>
  </si>
  <si>
    <t>115404, МОСКВА ГОРОД, УЛИЦА 6-Я РАДИАЛЬНАЯ, ДОМ 15, СТРОЕНИЕ 6</t>
  </si>
  <si>
    <t>Супрун Станислав Владимирович</t>
  </si>
  <si>
    <t>info@best-beton', 'hrustaleva@mail.ru'</t>
  </si>
  <si>
    <t>55.735069,37.63058</t>
  </si>
  <si>
    <t xml:space="preserve"> "АРТБЕТОН"</t>
  </si>
  <si>
    <t>7724442359</t>
  </si>
  <si>
    <t>115184, МОСКВА Г., ПЕР. 1-Й НОВОКУЗНЕЦКИЙ, Д. 10А, ЭТАЖ/ПОМЕЩЕНИЕ 1/7 ОФИС 21</t>
  </si>
  <si>
    <t>55.636255,37.678649</t>
  </si>
  <si>
    <t>ОБЩЕСТВО С ОГРАНИЧЕННОЙ ОТВЕТСТВЕННОСТЬЮ "СТРОЙ-КОНТАКТ"</t>
  </si>
  <si>
    <t xml:space="preserve"> "СТРОЙ-КОНТАКТ"</t>
  </si>
  <si>
    <t>7724447364</t>
  </si>
  <si>
    <t>115304, МОСКВА Г, КАНТЕМИРОВСКАЯ УЛ, ДОМ 3, КОРПУС 3, Э 1 ПОМ 8 К 5 ОФ 32</t>
  </si>
  <si>
    <t>Свазян Арам Норикович</t>
  </si>
  <si>
    <t>55.668706,37.649427</t>
  </si>
  <si>
    <t>ОБЩЕСТВО С ОГРАНИЧЕННОЙ ОТВЕТСТВЕННОСТЬЮ "СПЕЦ-БЕТОН"</t>
  </si>
  <si>
    <t xml:space="preserve"> "СПЕЦ-БЕТОН"</t>
  </si>
  <si>
    <t>7724447565</t>
  </si>
  <si>
    <t>115487, МОСКВА ГОРОД, УЛ. АКАДЕМИКА МИЛЛИОНЩИКОВА, Д. 17, ЭТ 1 П I К 3 ОФ 22</t>
  </si>
  <si>
    <t>Аганов Сергей Анатольевич</t>
  </si>
  <si>
    <t>infospecbeton@yandex.ru'</t>
  </si>
  <si>
    <t>55.642382,37.657413</t>
  </si>
  <si>
    <t>ОБЩЕСТВО С ОГРАНИЧЕННОЙ ОТВЕТСТВЕННОСТЬЮ "РУ.БЕТОН"</t>
  </si>
  <si>
    <t xml:space="preserve"> "РУ.БЕТОН"</t>
  </si>
  <si>
    <t>7724484623</t>
  </si>
  <si>
    <t>115522, МОСКВА Г, ПРОЛЕТАРСКИЙ ПР-КТ, ДОМ 17, КОРПУС 1, Э 1 ПОМ II К 2 ОФ А1Х</t>
  </si>
  <si>
    <t>Балясов Максим Сергеевич</t>
  </si>
  <si>
    <t>beton@inbox.ru'</t>
  </si>
  <si>
    <t>55.824754,37.415963</t>
  </si>
  <si>
    <t>ОБЩЕСТВО С ОГРАНИЧЕННОЙ ОТВЕТСТВЕННОСТЬЮ "ТД "ГРАНД"</t>
  </si>
  <si>
    <t xml:space="preserve"> "ТД "ГРАНД"</t>
  </si>
  <si>
    <t>7724929209</t>
  </si>
  <si>
    <t>125424, МОСКВА ГОРОД, УЛ. ЛЁТНАЯ, Д. 99, СТР. 3, ЭТ 2 ПОМ XXX ОФ 3</t>
  </si>
  <si>
    <t>Кулюкина Надежда Андреевна</t>
  </si>
  <si>
    <t>+7 (916) 274-45-17'</t>
  </si>
  <si>
    <t>MARINA7108@BK.RU'</t>
  </si>
  <si>
    <t>55.765119,37.824751</t>
  </si>
  <si>
    <t>ОБЩЕСТВО С ОГРАНИЧЕННОЙ ОТВЕТСТВЕННОСТЬЮ "ТОРГЭКСПО"</t>
  </si>
  <si>
    <t xml:space="preserve"> "ТОРГЭКСПО"</t>
  </si>
  <si>
    <t>7725604274</t>
  </si>
  <si>
    <t>111555, МОСКВА ГОРОД, ПР-КТ СВОБОДНЫЙ, Д. 9, К. 1,..</t>
  </si>
  <si>
    <t>Малолеткова Светлана Юрьевна</t>
  </si>
  <si>
    <t>55.798207,37.694333</t>
  </si>
  <si>
    <t>ОБЩЕСТВО С ОГРАНИЧЕННОЙ ОТВЕТСТВЕННОСТЬЮ "Эркон"</t>
  </si>
  <si>
    <t xml:space="preserve"> "Эркон"</t>
  </si>
  <si>
    <t>7725748396</t>
  </si>
  <si>
    <t>http://erkon-beton.ru</t>
  </si>
  <si>
    <t>107076, МОСКВА ГОРОД, ПЕР. КОЛОДЕЗНЫЙ, Д. 2А, СТР. 2, ПОМЕЩ. XXV КОМНАТА №10</t>
  </si>
  <si>
    <t>Ивахнов Евгений Александрович</t>
  </si>
  <si>
    <t>+7 (495) 974-39-94'</t>
  </si>
  <si>
    <t>ОБЩЕСТВО С ОГРАНИЧЕННОЙ ОТВЕТСТВЕННОСТЬЮ "СК МЕЖРЕГИОНСТРОЙ"</t>
  </si>
  <si>
    <t xml:space="preserve"> "СК МЕЖРЕГИОНСТРОЙ"</t>
  </si>
  <si>
    <t>7725753935</t>
  </si>
  <si>
    <t>115191, МОСКВА ГОРОД, УЛ. 2-Я РОЩИНСКАЯ, Д. 4, ЭТАЖ 5, ПОМ. I, КОМН. 1</t>
  </si>
  <si>
    <t>Киязов Альберт Магомедович</t>
  </si>
  <si>
    <t>mrs@yandex.ru'</t>
  </si>
  <si>
    <t>ОБЩЕСТВО С ОГРАНИЧЕННОЙ ОТВЕТСТВЕННОСТЬЮ "ПЕРВАЯ БЕТОННАЯ КОМПАНИЯ ГРУППА"</t>
  </si>
  <si>
    <t xml:space="preserve"> "ПЕРВАЯ БЕТОННАЯ КОМПАНИЯ ГРУППА"</t>
  </si>
  <si>
    <t>7726742904</t>
  </si>
  <si>
    <t>117105, МОСКВА ГОРОД, ШОССЕ ВАРШАВСКОЕ, ДОМ 1, СТРОЕНИЕ 1, ОФИС 3К</t>
  </si>
  <si>
    <t>Дмитренко Павел Александрович</t>
  </si>
  <si>
    <t>+7 (985) 384-79-00'</t>
  </si>
  <si>
    <t>ОБЩЕСТВО С ОГРАНИЧЕННОЙ ОТВЕТСТВЕННОСТЬЮ "ТД БЕТОН"</t>
  </si>
  <si>
    <t xml:space="preserve"> "ТД БЕТОН"</t>
  </si>
  <si>
    <t>7727321257</t>
  </si>
  <si>
    <t>108813, МОСКВА ГОРОД, ПОС. МОСКОВСКИЙ, Г. МОСКОВСКИЙ, УЛ. ХАБАРОВА, Д. 2, БЛОК 4 ЭТ 7 ОФ 707</t>
  </si>
  <si>
    <t>Метелев Дмитрий Анатольевич</t>
  </si>
  <si>
    <t>55.675077,37.581406</t>
  </si>
  <si>
    <t>ОБЩЕСТВО С ОГРАНИЧЕННОЙ ОТВЕТСТВЕННОСТЬЮ "ГК АТЛАНТ"</t>
  </si>
  <si>
    <t xml:space="preserve"> "ГК АТЛАНТ"</t>
  </si>
  <si>
    <t>7727426556</t>
  </si>
  <si>
    <t>117218, МОСКВА Г, КРЖИЖАНОВСКОГО УЛ, ДОМ 29, КОРПУС 2, ЭТ 2 ПОМ VII КОМ 7</t>
  </si>
  <si>
    <t>Семахин Даниил Абдурахимович</t>
  </si>
  <si>
    <t>55.667198,37.567096</t>
  </si>
  <si>
    <t>ОБЩЕСТВО С ОГРАНИЧЕННОЙ ОТВЕТСТВЕННОСТЬЮ "ПК АТЛАНТ"</t>
  </si>
  <si>
    <t xml:space="preserve"> "ПК АТЛАНТ"</t>
  </si>
  <si>
    <t>7727433659</t>
  </si>
  <si>
    <t>117418, МОСКВА Г, ЦЮРУПЫ УЛ, ДОМ 28, ЭТАЖ 2 ПОМЕЩЕНИЕ I КОМНАТА 16Ж</t>
  </si>
  <si>
    <t>Сафаров Хамид Махмадамиршоевич</t>
  </si>
  <si>
    <t>pkatlant@gmail.com'</t>
  </si>
  <si>
    <t>55.692364,37.580077</t>
  </si>
  <si>
    <t>ОБЩЕСТВО С ОГРАНИЧЕННОЙ ОТВЕТСТВЕННОСТЬЮ "ПО АТЛАНТ"</t>
  </si>
  <si>
    <t xml:space="preserve"> "ПО АТЛАНТ"</t>
  </si>
  <si>
    <t>7727466728</t>
  </si>
  <si>
    <t>117292, МОСКВА Г., УЛ. ШВЕРНИКА, Д. 4, СТР. 2, ПОМЕЩ. I КОМ. 1301</t>
  </si>
  <si>
    <t>Библая Реваз Зауриевич</t>
  </si>
  <si>
    <t>BIBLAYA@YANDEX.RU'</t>
  </si>
  <si>
    <t>55.666274,37.575891</t>
  </si>
  <si>
    <t xml:space="preserve"> "А-БЕТОН"</t>
  </si>
  <si>
    <t>7727476638</t>
  </si>
  <si>
    <t>117418, МОСКВА Г., УЛ. ЗЮЗИНСКАЯ, Д. 6, К. 2, ПОМЕЩ. XIV ЭТАЖ 2 КОМ. 22</t>
  </si>
  <si>
    <t>Гвасалия Тамаз Георгиевич</t>
  </si>
  <si>
    <t>GVASALIYA77@MAIL.RU'</t>
  </si>
  <si>
    <t>55.542401,37.531523</t>
  </si>
  <si>
    <t>ОБЩЕСТВО С ОГРАНИЧЕННОЙ ОТВЕТСТВЕННОСТЬЮ "БИЭЙВИ ГРУП"</t>
  </si>
  <si>
    <t xml:space="preserve"> "БИЭЙВИ ГРУП"</t>
  </si>
  <si>
    <t>7727483650</t>
  </si>
  <si>
    <t>117042, Г.Москва, МУНИЦИПАЛЬНЫЙ ОКРУГ ЮЖНОЕ БУТОВО, ПРОЕЗД ЧЕЧЁРСКИЙ, Д. 120, КОМ. 4 ОФИС 54-7</t>
  </si>
  <si>
    <t>Ждан Алексей Александрович</t>
  </si>
  <si>
    <t>55.653223,37.594513</t>
  </si>
  <si>
    <t>ОБЩЕСТВО С ОГРАНИЧЕННОЙ ОТВЕТСТВЕННОСТЬЮ "МОСТРЕЙДБЕТОН"</t>
  </si>
  <si>
    <t xml:space="preserve"> "МОСТРЕЙДБЕТОН"</t>
  </si>
  <si>
    <t>7727489549</t>
  </si>
  <si>
    <t>117303, Г.Москва, МУНИЦИПАЛЬНЫЙ ОКРУГ ЗЮЗИНО, УЛ МАЛАЯ ЮШУНЬСКАЯ, Д. 1, К. 1, ПОМЕЩ. / КОМ. IV / 3</t>
  </si>
  <si>
    <t>Гарбузов Игорь Валерьевич</t>
  </si>
  <si>
    <t>ADIANG_AR@MAIL.RU'</t>
  </si>
  <si>
    <t>55.618481,37.44683</t>
  </si>
  <si>
    <t>ОБЩЕСТВО С ОГРАНИЧЕННОЙ ОТВЕТСТВЕННОСТЬЮ "АБЗ Ленинский"</t>
  </si>
  <si>
    <t xml:space="preserve"> "АБЗ Ленинский"</t>
  </si>
  <si>
    <t>7727785467</t>
  </si>
  <si>
    <t>http://abz-leninskiy.ru</t>
  </si>
  <si>
    <t>108802, Г.Москва, внутригородская территория города федерального значения ПОСЕЛЕНИЕ СОСЕНСКОЕ, УЛ АДМИРАЛА КОРНИЛОВА, ДВЛД. 54, СТР. 1, ЭТАЖ 1</t>
  </si>
  <si>
    <t>Бадалян Самвел Вагаршакович</t>
  </si>
  <si>
    <t>+7 (495) 779-77-77', '+7 (499) 643-20-00', '+7 (475) 273-43-96', '+7 (499) 195-65-01', '+7 (909) 231-08-00'</t>
  </si>
  <si>
    <t>buh1@abzl.ru'</t>
  </si>
  <si>
    <t>55.648214,37.540856</t>
  </si>
  <si>
    <t>ОБЩЕСТВО С ОГРАНИЧЕННОЙ ОТВЕТСТВЕННОСТЬЮ "ШМЕЛЬБЕТОН"</t>
  </si>
  <si>
    <t xml:space="preserve"> "ШМЕЛЬБЕТОН"</t>
  </si>
  <si>
    <t>7728327406</t>
  </si>
  <si>
    <t>117342, МОСКВА Г, БУТЛЕРОВА УЛ, ДОМ 17Б, ЭТАЖ 2 ПОМ.XI К.60Е ОФ.30</t>
  </si>
  <si>
    <t>Сапрыкин Евгений Николаевич</t>
  </si>
  <si>
    <t>+7 (495) 782-73-71'</t>
  </si>
  <si>
    <t>55.712655,37.645618</t>
  </si>
  <si>
    <t>ОБЩЕСТВО С ОГРАНИЧЕННОЙ ОТВЕТСТВЕННОСТЬЮ "ВЕРТЕКС"</t>
  </si>
  <si>
    <t xml:space="preserve"> "ВЕРТЕКС"</t>
  </si>
  <si>
    <t>7728330303</t>
  </si>
  <si>
    <t>115114, МОСКВА ГОРОД, ПР-Д 3-Й ПАВЕЛЕЦКИЙ, Д. 4, Э 1 П II КОМ 31 ОФ 4</t>
  </si>
  <si>
    <t>Волкова Олеся Анатольевна</t>
  </si>
  <si>
    <t>info@9kubov.com'</t>
  </si>
  <si>
    <t>ОБЩЕСТВО С ОГРАНИЧЕННОЙ ОТВЕТСТВЕННОСТЬЮ "МБСУ СТРОЙ"</t>
  </si>
  <si>
    <t xml:space="preserve"> "МБСУ СТРОЙ"</t>
  </si>
  <si>
    <t>7728424600</t>
  </si>
  <si>
    <t>117246, МОСКВА ГОРОД, ПР-Д НАУЧНЫЙ, Д. 10, ОФИС 292</t>
  </si>
  <si>
    <t>Прентис Роберт Джеймс</t>
  </si>
  <si>
    <t>+7 (968) 998-45-40'</t>
  </si>
  <si>
    <t>55.661643,37.270167</t>
  </si>
  <si>
    <t>ОБЩЕСТВО С ОГРАНИЧЕННОЙ ОТВЕТСТВЕННОСТЬЮ «НЕСУЩАЯ СПОСОБНОСТЬ»</t>
  </si>
  <si>
    <t xml:space="preserve"> «НЕСУЩАЯ СПОСОБНОСТЬ»</t>
  </si>
  <si>
    <t>7728831074</t>
  </si>
  <si>
    <t>143002, МОСКОВСКАЯ ОБЛАСТЬ, ГОРОД ОДИНЦОВО, УЛИЦА ЮЖНАЯ, ДОМ 18А, ЭТАЖ/ОФИС 2/01</t>
  </si>
  <si>
    <t>Новиков Иван Михайлович</t>
  </si>
  <si>
    <t>+7 (905) 793-30-74'</t>
  </si>
  <si>
    <t>55.615944,37.546561</t>
  </si>
  <si>
    <t>ОБЩЕСТВО С ОГРАНИЧЕННОЙ ОТВЕТСТВЕННОСТЬЮ "ОБЛДОРСТРОЙБЕТОН"</t>
  </si>
  <si>
    <t xml:space="preserve"> "ОБЛДОРСТРОЙБЕТОН"</t>
  </si>
  <si>
    <t>7728893200</t>
  </si>
  <si>
    <t>117593, МОСКВА ГОРОД, ПР-Д СОЛОВЬИНЫЙ, Д. 2, ОФИС 1</t>
  </si>
  <si>
    <t>Аветисян Оганнес Смбатович</t>
  </si>
  <si>
    <t>+7 (916) 385-06-06'</t>
  </si>
  <si>
    <t>odsb2014@mail.ru'</t>
  </si>
  <si>
    <t>55.650759,37.368371</t>
  </si>
  <si>
    <t>ОБЩЕСТВО С ОГРАНИЧЕННОЙ ОТВЕТСТВЕННОСТЬЮ "БЕТОНСОЮЗ"</t>
  </si>
  <si>
    <t xml:space="preserve"> "БЕТОНСОЮЗ"</t>
  </si>
  <si>
    <t>7729443927</t>
  </si>
  <si>
    <t>119633, Г.Москва, внутригородская территория города федерального значения МУНИЦИПАЛЬНЫЙ ОКРУГ НОВО-ПЕРЕДЕЛКИНО, Ш. БОРОВСКОЕ, Д. 18, К. 3, ЭТАЖ 1, ПОМЕЩ. I, КОМ.5, ОФИС 65</t>
  </si>
  <si>
    <t>Ксенчук Петр Васильевич</t>
  </si>
  <si>
    <t>+7 (964) 562-40-50'</t>
  </si>
  <si>
    <t>betonsoyuz@mail.ru'</t>
  </si>
  <si>
    <t>55.606431,37.189256</t>
  </si>
  <si>
    <t>ОБЩЕСТВО С ОГРАНИЧЕННОЙ ОТВЕТСТВЕННОСТЬЮ "АРТ БЕТОН СТРОЙ"</t>
  </si>
  <si>
    <t xml:space="preserve"> "АРТ БЕТОН СТРОЙ"</t>
  </si>
  <si>
    <t>7729546591</t>
  </si>
  <si>
    <t>http://art-betonstroy.ru</t>
  </si>
  <si>
    <t>143350, МОСКВА Г, ТОЛСТОПАЛЬЦЕВО Д, СОВЕТСКАЯ УЛ, ДОМ 1, СТРОЕНИЕ 4</t>
  </si>
  <si>
    <t>Конохов Павел Николаевич</t>
  </si>
  <si>
    <t>+7 (985) 773-64-62'</t>
  </si>
  <si>
    <t>55.677159,37.29435</t>
  </si>
  <si>
    <t>ОБЩЕСТВО С ОГРАНИЧЕННОЙ ОТВЕТСТВЕННОСТЬЮ "ПРОМЫШЛЕННО-ПРОИЗВОДСТВЕННАЯ КОМПАНИЯ "МОСТ"</t>
  </si>
  <si>
    <t xml:space="preserve"> "ПРОМЫШЛЕННО-ПРОИЗВОДСТВЕННАЯ КОМПАНИЯ "МОСТ"</t>
  </si>
  <si>
    <t>7729687722</t>
  </si>
  <si>
    <t>143006, МОСКОВСКАЯ ОБЛАСТЬ, Г ОДИНЦОВО, УЛ. ТРАНСПОРТНАЯ, ВЛД. 6Б, СТР. 1</t>
  </si>
  <si>
    <t>Ломов Алексей Викторович</t>
  </si>
  <si>
    <t>55.695002,37.422737</t>
  </si>
  <si>
    <t>ОБЩЕСТВО С ОГРАНИЧЕННОЙ ОТВЕТСТВЕННОСТЬЮ "СПЕЦЖЕЛЕЗОБЕТОН"</t>
  </si>
  <si>
    <t xml:space="preserve"> "СПЕЦЖЕЛЕЗОБЕТОН"</t>
  </si>
  <si>
    <t>7729728859</t>
  </si>
  <si>
    <t>121471, Г.Москва, внутригородская территория города федерального значения МУНИЦИПАЛЬНЫЙ ОКРУГ ОЧАКОВО-МАТВЕЕВСКОЕ, УЛ РЯБИНОВАЯ, Д. 26, СТР. 1, КОМ. 1Б, ПОМЕЩ. 3</t>
  </si>
  <si>
    <t>Прокопьева Анна Владиславовна</t>
  </si>
  <si>
    <t>55.615695,37.270248</t>
  </si>
  <si>
    <t>ОБЩЕСТВО С ОГРАНИЧЕННОЙ ОТВЕТСТВЕННОСТЬЮ "ОЛИМПСТРОЙ"</t>
  </si>
  <si>
    <t xml:space="preserve"> "ОЛИМПСТРОЙ"</t>
  </si>
  <si>
    <t>7729742331</t>
  </si>
  <si>
    <t>119027, МОСКВА Г, ВНУКОВО П, ЦЕНТРАЛЬНАЯ УЛ, 16, СТР.17</t>
  </si>
  <si>
    <t>Устюгов Владимир Николаевич</t>
  </si>
  <si>
    <t>7192229@gmail.com'</t>
  </si>
  <si>
    <t>55.749071,37.567896</t>
  </si>
  <si>
    <t>ОБЩЕСТВО С ОГРАНИЧЕННОЙ ОТВЕТСТВЕННОСТЬЮ "АЛИНИТ"</t>
  </si>
  <si>
    <t xml:space="preserve"> "АЛИНИТ"</t>
  </si>
  <si>
    <t>7730272722</t>
  </si>
  <si>
    <t>121248, Г.Москва, МУНИЦИПАЛЬНЫЙ ОКРУГ ДОРОГОМИЛОВО, ПР-КТ КУТУЗОВСКИЙ, Д. 5/3, К. 2</t>
  </si>
  <si>
    <t>Фадеев Юрий Вадимович</t>
  </si>
  <si>
    <t>55.72562,37.397817</t>
  </si>
  <si>
    <t>ОБЩЕСТВО С ОГРАНИЧЕННОЙ ОТВЕТСТВЕННОСТЬЮ "ТЕРМОМАКС"</t>
  </si>
  <si>
    <t xml:space="preserve"> "ТЕРМОМАКС"</t>
  </si>
  <si>
    <t>7731298233</t>
  </si>
  <si>
    <t>121596, МОСКВА ГОРОД, УЛИЦА ГОРБУНОВА, ДОМ 2, СТР 2, ЭТ 6 КОМ 627</t>
  </si>
  <si>
    <t>Карелин Алексей Геннадьевич</t>
  </si>
  <si>
    <t>+7 (903) 220-19-53'</t>
  </si>
  <si>
    <t>PETRYKINA@BUHIFIN.RU'</t>
  </si>
  <si>
    <t>55.761761,37.405426</t>
  </si>
  <si>
    <t>ОБЩЕСТВО С ОГРАНИЧЕННОЙ ОТВЕТСТВЕННОСТЬЮ "АБГРУП"</t>
  </si>
  <si>
    <t xml:space="preserve"> "АБГРУП"</t>
  </si>
  <si>
    <t>7731340774</t>
  </si>
  <si>
    <t>121609, МОСКВА ГОРОД, Б-Р ОСЕННИЙ, Д. 17, ПОМ I КОМ 2</t>
  </si>
  <si>
    <t>Варданян Арсен Геворгович</t>
  </si>
  <si>
    <t>55.710672,37.508867</t>
  </si>
  <si>
    <t>ОБЩЕСТВО С ОГРАНИЧЕННОЙ ОТВЕТСТВЕННОСТЬЮ "АГРО БЕТОН"</t>
  </si>
  <si>
    <t xml:space="preserve"> "АГРО БЕТОН"</t>
  </si>
  <si>
    <t>7733187680</t>
  </si>
  <si>
    <t>119330, МОСКВА ГОРОД, УЛИЦА МОСФИЛЬМОВСКАЯ, ДОМ 41, КОРПУС 1, ЦОКОЛЬ ПОМ 6 КОМ 1 ОФ 230</t>
  </si>
  <si>
    <t>Туголуков Роман Вячеславович</t>
  </si>
  <si>
    <t>+7 (916) 994-89-21'</t>
  </si>
  <si>
    <t>55.822407,37.43207</t>
  </si>
  <si>
    <t>ОБЩЕСТВО С ОГРАНИЧЕННОЙ ОТВЕТСТВЕННОСТЬЮ "НЕОБЕТОН"</t>
  </si>
  <si>
    <t xml:space="preserve"> "НЕОБЕТОН"</t>
  </si>
  <si>
    <t>7733235969</t>
  </si>
  <si>
    <t>125424, Г.Москва, внутригородская территория города федерального значения МУНИЦИПАЛЬНЫЙ ОКРУГ ПОКРОВСКОЕ-СТРЕШНЕВО, Ш ВОЛОКОЛАМСКОЕ, Д. 71, К. 1, ЭТАЖ 1, ПОМ/ОФ 1/12</t>
  </si>
  <si>
    <t>Аббасов Гумбат Гасан Оглы</t>
  </si>
  <si>
    <t>+7 (495) 309-21-23', '+7 (926) 390-20-17'</t>
  </si>
  <si>
    <t>55.81954,37.445626</t>
  </si>
  <si>
    <t xml:space="preserve"> "ОМЕГА"</t>
  </si>
  <si>
    <t>7733284420</t>
  </si>
  <si>
    <t>125424, МОСКВА ГОРОД, Ш. ВОЛОКОЛАМСКОЕ, ВЛД. 65, К. 2 СТРОЕНИЕ 15, ПОМЕЩ. IV</t>
  </si>
  <si>
    <t>Благодетелева Юлия Александровна</t>
  </si>
  <si>
    <t>+7 (950) 221-43-49'</t>
  </si>
  <si>
    <t>56.000442,36.473721</t>
  </si>
  <si>
    <t>ОБЩЕСТВО С ОГРАНИЧЕННОЙ ОТВЕТСТВЕННОСТЬЮ ПСК "АЛЬТАИР"</t>
  </si>
  <si>
    <t xml:space="preserve"> ПСК "АЛЬТАИР"</t>
  </si>
  <si>
    <t>7733317379</t>
  </si>
  <si>
    <t>143570, МОСКОВСКАЯ ОБЛАСТЬ, ГОРОДСКОЙ ОКРУГ ИСТРА, СЕЛО НОВОПЕТРОВСКОЕ, УЛИЦА СЕВЕРНАЯ, ДОМ 16А,..</t>
  </si>
  <si>
    <t>Протасова Людмила Александровна</t>
  </si>
  <si>
    <t>+7 (926) 899-28-31'</t>
  </si>
  <si>
    <t>ОБЩЕСТВО С ОГРАНИЧЕННОЙ ОТВЕТСТВЕННОСТЬЮ "МОСКОВСКАЯ БЕТОННАЯ КОМПАНИЯ"</t>
  </si>
  <si>
    <t xml:space="preserve"> "МОСКОВСКАЯ БЕТОННАЯ КОМПАНИЯ"</t>
  </si>
  <si>
    <t>7733326944</t>
  </si>
  <si>
    <t>+7 (925) 000-84-71'</t>
  </si>
  <si>
    <t>55.870779,37.44135</t>
  </si>
  <si>
    <t>ОБЩЕСТВО С ОГРАНИЧЕННОЙ ОТВЕТСТВЕННОСТЬЮ "РК СТРОЙБЕТОН"</t>
  </si>
  <si>
    <t xml:space="preserve"> "РК СТРОЙБЕТОН"</t>
  </si>
  <si>
    <t>7733354067</t>
  </si>
  <si>
    <t>125481, МОСКВА ГОРОД, УЛИЦА СВОБОДЫ, ДОМ 99, КОРПУС 1, Э 2 ПОМ XIII К 4 ОФ 69</t>
  </si>
  <si>
    <t>Князева Татьяна Евгеньевна</t>
  </si>
  <si>
    <t>55.860797,37.377399</t>
  </si>
  <si>
    <t>ОБЩЕСТВО С ОГРАНИЧЕННОЙ ОТВЕТСТВЕННОСТЬЮ "ПК СПЕЦСТРОЙБЕТОН"</t>
  </si>
  <si>
    <t xml:space="preserve"> "ПК СПЕЦСТРОЙБЕТОН"</t>
  </si>
  <si>
    <t>7733369345</t>
  </si>
  <si>
    <t>125464, Г.Москва, внутригородская территория города федерального значения МУНИЦИПАЛЬНЫЙ ОКРУГ МИТИНО, Ш. ПЯТНИЦКОЕ, Д. 16, ЭТ/ПОМЕЩ. 1/V, КОМ./РАБ.М 15/4А</t>
  </si>
  <si>
    <t>Нечитайло Александр Николаевич</t>
  </si>
  <si>
    <t>SSB_2021@MAIL.RU'</t>
  </si>
  <si>
    <t>55.833946,37.427372</t>
  </si>
  <si>
    <t>ОБЩЕСТВО С ОГРАНИЧЕННОЙ ОТВЕТСТВЕННОСТЬЮ "ПРИМА"</t>
  </si>
  <si>
    <t xml:space="preserve"> "ПРИМА"</t>
  </si>
  <si>
    <t>7733377339</t>
  </si>
  <si>
    <t>125362, МОСКВА Г., ПР-Д СТРОИТЕЛЬНЫЙ, Д. 7А, К. 7, ЭТАЖ/ОФИС/ПОМЕЩ. 1/4/7</t>
  </si>
  <si>
    <t>Молчанова Оксана Александровна</t>
  </si>
  <si>
    <t>55.830751,37.457304</t>
  </si>
  <si>
    <t>ОБЩЕСТВО С ОГРАНИЧЕННОЙ ОТВЕТСТВЕННОСТЬЮ "ЕВРОСТРОЙБЕТОН"</t>
  </si>
  <si>
    <t xml:space="preserve"> "ЕВРОСТРОЙБЕТОН"</t>
  </si>
  <si>
    <t>7733384209</t>
  </si>
  <si>
    <t>125362, Г.Москва, МУНИЦИПАЛЬНЫЙ ОКРУГ ПОКРОВСКОЕ-СТРЕШНЕВО, УЛ БОЛЬШАЯ НАБЕРЕЖНАЯ, Д. 15, КОМ. 9</t>
  </si>
  <si>
    <t>Самуйленко Сергей Васильевич</t>
  </si>
  <si>
    <t>5928751@MAIL.RU'</t>
  </si>
  <si>
    <t>55.845592,37.551897</t>
  </si>
  <si>
    <t>ОБЩЕСТВО С ОГРАНИЧЕННОЙ ОТВЕТСТВЕННОСТЬЮ "СтройМаш"</t>
  </si>
  <si>
    <t xml:space="preserve"> "СтройМаш"</t>
  </si>
  <si>
    <t>7733734291</t>
  </si>
  <si>
    <t>125183, МОСКВА Г., ПР-Д ЧЕРЕПАНОВЫХ, Д. 68,..</t>
  </si>
  <si>
    <t>Кочетов Олег Анатольевич</t>
  </si>
  <si>
    <t>55.828981,37.369071</t>
  </si>
  <si>
    <t xml:space="preserve"> "АЛНСТРОЙ-ТРОТУАР"</t>
  </si>
  <si>
    <t>7733832926</t>
  </si>
  <si>
    <t>125464, МОСКВА ГОРОД, Ш. ВОЛОКОЛАМСКОЕ, Д.142, СТР.1, ОФИС 14</t>
  </si>
  <si>
    <t>Борисов Дмитрий Владимирович</t>
  </si>
  <si>
    <t>55.838774,37.439284</t>
  </si>
  <si>
    <t>ОБЩЕСТВО С ОГРАНИЧЕННОЙ ОТВЕТСТВЕННОСТЬЮ "Производственно-строительная компания "Триумф-А"</t>
  </si>
  <si>
    <t xml:space="preserve"> "Производственно-строительная компания "Триумф-А"</t>
  </si>
  <si>
    <t>7733846051</t>
  </si>
  <si>
    <t>http://triumf-opt.ru</t>
  </si>
  <si>
    <t>125363, МОСКВА Г, СХОДНЕНСКАЯ УЛ, ДОМ 10, ЭТАЖ 2 КОМН. 3</t>
  </si>
  <si>
    <t>Африкян Ара Арташеси</t>
  </si>
  <si>
    <t>info@betontriumf.ru'</t>
  </si>
  <si>
    <t>55.893854,37.389607</t>
  </si>
  <si>
    <t>ОБЩЕСТВО С ОГРАНИЧЕННОЙ ОТВЕТСТВЕННОСТЬЮ "МОСБЕТОНСТРОЙ"</t>
  </si>
  <si>
    <t xml:space="preserve"> "МОСБЕТОНСТРОЙ"</t>
  </si>
  <si>
    <t>7733855994</t>
  </si>
  <si>
    <t>125466, МОСКВА ГОРОД, УЛ. РОДИОНОВСКАЯ, Д. 12, ЭТ 1 П XXXVI К 5 ОФ 1</t>
  </si>
  <si>
    <t>Азизбекян Давид Варужанович</t>
  </si>
  <si>
    <t>ОБЩЕСТВО С ОГРАНИЧЕННОЙ ОТВЕТСТВЕННОСТЬЮ "ИНТЕРГРУПП"</t>
  </si>
  <si>
    <t xml:space="preserve"> "ИНТЕРГРУПП"</t>
  </si>
  <si>
    <t>7733859893</t>
  </si>
  <si>
    <t>Г МОСКВА,ПРОСП МИРА, Д 51, СТР 1А</t>
  </si>
  <si>
    <t>Лесунов Василий Сергеевич</t>
  </si>
  <si>
    <t>+7 (968) 778-01-97'</t>
  </si>
  <si>
    <t>55.791749,37.748619</t>
  </si>
  <si>
    <t>ОБЩЕСТВО С ОГРАНИЧЕННОЙ ОТВЕТСТВЕННОСТЬЮ "ЦЕНТРСТРОЙ"</t>
  </si>
  <si>
    <t xml:space="preserve"> "ЦЕНТРСТРОЙ"</t>
  </si>
  <si>
    <t>7733860458</t>
  </si>
  <si>
    <t>Г МОСКВА,ШОССЕ ИЗМАЙЛОВСКОЕ, Д 71, КОРП "Г-Д",..</t>
  </si>
  <si>
    <t>Авакян Вениамин Вячеславович</t>
  </si>
  <si>
    <t>+7 (495) 726-53-99', '+7 (916) 243-45-70', '+7 (495) 726-53-99'</t>
  </si>
  <si>
    <t>55.733138,37.464095</t>
  </si>
  <si>
    <t>ОБЩЕСТВО С ОГРАНИЧЕННОЙ ОТВЕТСТВЕННОСТЬЮ "СКС БЕТОН"</t>
  </si>
  <si>
    <t xml:space="preserve"> "СКС БЕТОН"</t>
  </si>
  <si>
    <t>7734381360</t>
  </si>
  <si>
    <t>121108, МОСКВА Г, КАСТАНАЕВСКАЯ УЛ, ДОМ 58,..</t>
  </si>
  <si>
    <t>Карпунин Михаил Викторович</t>
  </si>
  <si>
    <t>+7 (985) 224-83-68'</t>
  </si>
  <si>
    <t>55.846396,37.655544</t>
  </si>
  <si>
    <t>ОБЩЕСТВО С ОГРАНИЧЕННОЙ ОТВЕТСТВЕННОСТЬЮ "ФОРАС"</t>
  </si>
  <si>
    <t xml:space="preserve"> "ФОРАС"</t>
  </si>
  <si>
    <t>7734385050</t>
  </si>
  <si>
    <t>129343, МОСКВА ГОРОД, ПР-Д СЕРЕБРЯКОВА, Д. 14, СТР. 15, ЭТАЖ 3 КОМ 86</t>
  </si>
  <si>
    <t>Солдатенков Николай Юрьевич</t>
  </si>
  <si>
    <t>+7 (964) 709-86-92'</t>
  </si>
  <si>
    <t>55.684021,37.656308</t>
  </si>
  <si>
    <t xml:space="preserve"> "СЕВЕРБЕТОН"</t>
  </si>
  <si>
    <t>7734389489</t>
  </si>
  <si>
    <t>115533, МОСКВА ГОРОД, НАБЕРЕЖНАЯ НАГАТИНСКАЯ, ДОМ 18, КОРПУС 1, ПОМЕЩЕНИЕ XXIII</t>
  </si>
  <si>
    <t>Денисов Александр Александрович</t>
  </si>
  <si>
    <t>karier90@mail.ru'</t>
  </si>
  <si>
    <t>55.767868,37.510448</t>
  </si>
  <si>
    <t>ОБЩЕСТВО С ОГРАНИЧЕННОЙ ОТВЕТСТВЕННОСТЬЮ "ИНГЕОКОМ БЕТОНСТРОЙ"</t>
  </si>
  <si>
    <t xml:space="preserve"> "ИНГЕОКОМ БЕТОНСТРОЙ"</t>
  </si>
  <si>
    <t>7734393615</t>
  </si>
  <si>
    <t>123308, МОСКВА ГОРОД, ПРОЕЗД 1-Й СИЛИКАТНЫЙ, ДОМ 13</t>
  </si>
  <si>
    <t>Филатов Геннадий Борисович</t>
  </si>
  <si>
    <t>+7 (495) 511-48-92', '+7 (903) 237-93-79'</t>
  </si>
  <si>
    <t>55.777383,37.504456</t>
  </si>
  <si>
    <t>ОБЩЕСТВО С ОГРАНИЧЕННОЙ ОТВЕТСТВЕННОСТЬЮ "ЕВРО-БЕТОН 1"</t>
  </si>
  <si>
    <t xml:space="preserve"> "ЕВРО-БЕТОН 1"</t>
  </si>
  <si>
    <t>7734426003</t>
  </si>
  <si>
    <t>123308, МОСКВА ГОРОД, ПРОСПЕКТ МАРШАЛА ЖУКОВА, ДОМ 2, ЭТАЖ 5 КОМН 528</t>
  </si>
  <si>
    <t>Бирвар Антонина Владимировна</t>
  </si>
  <si>
    <t>55.790605,37.382232</t>
  </si>
  <si>
    <t>ОБЩЕСТВО С ОГРАНИЧЕННОЙ ОТВЕТСТВЕННОСТЬЮ "ДКД"</t>
  </si>
  <si>
    <t xml:space="preserve"> "ДКД"</t>
  </si>
  <si>
    <t>7734449177</t>
  </si>
  <si>
    <t>123458, Г.Москва, МУНИЦИПАЛЬНЫЙ ОКРУГ СТРОГИНО, УЛ МАРШАЛА ПРОШЛЯКОВА, Д. 20,СТР. 1</t>
  </si>
  <si>
    <t>Джаббаров Тимур Акифович</t>
  </si>
  <si>
    <t>9154153311@MAIL.RU'</t>
  </si>
  <si>
    <t>55.773783,37.506747</t>
  </si>
  <si>
    <t>7734536888</t>
  </si>
  <si>
    <t>123308, МОСКВА ГОРОД, ПР-Д 3-Й СИЛИКАТНЫЙ, Д. 10, СТРОЕНИЕ 15</t>
  </si>
  <si>
    <t>+7 (499) 191-40-83', '+7 (495) 737-55-00', '+7 (495) 737-55-10'</t>
  </si>
  <si>
    <t>eurobeton@eurocem.ru'</t>
  </si>
  <si>
    <t>55.849383,37.534451</t>
  </si>
  <si>
    <t>«ИНГЕОКОМПРОМ»</t>
  </si>
  <si>
    <t>7734702172</t>
  </si>
  <si>
    <t>125438, МОСКВА ГОРОД, УЛИЦА АВТОМОТОРНАЯ, ДОМ 5, СТРОЕНИЕ 31, ОФИС 34</t>
  </si>
  <si>
    <t>Антонов Андрей Юрьевич</t>
  </si>
  <si>
    <t>office@eprom.su'</t>
  </si>
  <si>
    <t>55.788297,37.454843</t>
  </si>
  <si>
    <t>ОБЩЕСТВО С ОГРАНИЧЕННОЙ ОТВЕТСТВЕННОСТЬЮ "ЭНЕРГОПРОМСТРОЙБЕТОН"</t>
  </si>
  <si>
    <t xml:space="preserve"> "ЭНЕРГОПРОМСТРОЙБЕТОН"</t>
  </si>
  <si>
    <t>7734716827</t>
  </si>
  <si>
    <t>123103, МОСКВА ГОРОД, УЛИЦА ЖИВОПИСНАЯ, ДОМ 24, ПОМ I</t>
  </si>
  <si>
    <t>Курилов Максим Николаевич</t>
  </si>
  <si>
    <t>+7 (495) 456-68-84'</t>
  </si>
  <si>
    <t>55.869779,37.462712</t>
  </si>
  <si>
    <t>ОБЩЕСТВО С ОГРАНИЧЕННОЙ ОТВЕТСТВЕННОСТЬЮ "ОНИКС-БЕТОН"</t>
  </si>
  <si>
    <t xml:space="preserve"> "ОНИКС-БЕТОН"</t>
  </si>
  <si>
    <t>7734720929</t>
  </si>
  <si>
    <t>125445, МОСКВА Г, ЛЕНИНГРАДСКОЕ Ш, ДОМ 130, КОРПУС 1, ПОМЕЩЕНИЕ XVI</t>
  </si>
  <si>
    <t>Буш Андрей Владимирович</t>
  </si>
  <si>
    <t>+7 (926) 848-24-96'</t>
  </si>
  <si>
    <t>onbeton@mail.ru'</t>
  </si>
  <si>
    <t>56.005214,37.146154</t>
  </si>
  <si>
    <t>ОБЩЕСТВО С ОГРАНИЧЕННОЙ ОТВЕТСТВЕННОСТЬЮ "ПК БЕТОН-ОЭЗ"</t>
  </si>
  <si>
    <t xml:space="preserve"> "ПК БЕТОН-ОЭЗ"</t>
  </si>
  <si>
    <t>7735155211</t>
  </si>
  <si>
    <t>124460, МОСКВА Г, ЗЕЛЕНОГРАД Г, 684-Й ПР, ДОМ 4, СТРОЕНИЕ 10, ЭТ 2 ПОМ II КОМ 1</t>
  </si>
  <si>
    <t>Субботин Алексей Юрьевич</t>
  </si>
  <si>
    <t>+7 (985) 998-85-59'</t>
  </si>
  <si>
    <t>55.743634,37.640488</t>
  </si>
  <si>
    <t>ОБЩЕСТВО С ОГРАНИЧЕННОЙ ОТВЕТСТВЕННОСТЬЮ "ТД ВЕКТОР"</t>
  </si>
  <si>
    <t xml:space="preserve"> "ТД ВЕКТОР"</t>
  </si>
  <si>
    <t>7735155388</t>
  </si>
  <si>
    <t>115035, МОСКВА ГОРОД, НАБ. КОСМОДАМИАНСКАЯ, Д. 4/22, К. А, ПОМ I К 15 ОФ 4</t>
  </si>
  <si>
    <t>ДИРЕКТОР Пляскин Константин Юрьевич</t>
  </si>
  <si>
    <t>+7 (926) 550-84-85'</t>
  </si>
  <si>
    <t>55.991037,37.217247</t>
  </si>
  <si>
    <t xml:space="preserve"> "ВИКТОСТРОЙ"</t>
  </si>
  <si>
    <t>7735603223</t>
  </si>
  <si>
    <t>124482, МОСКВА ГОРОД, Г. ЗЕЛЕНОГРАД, ПР-Д САВЁЛКИНСКИЙ, Д. 4, ПОМЕЩ. XIII</t>
  </si>
  <si>
    <t>Николаев Михаил Рустамович</t>
  </si>
  <si>
    <t>55.743659,37.539895</t>
  </si>
  <si>
    <t>7736262618</t>
  </si>
  <si>
    <t>121165, МОСКВА ГОРОД, ПР-КТ КУТУЗОВСКИЙ, Д. 26, К. 2,..</t>
  </si>
  <si>
    <t xml:space="preserve"> Конкурсный Управляющий Табунов Денис Викторович</t>
  </si>
  <si>
    <t>55.679082,37.527058</t>
  </si>
  <si>
    <t>ОБЩЕСТВО С ОГРАНИЧЕННОЙ ОТВЕТСТВЕННОСТЬЮ "ВЕРТЕКС-БЕТОН"</t>
  </si>
  <si>
    <t xml:space="preserve"> "ВЕРТЕКС-БЕТОН"</t>
  </si>
  <si>
    <t>7736299382</t>
  </si>
  <si>
    <t>119313, МОСКВА Г, МАРИИ УЛЬЯНОВОЙ УЛ, ДОМ 3, КОРПУС 1, ПОМ. 2Н КОМ. 2</t>
  </si>
  <si>
    <t>Шмаков Антон Витальевич</t>
  </si>
  <si>
    <t>55.66866,37.537523</t>
  </si>
  <si>
    <t>ОБЩЕСТВО С ОГРАНИЧЕННОЙ ОТВЕТСТВЕННОСТЬЮ "МЕРКУРИЙМД"</t>
  </si>
  <si>
    <t xml:space="preserve"> "МЕРКУРИЙМД"</t>
  </si>
  <si>
    <t>7736320002</t>
  </si>
  <si>
    <t>117393, МОСКВА ГОРОД, УЛИЦА АКАДЕМИКА ПИЛЮГИНА, ДОМ 12, КОРПУС 1, Э 1 ПОМ I К 16</t>
  </si>
  <si>
    <t>Башенберг Маркус Викторович</t>
  </si>
  <si>
    <t>55.681712,37.516449</t>
  </si>
  <si>
    <t>ОБЩЕСТВО С ОГРАНИЧЕННОЙ ОТВЕТСТВЕННОСТЬЮ "РАСТВОРО-БЕТОННЫЙ УЗЕЛ "СТРОЙПАРТНЕР"</t>
  </si>
  <si>
    <t xml:space="preserve"> "РАСТВОРО-БЕТОННЫЙ УЗЕЛ "СТРОЙПАРТНЕР"</t>
  </si>
  <si>
    <t>7736329887</t>
  </si>
  <si>
    <t>119331, МОСКВА ГОРОД, ПР-КТ ВЕРНАДСКОГО, Д. 29, ЭТ 2 КОМ 5А ОФ 563</t>
  </si>
  <si>
    <t>Воронова Светлана Алексеевна</t>
  </si>
  <si>
    <t>55.85099,37.530382</t>
  </si>
  <si>
    <t>ОБЩЕСТВО С ОГРАНИЧЕННОЙ ОТВЕТСТВЕННОСТЬЮ "КРАУН"</t>
  </si>
  <si>
    <t xml:space="preserve"> "КРАУН"</t>
  </si>
  <si>
    <t>7743099345</t>
  </si>
  <si>
    <t>125438, МОСКВА ГОРОД, ПЕР. 4-Й ЛИХАЧЁВСКИЙ, Д. 2, СТР. 5</t>
  </si>
  <si>
    <t>Галясовский Сергей Александрович</t>
  </si>
  <si>
    <t>55.869981,37.489086</t>
  </si>
  <si>
    <t>ОБЩЕСТВО С ОГРАНИЧЕННОЙ ОТВЕТСТВЕННОСТЬЮ "БЕТОНСТРОЙТЕХНОЛОГИЯ"</t>
  </si>
  <si>
    <t xml:space="preserve"> "БЕТОНСТРОЙТЕХНОЛОГИЯ"</t>
  </si>
  <si>
    <t>7743208499</t>
  </si>
  <si>
    <t>125475, МОСКВА Г, ПЕТРОЗАВОДСКАЯ УЛ, ДОМ 28, КОРПУС 4, ЭТАЖ 1 ПОМ.VI,КОМ.3(РМ38)</t>
  </si>
  <si>
    <t>Швайченко Михаил Сергеевич</t>
  </si>
  <si>
    <t>+7 (903) 535-52-26'</t>
  </si>
  <si>
    <t>55.713821,37.663521</t>
  </si>
  <si>
    <t>ОБЩЕСТВО С ОГРАНИЧЕННОЙ ОТВЕТСТВЕННОСТЬЮ "БИЭЙВИ"</t>
  </si>
  <si>
    <t xml:space="preserve"> "БИЭЙВИ"</t>
  </si>
  <si>
    <t>7743246825</t>
  </si>
  <si>
    <t>115280, МОСКВА Г., УЛ. ВЕЛОЗАВОДСКАЯ, Д. 4, ЭТАЖ 4 ОФИС 404</t>
  </si>
  <si>
    <t>Большаков Антон Викторович</t>
  </si>
  <si>
    <t>+7 (499) 450-53-83'</t>
  </si>
  <si>
    <t>ОБЩЕСТВО С ОГРАНИЧЕННОЙ ОТВЕТСТВЕННОСТЬЮ "БЕТОННЫЙ ЗАВОД 223"</t>
  </si>
  <si>
    <t xml:space="preserve"> "БЕТОННЫЙ ЗАВОД 223"</t>
  </si>
  <si>
    <t>7743601413</t>
  </si>
  <si>
    <t>http://beton222.ru</t>
  </si>
  <si>
    <t>125212, МОСКВА ГОРОД, УЛИЦА АДМИРАЛА МАКАРОВА, ДОМ 6, СТРОЕНИЕ 13, ЭТАЖ 2 ЧАСТЬ КОМ. 8</t>
  </si>
  <si>
    <t>Мнацаканов Сурен Грачевич</t>
  </si>
  <si>
    <t>+7 (495) 725-80-57'</t>
  </si>
  <si>
    <t>55.845481,37.530535</t>
  </si>
  <si>
    <t>ОБЩЕСТВО С ОГРАНИЧЕННОЙ ОТВЕТСТВЕННОСТЬЮ "РЕСУРССЕРВИС"</t>
  </si>
  <si>
    <t xml:space="preserve"> "РЕСУРССЕРВИС"</t>
  </si>
  <si>
    <t>7743672855</t>
  </si>
  <si>
    <t>125438, МОСКВА ГОРОД, ПЕР. 2-Й ЛИХАЧЁВСКИЙ, Д.3</t>
  </si>
  <si>
    <t>Королев Всеволод Владимирович</t>
  </si>
  <si>
    <t>Общество с ограниченной ответственностью "Ингеоком КСМ"</t>
  </si>
  <si>
    <t xml:space="preserve"> "Ингеоком КСМ"</t>
  </si>
  <si>
    <t>7743783410</t>
  </si>
  <si>
    <t>123308, МОСКВА ГОРОД, ПРОЕЗД 2-Й СИЛИКАТНЫЙ, ДОМ 14, КОРПУС 2 СТР 14, КАБИНЕТ 12</t>
  </si>
  <si>
    <t>Филатов Владимир Александрович</t>
  </si>
  <si>
    <t>ОБЩЕСТВО С ОГРАНИЧЕННОЙ ОТВЕТСТВЕННОСТЬЮ Научно-Производственное Объединение "КВАНТ"</t>
  </si>
  <si>
    <t xml:space="preserve"> Научно-Производственное Объединение "КВАНТ"</t>
  </si>
  <si>
    <t>7743891536</t>
  </si>
  <si>
    <t>305005, Курская область, городской округ ГОРОД КУРСК, Город КУРСК, ПР-КТ ВЯЧЕСЛАВА КЛЫКОВА, ЗД. 1Б, ОФИС 4</t>
  </si>
  <si>
    <t>Цибульский Сергей Владимирович</t>
  </si>
  <si>
    <t>+7 (495) 276-25-50'</t>
  </si>
  <si>
    <t>buh@bk.ru'</t>
  </si>
  <si>
    <t>55.810648,37.509164</t>
  </si>
  <si>
    <t>ОБЩЕСТВО С ОГРАНИЧЕННОЙ ОТВЕТСТВЕННОСТЬЮ "ЭЛЕКТРО-СНАБ"</t>
  </si>
  <si>
    <t xml:space="preserve"> "ЭЛЕКТРО-СНАБ"</t>
  </si>
  <si>
    <t>7743938689</t>
  </si>
  <si>
    <t>125315, МОСКВА ГОРОД, ПРОСПЕКТ ЛЕНИНГРАДСКИЙ, ДОМ 80КГ, ОФИС 1004А</t>
  </si>
  <si>
    <t>Ширинян Владимир Сергеевич</t>
  </si>
  <si>
    <t>Patyha@mail.ru', '74@mail.ru'</t>
  </si>
  <si>
    <t>55.519646,37.449749</t>
  </si>
  <si>
    <t>ОБЩЕСТВО С ОГРАНИЧЕННОЙ ОТВЕТСТВЕННОСТЬЮ ПСК "БЕТОН ГРУПП"</t>
  </si>
  <si>
    <t xml:space="preserve"> ПСК "БЕТОН ГРУПП"</t>
  </si>
  <si>
    <t>7751016021</t>
  </si>
  <si>
    <t>108803, МОСКВА Г, ВОСКРЕСЕНСКОЕ П, ВОСКРЕСЕНСКОЕ П, ДОМ 66, КАБИНЕТ 18</t>
  </si>
  <si>
    <t>Синицын Игорь Иванович</t>
  </si>
  <si>
    <t>2@mail.ru'</t>
  </si>
  <si>
    <t>55.68803,37.596543</t>
  </si>
  <si>
    <t>ОБЩЕСТВО С ОГРАНИЧЕННОЙ ОТВЕТСТВЕННОСТЬЮ "БЕТОН-ПОТОК"</t>
  </si>
  <si>
    <t xml:space="preserve"> "БЕТОН-ПОТОК"</t>
  </si>
  <si>
    <t>7751022579</t>
  </si>
  <si>
    <t>https://www.бетон-поток.рф</t>
  </si>
  <si>
    <t>117447, МОСКВА ГОРОД, УЛ. БОЛЬШАЯ ЧЕРЁМУШКИНСКАЯ, Д. 11, К. 3,..</t>
  </si>
  <si>
    <t>Есипов Сергей Владимирович</t>
  </si>
  <si>
    <t>+7 (495) 740-51-19'</t>
  </si>
  <si>
    <t>sp04msk@mail.ru'</t>
  </si>
  <si>
    <t>55.900658,37.539644</t>
  </si>
  <si>
    <t>ОБЩЕСТВО С ОГРАНИЧЕННОЙ ОТВЕТСТВЕННОСТЬЮ  "БЕТОННЫЙ ЗАВОД АТЛАС-БЕТОН"</t>
  </si>
  <si>
    <t xml:space="preserve">  "БЕТОННЫЙ ЗАВОД АТЛАС-БЕТОН"</t>
  </si>
  <si>
    <t>7751139792</t>
  </si>
  <si>
    <t>127411, город Москва, Дмитровское ш, д. 157 стр. 9, эт./помещ. 02/92-039 офис в</t>
  </si>
  <si>
    <t>Михайлов Дмитрий Михайлович</t>
  </si>
  <si>
    <t>+7 (495) 532-67-22'</t>
  </si>
  <si>
    <t>55.630594,37.460727</t>
  </si>
  <si>
    <t>ОБЩЕСТВО С ОГРАНИЧЕННОЙ ОТВЕТСТВЕННОСТЬЮ "ГРУППА КОМПАНИЙ "ТРИУМФ"</t>
  </si>
  <si>
    <t xml:space="preserve"> "ГРУППА КОМПАНИЙ "ТРИУМФ"</t>
  </si>
  <si>
    <t>7751140068</t>
  </si>
  <si>
    <t>108820, МОСКВА ГОРОД, ПОС. МОСРЕНТГЕН, Д ДУДКИНО, ТЕР СНТ КРУИЗ, ВЛД. 174, СТР. 1</t>
  </si>
  <si>
    <t>Рускевич Александр Владимирович</t>
  </si>
  <si>
    <t>+7 (495) 743-99-80'</t>
  </si>
  <si>
    <t>55.728119,37.687138</t>
  </si>
  <si>
    <t>ОБЩЕСТВО С ОГРАНИЧЕННОЙ ОТВЕТСТВЕННОСТЬЮ "ТЕХСОБЕТОН"</t>
  </si>
  <si>
    <t xml:space="preserve"> "ТЕХСОБЕТОН"</t>
  </si>
  <si>
    <t>7751150997</t>
  </si>
  <si>
    <t>109316, МОСКВА Г., УЛ. ТАЛАЛИХИНА, Д. 41, СТР. 9, ЭТАЖ 6 ОФИС 21</t>
  </si>
  <si>
    <t>Севастьянов Дионисий Михайлович</t>
  </si>
  <si>
    <t>55.476107,37.316304</t>
  </si>
  <si>
    <t>ОБЩЕСТВО С ОГРАНИЧЕННОЙ ОТВЕТСТВЕННОСТЬЮ "99БЕТОН.РУ"</t>
  </si>
  <si>
    <t xml:space="preserve"> "99БЕТОН.РУ"</t>
  </si>
  <si>
    <t>7751161195</t>
  </si>
  <si>
    <t>108841, МОСКВА Г, ТРОИЦК Г, КАЛУЖСКОЕ Ш, ДОМ 13А, МАНСАРДА КОМН. № 35</t>
  </si>
  <si>
    <t>Эктов Сергей Викторович</t>
  </si>
  <si>
    <t>55.48502,37.496839</t>
  </si>
  <si>
    <t>ОБЩЕСТВО С ОГРАНИЧЕННОЙ ОТВЕТСТВЕННОСТЬЮ "СТРОЙМОНОЛИТ+"</t>
  </si>
  <si>
    <t xml:space="preserve"> "СТРОЙМОНОЛИТ+"</t>
  </si>
  <si>
    <t>7751168916</t>
  </si>
  <si>
    <t>108824, МОСКВА Г., П. Рязановское, П. Фабрики им 1 Мая, Д. 52А, КОМ. 1</t>
  </si>
  <si>
    <t>Антонов Алексей Анатольевич</t>
  </si>
  <si>
    <t>55.549933,37.321533</t>
  </si>
  <si>
    <t>ОБЩЕСТВО С ОГРАНИЧЕННОЙ ОТВЕТСТВЕННОСТЬЮ "БЕТОННЫЙ ЗАВОД КУБ"</t>
  </si>
  <si>
    <t xml:space="preserve"> "БЕТОННЫЙ ЗАВОД КУБ"</t>
  </si>
  <si>
    <t>7751174846</t>
  </si>
  <si>
    <t>108815, МОСКВА ГОРОД, ФИЛИМОНКОВСКОЕ ПОСЕЛЕНИЕ, ПОСЕЛОК МАРЬИНО, ДОМ 31,..</t>
  </si>
  <si>
    <t>Родовниченко Семен Юрьевич</t>
  </si>
  <si>
    <t>55.522597,37.450459</t>
  </si>
  <si>
    <t>ОБЩЕСТВО С ОГРАНИЧЕННОЙ ОТВЕТСТВЕННОСТЬЮ "КРЕПОСТЬ-БЕТОН"</t>
  </si>
  <si>
    <t xml:space="preserve"> "КРЕПОСТЬ-БЕТОН"</t>
  </si>
  <si>
    <t>7751205692</t>
  </si>
  <si>
    <t>108803, МОСКВА Г., П. Воскресенское, П. Воскресенское, Д. 59, ЭТАЖ 2 ПОМЕЩ. 38</t>
  </si>
  <si>
    <t>Князев Алексей Владимирович</t>
  </si>
  <si>
    <t>55.617571,37.42677</t>
  </si>
  <si>
    <t>ОБЩЕСТВО С ОГРАНИЧЕННОЙ ОТВЕТСТВЕННОСТЬЮ "БЕТОНАКТИВ+"</t>
  </si>
  <si>
    <t xml:space="preserve"> "БЕТОНАКТИВ+"</t>
  </si>
  <si>
    <t>7751213044</t>
  </si>
  <si>
    <t>108811, Г.Москва, ПОСЕЛЕНИЕ МОСКОВСКИЙ, Д САЛАРЬЕВО, УЛ ПЕРЕДЕЛЬЦЕВСКАЯ, Д. 35,СТР. 1</t>
  </si>
  <si>
    <t>Балалаева Надежда Ивановна</t>
  </si>
  <si>
    <t>55.549658,37.499273</t>
  </si>
  <si>
    <t>ОБЩЕСТВО С ОГРАНИЧЕННОЙ ОТВЕТСТВЕННОСТЬЮ "МОНОЛИТ КОМПЛЕКТ РЕСУРС"</t>
  </si>
  <si>
    <t xml:space="preserve"> "МОНОЛИТ КОМПЛЕКТ РЕСУРС"</t>
  </si>
  <si>
    <t>7751215098</t>
  </si>
  <si>
    <t>108801, Г.Москва, ПОСЕЛЕНИЕ СОСЕНСКОЕ, П КОММУНАРКА, УЛ ПОТАПОВСКАЯ РОЩА, Д. 12, К. 2, РАБ. УЧ. 3</t>
  </si>
  <si>
    <t>Богомаз Роман Павлович</t>
  </si>
  <si>
    <t>MKRBETON@MAIL.RU'</t>
  </si>
  <si>
    <t>59.812704,30.167161</t>
  </si>
  <si>
    <t>ОБЩЕСТВО С ОГРАНИЧЕННОЙ ОТВЕТСТВЕННОСТЬЮ "КОНКРИТ ЭКСПРЕСС"</t>
  </si>
  <si>
    <t xml:space="preserve"> "КОНКРИТ ЭКСПРЕСС"</t>
  </si>
  <si>
    <t>7801633311</t>
  </si>
  <si>
    <t>198205, САНКТ-ПЕТЕРБУРГ ГОРОД, Ш. ТАЛЛИНСКОЕ (СТАРО-ПАНОВО ТЕР.), Д. 153, К. 1 ЛИТЕР Б, ПОМЕЩ. 21</t>
  </si>
  <si>
    <t>Проскурина Мария Владимировна</t>
  </si>
  <si>
    <t>+7 (812) 275-66-47', '+7 (812) 449-27-75'</t>
  </si>
  <si>
    <t>59.969632,30.343743</t>
  </si>
  <si>
    <t>ОБЩЕСТВО С ОГРАНИЧЕННОЙ ОТВЕТСТВЕННОСТЬЮ "ДЕВИЗ"</t>
  </si>
  <si>
    <t xml:space="preserve"> "ДЕВИЗ"</t>
  </si>
  <si>
    <t>7802314974</t>
  </si>
  <si>
    <t>http://stkdeviz.ru</t>
  </si>
  <si>
    <t>194044, САНКТ-ПЕТЕРБУРГ ГОРОД, район Выборгский, УЛИЦА ГРЕНАДЕРСКАЯ, 10 ЛИТЕР А</t>
  </si>
  <si>
    <t>Кику Анна Анатольевна</t>
  </si>
  <si>
    <t>+7 (812) 321-65-91', '+7 (812) 702-48-38', '+7 (812) 321-65-91', '+7 (812) 702-48-30'</t>
  </si>
  <si>
    <t>60.033252,30.437689</t>
  </si>
  <si>
    <t>ОБЩЕСТВО С ОГРАНИЧЕННОЙ ОТВЕТСТВЕННОСТЬЮ "ГК ДЕВИЗ"</t>
  </si>
  <si>
    <t xml:space="preserve"> "ГК ДЕВИЗ"</t>
  </si>
  <si>
    <t>7802375952</t>
  </si>
  <si>
    <t>195299, САНКТ-ПЕТЕРБУРГ ГОРОД, СТАНЦИЯ МУРИНО, ДОМ 7, ЛИТЕР А, ПОМЕЩЕНИЕ 10</t>
  </si>
  <si>
    <t>Фадеев Иван Валентинович</t>
  </si>
  <si>
    <t>+7 (812) 321-65-91'</t>
  </si>
  <si>
    <t>60.059616,30.36258</t>
  </si>
  <si>
    <t>ОБЩЕСТВО С ОГРАНИЧЕННОЙ ОТВЕТСТВЕННОСТЬЮ "ПРОИЗВОДСТВЕННОЕ ОБЪЕДИНЕНИЕ "АЛЬЯНС-ГРУПП"</t>
  </si>
  <si>
    <t xml:space="preserve"> "ПРОИЗВОДСТВЕННОЕ ОБЪЕДИНЕНИЕ "АЛЬЯНС-ГРУПП"</t>
  </si>
  <si>
    <t>7802396046</t>
  </si>
  <si>
    <t>194292, САНКТ-ПЕТЕРБУРГ ГОРОД, УЛИЦА ДОМОСТРОИТЕЛЬНАЯ, ДОМ 4, ЛИТЕР А, ОФИС 311</t>
  </si>
  <si>
    <t>Щербаков Даниил Романович</t>
  </si>
  <si>
    <t>+7 (812) 295-03-65'</t>
  </si>
  <si>
    <t>59.760475,30.607057</t>
  </si>
  <si>
    <t>ОБЩЕСТВО С ОГРАНИЧЕННОЙ ОТВЕТСТВЕННОСТЬЮ "ГРУППА КОМПАНИЙ "МОНОЛИТ-ПАРНАС"</t>
  </si>
  <si>
    <t xml:space="preserve"> "ГРУППА КОМПАНИЙ "МОНОЛИТ-ПАРНАС"</t>
  </si>
  <si>
    <t>7802578060</t>
  </si>
  <si>
    <t>196655, Г.Санкт-Петербург, внутригородская территория города федерального значения ГОРОД КОЛПИНО, Город КОЛПИНО, УЛ СЕВАСТЬЯНОВА, Д. 20А, ЛИТЕРА А, ОФИС 206</t>
  </si>
  <si>
    <t>59.987717,30.333493</t>
  </si>
  <si>
    <t>ОБЩЕСТВО С ОГРАНИЧЕННОЙ ОТВЕТСТВЕННОСТЬЮ "МОСТЭНЕРГО"</t>
  </si>
  <si>
    <t xml:space="preserve"> "МОСТЭНЕРГО"</t>
  </si>
  <si>
    <t>7802611896</t>
  </si>
  <si>
    <t>194100, САНКТ-ПЕТЕРБУРГ ГОРОД, ПР-КТ БОЛЬШОЙ САМПСОНИЕВСКИЙ, Д. 92, ЛИТЕР А, ПОМЕЩ. 11-Н, ОФИС 7</t>
  </si>
  <si>
    <t>Демин Антон Михайлович</t>
  </si>
  <si>
    <t>consalt@yandex.ru'</t>
  </si>
  <si>
    <t>ОБЩЕСТВО С ОГРАНИЧЕННОЙ ОТВЕТСТВЕННОСТЬЮ "ИЛСИКОН"</t>
  </si>
  <si>
    <t xml:space="preserve"> "ИЛСИКОН"</t>
  </si>
  <si>
    <t>7802693578</t>
  </si>
  <si>
    <t>197375, САНКТ-ПЕТЕРБУРГ ГОРОД, УЛИЦА МАРШАЛА НОВИКОВА, ДОМ 41, КОРПУС 1 ЛИТЕР А, ОФИС 25/О</t>
  </si>
  <si>
    <t>Иванов Игорь Геннадьевич</t>
  </si>
  <si>
    <t>60.062863,30.375894</t>
  </si>
  <si>
    <t>ОБЩЕСТВО С ОГРАНИЧЕННОЙ ОТВЕТСТВЕННОСТЬЮ "МОНОЛИТ-ПАРНАС"</t>
  </si>
  <si>
    <t xml:space="preserve"> "МОНОЛИТ-ПАРНАС"</t>
  </si>
  <si>
    <t>7802706717</t>
  </si>
  <si>
    <t>194292, САНКТ-ПЕТЕРБУРГ ГОРОД, ПЕР. 2-Й ВЕРХНИЙ, Д. 6, К. 1 ЛИТЕР Д, ПОМЕЩ. 1-Н КАБ. №2</t>
  </si>
  <si>
    <t>Серянкин Алексей Владимирович</t>
  </si>
  <si>
    <t>60.06474,30.380214</t>
  </si>
  <si>
    <t>ОБЩЕСТВО С ОГРАНИЧЕННОЙ ОТВЕТСТВЕННОСТЬЮ "ВАВИЛОН КОНКРИТ"</t>
  </si>
  <si>
    <t xml:space="preserve"> "ВАВИЛОН КОНКРИТ"</t>
  </si>
  <si>
    <t>7802925765</t>
  </si>
  <si>
    <t>194292, Г.Санкт-Петербург, МУНИЦИПАЛЬНЫЙ ОКРУГ № 15, ПЕР 1-Й ВЕРХНИЙ, Д. 12,ЛИТЕРА А, КОМ. 410</t>
  </si>
  <si>
    <t>Никифоров Игорь Вячеславович</t>
  </si>
  <si>
    <t>CONCRETE@BK.RU'</t>
  </si>
  <si>
    <t>59.970335,30.341551</t>
  </si>
  <si>
    <t>ОБЩЕСТВО С ОГРАНИЧЕННОЙ ОТВЕТСТВЕННОСТЬЮ "ЖБИ ТУФ"</t>
  </si>
  <si>
    <t xml:space="preserve"> "ЖБИ ТУФ"</t>
  </si>
  <si>
    <t>7802927240</t>
  </si>
  <si>
    <t>194044, Г.Санкт-Петербург, МУНИЦИПАЛЬНЫЙ ОКРУГ САМПСОНИЕВСКОЕ, ПР-КТ БОЛЬШОЙ САМПСОНИЕВСКИЙ, Д. 47,ЛИТЕРА А, ОФИС 7-1</t>
  </si>
  <si>
    <t>Ворсов Роберт Наилевич</t>
  </si>
  <si>
    <t>SALE@BETONMASTER.SU'</t>
  </si>
  <si>
    <t>59.969731,30.371671</t>
  </si>
  <si>
    <t>ОБЩЕСТВО С ОГРАНИЧЕННОЙ ОТВЕТСТВЕННОСТЬЮ "НОРД МИКС"</t>
  </si>
  <si>
    <t xml:space="preserve"> "НОРД МИКС"</t>
  </si>
  <si>
    <t>7804319470</t>
  </si>
  <si>
    <t>195197, САНКТ-ПЕТЕРБУРГ ГОРОД, УЛИЦА ЖУКОВА, ДОМ 26, ЛИТЕР Ж</t>
  </si>
  <si>
    <t>Буч Михаил Иосифович</t>
  </si>
  <si>
    <t>+7 (812) 232-53-58'</t>
  </si>
  <si>
    <t>60.037072,30.401298</t>
  </si>
  <si>
    <t>ОБЩЕСТВО С ОГРАНИЧЕННОЙ ОТВЕТСТВЕННОСТЬЮ  "ГРОМОВСКИЙ БЕТОН"</t>
  </si>
  <si>
    <t xml:space="preserve">  "ГРОМОВСКИЙ БЕТОН"</t>
  </si>
  <si>
    <t>7804361666</t>
  </si>
  <si>
    <t>195269, САНКТ-ПЕТЕРБУРГ ГОРОД, УЛ. БРЯНЦЕВА, Д.14</t>
  </si>
  <si>
    <t>Киселев Владимир Юрьевич</t>
  </si>
  <si>
    <t>+7 (812) 941-58-00', '+7 (911) 214-29-02'</t>
  </si>
  <si>
    <t>grombeton@yandex.ru'</t>
  </si>
  <si>
    <t>59.966511,30.375022</t>
  </si>
  <si>
    <t>ОБЩЕСТВО С ОГРАНИЧЕННОЙ ОТВЕТСТВЕННОСТЬЮ "НЕВАСТРОЙТОРГ"</t>
  </si>
  <si>
    <t xml:space="preserve"> "НЕВАСТРОЙТОРГ"</t>
  </si>
  <si>
    <t>7804568533</t>
  </si>
  <si>
    <t>195197, САНКТ-ПЕТЕРБУРГ ГОРОД, УЛ. МИНЕРАЛЬНАЯ, Д. 13, ЛИТЕР А, ПОМЕЩ. 10Н</t>
  </si>
  <si>
    <t>Перкун Евгений Александрович</t>
  </si>
  <si>
    <t>niksestr@mail.ru'</t>
  </si>
  <si>
    <t>59.994171,30.431868</t>
  </si>
  <si>
    <t>ОБЩЕСТВО С ОГРАНИЧЕННОЙ ОТВЕТСТВЕННОСТЬЮ "СК-СТРОЙКОМ"</t>
  </si>
  <si>
    <t xml:space="preserve"> "СК-СТРОЙКОМ"</t>
  </si>
  <si>
    <t>7804616917</t>
  </si>
  <si>
    <t>195273, САНКТ-ПЕТЕРБУРГ ГОРОД, ПРОСПЕКТ НЕПОКОРЁННЫХ, ДОМ 74, ЛИТЕР А, ПОМЕЩЕНИЕ 71Н ОФИС 1Б</t>
  </si>
  <si>
    <t>Мухина Анна Сергеевна</t>
  </si>
  <si>
    <t>59.964629,30.375238</t>
  </si>
  <si>
    <t>ОБЩЕСТВО С ОГРАНИЧЕННОЙ ОТВЕТСТВЕННОСТЬЮ "МИСТРАЛЬ"</t>
  </si>
  <si>
    <t xml:space="preserve"> "МИСТРАЛЬ"</t>
  </si>
  <si>
    <t>7804638420</t>
  </si>
  <si>
    <t>195009, САНКТ-ПЕТЕРБУРГ ГОРОД, УЛИЦА ВАТУТИНА, ДОМ 19, ЛИТЕР А, ПОМЕЩЕНИЕ 6-Н, ОФИС 312</t>
  </si>
  <si>
    <t>Тотмакова Инна Станиславовна</t>
  </si>
  <si>
    <t>+7 (921) 484-21-48'</t>
  </si>
  <si>
    <t>ist_77@mail.ru'</t>
  </si>
  <si>
    <t>59.970992,30.364126</t>
  </si>
  <si>
    <t>ОБЩЕСТВО С ОГРАНИЧЕННОЙ ОТВЕТСТВЕННОСТЬЮ "НОРД МИКС 20/20"</t>
  </si>
  <si>
    <t xml:space="preserve"> "НОРД МИКС 20/20"</t>
  </si>
  <si>
    <t>7804671883</t>
  </si>
  <si>
    <t>194044, САНКТ-ПЕТЕРБУРГ ГОРОД, УЛИЦА ЧУГУННАЯ, ДОМ 20, ЛИТЕР З, ОФИС 413</t>
  </si>
  <si>
    <t>59.829568,30.364197</t>
  </si>
  <si>
    <t>ОБЩЕСТВО С ОГРАНИЧЕННОЙ ОТВЕТСТВЕННОСТЬЮ " БЕТОН "</t>
  </si>
  <si>
    <t xml:space="preserve"> " БЕТОН "</t>
  </si>
  <si>
    <t>7805208678</t>
  </si>
  <si>
    <t>Г САНКТ-ПЕТЕРБУРГ,ПРОСП КОСМОНАВТОВ, 104</t>
  </si>
  <si>
    <t>Сикорский Дмитрий Владимирович</t>
  </si>
  <si>
    <t>+7 (812) 382-51-58', '+7 (812) 448-59-92', '+7 (812) 336-68-81', '+7 (812) 309-59-90', '+7 (812) 382-67-67', '+7 (812) 336-68-81', '+7 (812) 336-68-82'</t>
  </si>
  <si>
    <t>59.851842,30.137993</t>
  </si>
  <si>
    <t>ОБЩЕСТВО С ОГРАНИЧЕННОЙ ОТВЕТСТВЕННОСТЬЮ "БЕТОНЭКСПРЕСССПБ"</t>
  </si>
  <si>
    <t xml:space="preserve"> "БЕТОНЭКСПРЕСССПБ"</t>
  </si>
  <si>
    <t>7805305181</t>
  </si>
  <si>
    <t>198206, САНКТ-ПЕТЕРБУРГ ГОРОД, УЛИЦА АДМИРАЛА ЧЕРОКОВА, ДОМ 20, ЛЕТЕР А, ПОМЕЩЕНИЕ 449-Н, ОФИС №1</t>
  </si>
  <si>
    <t>Шиканов Андрей Сергеевич</t>
  </si>
  <si>
    <t>+7 (812) 235-99-58'</t>
  </si>
  <si>
    <t>Общество с ограниченной ответственностью "Конгломерат"</t>
  </si>
  <si>
    <t xml:space="preserve"> "Конгломерат"</t>
  </si>
  <si>
    <t>7805362341</t>
  </si>
  <si>
    <t>198188, САНКТ-ПЕТЕРБУРГ ГОРОД, УЛИЦА ВАСИ АЛЕКСЕЕВА, ДОМ 10,..</t>
  </si>
  <si>
    <t>+7 (812) 973-83-72', '+7 (812) 579-23-38', '+7 (812) 973-83-72', '+7 (812) 448-77-11'</t>
  </si>
  <si>
    <t>59.835455,30.213721</t>
  </si>
  <si>
    <t>ОБЩЕСТВО С ОГРАНИЧЕННОЙ ОТВЕТСТВЕННОСТЬЮ "БетонЭкспресс"</t>
  </si>
  <si>
    <t xml:space="preserve"> "БетонЭкспресс"</t>
  </si>
  <si>
    <t>7805543845</t>
  </si>
  <si>
    <t>198260, САНКТ-ПЕТЕРБУРГ ГОРОД, УЛ. БУРЦЕВА, Д. 23, ЛИТЕР А, ПОМЕЩ. №7</t>
  </si>
  <si>
    <t>Мошков Дмитрий Васильевич</t>
  </si>
  <si>
    <t>+7 (812) 686-33-13'</t>
  </si>
  <si>
    <t>ОБЩЕСТВО С ОГРАНИЧЕННОЙ ОТВЕТСТВЕННОСТЬЮ "ПРОИЗВОДСТВЕННАЯ КОМПАНИЯ "ПрофБетон"</t>
  </si>
  <si>
    <t xml:space="preserve"> "ПРОИЗВОДСТВЕННАЯ КОМПАНИЯ "ПрофБетон"</t>
  </si>
  <si>
    <t>7805599936</t>
  </si>
  <si>
    <t>198152, САНКТ-ПЕТЕРБУРГ ГОРОД, УЛ. КРАСНОПУТИЛОВСКАЯ, Д. 69, ЛИТЕР А, ПОМЕЩ. 35-Н ОФИС 739В</t>
  </si>
  <si>
    <t>+7 (812) 612-29-80', '+7 (812) 676-55-12'</t>
  </si>
  <si>
    <t>bux2@ms-cement'</t>
  </si>
  <si>
    <t>59.790032,30.08333</t>
  </si>
  <si>
    <t>ОБЩЕСТВО С ОГРАНИЧЕННОЙ ОТВЕТСТВЕННОСТЬЮ "ГК "СОЮЗ"</t>
  </si>
  <si>
    <t xml:space="preserve"> "ГК "СОЮЗ"</t>
  </si>
  <si>
    <t>7805723333</t>
  </si>
  <si>
    <t>188505, ЛЕНИНГРАДСКАЯ ОБЛАСТЬ, Р-Н ЛОМОНОСОВСКИЙ, Ш. КРАСНОСЕЛЬСКОЕ (ПРОМЫШЛЕННАЯ ЗОНА ПЕСКИ, СТР. 2, ПОМЕЩ. 4-Н ОФИС 202</t>
  </si>
  <si>
    <t>Маханько Юрий Юрьевич</t>
  </si>
  <si>
    <t>3314585@mail.ru'</t>
  </si>
  <si>
    <t>59.868139,30.251836</t>
  </si>
  <si>
    <t>ОБЩЕСТВО С ОГРАНИЧЕННОЙ ОТВЕТСТВЕННОСТЬЮ "МАВИС-БЕТОН"</t>
  </si>
  <si>
    <t xml:space="preserve"> "МАВИС-БЕТОН"</t>
  </si>
  <si>
    <t>7805773609</t>
  </si>
  <si>
    <t>198096, САНКТ-ПЕТЕРБУРГ Г., ДОР. НА ТУРУХТАННЫЕ ОСТРОВА, Д. 6, СТР. 5, ПОМЕЩ. 1-Н, ЧАСТЬ 41</t>
  </si>
  <si>
    <t>Прокопченко Андрей Сергеевич</t>
  </si>
  <si>
    <t>ОБЩЕСТВО С ОГРАНИЧЕННОЙ ОТВЕТСТВЕННОСТЬЮ "НЕВСКАЯ ПРОИЗВОДСТВЕННАЯ КОМПАНИЯ"</t>
  </si>
  <si>
    <t xml:space="preserve"> "НЕВСКАЯ ПРОИЗВОДСТВЕННАЯ КОМПАНИЯ"</t>
  </si>
  <si>
    <t>7805791510</t>
  </si>
  <si>
    <t>198095, Г.Санкт-Петербург, внутригородская территория города федерального значения МУНИЦИПАЛЬНЫЙ ОКРУГ НАРВСКИЙ ОКРУГ, УЛ МАРШАЛА ГОВОРОВА, Д. 35, ЛИТЕРА А, ПОМЕЩ. 16-Н, ОФИС 203</t>
  </si>
  <si>
    <t>Полоскова Екатерина Сергеевна</t>
  </si>
  <si>
    <t>59.837797,30.156687</t>
  </si>
  <si>
    <t>ОБЩЕСТВО С ОГРАНИЧЕННОЙ ОТВЕТСТВЕННОСТЬЮ "БЕТОННЫЙ ЗАВОД СОРЖА"</t>
  </si>
  <si>
    <t xml:space="preserve"> "БЕТОННЫЙ ЗАВОД СОРЖА"</t>
  </si>
  <si>
    <t>7806161479</t>
  </si>
  <si>
    <t>198264, САНКТ-ПЕТЕРБУРГ Г., УЛ. ТАМБАСОВА, Д. 7, СТР. 1, ПОМЕЩ. 5-Н ОФИС 1</t>
  </si>
  <si>
    <t>Мартыненко Дмитрий Георгиевич</t>
  </si>
  <si>
    <t>+7 (812) 278-95-88', '+7 (812) 404-54-99'</t>
  </si>
  <si>
    <t>59.894563,30.373297</t>
  </si>
  <si>
    <t>ОБЩЕСТВО С ОГРАНИЧЕННОЙ ОТВЕТСТВЕННОСТЬЮ  "БЕТОНСПЕЦСТРОЙ"</t>
  </si>
  <si>
    <t xml:space="preserve">  "БЕТОНСПЕЦСТРОЙ"</t>
  </si>
  <si>
    <t>7806218654</t>
  </si>
  <si>
    <t>192102, САНКТ-ПЕТЕРБУРГ ГОРОД, УЛИЦА САЛОВА, ДОМ 27, ЛИТЕР В1, ОФИС №15</t>
  </si>
  <si>
    <t>Лубенец (Елистратова) Оксана Викторовна</t>
  </si>
  <si>
    <t>59.985057,30.512509</t>
  </si>
  <si>
    <t>ОБЩЕСТВО С ОГРАНИЧЕННОЙ ОТВЕТСТВЕННОСТЬЮ "РБУ "ТРЕСТ"</t>
  </si>
  <si>
    <t xml:space="preserve"> "РБУ "ТРЕСТ"</t>
  </si>
  <si>
    <t>7806244950</t>
  </si>
  <si>
    <t>195043, САНКТ-ПЕТЕРБУРГ ГОРОД, ШОССЕ РЯБОВСКОЕ, ДОМ 120, ЛИТЕРА А, ОФИС 402</t>
  </si>
  <si>
    <t>Кузьмин Роман Михайлович</t>
  </si>
  <si>
    <t>+7 (812) 363-19-14'</t>
  </si>
  <si>
    <t>59.940028,30.407092</t>
  </si>
  <si>
    <t>ОБЩЕСТВО С ОГРАНИЧЕННОЙ ОТВЕТСТВЕННОСТЬЮ "ПЕТЕРБУРГСКИЙ БЕТОННЫЙ ДОМ"</t>
  </si>
  <si>
    <t xml:space="preserve"> "ПЕТЕРБУРГСКИЙ БЕТОННЫЙ ДОМ"</t>
  </si>
  <si>
    <t>7806265830</t>
  </si>
  <si>
    <t>195112, САНКТ-ПЕТЕРБУРГ ГОРОД, ПРОСПЕКТ НОВОЧЕРКАССКИЙ, ДОМ 1, ЛИТЕР Ж, ПОМЕЩЕНИЕ 3-Н КОМНАТА 155</t>
  </si>
  <si>
    <t>Пантелеев Андрей Сергеевич</t>
  </si>
  <si>
    <t>+7 (812) 740-77-53'</t>
  </si>
  <si>
    <t>gurzhieva@outlook.com'</t>
  </si>
  <si>
    <t>59.968966,30.489324</t>
  </si>
  <si>
    <t>ОБЩЕСТВО С ОГРАНИЧЕННОЙ ОТВЕТСТВЕННОСТЬЮ  "РЕНСТРОЙДЕТАЛЬ"</t>
  </si>
  <si>
    <t xml:space="preserve">  "РЕНСТРОЙДЕТАЛЬ"</t>
  </si>
  <si>
    <t>7806326138</t>
  </si>
  <si>
    <t>195030, САНКТ-ПЕТЕРБУРГ ГОРОД, УЛИЦА КОММУНЫ, 67, ЛИТЕР АП</t>
  </si>
  <si>
    <t>Эге Нешет</t>
  </si>
  <si>
    <t>+7 (812) 740-63-70', '+7 (812) 740-63-71', '+7 (812) 740-63-70'</t>
  </si>
  <si>
    <t>59.906481,30.381185</t>
  </si>
  <si>
    <t>ОБЩЕСТВО С ОГРАНИЧЕННОЙ ОТВЕТСТВЕННОСТЬЮ "АДАМАНТ СПБ"</t>
  </si>
  <si>
    <t xml:space="preserve"> "АДАМАНТ СПБ"</t>
  </si>
  <si>
    <t>7806531377</t>
  </si>
  <si>
    <t>192019, САНКТ-ПЕТЕРБУРГ ГОРОД, Ш. ГЛУХООЗЁРСКОЕ, Д. 12, ЛИТЕР А, ПОМЕЩ. 8-Н, ОФ.20</t>
  </si>
  <si>
    <t>Мачнев Андрей Николаевич</t>
  </si>
  <si>
    <t>+7 (812) 412-67-90'</t>
  </si>
  <si>
    <t>59.947563,30.413479</t>
  </si>
  <si>
    <t>ОБЩЕСТВО С ОГРАНИЧЕННОЙ ОТВЕТСТВЕННОСТЬЮ "ОЛИМПИК"</t>
  </si>
  <si>
    <t xml:space="preserve"> "ОЛИМПИК"</t>
  </si>
  <si>
    <t>7806536199</t>
  </si>
  <si>
    <t>195027, САНКТ-ПЕТЕРБУРГ ГОРОД, УЛ. МОЛДАГУЛОВОЙ, Д. 7/6,..</t>
  </si>
  <si>
    <t>+7 (812) 594-87-53', '+7 (911) 923-47-33', '+7 (931) 971-28-21'</t>
  </si>
  <si>
    <t>59.961579,30.463641</t>
  </si>
  <si>
    <t>ОБЩЕСТВО С ОГРАНИЧЕННОЙ ОТВЕТСТВЕННОСТЬЮ "ДВК БЕТОН СПБ"</t>
  </si>
  <si>
    <t xml:space="preserve"> "ДВК БЕТОН СПБ"</t>
  </si>
  <si>
    <t>7806555071</t>
  </si>
  <si>
    <t>195279, САНКТ-ПЕТЕРБУРГ ГОРОД, ШОССЕ РЕВОЛЮЦИИ, ДОМ 69, ЛИТЕР В, ПОМЕЩЕНИЕ 10Н ОФ 10</t>
  </si>
  <si>
    <t>Коновалова Елена Юрьевна</t>
  </si>
  <si>
    <t>dvkbeton@mail.ru'</t>
  </si>
  <si>
    <t>59.834831,30.338101</t>
  </si>
  <si>
    <t xml:space="preserve"> "ЛБК"</t>
  </si>
  <si>
    <t>7806562230</t>
  </si>
  <si>
    <t>196158, Г.Санкт-Петербург, внутригородская территория города федерального значения МУНИЦИПАЛЬНЫЙ ОКРУГ ЗВЕЗДНОЕ, Ш МОСКОВСКОЕ, Д. 16, К. 1, ЛИТЕРА А,..</t>
  </si>
  <si>
    <t>Насыров Дмитрий Амирович</t>
  </si>
  <si>
    <t>"ГРУППА КОМПАНИЙ "МОНОЛИТ"</t>
  </si>
  <si>
    <t>7806565111</t>
  </si>
  <si>
    <t>101000, Г.Москва, внутригородская территория города федерального значения МУНИЦИПАЛЬНЫЙ ОКРУГ КРАСНОСЕЛЬСКИЙ, ПЕР УЛАНСКИЙ, Д. 22, СТР. 1, КОМ./ОФИС 83/28</t>
  </si>
  <si>
    <t>Константинов Игорь Владимирович</t>
  </si>
  <si>
    <t>59.720018,29.852571</t>
  </si>
  <si>
    <t>ОБЩЕСТВО С ОГРАНИЧЕННОЙ ОТВЕТСТВЕННОСТЬЮ "ДЕЛЬТА БЕТОН"</t>
  </si>
  <si>
    <t xml:space="preserve"> "ДЕЛЬТА БЕТОН"</t>
  </si>
  <si>
    <t>7807065457</t>
  </si>
  <si>
    <t>188514, ЛЕНИНГРАДСКАЯ ОБЛАСТЬ, Р-Н ЛОМОНОСОВСКИЙ, П РОПША, Ш. СТРЕЛЬНИНСКОЕ, Д. 2/1, ОФИС 1</t>
  </si>
  <si>
    <t>Зубачев Павел Васильевич</t>
  </si>
  <si>
    <t>+7 (921) 366-70-46'</t>
  </si>
  <si>
    <t>59.825049,30.327555</t>
  </si>
  <si>
    <t>ОБЩЕСТВО С ОГРАНИЧЕННОЙ ОТВЕТСТВЕННОСТЬЮ "БЕТОСТРОЙ"</t>
  </si>
  <si>
    <t xml:space="preserve"> "БЕТОСТРОЙ"</t>
  </si>
  <si>
    <t>7807225830</t>
  </si>
  <si>
    <t>196158, САНКТ-ПЕТЕРБУРГ ГОРОД, ШОССЕ ПУЛКОВСКОЕ, ДОМ 30, КОРПУС 4 ЛИТЕР А, ПОМЕЩЕНИЕ №309 РАБОЧЕЕ МЕСТО №1</t>
  </si>
  <si>
    <t>Якушкин Александр Васильевич</t>
  </si>
  <si>
    <t>59.614741,30.171257</t>
  </si>
  <si>
    <t>ОБЩЕСТВО С ОГРАНИЧЕННОЙ ОТВЕТСТВЕННОСТЬЮ "СОЮЗ-МОНОЛИТ"</t>
  </si>
  <si>
    <t xml:space="preserve"> "СОЮЗ-МОНОЛИТ"</t>
  </si>
  <si>
    <t>7807227980</t>
  </si>
  <si>
    <t>188354, ЛЕНИНГРАДСКАЯ ОБЛАСТЬ, РАЙОН ГАТЧИНСКИЙ, ДЕРЕВНЯ МАЛОЕ ВЕРЕВО, УЛИЦА СОВХОЗНАЯ, ДОМ 65,..</t>
  </si>
  <si>
    <t>Бояркин Павел Александрович</t>
  </si>
  <si>
    <t>59.818649,30.35887</t>
  </si>
  <si>
    <t xml:space="preserve"> "ГАРАНТ СТРОЙ"</t>
  </si>
  <si>
    <t>7810369864</t>
  </si>
  <si>
    <t>196158, САНКТ-ПЕТЕРБУРГ ГОРОД, ШОССЕ МОСКОВСКОЕ, ДОМ 23А, ЛИТЕР А, ОФИС 5</t>
  </si>
  <si>
    <t>Бабелюх Николай Николаевич</t>
  </si>
  <si>
    <t>+7 (812) 594-36-58', '+7 (921) 785-05-42', '+7 (921) 906-07-81'</t>
  </si>
  <si>
    <t>59.850992,30.308268</t>
  </si>
  <si>
    <t>ОБЩЕСТВО С ОГРАНИЧЕННОЙ ОТВЕТСТВЕННОСТЬЮ "ЛИДЕР БЕТОН"</t>
  </si>
  <si>
    <t xml:space="preserve"> "ЛИДЕР БЕТОН"</t>
  </si>
  <si>
    <t>7810590343</t>
  </si>
  <si>
    <t>196191, САНКТ-ПЕТЕРБУРГ ГОРОД, КОНСТИТУЦИИ ПЛ, ДОМ 7, ЛИТЕР А, ПОМЕЩЕНИЕ 18Н ОФ. 707 ЧАСТЬ №1</t>
  </si>
  <si>
    <t>Давидянц Левон Георгиевич</t>
  </si>
  <si>
    <t>+7 (812) 335-03-35'</t>
  </si>
  <si>
    <t>59.994252,30.387859</t>
  </si>
  <si>
    <t>ОБЩЕСТВО С ОГРАНИЧЕННОЙ ОТВЕТСТВЕННОСТЬЮ "ПО ЛБЗ"</t>
  </si>
  <si>
    <t xml:space="preserve"> "ПО ЛБЗ"</t>
  </si>
  <si>
    <t>7810712369</t>
  </si>
  <si>
    <t>195220, Г.Санкт-Петербург, внутригородская территория города федерального значения МУНИЦИПАЛЬНЫЙ ОКРУГ ПИСКАРЕВКА, ПР-КТ НЕПОКОРЁННЫХ, Д. 49, ЛИТЕРА А, ОФИС 521А, Р/М №1, ПОМЕЩ. 30Н</t>
  </si>
  <si>
    <t>Зайцев Павел Алексеевич</t>
  </si>
  <si>
    <t>+7 (953) 176-68-67'</t>
  </si>
  <si>
    <t>59.883643,30.338955</t>
  </si>
  <si>
    <t>ОБЩЕСТВО С ОГРАНИЧЕННОЙ ОТВЕТСТВЕННОСТЬЮ "М3"</t>
  </si>
  <si>
    <t xml:space="preserve"> "М3"</t>
  </si>
  <si>
    <t>7810738751</t>
  </si>
  <si>
    <t>196105, САНКТ-ПЕТЕРБУРГ ГОРОД, ПР-КТ ЛЮБОТИНСКИЙ, Д. 2-4, ЛИТЕР Б, ПОМ/ОФИС 2-Н/2Б</t>
  </si>
  <si>
    <t>Волков Эльдар Вадимович</t>
  </si>
  <si>
    <t>59.938257,30.444192</t>
  </si>
  <si>
    <t>ОБЩЕСТВО С ОГРАНИЧЕННОЙ ОТВЕТСТВЕННОСТЬЮ ЗАВОД БЕТОННЫХ ИЗДЕЛИЙ "ПАНТЕОН"</t>
  </si>
  <si>
    <t xml:space="preserve"> ЗАВОД БЕТОННЫХ ИЗДЕЛИЙ "ПАНТЕОН"</t>
  </si>
  <si>
    <t>7810746135</t>
  </si>
  <si>
    <t>195112, САНКТ-ПЕТЕРБУРГ ГОРОД, ПР-КТ УТКИН, Д. 15, ЛИТЕР Е, ПОМЕЩ. 16-Н ОФИС 47</t>
  </si>
  <si>
    <t>Мясникова Анастасия Сергеевна</t>
  </si>
  <si>
    <t>59.819639,30.358322</t>
  </si>
  <si>
    <t>7810939715</t>
  </si>
  <si>
    <t>196158, Г.Санкт-Петербург, МУНИЦИПАЛЬНЫЙ ОКРУГ ЗВЕЗДНОЕ, Ш МОСКОВСКОЕ, Д. 25,К. 1,ЛИТЕРА Л</t>
  </si>
  <si>
    <t>Белынская Ирина Сергеевна</t>
  </si>
  <si>
    <t>59.924456,30.495316</t>
  </si>
  <si>
    <t>ОБЩЕСТВО С ОГРАНИЧЕННОЙ ОТВЕТСТВЕННОСТЬЮ "АБЗ-ТРАНСГРУПП"</t>
  </si>
  <si>
    <t xml:space="preserve"> "АБЗ-ТРАНСГРУПП"</t>
  </si>
  <si>
    <t>7811327641</t>
  </si>
  <si>
    <t>193312, САНКТ-ПЕТЕРБУРГ ГОРОД, УЛ. КОЛЛОНТАЙ, Д.41, КОРПУС 1, ЛИТЕР В</t>
  </si>
  <si>
    <t>Баринов Сергей Федорович</t>
  </si>
  <si>
    <t>+7 (901) 710-11-33'</t>
  </si>
  <si>
    <t>ОБЩЕСТВО С ОГРАНИЧЕННОЙ ОТВЕТСТВЕННОСТЬЮ "ПРОИЗВОДСТВЕННАЯ КОМПАНИЯ Монолит"</t>
  </si>
  <si>
    <t xml:space="preserve"> "ПРОИЗВОДСТВЕННАЯ КОМПАНИЯ Монолит"</t>
  </si>
  <si>
    <t>7811487130</t>
  </si>
  <si>
    <t>196158, САНКТ-ПЕТЕРБУРГ ГОРОД, ШОССЕ МОСКОВСКОЕ, 25, 1 ЛИТ. А, ОФИС 703</t>
  </si>
  <si>
    <t>Смирнов Дмитрий Михайлович</t>
  </si>
  <si>
    <t>59.888054,30.456643</t>
  </si>
  <si>
    <t>ОБЩЕСТВО С ОГРАНИЧЕННОЙ ОТВЕТСТВЕННОСТЬЮ "СК-ГРУПП СПБ"</t>
  </si>
  <si>
    <t xml:space="preserve"> "СК-ГРУПП СПБ"</t>
  </si>
  <si>
    <t>7811616570</t>
  </si>
  <si>
    <t>193230, Г.Санкт-Петербург, внутригородская территория города федерального значения МУНИЦИПАЛЬНЫЙ ОКРУГ НАРОДНЫЙ, НАБ ОКТЯБРЬСКАЯ, Д. 50, ЛИТЕРА А, ПОМЕЩ. 100-Н(1164)</t>
  </si>
  <si>
    <t>Степанов Михаил Юрьевич</t>
  </si>
  <si>
    <t>+7 (921) 998-01-44'</t>
  </si>
  <si>
    <t>59.89408,30.438991</t>
  </si>
  <si>
    <t>ОБЩЕСТВО С ОГРАНИЧЕННОЙ ОТВЕТСТВЕННОСТЬЮ "НЕВАСТРОЙ"</t>
  </si>
  <si>
    <t xml:space="preserve"> "НЕВАСТРОЙ"</t>
  </si>
  <si>
    <t>7811641110</t>
  </si>
  <si>
    <t>192029, САНКТ-ПЕТЕРБУРГ ГОРОД, ПР-КТ ОБУХОВСКОЙ ОБОРОНЫ, Д. 86, ЛИТЕР М, ОФИС 448</t>
  </si>
  <si>
    <t>Серебрянский Александр Валерьевич</t>
  </si>
  <si>
    <t>+7 (902) 133-02-82'</t>
  </si>
  <si>
    <t>59.959363,30.293051</t>
  </si>
  <si>
    <t>ОБЩЕСТВО С ОГРАНИЧЕННОЙ ОТВЕТСТВЕННОСТЬЮ "СКГРУПП СПБ"</t>
  </si>
  <si>
    <t xml:space="preserve"> "СКГРУПП СПБ"</t>
  </si>
  <si>
    <t>7811753456</t>
  </si>
  <si>
    <t>197110, САНКТ-ПЕТЕРБУРГ Г., УЛ. РОПШИНСКАЯ, Д. 24, ЛИТЕРА А, ПОМЕЩ. 10-Н ЧАСТЬ 5</t>
  </si>
  <si>
    <t>Островерхова Нина Михайловна</t>
  </si>
  <si>
    <t>SVETLANAKATASONOVA@YANDEX.RU'</t>
  </si>
  <si>
    <t>59.886447,30.471079</t>
  </si>
  <si>
    <t>ОБЩЕСТВО С ОГРАНИЧЕННОЙ ОТВЕТСТВЕННОСТЬЮ "БЕТОННО-СТРОИТЕЛЬНАЯ КОМПАНИЯ"</t>
  </si>
  <si>
    <t xml:space="preserve"> "БЕТОННО-СТРОИТЕЛЬНАЯ КОМПАНИЯ"</t>
  </si>
  <si>
    <t>7811777295</t>
  </si>
  <si>
    <t>193230, Г.Санкт-Петербург, МУНИЦИПАЛЬНЫЙ ОКРУГ НАРОДНЫЙ, ПЕР ЧЕЛИЕВА, Д. 7А,ЛИТЕРА В</t>
  </si>
  <si>
    <t>Лесняк Максим Владимирович</t>
  </si>
  <si>
    <t>59.959841,30.305681</t>
  </si>
  <si>
    <t>ОБЩЕСТВО С ОГРАНИЧЕННОЙ ОТВЕТСТВЕННОСТЬЮ "КАПРИКОРН-СЕРВИС"</t>
  </si>
  <si>
    <t xml:space="preserve"> "КАПРИКОРН-СЕРВИС"</t>
  </si>
  <si>
    <t>7813361944</t>
  </si>
  <si>
    <t>197198, САНКТ-ПЕТЕРБУРГ ГОРОД, УЛИЦА БОЛЬШАЯ ПУШКАРСКАЯ, 25, ЛИТ.А</t>
  </si>
  <si>
    <t>Козинов Владимир Ильич</t>
  </si>
  <si>
    <t>+7 (812) 331-33-12', '+7 (812) 235-12-72'</t>
  </si>
  <si>
    <t>59.985003,30.250013</t>
  </si>
  <si>
    <t>ОБЩЕСТВО С ОГРАНИЧЕННОЙ ОТВЕТСТВЕННОСТЬЮ "ГОРНАЯ ИНВЕСТИЦИОННАЯ КОМПАНИЯ"</t>
  </si>
  <si>
    <t xml:space="preserve"> "ГОРНАЯ ИНВЕСТИЦИОННАЯ КОМПАНИЯ"</t>
  </si>
  <si>
    <t>7813602075</t>
  </si>
  <si>
    <t>197374, САНКТ-ПЕТЕРБУРГ ГОРОД, УЛ. САВУШКИНА, Д. 83, К. 3 ЛИТЕР А, ПОМЕЩ. 181</t>
  </si>
  <si>
    <t>Евграфов Сергей Сергеевич</t>
  </si>
  <si>
    <t>+7 (812) 240-07-87'</t>
  </si>
  <si>
    <t>ОБЩЕСТВО С ОГРАНИЧЕННОЙ ОТВЕТСТВЕННОСТЬЮ "Шувалово Трест"</t>
  </si>
  <si>
    <t xml:space="preserve"> "Шувалово Трест"</t>
  </si>
  <si>
    <t>7814442843</t>
  </si>
  <si>
    <t>197375, Г.Санкт-Петербург, внутригородская территория города федерального значения МУНИЦИПАЛЬНЫЙ ОКРУГ ЮНТОЛОВО, ПРОЕЗД МАКУЛАТУРНЫЙ, Д. 7, ЛИТЕРА А, ПОМЕЩ. 1-Н, ПОМЕЩ. 76</t>
  </si>
  <si>
    <t>Семченков Александр Александрович</t>
  </si>
  <si>
    <t>+7 (812) 586-43-38'</t>
  </si>
  <si>
    <t>59.896012,30.357505</t>
  </si>
  <si>
    <t>ОБЩЕСТВО С ОГРАНИЧЕННОЙ ОТВЕТСТВЕННОСТЬЮ "ПИТЕРБЕТОН"</t>
  </si>
  <si>
    <t xml:space="preserve"> "ПИТЕРБЕТОН"</t>
  </si>
  <si>
    <t>7814766090</t>
  </si>
  <si>
    <t>192102, Г.Санкт-Петербург, внутригородская территория города федерального значения МУНИЦИПАЛЬНЫЙ ОКРУГ ВОЛКОВСКОЕ, ПР-КТ ВОЛКОВСКИЙ, Д. 32, ЛИТЕРА А, ПОМЕЩ. 1Н, Ч.П. № 88</t>
  </si>
  <si>
    <t>Дмитриев Алексей Владимирович</t>
  </si>
  <si>
    <t>60.007897,30.22177</t>
  </si>
  <si>
    <t>ОБЩЕСТВО С ОГРАНИЧЕННОЙ ОТВЕТСТВЕННОСТЬЮ "ПЕТРОБЕТОН"</t>
  </si>
  <si>
    <t xml:space="preserve"> "ПЕТРОБЕТОН"</t>
  </si>
  <si>
    <t>7814788834</t>
  </si>
  <si>
    <t>197082, САНКТ-ПЕТЕРБУРГ Г., УЛ. КАМЫШОВАЯ, Д. 34, К. 2 ЛИТЕРА А,..</t>
  </si>
  <si>
    <t>Петров Дмитрий Андреевич</t>
  </si>
  <si>
    <t>PETR0BETON@YANDEX.RU'</t>
  </si>
  <si>
    <t>60.724112,28.78584</t>
  </si>
  <si>
    <t>ОБЩЕСТВО С ОГРАНИЧЕННОЙ ОТВЕТСТВЕННОСТЬЮ "ПРОМБЕТОНСПБ"</t>
  </si>
  <si>
    <t xml:space="preserve"> "ПРОМБЕТОНСПБ"</t>
  </si>
  <si>
    <t>7816412812</t>
  </si>
  <si>
    <t>188808, ЛЕНИНГРАДСКАЯ ОБЛАСТЬ, РАЙОН ВЫБОРГСКИЙ, ГОРОД ВЫБОРГ, УЛИЦА ТАММИСУО, ДОМ 9, ПОМЕЩЕНИЕ 1</t>
  </si>
  <si>
    <t>Мазинов Михаил Львович</t>
  </si>
  <si>
    <t>+7 (911) 930-83-80'</t>
  </si>
  <si>
    <t>ОБЩЕСТВО С ОГРАНИЧЕННОЙ ОТВЕТСТВЕННОСТЬЮ "ГРУППА КОМПАНИЙ "МОНОЛИТ"</t>
  </si>
  <si>
    <t xml:space="preserve"> "ГРУППА КОМПАНИЙ "МОНОЛИТ"</t>
  </si>
  <si>
    <t>7816560761</t>
  </si>
  <si>
    <t>195067, Г.Санкт-Петербург, внутригородская территория города федерального значения МУНИЦИПАЛЬНЫЙ ОКРУГ ПОЛЮСТРОВО, ПР-КТ ЕКАТЕРИНИНСКИЙ, Д. 2, СТР. 1, ПОМЕЩ. 59-Н, ОФИС 1-12</t>
  </si>
  <si>
    <t>Горячев Леонид Юрьевич</t>
  </si>
  <si>
    <t>+7 (812) 318-33-88'</t>
  </si>
  <si>
    <t>OOOGKMONOLIT@GMAIL.COM'</t>
  </si>
  <si>
    <t>59.846626,30.438102</t>
  </si>
  <si>
    <t>ОБЩЕСТВО С ОГРАНИЧЕННОЙ ОТВЕТСТВЕННОСТЬЮ "ГРУППА КОМПАНИЙ "МОНОЛИТ-ГРУЗОВОЙ"</t>
  </si>
  <si>
    <t xml:space="preserve"> "ГРУППА КОМПАНИЙ "МОНОЛИТ-ГРУЗОВОЙ"</t>
  </si>
  <si>
    <t>7816642245</t>
  </si>
  <si>
    <t>192289, САНКТ-ПЕТЕРБУРГ ГОРОД, ПРОСПЕКТ ДЕВЯТОГО ЯНВАРЯ, ДОМ 3, КОРПУС 1 ЛИТЕР А, ОФИС 316</t>
  </si>
  <si>
    <t>gorkina@gkmonolit.info'</t>
  </si>
  <si>
    <t>59.936052,30.416399</t>
  </si>
  <si>
    <t>ОБЩЕСТВО С ОГРАНИЧЕННОЙ ОТВЕТСТВЕННОСТЬЮ "ИКАР"</t>
  </si>
  <si>
    <t xml:space="preserve"> "ИКАР"</t>
  </si>
  <si>
    <t>7816670002</t>
  </si>
  <si>
    <t>195027, САНКТ-ПЕТЕРБУРГ ГОРОД, ПР-КТ ШАУМЯНА, Д. 8, К. 1 ЛИТЕР Ю, ПОМЕЩ. 3-Н ОФИС 220</t>
  </si>
  <si>
    <t>Никитихин Денис Геннадьевич</t>
  </si>
  <si>
    <t>stride@yandex.ru'</t>
  </si>
  <si>
    <t>59.974153,30.527969</t>
  </si>
  <si>
    <t>ОБЩЕСТВО С ОГРАНИЧЕННОЙ ОТВЕТСТВЕННОСТЬЮ "СК БЕТОНСПЕЦСТРОЙ"</t>
  </si>
  <si>
    <t xml:space="preserve"> "СК БЕТОНСПЕЦСТРОЙ"</t>
  </si>
  <si>
    <t>7816679816</t>
  </si>
  <si>
    <t>195043, Г.Санкт-Петербург, внутригородская территория города федерального значения МУНИЦИПАЛЬНЫЙ ОКРУГ РЖЕВКА, УЛ ЛЕСОПАРКОВАЯ, Д. 13, ЛИТЕРА А, ПОМЕЩ. 8-Н, ОФИС 1</t>
  </si>
  <si>
    <t>Симанов Алексей Игоревич</t>
  </si>
  <si>
    <t>skbetonspetsstroy@gmail.com'</t>
  </si>
  <si>
    <t>59.863016,30.414036</t>
  </si>
  <si>
    <t>ОБЩЕСТВО С ОГРАНИЧЕННОЙ ОТВЕТСТВЕННОСТЬЮ "СЭТЛГРУПП"</t>
  </si>
  <si>
    <t xml:space="preserve"> "СЭТЛГРУПП"</t>
  </si>
  <si>
    <t>7816702374</t>
  </si>
  <si>
    <t>192241, САНКТ-ПЕТЕРБУРГ ГОРОД, ШОССЕ ЮЖНОЕ, ДОМ 66, ЛИТЕР А, ПОМЕЩЕНИЕ 6Н О.9А</t>
  </si>
  <si>
    <t>Болтушев Павел Александрович</t>
  </si>
  <si>
    <t>59.911845,30.360362</t>
  </si>
  <si>
    <t>ОБЩЕСТВО С ОГРАНИЧЕННОЙ ОТВЕТСТВЕННОСТЬЮ "СТРОИТЕЛЬНАЯ КОМПАНИЯ ОЙКУМЕНА СЕВЕРО-ЗАПАД"</t>
  </si>
  <si>
    <t xml:space="preserve"> "СТРОИТЕЛЬНАЯ КОМПАНИЯ ОЙКУМЕНА СЕВЕРО-ЗАПАД"</t>
  </si>
  <si>
    <t>7816706700</t>
  </si>
  <si>
    <t>192007, САНКТ-ПЕТЕРБУРГ ГОРОД, УЛ. ДНЕПРОПЕТРОВСКАЯ, Д. 12, ЛИТЕР В, Ч.П. 212</t>
  </si>
  <si>
    <t>Буторин Антон Сергеевич</t>
  </si>
  <si>
    <t>59.894211,30.378714</t>
  </si>
  <si>
    <t>ОБЩЕСТВО С ОГРАНИЧЕННОЙ ОТВЕТСТВЕННОСТЬЮ "СТРОИТЕЛЬНАЯ КОМПАНИЯ ОЙКУМЕНА-СПБ"</t>
  </si>
  <si>
    <t xml:space="preserve"> "СТРОИТЕЛЬНАЯ КОМПАНИЯ ОЙКУМЕНА-СПБ"</t>
  </si>
  <si>
    <t>7816710992</t>
  </si>
  <si>
    <t>192102, САНКТ-ПЕТЕРБУРГ ГОРОД, УЛИЦА САЛОВА, ДОМ 35, ЛИТЕР Б, ПОМ. 2А</t>
  </si>
  <si>
    <t>59.759746,30.364503</t>
  </si>
  <si>
    <t>ОБЩЕСТВО С ОГРАНИЧЕННОЙ ОТВЕТСТВЕННОСТЬЮ "КУПИТЬ БЕТОН"</t>
  </si>
  <si>
    <t xml:space="preserve"> "КУПИТЬ БЕТОН"</t>
  </si>
  <si>
    <t>7820057423</t>
  </si>
  <si>
    <t>196140, САНКТ-ПЕТЕРБУРГ ГОРОД, ПОСЕЛОК ШУШАРЫ, ТЕРРИТОРИЯ ПУЛКОВСКОЕ, ДОМ 33,..</t>
  </si>
  <si>
    <t>Левин Виталий Григорьевич</t>
  </si>
  <si>
    <t>+7 (921) 940-72-41'</t>
  </si>
  <si>
    <t>59.720104,30.423828</t>
  </si>
  <si>
    <t>ОБЩЕСТВО С ОГРАНИЧЕННОЙ ОТВЕТСТВЕННОСТЬЮ "ГК "ЭЛЕМЕНТ"</t>
  </si>
  <si>
    <t xml:space="preserve"> "ГК "ЭЛЕМЕНТ"</t>
  </si>
  <si>
    <t>7820067238</t>
  </si>
  <si>
    <t>196601, САНКТ-ПЕТЕРБУРГ ГОРОД, ГОРОД ПУШКИН, БУЛЬВАР ОКТЯБРЬСКИЙ, ДОМ 50/30, ЛИТЕР А, ПОМЕЩЕНИЕ 7-Н КОМНАТА 29</t>
  </si>
  <si>
    <t>Мартыненко Александр Вячеславович</t>
  </si>
  <si>
    <t>gkelement@bk.ru'</t>
  </si>
  <si>
    <t>59.687079,30.426532</t>
  </si>
  <si>
    <t>7820078800</t>
  </si>
  <si>
    <t>196620, САНКТ-ПЕТЕРБУРГ Г., Г. Павловск, УЛ. БЕРЁЗОВАЯ, Д. 25, ЛИТЕРА А, ПОМ 1-Н ОФИС 7А</t>
  </si>
  <si>
    <t>Рыжов Никита Вячеславович</t>
  </si>
  <si>
    <t>60.138052,30.027105</t>
  </si>
  <si>
    <t>"БЕАТОН"</t>
  </si>
  <si>
    <t>7825367884</t>
  </si>
  <si>
    <t>197730, САНКТ-ПЕТЕРБУРГ Г., П. Белоостров, Ш. НОВОЕ, Д. 53, ЛИТЕРА А, ПОМЕЩ. 234</t>
  </si>
  <si>
    <t>Переверзев Александр Анатольевич</t>
  </si>
  <si>
    <t>+7 (812) 702-17-80'</t>
  </si>
  <si>
    <t>ОБЩЕСТВО С ОГРАНИЧЕННОЙ ОТВЕТСТВЕННОСТЬЮ "ДАР-20"</t>
  </si>
  <si>
    <t xml:space="preserve"> "ДАР-20"</t>
  </si>
  <si>
    <t>7839130691</t>
  </si>
  <si>
    <t>190020, САНКТ-ПЕТЕРБУРГ ГОРОД, ПРОСПЕКТ НАРВСКИЙ, ДОМ 22, ЛИТЕР А, ПОМЕЩЕНИЕ 12-Н ОФИС 22</t>
  </si>
  <si>
    <t>Григорян Геворг</t>
  </si>
  <si>
    <t>ОБЩЕСТВО С ОГРАНИЧЕННОЙ ОТВЕТСТВЕННОСТЬЮ "ПРОИЗВОДСТВЕННАЯ КОМПАНИЯ ВОСХОД"</t>
  </si>
  <si>
    <t xml:space="preserve"> "ПРОИЗВОДСТВЕННАЯ КОМПАНИЯ ВОСХОД"</t>
  </si>
  <si>
    <t>7839136100</t>
  </si>
  <si>
    <t>190020, САНКТ-ПЕТЕРБУРГ Г., НАБ. ОБВОДНОГО КАНАЛА, Д. 134_136_138, ЛИТЕРА ВМ, ПОМЕЩ. 12-Н ОФИС 474</t>
  </si>
  <si>
    <t>Сорокин Илья Андреевич</t>
  </si>
  <si>
    <t>59.923184,30.342701</t>
  </si>
  <si>
    <t>ОБЩЕСТВО С ОГРАНИЧЕННОЙ ОТВЕТСТВЕННОСТЬЮ "СТРОЙБЕТОНСТАНДАРТ"</t>
  </si>
  <si>
    <t xml:space="preserve"> "СТРОЙБЕТОНСТАНДАРТ"</t>
  </si>
  <si>
    <t>7840051420</t>
  </si>
  <si>
    <t>191119, САНКТ-ПЕТЕРБУРГ ГОРОД, УЛ. ПРАВДЫ, Д. 12/12, ЛИТЕРА А, ПОМЕЩ. 21-Н</t>
  </si>
  <si>
    <t>Александрова Валентина Михайловна</t>
  </si>
  <si>
    <t>+7 (812) 715-24-55'</t>
  </si>
  <si>
    <t>59.942827,30.322507</t>
  </si>
  <si>
    <t>ОБЩЕСТВО С ОГРАНИЧЕННОЙ ОТВЕТСТВЕННОСТЬЮ "СПЕЦИАЛЬНЫЕ СМЕСИ"</t>
  </si>
  <si>
    <t xml:space="preserve"> "СПЕЦИАЛЬНЫЕ СМЕСИ"</t>
  </si>
  <si>
    <t>7841036985</t>
  </si>
  <si>
    <t>191186, САНКТ-ПЕТЕРБУРГ ГОРОД, УЛИЦА МИЛЛИОННАЯ, ДОМ 18, ЛИТЕР А, ПОМЕЩЕНИЕ 1-Н</t>
  </si>
  <si>
    <t>Смирнов Александр Леонидович</t>
  </si>
  <si>
    <t>+7 (905) 214-50-51'</t>
  </si>
  <si>
    <t>60.672437,30.015355</t>
  </si>
  <si>
    <t>ОБЩЕСТВО С ОГРАНИЧЕННОЙ ОТВЕТСТВЕННОСТЬЮ "ГРУППА КОМПАНИЙ "ПАЛАРТ"</t>
  </si>
  <si>
    <t xml:space="preserve"> "ГРУППА КОМПАНИЙ "ПАЛАРТ"</t>
  </si>
  <si>
    <t>7841067912</t>
  </si>
  <si>
    <t>188732, ЛЕНИНГРАДСКАЯ ОБЛАСТЬ, Р-Н ПРИОЗЕРСКИЙ, Д ВАРШКО, Ш. ПРИОЗЕРСКОЕ, Д. 44</t>
  </si>
  <si>
    <t>Ежкин Анатолий Андреевич</t>
  </si>
  <si>
    <t>+7 (812) 984-44-08'</t>
  </si>
  <si>
    <t>gkpalart@yandex.ru'</t>
  </si>
  <si>
    <t>59.938613,30.358691</t>
  </si>
  <si>
    <t>ОБЩЕСТВО С ОГРАНИЧЕННОЙ ОТВЕТСТВЕННОСТЬЮ "ГК МОНОЛИТ"</t>
  </si>
  <si>
    <t xml:space="preserve"> "ГК МОНОЛИТ"</t>
  </si>
  <si>
    <t>7841087644</t>
  </si>
  <si>
    <t>191014, САНКТ-ПЕТЕРБУРГ ГОРОД, УЛИЦА НЕКРАСОВА, ДОМ 23, ЛИТЕР А, ПОМЕЩЕНИЕ 3-Н КОМНАТА 2</t>
  </si>
  <si>
    <t>Красильников Олег Валентинович</t>
  </si>
  <si>
    <t>59.920294,30.355556</t>
  </si>
  <si>
    <t>ОБЩЕСТВО С ОГРАНИЧЕННОЙ ОТВЕТСТВЕННОСТЬЮ "ИНВЕСТСПБ"</t>
  </si>
  <si>
    <t xml:space="preserve"> "ИНВЕСТСПБ"</t>
  </si>
  <si>
    <t>7841339010</t>
  </si>
  <si>
    <t>191119, САНКТ-ПЕТЕРБУРГ ГОРОД, ПР-КТ ЛИГОВСКИЙ, Д.94, К.2 ЛИТ. А, ПОМ. 24Н</t>
  </si>
  <si>
    <t>Чен Петр Алексеевич</t>
  </si>
  <si>
    <t>+7 (812) 275-11-26'</t>
  </si>
  <si>
    <t>59.923423,30.363596</t>
  </si>
  <si>
    <t>ОБЩЕСТВО С ОГРАНИЧЕННОЙ ОТВЕТСТВЕННОСТЬЮ "ПРОИЗВОДСТВЕННАЯ КОМПАНИЯ "ПИЛИГРИМ"</t>
  </si>
  <si>
    <t xml:space="preserve"> "ПРОИЗВОДСТВЕННАЯ КОМПАНИЯ "ПИЛИГРИМ"</t>
  </si>
  <si>
    <t>7842114080</t>
  </si>
  <si>
    <t>191040, САНКТ-ПЕТЕРБУРГ ГОРОД, ПР-КТ ЛИГОВСКИЙ, Д. 50, ЛИТЕР М, ОФИС 59А</t>
  </si>
  <si>
    <t>Кандаурова Елизавета Владимировна</t>
  </si>
  <si>
    <t>+7 (812) 600-11-80'</t>
  </si>
  <si>
    <t>59.921809,30.500732</t>
  </si>
  <si>
    <t>ОБЩЕСТВО С ОГРАНИЧЕННОЙ ОТВЕТСТВЕННОСТЬЮ "УСТЬ-ЛУЖСКИЙ ЖБИ 1"</t>
  </si>
  <si>
    <t xml:space="preserve"> "УСТЬ-ЛУЖСКИЙ ЖБИ 1"</t>
  </si>
  <si>
    <t>7842130324</t>
  </si>
  <si>
    <t>193312, САНКТ-ПЕТЕРБУРГ ГОРОД, УЛИЦА ПОДВОЙСКОГО, ДОМ 50, КОРПУС 2,..</t>
  </si>
  <si>
    <t>Сурмилева Инна Андреевна</t>
  </si>
  <si>
    <t>+7 (812) 591-79-83'</t>
  </si>
  <si>
    <t>9044729@mail.ru'</t>
  </si>
  <si>
    <t>59.941033,30.378822</t>
  </si>
  <si>
    <t>ОБЩЕСТВО С ОГРАНИЧЕННОЙ ОТВЕТСТВЕННОСТЬЮ "БСУ-17"</t>
  </si>
  <si>
    <t xml:space="preserve"> "БСУ-17"</t>
  </si>
  <si>
    <t>7842178171</t>
  </si>
  <si>
    <t>191015, САНКТ-ПЕТЕРБУРГ ГОРОД, ПРОСПЕКТ СУВОРОВСКИЙ, ДОМ 36, ЛИТЕР А, ПОМЕЩЕНИЕ 2-Н ОФИС 24</t>
  </si>
  <si>
    <t>Есала Максим Леонидович</t>
  </si>
  <si>
    <t>59.91618,30.361134</t>
  </si>
  <si>
    <t>ОБЩЕСТВО С ОГРАНИЧЕННОЙ ОТВЕТСТВЕННОСТЬЮ "ПРОИЗВОДСТВЕННАЯ ТОРГОВАЯ КОМПАНИЯ ТЕСЛА"</t>
  </si>
  <si>
    <t xml:space="preserve"> "ПРОИЗВОДСТВЕННАЯ ТОРГОВАЯ КОМПАНИЯ ТЕСЛА"</t>
  </si>
  <si>
    <t>7842194470</t>
  </si>
  <si>
    <t>191119, САНКТ-ПЕТЕРБУРГ Г., УЛ. ДНЕПРОПЕТРОВСКАЯ, Д. 41, ЛИТЕРА А,..</t>
  </si>
  <si>
    <t>Вильчевский Дмитрий Николаевич</t>
  </si>
  <si>
    <t>1744042@MAIL.RU'</t>
  </si>
  <si>
    <t>59.919739,30.370315</t>
  </si>
  <si>
    <t>ОБЩЕСТВО С ОГРАНИЧЕННОЙ ОТВЕТСТВЕННОСТЬЮ "ДВ АСФАЛЬТ"</t>
  </si>
  <si>
    <t xml:space="preserve"> "ДВ АСФАЛЬТ"</t>
  </si>
  <si>
    <t>7842202530</t>
  </si>
  <si>
    <t>191167, Г.Санкт-Петербург, МУНИЦИПАЛЬНЫЙ ОКРУГ ЛИГОВКА-ЯМСКАЯ, УЛ КРЕМЕНЧУГСКАЯ, Д. 19,К. 3,ЛИТЕРА А</t>
  </si>
  <si>
    <t>Вац Олеся Александровна</t>
  </si>
  <si>
    <t>59.940064,30.36161</t>
  </si>
  <si>
    <t>ОБЩЕСТВО С ОГРАНИЧЕННОЙ ОТВЕТСТВЕННОСТЬЮ "Современные Бетонные Технологии"</t>
  </si>
  <si>
    <t xml:space="preserve"> "Современные Бетонные Технологии"</t>
  </si>
  <si>
    <t>7842451952</t>
  </si>
  <si>
    <t>191014, САНКТ-ПЕТЕРБУРГ ГОРОД, ПЕРЕУЛОК ВИЛЕНСКИЙ, 3, ЛИТЕР А, ПОМЕЩЕНИЕ 7-Н</t>
  </si>
  <si>
    <t>Синочкин Денис Дмитриевич</t>
  </si>
  <si>
    <t>+7 (812) 963-71-15'</t>
  </si>
  <si>
    <t>61.241532,73.481984</t>
  </si>
  <si>
    <t xml:space="preserve"> "СТРОЙПРОМБЕТОН"</t>
  </si>
  <si>
    <t>8602141966</t>
  </si>
  <si>
    <t>ТЮМЕНСКАЯ ОБЛ.,ХАНТЫ-МАНСИЙСКИЙ АВТ. ОКРУГ,Г СУРГУТ,УЛ СОСНОВАЯ, Д 1</t>
  </si>
  <si>
    <t>Акимов Юрий Владимирович</t>
  </si>
  <si>
    <t>61.315063,73.282755</t>
  </si>
  <si>
    <t>ОБЩЕСТВО С ОГРАНИЧЕННОЙ ОТВЕТСТВЕННОСТЬЮ "СИБСТРОЙБЕТОН-ЮГРА"</t>
  </si>
  <si>
    <t xml:space="preserve"> "СИБСТРОЙБЕТОН-ЮГРА"</t>
  </si>
  <si>
    <t>8602267260</t>
  </si>
  <si>
    <t>628400, ХАНТЫ-МАНСИЙСКИЙ АВТОНОМНЫЙ ОКРУГ - ЮГРА АО, СУРГУТ Г, КЕДРОВЫЙ-16 СНТ, УЛИЦА ГЛИНИСТАЯ, УЧАСТОК 167</t>
  </si>
  <si>
    <t>Булатов Наиль Миннерасихович</t>
  </si>
  <si>
    <t>61.259434,73.481211</t>
  </si>
  <si>
    <t>ОБЩЕСТВО С ОГРАНИЧЕННОЙ ОТВЕТСТВЕННОСТЬЮ "СЕВЕРПРОМ"</t>
  </si>
  <si>
    <t xml:space="preserve"> "СЕВЕРПРОМ"</t>
  </si>
  <si>
    <t>8602275511</t>
  </si>
  <si>
    <t>628422, ХАНТЫ-МАНСИЙСКИЙ АВТОНОМНЫЙ ОКРУГ - ЮГРА АВТОНОМНЫЙ ОКРУГ, ГОРОД СУРГУТ, УЛИЦА БАЗОВАЯ, ДОМ 3/1, КАБИНЕТ 211</t>
  </si>
  <si>
    <t>Виноградов Алексей Александрович</t>
  </si>
  <si>
    <t>betonresurs86@mail.ru'</t>
  </si>
  <si>
    <t>61.267013,73.385109</t>
  </si>
  <si>
    <t>ОБЩЕСТВО С ОГРАНИЧЕННОЙ ОТВЕТСТВЕННОСТЬЮ "ЮКОМ"</t>
  </si>
  <si>
    <t xml:space="preserve"> "ЮКОМ"</t>
  </si>
  <si>
    <t>8602291626</t>
  </si>
  <si>
    <t>628418, ХАНТЫ-МАНСИЙСКИЙ АВТОНОМНЫЙ ОКРУГ - ЮГРА АВТОНОМНЫЙ ОКРУГ, ГОРОД СУРГУТ, УЛИЦА ПРОФСОЮЗОВ, ДОМ 18, КОРПУС 1</t>
  </si>
  <si>
    <t>Булатова Юлия Фаритовна</t>
  </si>
  <si>
    <t>BULATOVA_22@MAIL.RU'</t>
  </si>
  <si>
    <t>61.26328,73.380654</t>
  </si>
  <si>
    <t>ОБЩЕСТВО С ОГРАНИЧЕННОЙ ОТВЕТСТВЕННОСТЬЮ "БТН"</t>
  </si>
  <si>
    <t xml:space="preserve"> "БТН"</t>
  </si>
  <si>
    <t>8602297709</t>
  </si>
  <si>
    <t>628407, ХАНТЫ-МАНСИЙСКИЙ АВТОНОМНЫЙ ОКРУГ - ЮГРА АВТОНОМНЫЙ ОКРУГ, Г. СУРГУТ, УЛ. МИРА, Д. 3/1, ОФИС 10</t>
  </si>
  <si>
    <t xml:space="preserve"> Директор Новгородцев Алексей Павлович</t>
  </si>
  <si>
    <t>consalting@mail.ru'</t>
  </si>
  <si>
    <t>57.108995,65.633223</t>
  </si>
  <si>
    <t>ОБЩЕСТВО С ОГРАНИЧЕННОЙ ОТВЕТСТВЕННОСТЬЮ "СИБ-СТРОЙ-БЕТОН"</t>
  </si>
  <si>
    <t xml:space="preserve"> "СИБ-СТРОЙ-БЕТОН"</t>
  </si>
  <si>
    <t>8603172131</t>
  </si>
  <si>
    <t>625019, ТЮМЕНСКАЯ ОБЛАСТЬ, ГОРОД ТЮМЕНЬ, УЛИЦА РЕСПУБЛИКИ, 252, 17</t>
  </si>
  <si>
    <t>+7 (904) 483-42-74', '+7 (929) 265-92-41'</t>
  </si>
  <si>
    <t>60.979509,76.399712</t>
  </si>
  <si>
    <t>ОБЩЕСТВО С ОГРАНИЧЕННОЙ ОТВЕТСТВЕННОСТЬЮ "НВ-Промстрой"</t>
  </si>
  <si>
    <t xml:space="preserve"> "НВ-Промстрой"</t>
  </si>
  <si>
    <t>8603188011</t>
  </si>
  <si>
    <t>628600, ХАНТЫ-МАНСИЙСКИЙ АВТОНОМНЫЙ ОКРУГ - ЮГРА АВТОНОМНЫЙ ОКРУГ, Г. НИЖНЕВАРТОВСК, ПЛ.Р-Н РАЙОН НВГПК, АДМИНИСТРАТИВНОЕ ЗДАНИЕ</t>
  </si>
  <si>
    <t>Граков Антон Леонидович</t>
  </si>
  <si>
    <t>+7 (982) 581-11-12'</t>
  </si>
  <si>
    <t>ОБЩЕСТВО С ОГРАНИЧЕННОЙ ОТВЕТСТВЕННОСТЬЮ "ЮГРА-СЕРВИС"</t>
  </si>
  <si>
    <t xml:space="preserve"> "ЮГРА-СЕРВИС"</t>
  </si>
  <si>
    <t>8603201992</t>
  </si>
  <si>
    <t>628611, Ханты-Мансийский Автономный округ - Югра Автономный округ, Город Нижневартовск, Улица Мира, 60, 2, 19</t>
  </si>
  <si>
    <t>Яворский Иван Михайлович</t>
  </si>
  <si>
    <t>+7 (982) 587-30-31'</t>
  </si>
  <si>
    <t>SERVIS@MAIL.RU', 'am4004@yandex.ru'</t>
  </si>
  <si>
    <t>60.939747,76.544242</t>
  </si>
  <si>
    <t>ОБЩЕСТВО С ОГРАНИЧЕННОЙ ОТВЕТСТВЕННОСТЬЮ МД "АВТО СТРОЙ"</t>
  </si>
  <si>
    <t xml:space="preserve"> МД "АВТО СТРОЙ"</t>
  </si>
  <si>
    <t>8603209864</t>
  </si>
  <si>
    <t>628616, ХАНТЫ-МАНСИЙСКИЙ АВТОНОМНЫЙ ОКРУГ - ЮГРА АО, НИЖНЕВАРТОВСК Г, ЛЕНИНА УЛ, 11/П, 3, ПАНЕЛЬ №18</t>
  </si>
  <si>
    <t>Дутка Виталий Викторович</t>
  </si>
  <si>
    <t>+7 (904) 870-10-84'</t>
  </si>
  <si>
    <t>buh@mail.ru', 'ignatkinaim@mail.ru'</t>
  </si>
  <si>
    <t>61.101146,72.604339</t>
  </si>
  <si>
    <t>ОБЩЕСТВО С ОГРАНИЧЕННОЙ ОТВЕТСТВЕННОСТЬЮ "ЮГОРСКИЙ МЕРИДИАН"</t>
  </si>
  <si>
    <t xml:space="preserve"> "ЮГОРСКИЙ МЕРИДИАН"</t>
  </si>
  <si>
    <t>8604042760</t>
  </si>
  <si>
    <t>628305, ХАНТЫ-МАНСИЙСКИЙ АВТОНОМНЫЙ ОКРУГ - ЮГРА АВТОНОМНЫЙ ОКРУГ, Г. НЕФТЕЮГАНСК, НП. ПРОМЫШЛЕННАЯ ЗОНА ПИОНЕРНАЯ, УЛ. ПАРКОВАЯ, К.6/7, ОФИС 212</t>
  </si>
  <si>
    <t>Калачев Денис Александрович</t>
  </si>
  <si>
    <t>+7 (912) 419-15-66'</t>
  </si>
  <si>
    <t>61.100494,72.600575</t>
  </si>
  <si>
    <t>ОБЩЕСТВО С ОГРАНИЧЕННОЙ ОТВЕТСТВЕННОСТЬЮ "ЮГОРСКИЙ БЕТОННЫЙ ЗАВОД"</t>
  </si>
  <si>
    <t xml:space="preserve"> "ЮГОРСКИЙ БЕТОННЫЙ ЗАВОД"</t>
  </si>
  <si>
    <t>8604069289</t>
  </si>
  <si>
    <t>628301, ХАНТЫ-МАНСИЙСКИЙ АВТОНОМНЫЙ ОКРУГ - ЮГРА АВТОНОМНЫЙ ОКРУГ, ГОРОД НЕФТЕЮГАНСК, УЛИЦА ПАРКОВАЯ, СТРОЕНИЕ 7А, ОФИС 3</t>
  </si>
  <si>
    <t>Артыкбаев Ильез Турдиалиевич</t>
  </si>
  <si>
    <t>uli1318@mail.ru'</t>
  </si>
  <si>
    <t>61.037848,76.114218</t>
  </si>
  <si>
    <t>ОБЩЕСТВО С ОГРАНИЧЕННОЙ ОТВЕТСТВЕННОСТЬЮ "МЕГИОНСКАЯ РЕМОНТНО-СТРОИТЕЛЬНАЯ КОМПАНИЯ""</t>
  </si>
  <si>
    <t xml:space="preserve"> "МЕГИОНСКАЯ РЕМОНТНО-СТРОИТЕЛЬНАЯ КОМПАНИЯ""</t>
  </si>
  <si>
    <t>8605029715</t>
  </si>
  <si>
    <t>628680, ХАНТЫ-МАНСИЙСКИЙ АВТОНОМНЫЙ ОКРУГ - ЮГРА АО, МЕГИОН Г, НЕФТЯНИКОВ УЛ, ДОМ 1,..</t>
  </si>
  <si>
    <t>Алдибиров Казбек Майрбекович</t>
  </si>
  <si>
    <t>+7 (926) 214-93-93'</t>
  </si>
  <si>
    <t>60.12658,64.784037</t>
  </si>
  <si>
    <t>ОБЩЕСТВО С ОГРАНИЧЕННОЙ ОТВЕТСТВЕННОСТЬЮ "УРАЙСКИЙ ЗАВОД СТРОИТЕЛЬНЫХ МАТЕРИАЛОВ"</t>
  </si>
  <si>
    <t xml:space="preserve"> "УРАЙСКИЙ ЗАВОД СТРОИТЕЛЬНЫХ МАТЕРИАЛОВ"</t>
  </si>
  <si>
    <t>8606015955</t>
  </si>
  <si>
    <t>628285, Тюменская область, г Урай, микрорайон Западный, д 19,..</t>
  </si>
  <si>
    <t>Силионов Андрей Владимирович</t>
  </si>
  <si>
    <t>+7 (904) 477-27-69'</t>
  </si>
  <si>
    <t>uzsm@mail.ru', 'kr35005@yandex.ru'</t>
  </si>
  <si>
    <t>65.379207,62.129433</t>
  </si>
  <si>
    <t>ОБЩЕСТВО С ОГРАНИЧЕННОЙ ОТВЕТСТВЕННОСТЬЮ "ГРАНДСТРОЙТЕХНОЛОГИИ"</t>
  </si>
  <si>
    <t xml:space="preserve"> "ГРАНДСТРОЙТЕХНОЛОГИИ"</t>
  </si>
  <si>
    <t>8610023733</t>
  </si>
  <si>
    <t>628183, ХАНТЫ-МАНСИЙСКИЙ АВТОНОМНЫЙ ОКРУГ - ЮГРА АВТОНОМНЫЙ ОКРУГ, Г. НЯГАНЬ, УЛ. ЛАЗАРЕВА, Д.21, К.2</t>
  </si>
  <si>
    <t>Мартьянова Елена Анатольевна</t>
  </si>
  <si>
    <t>60.764175,72.857187</t>
  </si>
  <si>
    <t>ОБЩЕСТВО С ОГРАНИЧЕННОЙ ОТВЕТСТВЕННОСТЬЮ "НЕПТУН ПЛЮС"</t>
  </si>
  <si>
    <t xml:space="preserve"> "НЕПТУН ПЛЮС"</t>
  </si>
  <si>
    <t>8612017911</t>
  </si>
  <si>
    <t>628380, ХАНТЫ-МАНСИЙСКИЙ АВТОНОМНЫЙ ОКРУГ - ЮГРА АВТОНОМНЫЙ ОКРУГ, Г. ПЫТЬ-ЯХ, ЗОНА СЕВЕРО-ВОСТОЧНАЯ ПРОМЫШЛЕННАЯ, СТР. 26/1, ОФИС 1</t>
  </si>
  <si>
    <t>Кайгородов Леонид Иванович</t>
  </si>
  <si>
    <t>+7 (912) 513-38-01'</t>
  </si>
  <si>
    <t>66.358352,66.670575</t>
  </si>
  <si>
    <t>ОБЩЕСТВО С ОГРАНИЧЕННОЙ ОТВЕТСТВЕННОСТЬЮ "СТРОЙБЕТОНКОМПЛЕКТ"</t>
  </si>
  <si>
    <t xml:space="preserve"> "СТРОЙБЕТОНКОМПЛЕКТ"</t>
  </si>
  <si>
    <t>8901034730</t>
  </si>
  <si>
    <t>629404, ЯМАЛО-НЕНЕЦКИЙ АВТОНОМНЫЙ ОКРУГ, ГОРОД ЛАБЫТНАНГИ, УЛИЦА АВТОСТРАДНАЯ, ДОМ 8А, ОФИС 15</t>
  </si>
  <si>
    <t>Фоминых Виталий Владимирович</t>
  </si>
  <si>
    <t>+7 (902) 816-20-30'</t>
  </si>
  <si>
    <t>yanao@mail.ru', 'kv970@mail.ru'</t>
  </si>
  <si>
    <t>66.595553,66.525643</t>
  </si>
  <si>
    <t>ОБЩЕСТВО С ОГРАНИЧЕННОЙ ОТВЕТСТВЕННОСТЬЮ "ПГБ ХХ1"</t>
  </si>
  <si>
    <t xml:space="preserve"> "ПГБ ХХ1"</t>
  </si>
  <si>
    <t>8901037120</t>
  </si>
  <si>
    <t>629007, ЯМАЛО-НЕНЕЦКИЙ АВТОНОМНЫЙ ОКРУГ, ГОРОД САЛЕХАРД, УЛИЦА СВЕРДЛОВА, ДОМ 22, ОФИС 204</t>
  </si>
  <si>
    <t>Марчук Кристина Михайловна</t>
  </si>
  <si>
    <t>64.432625,76.500503</t>
  </si>
  <si>
    <t>ОБЩЕСТВО С ОГРАНИЧЕННОЙ ОТВЕТСТВЕННОСТЬЮ  "НЕФТЬСТРОЙ"</t>
  </si>
  <si>
    <t xml:space="preserve">  "НЕФТЬСТРОЙ"</t>
  </si>
  <si>
    <t>8911032474</t>
  </si>
  <si>
    <t>629830, Ямало-Ненецкий автономный округ, ГОРОД ГУБКИНСКИЙ, Г ГУБКИНСКИЙ, СТР. 0013/7</t>
  </si>
  <si>
    <t>Линдт Николай Сергеевич</t>
  </si>
  <si>
    <t>44.97116,34.14314</t>
  </si>
  <si>
    <t>ОБЩЕСТВО С ОГРАНИЧЕННОЙ ОТВЕТСТВЕННОСТЬЮ "АВТОБЕТОН"</t>
  </si>
  <si>
    <t xml:space="preserve"> "АВТОБЕТОН"</t>
  </si>
  <si>
    <t>9101001840</t>
  </si>
  <si>
    <t>91-Республика Крым</t>
  </si>
  <si>
    <t>https://avtobeton-alushta.ru</t>
  </si>
  <si>
    <t>295022, КРЫМ РЕСПУБЛИКА, Г. СИМФЕРОПОЛЬ, УЛ. ЖЕНИ ДЕРЮГИНОЙ, Д. 1А, ОФИС 2</t>
  </si>
  <si>
    <t>Савицкий Андрей Леонидович</t>
  </si>
  <si>
    <t>+7 (978) 833-79-79', '+7 (978) 833-77-75'</t>
  </si>
  <si>
    <t>kiparis@rambler.ru', '1953@mail.ru'</t>
  </si>
  <si>
    <t>44.736379,34.401532</t>
  </si>
  <si>
    <t>ОБЩЕСТВО С ОГРАНИЧЕННОЙ ОТВЕТСТВЕННОСТЬЮ "АТАВА"</t>
  </si>
  <si>
    <t xml:space="preserve"> "АТАВА"</t>
  </si>
  <si>
    <t>9101004706</t>
  </si>
  <si>
    <t>298530, Республика Крым, г Алушта, с Лучистое, ул Шоссейная, д 22 Б</t>
  </si>
  <si>
    <t>Киланава Майя Ревазиевна</t>
  </si>
  <si>
    <t>+7 (978) 738-33-35'</t>
  </si>
  <si>
    <t>vasha_buhgalteriya@mail.ru'</t>
  </si>
  <si>
    <t>44.937806,34.093014</t>
  </si>
  <si>
    <t>ОБЩЕСТВО С ОГРАНИЧЕННОЙ ОТВЕТСТВЕННОСТЬЮ "ВЛАДОГРАД-БЕТОН"</t>
  </si>
  <si>
    <t xml:space="preserve"> "ВЛАДОГРАД-БЕТОН"</t>
  </si>
  <si>
    <t>9102004836</t>
  </si>
  <si>
    <t>295024, Республика Крым, г Симферополь, ул Севастопольская, д 62</t>
  </si>
  <si>
    <t>Адияров Рафик Искандарович</t>
  </si>
  <si>
    <t>+7 (978) 838-43-57'</t>
  </si>
  <si>
    <t>dudareva05@rambler.ru'</t>
  </si>
  <si>
    <t>ОБЩЕСТВО С ОГРАНИЧЕННОЙ ОТВЕТСТВЕННОСТЬЮ "АННА МАРИЯ И ПАРТНЕРЫ"</t>
  </si>
  <si>
    <t xml:space="preserve"> "АННА МАРИЯ И ПАРТНЕРЫ"</t>
  </si>
  <si>
    <t>9102017095</t>
  </si>
  <si>
    <t>295026, КРЫМ РЕСПУБЛИКА, Г. СИМФЕРОПОЛЬ, УЛ. ГАГАРИНА, Д. 14А, ЛИТЕРА В, ОФИС 424</t>
  </si>
  <si>
    <t>Звенигородский Юрий Александрович</t>
  </si>
  <si>
    <t>+7 (915) 244-91-01', '+7 (978) 846-02-70', '+7 (978) 809-72-09', '+7 (978) 761-04-83'</t>
  </si>
  <si>
    <t>karadenif@gmail.com'</t>
  </si>
  <si>
    <t>44.937168,34.057836</t>
  </si>
  <si>
    <t>ОБЩЕСТВО С ОГРАНИЧЕННОЙ ОТВЕТСТВЕННОСТЬЮ "ФИРМА "БАГИРА"</t>
  </si>
  <si>
    <t xml:space="preserve"> "ФИРМА "БАГИРА"</t>
  </si>
  <si>
    <t>9102025770</t>
  </si>
  <si>
    <t>295047, КРЫМ РЕСПУБЛИКА, Г. СИМФЕРОПОЛЬ, УЛ. ГЕРОЕВ СТАЛИНГРАДА, Д. 10</t>
  </si>
  <si>
    <t>Дубинский Андрей Александрович</t>
  </si>
  <si>
    <t>+7 (978) 846-80-26', '+7 (978) 758-00-76'</t>
  </si>
  <si>
    <t>ista2013@mail.ru'</t>
  </si>
  <si>
    <t>44.937168,34.071832</t>
  </si>
  <si>
    <t>ОБЩЕСТВО С ОГРАНИЧЕННОЙ ОТВЕТСТВЕННОСТЬЮ "МАК ТИС КРЫМ"</t>
  </si>
  <si>
    <t xml:space="preserve"> "МАК ТИС КРЫМ"</t>
  </si>
  <si>
    <t>9102027382</t>
  </si>
  <si>
    <t>295000, КРЫМ РЕСПУБЛИКА, ГОРОД СИМФЕРОПОЛЬ, УЛИЦА ГЕНЕРАЛА ВАСИЛЬЕВА, ДОМ 32Г, ОФИС 1</t>
  </si>
  <si>
    <t>+7 (978) 713-95-90', '+7 (978) 713-95-91'</t>
  </si>
  <si>
    <t>maktiss@ukr.net'</t>
  </si>
  <si>
    <t>44.96917,34.073647</t>
  </si>
  <si>
    <t>ОБЩЕСТВО С ОГРАНИЧЕННОЙ ОТВЕТСТВЕННОСТЬЮ ‹‹КРОСС››</t>
  </si>
  <si>
    <t xml:space="preserve"> ‹‹КРОСС››</t>
  </si>
  <si>
    <t>9102028072</t>
  </si>
  <si>
    <t>295014, КРЫМ РЕСПУБЛИКА, ГОРОД СИМФЕРОПОЛЬ, УЛИЦА УРОЖАЙНАЯ, ДОМ 1</t>
  </si>
  <si>
    <t>Егоров Владимир Михайлович</t>
  </si>
  <si>
    <t>+7 (978) 707-92-33'</t>
  </si>
  <si>
    <t>infocross@mail.ru', 'crimpko@mail.ru', 'pko@rambler.ru'</t>
  </si>
  <si>
    <t>44.912917,34.13846</t>
  </si>
  <si>
    <t>ОБЩЕСТВО С ОГРАНИЧЕННОЙ ОТВЕТСТВЕННОСТЬЮ "ПИЛОН"</t>
  </si>
  <si>
    <t xml:space="preserve"> "ПИЛОН"</t>
  </si>
  <si>
    <t>9102060284</t>
  </si>
  <si>
    <t>http://pilon-stone.ru</t>
  </si>
  <si>
    <t>295023, Республика Крым, г Симферополь, ул Беспалова, ДОМ 105</t>
  </si>
  <si>
    <t>Коган Ольга Николаевна</t>
  </si>
  <si>
    <t>74@mail.ru'</t>
  </si>
  <si>
    <t xml:space="preserve"> "КРЫМБЕТОН"</t>
  </si>
  <si>
    <t>9102061898</t>
  </si>
  <si>
    <t>+7 (978) 903-23-23', '+7 (978) 970-70-70'</t>
  </si>
  <si>
    <t>plus@yandex.ru', 'crimbeton2015@yandex.ru'</t>
  </si>
  <si>
    <t>44.96322,34.111618</t>
  </si>
  <si>
    <t>ОБЩЕСТВО С ОГРАНИЧЕННОЙ ОТВЕТСТВЕННОСТЬЮ "СЕВЕР-ЮГ"</t>
  </si>
  <si>
    <t xml:space="preserve"> "СЕВЕР-ЮГ"</t>
  </si>
  <si>
    <t>9102067233</t>
  </si>
  <si>
    <t>295034, КРЫМ РЕСПУБЛИКА, Г. СИМФЕРОПОЛЬ, УЛ. КУЙБЫШЕВА, Д. 25,..</t>
  </si>
  <si>
    <t>Будий Василий Богданович</t>
  </si>
  <si>
    <t>+7 (978) 782-99-60', '+7 (978) 103-82-22', '+7 (978) 103-82-22'</t>
  </si>
  <si>
    <t>u2021@mail.ru', 'ob_anna@mail.ru'</t>
  </si>
  <si>
    <t>ОБЩЕСТВО С ОГРАНИЧЕННОЙ ОТВЕТСТВЕННОСТЬЮ "ГРЕБЕТОН"</t>
  </si>
  <si>
    <t xml:space="preserve"> "ГРЕБЕТОН"</t>
  </si>
  <si>
    <t>9102178511</t>
  </si>
  <si>
    <t>295047, КРЫМ РЕСПУБЛИКА, Г. СИМФЕРОПОЛЬ, УЛ. УЗЛОВАЯ, Д. 20, ЛИТЕРА Л, ПОМЕЩ. 4</t>
  </si>
  <si>
    <t>Ридченко Денис Александрович</t>
  </si>
  <si>
    <t>+7 (978) 870-31-11', '+7 (978) 771-29-66', '+7 (978) 771-29-66'</t>
  </si>
  <si>
    <t>44.972116,34.079863</t>
  </si>
  <si>
    <t>ОБЩЕСТВО С ОГРАНИЧЕННОЙ ОТВЕТСТВЕННОСТЬЮ "СТРОЙАВТОТРАНС"</t>
  </si>
  <si>
    <t xml:space="preserve"> "СТРОЙАВТОТРАНС"</t>
  </si>
  <si>
    <t>9102196711</t>
  </si>
  <si>
    <t>295018, КРЫМ РЕСПУБЛИКА, Г. СИМФЕРОПОЛЬ, УЛ. КИМ, Д. 81</t>
  </si>
  <si>
    <t>Шинкаренко Елена Владимировна</t>
  </si>
  <si>
    <t>+7 (978) 845-40-85'</t>
  </si>
  <si>
    <t>stroyautotrans@mail.ru'</t>
  </si>
  <si>
    <t>ОБЩЕСТВО С ОГРАНИЧЕННОЙ ОТВЕТСТВЕННОСТЬЮ "БАУМИКС"</t>
  </si>
  <si>
    <t xml:space="preserve"> "БАУМИКС"</t>
  </si>
  <si>
    <t>9102214640</t>
  </si>
  <si>
    <t>295493, КРЫМ РЕСПУБЛИКА, ГОРОД СИМФЕРОПОЛЬ, ПОСЕЛОК ГОРОДСКОГО ТИПА ГРЭСОВСКИЙ, УЛИЦА ВЛАДИМИРА ВЫСОЦКОГО, ДОМ 2</t>
  </si>
  <si>
    <t>Сидоренко Валерий Владимирович</t>
  </si>
  <si>
    <t>+7 (912) 230-32-33'</t>
  </si>
  <si>
    <t>44.940071,34.125381</t>
  </si>
  <si>
    <t>ОБЩЕСТВО С ОГРАНИЧЕННОЙ ОТВЕТСТВЕННОСТЬЮ "СПЕЦТЕХКРЫМ"</t>
  </si>
  <si>
    <t xml:space="preserve"> "СПЕЦТЕХКРЫМ"</t>
  </si>
  <si>
    <t>9102215650</t>
  </si>
  <si>
    <t>295007, Республика Крым, городской округ СИМФЕРОПОЛЬ, Город СИМФЕРОПОЛЬ, УЛ ПЕРВОМАЙСКАЯ, Д. 3В, ПОМЕЩ. 2</t>
  </si>
  <si>
    <t>+7 (978) 788-80-00'</t>
  </si>
  <si>
    <t>crim@mail.ru'</t>
  </si>
  <si>
    <t>44.969833,34.095009</t>
  </si>
  <si>
    <t>ОБЩЕСТВО С ОГРАНИЧЕННОЙ ОТВЕТСТВЕННОСТЬЮ "АРГУС"</t>
  </si>
  <si>
    <t xml:space="preserve"> "АРГУС"</t>
  </si>
  <si>
    <t>9102216894</t>
  </si>
  <si>
    <t>295026, Республика Крым, городской округ СИМФЕРОПОЛЬ, Город СИМФЕРОПОЛЬ, УЛ ГАЙДАРА, Д. 4Б, ОФИС 19</t>
  </si>
  <si>
    <t>Загородний Антон Евгеньевич</t>
  </si>
  <si>
    <t>+7 (978) 000-99-40'</t>
  </si>
  <si>
    <t>44.972276,34.123872</t>
  </si>
  <si>
    <t>ОБЩЕСТВО С ОГРАНИЧЕННОЙ ОТВЕТСТВЕННОСТЬЮ "БЕТОН-КРЫМ-СТРОЙ"</t>
  </si>
  <si>
    <t xml:space="preserve"> "БЕТОН-КРЫМ-СТРОЙ"</t>
  </si>
  <si>
    <t>9102224398</t>
  </si>
  <si>
    <t>295022, Республика Крым, городской округ СИМФЕРОПОЛЬ, Город СИМФЕРОПОЛЬ, ПРОЕЗД КРАСНОДАРСКИЙ, Д. 6,</t>
  </si>
  <si>
    <t>Сериков Антон Игоревич</t>
  </si>
  <si>
    <t>+7 (978) 101-63-72'</t>
  </si>
  <si>
    <t>ekonomeks@ukr.net', 'logonat@mail.ru'</t>
  </si>
  <si>
    <t>44.503914,34.167305</t>
  </si>
  <si>
    <t>ОБЩЕСТВО С ОГРАНИЧЕННОЙ ОТВЕТСТВЕННОСТЬЮ "МОНОЛИТ-АЛЬЯНС"</t>
  </si>
  <si>
    <t xml:space="preserve"> "МОНОЛИТ-АЛЬЯНС"</t>
  </si>
  <si>
    <t>9102237220</t>
  </si>
  <si>
    <t>298612, КРЫМ РЕСПУБЛИКА, Г. ЯЛТА, УЛ. КИЕВСКАЯ, Д. 24-Б, ОФИС 5-8</t>
  </si>
  <si>
    <t>Пунько Виталий Иванович</t>
  </si>
  <si>
    <t>+7 (978) 843-81-69'</t>
  </si>
  <si>
    <t>45.015435,34.024859</t>
  </si>
  <si>
    <t>ОБЩЕСТВО С ОГРАНИЧЕННОЙ ОТВЕТСТВЕННОСТЬЮ "КРЫМИНВЕСТСТРОЙ"</t>
  </si>
  <si>
    <t xml:space="preserve"> "КРЫМИНВЕСТСТРОЙ"</t>
  </si>
  <si>
    <t>9102243785</t>
  </si>
  <si>
    <t>295494, КРЫМ РЕСП, СИМФЕРОПОЛЬ Г, КОМСОМОЛЬСКОЕ ПГТ, ЗЕЛЕНАЯ УЛ, ДОМ 11А, ОФИС 1</t>
  </si>
  <si>
    <t>Игнатов Константин Геннадьевич</t>
  </si>
  <si>
    <t>+7 (978) 758-30-50'</t>
  </si>
  <si>
    <t>buh@kriminveststroy.ru'</t>
  </si>
  <si>
    <t>44.929371,34.082199</t>
  </si>
  <si>
    <t>ОБЩЕСТВО С ОГРАНИЧЕННОЙ ОТВЕТСТВЕННОСТЬЮ "АЛЕНКОМП БЕТОН"</t>
  </si>
  <si>
    <t xml:space="preserve"> "АЛЕНКОМП БЕТОН"</t>
  </si>
  <si>
    <t>9102282463</t>
  </si>
  <si>
    <t>295013, Республика Крым, СИМФЕРОПОЛЬ, Г СИМФЕРОПОЛЬ, УЛ СЕВАСТОПОЛЬСКАЯ, Д. 43Ж</t>
  </si>
  <si>
    <t>Шевченко Виктор Михайлович</t>
  </si>
  <si>
    <t>44.507784,34.142323</t>
  </si>
  <si>
    <t>ОБЩЕСТВО С ОГРАНИЧЕННОЙ ОТВЕТСТВЕННОСТЬЮ "ДАРСАН-ИНДУСТРИЯ"</t>
  </si>
  <si>
    <t xml:space="preserve"> "ДАРСАН-ИНДУСТРИЯ"</t>
  </si>
  <si>
    <t>9103002052</t>
  </si>
  <si>
    <t>298600, КРЫМ РЕСПУБЛИКА, Г. ЯЛТА, УЛ. ДАРСАНОВСКАЯ, Д. 14, ЛИТЕРА Б</t>
  </si>
  <si>
    <t>+7 (978) 856-56-86'</t>
  </si>
  <si>
    <t>44.507881,34.159085</t>
  </si>
  <si>
    <t>ОБЩЕСТВО С ОГРАНИЧЕННОЙ ОТВЕТСТВЕННОСТЬЮ "ЯСАКА"</t>
  </si>
  <si>
    <t xml:space="preserve"> "ЯСАКА"</t>
  </si>
  <si>
    <t>9103008640</t>
  </si>
  <si>
    <t>298600, КРЫМ РЕСПУБЛИКА, ГОРОД ЯЛТА, ШОССЕ ЮЖНОБЕРЕЖНОЕ, ДОМ 51, ЛИТЕРА Г</t>
  </si>
  <si>
    <t>Егина Марина Павловна</t>
  </si>
  <si>
    <t>+7 (978) 861-87-17'</t>
  </si>
  <si>
    <t>yasaka@list.ru'</t>
  </si>
  <si>
    <t>44.418355,34.000677</t>
  </si>
  <si>
    <t>ОБЩЕСТВО С ОГРАНИЧЕННОЙ ОТВЕТСТВЕННОСТЬЮ "ЯЛТИНСКИЙ БЕТОННЫЙ ЗАВОД №1"</t>
  </si>
  <si>
    <t xml:space="preserve"> "ЯЛТИНСКИЙ БЕТОННЫЙ ЗАВОД №1"</t>
  </si>
  <si>
    <t>9103013833</t>
  </si>
  <si>
    <t>298685, КРЫМ РЕСПУБЛИКА, ГОРОД ЯЛТА, ПОСЕЛОК ГОРОДСКОГО ТИПА ГОЛУБОЙ ЗАЛИВ, УЛИЦА ВЛАДИМИРА И ЛАРИСЫ ТАРЕЕВЫХ, ДОМ 12, ЛИТЕРА А</t>
  </si>
  <si>
    <t>Шеваренков Леонид Михайлович</t>
  </si>
  <si>
    <t>+7 (978) 778-94-78'</t>
  </si>
  <si>
    <t>bochkovkina@mail.ru'</t>
  </si>
  <si>
    <t>44.493113,34.137508</t>
  </si>
  <si>
    <t>ОБЩЕСТВО С ОГРАНИЧЕННОЙ ОТВЕТСТВЕННОСТЬЮ "ЮГКУРОРТИНВЕСТ"</t>
  </si>
  <si>
    <t xml:space="preserve"> "ЮГКУРОРТИНВЕСТ"</t>
  </si>
  <si>
    <t>9103015083</t>
  </si>
  <si>
    <t>298637, КРЫМ РЕСПУБЛИКА, ГОРОД ЯЛТА, УЛИЦА КРАСНЫХ ПАРТИЗАН, ДОМ 14, ОФИС 16-2</t>
  </si>
  <si>
    <t>Куртасанов Али Межитович</t>
  </si>
  <si>
    <t>+7 (978) 064-82-78', '+7 (978) 061-09-44'</t>
  </si>
  <si>
    <t>yaltapanorama@yandex.ru', 'vvvagin@gmail.com', 'lyayalta1@gmail.com'</t>
  </si>
  <si>
    <t>44.503265,34.144497</t>
  </si>
  <si>
    <t>ОБЩЕСТВО С ОГРАНИЧЕННОЙ ОТВЕТСТВЕННОСТЬЮ "АЛИС"</t>
  </si>
  <si>
    <t xml:space="preserve"> "АЛИС"</t>
  </si>
  <si>
    <t>9103084288</t>
  </si>
  <si>
    <t>298600, КРЫМ РЕСПУБЛИКА, ГОРОД ЯЛТА, УЛИЦА ДАРСАНОВСКАЯ, ДОМ 6, ЛИТЕР А, ОФИС 5</t>
  </si>
  <si>
    <t>Бородин Юрий Сергеевич</t>
  </si>
  <si>
    <t>+7 (978) 043-34-73'</t>
  </si>
  <si>
    <t>44.494778,34.165823</t>
  </si>
  <si>
    <t>ОБЩЕСТВО С ОГРАНИЧЕННОЙ ОТВЕТСТВЕННОСТЬЮ "ЦЕНТРБЕТОН-ЮГ"</t>
  </si>
  <si>
    <t xml:space="preserve"> "ЦЕНТРБЕТОН-ЮГ"</t>
  </si>
  <si>
    <t>9103088469</t>
  </si>
  <si>
    <t>298600, КРЫМ РЕСПУБЛИКА, ГОРОД ЯЛТА, УЛИЦА ИМЕНИ АРХИТЕКТОРА КРАСНОВА Н.П., ДОМ 1А, ОФИС 1</t>
  </si>
  <si>
    <t>Жижома Даниил Валерьевич</t>
  </si>
  <si>
    <t>+7 (978) 988-58-05'</t>
  </si>
  <si>
    <t>2332030@inbox.ru'</t>
  </si>
  <si>
    <t>44.600086,34.354864</t>
  </si>
  <si>
    <t>ОБЩЕСТВО С ОГРАНИЧЕННОЙ ОТВЕТСТВЕННОСТЬЮ "ТРАНСБЕТОНСТРОЙ"</t>
  </si>
  <si>
    <t xml:space="preserve"> "ТРАНСБЕТОНСТРОЙ"</t>
  </si>
  <si>
    <t>9103090394</t>
  </si>
  <si>
    <t>298540, КРЫМ РЕСПУБЛИКА, ГОРОД АЛУШТА, СЕЛО КИПАРИСНОЕ, УЛИЦА СТРОИТЕЛЬНАЯ, ДОМ 11</t>
  </si>
  <si>
    <t>Савицкая Олеся Андреевна</t>
  </si>
  <si>
    <t>44.502455,34.165446</t>
  </si>
  <si>
    <t>ОБЩЕСТВО С ОГРАНИЧЕННОЙ ОТВЕТСТВЕННОСТЬЮ "ПАЛЬМИРА"</t>
  </si>
  <si>
    <t xml:space="preserve"> "ПАЛЬМИРА"</t>
  </si>
  <si>
    <t>9103097520</t>
  </si>
  <si>
    <t>298600, КРЫМ РЕСП., Г. Ялта, УЛ. ЛЕНИНГРАДСКАЯ, Д. 11, ЭТАЖ 1,..</t>
  </si>
  <si>
    <t>Моисеева Марина Александровна</t>
  </si>
  <si>
    <t>44.9792,34.134265</t>
  </si>
  <si>
    <t xml:space="preserve"> "ДОРСТРОЙ"</t>
  </si>
  <si>
    <t>9104009011</t>
  </si>
  <si>
    <t>295022, Республика Крым, городской округ СИМФЕРОПОЛЬ, Город СИМФЕРОПОЛЬ, УЛ МЕХАНИЗАТОРОВ, ЗД. 66, ОФИС 3</t>
  </si>
  <si>
    <t>Стояк Сергей Александрович</t>
  </si>
  <si>
    <t>+7 (978) 880-27-17'</t>
  </si>
  <si>
    <t>44.76411,33.851062</t>
  </si>
  <si>
    <t>ОБЩЕСТВО С ОГРАНИЧЕННОЙ ОТВЕТСТВЕННОСТЬЮ "БЕТОРЕСУРС"</t>
  </si>
  <si>
    <t xml:space="preserve"> "БЕТОРЕСУРС"</t>
  </si>
  <si>
    <t>9106000286</t>
  </si>
  <si>
    <t>298403, КРЫМ РЕСПУБЛИКА, РАЙОН БАХЧИСАРАЙСКИЙ, ГОРОД БАХЧИСАРАЙ, УЛИЦА ПОДГОРОДНЯЯ, ДОМ 87-Б</t>
  </si>
  <si>
    <t>Захаров Сергей Алексеевич</t>
  </si>
  <si>
    <t>+7 (978) 733-18-06', '+7 (978) 735-34-15', '+7 (978) 735-34-15'</t>
  </si>
  <si>
    <t>eteri2@mail.ru'</t>
  </si>
  <si>
    <t>45.202773,33.351527</t>
  </si>
  <si>
    <t>ОБЩЕСТВО С ОГРАНИЧЕННОЙ ОТВЕТСТВЕННОСТЬЮ "СПЕЦИАЛИЗИРОВАННАЯ ПРОИЗВОДСТВЕННАЯ ГРУППА "КРЫМ"</t>
  </si>
  <si>
    <t xml:space="preserve"> "СПЕЦИАЛИЗИРОВАННАЯ ПРОИЗВОДСТВЕННАЯ ГРУППА "КРЫМ"</t>
  </si>
  <si>
    <t>9107039896</t>
  </si>
  <si>
    <t>297420, КРЫМ РЕСПУБЛИКА, Г. ЕВПАТОРИЯ, УЛ. ИМ.9-ГО МАЯ, Д. 45Б, ПОМЕЩ. 1</t>
  </si>
  <si>
    <t>Курочкин Игорь Валерьевич</t>
  </si>
  <si>
    <t>+7 (903) 789-34-07'</t>
  </si>
  <si>
    <t>45.047769,35.376159</t>
  </si>
  <si>
    <t>ОБЩЕСТВО С ОГРАНИЧЕННОЙ ОТВЕТСТВЕННОСТЬЮ "ПЕРИК"</t>
  </si>
  <si>
    <t xml:space="preserve"> "ПЕРИК"</t>
  </si>
  <si>
    <t>9108002514</t>
  </si>
  <si>
    <t>298112, КРЫМ РЕСП, Г. Феодосия, Б-Р СТАРШИНОВА, Д. 10А,..</t>
  </si>
  <si>
    <t>Сырвачева Татьяна Геннадиевна</t>
  </si>
  <si>
    <t>+7 (978) 825-96-10'</t>
  </si>
  <si>
    <t>perik_beton@mail.ru'</t>
  </si>
  <si>
    <t>44.86602,34.994941</t>
  </si>
  <si>
    <t>ОБЩЕСТВО С ОГРАНИЧЕННОЙ ОТВЕТСТВЕННОСТЬЮ "ТРАНСЭКСПЕДИЦИЯ"</t>
  </si>
  <si>
    <t xml:space="preserve"> "ТРАНСЭКСПЕДИЦИЯ"</t>
  </si>
  <si>
    <t>9108003846</t>
  </si>
  <si>
    <t>298000, КРЫМ РЕСПУБЛИКА, Г. СУДАК, ТУП. ПОЛЯРНЫЙ, Д. 8</t>
  </si>
  <si>
    <t>Теплов Максим Викторович</t>
  </si>
  <si>
    <t>+7 (978) 798-67-69', '+7 (978) 860-53-09'</t>
  </si>
  <si>
    <t>olya_mirkulova@mail.ru', 'lv@energotour.ru'</t>
  </si>
  <si>
    <t>44.863969,34.9923</t>
  </si>
  <si>
    <t>ОБЩЕСТВО С ОГРАНИЧЕННОЙ ОТВЕТСТВЕННОСТЬЮ "РЕЗЕРВ"</t>
  </si>
  <si>
    <t xml:space="preserve"> "РЕЗЕРВ"</t>
  </si>
  <si>
    <t>9108007015</t>
  </si>
  <si>
    <t>298000, КРЫМ РЕСПУБЛИКА, ГОРОД СУДАК, ТУПИК ПОЛЯРНЫЙ, ДОМ 4А, СТРОЕНИЕ 4, ПОМЕЩЕНИЕ 2</t>
  </si>
  <si>
    <t>Сейтхалилов Эсвет Исмаилович</t>
  </si>
  <si>
    <t>+7 (978) 726-99-08'</t>
  </si>
  <si>
    <t>ujenya@gmail.com'</t>
  </si>
  <si>
    <t>ОБЩЕСТВО С ОГРАНИЧЕННОЙ ОТВЕТСТВЕННОСТЬЮ "АЛЛА ПРИМА"</t>
  </si>
  <si>
    <t xml:space="preserve"> "АЛЛА ПРИМА"</t>
  </si>
  <si>
    <t>9108103671</t>
  </si>
  <si>
    <t>298107, КРЫМ РЕСПУБЛИКА, Г. ФЕОДОСИЯ, УЛ. 3-ГО ИНТЕРНАЦИОНАЛА, Д. 29А</t>
  </si>
  <si>
    <t>+7 (978) 818-21-95'</t>
  </si>
  <si>
    <t>allaprimaesv@gmail.com'</t>
  </si>
  <si>
    <t>44.963909,34.077348</t>
  </si>
  <si>
    <t>ОБЩЕСТВО С ОГРАНИЧЕННОЙ ОТВЕТСТВЕННОСТЬЮ "КРЫМДОРОГИ"</t>
  </si>
  <si>
    <t xml:space="preserve"> "КРЫМДОРОГИ"</t>
  </si>
  <si>
    <t>9108103978</t>
  </si>
  <si>
    <t>295014, КРЫМ РЕСПУБЛИКА, Г. СИМФЕРОПОЛЬ, УЛ. МРАМОРНАЯ, Д. 6, ПОМЕЩ. 2</t>
  </si>
  <si>
    <t>Крылов Роман Викторович</t>
  </si>
  <si>
    <t>+7 (978) 864-26-39'</t>
  </si>
  <si>
    <t>kafa@gmail.com'</t>
  </si>
  <si>
    <t>45.038515,35.120364</t>
  </si>
  <si>
    <t>ОБЩЕСТВО С ОГРАНИЧЕННОЙ ОТВЕТСТВЕННОСТЬЮ "БЕТТАВР"</t>
  </si>
  <si>
    <t xml:space="preserve"> "БЕТТАВР"</t>
  </si>
  <si>
    <t>9108121896</t>
  </si>
  <si>
    <t>297345, КРЫМ РЕСПУБЛИКА, РАЙОН КИРОВСКИЙ, ГОРОД СТАРЫЙ КРЫМ, УЛИЦА ЛЕНИНА, ДОМ 1, СТРОЕНИЕ Б</t>
  </si>
  <si>
    <t>Сивцев Александр Сергеевич</t>
  </si>
  <si>
    <t>+7 (978) 101-16-01'</t>
  </si>
  <si>
    <t>45.046406,33.994721</t>
  </si>
  <si>
    <t>ОБЩЕСТВО С ОГРАНИЧЕННОЙ ОТВЕТСТВЕННОСТЬЮ "БЕТОСИТИ"</t>
  </si>
  <si>
    <t xml:space="preserve"> "БЕТОСИТИ"</t>
  </si>
  <si>
    <t>9109004962</t>
  </si>
  <si>
    <t>297536, КРЫМ РЕСПУБЛИКА, Р-Н СИМФЕРОПОЛЬСКИЙ, С УКРОМНОЕ, УЛ. ЗАВОДСКАЯ, Д. 2А</t>
  </si>
  <si>
    <t>Ткачёв Александр Александрович</t>
  </si>
  <si>
    <t>+7 (978) 745-46-11', '+7 (365) 222-12-78'</t>
  </si>
  <si>
    <t>ooobetocity@gmail.com'</t>
  </si>
  <si>
    <t>44.671334,34.400023</t>
  </si>
  <si>
    <t>ОБЩЕСТВО С ОГРАНИЧЕННОЙ ОТВЕТСТВЕННОСТЬЮ "КРЫМ КОНСТРАКШН"</t>
  </si>
  <si>
    <t xml:space="preserve"> "КРЫМ КОНСТРАКШН"</t>
  </si>
  <si>
    <t>9109017560</t>
  </si>
  <si>
    <t>298515, КРЫМ РЕСПУБЛИКА, Г. АЛУШТА, УЛ. ШКОЛЬНАЯ, Д. 19, БЛОК Б-2, ПОМЕЩ. 2</t>
  </si>
  <si>
    <t>Гончаров Вячеслав Петрович</t>
  </si>
  <si>
    <t>ОБЩЕСТВО С ОГРАНИЧЕННОЙ ОТВЕТСТВЕННОСТЬЮ "КРЫМ БЕТОН"</t>
  </si>
  <si>
    <t xml:space="preserve"> "КРЫМ БЕТОН"</t>
  </si>
  <si>
    <t>9109019736</t>
  </si>
  <si>
    <t>295051, КРЫМ РЕСПУБЛИКА, Г. СИМФЕРОПОЛЬ, УЛ. ГЕНЕРАЛА ВАСИЛЬЕВА, Д. 30К, ЛИТЕРА I</t>
  </si>
  <si>
    <t>Шатов Роман Александрович</t>
  </si>
  <si>
    <t>+7 (978) 898-08-30', '+7 (978) 825-24-44'</t>
  </si>
  <si>
    <t>45.067583,33.992259</t>
  </si>
  <si>
    <t>ОБЩЕСТВО С ОГРАНИЧЕННОЙ ОТВЕТСТВЕННОСТЬЮ "ТОРГОВЫЙ ДОМ "СТРОИТЕЛЬНАЯ ЛОГИСТИЧЕСКАЯ КОМПАНИЯ"</t>
  </si>
  <si>
    <t xml:space="preserve"> "ТОРГОВЫЙ ДОМ "СТРОИТЕЛЬНАЯ ЛОГИСТИЧЕСКАЯ КОМПАНИЯ"</t>
  </si>
  <si>
    <t>9109023669</t>
  </si>
  <si>
    <t>297536, КРЫМ РЕСПУБЛИКА, СИМФЕРОПОЛЬСКИЙ РАЙОН, СЕЛО УКРОМНОЕ, УЛИЦА КОСМИЧЕСКАЯ, ДОМ 41</t>
  </si>
  <si>
    <t>Жабенко Виктор Викторович</t>
  </si>
  <si>
    <t>+7 (978) 030-81-12'</t>
  </si>
  <si>
    <t>45.212857,33.35521</t>
  </si>
  <si>
    <t>ОБЩЕСТВО С ОГРАНИЧЕННОЙ ОТВЕТСТВЕННОСТЬЮ «ГОРИЗОНТ»</t>
  </si>
  <si>
    <t xml:space="preserve"> «ГОРИЗОНТ»</t>
  </si>
  <si>
    <t>9110001606</t>
  </si>
  <si>
    <t>297400, КРЫМ РЕСПУБЛИКА, Г. ЕВПАТОРИЯ, ПР-Д МОНТАЖНИКОВ, Д. 9А</t>
  </si>
  <si>
    <t>Любчик Сергей Степанович</t>
  </si>
  <si>
    <t>+7 (978) 713-53-88', '+7 (365) 694-48-42', '+7 (978) 829-45-89'</t>
  </si>
  <si>
    <t>cokol2008@gmail.com', 'belareka@ukr.net', 'ugz@yandex.ru'</t>
  </si>
  <si>
    <t>45.501636,32.729623</t>
  </si>
  <si>
    <t>ОБЩЕСТВО С ОГРАНИЧЕННОЙ ОТВЕТСТВЕННОСТЬЮ "ЮРЭМ"</t>
  </si>
  <si>
    <t xml:space="preserve"> "ЮРЭМ"</t>
  </si>
  <si>
    <t>9110007460</t>
  </si>
  <si>
    <t>296410, КРЫМ РЕСПУБЛИКА, Р-Н ЧЕРНОМОРСКИЙ, С НОВОСЕЛЬСКОЕ, УЛ. КОМСОМОЛЬСКАЯ, Д. 35</t>
  </si>
  <si>
    <t>Ильясов Эмиль Раисович</t>
  </si>
  <si>
    <t>+7 (978) 710-25-91', '+7 (978) 036-42-34'</t>
  </si>
  <si>
    <t>alexpravogrup@yandex.ru'</t>
  </si>
  <si>
    <t>45.229103,33.359693</t>
  </si>
  <si>
    <t>ОБЩЕСТВО С ОГРАНИЧЕННОЙ ОТВЕТСТВЕННОСТЬЮ "ЗАПАДНЫЙ БЕРЕГ"</t>
  </si>
  <si>
    <t xml:space="preserve"> "ЗАПАДНЫЙ БЕРЕГ"</t>
  </si>
  <si>
    <t>9110023374</t>
  </si>
  <si>
    <t>297420, КРЫМ РЕСПУБЛИКА, Г. ЕВПАТОРИЯ, Ш. КРАСНОЯРСКОЕ, Д. 32, ОФИС 2</t>
  </si>
  <si>
    <t>Тищенко Евгений Сергеевич</t>
  </si>
  <si>
    <t>+7 (978) 899-87-97', '+7 (978) 726-11-17'</t>
  </si>
  <si>
    <t>garantkrymservis@mail.ru'</t>
  </si>
  <si>
    <t>45.21447,33.345454</t>
  </si>
  <si>
    <t>ОБЩЕСТВО С ОГРАНИЧЕННОЙ ОТВЕТСТВЕННОСТЬЮ «РС ГРУПП»</t>
  </si>
  <si>
    <t xml:space="preserve"> «РС ГРУПП»</t>
  </si>
  <si>
    <t>9110024561</t>
  </si>
  <si>
    <t>297407, Республика Крым, городской округ ЕВПАТОРИЯ, Город ЕВПАТОРИЯ, ПР-КТ ПОБЕДЫ, СТР. 66,</t>
  </si>
  <si>
    <t>Полуянов Владимир Владимирович</t>
  </si>
  <si>
    <t>+7 (978) 985-80-10'</t>
  </si>
  <si>
    <t>45.205751,33.303269</t>
  </si>
  <si>
    <t>ОБЩЕСТВО С ОГРАНИЧЕННОЙ ОТВЕТСТВЕННОСТЬЮ "БЕТОН ВСЕМ"</t>
  </si>
  <si>
    <t xml:space="preserve"> "БЕТОН ВСЕМ"</t>
  </si>
  <si>
    <t>9110026181</t>
  </si>
  <si>
    <t>296555, Республика Крым, муниципальный район САКСКИЙ, Село УЮТНОЕ, сельское поселение УЮТНЕНСКОЕ, УЛ КРЫМСКАЯ, ЗД. 38,</t>
  </si>
  <si>
    <t>Сапарбиев Идрис Кутузович</t>
  </si>
  <si>
    <t>+7 (978) 540-67-02'</t>
  </si>
  <si>
    <t>45.208088,33.389966</t>
  </si>
  <si>
    <t>ОБЩЕСТВО С ОГРАНИЧЕННОЙ ОТВЕТСТВЕННОСТЬЮ "ГЛОБАЛ КОНСТРАКШН"</t>
  </si>
  <si>
    <t xml:space="preserve"> "ГЛОБАЛ КОНСТРАКШН"</t>
  </si>
  <si>
    <t>9110029432</t>
  </si>
  <si>
    <t>Республика Крым, ЕВПАТОРИЯ, Г ЕВПАТОРИЯ, Ш НОВОСЁЛОВСКОЕ, Д. 1Ж</t>
  </si>
  <si>
    <t>Богачёв Максим Юрьевич</t>
  </si>
  <si>
    <t>GLOBALCONSTRUCTION82@MAIL.RU'</t>
  </si>
  <si>
    <t>45.213568,33.354563</t>
  </si>
  <si>
    <t>ОБЩЕСТВО С ОГРАНИЧЕННОЙ ОТВЕТСТВЕННОСТЬЮ "ТИМЕР-БЕТОН КРЫМ"</t>
  </si>
  <si>
    <t xml:space="preserve"> "ТИМЕР-БЕТОН КРЫМ"</t>
  </si>
  <si>
    <t>9110030420</t>
  </si>
  <si>
    <t>297420, Республика Крым, городской округ ЕВПАТОРИЯ, Город ЕВПАТОРИЯ, Ш ЧЕРНОМОРСКОЕ, Д. 17В, ЛИТЕРА Г, ПОМЕЩ. 1</t>
  </si>
  <si>
    <t>Петрунин Николай Михайлович</t>
  </si>
  <si>
    <t>45.339186,36.429694</t>
  </si>
  <si>
    <t>ОБЩЕСТВО С ОГРАНИЧЕННОЙ ОТВЕТСТВЕННОСТЬЮ "БОСПОРЭКОСТРОЙ"</t>
  </si>
  <si>
    <t xml:space="preserve"> "БОСПОРЭКОСТРОЙ"</t>
  </si>
  <si>
    <t>9111012287</t>
  </si>
  <si>
    <t>298330, КРЫМ РЕСП, КЕРЧЬ Г, ИНДУСТРИАЛЬНОЕ Ш, ДОМ 9Б, КОРПУС А,..</t>
  </si>
  <si>
    <t>Павловский Кирилл Борисович</t>
  </si>
  <si>
    <t>+7 (978) 714-19-53', '+7 (978) 820-94-24'</t>
  </si>
  <si>
    <t>ykotelnik@yandex.ua', 'bosporekostroy@mail.ru'</t>
  </si>
  <si>
    <t>45.342962,36.437725</t>
  </si>
  <si>
    <t>ОБЩЕСТВО С ОГРАНИЧЕННОЙ ОТВЕТСТВЕННОСТЬЮ «ПК СТРОЙБЕТОНСТАНДАРТ»</t>
  </si>
  <si>
    <t xml:space="preserve"> «ПК СТРОЙБЕТОНСТАНДАРТ»</t>
  </si>
  <si>
    <t>9111025790</t>
  </si>
  <si>
    <t>298330, КРЫМ РЕСПУБЛИКА, Г. КЕРЧЬ, Ш. ИНДУСТРИАЛЬНОЕ, Д. 11, ЛИТЕР Л, ПОМЕЩ. 67</t>
  </si>
  <si>
    <t>Александрова Лариса Эдуардовна</t>
  </si>
  <si>
    <t>+7 (978) 798-44-91'</t>
  </si>
  <si>
    <t>sbstandart@list.ru'</t>
  </si>
  <si>
    <t>ОБЩЕСТВО С ОГРАНИЧЕННОЙ ОТВЕТСТВЕННОСТЬЮ "МАКСИМА-ТРЕЙД"</t>
  </si>
  <si>
    <t xml:space="preserve"> "МАКСИМА-ТРЕЙД"</t>
  </si>
  <si>
    <t>9200000678</t>
  </si>
  <si>
    <t>92-г. Севастополь</t>
  </si>
  <si>
    <t>299014, СЕВАСТОПОЛЬ Г., Ш. КАМЫШОВОЕ, Д. 23А, ПОМЕЩ. 3</t>
  </si>
  <si>
    <t>Савчук Сергей Петрович</t>
  </si>
  <si>
    <t>44.606491,33.520653</t>
  </si>
  <si>
    <t>ОБЩЕСТВО С ОГРАНИЧЕННОЙ ОТВЕТСТВЕННОСТЬЮ "ПРОМСТРОЙКРЫМ"</t>
  </si>
  <si>
    <t xml:space="preserve"> "ПРОМСТРОЙКРЫМ"</t>
  </si>
  <si>
    <t>9200005186</t>
  </si>
  <si>
    <t>299011, СЕВАСТОПОЛЬ Г., УЛ. ОДЕССКАЯ, Д. 27-Б, ОФИС 3 ПОМЕЩ. XI-6</t>
  </si>
  <si>
    <t>Попов Игорь Викторович</t>
  </si>
  <si>
    <t>44.582986,33.477408</t>
  </si>
  <si>
    <t>ОБЩЕСТВО С ОГРАНИЧЕННОЙ ОТВЕТСТВЕННОСТЬЮ "СЕВМОССТРОЙ"</t>
  </si>
  <si>
    <t xml:space="preserve"> "СЕВМОССТРОЙ"</t>
  </si>
  <si>
    <t>9200005676</t>
  </si>
  <si>
    <t>299053, СЕВАСТОПОЛЬ Г., УЛ. ВАКУЛЕНЧУКА, Д. 53, К. 5, ОФИС 1</t>
  </si>
  <si>
    <t>AGATAFILCHENKO@YANDEX.RU'</t>
  </si>
  <si>
    <t>44.590041,33.479303</t>
  </si>
  <si>
    <t>ОБЩЕСТВО С ОГРАНИЧЕННОЙ ОТВЕТСТВЕННОСТЬЮ "СЕВБЕТОН ПЛЮС"</t>
  </si>
  <si>
    <t xml:space="preserve"> "СЕВБЕТОН ПЛЮС"</t>
  </si>
  <si>
    <t>9201003495</t>
  </si>
  <si>
    <t>299053, СЕВАСТОПОЛЬ ГОРОД, УЛИЦА ВАКУЛЕНЧУКА, ДОМ 26, ОФИС 5</t>
  </si>
  <si>
    <t>Иванищев Петр Николаевич</t>
  </si>
  <si>
    <t>baidarbeton@ukr.net', 'betonservis@yandex.ru'</t>
  </si>
  <si>
    <t>44.567454,33.455166</t>
  </si>
  <si>
    <t>ОБЩЕСТВО С ОГРАНИЧЕННОЙ ОТВЕТСТВЕННОСТЬЮ "ФОРУМ-БЕТОН"</t>
  </si>
  <si>
    <t xml:space="preserve"> "ФОРУМ-БЕТОН"</t>
  </si>
  <si>
    <t>9201009183</t>
  </si>
  <si>
    <t>299014, СЕВАСТОПОЛЬ Г, КАМЫШОВОЕ Ш, ДОМ 45/2, ЛИТ. "Б", ОФИС 1-1</t>
  </si>
  <si>
    <t>Охременко Евгений Леонидович</t>
  </si>
  <si>
    <t>+7 (978) 837-32-87'</t>
  </si>
  <si>
    <t>fbeton@mail.ru'</t>
  </si>
  <si>
    <t>ОБЩЕСТВО С ОГРАНИЧЕННОЙ ОТВЕТСТВЕННОСТЬЮ "ФОРСТОУН КРЫМ"</t>
  </si>
  <si>
    <t xml:space="preserve"> "ФОРСТОУН КРЫМ"</t>
  </si>
  <si>
    <t>9201012130</t>
  </si>
  <si>
    <t>299014, г Севастополь, шоссе Камышовое, д 14 Б</t>
  </si>
  <si>
    <t>44.557968,33.496147</t>
  </si>
  <si>
    <t>ОБЩЕСТВО С ОГРАНИЧЕННОЙ ОТВЕТСТВЕННОСТЬЮ "КРЫМСЕВБЕТОН"</t>
  </si>
  <si>
    <t xml:space="preserve"> "КРЫМСЕВБЕТОН"</t>
  </si>
  <si>
    <t>9201516289</t>
  </si>
  <si>
    <t>299014, СЕВАСТОПОЛЬ ГОРОД, ШОССЕ КАМЫШОВОЕ, ДОМ 18/2, ОФИС 2</t>
  </si>
  <si>
    <t>Плиска Антон Александрович</t>
  </si>
  <si>
    <t>+7 (978) 720-82-67', '+7 (978) 811-91-74'</t>
  </si>
  <si>
    <t>44.590541,33.433175</t>
  </si>
  <si>
    <t>ОБЩЕСТВО С ОГРАНИЧЕННОЙ ОТВЕТСТВЕННОСТЬЮ "ИНВЕСТПРОМХОЛДИНГ"</t>
  </si>
  <si>
    <t xml:space="preserve"> "ИНВЕСТПРОМХОЛДИНГ"</t>
  </si>
  <si>
    <t>9201530942</t>
  </si>
  <si>
    <t>299014, СЕВАСТОПОЛЬ ГОРОД, УЛИЦА ЧЕЛНОКОВА, ДОМ 29, КОРПУС 1,..</t>
  </si>
  <si>
    <t>Бочаров Игорь Викторович</t>
  </si>
  <si>
    <t>buhgalteria@yandex.ru'</t>
  </si>
  <si>
    <t>44.559631,33.514293</t>
  </si>
  <si>
    <t>ОБЩЕСТВО С ОГРАНИЧЕННОЙ ОТВЕТСТВЕННОСТЬЮ "СЕВБЕТОН"</t>
  </si>
  <si>
    <t xml:space="preserve"> "СЕВБЕТОН"</t>
  </si>
  <si>
    <t>9201531689</t>
  </si>
  <si>
    <t>299040, СЕВАСТОПОЛЬ ГОРОД, УЛИЦА ИНДУСТРИАЛЬНАЯ, ЗД 27Б</t>
  </si>
  <si>
    <t>Подофёдов Дмитрий Викторович</t>
  </si>
  <si>
    <t>SevStroySnab@yandex.ru'</t>
  </si>
  <si>
    <t>ОБЩЕСТВО С ОГРАНИЧЕННОЙ ОТВЕТСТВЕННОСТЬЮ "ЕЛЕНА"</t>
  </si>
  <si>
    <t xml:space="preserve"> "ЕЛЕНА"</t>
  </si>
  <si>
    <t>9202500161</t>
  </si>
  <si>
    <t>299029, СЕВАСТОПОЛЬ Г., УЛ. КУРГАННАЯ, Д. 24, ПОМЕЩ. 2</t>
  </si>
  <si>
    <t>Лебедева Елена Владимировна</t>
  </si>
  <si>
    <t>+7 (978) 781-88-82', '+7 (978) 781-88-86'</t>
  </si>
  <si>
    <t>kulakova@yandex.ru', 'spcfnatan@gmail.com'</t>
  </si>
  <si>
    <t>44.59644,33.613404</t>
  </si>
  <si>
    <t>ОБЩЕСТВО С ОГРАНИЧЕННОЙ ОТВЕТСТВЕННОСТЬЮ "СК "КРЫМ ИНВЕСТ СТРОЙ"</t>
  </si>
  <si>
    <t xml:space="preserve"> "СК "КРЫМ ИНВЕСТ СТРОЙ"</t>
  </si>
  <si>
    <t>9203545711</t>
  </si>
  <si>
    <t>299019, СЕВАСТОПОЛЬ ГОРОД, УЛИЦА НЕФТЯНАЯ, ДОМ 23, ОФИС 6</t>
  </si>
  <si>
    <t>+7 (978) 711-39-81'</t>
  </si>
  <si>
    <t>44.603398,33.520473</t>
  </si>
  <si>
    <t>ОБЩЕСТВО С ОГРАНИЧЕННОЙ ОТВЕТСТВЕННОСТЬЮ "ЯСАКА-ТВ"</t>
  </si>
  <si>
    <t xml:space="preserve"> "ЯСАКА-ТВ"</t>
  </si>
  <si>
    <t>9204000728</t>
  </si>
  <si>
    <t>299011, СЕВАСТОПОЛЬ ГОРОД, УЛИЦА АДМИРАЛА ОКТЯБРЬСКОГО, ДОМ 8,..</t>
  </si>
  <si>
    <t>Егин Тимофей Викторович</t>
  </si>
  <si>
    <t>+7 (978) 778-95-56'</t>
  </si>
  <si>
    <t>44.588686,33.50592</t>
  </si>
  <si>
    <t>ОБЩЕСТВО С ОГРАНИЧЕННОЙ ОТВЕТСТВЕННОСТЬЮ "МАКСИМА ТРЕЙД"</t>
  </si>
  <si>
    <t xml:space="preserve"> "МАКСИМА ТРЕЙД"</t>
  </si>
  <si>
    <t>9204003944</t>
  </si>
  <si>
    <t>299003, СЕВАСТОПОЛЬ ГОРОД, УЛИЦА РУДНЕВА, ДОМ 9,..</t>
  </si>
  <si>
    <t>+7 (978) 061-55-90'</t>
  </si>
  <si>
    <t>trade@mail.ru'</t>
  </si>
  <si>
    <t>44.568256,33.514814</t>
  </si>
  <si>
    <t>ОБЩЕСТВО С ОГРАНИЧЕННОЙ ОТВЕТСТВЕННОСТЬЮ "БЕТОН-КРЫМ"</t>
  </si>
  <si>
    <t xml:space="preserve"> "БЕТОН-КРЫМ"</t>
  </si>
  <si>
    <t>9204020700</t>
  </si>
  <si>
    <t>299040, СЕВАСТОПОЛЬ Г, ПРОМЫШЛЕННАЯ УЛ, ДОМ 9</t>
  </si>
  <si>
    <t>Петров Николай Львович</t>
  </si>
  <si>
    <t>+7 (878) 746-44-50'</t>
  </si>
  <si>
    <t>44.594958,33.518919</t>
  </si>
  <si>
    <t>ОБЩЕСТВО С ОГРАНИЧЕННОЙ ОТВЕТСТВЕННОСТЬЮ "ПОЛЮС-КРЫМ"</t>
  </si>
  <si>
    <t xml:space="preserve"> "ПОЛЮС-КРЫМ"</t>
  </si>
  <si>
    <t>9204560173</t>
  </si>
  <si>
    <t>299011, СЕВАСТОПОЛЬ ГОРОД, УЛ. ГОГОЛЯ, Д. 20-А,..</t>
  </si>
  <si>
    <t>Борисова Инесса Александровна</t>
  </si>
  <si>
    <t>qwarmbeq@gmail.com'</t>
  </si>
  <si>
    <t>44.559272,33.504573</t>
  </si>
  <si>
    <t xml:space="preserve"> "ДСК"</t>
  </si>
  <si>
    <t>9204571721</t>
  </si>
  <si>
    <t>299040, СЕВАСТОПОЛЬ Г., Ш. КАМЫШОВОЕ, ЗД. 14Д, ОФИС 1</t>
  </si>
  <si>
    <t>Козлов Александр Николаевич</t>
  </si>
  <si>
    <t>+7 (978) 064-96-50'</t>
  </si>
  <si>
    <t>dsk18@gmail.com'</t>
  </si>
  <si>
    <t>55.698229,37.613781</t>
  </si>
  <si>
    <t>ОБЩЕСТВО С ОГРАНИЧЕННОЙ ОТВЕТСТВЕННОСТЬЮ ПКФ "МОНОЛИТ-СТРОЙ"</t>
  </si>
  <si>
    <t xml:space="preserve"> ПКФ "МОНОЛИТ-СТРОЙ"</t>
  </si>
  <si>
    <t>9701060318</t>
  </si>
  <si>
    <t>117152, Г.Москва, внутригородская территория города федерального значения МУНИЦИПАЛЬНЫЙ ОКРУГ ДОНСКОЙ, Ш ЗАГОРОДНОЕ, Д. 1, К. 2, СТР. 12, ЭТАЖ 1 ПОМЕЩ. II КОМ. 7</t>
  </si>
  <si>
    <t>Казлов Максим Николаевич</t>
  </si>
  <si>
    <t>kt@zabetonom.ru'</t>
  </si>
  <si>
    <t>55.725331,37.573717</t>
  </si>
  <si>
    <t>ОБЩЕСТВО С ОГРАНИЧЕННОЙ ОТВЕТСТВЕННОСТЬЮ "ЭКСПЕРТ"</t>
  </si>
  <si>
    <t xml:space="preserve"> "ЭКСПЕРТ"</t>
  </si>
  <si>
    <t>9704013130</t>
  </si>
  <si>
    <t>119048, МОСКВА ГОРОД, УЛИЦА ЕФРЕМОВА, ДОМ 10, КОРПУС 1, ЭТ 2/ПОМ XI/ОФ 5</t>
  </si>
  <si>
    <t>Сапунов Александр Витальевич</t>
  </si>
  <si>
    <t>55.754527,37.60664</t>
  </si>
  <si>
    <t>ОБЩЕСТВО С ОГРАНИЧЕННОЙ ОТВЕТСТВЕННОСТЬЮ "ЭКТА-СТРОЙ"</t>
  </si>
  <si>
    <t xml:space="preserve"> "ЭКТА-СТРОЙ"</t>
  </si>
  <si>
    <t>9704090462</t>
  </si>
  <si>
    <t>125009, МОСКВА Г., ПЕР. БОЛЬШОЙ КИСЛОВСКИЙ, Д. 6, ЭТ/ПОМ 1/III КОМ. 4</t>
  </si>
  <si>
    <t>Арзубова Валерия Тошхоновна</t>
  </si>
  <si>
    <t>55.737137,37.651322</t>
  </si>
  <si>
    <t>ОБЩЕСТВО С ОГРАНИЧЕННОЙ ОТВЕТСТВЕННОСТЬЮ "РОЯЛЬ ГРУПП"</t>
  </si>
  <si>
    <t xml:space="preserve"> "РОЯЛЬ ГРУПП"</t>
  </si>
  <si>
    <t>9705128729</t>
  </si>
  <si>
    <t>115172, МОСКВА ГОРОД, УЛИЦА НАРОДНАЯ, ДОМ 11, СТРОЕНИЕ 1, ПОМ LXXXVI ОФИС 4П</t>
  </si>
  <si>
    <t>Еганян Астгик Жораевна</t>
  </si>
  <si>
    <t>55.741009,37.617869</t>
  </si>
  <si>
    <t>ОБЩЕСТВО С ОГРАНИЧЕННОЙ ОТВЕТСТВЕННОСТЬЮ "СТРОЙБЕТОН-С"</t>
  </si>
  <si>
    <t xml:space="preserve"> "СТРОЙБЕТОН-С"</t>
  </si>
  <si>
    <t>9706023895</t>
  </si>
  <si>
    <t>119180, Г.Москва, МУНИЦИПАЛЬНЫЙ ОКРУГ ЯКИМАНКА, УЛ БОЛЬШАЯ ПОЛЯНКА, Д. 7/10,СТР. 3</t>
  </si>
  <si>
    <t>Двуреченский Алексей Алексеевич</t>
  </si>
  <si>
    <t>S@MAIL.RU'</t>
  </si>
  <si>
    <t>55.746324,37.667555</t>
  </si>
  <si>
    <t xml:space="preserve"> "ЭНКИ"</t>
  </si>
  <si>
    <t>9709018029</t>
  </si>
  <si>
    <t>109004, МОСКВА ГОРОД, УЛИЦА НИКОЛОЯМСКАЯ, ДОМ 62, ЧЕРДАК ПОМЕЩ. IА КОМНАТА 6</t>
  </si>
  <si>
    <t>Богданов Игорь Сергеевич</t>
  </si>
  <si>
    <t>+7 (967) 045-62-72'</t>
  </si>
  <si>
    <t>55.765478,37.595833</t>
  </si>
  <si>
    <t>ОБЩЕСТВО С ОГРАНИЧЕННОЙ ОТВЕТСТВЕННОСТЬЮ "ГК СТРОЙПАРИТЕТ"</t>
  </si>
  <si>
    <t xml:space="preserve"> "ГК СТРОЙПАРИТЕТ"</t>
  </si>
  <si>
    <t>9709031559</t>
  </si>
  <si>
    <t>123001, Г.Москва, внутригородская территория города федерального значения МУНИЦИПАЛЬНЫЙ ОКРУГ ПРЕСНЕНСКИЙ, ПЕР ТРЁХПРУДНЫЙ, Д. 11/13, СТР. 2, ЭТАЖ/ПОМЕЩ. 1/3, КОМ. 1</t>
  </si>
  <si>
    <t>Мошура Кирилл Викторович</t>
  </si>
  <si>
    <t>55.757384,37.645124</t>
  </si>
  <si>
    <t>ОБЩЕСТВО С ОГРАНИЧЕННОЙ ОТВЕТСТВЕННОСТЬЮ "ПК ЛИДЕР ПРОМ"</t>
  </si>
  <si>
    <t xml:space="preserve"> "ПК ЛИДЕР ПРОМ"</t>
  </si>
  <si>
    <t>9709083500</t>
  </si>
  <si>
    <t>109028, Г.Москва, МУНИЦИПАЛЬНЫЙ ОКРУГ БАСМАННЫЙ, ПЕР ХОХЛОВСКИЙ, Д. 15, ОФИС 32</t>
  </si>
  <si>
    <t>Беженцев Николай Владимирович</t>
  </si>
  <si>
    <t>55.764192,37.606891</t>
  </si>
  <si>
    <t>ОБЩЕСТВО С ОГРАНИЧЕННОЙ ОТВЕТСТВЕННОСТЬЮ "СТРОЙБИЛДИНГ"</t>
  </si>
  <si>
    <t xml:space="preserve"> "СТРОЙБИЛДИНГ"</t>
  </si>
  <si>
    <t>9710035540</t>
  </si>
  <si>
    <t>125375, Г.Москва, внутригородская территория города федерального значения МУНИЦИПАЛЬНЫЙ ОКРУГ ТВЕРСКОЙ, УЛ ТВЕРСКАЯ, Д. 14, ЭТАЖ 5, ПОМЕЩ.,КОМ.,ОФИС I,5,365</t>
  </si>
  <si>
    <t>Ксенз Елена Владимировна</t>
  </si>
  <si>
    <t>+7 (985) 473-44-63'</t>
  </si>
  <si>
    <t>55.585102,37.687479</t>
  </si>
  <si>
    <t>ОБЩЕСТВО С ОГРАНИЧЕННОЙ ОТВЕТСТВЕННОСТЬЮ "РЕГИОНСТРОЙКОМПЛЕКТ"</t>
  </si>
  <si>
    <t xml:space="preserve"> "РЕГИОНСТРОЙКОМПЛЕКТ"</t>
  </si>
  <si>
    <t>9710035808</t>
  </si>
  <si>
    <t>115598, Г.Москва, внутригородская территория города федерального значения МУНИЦИПАЛЬНЫЙ ОКРУГ БИРЮЛЕВО ВОСТОЧНОЕ, УЛ ЛЕБЕДЯНСКАЯ, Д. 24, К. 1, ОФИС 5</t>
  </si>
  <si>
    <t>Герич Алена Игоревна</t>
  </si>
  <si>
    <t>+7 (903) 712-60-60'</t>
  </si>
  <si>
    <t>55.769854,37.590542</t>
  </si>
  <si>
    <t>ОБЩЕСТВО С ОГРАНИЧЕННОЙ ОТВЕТСТВЕННОСТЬЮ "ПАРТНЕРБЕТОН"</t>
  </si>
  <si>
    <t xml:space="preserve"> "ПАРТНЕРБЕТОН"</t>
  </si>
  <si>
    <t>9710079499</t>
  </si>
  <si>
    <t>123056, МОСКВА ГОРОД, УЛ. 2-Я БРЕСТСКАЯ, Д. 9, СТР. 1, ЭТ/ПОМ/ОФ 3/II/304</t>
  </si>
  <si>
    <t xml:space="preserve"> Генеральный Директор Садовский Алексей Владимирович</t>
  </si>
  <si>
    <t>Azarova@partbet.ru', 'Azarova@zaopremium.ru'</t>
  </si>
  <si>
    <t>55.681742,37.92865</t>
  </si>
  <si>
    <t>ОБЩЕСТВО С ОГРАНИЧЕННОЙ ОТВЕТСТВЕННОСТЬЮ "МОССТРОЙБЕТОН"</t>
  </si>
  <si>
    <t xml:space="preserve"> "МОССТРОЙБЕТОН"</t>
  </si>
  <si>
    <t>9715306970</t>
  </si>
  <si>
    <t>111674, МОСКВА ГОРОД, УЛ. 1-Я ВОЛЬСКАЯ, Д. 26, ЭТ ТЕХ 3ИЙ КОМ 1</t>
  </si>
  <si>
    <t>Шадыкин Андрей Леонидович</t>
  </si>
  <si>
    <t>+7 (916) 777-09-75'</t>
  </si>
  <si>
    <t>55.773697,37.69136</t>
  </si>
  <si>
    <t>ОБЩЕСТВО С ОГРАНИЧЕННОЙ ОТВЕТСТВЕННОСТЬЮ "БСУ ИНВЕСТ"</t>
  </si>
  <si>
    <t xml:space="preserve"> "БСУ ИНВЕСТ"</t>
  </si>
  <si>
    <t>9715311434</t>
  </si>
  <si>
    <t>105082, МОСКВА Г., УЛ. БОЛЬШАЯ ПОЧТОВАЯ, Д. 18/20, К. 17,..</t>
  </si>
  <si>
    <t>Югай Андрей Львович</t>
  </si>
  <si>
    <t>+7 (926) 205-23-28'</t>
  </si>
  <si>
    <t>55.804799,37.629089</t>
  </si>
  <si>
    <t>ОБЩЕСТВО С ОГРАНИЧЕННОЙ ОТВЕТСТВЕННОСТЬЮ "ВБТЕХНОЛОДЖИ"</t>
  </si>
  <si>
    <t xml:space="preserve"> "ВБТЕХНОЛОДЖИ"</t>
  </si>
  <si>
    <t>9717084272</t>
  </si>
  <si>
    <t>129085, МОСКВА Г, ГОДОВИКОВА УЛ, ДОМ 9, СТРОЕНИЕ 25, ЭТ 1 ПОМ III КОМ 45</t>
  </si>
  <si>
    <t>Кузьмин Дмитрий Владимирович</t>
  </si>
  <si>
    <t>55.809019,37.704565</t>
  </si>
  <si>
    <t>"РБУ ТПСС"</t>
  </si>
  <si>
    <t>9718174560</t>
  </si>
  <si>
    <t>МОСКВА Г., УЛ. КРАСНОБОГАТЫРСКАЯ, Д. 38, СТР. 2, ПОМЕЩ. I</t>
  </si>
  <si>
    <t>Тимофеев Валерий Николаевич</t>
  </si>
  <si>
    <t>55.795641,37.699292</t>
  </si>
  <si>
    <t>ОБЩЕСТВО С ОГРАНИЧЕННОЙ ОТВЕТСТВЕННОСТЬЮ "ЕВРОТРАНС"</t>
  </si>
  <si>
    <t xml:space="preserve"> "ЕВРОТРАНС"</t>
  </si>
  <si>
    <t>9718177040</t>
  </si>
  <si>
    <t>107076, МОСКВА Г., ПЕР. КОЛОДЕЗНЫЙ, Д. 14, ЭТАЖ/ПОМЕЩ. 6/XIII КОМ. 41(РМ94)</t>
  </si>
  <si>
    <t>55.71481,37.809839</t>
  </si>
  <si>
    <t>ОБЩЕСТВО С ОГРАНИЧЕННОЙ ОТВЕТСТВЕННОСТЬЮ "ТПК ШМЕЛЬБЕТОН"</t>
  </si>
  <si>
    <t xml:space="preserve"> "ТПК ШМЕЛЬБЕТОН"</t>
  </si>
  <si>
    <t>9721007619</t>
  </si>
  <si>
    <t>109542, Г.Москва, внутригородская территория города федерального значения МУНИЦИПАЛЬНЫЙ ОКРУГ ВЫХИНО-ЖУЛЕБИНО, ПР-КТ РЯЗАНСКИЙ, Д. 97, К. 2, ЭТАЖ 1, ПОМЕЩ. 1 ОФИС 9.1</t>
  </si>
  <si>
    <t>Григорьев Захар Юрьевич</t>
  </si>
  <si>
    <t>+7 (495) 646-96-39'</t>
  </si>
  <si>
    <t>55.721214,37.776826</t>
  </si>
  <si>
    <t xml:space="preserve"> "СТРОЙКОМПЛЕКТСЕРВИС"</t>
  </si>
  <si>
    <t>9721064663</t>
  </si>
  <si>
    <t>109428, МОСКВА ГОРОД, УЛИЦА 2-Я ИНСТИТУТСКАЯ, ДОМ 6, СТРОЕНИЕ 64, ЭТАЖ 5 ПОМ 21 КОМ 508</t>
  </si>
  <si>
    <t>Гражданникова Виктория Олеговна</t>
  </si>
  <si>
    <t>+7 (495) 504-09-97'</t>
  </si>
  <si>
    <t>ОБЩЕСТВО С ОГРАНИЧЕННОЙ ОТВЕТСТВЕННОСТЬЮ "А4"</t>
  </si>
  <si>
    <t xml:space="preserve"> "А4"</t>
  </si>
  <si>
    <t>9721099698</t>
  </si>
  <si>
    <t>142060, МОСКОВСКАЯ ОБЛАСТЬ, Г. ДОМОДЕДОВО, ТЕР РОСМОНОЛИТ, СТР. 2, ОФИС 26</t>
  </si>
  <si>
    <t>Кузнецов Сергей Юрьевич</t>
  </si>
  <si>
    <t>55.703231,37.792331</t>
  </si>
  <si>
    <t>ОБЩЕСТВО С ОГРАНИЧЕННОЙ ОТВЕТСТВЕННОСТЬЮ "ДЖИЭМЭР ГРУПП"</t>
  </si>
  <si>
    <t xml:space="preserve"> "ДЖИЭМЭР ГРУПП"</t>
  </si>
  <si>
    <t>9721151193</t>
  </si>
  <si>
    <t>109378, МОСКВА Г., УЛ. АКАДЕМИКА СКРЯБИНА, Д. 30, К. 1,..</t>
  </si>
  <si>
    <t>Мачавариани Руслан Шахинович</t>
  </si>
  <si>
    <t>MACH5971@GMAIL.COM'</t>
  </si>
  <si>
    <t>55.677768,37.854638</t>
  </si>
  <si>
    <t>ОБЩЕСТВО С ОГРАНИЧЕННОЙ ОТВЕТСТВЕННОСТЬЮ "ВЕСТА"</t>
  </si>
  <si>
    <t xml:space="preserve"> "ВЕСТА"</t>
  </si>
  <si>
    <t>9721161184</t>
  </si>
  <si>
    <t>109431, Г.Москва, МУНИЦИПАЛЬНЫЙ ОКРУГ ВЫХИНО-ЖУЛЕБИНО, УЛ ПРИВОЛЬНАЯ, Д. 70, К. 1, КОМ. 29</t>
  </si>
  <si>
    <t>Фирюлина Марина Сергеевна</t>
  </si>
  <si>
    <t>BESTBETON77@MAIL.RU'</t>
  </si>
  <si>
    <t>55.658129,37.802922</t>
  </si>
  <si>
    <t>ОБЩЕСТВО С ОГРАНИЧЕННОЙ ОТВЕТСТВЕННОСТЬЮ "ОВИРАСТРОЙ-БЕТОН"</t>
  </si>
  <si>
    <t xml:space="preserve"> "ОВИРАСТРОЙ-БЕТОН"</t>
  </si>
  <si>
    <t>9723029671</t>
  </si>
  <si>
    <t>109429, МОСКВА Г., УЛ. ВЕРХНИЕ ПОЛЯ, Д. 61, СТР. 1, ЭТАЖ/ОФИС 2/С1.69</t>
  </si>
  <si>
    <t>Олейников Владимир Владимирович</t>
  </si>
  <si>
    <t>55.704671,37.740767</t>
  </si>
  <si>
    <t>ОБЩЕСТВО С ОГРАНИЧЕННОЙ ОТВЕТСТВЕННОСТЬЮ "ГОРДАЛИ"</t>
  </si>
  <si>
    <t xml:space="preserve"> "ГОРДАЛИ"</t>
  </si>
  <si>
    <t>9723092377</t>
  </si>
  <si>
    <t>109129, МОСКВА ГОРОД, УЛИЦА ТЕКСТИЛЬЩИКОВ 8-Я, ДОМ 5,..</t>
  </si>
  <si>
    <t>Кадиев Хамид Хусаинович</t>
  </si>
  <si>
    <t>55.646127,37.705715</t>
  </si>
  <si>
    <t>ОБЩЕСТВО С ОГРАНИЧЕННОЙ ОТВЕТСТВЕННОСТЬЮ "СК АМИРАДА"</t>
  </si>
  <si>
    <t xml:space="preserve"> "СК АМИРАДА"</t>
  </si>
  <si>
    <t>9723153291</t>
  </si>
  <si>
    <t>109651, Г.Москва, МУНИЦИПАЛЬНЫЙ ОКРУГ МАРЬИНО, УЛ ДОНЕЦКАЯ, Д. 30, К. 2</t>
  </si>
  <si>
    <t>Соснин Антон Александрович</t>
  </si>
  <si>
    <t>SOSNIN@GMAIL.COM'</t>
  </si>
  <si>
    <t>55.618278,37.704817</t>
  </si>
  <si>
    <t>ОБЩЕСТВО С ОГРАНИЧЕННОЙ ОТВЕТСТВЕННОСТЬЮ "ГК ГЕКОН"</t>
  </si>
  <si>
    <t xml:space="preserve"> "ГК ГЕКОН"</t>
  </si>
  <si>
    <t>115569, Г.Москва, МУНИЦИПАЛЬНЫЙ ОКРУГ ОРЕХОВО-БОРИСОВО СЕВЕРНОЕ, УЛ ДОМОДЕДОВСКАЯ, Д. 4, КОМ. 1, ОФИС 2</t>
  </si>
  <si>
    <t>Ерохин Григорий Вячеславович</t>
  </si>
  <si>
    <t>GRIHARR@GMAIL.COM'</t>
  </si>
  <si>
    <t>55.62297,37.753667</t>
  </si>
  <si>
    <t>ОБЩЕСТВО С ОГРАНИЧЕННОЙ ОТВЕТСТВЕННОСТЬЮ "ЮГСТРОЙСНАБ"</t>
  </si>
  <si>
    <t xml:space="preserve"> "ЮГСТРОЙСНАБ"</t>
  </si>
  <si>
    <t>9724073810</t>
  </si>
  <si>
    <t>115682, Г.Москва, МУНИЦИПАЛЬНЫЙ ОКРУГ ЗЯБЛИКОВО, УЛ ШИПИЛОВСКАЯ, Д. 64, К. 1, ПОМЕЩ./КОМ 147/1, РМ8И</t>
  </si>
  <si>
    <t>Буслов Иван Иванович</t>
  </si>
  <si>
    <t>55.620941,37.742214</t>
  </si>
  <si>
    <t>ОБЩЕСТВО С ОГРАНИЧЕННОЙ ОТВЕТСТВЕННОСТЬЮ "АСФАЛЬТОБЕТОННЫЙ ЗАВОД"</t>
  </si>
  <si>
    <t xml:space="preserve"> "АСФАЛЬТОБЕТОННЫЙ ЗАВОД"</t>
  </si>
  <si>
    <t>9724090414</t>
  </si>
  <si>
    <t>115573, Г.Москва, МУНИЦИПАЛЬНЫЙ ОКРУГ ЗЯБЛИКОВО, УЛ МУСЫ ДЖАЛИЛЯ, Д. 26, К. 1, ОФИС 31</t>
  </si>
  <si>
    <t>55.708303,37.652822</t>
  </si>
  <si>
    <t>ОБЩЕСТВО С ОГРАНИЧЕННОЙ ОТВЕТСТВЕННОСТЬЮ "ОРЕХ БЕТОН.РУ"</t>
  </si>
  <si>
    <t xml:space="preserve"> "ОРЕХ БЕТОН.РУ"</t>
  </si>
  <si>
    <t>9725046217</t>
  </si>
  <si>
    <t>115280, Г.Москва, внутригородская территория города федерального значения МУНИЦИПАЛЬНЫЙ ОКРУГ ДАНИЛОВСКИЙ, УЛ ЛЕНИНСКАЯ СЛОБОДА, Д. 19, ЭТАЖ 1, КОМ./ОФИС 41Х1Д/Ж3П</t>
  </si>
  <si>
    <t>55.683579,37.697918</t>
  </si>
  <si>
    <t>ОБЩЕСТВО С ОГРАНИЧЕННОЙ ОТВЕТСТВЕННОСТЬЮ ПК "ОБНИНСКИЙ РАСТВОРО-БЕТОННЫЙ ЗАВОД"</t>
  </si>
  <si>
    <t xml:space="preserve"> ПК "ОБНИНСКИЙ РАСТВОРО-БЕТОННЫЙ ЗАВОД"</t>
  </si>
  <si>
    <t>9725057709</t>
  </si>
  <si>
    <t>115142, МОСКВА Г., УЛ. КОРАБЕЛЬНАЯ, Д. 17, К. 3, ЭТАЖ 1 ПОМЕЩ./ОФИС 23/6А</t>
  </si>
  <si>
    <t>55.653878,37.557502</t>
  </si>
  <si>
    <t>ОБЩЕСТВО С ОГРАНИЧЕННОЙ ОТВЕТСТВЕННОСТЬЮ "ИННОВАТОР БЕТОН"</t>
  </si>
  <si>
    <t xml:space="preserve"> "ИННОВАТОР БЕТОН"</t>
  </si>
  <si>
    <t>9728006519</t>
  </si>
  <si>
    <t>117246, МОСКВА ГОРОД, УЛИЦА ХЕРСОНСКАЯ, ДОМ 41А, ЭТ 3 ПОМ III КОМ 5</t>
  </si>
  <si>
    <t>Султанов Дмитрий Олегович</t>
  </si>
  <si>
    <t>ОБЩЕСТВО С ОГРАНИЧЕННОЙ ОТВЕТСТВЕННОСТЬЮ "РК-ОБЪЕДИНЕНИЕ"</t>
  </si>
  <si>
    <t xml:space="preserve"> "РК-ОБЪЕДИНЕНИЕ"</t>
  </si>
  <si>
    <t>9728048830</t>
  </si>
  <si>
    <t>117342, МОСКВА Г., УЛ. БУТЛЕРОВА, Д. 17, ЭТАЖ 3 КОМ./ОФИС 95/342</t>
  </si>
  <si>
    <t>Ли Алексей Вячеславович</t>
  </si>
  <si>
    <t>ОБЩЕСТВО С ОГРАНИЧЕННОЙ ОТВЕТСТВЕННОСТЬЮ "МОС-БЕТОН"</t>
  </si>
  <si>
    <t xml:space="preserve"> "МОС-БЕТОН"</t>
  </si>
  <si>
    <t>9728061936</t>
  </si>
  <si>
    <t>117420, Г.Москва, МУНИЦИПАЛЬНЫЙ ОКРУГ ЧЕРЕМУШКИ, УЛ НАМЁТКИНА, Д. 14, К. 1, ЧАСТЬ КАБ. 605</t>
  </si>
  <si>
    <t>Гандилян Алберт Саркисович</t>
  </si>
  <si>
    <t>9197000BETON@MAIL.RU'</t>
  </si>
  <si>
    <t>55.639578,37.525208</t>
  </si>
  <si>
    <t>ОБЩЕСТВО С ОГРАНИЧЕННОЙ ОТВЕТСТВЕННОСТЬЮ "СВ-БЕТОН"</t>
  </si>
  <si>
    <t xml:space="preserve"> "СВ-БЕТОН"</t>
  </si>
  <si>
    <t>9728065384</t>
  </si>
  <si>
    <t>117279, Г.Москва, МУНИЦИПАЛЬНЫЙ ОКРУГ КОНЬКОВО, УЛ ПРОФСОЮЗНАЯ, Д. 93А, КОМ. 15Б</t>
  </si>
  <si>
    <t>Пак Екатерина Игоревна</t>
  </si>
  <si>
    <t>BETON@BK.RU'</t>
  </si>
  <si>
    <t>ОБЩЕСТВО С ОГРАНИЧЕННОЙ ОТВЕТСТВЕННОСТЬЮ "ИЗОБЕТОН"</t>
  </si>
  <si>
    <t xml:space="preserve"> "ИЗОБЕТОН"</t>
  </si>
  <si>
    <t>9729024694</t>
  </si>
  <si>
    <t>119297, Г.Москва, внутригородская территория города федерального значения МУНИЦИПАЛЬНЫЙ ОКРУГ СОЛНЦЕВО, УЛ РОДНИКОВАЯ, Д. 16, ЭТАЖ -1, ПОМ/К/ОФ IX/2/16</t>
  </si>
  <si>
    <t>Маликов Дмитрий Андреевич</t>
  </si>
  <si>
    <t>+7 (915) 339-53-52'</t>
  </si>
  <si>
    <t>55.664116,37.482277</t>
  </si>
  <si>
    <t>ОБЩЕСТВО С ОГРАНИЧЕННОЙ ОТВЕТСТВЕННОСТЬЮ "ТОРГОВЫЙ ДОМ "МОСБЕТОН"</t>
  </si>
  <si>
    <t xml:space="preserve"> "ТОРГОВЫЙ ДОМ "МОСБЕТОН"</t>
  </si>
  <si>
    <t>9729279903</t>
  </si>
  <si>
    <t>119602, МОСКВА ГОРОД, УЛИЦА ПОКРЫШКИНА, ДОМ 2, КОРПУС 1, ЭТ 1 ПОМ 2 КОМ 5</t>
  </si>
  <si>
    <t>Кравцова Эльвира Ильфатовна</t>
  </si>
  <si>
    <t>55.691998,37.44144</t>
  </si>
  <si>
    <t>ОБЩЕСТВО С ОГРАНИЧЕННОЙ ОТВЕТСТВЕННОСТЬЮ "БЕТОНСТОУН"</t>
  </si>
  <si>
    <t xml:space="preserve"> "БЕТОНСТОУН"</t>
  </si>
  <si>
    <t>9729285880</t>
  </si>
  <si>
    <t>119530, МОСКВА ГОРОД, УЛИЦА ГЕНЕРАЛА ДОРОХОВА, ДОМ 18, СТРОЕНИЕ 10, ЭТ 2 ПОМ 1</t>
  </si>
  <si>
    <t>Щеголев Алексей Александрович</t>
  </si>
  <si>
    <t>55.74075,37.73739</t>
  </si>
  <si>
    <t>ОБЩЕСТВО С ОГРАНИЧЕННОЙ ОТВЕТСТВЕННОСТЬЮ "МОДУЛЬКОМПЛЕКТСТРОЙ"</t>
  </si>
  <si>
    <t>9729293915</t>
  </si>
  <si>
    <t>109202, Г.Москва, внутригородская территория города федерального значения МУНИЦИПАЛЬНЫЙ ОКРУГ НИЖЕГОРОДСКИЙ, Ш ФРЕЗЕР, Д. 5/1, ПОДВ. I, КОМ. 12</t>
  </si>
  <si>
    <t>Омаров Магомед Сагид-Гусенович</t>
  </si>
  <si>
    <t>55.714698,37.516485</t>
  </si>
  <si>
    <t>ОБЩЕСТВО С ОГРАНИЧЕННОЙ ОТВЕТСТВЕННОСТЬЮ "БЕТОНТЕК"</t>
  </si>
  <si>
    <t xml:space="preserve"> "БЕТОНТЕК"</t>
  </si>
  <si>
    <t>9729301443</t>
  </si>
  <si>
    <t>119330, МОСКВА Г., УЛ. МОСФИЛЬМОВСКАЯ, Д. 17Б, ПОМЕЩ. I КОМ. 19</t>
  </si>
  <si>
    <t>Карсакова Наталия Владимировна</t>
  </si>
  <si>
    <t>ОБЩЕСТВО С ОГРАНИЧЕННОЙ ОТВЕТСТВЕННОСТЬЮ "БЕТМОС.РУ"</t>
  </si>
  <si>
    <t xml:space="preserve"> "БЕТМОС.РУ"</t>
  </si>
  <si>
    <t>9729301860</t>
  </si>
  <si>
    <t>119361, МОСКВА Г., УЛ. ОЗЁРНАЯ, Д. 42, ЭТАЖ 13 ПОМЕЩ. I, КОМН. 1</t>
  </si>
  <si>
    <t>Терехов Алексей Анатольевич</t>
  </si>
  <si>
    <t>ОБЩЕСТВО С ОГРАНИЧЕННОЙ ОТВЕТСТВЕННОСТЬЮ "ВЕКТОР ГРУПП"</t>
  </si>
  <si>
    <t xml:space="preserve"> "ВЕКТОР ГРУПП"</t>
  </si>
  <si>
    <t>9731008080</t>
  </si>
  <si>
    <t>117218, МОСКВА Г, КРЖИЖАНОВСКОГО УЛ, ДОМ 15, КОРПУС 5, ЭТ 5 КАБ 510</t>
  </si>
  <si>
    <t>Гвасалия Парнаоз Георгиевич</t>
  </si>
  <si>
    <t>+7 (925) 464-47-88'</t>
  </si>
  <si>
    <t>55.723719,37.456127</t>
  </si>
  <si>
    <t>ОБЩЕСТВО С ОГРАНИЧЕННОЙ ОТВЕТСТВЕННОСТЬЮ "ВАВИЛОН"</t>
  </si>
  <si>
    <t xml:space="preserve"> "ВАВИЛОН"</t>
  </si>
  <si>
    <t>9731013185</t>
  </si>
  <si>
    <t>121357, МОСКВА ГОРОД, ПР-КТ КУТУЗОВСКИЙ, Д. 67, К. 2, ПОМЕЩ. V КОМН 5 ОФИС 21</t>
  </si>
  <si>
    <t>Овсепян Месроп Станиславович</t>
  </si>
  <si>
    <t>antoniuk_ieliena73@mail.ru'</t>
  </si>
  <si>
    <t>55.653304,37.553963</t>
  </si>
  <si>
    <t>ОБЩЕСТВО С ОГРАНИЧЕННОЙ ОТВЕТСТВЕННОСТЬЮ "СТРОИТЕЛЬНО-ПРОИЗВОДСТВЕННЫЙ КОМПЛЕКС №1"</t>
  </si>
  <si>
    <t xml:space="preserve"> "СТРОИТЕЛЬНО-ПРОИЗВОДСТВЕННЫЙ КОМПЛЕКС №1"</t>
  </si>
  <si>
    <t>9731042517</t>
  </si>
  <si>
    <t>117246, Г.Москва, внутригородская территория города федерального значения МУНИЦИПАЛЬНЫЙ ОКРУГ ЧЕРЕМУШКИ, ПРОЕЗД НАУЧНЫЙ, Д. 19, ЭТАЖ/КОМ. 2/6Д, ОФИС 441</t>
  </si>
  <si>
    <t>Молодцов Олег Аркадьевич</t>
  </si>
  <si>
    <t>55.732327,37.630517</t>
  </si>
  <si>
    <t>ОБЩЕСТВО С ОГРАНИЧЕННОЙ ОТВЕТСТВЕННОСТЬЮ "ГРАВЗАВОД"</t>
  </si>
  <si>
    <t xml:space="preserve"> "ГРАВЗАВОД"</t>
  </si>
  <si>
    <t>2703062276</t>
  </si>
  <si>
    <t>115054, Г.Москва, внутригородская территория города федерального значения МУНИЦИПАЛЬНЫЙ ОКРУГ ЗАМОСКВОРЕЧЬЕ, ПЕР 5-Й МОНЕТЧИКОВСКИЙ, Д. 16, ЭТАЖ/ПОМ. 0/II, КОМ./ОФИС 2/54</t>
  </si>
  <si>
    <t>60.069899,30.395162</t>
  </si>
  <si>
    <t>ООО</t>
  </si>
  <si>
    <t>Московский Завод Композитных  Материалов, ООО</t>
  </si>
  <si>
    <t>Производство композитной арматуры</t>
  </si>
  <si>
    <t>Нано-СК, ООО</t>
  </si>
  <si>
    <t>57.837149,28.319874</t>
  </si>
  <si>
    <t>ПолиКомпозит, ООО</t>
  </si>
  <si>
    <t>56.337137,43.819469</t>
  </si>
  <si>
    <t>Армпласт, НПП, ООО</t>
  </si>
  <si>
    <t>55.622629,37.459334</t>
  </si>
  <si>
    <t>УралАрмоПром, ООО</t>
  </si>
  <si>
    <t>Зоркин Сергей Сергеевич</t>
  </si>
  <si>
    <t>57.639501, 39.787327</t>
  </si>
  <si>
    <t>Яркомпозит, ООО</t>
  </si>
  <si>
    <t>57.618346,39.841576</t>
  </si>
  <si>
    <t>Ярославский завод композитов, ООО</t>
  </si>
  <si>
    <t>55.851940,37.540587</t>
  </si>
  <si>
    <t>Завод АлЮр, ООО</t>
  </si>
  <si>
    <t>51.759855,36.138703</t>
  </si>
  <si>
    <t>Курский Завод Композитных Материалов, ООО</t>
  </si>
  <si>
    <t>53.968871, 34.817371</t>
  </si>
  <si>
    <t>СтеклоПласт, ООО</t>
  </si>
  <si>
    <t>58.017859,38.780244</t>
  </si>
  <si>
    <t>Мегапласт, ООО</t>
  </si>
  <si>
    <t>59, 59</t>
  </si>
  <si>
    <t>21 век, ООО - Калязинский Завод Композитной Арматуры</t>
  </si>
  <si>
    <t>59, 60</t>
  </si>
  <si>
    <t>ЗАО "ОСКОЛЦЕМЕНТ"</t>
  </si>
  <si>
    <t>Производство цемента</t>
  </si>
  <si>
    <t>59, 61</t>
  </si>
  <si>
    <t>ОАО "ПОДОЛЬСК-ЦЕМЕНТ"</t>
  </si>
  <si>
    <t>59, 62</t>
  </si>
  <si>
    <t>АО "ПИКАЛЕВСКИЙ ЦЕМЕНТ"</t>
  </si>
  <si>
    <t>59, 63</t>
  </si>
  <si>
    <t>ВОРОНЕЖСКИЙ ФИЛИАЛ АО "ЕВРОЦЕМЕНТ ГРУП"</t>
  </si>
  <si>
    <t>59, 64</t>
  </si>
  <si>
    <t>ООО "ПЕТЕРБУРГЦЕМЕНТ"</t>
  </si>
  <si>
    <t>59, 65</t>
  </si>
  <si>
    <t>ОАО "ПАШИЙСКИЙ МЕТАЛЛУРГИЧЕСКО-ЦЕМЕНТНЫЙ ЗАВОД"</t>
  </si>
  <si>
    <t>59, 66</t>
  </si>
  <si>
    <t>АО "СЕБРЯКОВЦЕМЕНТ"</t>
  </si>
  <si>
    <t>59, 67</t>
  </si>
  <si>
    <t>ООО "СЕНГИЛЕЕВСКИЙ ЦЕМЕНТНЫЙ ЗАВОД"</t>
  </si>
  <si>
    <t>59, 68</t>
  </si>
  <si>
    <t>ООО "ХАЙДЕЛЬБЕРГЦЕМЕНТ РУС" (ФИЛИАЛЫ: в г. СТЕРЛИТАМАК и в пос. НОВОГУРОВСКИЙ)</t>
  </si>
  <si>
    <t>59, 69</t>
  </si>
  <si>
    <t>АО "СПАССКЦЕМЕНТ"</t>
  </si>
  <si>
    <t>59, 70</t>
  </si>
  <si>
    <t>ООО "СЕРЕБРЯНСКИЙ ЦЕМЕНТНЫЙ ЗАВОД"</t>
  </si>
  <si>
    <t>59, 71</t>
  </si>
  <si>
    <t>АО "ТЕПЛООЗЁРСКЦЕМЕНТ"</t>
  </si>
  <si>
    <t>59, 72</t>
  </si>
  <si>
    <t>ООО "АЗИЯ ЦЕМЕНТ"</t>
  </si>
  <si>
    <t>59, 73</t>
  </si>
  <si>
    <t>АО "АНГАРСКИЙ ЦЕМЕНТНО-ГОРНЫЙ КОМБИНАТ"</t>
  </si>
  <si>
    <t>59, 74</t>
  </si>
  <si>
    <t>ООО "АТАКАЙЦЕМЕНТ"</t>
  </si>
  <si>
    <t>59, 75</t>
  </si>
  <si>
    <t>ООО "АЧИНСКИЙ ЦЕМЕНТ"</t>
  </si>
  <si>
    <t>59, 76</t>
  </si>
  <si>
    <t>ООО "АТОМСТРОЙКОМПЛЕКС ЦЕМЕНТ"</t>
  </si>
  <si>
    <t>59, 77</t>
  </si>
  <si>
    <t>ЗАО "БЕЛГОРОДСКИЙ ЦЕМЕНТ"</t>
  </si>
  <si>
    <t>44.773364,33.863567</t>
  </si>
  <si>
    <t>АО "БАХЧИСАРАЙСКИЙ КОМБИНАТ "СТРОЙИНДУСТРИЯ"</t>
  </si>
  <si>
    <t>44.840166,37.674337</t>
  </si>
  <si>
    <t>ОАО "ВЕРХНЕБАКАНСКИЙ ЦЕМЕНТНЫЙ ЗАВОД"</t>
  </si>
  <si>
    <t>52.045950,47.387398</t>
  </si>
  <si>
    <t>ООО "ХОЛСИМ (РУС)" (Г. ВОЛЬСК)</t>
  </si>
  <si>
    <t>52.077926,47.484290</t>
  </si>
  <si>
    <t>АО "ХАЙДЕЛЬБЕРГЦЕМЕНТ ВОЛГА" (ВОЛГА ЦЕМЕНТ)</t>
  </si>
  <si>
    <t>69.001733,33.06562</t>
  </si>
  <si>
    <t>ОБЩЕСТВО С ОГРАНИЧЕННОЙ ОТВЕТСТВЕННОСТЬЮ "ЛИНИЯ УДАЧИ"</t>
  </si>
  <si>
    <t>"ЛИНИЯ УДАЧИ"</t>
  </si>
  <si>
    <t>5190039450</t>
  </si>
  <si>
    <t>183040, МУРМАНСКАЯ ОБЛАСТЬ, Г. МУРМАНСК, УЛ. МАЯКОВСКОГО, Д.1,..</t>
  </si>
  <si>
    <t>Шкрет Сергей Павлович</t>
  </si>
  <si>
    <t>+7 (952) 297-55-86'</t>
  </si>
  <si>
    <t>68.904206,33.072322</t>
  </si>
  <si>
    <t>ОБЩЕСТВО С ОГРАНИЧЕННОЙ ОТВЕТСТВЕННОСТЬЮ "СЕВЕРО-ЗАПАДНЫЙ БЕТОННЫЙ ЗАВОД"</t>
  </si>
  <si>
    <t>"СЕВЕРО-ЗАПАДНЫЙ БЕТОННЫЙ ЗАВОД"</t>
  </si>
  <si>
    <t>5190068620</t>
  </si>
  <si>
    <t>183052, МУРМАНСКАЯ ОБЛАСТЬ, ГОРОД МУРМАНСК, УЛИЦА ФАДЕЕВ РУЧЕЙ, ДОМ 27</t>
  </si>
  <si>
    <t>Ларионов Александр Вадимович</t>
  </si>
  <si>
    <t>+7 (921) 725-52-25'</t>
  </si>
  <si>
    <t>ОБЩЕСТВО С ОГРАНИЧЕННОЙ ОТВЕТСТВЕННОСТЬЮ "ИНДУСТРИЯ БЕТОНА"</t>
  </si>
  <si>
    <t>"ИНДУСТРИЯ БЕТОНА"</t>
  </si>
  <si>
    <t>5190076854</t>
  </si>
  <si>
    <t>183052, МУРМАНСКАЯ ОБЛАСТЬ, Г. МУРМАНСК, УЛ. ФАДЕЕВ РУЧЕЙ, Д. 27</t>
  </si>
  <si>
    <t>Мовчан Максим Валерьевич</t>
  </si>
  <si>
    <t>68.962202,33.102119</t>
  </si>
  <si>
    <t>5190015587</t>
  </si>
  <si>
    <t>183039, МУРМАНСКАЯ ОБЛАСТЬ, ГОРОД МУРМАНСК, УЛИЦА НОВОЕ ПЛАТО, 19, 33</t>
  </si>
  <si>
    <t>Китов Павел Владимирович</t>
  </si>
  <si>
    <t>+7 (953) 751-44-53'</t>
  </si>
  <si>
    <t>kba43@mail.ru'</t>
  </si>
  <si>
    <t>68.960213,33.102577</t>
  </si>
  <si>
    <t>ОБЩЕСТВО С ОГРАНИЧЕННОЙ ОТВЕТСТВЕННОСТЬЮ "ЖБИ СЕВЕРА"</t>
  </si>
  <si>
    <t>"ЖБИ СЕВЕРА"</t>
  </si>
  <si>
    <t>5190091355</t>
  </si>
  <si>
    <t>183039, Мурманская область, ГОРОД МУРМАНСК, Г МУРМАНСК, УЛ ПЛАНЕРНАЯ, Д. 3</t>
  </si>
  <si>
    <t>Полухин Петр Викторович</t>
  </si>
  <si>
    <t>POLUHIN_PETR@MAIL.RU'</t>
  </si>
  <si>
    <t>68.926352,33.118073</t>
  </si>
  <si>
    <t>ОБЩЕСТВО С ОГРАНИЧЕННОЙ ОТВЕТСТВЕННОСТЬЮ "АРКТИК-ПРОМ"</t>
  </si>
  <si>
    <t>"АРКТИК-ПРОМ"</t>
  </si>
  <si>
    <t>5190089363</t>
  </si>
  <si>
    <t>183038, МУРМАНСКАЯ ОБЛ., Г. Мурманск, ПР-КТ КОЛЬСКИЙ, Д. 110, К. 5, ЭТАЖ 3 КОМ. 6</t>
  </si>
  <si>
    <t>Романов Роман Сергеевич</t>
  </si>
  <si>
    <t>APROM@MAIL.RU'</t>
  </si>
  <si>
    <t>52.969071,67.635799</t>
  </si>
  <si>
    <t>6319110344</t>
  </si>
  <si>
    <t>443032, САМАРСКАЯ ОБЛ., Г. Самара, УЛ. КАЗАЧЬЯ, Д. 28, ПОМЕЩ. 50</t>
  </si>
  <si>
    <t>Емельянов Максим Сергеевич</t>
  </si>
  <si>
    <t>+7 (846) 242-59-84', '+7 (846) 995-63-28'</t>
  </si>
  <si>
    <t>ОБЩЕСТВО С ОГРАНИЧЕННОЙ ОТВЕТСТВЕННОСТЬЮ "СТУПИНСКИЙ ЗАВОД ЖБИ"</t>
  </si>
  <si>
    <t>"СТУПИНСКИЙ ЗАВОД ЖБИ"</t>
  </si>
  <si>
    <t>5045054125</t>
  </si>
  <si>
    <t>МОСКОВСКАЯ ОБЛ.,Г ОДИНЦОВО,МОЖАЙСКОЕ ШОССЕ, Д 134</t>
  </si>
  <si>
    <t>Марченко Руслан Валентинович</t>
  </si>
  <si>
    <t>+7 (926) 694-47-46', '+7 (963) 710-12-35'</t>
  </si>
  <si>
    <t>5040138117</t>
  </si>
  <si>
    <t>МОСКОВСКАЯ ОБЛ.,Г ЛЮБЕРЦЫ,УЛ КОММУНИСТИЧЕСКАЯ, Д 13</t>
  </si>
  <si>
    <t>Никитин Артем Павлович</t>
  </si>
  <si>
    <t>+7 (903) 179-23-14'</t>
  </si>
  <si>
    <t>69.345853,88.203044</t>
  </si>
  <si>
    <t>ОБЩЕСТВО С ОГРАНИЧЕННОЙ ОТВЕТСТВЕННОСТЬЮ "АЛЕКСАНДРИЯ"</t>
  </si>
  <si>
    <t>"АЛЕКСАНДРИЯ"</t>
  </si>
  <si>
    <t>7805158667</t>
  </si>
  <si>
    <t>Г САНКТ-ПЕТЕРБУРГ,УЛ ЗЕНИТЧИКОВ, 5 ЛИТЕР А</t>
  </si>
  <si>
    <t>Гуляева Вероника Олеговна</t>
  </si>
  <si>
    <t>+7 (812) 310-62-20'</t>
  </si>
  <si>
    <t>69.326798,88.208012</t>
  </si>
  <si>
    <t>7805324160</t>
  </si>
  <si>
    <t xml:space="preserve"> С-ПЕТЕРБУРГ, БУДАПЕШТСКАЯ, 5</t>
  </si>
  <si>
    <t>Шевнин Владимир Витальевич</t>
  </si>
  <si>
    <t>+7 (911) 929-97-54'</t>
  </si>
  <si>
    <t>67.939949036,32.911369324</t>
  </si>
  <si>
    <t>5190029565</t>
  </si>
  <si>
    <t>МУРМАНСКАЯ ОБЛ.,Г МОНЧЕГОРСК,ПРОСП МЕТАЛЛУРГОВ, Д 18,..</t>
  </si>
  <si>
    <t>Быков Владимир Иванович</t>
  </si>
  <si>
    <t>68.901390076,33.073486328</t>
  </si>
  <si>
    <t>АКЦИОНЕРНОЕ ОБЩЕСТВО "КОМБИНАТ СТРОЙКОНСТРУКЦИЯ"</t>
  </si>
  <si>
    <t>"КОМБИНАТ СТРОЙКОНСТРУКЦИЯ"</t>
  </si>
  <si>
    <t>5190400010</t>
  </si>
  <si>
    <t>Г МУРМАНСК,УЛ ФАДЕЕВ РУЧЕЙ, Д 7</t>
  </si>
  <si>
    <t>Волынцев Игорь Анатольевич</t>
  </si>
  <si>
    <t>7@yandex.ru'</t>
  </si>
  <si>
    <t>69.348872606339,88.214216292004</t>
  </si>
  <si>
    <t>ОБЩЕСТВО С ОГРАНИЧЕННОЙ ОТВЕТСТВЕННОСТЬЮ "СТРОИТЕЛЬНАЯ КОМПАНИЯ "ИТС"</t>
  </si>
  <si>
    <t>"СТРОИТЕЛЬНАЯ КОМПАНИЯ "ИТС"</t>
  </si>
  <si>
    <t>8401006117</t>
  </si>
  <si>
    <t>83-Ненецкий автономный округ</t>
  </si>
  <si>
    <t>КРАСНОЯРСКИЙ КРАЙ,Г НОРИЛЬСК,УЛ ПАВЛОВА Д 12 А/Я 3928</t>
  </si>
  <si>
    <t>Ким Анна Герасимовна</t>
  </si>
  <si>
    <t>Общество с ограниченной ответственностью "СтройКаменьПлюс"</t>
  </si>
  <si>
    <t>"СтройКаменьПлюс"</t>
  </si>
  <si>
    <t>7204198231</t>
  </si>
  <si>
    <t>http://skplustm.ru</t>
  </si>
  <si>
    <t>ТЮМЕНСКАЯ ОБЛ.,ЯМАЛО-НЕНЕЦКИЙ АВТ. ОКРУГ,Г НАДЫМ,УЛ ЗВЕРЕВА, Д 49..</t>
  </si>
  <si>
    <t>Гольцман Роман Андреевич</t>
  </si>
  <si>
    <t>+7 (649) 396-49-43', '+7 (922) 144-71-88'</t>
  </si>
  <si>
    <t>ОБЩЕСТВО С ОГРАНИЧЕННОЙ ОТВЕТСТВЕННОСТЬЮ "Механический завод сельскохозяйственного оборудования"</t>
  </si>
  <si>
    <t>"Механический завод сельскохозяйственного оборудования"</t>
  </si>
  <si>
    <t>5509007382</t>
  </si>
  <si>
    <t>646885, ОМСКАЯ ОБЛАСТЬ, РАЙОН АЗОВСКИЙ НЕМЕЦКИЙ НАЦИОНАЛЬНЫЙ, СЕЛО ПОПОВКА, УЛИЦА ПРОМЗОНА, СТРОЕНИЕ 1</t>
  </si>
  <si>
    <t>Алифировец Андрей Михайлович</t>
  </si>
  <si>
    <t>+7 (965) 878-65-48', '+7 (983) 564-28-92', '+7 (923) 765-47-45'</t>
  </si>
  <si>
    <t>5506060349</t>
  </si>
  <si>
    <t>Г ОМСК,УЛ БАГНЮКА, 305 А</t>
  </si>
  <si>
    <t>Дучек Александр Петрович</t>
  </si>
  <si>
    <t>+7 (913) 635-19-61'</t>
  </si>
  <si>
    <t>5507089990</t>
  </si>
  <si>
    <t>Г ОМСК,УЛ 2-Я СОЛНЕЧНАЯ, 39</t>
  </si>
  <si>
    <t>Чупрунов Дмитрий Петрович</t>
  </si>
  <si>
    <t>ОБЩЕСТВО С ОГРАНИЧЕННОЙ ОТВЕТСТВЕННОСТЬЮ "ЗАВОД "ЭНЕРГОСТРОЙКОМПЛЕКТ"</t>
  </si>
  <si>
    <t>"ЗАВОД "ЭНЕРГОСТРОЙКОМПЛЕКТ"</t>
  </si>
  <si>
    <t>5501044897</t>
  </si>
  <si>
    <t>http://omskgrad.ru</t>
  </si>
  <si>
    <t>Г ОМСК,УЛ 2-Я СОЛНЕЧНАЯ, 44 В</t>
  </si>
  <si>
    <t>Штраухман Олег Юрьевич</t>
  </si>
  <si>
    <t>+7 (904) 323-91-84', '+7 (904) 323-91-84'</t>
  </si>
  <si>
    <t>55@yandex.ru'</t>
  </si>
  <si>
    <t>ОБЩЕСТВО С ОГРАНИЧЕННОЙ ОТВЕТСТВЕННОСТЬЮ "ОМСТРОЙСНАБ"</t>
  </si>
  <si>
    <t>"ОМСТРОЙСНАБ"</t>
  </si>
  <si>
    <t>Г ОМСК,УЛ 2-Я СОЛНЕЧНАЯ, 27 Б</t>
  </si>
  <si>
    <t>Хирковский Владислав Петрович</t>
  </si>
  <si>
    <t>ОБЩЕСТВО С ОГРАНИЧЕННОЙ ОТВЕТСТВЕННОСТЬЮ "Мастер Ит"</t>
  </si>
  <si>
    <t>"Мастер Ит"</t>
  </si>
  <si>
    <t>5501218529</t>
  </si>
  <si>
    <t>644085, ОМСКАЯ ОБЛАСТЬ, Г. ОМСК, ПР-КТ МИРА, Д. 185, ЛИТЕРА В1</t>
  </si>
  <si>
    <t>Белов Максим Евгеньевич</t>
  </si>
  <si>
    <t>+7 (908) 106-39-95'</t>
  </si>
  <si>
    <t>"ИНТЕРСТРОЙ"</t>
  </si>
  <si>
    <t>5501234217</t>
  </si>
  <si>
    <t>644085, ОМСКАЯ ОБЛАСТЬ, Г. ОМСК, ПР-КТ МИРА, ДОМ 171А</t>
  </si>
  <si>
    <t>Круподра Петр Романович</t>
  </si>
  <si>
    <t>+7 (381) 229-43-31', '+7 (923) 687-82-51', '+7 (962) 050-04-00'</t>
  </si>
  <si>
    <t>ОБЩЕСТВО С ОГРАНИЧЕННОЙ ОТВЕТСТВЕННОСТЬЮ "ЗАВОД СБОРНОГО ЖЕЛЕЗОБЕТОНА №5"</t>
  </si>
  <si>
    <t>"ЗАВОД СБОРНОГО ЖЕЛЕЗОБЕТОНА №5"</t>
  </si>
  <si>
    <t>5501266040</t>
  </si>
  <si>
    <t>644085, ОМСКАЯ ОБЛАСТЬ, Г. ОМСК, ПР-КТ МИРА, Д. 185, ЛИТЕРА ЖЖ1 ПОМЕЩЕНИЕ 28</t>
  </si>
  <si>
    <t>Романюк Сергей Сергеевич</t>
  </si>
  <si>
    <t>ОБЩЕСТВО С ОГРАНИЧЕННОЙ ОТВЕТСТВЕННОСТЬЮ "ОМСКИЙ ПЕНОБЕТОННЫЙ ЗАВОД"</t>
  </si>
  <si>
    <t>"ОМСКИЙ ПЕНОБЕТОННЫЙ ЗАВОД"</t>
  </si>
  <si>
    <t>5501172345</t>
  </si>
  <si>
    <t>644085, ОМСКАЯ ОБЛАСТЬ, Г. ОМСК, ПР-КТ МИРА, Д. 177</t>
  </si>
  <si>
    <t>Кубрин Денис Николаевич</t>
  </si>
  <si>
    <t>+7 (923) 673-27-94', '+7 (913) 668-15-13'</t>
  </si>
  <si>
    <t>ОБЩЕСТВО С ОГРАНИЧЕННОЙ ОТВЕТСТВЕННОСТЬЮ "БЛАГОУСТРОЙСТВО И МАЛЫЕ АРХИТЕКТУРНЫЕ ФОРМЫ"</t>
  </si>
  <si>
    <t>"БЛАГОУСТРОЙСТВО И МАЛЫЕ АРХИТЕКТУРНЫЕ ФОРМЫ"</t>
  </si>
  <si>
    <t>5501272597</t>
  </si>
  <si>
    <t>644901, ОМСКАЯ ОБЛ., Г. Омск, УЛ. ИРТЫШСКАЯ, Д. 1А, ПОМЕЩ. 5</t>
  </si>
  <si>
    <t>Новоселов Алексей Викторович</t>
  </si>
  <si>
    <t>BIMAF@GMAIL.COM'</t>
  </si>
  <si>
    <t>ОБЩЕСТВО С ОГРАНИЧЕННОЙ ОТВЕТСТВЕННОСТЬЮ "АЛЕКСГРУПП"</t>
  </si>
  <si>
    <t>"АЛЕКСГРУПП"</t>
  </si>
  <si>
    <t>5507260541</t>
  </si>
  <si>
    <t>644073, ОМСКАЯ ОБЛАСТЬ, ГОРОД ОМСК, УЛИЦА ЛЮБИНСКАЯ 8-Я, ДОМ 56</t>
  </si>
  <si>
    <t>Мартус Алексей Алексеевич</t>
  </si>
  <si>
    <t>+7 (913) 971-92-08'</t>
  </si>
  <si>
    <t>ОБЩЕСТВО С ОГРАНИЧЕННОЙ ОТВЕТСТВЕННОСТЬЮ "ТИСА"</t>
  </si>
  <si>
    <t>"ТИСА"</t>
  </si>
  <si>
    <t>5501209468</t>
  </si>
  <si>
    <t>644905, ОМСКАЯ ОБЛАСТЬ, РАЙОН ОМСКИЙ, ПОСЕЛОК МАГИСТРАЛЬНЫЙ, УЛИЦА СТРОИТЕЛЕЙ, ДОМ 7, КОРПУС 1</t>
  </si>
  <si>
    <t>Амоненко Сергей Борисович</t>
  </si>
  <si>
    <t>+7 (950) 950-98-96'</t>
  </si>
  <si>
    <t>ОБЩЕСТВО С ОГРАНИЧЕННОЙ ОТВЕТСТВЕННОСТЬЮ "ПРОИЗВОДСТВЕННО-КОММЕРЧЕСКАЯ ФИРМА "БИ"</t>
  </si>
  <si>
    <t>"ПРОИЗВОДСТВЕННО-КОММЕРЧЕСКАЯ ФИРМА "БИ"</t>
  </si>
  <si>
    <t>5505034723</t>
  </si>
  <si>
    <t>г Омск, пр-кт Губкина, д 1, корп 5</t>
  </si>
  <si>
    <t>Типсина Наталья Евгеньевна</t>
  </si>
  <si>
    <t>info@plitkaomsk.ru', 'hello@trotuarnaja-plitka'</t>
  </si>
  <si>
    <t>ОБЩЕСТВО С ОГРАНИЧЕННОЙ ОТВЕТСТВЕННОСТЬЮ "ОМСКИЙ КОМБИНАТ АРХИТЕКТУРНОГО БЕТОНА"</t>
  </si>
  <si>
    <t>"ОМСКИЙ КОМБИНАТ АРХИТЕКТУРНОГО БЕТОНА"</t>
  </si>
  <si>
    <t>5501110243</t>
  </si>
  <si>
    <t>644065, ОМСКАЯ ОБЛАСТЬ, Г. ОМСК, УЛ. ЗАВОДСКАЯ, Д.1, К.3</t>
  </si>
  <si>
    <t>Раскатов Сергей Юрьевич</t>
  </si>
  <si>
    <t>5501271667</t>
  </si>
  <si>
    <t>644035, ОМСКАЯ ОБЛ., Г. Омск, УЛ. КОМБИНАТСКАЯ, Д. 30, ОФИС 2</t>
  </si>
  <si>
    <t>5507283443</t>
  </si>
  <si>
    <t>644106, Омская область, городской округ ГОРОД ОМСК, Город ОМСК, УЛ ФУГЕНФИРОВА, Д. 9А, ОФИС МФ-3/7</t>
  </si>
  <si>
    <t>Иванов Александр Сергеевич</t>
  </si>
  <si>
    <t>21@LIST.RU'</t>
  </si>
  <si>
    <t>ОБЩЕСТВО С ОГРАНИЧЕННОЙ ОТВЕТСТВЕННОСТЬЮ "ГРАНИТЕКС"</t>
  </si>
  <si>
    <t>"ГРАНИТЕКС"</t>
  </si>
  <si>
    <t>5501077356</t>
  </si>
  <si>
    <t>http://graniteks.ru</t>
  </si>
  <si>
    <t>644065, ОМСКАЯ ОБЛАСТЬ, ГОРОД ОМСК, УЛИЦА 1-Я ЗАВОДСКАЯ, ДОМ 23, ПОМЕЩЕНИЕ 1П</t>
  </si>
  <si>
    <t>Давыденко Наталья Ивановна</t>
  </si>
  <si>
    <t>+7 (913) 628-64-68', '+7 (913) 971-09-06', '+7 (913) 640-57-55'</t>
  </si>
  <si>
    <t>5501184799</t>
  </si>
  <si>
    <t>644065, ОМСКАЯ ОБЛАСТЬ, ГОРОД ОМСК, УЛИЦА 1-Я ЗАВОДСКАЯ, ДОМ 23, ОФИС 7</t>
  </si>
  <si>
    <t>Сардарян Артавазд Рафикович</t>
  </si>
  <si>
    <t>+7 (951) 411-10-10', '+7 (913) 142-16-00'</t>
  </si>
  <si>
    <t>5503236530</t>
  </si>
  <si>
    <t>644065, ОМСКАЯ ОБЛ., Г. Омск, УЛ. 1-Я ЗАВОДСКАЯ, Д. 21, К. 1</t>
  </si>
  <si>
    <t>Баранов Евгений Вячеславович</t>
  </si>
  <si>
    <t>+7 (913) 144-22-66', '+7 (913) 623-99-33'</t>
  </si>
  <si>
    <t>ОБЩЕСТВО С ОГРАНИЧЕННОЙ ОТВЕТСТВЕННОСТЬЮ "ВИЛЛФАСТ"</t>
  </si>
  <si>
    <t>"ВИЛЛФАСТ"</t>
  </si>
  <si>
    <t>5507273830</t>
  </si>
  <si>
    <t>644022, ОМСКАЯ ОБЛАСТЬ, ГОРОД ОМСК, УЛИЦА ВАТУТИНА, ДОМ 9, ОФИС 3П</t>
  </si>
  <si>
    <t>Абдукаимов Уткирбек Абдурашитжанович</t>
  </si>
  <si>
    <t>ОБЩЕСТВО С ОГРАНИЧЕННОЙ ОТВЕТСТВЕННОСТЬЮ "УПРАВЛЕНИЕ МЕХРАБОТ"</t>
  </si>
  <si>
    <t>"УПРАВЛЕНИЕ МЕХРАБОТ"</t>
  </si>
  <si>
    <t>5507134392</t>
  </si>
  <si>
    <t>644015, ОМСКАЯ ОБЛАСТЬ, ГОРОД ОМСК, УЛИЦА 22 ДЕКАБРЯ, ДОМ 98, КАБИНЕТ 202</t>
  </si>
  <si>
    <t>Богомаз Валерий Григорьевич</t>
  </si>
  <si>
    <t>910364@mail.ru'</t>
  </si>
  <si>
    <t>ОБЩЕСТВО С ОГРАНИЧЕННОЙ ОТВЕТСТВЕННОСТЬЮ "ВАРМБЛОК"</t>
  </si>
  <si>
    <t>"ВАРМБЛОК"</t>
  </si>
  <si>
    <t>5501279137</t>
  </si>
  <si>
    <t>644035, Омская область, ГОРОД ОМСК, Г ОМСК, ПР-КТ ГУБКИНА, Д. 4, К. 1</t>
  </si>
  <si>
    <t>Савченко Андрей Юрьевич</t>
  </si>
  <si>
    <t>ОБЩЕСТВО С ОГРАНИЧЕННОЙ ОТВЕТСТВЕННОСТЬЮ ПРОИЗВОДСТВЕННЫЙ КОМПЛЕКС № 3</t>
  </si>
  <si>
    <t>ПРОИЗВОДСТВЕННЫЙ КОМПЛЕКС № 3</t>
  </si>
  <si>
    <t>5501190231</t>
  </si>
  <si>
    <t>644065, ОМСКАЯ ОБЛАСТЬ, ГОРОД ОМСК, УЛИЦА ЗАВОДСКАЯ, ДОМ 15, КАБИНЕТ 12</t>
  </si>
  <si>
    <t>Борзенков Сергей Анатольевич</t>
  </si>
  <si>
    <t>sbt@yandex.ru'</t>
  </si>
  <si>
    <t>ОБЩЕСТВО С ОГРАНИЧЕННОЙ ОТВЕТСТВЕННОСТЬЮ "УПРАВЛЕНИЕ МЕХАНИЗИРОВАННЫХ РАБОТ"</t>
  </si>
  <si>
    <t>"УПРАВЛЕНИЕ МЕХАНИЗИРОВАННЫХ РАБОТ"</t>
  </si>
  <si>
    <t>5501096172</t>
  </si>
  <si>
    <t>Г ОМСК,УЛ ЭНТУЗИАСТОВ, 19</t>
  </si>
  <si>
    <t>Таалайбек Уулу Арген</t>
  </si>
  <si>
    <t>+7 (937) 520-03-02'</t>
  </si>
  <si>
    <t>ОБЩЕСТВО С ОГРАНИЧЕННОЙ ОТВЕТСТВЕННОСТЬЮ "ВАЙК ГРУПП"</t>
  </si>
  <si>
    <t>"ВАЙК ГРУПП"</t>
  </si>
  <si>
    <t>5507287705</t>
  </si>
  <si>
    <t>644016, Омская область, ГОРОД ОМСК, Г ОМСК, УЛ 3-Я АВТОМОБИЛЬНАЯ, Д. 2Г</t>
  </si>
  <si>
    <t>Елян Арман</t>
  </si>
  <si>
    <t>VAIKGRUPP55@MAIL.RU'</t>
  </si>
  <si>
    <t>5507258486</t>
  </si>
  <si>
    <t>644015, ОМСКАЯ ОБЛАСТЬ, ГОРОД ОМСК, УЛИЦА 22 ДЕКАБРЯ, ДОМ 86, ОФИС 3</t>
  </si>
  <si>
    <t>Натчук Александр Сергеевич</t>
  </si>
  <si>
    <t>+7 (982) 904-61-70'</t>
  </si>
  <si>
    <t>5503162536</t>
  </si>
  <si>
    <t>644088, ОМСКАЯ ОБЛ., Г. Омск, УЛ. ХИМИКОВ, Д. 63, К. 1, ОФИС 306</t>
  </si>
  <si>
    <t>Мануйлов Алексей Леонидович</t>
  </si>
  <si>
    <t>+7 (908) 101-90-55', '+7 (913) 988-72-48', '+7 (913) 630-70-52'</t>
  </si>
  <si>
    <t>"ФОРАС"</t>
  </si>
  <si>
    <t>5507260372</t>
  </si>
  <si>
    <t>644119, ОМСКАЯ ОБЛАСТЬ, ГОРОД ОМСК, УЛИЦА КРУПСКОЙ, ДОМ 7, КОРПУС 1,..</t>
  </si>
  <si>
    <t>Бурковский Дмитрий Георгиевич</t>
  </si>
  <si>
    <t>+7 (913) 972-44-74'</t>
  </si>
  <si>
    <t>ОБЩЕСТВО С ОГРАНИЧЕННОЙ ОТВЕТСТВЕННОСТЬЮ "КАСКАД НОВЫХ ТЕХНОЛОГИЙ"</t>
  </si>
  <si>
    <t>"КАСКАД НОВЫХ ТЕХНОЛОГИЙ"</t>
  </si>
  <si>
    <t>5507245649</t>
  </si>
  <si>
    <t>644074, ОМСКАЯ ОБЛАСТЬ, Г. ОМСК, УЛ. ВАТУТИНА, Д. 22 А,..</t>
  </si>
  <si>
    <t>Обрубов Юрий Владимирович</t>
  </si>
  <si>
    <t>+7 (950) 780-63-54', '+7 (913) 611-18-10'</t>
  </si>
  <si>
    <t>55oooknt@mail.ru'</t>
  </si>
  <si>
    <t>ОБЩЕСТВО С ОГРАНИЧЕННОЙ ОТВЕТСТВЕННОСТЬЮ "ЛЕКС"</t>
  </si>
  <si>
    <t>"ЛЕКС"</t>
  </si>
  <si>
    <t>5501264518</t>
  </si>
  <si>
    <t>644035, ОМСКАЯ ОБЛАСТЬ, Г. ОМСК, ПР-КТ ГУБКИНА, Д. 36, ОФИС 4</t>
  </si>
  <si>
    <t>Шаруха Евгения Александровна</t>
  </si>
  <si>
    <t>ОБЩЕСТВО С ОГРАНИЧЕННОЙ ОТВЕТСТВЕННОСТЬЮ "УПРАВЛЕНИЕ ПРОИЗВОДСТВЕННО-ТЕХНОЛОГИЧЕСКОЙ КОМПЛЕКТАЦИИ"</t>
  </si>
  <si>
    <t>"УПРАВЛЕНИЕ ПРОИЗВОДСТВЕННО-ТЕХНОЛОГИЧЕСКОЙ КОМПЛЕКТАЦИИ"</t>
  </si>
  <si>
    <t>5501122778</t>
  </si>
  <si>
    <t>644035, ОМСКАЯ ОБЛАСТЬ, Г. ОМСК, ТРАКТ КРАСНОЯРСКИЙ, Д. 105</t>
  </si>
  <si>
    <t>Тищенко Андрей Владимирович</t>
  </si>
  <si>
    <t>+7 (913) 971-10-65', '+7 (913) 645-06-20', '+7 (983) 627-64-76'</t>
  </si>
  <si>
    <t>fenixsplus55@yandex.ru'</t>
  </si>
  <si>
    <t>ОБЩЕСТВО С ОГРАНИЧЕННОЙ ОТВЕТСТВЕННОСТЬЮ "СТИРОБЕТОН"</t>
  </si>
  <si>
    <t>"СТИРОБЕТОН"</t>
  </si>
  <si>
    <t>5507287504</t>
  </si>
  <si>
    <t>644112, Омская область, ГОРОД ОМСК, Г ОМСК, УЛ ПЕРЕЛЕТА, Д. 29</t>
  </si>
  <si>
    <t>Гейнц Сергей Владимирович</t>
  </si>
  <si>
    <t>PRAKTIKA@MAIL.RU'</t>
  </si>
  <si>
    <t>ОБЩЕСТВО С ОГРАНИЧЕННОЙ ОТВЕТСТВЕННОСТЬЮ "ЭСКАТ ПЛЮС"</t>
  </si>
  <si>
    <t>"ЭСКАТ ПЛЮС"</t>
  </si>
  <si>
    <t>5507290401</t>
  </si>
  <si>
    <t>644112, Омская область, ГОРОД ОМСК, Г ОМСК, УЛ ТУПОЛЕВА, Д. 2, К. 1</t>
  </si>
  <si>
    <t>Этков Александр Александрович</t>
  </si>
  <si>
    <t>5506080602</t>
  </si>
  <si>
    <t>644015, ОМСКАЯ ОБЛАСТЬ, ГОРОД ОМСК, УЛИЦА ТУРГЕНЕВА, ДОМ 60, КАБИНЕТ 20</t>
  </si>
  <si>
    <t>Шефер Владимир Николаевич</t>
  </si>
  <si>
    <t>+7 (908) 802-67-91', '+7 (953) 394-29-49'</t>
  </si>
  <si>
    <t>a@ya.ru', 'oksk@mail.ru'</t>
  </si>
  <si>
    <t>ОБЩЕСТВО С ОГРАНИЧЕННОЙ ОТВЕТСТВЕННОСТЬЮ "ПромПрогресс"</t>
  </si>
  <si>
    <t>"ПромПрогресс"</t>
  </si>
  <si>
    <t>5507229510</t>
  </si>
  <si>
    <t>644015, ОМСКАЯ ОБЛАСТЬ, Г. ОМСК, УЛ. ДУНАЕВСКОГО, ДОМ 50</t>
  </si>
  <si>
    <t>Воробьев Дмитрий Владимирович</t>
  </si>
  <si>
    <t>+7 (903) 927-58-53'</t>
  </si>
  <si>
    <t>ОБЩЕСТВО С ОГРАНИЧЕННОЙ ОТВЕТСТВЕННОСТЬЮ "АВТОБАЗА №7"</t>
  </si>
  <si>
    <t>"АВТОБАЗА №7"</t>
  </si>
  <si>
    <t>5507173063</t>
  </si>
  <si>
    <t>644036, ОМСКАЯ ОБЛ, Г ОМСК, УЛ МЕЛЬНИЧНАЯ, Д 89, КОРП 3,..</t>
  </si>
  <si>
    <t>Саркисян Эдуард Мнацаканович</t>
  </si>
  <si>
    <t>mb283363@yandex.ru'</t>
  </si>
  <si>
    <t>ОБЩЕСТВО С ОГРАНИЧЕННОЙ ОТВЕТСТВЕННОСТЬЮ "ИНКРИЗ"</t>
  </si>
  <si>
    <t>"ИНКРИЗ"</t>
  </si>
  <si>
    <t>5503133912</t>
  </si>
  <si>
    <t>Г ОМСК,УЛ ДМИТРИЕВА, 2, КОРП 4,..</t>
  </si>
  <si>
    <t>Шаламаев Игорь Юрьевич</t>
  </si>
  <si>
    <t>+7 (953) 394-17-10', '+7 (904) 325-22-44'</t>
  </si>
  <si>
    <t>ОБЩЕСТВО С ОГРАНИЧЕННОЙ ОТВЕТСТВЕННОСТЬЮ "СВИК"</t>
  </si>
  <si>
    <t>"СВИК"</t>
  </si>
  <si>
    <t>5507281460</t>
  </si>
  <si>
    <t>644123, Омская область, городской округ ГОРОД ОМСК, Город ОМСК, УЛ ДМИТРИЕВА, Д. 1, К. 7, ПОМЕЩ. 1П, ОФИС 8/1</t>
  </si>
  <si>
    <t>Кривобок Иван Владимирович</t>
  </si>
  <si>
    <t>55I@BK.RU'</t>
  </si>
  <si>
    <t>ОБЩЕСТВО С ОГРАНИЧЕННОЙ ОТВЕТСТВЕННОСТЬЮ "ГЛОБОГРУПП СТРОЙ"</t>
  </si>
  <si>
    <t>"ГЛОБОГРУПП СТРОЙ"</t>
  </si>
  <si>
    <t>5507282175</t>
  </si>
  <si>
    <t>644015, ОМСКАЯ ОБЛ., Г. Омск, УЛ. ГРАНИЧНАЯ, Д. 57, ОФИС 4</t>
  </si>
  <si>
    <t>Аветисян Акоб Гургенович</t>
  </si>
  <si>
    <t>GROUP@BK.RU'</t>
  </si>
  <si>
    <t>ОБЩЕСТВО С ОГРАНИЧЕННОЙ ОТВЕТСТВЕННОСТЬЮ "АЗСТРОМ ОМСК"</t>
  </si>
  <si>
    <t>"АЗСТРОМ ОМСК"</t>
  </si>
  <si>
    <t>5507256270</t>
  </si>
  <si>
    <t>644033, ОМСКАЯ ОБЛАСТЬ, Г. ОМСК, УЛ. КРАСНЫЙ ПУТЬ, Д. 105, К. 2,..</t>
  </si>
  <si>
    <t>Фаргиев Адам Умарович</t>
  </si>
  <si>
    <t>+7 (905) 922-58-20', '+7 (913) 964-73-44'</t>
  </si>
  <si>
    <t>ОБЩЕСТВО С ОГРАНИЧЕННОЙ ОТВЕТСТВЕННОСТЬЮ "БЭСТ-ПЛАСТИК"</t>
  </si>
  <si>
    <t>"БЭСТ-ПЛАСТИК"</t>
  </si>
  <si>
    <t>5503248695</t>
  </si>
  <si>
    <t>644034, Омская область, г Омск, ул Орджоникидзе, д 273Б,..</t>
  </si>
  <si>
    <t>Почекуев Александр Геннадьевич</t>
  </si>
  <si>
    <t>+7 (929) 364-57-59', '+7 (904) 074-12-92', '+7 (960) 999-28-07', '+7 (960) 998-59-08'</t>
  </si>
  <si>
    <t>plastik@mail.ru'</t>
  </si>
  <si>
    <t>5507269777</t>
  </si>
  <si>
    <t>644046, ОМСКАЯ ОБЛ., Г. Омск, УЛ. СТЕПНАЯ, Д. 239, КОМ. 3 СЕКЦИЯ 16</t>
  </si>
  <si>
    <t>Абетаев Гумар Байлянович</t>
  </si>
  <si>
    <t>ОБЩЕСТВО С ОГРАНИЧЕННОЙ ОТВЕТСТВЕННОСТЬЮ "ИНТЕРИЯ"</t>
  </si>
  <si>
    <t>"ИНТЕРИЯ"</t>
  </si>
  <si>
    <t>5503259513</t>
  </si>
  <si>
    <t>644007, Омская область, ГОРОД ОМСК, Г ОМСК, УЛ ТРЕТЬЯКОВСКАЯ, Д. 69А</t>
  </si>
  <si>
    <t>Матюхин Андрей Николаевич</t>
  </si>
  <si>
    <t>INTERIY_55@MAIL.RU'</t>
  </si>
  <si>
    <t>5505054857</t>
  </si>
  <si>
    <t>644121, ОМСКАЯ ОБЛ, Г ОМСК, УЛ 9-Я ЛЕНИНСКАЯ, Д 5, ПОМЕЩЕНИЕ 5 П, ОФИС 12</t>
  </si>
  <si>
    <t>Мянд Юлия Юрьевна</t>
  </si>
  <si>
    <t>svetbereg@mail.ru', 'bereg@mail.ru'</t>
  </si>
  <si>
    <t>5503260950</t>
  </si>
  <si>
    <t>644042, Омская область, ГОРОД ОМСК, Г ОМСК, ПР-КТ КАРЛА МАРКСА, Д. 37</t>
  </si>
  <si>
    <t>Садвокасова Карлыгаш Кихматовна</t>
  </si>
  <si>
    <t>ОБЩЕСТВО С ОГРАНИЧЕННОЙ ОТВЕТСТВЕННОСТЬЮ "КСМ "СИБИРСКИЙ ЖЕЛЕЗОБЕТОН - ЗАВОД"</t>
  </si>
  <si>
    <t>"КСМ "СИБИРСКИЙ ЖЕЛЕЗОБЕТОН - ЗАВОД"</t>
  </si>
  <si>
    <t>5501251371</t>
  </si>
  <si>
    <t>Г ОМСК,УЛ САЖИНСКАЯ, 37</t>
  </si>
  <si>
    <t>Контов Виктор Алексеевич</t>
  </si>
  <si>
    <t>+7 (913) 630-70-52'</t>
  </si>
  <si>
    <t>ОБЩЕСТВО С ОГРАНИЧЕННОЙ ОТВЕТСТВЕННОСТЬЮ "АБРИС ПОЛИМЕР"</t>
  </si>
  <si>
    <t>"АБРИС ПОЛИМЕР"</t>
  </si>
  <si>
    <t>5504147957</t>
  </si>
  <si>
    <t>644046, ОМСКАЯ ОБЛАСТЬ, ГОРОД ОМСК, УЛИЦА ДЕКАБРИСТОВ, ДОМ 108,..</t>
  </si>
  <si>
    <t>Дубовик Сергей Николаевич</t>
  </si>
  <si>
    <t>ОБЩЕСТВО С ОГРАНИЧЕННОЙ ОТВЕТСТВЕННОСТЬЮ "КРОСТ"</t>
  </si>
  <si>
    <t>"КРОСТ"</t>
  </si>
  <si>
    <t>7733231820</t>
  </si>
  <si>
    <t>644024, ОМСКАЯ ОБЛАСТЬ, ГОРОД ОМСК, УЛИЦА КУЙБЫШЕВА, ДОМ 56, ОФИС 5</t>
  </si>
  <si>
    <t>Михалек Валерий Владиславович</t>
  </si>
  <si>
    <t>+7 (983) 526-64-28'</t>
  </si>
  <si>
    <t>feshnstroi@mail.ru'</t>
  </si>
  <si>
    <t>ОБЩЕСТВО С ОГРАНИЧЕННОЙ ОТВЕТСТВЕННОСТЬЮ "ОМСКАЯ ПРОМЫШЛЕННАЯ КОМПАНИЯ"</t>
  </si>
  <si>
    <t>"ОМСКАЯ ПРОМЫШЛЕННАЯ КОМПАНИЯ"</t>
  </si>
  <si>
    <t>5506158520</t>
  </si>
  <si>
    <t>644046, ОМСКАЯ ОБЛАСТЬ, Г. ОМСК, УЛ. ИППОДРОМНАЯ, Д. 2, ОФИС 303</t>
  </si>
  <si>
    <t>Белоус Евгений Викторович</t>
  </si>
  <si>
    <t>+7 (953) 394-29-42', '+7 (953) 394-29-49', '+7 (908) 802-67-91', '+7 (953) 394-29-80', '+7 (953) 394-29-33'</t>
  </si>
  <si>
    <t>ОБЩЕСТВО С ОГРАНИЧЕННОЙ ОТВЕТСТВЕННОСТЬЮ "ПКФ СТРОЙМАТЕРИАЛЫ"</t>
  </si>
  <si>
    <t>"ПКФ СТРОЙМАТЕРИАЛЫ"</t>
  </si>
  <si>
    <t>5506230304</t>
  </si>
  <si>
    <t>644079, ОМСКАЯ ОБЛАСТЬ, Г. ОМСК, УЛ. 20-Я РАБОЧАЯ, Д. 56</t>
  </si>
  <si>
    <t>Шевченко Валерий Валерьевич</t>
  </si>
  <si>
    <t>5507248632</t>
  </si>
  <si>
    <t>644105, ОМСКАЯ ОБЛАСТЬ, ГОРОД ОМСК, УЛИЦА АЛТАЙСКАЯ, ДОМ 46,..</t>
  </si>
  <si>
    <t>mg@mail.ru'</t>
  </si>
  <si>
    <t>ОБЩЕСТВО С ОГРАНИЧЕННОЙ ОТВЕТСТВЕННОСТЬЮ "ЗЖБИ № 7"</t>
  </si>
  <si>
    <t>"ЗЖБИ № 7"</t>
  </si>
  <si>
    <t>5503166516</t>
  </si>
  <si>
    <t>644105, ОМСКАЯ ОБЛАСТЬ, ГОРОД ОМСК, УЛИЦА 22 ПАРТСЪЕЗДА, ДОМ 51А, ОФИС 202</t>
  </si>
  <si>
    <t>Свекров Павел Валерьевич</t>
  </si>
  <si>
    <t>+7 (913) 610-22-61'</t>
  </si>
  <si>
    <t>ОБЩЕСТВО С ОГРАНИЧЕННОЙ ОТВЕТСТВЕННОСТЬЮ "Амурстройсервис"</t>
  </si>
  <si>
    <t>"Амурстройсервис"</t>
  </si>
  <si>
    <t>5504233998</t>
  </si>
  <si>
    <t>644009, Омская область, г Омск, ул Лермонтова, д 179 А</t>
  </si>
  <si>
    <t>Ермолов Николай Борисович</t>
  </si>
  <si>
    <t>+7 (962) 037-55-57'</t>
  </si>
  <si>
    <t>info@region55.ru', 'IRA@REGION55.RU'</t>
  </si>
  <si>
    <t>ОБЩЕСТВО С ОГРАНИЧЕННОЙ ОТВЕТСТВЕННОСТЬЮ "АБСОЛЮТБЕТОН"</t>
  </si>
  <si>
    <t>"АБСОЛЮТБЕТОН"</t>
  </si>
  <si>
    <t>5505056004</t>
  </si>
  <si>
    <t>644109, ОМСКАЯ ОБЛ, ОМСК Г, ПУТЕВАЯ 5-Я УЛ, ДОМ 151</t>
  </si>
  <si>
    <t>Шевелёв Вадим Юрьевич</t>
  </si>
  <si>
    <t>+7 (951) 409-03-15'</t>
  </si>
  <si>
    <t>ОБЩЕСТВО С ОГРАНИЧЕННОЙ ОТВЕТСТВЕННОСТЬЮ ПРОИЗВОДСТВЕННЫЙ КОМПЛЕКС № 5</t>
  </si>
  <si>
    <t>ПРОИЗВОДСТВЕННЫЙ КОМПЛЕКС № 5</t>
  </si>
  <si>
    <t>5503181585</t>
  </si>
  <si>
    <t>644013, ОМСКАЯ ОБЛАСТЬ, ГОРОД ОМСК, УЛИЦА КАХОВСКОГО, ДОМ 3, КАБИНЕТ 3</t>
  </si>
  <si>
    <t>Тюменцева Ирина Юрьевна</t>
  </si>
  <si>
    <t>sb@yandex.ru'</t>
  </si>
  <si>
    <t>ОБЩЕСТВО С ОГРАНИЧЕННОЙ ОТВЕТСТВЕННОСТЬЮ "ЖБИ55"</t>
  </si>
  <si>
    <t>"ЖБИ55"</t>
  </si>
  <si>
    <t>5506196942</t>
  </si>
  <si>
    <t>644076, Омская область, ГОРОД ОМСК, Г ОМСК, УЛ 75 ГВАРДЕЙСКОЙ БРИГАДЫ, Д. 10А</t>
  </si>
  <si>
    <t>Шевелёва Ольга Евгеньевна</t>
  </si>
  <si>
    <t>ABSOLUTBETON2012@MAIL.RU'</t>
  </si>
  <si>
    <t>ОБЩЕСТВО С ОГРАНИЧЕННОЙ ОТВЕТСТВЕННОСТЬЮ "ЖБИ 7"</t>
  </si>
  <si>
    <t>"ЖБИ 7"</t>
  </si>
  <si>
    <t>5528049003</t>
  </si>
  <si>
    <t>644540, ОМСКАЯ ОБЛАСТЬ, РАЙОН ОМСКИЙ, ДЕРЕВНЯ РАКИТИНКА (ПУШКИНСКОГО С/П), УЛИЦА ЦЕНТРАЛЬНАЯ, ДОМ 33, ПОМЕЩЕНИЕ 1Ч</t>
  </si>
  <si>
    <t>Хартман Игорь Евгеньевич</t>
  </si>
  <si>
    <t>ОБЩЕСТВО С ОГРАНИЧЕННОЙ ОТВЕТСТВЕННОСТЬЮ "САРДААНА"</t>
  </si>
  <si>
    <t>"САРДААНА"</t>
  </si>
  <si>
    <t>1701002985</t>
  </si>
  <si>
    <t>Г КЫЗЫЛ,09,УЛ ТАЕЖНАЯ, Д 3 "А"</t>
  </si>
  <si>
    <t>Лысенко Дмитрий Владимирович</t>
  </si>
  <si>
    <t>+7 (394) 223-35-45'</t>
  </si>
  <si>
    <t>ОБЩЕСТВО С ОГРАНИЧЕННОЙ ОТВЕТСТВЕННОСТЬЮ Завод крупнопанельного домостроения "Стройбетон"</t>
  </si>
  <si>
    <t>Завод крупнопанельного домостроения "Стройбетон"</t>
  </si>
  <si>
    <t>5517200823</t>
  </si>
  <si>
    <t>646981, ОМСКАЯ ОБЛАСТЬ, РАЙОН КОРМИЛОВСКИЙ, СЕЛО МИХАЙЛОВКА, УЛИЦА СОВЕТСКАЯ, ДОМ 3</t>
  </si>
  <si>
    <t>Митин Константин Николаевич</t>
  </si>
  <si>
    <t>+7 (913) 151-88-84'</t>
  </si>
  <si>
    <t>SB@YANDEX.RU'</t>
  </si>
  <si>
    <t>ОБЩЕСТВО С ОГРАНИЧЕННОЙ ОТВЕТСТВЕННОСТЬЮ "НОВЫЙ ВЕКТОР"</t>
  </si>
  <si>
    <t>"НОВЫЙ ВЕКТОР"</t>
  </si>
  <si>
    <t>8602285196</t>
  </si>
  <si>
    <t>628486, ХАНТЫ-МАНСИЙСКИЙ АВТОНОМНЫЙ ОКРУГ - ЮГРА АВТОНОМНЫЙ ОКРУГ, ГОРОД КОГАЛЫМ, УЛИЦА ГЕОФИЗИКОВ, ДОМ 8, СТРОЕНИЕ 24</t>
  </si>
  <si>
    <t>Люфт Виталий Яковлевич</t>
  </si>
  <si>
    <t>+7 (903) 200-07-21'</t>
  </si>
  <si>
    <t>newvectorcorp@mail.ru'</t>
  </si>
  <si>
    <t>ОБЩЕСТВО С ОГРАНИЧЕННОЙ ОТВЕТСТВЕННОСТЬЮ "ЗАВОД ЖЕЛЕЗОБЕТОННЫХ ИЗДЕЛИЙ "ЯМАЛ"</t>
  </si>
  <si>
    <t>"ЗАВОД ЖЕЛЕЗОБЕТОННЫХ ИЗДЕЛИЙ "ЯМАЛ"</t>
  </si>
  <si>
    <t>8905064100</t>
  </si>
  <si>
    <t>629800, ЯМАЛО-НЕНЕЦКИЙ АВТОНОМНЫЙ ОКРУГ, ГОРОД НОЯБРЬСК, ТЕРРИТОРИЯ ЮГО-ВОСТОЧНЫЙ ПРОМУЗЕЛ, ПАНЕЛЬ IX-А-4, ДОМ 118, ОФИС 11</t>
  </si>
  <si>
    <t>Федорец Александр Сергеевич</t>
  </si>
  <si>
    <t>+7 (932) 093-46-31'</t>
  </si>
  <si>
    <t>ОБЩЕСТВО С ОГРАНИЧЕННОЙ ОТВЕТСТВЕННОСТЬЮ "ЯМАЛЖЕЛЕЗОБЕТОН"</t>
  </si>
  <si>
    <t>"ЯМАЛЖЕЛЕЗОБЕТОН"</t>
  </si>
  <si>
    <t>8911013390</t>
  </si>
  <si>
    <t>629830, ЯМАЛО-НЕНЕЦКИЙ АВТОНОМНЫЙ ОКРУГ, ГОРОД ГУБКИНСКИЙ, ТЕРРИТОРИЯ ПАНЕЛЬ 2, ВЛАДЕНИЕ 0006, СТРОЕНИЕ 1</t>
  </si>
  <si>
    <t>Шевцов Максим Федорович</t>
  </si>
  <si>
    <t>ОБЩЕСТВО С ОГРАНИЧЕННОЙ ОТВЕТСТВЕННОСТЬЮ "ЖЕЛЕЗОБЕТОННЫЕ ИЗДЕЛИЯ И КОНСТРУКЦИИ"</t>
  </si>
  <si>
    <t>"ЖЕЛЕЗОБЕТОННЫЕ ИЗДЕЛИЯ И КОНСТРУКЦИИ"</t>
  </si>
  <si>
    <t>8911002952</t>
  </si>
  <si>
    <t>629830, ЯМАЛО-НЕНЕЦКИЙ АВТОНОМНЫЙ ОКРУГ, ГОРОД ГУБКИНСКИЙ, ТЕРРИТОРИЯ ПАНЕЛЬ 2, БАЗА 0006, СТРОЕНИЕ 1</t>
  </si>
  <si>
    <t>gbi13@mail.ru', 'gmail13@mail.ru'</t>
  </si>
  <si>
    <t>8904088980</t>
  </si>
  <si>
    <t>629300, ЯМАЛО-НЕНЕЦКИЙ АВТОНОМНЫЙ ОКРУГ, ГОРОД НОВЫЙ УРЕНГОЙ, УЛИЦА СИБИРСКАЯ, ДОМ 45А,..</t>
  </si>
  <si>
    <t>Гладышев Сергей Владимирович</t>
  </si>
  <si>
    <t>89507081525@MAIL.RU', '9220531819@mail.ru', 'emzagova@mail.ru'</t>
  </si>
  <si>
    <t>8904084619</t>
  </si>
  <si>
    <t>629307, ЯМАЛО-НЕНЕЦКИЙ АВТОНОМНЫЙ ОКРУГ, ГОРОД НОВЫЙ УРЕНГОЙ, ПРОСПЕКТ ГУБКИНА, ДОМ 26,..</t>
  </si>
  <si>
    <t>Арутюнян Ирав Альбертович</t>
  </si>
  <si>
    <t>+7 (904) 454-67-48'</t>
  </si>
  <si>
    <t>ОБЩЕСТВО С ОГРАНИЧЕННОЙ ОТВЕТСТВЕННОСТЬЮ "СТРОИТЕЛЬНЫЕ ИЗДЕЛИЯ ИЗ БЕТОНА"</t>
  </si>
  <si>
    <t>"СТРОИТЕЛЬНЫЕ ИЗДЕЛИЯ ИЗ БЕТОНА"</t>
  </si>
  <si>
    <t>2270004384</t>
  </si>
  <si>
    <t>658825, АЛТАЙСКИЙ КРАЙ, Г. СЛАВГОРОД, УЛ. КИРПИЧНАЯ, Д. 145А5</t>
  </si>
  <si>
    <t>Константинов Максим Анатольевич</t>
  </si>
  <si>
    <t>+7 (961) 997-89-24', '+7 (923) 727-94-48'</t>
  </si>
  <si>
    <t>tanibir1982@mail.ru'</t>
  </si>
  <si>
    <t>ОБЩЕСТВО С ОГРАНИЧЕННОЙ ОТВЕТСТВЕННОСТЬЮ "РЕГИОНСЕРВИС"</t>
  </si>
  <si>
    <t>"РЕГИОНСЕРВИС"</t>
  </si>
  <si>
    <t>2258003881</t>
  </si>
  <si>
    <t>АЛТАЙСКИЙ КРАЙ,МИХАЙЛОВСКИЙ Р-Н,С МИХАЙЛОВСКОЕ,УЛ МОЛОДЕЖНАЯ, Д 42 А</t>
  </si>
  <si>
    <t>Еськин Сергей Геннадьевич</t>
  </si>
  <si>
    <t>+7 (905) 988-23-72'</t>
  </si>
  <si>
    <t>ОБЩЕСТВО С ОГРАНИЧЕННОЙ ОТВЕТСТВЕННОСТЬЮ "СТРОИТЕЛЬНОЕ УПРАВЛЕНИЕ-2"</t>
  </si>
  <si>
    <t>"СТРОИТЕЛЬНОЕ УПРАВЛЕНИЕ-2"</t>
  </si>
  <si>
    <t>2209051410</t>
  </si>
  <si>
    <t>658209, АЛТАЙСКИЙ КРАЙ, Г. Рубцовск, УЛ. ТРАКТОРНАЯ, ВЛД. 23Б, СТР. 8</t>
  </si>
  <si>
    <t>Пчелинцев Евгений Викторович</t>
  </si>
  <si>
    <t>CKDEDAL@MAIL.RU'</t>
  </si>
  <si>
    <t>ОТКРЫТОЕ АКЦИОНЕРНОЕ ОБЩЕСТВО "МАСАЛЬСКИЙ ЗАВОД ЖЕЛЕЗОБЕТОННЫХ ИЗДЕЛИЙ"</t>
  </si>
  <si>
    <t>ОТКРЫТОЕ "МАСАЛЬСКИЙ ЗАВОД ЖЕЛЕЗОБЕТОННЫХ ИЗДЕЛИЙ"</t>
  </si>
  <si>
    <t>2256003163</t>
  </si>
  <si>
    <t>АЛТАЙСКИЙ КРАЙ,ЛОКТЕВСКИЙ Р-Н,П МАСАЛЬСКИЙ,УЛ НАБЕРЕЖНАЯ, Д 25</t>
  </si>
  <si>
    <t>Федоренко Александр Федорович</t>
  </si>
  <si>
    <t>5403215456</t>
  </si>
  <si>
    <t>633262, НОВОСИБИРСКАЯ ОБЛАСТЬ, РАЙОН ОРДЫНСКИЙ, РАБОЧИЙ ПОСЕЛОК ОРДЫНСКОЕ, УЛИЦА ОКТЯБРЬСКАЯ, ДОМ 93, ОФИС 1</t>
  </si>
  <si>
    <t>Бровин Андрей Николаевич</t>
  </si>
  <si>
    <t>+7 (383) 262-00-66', '+7 (383) 262-01-02'</t>
  </si>
  <si>
    <t>ОБЩЕСТВО С ОГРАНИЧЕННОЙ ОТВЕТСТВЕННОСТЬЮ "СТРОЙЭФФЕКТ"</t>
  </si>
  <si>
    <t>"СТРОЙЭФФЕКТ"</t>
  </si>
  <si>
    <t>5436312857</t>
  </si>
  <si>
    <t>633623, НОВОСИБИРСКАЯ ОБЛАСТЬ, РАЙОН СУЗУНСКИЙ, РАБОЧИЙ ПОСЕЛОК СУЗУН, УЛИЦА КОММУНИСТИЧЕСКАЯ, 1, --, --</t>
  </si>
  <si>
    <t>Неизвестных Анастасия Александровна</t>
  </si>
  <si>
    <t>+7 (905) 934-88-25'</t>
  </si>
  <si>
    <t>2201010108</t>
  </si>
  <si>
    <t>658130, АЛТАЙСКИЙ КРАЙ, ГОРОД АЛЕЙСК, УЛИЦА ПОБЕДЫ, ДОМ 138</t>
  </si>
  <si>
    <t>Папикян Аршак Шаликоевич</t>
  </si>
  <si>
    <t>+7 (983) 105-05-45'</t>
  </si>
  <si>
    <t>5410091850</t>
  </si>
  <si>
    <t>630520, НОВОСИБИРСКАЯ ОБЛАСТЬ, НОВОСИБИРСКИЙ РАЙОН, С ВЕРХ-ТУЛА, УЛ РАБОЧАЯ, 25 ЦЕХ 1</t>
  </si>
  <si>
    <t>Махнаев Павел Константинович</t>
  </si>
  <si>
    <t>ОБЩЕСТВО С ОГРАНИЧЕННОЙ ОТВЕТСТВЕННОСТЬЮ "ААЗИС И КО"</t>
  </si>
  <si>
    <t>"ААЗИС И КО"</t>
  </si>
  <si>
    <t>5404042012</t>
  </si>
  <si>
    <t>630041, НОВОСИБИРСКАЯ ОБЛАСТЬ, Г НОВОСИБИРСК, УЛ ХИНГАНСКАЯ, 1 ПОМЕЩЕНИЕ 1</t>
  </si>
  <si>
    <t>Сумин Виктор Викторович</t>
  </si>
  <si>
    <t>+7 (913) 958-43-98'</t>
  </si>
  <si>
    <t>ОБЩЕСТВО С ОГРАНИЧЕННОЙ ОТВЕТСТВЕННОСТЬЮ "Логистика"</t>
  </si>
  <si>
    <t>"Логистика"</t>
  </si>
  <si>
    <t>5406744200</t>
  </si>
  <si>
    <t>630052, НОВОСИБИРСКАЯ ОБЛАСТЬ, Г НОВОСИБИРСК, УЛ ТОЛМАЧЕВСКАЯ, 45В ОФИС 8</t>
  </si>
  <si>
    <t>Налобин Дмитрий Александрович</t>
  </si>
  <si>
    <t>ОБЩЕСТВО С ОГРАНИЧЕННОЙ ОТВЕТСТВЕННОСТЬЮ "ЕВРОБЕТОН-ЖБИ"</t>
  </si>
  <si>
    <t>"ЕВРОБЕТОН-ЖБИ"</t>
  </si>
  <si>
    <t>5406606585</t>
  </si>
  <si>
    <t>630510, НОВОСИБИРСКАЯ ОБЛАСТЬ, НОВОСИБИРСКИЙ РАЙОН, ДП КУДРЯШОВСКИЙ, ТЕРРИТОРИЯ ДНТ СЛАВЯНКА, ЗДАНИЕ 1 ПОМЕЩЕНИЕ 1Б</t>
  </si>
  <si>
    <t>Юрченко Владимир Васильевич</t>
  </si>
  <si>
    <t>ОБЩЕСТВО С ОГРАНИЧЕННОЙ ОТВЕТСТВЕННОСТЬЮ "ПК  ЭВОЛЮЦИЯ"</t>
  </si>
  <si>
    <t>"ПК  ЭВОЛЮЦИЯ"</t>
  </si>
  <si>
    <t>5404082287</t>
  </si>
  <si>
    <t>630071, НОВОСИБИРСКАЯ ОБЛАСТЬ, Г НОВОСИБИРСК, УЛ ОЛИМПИЙСКАЯ, 37 ЭТАЖ 2 ОФИС 10</t>
  </si>
  <si>
    <t>Трифонов Михаил Алексеевич</t>
  </si>
  <si>
    <t>rozenberg1976@mail.ru'</t>
  </si>
  <si>
    <t>ОБЩЕСТВО С ОГРАНИЧЕННОЙ ОТВЕТСТВЕННОСТЬЮ "СИБИРСКАЯ ПЕРСПЕКТИВА"</t>
  </si>
  <si>
    <t>"СИБИРСКАЯ ПЕРСПЕКТИВА"</t>
  </si>
  <si>
    <t>5433157642</t>
  </si>
  <si>
    <t>630521, НОВОСИБИРСКАЯ ОБЛАСТЬ, РАЙОН НОВОСИБИРСКИЙ, ПОСЕЛОК 8 МАРТА, УЛИЦА МИРА, 1, В</t>
  </si>
  <si>
    <t>Филатов Вадим Викторович</t>
  </si>
  <si>
    <t>+7 (383) 291-76-08', '+7 (913) 917-74-00'</t>
  </si>
  <si>
    <t>ОБЩЕСТВО С ОГРАНИЧЕННОЙ ОТВЕТСТВЕННОСТЬЮ "ВКС-НСК"</t>
  </si>
  <si>
    <t>"ВКС-НСК"</t>
  </si>
  <si>
    <t>5404061576</t>
  </si>
  <si>
    <t>630071, НОВОСИБИРСКАЯ ОБЛАСТЬ, Г НОВОСИБИРСК, УЛ СТАНЦИОННАЯ, 60/3 ОФИС 1</t>
  </si>
  <si>
    <t>Баранова Анна Николаевна</t>
  </si>
  <si>
    <t>+7 (913) 913-42-85', '+7 (383) 373-47-60'</t>
  </si>
  <si>
    <t>ОБЩЕСТВО С ОГРАНИЧЕННОЙ ОТВЕТСТВЕННОСТЬЮ "МЕЛЕН"</t>
  </si>
  <si>
    <t>"МЕЛЕН"</t>
  </si>
  <si>
    <t>5404092670</t>
  </si>
  <si>
    <t>630096, НОВОСИБИРСКАЯ ОБЛАСТЬ, Г НОВОСИБИРСК, УЛ СТАНЦИОННАЯ, 60/10 ОФИС 513</t>
  </si>
  <si>
    <t>Качесов Алексей Валерьевич</t>
  </si>
  <si>
    <t>+7 (383) 432-91-86', '+7 (953) 889-93-49'</t>
  </si>
  <si>
    <t>ОБЩЕСТВО С ОГРАНИЧЕННОЙ ОТВЕТСТВЕННОСТЬЮ "БЕТОН ДЕКОР"</t>
  </si>
  <si>
    <t>"БЕТОН ДЕКОР"</t>
  </si>
  <si>
    <t>5401378127</t>
  </si>
  <si>
    <t>630108, НОВОСИБИРСКАЯ ОБЛАСТЬ, Г НОВОСИБИРСК, УЛ СТАНЦИОННАЯ, 30Г ЭТАЖ 2 КАБ 4</t>
  </si>
  <si>
    <t>Девянин Денис Сергеевич</t>
  </si>
  <si>
    <t>+7 (983) 132-19-33', '+7 (913) 899-77-13'</t>
  </si>
  <si>
    <t>plitkasibiri@mail.ru', '9082279@mail.ru'</t>
  </si>
  <si>
    <t>ОБЩЕСТВО С ОГРАНИЧЕННОЙ ОТВЕТСТВЕННОСТЬЮ "Завод ЖБИ-12"</t>
  </si>
  <si>
    <t>"Завод ЖБИ-12"</t>
  </si>
  <si>
    <t>5404484331</t>
  </si>
  <si>
    <t>630096, НОВОСИБИРСКАЯ ОБЛАСТЬ, Г НОВОСИБИРСК, УЛ СТАНЦИОННАЯ, 56</t>
  </si>
  <si>
    <t>+7 (383) 341-96-44', '+7 (913) 919-90-28'</t>
  </si>
  <si>
    <t>ОБЩЕСТВО С ОГРАНИЧЕННОЙ ОТВЕТСТВЕННОСТЬЮ "БФТ"</t>
  </si>
  <si>
    <t>"БФТ"</t>
  </si>
  <si>
    <t>5404018267</t>
  </si>
  <si>
    <t>630120, Новосибирская область, г Новосибирск, ул Озерная, 82</t>
  </si>
  <si>
    <t>Саранчин Сергей Павлович</t>
  </si>
  <si>
    <t>+7 (962) 835-58-00', '+7 (383) 233-24-84'</t>
  </si>
  <si>
    <t>ОБЩЕСТВО С ОГРАНИЧЕННОЙ ОТВЕТСТВЕННОСТЬЮ "СТРОИТЕЛЬНЫЕ МАШИНЫ СИБИРИ"</t>
  </si>
  <si>
    <t>"СТРОИТЕЛЬНЫЕ МАШИНЫ СИБИРИ"</t>
  </si>
  <si>
    <t>5404013029</t>
  </si>
  <si>
    <t>630108, Новосибирская область, г Новосибирск, ул Станционная, 38</t>
  </si>
  <si>
    <t>Форленкова Любовь Григорьевна</t>
  </si>
  <si>
    <t>+7 (383) 226-70-66'</t>
  </si>
  <si>
    <t>ОБЩЕСТВО С ОГРАНИЧЕННОЙ ОТВЕТСТВЕННОСТЬЮ "МАСТЕРСКАЯ КАМНЯ"</t>
  </si>
  <si>
    <t>"МАСТЕРСКАЯ КАМНЯ"</t>
  </si>
  <si>
    <t>5403021789</t>
  </si>
  <si>
    <t>630088, НОВОСИБИРСКАЯ ОБЛ, Г НОВОСИБИРСК, УЛ ПЕТУХОВА, 49А КОРПУС 1 ЭТАЖ 1</t>
  </si>
  <si>
    <t>Иванов Олег Вячеславович</t>
  </si>
  <si>
    <t>4@gknm.ru', 'kuzmichi78@mail.ru'</t>
  </si>
  <si>
    <t>ОБЩЕСТВО С ОГРАНИЧЕННОЙ ОТВЕТСТВЕННОСТЬЮ "ПРО-С"</t>
  </si>
  <si>
    <t>"ПРО-С"</t>
  </si>
  <si>
    <t>5404064337</t>
  </si>
  <si>
    <t>630096, НОВОСИБИРСКАЯ ОБЛАСТЬ, Г НОВОСИБИРСК, УЛ СТАНЦИОННАЯ, 38 К 32 ОФИС 14</t>
  </si>
  <si>
    <t>Вольхин Сергей Александрович</t>
  </si>
  <si>
    <t>+7 (913) 765-00-24', '+7 (383) 319-59-11'</t>
  </si>
  <si>
    <t>ОБЩЕСТВО С ОГРАНИЧЕННОЙ ОТВЕТСТВЕННОСТЬЮ "СМК-КОМПЛЕКТ"</t>
  </si>
  <si>
    <t>"СМК-КОМПЛЕКТ"</t>
  </si>
  <si>
    <t>5404068331</t>
  </si>
  <si>
    <t>630108, НОВОСИБИРСКАЯ ОБЛАСТЬ, Г НОВОСИБИРСК, УЛ СТАНЦИОННАЯ, 28 ЭТАЖ 2 КАБ 226</t>
  </si>
  <si>
    <t>Маврин Сергей Петрович</t>
  </si>
  <si>
    <t>+7 (983) 316-09-87', '+7 (383) 328-41-00'</t>
  </si>
  <si>
    <t>ОБЩЕСТВО С ОГРАНИЧЕННОЙ ОТВЕТСТВЕННОСТЬЮ "МАТЕРИК"</t>
  </si>
  <si>
    <t>"МАТЕРИК"</t>
  </si>
  <si>
    <t>5404081283</t>
  </si>
  <si>
    <t>630054, НОВОСИБИРСКАЯ ОБЛАСТЬ, Г НОВОСИБИРСК, ПЕР 3-Й КРАШЕНИННИКОВА, 3/1 ОФИС 112</t>
  </si>
  <si>
    <t>Сидунов Андрей Александрович</t>
  </si>
  <si>
    <t>ОБЩЕСТВО С ОГРАНИЧЕННОЙ ОТВЕТСТВЕННОСТЬЮ "СТРОЙЦЕНТР"</t>
  </si>
  <si>
    <t>"СТРОЙЦЕНТР"</t>
  </si>
  <si>
    <t>5402016112</t>
  </si>
  <si>
    <t>630001, НОВОСИБИРСКАЯ ОБЛАСТЬ, Г НОВОСИБИРСК, УЛ СУХАРНАЯ, 98 КОМН 1</t>
  </si>
  <si>
    <t>Мазалов Геннадий Петрович</t>
  </si>
  <si>
    <t>+7 (383) 286-93-17'</t>
  </si>
  <si>
    <t>ОБЩЕСТВО С ОГРАНИЧЕННОЙ ОТВЕТСТВЕННОСТЬЮ "ЖБИ-НСК"</t>
  </si>
  <si>
    <t>"ЖБИ-НСК"</t>
  </si>
  <si>
    <t>5402071787</t>
  </si>
  <si>
    <t>630001, Новосибирская область, Г НОВОСИБИРСК, УЛ СУХАРНАЯ, 98 ПОМЕЩ 14</t>
  </si>
  <si>
    <t>ОБЩЕСТВО С ОГРАНИЧЕННОЙ ОТВЕТСТВЕННОСТЬЮ "ЛИБЕРИТ"</t>
  </si>
  <si>
    <t>"ЛИБЕРИТ"</t>
  </si>
  <si>
    <t>5402581516</t>
  </si>
  <si>
    <t>630123, НОВОСИБИРСКАЯ ОБЛАСТЬ, Г НОВОСИБИРСК, УЛ ПОБЕДЫ, 55 ОФИС 14</t>
  </si>
  <si>
    <t>Пацук Павел Федорович</t>
  </si>
  <si>
    <t>+7 (383) 230-25-37'</t>
  </si>
  <si>
    <t>ОБЩЕСТВО С ОГРАНИЧЕННОЙ ОТВЕТСТВЕННОСТЬЮ "Сибсервис"</t>
  </si>
  <si>
    <t>"Сибсервис"</t>
  </si>
  <si>
    <t>5408298819</t>
  </si>
  <si>
    <t>630078, НОВОСИБИРСКАЯ ОБЛАСТЬ, Г НОВОСИБИРСК, УЛ ПЕРМИТИНА, 24 ЭТАЖ 3 ТВК ОФИС 543</t>
  </si>
  <si>
    <t>Пынтиков Евгений Павлович</t>
  </si>
  <si>
    <t>+7 (383) 306-28-01', '+7 (913) 919-90-54', '+7 (983) 317-30-75', '+7 (983) 328-48-71', '+7 (383) 306-31-00'</t>
  </si>
  <si>
    <t>findir@betons.ru', 'np5408298819@eoks.atlas'</t>
  </si>
  <si>
    <t>ОБЩЕСТВО С ОГРАНИЧЕННОЙ ОТВЕТСТВЕННОСТЬЮ "МОЧИЩЕНСКИЙ ЗАВОД ЖБК"</t>
  </si>
  <si>
    <t>"МОЧИЩЕНСКИЙ ЗАВОД ЖБК"</t>
  </si>
  <si>
    <t>5402176469</t>
  </si>
  <si>
    <t>http://m-zbk.ru</t>
  </si>
  <si>
    <t>630040, НОВОСИБИРСКАЯ ОБЛАСТЬ, НОВОСИБИРСКИЙ РАЙОН, П ОЗЕРНЫЙ, УЛ ПРОМЫШЛЕННАЯ, 4 А</t>
  </si>
  <si>
    <t>Коротков Виктор Викторович</t>
  </si>
  <si>
    <t>+7 (383) 203-82-24'</t>
  </si>
  <si>
    <t>mbzbk@mail.ru'</t>
  </si>
  <si>
    <t>ОБЩЕСТВО С ОГРАНИЧЕННОЙ ОТВЕТСТВЕННОСТЬЮ "ТЁПЛЫЙ БЕТОН"</t>
  </si>
  <si>
    <t>"ТЁПЛЫЙ БЕТОН"</t>
  </si>
  <si>
    <t>5407497040</t>
  </si>
  <si>
    <t>630004, НОВОСИБИРСКАЯ ОБЛАСТЬ, ГОРОД НОВОСИБИРСК, ПРОСПЕКТ КОМСОМОЛЬСКИЙ, ДОМ 1А, ОФИС 515</t>
  </si>
  <si>
    <t>Кугушев Виктор Николаевич</t>
  </si>
  <si>
    <t>+7 (383) 344-99-11'</t>
  </si>
  <si>
    <t>ОБЩЕСТВО С ОГРАНИЧЕННОЙ ОТВЕТСТВЕННОСТЬЮ "ВАН"</t>
  </si>
  <si>
    <t>"ВАН"</t>
  </si>
  <si>
    <t>5410057144</t>
  </si>
  <si>
    <t>630132, НОВОСИБИРСКАЯ ОБЛАСТЬ, Г НОВОСИБИРСК, УЛ КРАСНОЯРСКАЯ, 107 ОФИС 2</t>
  </si>
  <si>
    <t>Кулиджанян Сергей Колевич</t>
  </si>
  <si>
    <t>+7 (913) 009-35-58', '+7 (923) 630-09-19'</t>
  </si>
  <si>
    <t>ОБЩЕСТВО С ОГРАНИЧЕННОЙ ОТВЕТСТВЕННОСТЬЮ "СИБЛИТБЕТОН"</t>
  </si>
  <si>
    <t>"СИБЛИТБЕТОН"</t>
  </si>
  <si>
    <t>5403063228</t>
  </si>
  <si>
    <t>630024, НОВОСИБИРСКАЯ ОБЛАСТЬ, Г НОВОСИБИРСК, УЛ БЕТОННАЯ, 2/19 ОФИС 10</t>
  </si>
  <si>
    <t>Егупов Виктор Николаевич</t>
  </si>
  <si>
    <t>L31195@MAIL.RU'</t>
  </si>
  <si>
    <t>5402501278</t>
  </si>
  <si>
    <t>630004, НОВОСИБИРСКАЯ ОБЛАСТЬ, Г НОВОСИБИРСК, УЛ ЛЕНИНА, 21/1 КОРПУС 2 ОФИС 403</t>
  </si>
  <si>
    <t>ОБЩЕСТВО С ОГРАНИЧЕННОЙ ОТВЕТСТВЕННОСТЬЮ "ЕВРОКОМ"</t>
  </si>
  <si>
    <t>"ЕВРОКОМ"</t>
  </si>
  <si>
    <t>2464208179</t>
  </si>
  <si>
    <t>630099, НОВОСИБИРСКАЯ ОБЛАСТЬ, Г НОВОСИБИРСК, УЛ ДЕПУТАТСКАЯ, 2 ОФИС 2А КАБИНЕТ 5</t>
  </si>
  <si>
    <t>Бизина Наталья Александровна</t>
  </si>
  <si>
    <t>+7 (383) 335-85-01', '+7 (913) 910-20-42'</t>
  </si>
  <si>
    <t>ОБЩЕСТВО С ОГРАНИЧЕННОЙ ОТВЕТСТВЕННОСТЬЮ "ВАН ГОГ"</t>
  </si>
  <si>
    <t>"ВАН ГОГ"</t>
  </si>
  <si>
    <t>5402068417</t>
  </si>
  <si>
    <t>630049, НОВОСИБИРСКАЯ ОБЛ., Г. Новосибирск, УЛ. ГАЛУЩАКА, Д. 15,..</t>
  </si>
  <si>
    <t>Букин Алексей Иванович</t>
  </si>
  <si>
    <t>ОБЩЕСТВО С ОГРАНИЧЕННОЙ ОТВЕТСТВЕННОСТЬЮ "АЛЬЯНС С"</t>
  </si>
  <si>
    <t>"АЛЬЯНС С"</t>
  </si>
  <si>
    <t>5404058333</t>
  </si>
  <si>
    <t>630087, НОВОСИБИРСКАЯ ОБЛАСТЬ, Г НОВОСИБИРСК, ПРОСП КАРЛА МАРКСА, 24А..</t>
  </si>
  <si>
    <t>Поморцев Алексей Александрович</t>
  </si>
  <si>
    <t>ОБЩЕСТВО С ОГРАНИЧЕННОЙ ОТВЕТСТВЕННОСТЬЮ "АБ-БАКРЕТ"</t>
  </si>
  <si>
    <t>"АБ-БАКРЕТ"</t>
  </si>
  <si>
    <t>5404075145</t>
  </si>
  <si>
    <t>630087, НОВОСИБИРСКАЯ ОБЛАСТЬ, Г НОВОСИБИРСК, ПРОСПЕКТ КАРЛА МАРКСА, 24А ОФИС 6</t>
  </si>
  <si>
    <t>Жданов Сергей Викторович</t>
  </si>
  <si>
    <t>misyankin@ya.ru'</t>
  </si>
  <si>
    <t>ОБЩЕСТВО С ОГРАНИЧЕННОЙ ОТВЕТСТВЕННОСТЬЮ ТД "ЛАУРА"</t>
  </si>
  <si>
    <t>ТД "ЛАУРА"</t>
  </si>
  <si>
    <t>5404278836</t>
  </si>
  <si>
    <t>630024, НОВОСИБИРСКАЯ ОБЛАСТЬ, Г НОВОСИБИРСК, УЛ БЕТОННАЯ, 4/2</t>
  </si>
  <si>
    <t>Трещёв Николай Витальевич</t>
  </si>
  <si>
    <t>+7 (383) 361-27-15'</t>
  </si>
  <si>
    <t>ОБЩЕСТВО С ОГРАНИЧЕННОЙ ОТВЕТСТВЕННОСТЬЮ "ПРОМОГРУПП"</t>
  </si>
  <si>
    <t>"ПРОМОГРУПП"</t>
  </si>
  <si>
    <t>5403044120</t>
  </si>
  <si>
    <t>630024, НОВОСИБИРСКАЯ ОБЛАСТЬ, Г НОВОСИБИРСК, УЛ БЕТОННАЯ, 4/12 ОФИС 1</t>
  </si>
  <si>
    <t>Васильева Елена Евгеньевна</t>
  </si>
  <si>
    <t>76@mail.ru', 'nsk@yandex.ru'</t>
  </si>
  <si>
    <t>ОБЩЕСТВО С ОГРАНИЧЕННОЙ ОТВЕТСТВЕННОСТЬЮ "ЖБИ ДС"</t>
  </si>
  <si>
    <t>"ЖБИ ДС"</t>
  </si>
  <si>
    <t>5402065529</t>
  </si>
  <si>
    <t>630049, НОВОСИБИРСКАЯ ОБЛАСТЬ, Г НОВОСИБИРСК, ПРОСПЕКТ КРАСНЫЙ, 200 ОФИС 915 А</t>
  </si>
  <si>
    <t>Петрушина Яна Викторовна</t>
  </si>
  <si>
    <t>SUN@YANDEX.RU'</t>
  </si>
  <si>
    <t>5403039345</t>
  </si>
  <si>
    <t>630024, НОВОСИБИРСКАЯ ОБЛАСТЬ, Г НОВОСИБИРСК, УЛ БЕТОННАЯ, 6 ОФИС 26</t>
  </si>
  <si>
    <t>Голубев Максим Александрович</t>
  </si>
  <si>
    <t>+7 (953) 857-07-20', '+7 (953) 362-17-04'</t>
  </si>
  <si>
    <t>ОБЩЕСТВО С ОГРАНИЧЕННОЙ ОТВЕТСТВЕННОСТЬЮ ПРОИЗВОДСТВЕННО-ТОРГОВАЯ КОМПАНИЯ "ДОРСТРОЙ"</t>
  </si>
  <si>
    <t>ПРОИЗВОДСТВЕННО-ТОРГОВАЯ КОМПАНИЯ "ДОРСТРОЙ"</t>
  </si>
  <si>
    <t>5406601770</t>
  </si>
  <si>
    <t>630091, НОВОСИБИРСКАЯ ОБЛАСТЬ, Г НОВОСИБИРСК, УЛ СОВЕТСКАЯ, 52 ВХОД А ОФИС 12</t>
  </si>
  <si>
    <t>ОБЩЕСТВО С ОГРАНИЧЕННОЙ ОТВЕТСТВЕННОСТЬЮ ГРУППА КОМПАНИЙ "ОЛИМП"</t>
  </si>
  <si>
    <t>ГРУППА КОМПАНИЙ "ОЛИМП"</t>
  </si>
  <si>
    <t>5406602069</t>
  </si>
  <si>
    <t>630091, НОВОСИБИРСКАЯ ОБЛАСТЬ, Г НОВОСИБИРСК, УЛ СОВЕТСКАЯ, 52 ОФИС 109</t>
  </si>
  <si>
    <t>+7 (383) 209-29-35'</t>
  </si>
  <si>
    <t>buh9891345318@mail.ru', 'nsk@mail.ru'</t>
  </si>
  <si>
    <t>ОБЩЕСТВО С ОГРАНИЧЕННОЙ ОТВЕТСТВЕННОСТЬЮ "ЖБИ ДОРСТРОЙ"</t>
  </si>
  <si>
    <t>"ЖБИ ДОРСТРОЙ"</t>
  </si>
  <si>
    <t>5406811538</t>
  </si>
  <si>
    <t>630091, НОВОСИБИРСКАЯ ОБЛАСТЬ, Г НОВОСИБИРСК, УЛ СОВЕТСКАЯ, 52 ОФИС 12</t>
  </si>
  <si>
    <t>LAWYER2@FINASIA.RU'</t>
  </si>
  <si>
    <t>ОБЩЕСТВО С ОГРАНИЧЕННОЙ ОТВЕТСТВЕННОСТЬЮ "РОКБЛОК"</t>
  </si>
  <si>
    <t>"РОКБЛОК"</t>
  </si>
  <si>
    <t>5406805118</t>
  </si>
  <si>
    <t>630007, НОВОСИБИРСКАЯ ОБЛАСТЬ, ГОРОД НОВОСИБИРСК, УЛИЦА ОКТЯБРЬСКАЯ, ДОМ 42, ОФИС 519</t>
  </si>
  <si>
    <t>Бровкин Кирилл Юрьевич</t>
  </si>
  <si>
    <t>irina@kanctovar.ru'</t>
  </si>
  <si>
    <t>ОБЩЕСТВО С ОГРАНИЧЕННОЙ ОТВЕТСТВЕННОСТЬЮ "ЗАВОД ЖЕЛЕЗОБЕТОННЫХ ИЗДЕЛИЙ "МАРУСИНО"</t>
  </si>
  <si>
    <t>"ЗАВОД ЖЕЛЕЗОБЕТОННЫХ ИЗДЕЛИЙ "МАРУСИНО"</t>
  </si>
  <si>
    <t>5407975585</t>
  </si>
  <si>
    <t>630099, НОВОСИБИРСКАЯ ОБЛАСТЬ, Г НОВОСИБИРСК, УЛ ОКТЯБРЬСКАЯ, 42 ОФИС 503</t>
  </si>
  <si>
    <t>Киселев Алексей Александрович</t>
  </si>
  <si>
    <t>llcapricot@mail.ru', '2140349@mail.ru'</t>
  </si>
  <si>
    <t>ОБЩЕСТВО С ОГРАНИЧЕННОЙ ОТВЕТСТВЕННОСТЬЮ "АЛЬФАЦЕНТРСТРОЙ"</t>
  </si>
  <si>
    <t>"АЛЬФАЦЕНТРСТРОЙ"</t>
  </si>
  <si>
    <t>5433966957</t>
  </si>
  <si>
    <t>630040, НОВОСИБИРСКАЯ ОБЛАСТЬ, НОВОСИБИРСКИЙ РАЙОН, П ОЗЕРНЫЙ, МИКРОРАЙОН АРМЕЙСКИЙ, 18</t>
  </si>
  <si>
    <t>Самвелян Армен Манукович</t>
  </si>
  <si>
    <t>ttg58@mail.ru', 'central_ooo@mail.ru'</t>
  </si>
  <si>
    <t>ОБЩЕСТВО С ОГРАНИЧЕННОЙ ОТВЕТСТВЕННОСТЬЮ "АТРИУМ"</t>
  </si>
  <si>
    <t>"АТРИУМ"</t>
  </si>
  <si>
    <t>5402043927</t>
  </si>
  <si>
    <t>630099, НОВОСИБИРСКАЯ ОБЛАСТЬ, Г НОВОСИБИРСК, УЛ ОКТЯБРЬСКАЯ, 49..</t>
  </si>
  <si>
    <t>Титов Евгений Сергеевич</t>
  </si>
  <si>
    <t>ОБЩЕСТВО С ОГРАНИЧЕННОЙ ОТВЕТСТВЕННОСТЬЮ "МАРКАСИБ"</t>
  </si>
  <si>
    <t>"МАРКАСИБ"</t>
  </si>
  <si>
    <t>5410784502</t>
  </si>
  <si>
    <t>630040, НОВОСИБИРСКАЯ ОБЛАСТЬ, Г НОВОСИБИРСК, УЛ 1-Я ГРУЗИНСКАЯ, 32/1</t>
  </si>
  <si>
    <t>Попов Евгений Викторович</t>
  </si>
  <si>
    <t>+7 (913) 916-77-87'</t>
  </si>
  <si>
    <t>ОБЩЕСТВО С ОГРАНИЧЕННОЙ ОТВЕТСТВЕННОСТЬЮ "ЗАВОД ЖБИ КАМЕНСКИЙ"</t>
  </si>
  <si>
    <t>"ЗАВОД ЖБИ КАМЕНСКИЙ"</t>
  </si>
  <si>
    <t>5410083828</t>
  </si>
  <si>
    <t>630061, НОВОСИБИРСКАЯ ОБЛАСТЬ, Г НОВОСИБИРСК, УЛ МЯСНИКОВОЙ, 30..</t>
  </si>
  <si>
    <t>Махортов Роман Сергеевич</t>
  </si>
  <si>
    <t>zgbi_kamensky@mail.ru'</t>
  </si>
  <si>
    <t>ОБЩЕСТВО С ОГРАНИЧЕННОЙ ОТВЕТСТВЕННОСТЬЮ "СТРОЙСИБ-ДК"</t>
  </si>
  <si>
    <t>"СТРОЙСИБ-ДК"</t>
  </si>
  <si>
    <t>5402063786</t>
  </si>
  <si>
    <t>630047, НОВОСИБИРСКАЯ ОБЛАСТЬ, Г НОВОСИБИРСК, УЛ СВЕТЛАНОВСКАЯ, ЗД 50/5 ОФИС 5</t>
  </si>
  <si>
    <t>Козенец Александр Николаевич</t>
  </si>
  <si>
    <t>ОБЩЕСТВО С ОГРАНИЧЕННОЙ ОТВЕТСТВЕННОСТЬЮ "РБУ-КУБ"</t>
  </si>
  <si>
    <t>"РБУ-КУБ"</t>
  </si>
  <si>
    <t>5406803826</t>
  </si>
  <si>
    <t>630047, Новосибирская область, Г НОВОСИБИРСК, УЛ СВЕТЛАНОВСКАЯ, 50/5 ОФИС 5</t>
  </si>
  <si>
    <t>audit9384521874@list.ru', 'lyudmila@list.ru'</t>
  </si>
  <si>
    <t>ОБЩЕСТВО С ОГРАНИЧЕННОЙ ОТВЕТСТВЕННОСТЬЮ "ВИНТОРГ"</t>
  </si>
  <si>
    <t>"ВИНТОРГ"</t>
  </si>
  <si>
    <t>5406585871</t>
  </si>
  <si>
    <t>630099, НОВОСИБИРСКАЯ ОБЛ, Г НОВОСИБИРСК, УЛ ОРДЖОНИКИДЗЕ, 30..</t>
  </si>
  <si>
    <t>Виноградов Михаил Сергеевич</t>
  </si>
  <si>
    <t>+7 (383) 334-40-02', '+7 (995) 010-38-53', '+7 (952) 945-12-12', '+7 (383) 334-40-02'</t>
  </si>
  <si>
    <t>ОБЩЕСТВО С ОГРАНИЧЕННОЙ ОТВЕТСТВЕННОСТЬЮ "ЮРГИНСКИЙ ЗАВОД ЖЕЛЕЗОБЕТОННЫХ КОНСТРУКЦИЙ"</t>
  </si>
  <si>
    <t>"ЮРГИНСКИЙ ЗАВОД ЖЕЛЕЗОБЕТОННЫХ КОНСТРУКЦИЙ"</t>
  </si>
  <si>
    <t>5406756157</t>
  </si>
  <si>
    <t>630088, НОВОСИБИРСКАЯ ОБЛАСТЬ, Г НОВОСИБИРСК, УЛ СИБИРЯКОВ-ГВАРДЕЙЦЕВ, 49А КОРПУС 5 ПОМЕЩЕНИЕ 205</t>
  </si>
  <si>
    <t>+7 (905) 079-91-40', '+7 (905) 909-79-33'</t>
  </si>
  <si>
    <t>vergisova@mail.ru'</t>
  </si>
  <si>
    <t>ОБЩЕСТВО С ОГРАНИЧЕННОЙ ОТВЕТСТВЕННОСТЬЮ "ЗАВОД ЖБИ-СИБИРЬ"</t>
  </si>
  <si>
    <t>"ЗАВОД ЖБИ-СИБИРЬ"</t>
  </si>
  <si>
    <t>2204065560</t>
  </si>
  <si>
    <t>630099, НОВОСИБИРСКАЯ ОБЛАСТЬ, Г НОВОСИБИРСК, УЛ СЕМЬИ ШАМШИНЫХ, 16..</t>
  </si>
  <si>
    <t>Белокрылов Виктор Михайлович</t>
  </si>
  <si>
    <t>+7 (960) 942-07-50', '+7 (385) 430-26-72'</t>
  </si>
  <si>
    <t>zavodsmy3@list.ru', 'stroika09@list.ru'</t>
  </si>
  <si>
    <t>ОБЩЕСТВО С ОГРАНИЧЕННОЙ ОТВЕТСТВЕННОСТЬЮ "СТРОЙЖЕЛЕЗОБЕТОН"</t>
  </si>
  <si>
    <t>"СТРОЙЖЕЛЕЗОБЕТОН"</t>
  </si>
  <si>
    <t>5403048332</t>
  </si>
  <si>
    <t>630033, НОВОСИБИРСКАЯ ОБЛАСТЬ, Г НОВОСИБИРСК, УЛ МИРА, 62/1 КОМН 504</t>
  </si>
  <si>
    <t>Бурдаков Андрей Сергеевич</t>
  </si>
  <si>
    <t>ОБЩЕСТВО С ОГРАНИЧЕННОЙ ОТВЕТСТВЕННОСТЬЮ ЗАВОД КРУПНОПАНЕЛЬНОГО ДОМОСТРОЕНИЯ "ЭНЕРГОМОНТАЖ"</t>
  </si>
  <si>
    <t>ЗАВОД КРУПНОПАНЕЛЬНОГО ДОМОСТРОЕНИЯ "ЭНЕРГОМОНТАЖ"</t>
  </si>
  <si>
    <t>5410009510</t>
  </si>
  <si>
    <t>630061, Новосибирская область, г Новосибирск, ул Тюленина, 26</t>
  </si>
  <si>
    <t>Сидоренко Иван Леонидович</t>
  </si>
  <si>
    <t>+7 (383) 271-30-21', '+7 (383) 271-56-60'</t>
  </si>
  <si>
    <t>ОБЩЕСТВО С ОГРАНИЧЕННОЙ ОТВЕТСТВЕННОСТЬЮ "ПРОИЗВОДСТВЕННАЯ КОМПАНИЯ - Строительные материалы"</t>
  </si>
  <si>
    <t>"ПРОИЗВОДСТВЕННАЯ КОМПАНИЯ - Строительные материалы"</t>
  </si>
  <si>
    <t>5403345409</t>
  </si>
  <si>
    <t>630047, НОВОСИБИРСКАЯ ОБЛАСТЬ, Г НОВОСИБИРСК, УЛ КУЗЬМЫ МИНИНА, 9/3..</t>
  </si>
  <si>
    <t>Приходько Евгений Павлович</t>
  </si>
  <si>
    <t>+7 (913) 470-60-74', '+7 (383) 347-25-25'</t>
  </si>
  <si>
    <t>sobi_s@mail.ru'</t>
  </si>
  <si>
    <t>ОБЩЕСТВО С ОГРАНИЧЕННОЙ ОТВЕТСТВЕННОСТЬЮ "КБК-БЕТОН"</t>
  </si>
  <si>
    <t>"КБК-БЕТОН"</t>
  </si>
  <si>
    <t>5406593470</t>
  </si>
  <si>
    <t>630112, НОВОСИБИРСКАЯ ОБЛАСТЬ, Г НОВОСИБИРСК, УЛ ПИСАРЕВА, 102 ЭТАЖ 7 ОФИС 705</t>
  </si>
  <si>
    <t>Тихонов Павел Евгеньевич</t>
  </si>
  <si>
    <t>ОБЩЕСТВО С ОГРАНИЧЕННОЙ ОТВЕТСТВЕННОСТЬЮ ЖБИ "МИЛЛЕНИУМ-ГРУПП"</t>
  </si>
  <si>
    <t>ЖБИ "МИЛЛЕНИУМ-ГРУПП"</t>
  </si>
  <si>
    <t>5507203092</t>
  </si>
  <si>
    <t>630112, НОВОСИБИРСКАЯ ОБЛАСТЬ, Г НОВОСИБИРСК, УЛ ДЕМЬЯНА БЕДНОГО, 73</t>
  </si>
  <si>
    <t>Солдатов Сергей Игоревич</t>
  </si>
  <si>
    <t>ОБЩЕСТВО С ОГРАНИЧЕННОЙ ОТВЕТСТВЕННОСТЬЮ "ЛЭП-НСК"</t>
  </si>
  <si>
    <t>"ЛЭП-НСК"</t>
  </si>
  <si>
    <t>5405996340</t>
  </si>
  <si>
    <t>630008, НОВОСИБИРСКАЯ ОБЛ, Г НОВОСИБИРСК , УЛ ЛЕСКОВА, 15..</t>
  </si>
  <si>
    <t>Тарков Олег Валерьевич</t>
  </si>
  <si>
    <t>+7 (913) 715-70-70', '+7 (913) 916-52-88'</t>
  </si>
  <si>
    <t>ОБЩЕСТВО С ОГРАНИЧЕННОЙ ОТВЕТСТВЕННОСТЬЮ "ПАРК-2000"</t>
  </si>
  <si>
    <t>"ПАРК-2000"</t>
  </si>
  <si>
    <t>5410065875</t>
  </si>
  <si>
    <t>630900, НОВОСИБИРСКАЯ ОБЛ, Г НОВОСИБИРСК, ПЕР 7-Й МАГИСТРАЛЬНЫЙ, 34 ЭТАЖ 1</t>
  </si>
  <si>
    <t>Солин Андрей Геннадьевич</t>
  </si>
  <si>
    <t>ОБЩЕСТВО С ОГРАНИЧЕННОЙ ОТВЕТСТВЕННОСТЬЮ ПРОИЗВОДСТВЕННО-КОММЕРЧЕСКАЯ ФИРМА "ЗКПД-2"</t>
  </si>
  <si>
    <t>ПРОИЗВОДСТВЕННО-КОММЕРЧЕСКАЯ ФИРМА "ЗКПД-2"</t>
  </si>
  <si>
    <t>2222840188</t>
  </si>
  <si>
    <t>АЛТАЙСКИЙ КРАЙ,ПАВЛОВСКИЙ Р-Н,С ПАВЛОВСК,УЛ СОСНОВАЯ ПОЛЯНА,5</t>
  </si>
  <si>
    <t>Иванько Сергей Валерьевич</t>
  </si>
  <si>
    <t>+7 (961) 992-14-48'</t>
  </si>
  <si>
    <t>ОБЩЕСТВО С ОГРАНИЧЕННОЙ ОТВЕТСТВЕННОСТЬЮ "НОВОСИБИРСКИЙ ЗАВОД ЖЕЛЕЗОБЕТОННЫХ ОПОР И СВАЙ-1"</t>
  </si>
  <si>
    <t>"НОВОСИБИРСКИЙ ЗАВОД ЖЕЛЕЗОБЕТОННЫХ ОПОР И СВАЙ-1"</t>
  </si>
  <si>
    <t>5408019279</t>
  </si>
  <si>
    <t>630056, НОВОСИБИРСКАЯ ОБЛАСТЬ, Г НОВОСИБИРСК, УЛ ВАРШАВСКАЯ, 3/2 ОФИС 304</t>
  </si>
  <si>
    <t>Кулаков Эрнест Викторович</t>
  </si>
  <si>
    <t>+7 (913) 985-45-17'</t>
  </si>
  <si>
    <t>5446017674</t>
  </si>
  <si>
    <t>630056, НОВОСИБИРСКАЯ ОБЛАСТЬ, Г НОВОСИБИРСК, УЛ. ВАРШАВСКАЯ, Д. 3/2, ПОМЕЩ. 104</t>
  </si>
  <si>
    <t>Ганиманн Максим Иванович</t>
  </si>
  <si>
    <t>+7 (913) 924-20-50', '+7 (383) 347-25-25'</t>
  </si>
  <si>
    <t>ОБЩЕСТВО С ОГРАНИЧЕННОЙ ОТВЕТСТВЕННОСТЬЮ ПРОИЗВОДСТВЕННАЯ ФИРМА "НОВОСИБИРСКИЙ ЗАВОД ЖЕЛЕЗОБЕТОННЫХ ОПОР И СВАЙ"</t>
  </si>
  <si>
    <t>ПРОИЗВОДСТВЕННАЯ ФИРМА "НОВОСИБИРСКИЙ ЗАВОД ЖЕЛЕЗОБЕТОННЫХ ОПОР И СВАЙ"</t>
  </si>
  <si>
    <t>5408253430</t>
  </si>
  <si>
    <t>Г НОВОСИБИРСК,УЛ ВАРШАВСКАЯ, 3</t>
  </si>
  <si>
    <t>Старшинов Константин Игоревич</t>
  </si>
  <si>
    <t>gbi_os@mail.ru', 'miolev@rambler.ru'</t>
  </si>
  <si>
    <t>ОБЩЕСТВО С ОГРАНИЧЕННОЙ ОТВЕТСТВЕННОСТЬЮ "СТУДИЯ РЕМОНТА "УЮТНЫЙ ДОМ""</t>
  </si>
  <si>
    <t>"СТУДИЯ РЕМОНТА "УЮТНЫЙ ДОМ""</t>
  </si>
  <si>
    <t>5408295751</t>
  </si>
  <si>
    <t>630057, НОВОСИБИРСКАЯ ОБЛАСТЬ, Г НОВОСИБИРСК, УЛ МОЛОДОСТИ, ЗД 61А</t>
  </si>
  <si>
    <t>Кошкин Александр Александрович</t>
  </si>
  <si>
    <t>+7 (383) 287-58-14', '+7 (913) 472-18-84'</t>
  </si>
  <si>
    <t>5407265730</t>
  </si>
  <si>
    <t>630008, НОВОСИБИРСКАЯ ОБЛАСТЬ, Г НОВОСИБИРСК, УЛ НИКИТИНА, 64..</t>
  </si>
  <si>
    <t>Попов Олег Леонтьевич</t>
  </si>
  <si>
    <t>ОБЩЕСТВО С ОГРАНИЧЕННОЙ ОТВЕТСТВЕННОСТЬЮ "КОНСАЛ ТРАСТ"</t>
  </si>
  <si>
    <t>"КОНСАЛ ТРАСТ"</t>
  </si>
  <si>
    <t>5406771412</t>
  </si>
  <si>
    <t>630066, НОВОСИБИРСКАЯ ОБЛАСТЬ, Г НОВОСИБИРСК, УЛ КОМСОМОЛЬСКАЯ, 12 ЭТАЖ 2</t>
  </si>
  <si>
    <t>Алферов Сергей Алексеевич</t>
  </si>
  <si>
    <t>+7 (905) 946-43-78', '+7 (913) 451-43-41'</t>
  </si>
  <si>
    <t>sharm@yandex.ru', 'n@mail.ru'</t>
  </si>
  <si>
    <t>ОБЩЕСТВО С ОГРАНИЧЕННОЙ ОТВЕТСТВЕННОСТЬЮ "Интерра"</t>
  </si>
  <si>
    <t>"Интерра"</t>
  </si>
  <si>
    <t>5401335821</t>
  </si>
  <si>
    <t>630015, НОВОСИБИРСКАЯ ОБЛАСТЬ, Г НОВОСИБИРСК, УЛ ГОГОЛЯ, 204 А,..</t>
  </si>
  <si>
    <t>Торопов Николай Александрович</t>
  </si>
  <si>
    <t>servis111@ngs.ru'</t>
  </si>
  <si>
    <t>ОБЩЕСТВО С ОГРАНИЧЕННОЙ ОТВЕТСТВЕННОСТЬЮ "ПРОИЗВОДСТВЕННО-ТОРГОВАЯ КОМПАНИЯ ЗЖБИ-4"</t>
  </si>
  <si>
    <t>"ПРОИЗВОДСТВЕННО-ТОРГОВАЯ КОМПАНИЯ ЗЖБИ-4"</t>
  </si>
  <si>
    <t>5401206632</t>
  </si>
  <si>
    <t>630015, НОВОСИБИРСКАЯ ОБЛАСТЬ, Г НОВОСИБИРСК, УЛ ИНДУСТРИАЛЬНАЯ, 12</t>
  </si>
  <si>
    <t>Яковлев Олег Анатольевич</t>
  </si>
  <si>
    <t>+7 (383) 279-01-96', '+7 (383) 279-36-04', '+7 (383) 279-25-70'</t>
  </si>
  <si>
    <t>mochalin@ngs.ru'</t>
  </si>
  <si>
    <t>ОБЩЕСТВО С ОГРАНИЧЕННОЙ ОТВЕТСТВЕННОСТЬЮ "ЗЖБИ ГОРНЫЙ"</t>
  </si>
  <si>
    <t>"ЗЖБИ ГОРНЫЙ"</t>
  </si>
  <si>
    <t>5403017616</t>
  </si>
  <si>
    <t>630901, НОВОСИБИРСКАЯ ОБЛАСТЬ, Г НОВОСИБИРСК, УЛ СЕЛЕНГИНСКАЯ, 1А КАБ 208</t>
  </si>
  <si>
    <t>Поченков Александр Владимирович</t>
  </si>
  <si>
    <t>zavodgbi@bk.ru'</t>
  </si>
  <si>
    <t>5410021050</t>
  </si>
  <si>
    <t>630901, НОВОСИБИРСКАЯ ОБЛАСТЬ, Г НОВОСИБИРСК, УЛ СЕЛЕНГИНСКАЯ, 1А</t>
  </si>
  <si>
    <t>Тырина Инна Михайловна</t>
  </si>
  <si>
    <t>+7 (383) 202-05-75'</t>
  </si>
  <si>
    <t>5404385235</t>
  </si>
  <si>
    <t>630501, НОВОСИБИРСКАЯ ОБЛАСТЬ, НОВОСИБИРСКИЙ РАЙОН, РП КРАСНООБСК, МКР 4, КВ-Л 3, 17</t>
  </si>
  <si>
    <t>+7 (383) 352-85-28'</t>
  </si>
  <si>
    <t>"МАСТЕР БЕТОН"</t>
  </si>
  <si>
    <t>5405975798</t>
  </si>
  <si>
    <t>630039, НОВОСИБИРСКАЯ ОБЛАСТЬ, Г НОВОСИБИРСК, УЛ ВОИНСКАЯ, 63 ОФИС 502</t>
  </si>
  <si>
    <t>Кулаков Вячеслав Иннокентьевич</t>
  </si>
  <si>
    <t>vedernikova33@mail.ru', 'lena_v@eml.ru'</t>
  </si>
  <si>
    <t>5401950760</t>
  </si>
  <si>
    <t>630051, Новосибирская область, г Новосибирск, ул Трикотажная, 52/1</t>
  </si>
  <si>
    <t>Бубякин Михаил Викторович</t>
  </si>
  <si>
    <t>+7 (383) 279-44-49'</t>
  </si>
  <si>
    <t>"БЕТОН ИНВЕСТ"</t>
  </si>
  <si>
    <t>5410095615</t>
  </si>
  <si>
    <t>630110, Новосибирская область, ГОРОД НОВОСИБИРСК, Г НОВОСИБИРСК, УЛ НОВАЯ ЗАРЯ, Д. 15</t>
  </si>
  <si>
    <t>Микушева Евгения Станиславовна</t>
  </si>
  <si>
    <t>Общество с ограниченной ответственностью "Цех формовки № 1"</t>
  </si>
  <si>
    <t>"Цех формовки № 1"</t>
  </si>
  <si>
    <t>5410003558</t>
  </si>
  <si>
    <t>630110, НОВОСИБИРСКАЯ ОБЛАСТЬ, Г НОВОСИБИРСК, УЛ БОГДАНА ХМЕЛЬНИЦКОГО, 90 ОФИС 8</t>
  </si>
  <si>
    <t>Столяров Алексей Петрович</t>
  </si>
  <si>
    <t>+7 (383) 353-56-38', '+7 (383) 353-56-51', '+7 (913) 897-90-72'</t>
  </si>
  <si>
    <t>ОБЩЕСТВО С ОГРАНИЧЕННОЙ ОТВЕТСТВЕННОСТЬЮ "АБЕРИТ"</t>
  </si>
  <si>
    <t>"АБЕРИТ"</t>
  </si>
  <si>
    <t>5401992190</t>
  </si>
  <si>
    <t>630089, НОВОСИБИРСКАЯ ОБЛАСТЬ, Г НОВОСИБИРСК, УЛ БОРИСА БОГАТКОВА, 248А ОФИС 12</t>
  </si>
  <si>
    <t>Коновалов Евгений Владимирович</t>
  </si>
  <si>
    <t>96@mail.ru', 'alen2a@yandex.ru'</t>
  </si>
  <si>
    <t>ОБЩЕСТВО С ОГРАНИЧЕННОЙ ОТВЕТСТВЕННОСТЬЮ "МОНОЛИТ СИБИРЬ"</t>
  </si>
  <si>
    <t>"МОНОЛИТ СИБИРЬ"</t>
  </si>
  <si>
    <t>5405051267</t>
  </si>
  <si>
    <t>630039, НОВОСИБИРСКАЯ ОБЛАСТЬ, Г НОВОСИБИРСК, УЛ АВТОГЕННАЯ,  122 ЭТАЖ 3 ОФИС 34</t>
  </si>
  <si>
    <t>Журавлев Денис Олегович</t>
  </si>
  <si>
    <t>ОБЩЕСТВО С ОГРАНИЧЕННОЙ ОТВЕТСТВЕННОСТЬЮ "ЗЖБИ-НСК"</t>
  </si>
  <si>
    <t>"ЗЖБИ-НСК"</t>
  </si>
  <si>
    <t>5410066340</t>
  </si>
  <si>
    <t>630129, НОВОСИБИРСКАЯ ОБЛ, Г НОВОСИБИРСК , УЛ ТАЙГИНСКАЯ,  13/1 ОФИС 221</t>
  </si>
  <si>
    <t>Якимова Ольга Петровна</t>
  </si>
  <si>
    <t>+7 (913) 000-09-97'</t>
  </si>
  <si>
    <t>ОБЩЕСТВО С ОГРАНИЧЕННОЙ ОТВЕТСТВЕННОСТЬЮ "ЖБИ-Нск"</t>
  </si>
  <si>
    <t>"ЖБИ-Нск"</t>
  </si>
  <si>
    <t>5410774790</t>
  </si>
  <si>
    <t>630027, Новосибирская область, г Новосибирск, ул Тайгинская, 13/1 офис 221</t>
  </si>
  <si>
    <t>arssib@yandex.ru'</t>
  </si>
  <si>
    <t>5401956829</t>
  </si>
  <si>
    <t>630124, НОВОСИБИРСКАЯ ОБЛАСТЬ, Г НОВОСИБИРСК, УЛ ЕСЕНИНА, 51..</t>
  </si>
  <si>
    <t>Ким Юрий Афанасьевич</t>
  </si>
  <si>
    <t>+7 (383) 348-19-27', '+7 (913) 912-87-84', '+7 (903) 902-36-36'</t>
  </si>
  <si>
    <t>ОБЩЕСТВО С ОГРАНИЧЕННОЙ ОТВЕТСТВЕННОСТЬЮ "СИЛА"</t>
  </si>
  <si>
    <t>"СИЛА"</t>
  </si>
  <si>
    <t>7017415366</t>
  </si>
  <si>
    <t>630124, НОВОСИБИРСКАЯ ОБЛАСТЬ, Г НОВОСИБИРСК, УЛ ЕСЕНИНА, 1 ОФИС 28</t>
  </si>
  <si>
    <t>Мукминов Денис Владимирович</t>
  </si>
  <si>
    <t>+7 (903) 913-33-30', '+7 (913) 946-47-77'</t>
  </si>
  <si>
    <t>5401370255</t>
  </si>
  <si>
    <t>630124, НОВОСИБИРСКАЯ ОБЛАСТЬ, Г НОВОСИБИРСК, УЛ БОРИСА БОГАТКОВА, 255</t>
  </si>
  <si>
    <t>Соловьев Константин Анатольевич</t>
  </si>
  <si>
    <t>+7 (130) 370-92-02'</t>
  </si>
  <si>
    <t>nbns14@mail.ru', 'nbnsk14@mail.ru'</t>
  </si>
  <si>
    <t>ОБЩЕСТВО С ОГРАНИЧЕННОЙ ОТВЕТСТВЕННОСТЬЮ "СИБИРСКИЙ МОНОЛИТ"</t>
  </si>
  <si>
    <t>"СИБИРСКИЙ МОНОЛИТ"</t>
  </si>
  <si>
    <t>5405249186</t>
  </si>
  <si>
    <t>630126, НОВОСИБИРСКАЯ ОБЛАСТЬ, Г НОВОСИБИРСК, УЛ ВИЛЮЙСКАЯ, 11 ПОМЕЩ 1-3</t>
  </si>
  <si>
    <t>Симахин Виктор Геннадьевич</t>
  </si>
  <si>
    <t>+7 (383) 274-76-68', '+7 (383) 309-20-90'</t>
  </si>
  <si>
    <t>ОБЩЕСТВО С ОГРАНИЧЕННОЙ ОТВЕТСТВЕННОСТЬЮ "АПИТЕЛЬ"</t>
  </si>
  <si>
    <t>"АПИТЕЛЬ"</t>
  </si>
  <si>
    <t>5405035850</t>
  </si>
  <si>
    <t>630126, НОВОСИБИРСКАЯ ОБЛАСТЬ, Г НОВОСИБИРСК, УЛ ВЫБОРНАЯ, 158..</t>
  </si>
  <si>
    <t>Волков Алексей Валерьевич</t>
  </si>
  <si>
    <t>ОБЩЕСТВО С ОГРАНИЧЕННОЙ ОТВЕТСТВЕННОСТЬЮ "АСКИМ"</t>
  </si>
  <si>
    <t>"АСКИМ"</t>
  </si>
  <si>
    <t>5408164942</t>
  </si>
  <si>
    <t>630058, НОВОСИБИРСКАЯ ОБЛАСТЬ, Г НОВОСИБИРСК, УЛ ПЛОТИННАЯ, 4 ЭТАЖ 1 КАБ 1</t>
  </si>
  <si>
    <t>+7 (383) 330-00-90', '+7 (383) 328-48-70', '+7 (383) 332-99-35'</t>
  </si>
  <si>
    <t>ОБЩЕСТВО С ОГРАНИЧЕННОЙ ОТВЕТСТВЕННОСТЬЮ "ЛИНЁВСКАЯ ПРОИЗВОДСТВЕННО-СТРОИТЕЛЬНАЯ КОМПАНИЯ"</t>
  </si>
  <si>
    <t>"ЛИНЁВСКАЯ ПРОИЗВОДСТВЕННО-СТРОИТЕЛЬНАЯ КОМПАНИЯ"</t>
  </si>
  <si>
    <t>5408014104</t>
  </si>
  <si>
    <t>630058, НОВОСИБИРСКАЯ ОБЛ, Г НОВОСИБИРСК, УЛ 2-Я МИРГОРОДСКАЯ, 3..</t>
  </si>
  <si>
    <t>Лазарев Антон Сергеевич</t>
  </si>
  <si>
    <t>+7 (383) 433-94-48'</t>
  </si>
  <si>
    <t>ОБЩЕСТВО С ОГРАНИЧЕННОЙ ОТВЕТСТВЕННОСТЬЮ "МОНОЛИТ-СТ"</t>
  </si>
  <si>
    <t>"МОНОЛИТ-СТ"</t>
  </si>
  <si>
    <t>5445120693</t>
  </si>
  <si>
    <t>633009, НОВОСИБИРСКАЯ ОБЛАСТЬ, ГОРОД БЕРДСК, УЛИЦА ЗЕЛЕНАЯ РОЩА, 5/13</t>
  </si>
  <si>
    <t>ОБЩЕСТВО С ОГРАНИЧЕННОЙ ОТВЕТСТВЕННОСТЬЮ "КАМЕНСКИЕ СТЕНОВЫЕ БЛОКИ"</t>
  </si>
  <si>
    <t>"КАМЕНСКИЕ СТЕНОВЫЕ БЛОКИ"</t>
  </si>
  <si>
    <t>5433976715</t>
  </si>
  <si>
    <t>630530, НОВОСИБИРСКАЯ ОБЛ., НОВОСИБИРСКИЙ РАЙОН, П ВОСХОД, УЛ МИРНАЯ, СТР. 1Д</t>
  </si>
  <si>
    <t>Галтер Дмитрий Сергеевич</t>
  </si>
  <si>
    <t>INFO@K-S'</t>
  </si>
  <si>
    <t>ОБЩЕСТВО С ОГРАНИЧЕННОЙ ОТВЕТСТВЕННОСТЬЮ "ПБ ПРОМ"</t>
  </si>
  <si>
    <t>"ПБ ПРОМ"</t>
  </si>
  <si>
    <t>5405987144</t>
  </si>
  <si>
    <t>630126, НОВОСИБИРСКАЯ ОБЛАСТЬ, Г НОВОСИБИРСК, УЛ ВЫБОРНАЯ, 199/4 ЭТАЖ 3</t>
  </si>
  <si>
    <t>Мамедов Фазил Мансим Оглы</t>
  </si>
  <si>
    <t>+7 (383) 240-99-99', '+7 (913) 753-12-12', '+7 (913) 929-76-69'</t>
  </si>
  <si>
    <t>ОБЩЕСТВО С ОГРАНИЧЕННОЙ ОТВЕТСТВЕННОСТЬЮ "ЗАВОД ЖБИ ПЕРВОМАЙСКИЙ"</t>
  </si>
  <si>
    <t>"ЗАВОД ЖБИ ПЕРВОМАЙСКИЙ"</t>
  </si>
  <si>
    <t>5409000224</t>
  </si>
  <si>
    <t>630025, НОВОСИБИРСКАЯ ОБЛАСТЬ, Г НОВОСИБИРСК, УЛ 2-Я СКЛАДСКАЯ, 8</t>
  </si>
  <si>
    <t>Акушкин Дмитрий Алексеевич</t>
  </si>
  <si>
    <t>+7 (383) 266-26-58', '+7 (383) 327-00-74', '+7 (383) 304-99-05'</t>
  </si>
  <si>
    <t>ЗАКРЫТОЕ АКЦИОНЕРНОЕ ОБЩЕСТВО ЗЖБИ "СТРОИТЕЛЬНЫЕ ТЕХНОЛОГИИ И МАТЕРИАЛЫ"</t>
  </si>
  <si>
    <t>ЗАКРЫТОЕ ЗЖБИ "СТРОИТЕЛЬНЫЕ ТЕХНОЛОГИИ И МАТЕРИАЛЫ"</t>
  </si>
  <si>
    <t>5409227338</t>
  </si>
  <si>
    <t>+7 (383) 229-56-14'</t>
  </si>
  <si>
    <t>ОБЩЕСТВО С ОГРАНИЧЕННОЙ ОТВЕТСТВЕННОСТЬЮ "ВСЯ ВЕНТИЛЯЦИЯ"</t>
  </si>
  <si>
    <t>"ВСЯ ВЕНТИЛЯЦИЯ"</t>
  </si>
  <si>
    <t>5405069899</t>
  </si>
  <si>
    <t>630114, НОВОСИБИРСКАЯ ОБЛАСТЬ, Г НОВОСИБИРСК, УЛ ПРОЛЕТАРСКАЯ, ЗД 271 ЭТАЖ 1</t>
  </si>
  <si>
    <t>Долгушин Алексей Геннадьевич</t>
  </si>
  <si>
    <t>ОБЩЕСТВО С ОГРАНИЧЕННОЙ ОТВЕТСТВЕННОСТЬЮ "КОМПАНИЯ ЛАДНЫЙ ДОМ"</t>
  </si>
  <si>
    <t>"КОМПАНИЯ ЛАДНЫЙ ДОМ"</t>
  </si>
  <si>
    <t>5409001764</t>
  </si>
  <si>
    <t>630025, Новосибирская область, г Новосибирск, ул 2-я Складская, 2 офис 22</t>
  </si>
  <si>
    <t>Феллер Александр Валерьевич</t>
  </si>
  <si>
    <t>+7 (383) 332-09-54', '+7 (383) 255-07-75', '+7 (913) 927-05-82'</t>
  </si>
  <si>
    <t>"ЗЖБИ"</t>
  </si>
  <si>
    <t>5405032659</t>
  </si>
  <si>
    <t>630126, НОВОСИБИРСКАЯ ОБЛАСТЬ, Г НОВОСИБИРСК, УЛ ВЫБОРНАЯ, 200А ОФИС 5</t>
  </si>
  <si>
    <t>Нечепуренко Владислав Анатольевич</t>
  </si>
  <si>
    <t>ОБЩЕСТВО С ОГРАНИЧЕННОЙ ОТВЕТСТВЕННОСТЬЮ "КОМПАНИЯ СКБ"</t>
  </si>
  <si>
    <t>"КОМПАНИЯ СКБ"</t>
  </si>
  <si>
    <t>5405365961</t>
  </si>
  <si>
    <t>630126, НОВОСИБИРСКАЯ ОБЛАСТЬ, Г НОВОСИБИРСК, УЛ ВЫБОРНАЯ, 201 ЛИТЕР А5 ЭТАЖ 1</t>
  </si>
  <si>
    <t>Багринцева Яна Эдуардовна</t>
  </si>
  <si>
    <t>+7 (383) 289-24-44', '+7 (913) 722-48-58'</t>
  </si>
  <si>
    <t>ОБЩЕСТВО С ОГРАНИЧЕННОЙ ОТВЕТСТВЕННОСТЬЮ "ПБНСК"</t>
  </si>
  <si>
    <t>"ПБНСК"</t>
  </si>
  <si>
    <t>5406779958</t>
  </si>
  <si>
    <t>630025, НОВОСИБИРСКАЯ ОБЛАСТЬ, Г НОВОСИБИРСК, УЛ АКСЕНОВА, 26 ОФИС 207</t>
  </si>
  <si>
    <t>Ибишов Джамал Илхам Оглы</t>
  </si>
  <si>
    <t>+7 (383) 240-99-08', '+7 (383) 240-99-99'</t>
  </si>
  <si>
    <t>5405369846</t>
  </si>
  <si>
    <t>630126, Новосибирская область, г Новосибирск, ул Выборная, 201</t>
  </si>
  <si>
    <t>Дмитриенко Алексей Александрович</t>
  </si>
  <si>
    <t>+7 (383) 292-11-66', '+7 (383) 309-20-90', '+7 (913) 475-69-79'</t>
  </si>
  <si>
    <t>ОБЩЕСТВО С ОГРАНИЧЕННОЙ ОТВЕТСТВЕННОСТЬЮ "СВЯЗЬСТРОЙ-ИЗДЕЛИЯ"</t>
  </si>
  <si>
    <t>"СВЯЗЬСТРОЙ-ИЗДЕЛИЯ"</t>
  </si>
  <si>
    <t>5409003095</t>
  </si>
  <si>
    <t>630097, НОВОСИБИРСКАЯ ОБЛ, Г НОВОСИБИРСК, УЛ ТАЛОВАЯ, 1А, ЛИТЕР Б, КАБИНЕТ 22</t>
  </si>
  <si>
    <t>Науменко Евгений Викторович</t>
  </si>
  <si>
    <t>6gb@ngs.ru'</t>
  </si>
  <si>
    <t>ОБЩЕСТВО С ОГРАНИЧЕННОЙ ОТВЕТСТВЕННОСТЬЮ "СТРОИТЕЛЬНАЯ КОМПАНИЯ МАСТЕРА УЮТА"</t>
  </si>
  <si>
    <t>"СТРОИТЕЛЬНАЯ КОМПАНИЯ МАСТЕРА УЮТА"</t>
  </si>
  <si>
    <t>5409240226</t>
  </si>
  <si>
    <t>630097, Новосибирская область, г Новосибирск, ул Мелиоративная, 22</t>
  </si>
  <si>
    <t>Кулак Татьяна Викторовна</t>
  </si>
  <si>
    <t>+7 (913) 744-90-26'</t>
  </si>
  <si>
    <t>t22@yandex.ru'</t>
  </si>
  <si>
    <t>ОБЩЕСТВО С ОГРАНИЧЕННОЙ ОТВЕТСТВЕННОСТЬЮ ЗКПД "АРМАТОН"</t>
  </si>
  <si>
    <t>ЗКПД "АРМАТОН"</t>
  </si>
  <si>
    <t>5403346547</t>
  </si>
  <si>
    <t>НОВОСИБИРСКАЯ ОБЛ.,Г БЕРДСК,УЛ ЛЕНИНА, 9 А</t>
  </si>
  <si>
    <t>Абакумов Антон Александрович</t>
  </si>
  <si>
    <t>+7 (383) 266-37-98'</t>
  </si>
  <si>
    <t>armaton@psfond.ru'</t>
  </si>
  <si>
    <t>ОБЩЕСТВО С ОГРАНИЧЕННОЙ ОТВЕТСТВЕННОСТЬЮ "ПРОИЗВОДСТВЕННАЯ КОМПАНИЯ МОСТВЕКТОРГРУПП"</t>
  </si>
  <si>
    <t>"ПРОИЗВОДСТВЕННАЯ КОМПАНИЯ МОСТВЕКТОРГРУПП"</t>
  </si>
  <si>
    <t>5433977268</t>
  </si>
  <si>
    <t>630553, НОВОСИБИРСКАЯ ОБЛ., Р-Н Новосибирский, С. Новолуговое, УЛ. СОСНОВАЯ (ГОРКИ-2 ТЕР. СНТ), Д. 9</t>
  </si>
  <si>
    <t>Рябинин Роман Николаевич</t>
  </si>
  <si>
    <t>PK_MVG@MAIL.RU'</t>
  </si>
  <si>
    <t>ОБЩЕСТВО С ОГРАНИЧЕННОЙ ОТВЕТСТВЕННОСТЬЮ "ВАЙДЕ-СИБИРЬ"</t>
  </si>
  <si>
    <t>"ВАЙДЕ-СИБИРЬ"</t>
  </si>
  <si>
    <t>5473004434</t>
  </si>
  <si>
    <t>633010, Новосибирская область, Г БЕРДСК, УЛ ЛЕНИНА, 33..</t>
  </si>
  <si>
    <t>Швырёва Анна Викторовна</t>
  </si>
  <si>
    <t>ОБЩЕСТВО С ОГРАНИЧЕННОЙ ОТВЕТСТВЕННОСТЬЮ "Теплостен-Сибирь"</t>
  </si>
  <si>
    <t>"Теплостен-Сибирь"</t>
  </si>
  <si>
    <t>5445262970</t>
  </si>
  <si>
    <t>633004, НОВОСИБИРСКАЯ ОБЛАСТЬ, ГОРОД БЕРДСК, УЛИЦА ПРОМЫШЛЕННАЯ, ДОМ 1/2, ЭТАЖ 2</t>
  </si>
  <si>
    <t>Ярцев Андрей Петрович</t>
  </si>
  <si>
    <t>+7 (913) 911-14-32', '+7 (913) 903-36-51'</t>
  </si>
  <si>
    <t>yulia_n@mail.ru', 'jarth@mail.ru'</t>
  </si>
  <si>
    <t>ОБЩЕСТВО С ОГРАНИЧЕННОЙ ОТВЕТСТВЕННОСТЬЮ "Монолит-бетон"</t>
  </si>
  <si>
    <t>"Монолит-бетон"</t>
  </si>
  <si>
    <t>5432213742</t>
  </si>
  <si>
    <t>633137, НОВОСИБИРСКАЯ ОБЛАСТЬ, МОШКОВСКИЙ РАЙОН, П ОКТЯБРЬСКИЙ, УЛ ЛОКТИНСКАЯ, 1</t>
  </si>
  <si>
    <t>Рехтин Антон Александрович</t>
  </si>
  <si>
    <t>+7 (383) 349-14-77', '+7 (953) 791-55-22'</t>
  </si>
  <si>
    <t>ОБЩЕСТВО С ОГРАНИЧЕННОЙ ОТВЕТСТВЕННОСТЬЮ "ХУДОЖЕСТВЕННО-ПРОИЗВОДСТВЕННОЕ ПРЕДПРИЯТИЕ "АРТ-КАМЕНЬ"</t>
  </si>
  <si>
    <t>"ХУДОЖЕСТВЕННО-ПРОИЗВОДСТВЕННОЕ ПРЕДПРИЯТИЕ "АРТ-КАМЕНЬ"</t>
  </si>
  <si>
    <t>5445117933</t>
  </si>
  <si>
    <t>633004, НОВОСИБИРСКАЯ ОБЛАСТЬ, Г БЕРДСК, ЗОНА ПРОМЫШЛЕННАЯ, 18</t>
  </si>
  <si>
    <t>Трунин Владимир Петрович</t>
  </si>
  <si>
    <t>+7 (913) 720-70-38'</t>
  </si>
  <si>
    <t>5445038640</t>
  </si>
  <si>
    <t>НОВОСИБИРСКАЯ ОБЛ.,Г БЕРДСК,УЛ ПРОМЫШЛЕННАЯ, 8</t>
  </si>
  <si>
    <t>Кондиус Александр Владимирович</t>
  </si>
  <si>
    <t>+7 (905) 905-83-30', '+7 (384) 567-02-52'</t>
  </si>
  <si>
    <t>ОБЩЕСТВО С ОГРАНИЧЕННОЙ ОТВЕТСТВЕННОСТЬЮ "ЖБИ-42"</t>
  </si>
  <si>
    <t>"ЖБИ-42"</t>
  </si>
  <si>
    <t>5402028911</t>
  </si>
  <si>
    <t>633004, НОВОСИБИРСКАЯ ОБЛАСТЬ, ГОРОД БЕРДСК, УЛИЦА ПРОМЫШЛЕННАЯ, ДОМ 40, КАБИНЕТ 34</t>
  </si>
  <si>
    <t>ОБЩЕСТВО С ОГРАНИЧЕННОЙ ОТВЕТСТВЕННОСТЬЮ "СБК"</t>
  </si>
  <si>
    <t>"СБК"</t>
  </si>
  <si>
    <t>5445026002</t>
  </si>
  <si>
    <t>633004, НОВОСИБИРСКАЯ ОБЛАСТЬ, Г БЕРДСК, УЛ ПРОМЫШЛЕННАЯ, 40 ОФ 33</t>
  </si>
  <si>
    <t>Помазун Андрей Александрович</t>
  </si>
  <si>
    <t>+7 (913) 900-76-04', '+7 (383) 347-25-25'</t>
  </si>
  <si>
    <t>ОБЩЕСТВО С ОГРАНИЧЕННОЙ ОТВЕТСТВЕННОСТЬЮ ЗЖБИ "БАРЫШЕВСКИЙ"</t>
  </si>
  <si>
    <t>ЗЖБИ "БАРЫШЕВСКИЙ"</t>
  </si>
  <si>
    <t>5433954849</t>
  </si>
  <si>
    <t>630554, НОВОСИБИРСКАЯ ОБЛАСТЬ, РАЙОН НОВОСИБИРСКИЙ, ПОСЕЛОК ДВУРЕЧЬЕ, УЛИЦА ЮБИЛЕЙНАЯ, ДОМ 21, ОФИС 204</t>
  </si>
  <si>
    <t>Санарова Надежда Николаевна</t>
  </si>
  <si>
    <t>+7 (383) 304-88-75'</t>
  </si>
  <si>
    <t>ОБЩЕСТВО С ОГРАНИЧЕННОЙ ОТВЕТСТВЕННОСТЬЮ "ПСК ГУСИНОБРОДСКИЙ"</t>
  </si>
  <si>
    <t>"ПСК ГУСИНОБРОДСКИЙ"</t>
  </si>
  <si>
    <t>5433977853</t>
  </si>
  <si>
    <t>630551, НОВОСИБИРСКАЯ ОБЛ., Новосибирский Р-Н, С. Гусиный Брод, УЛ. СИБИРСКАЯ, Д. 20/1, ПОМЕЩ. 9</t>
  </si>
  <si>
    <t>Стенькина Наталия Викторовна</t>
  </si>
  <si>
    <t>OOOPSKGB@YANDEX.RU'</t>
  </si>
  <si>
    <t>5446021430</t>
  </si>
  <si>
    <t>633209, НОВОСИБИРСКАЯ ОБЛ., Г. Искитим, УЛ. ЯРОСЛАВСКОГО, Д. 11А</t>
  </si>
  <si>
    <t>Слободян Александр Андреевич</t>
  </si>
  <si>
    <t>ОБЩЕСТВО С ОГРАНИЧЕННОЙ ОТВЕТСТВЕННОСТЬЮ "КОНТУР-С"</t>
  </si>
  <si>
    <t>"КОНТУР-С"</t>
  </si>
  <si>
    <t>5446112374</t>
  </si>
  <si>
    <t>633204, НОВОСИБИРСКАЯ ОБЛАСТЬ, ГОРОД ИСКИТИМ, УЛИЦА МОЛДАВСКАЯ, ДОМ 54</t>
  </si>
  <si>
    <t>Савин Борис Аркадьевич</t>
  </si>
  <si>
    <t>+7 (913) 957-23-20'</t>
  </si>
  <si>
    <t>5446013479</t>
  </si>
  <si>
    <t>633203, НОВОСИБИРСКАЯ ОБЛАСТЬ, ГОРОД ИСКИТИМ, МИКРОРАЙОН ИНДУСТРИАЛЬНЫЙ, 24А</t>
  </si>
  <si>
    <t>Удальев Олег Иванович</t>
  </si>
  <si>
    <t>+7 (913) 784-00-00'</t>
  </si>
  <si>
    <t>ОБЩЕСТВО С ОГРАНИЧЕННОЙ ОТВЕТСТВЕННОСТЬЮ "НСО-СТРОЙ"</t>
  </si>
  <si>
    <t>"НСО-СТРОЙ"</t>
  </si>
  <si>
    <t>5446018639</t>
  </si>
  <si>
    <t>633209, НОВОСИБИРСКАЯ ОБЛАСТЬ, ГОРОД ИСКИТИМ, УЛИЦА МОСТОВАЯ, ДОМ 1Б, ОФИС 1</t>
  </si>
  <si>
    <t>Зацепина Алина Александровна</t>
  </si>
  <si>
    <t>+7 (383) 244-79-30', '+7 (383) 432-57-02'</t>
  </si>
  <si>
    <t>ОБЩЕСТВО С ОГРАНИЧЕННОЙ ОТВЕТСТВЕННОСТЬЮ "ЗАВОД ЖЕЛЕЗОБЕТОННЫХ ИЗДЕЛИЙ-13"</t>
  </si>
  <si>
    <t>"ЗАВОД ЖЕЛЕЗОБЕТОННЫХ ИЗДЕЛИЙ-13"</t>
  </si>
  <si>
    <t>5446019350</t>
  </si>
  <si>
    <t>633209, НОВОСИБИРСКАЯ ОБЛАСТЬ, Г ИСКИТИМ, УЛ МОСТОВАЯ, 1А КАБ 7</t>
  </si>
  <si>
    <t>Иванов Евгений Викторович</t>
  </si>
  <si>
    <t>+7 (903) 931-30-14', '+7 (913) 465-88-38'</t>
  </si>
  <si>
    <t>ОБЩЕСТВО С ОГРАНИЧЕННОЙ ОТВЕТСТВЕННОСТЬЮ "ЛИНЕВСКИЙ ДОМОСТРОИТЕЛЬНЫЙ КОМБИНАТ"</t>
  </si>
  <si>
    <t>"ЛИНЕВСКИЙ ДОМОСТРОИТЕЛЬНЫЙ КОМБИНАТ"</t>
  </si>
  <si>
    <t>5443026590</t>
  </si>
  <si>
    <t>633216, НОВОСИБИРСКАЯ ОБЛАСТЬ, РАЙОН ИСКИТИМСКИЙ, РАБОЧИЙ ПОСЕЛОК ЛИНЕВО, УЛИЦА ЛИСТВЯНСКАЯ, ДОМ 1</t>
  </si>
  <si>
    <t>Саблин Виктор Александрович</t>
  </si>
  <si>
    <t>ОБЩЕСТВО С ОГРАНИЧЕННОЙ ОТВЕТСТВЕННОСТЬЮ " ШМАКОВСКИЙ ГАЗОБЕТОН"</t>
  </si>
  <si>
    <t>" ШМАКОВСКИЙ ГАЗОБЕТОН"</t>
  </si>
  <si>
    <t>5438001279</t>
  </si>
  <si>
    <t>633415, НОВОСИБИРСКАЯ ОБЛАСТЬ, ТОГУЧИНСКИЙ РАЙОН, Д ШМАКОВО, УЛ ПОЛЕВАЯ, 5</t>
  </si>
  <si>
    <t>Школоберда Андрей Сергеевич</t>
  </si>
  <si>
    <t>+7 (913) 205-16-15'</t>
  </si>
  <si>
    <t>ОБЩЕСТВО С ОГРАНИЧЕННОЙ ОТВЕТСТВЕННОСТЬЮ "ДРЕНАЖНЫЕ СИСТЕМЫ"</t>
  </si>
  <si>
    <t>"ДРЕНАЖНЫЕ СИСТЕМЫ"</t>
  </si>
  <si>
    <t>2222897890</t>
  </si>
  <si>
    <t>656048, Алтайский край, ГОРОД БАРНАУЛ, Г БАРНАУЛ, УЛ СМОЛЕНСКАЯ, Д. 25</t>
  </si>
  <si>
    <t>Титов Евгений Анатольевич</t>
  </si>
  <si>
    <t>88@MAIL.RU'</t>
  </si>
  <si>
    <t>ОБЩЕСТВО С ОГРАНИЧЕННОЙ ОТВЕТСТВЕННОСТЬЮ ПРОИЗВОДСТВЕННАЯ КОМПАНИЯ "БЕТОН"</t>
  </si>
  <si>
    <t>ПРОИЗВОДСТВЕННАЯ КОМПАНИЯ "БЕТОН"</t>
  </si>
  <si>
    <t>2222893415</t>
  </si>
  <si>
    <t>656902, АЛТАЙСКИЙ КРАЙ, Г. Барнаул, С. Власиха, УЛ. СПОРТИВНАЯ, Д. 2Д</t>
  </si>
  <si>
    <t>Хон Денис Сергеевич</t>
  </si>
  <si>
    <t>ОБЩЕСТВО С ОГРАНИЧЕННОЙ ОТВЕТСТВЕННОСТЬЮ "БЕТОЛАЙТ"</t>
  </si>
  <si>
    <t>"БЕТОЛАЙТ"</t>
  </si>
  <si>
    <t>2222834219</t>
  </si>
  <si>
    <t>656922, АЛТАЙСКИЙ КРАЙ, ГОРОД БАРНАУЛ, УЛИЦА ТРАКТОВАЯ, ДОМ 7, КОРПУС 5</t>
  </si>
  <si>
    <t>Ефанов Евгений Анатольевич</t>
  </si>
  <si>
    <t>ОБЩЕСТВО С ОГРАНИЧЕННОЙ ОТВЕТСТВЕННОСТЬЮ "ФОРМА"</t>
  </si>
  <si>
    <t>"ФОРМА"</t>
  </si>
  <si>
    <t>2221192590</t>
  </si>
  <si>
    <t>656922, АЛТАЙСКИЙ КРАЙ, Г. БАРНАУЛ, УЛ. ТРАКТОВАЯ, Д. 7/10А</t>
  </si>
  <si>
    <t>Фефелов Сергей Сергеевич</t>
  </si>
  <si>
    <t>+7 (923) 000-33-99'</t>
  </si>
  <si>
    <t>ОБЩЕСТВО С ОГРАНИЧЕННОЙ ОТВЕТСТВЕННОСТЬЮ "АЛТАЙЭКСПЕРТ"</t>
  </si>
  <si>
    <t>"АЛТАЙЭКСПЕРТ"</t>
  </si>
  <si>
    <t>2222853596</t>
  </si>
  <si>
    <t>656922, АЛТАЙСКИЙ КРАЙ, Г. БАРНАУЛ, УЛ. ТРАКТОВАЯ, Д. 19, ОФИС 1</t>
  </si>
  <si>
    <t>Берген Янна Владимировна</t>
  </si>
  <si>
    <t>+7 (964) 603-20-70', '+7 (905) 084-52-69'</t>
  </si>
  <si>
    <t>ОБЩЕСТВО С ОГРАНИЧЕННОЙ ОТВЕТСТВЕННОСТЬЮ "Гарант-строй"</t>
  </si>
  <si>
    <t>"Гарант-строй"</t>
  </si>
  <si>
    <t>2223584956</t>
  </si>
  <si>
    <t>656922, АЛТАЙСКИЙ КРАЙ, Г. Барнаул, УЛ. ТРАКТОВАЯ, Д. 19</t>
  </si>
  <si>
    <t>Берген Сергей Васильевич</t>
  </si>
  <si>
    <t>+7 (983) 386-87-15', '+7 (905) 084-52-69'</t>
  </si>
  <si>
    <t>2222851969</t>
  </si>
  <si>
    <t>656922, АЛТАЙСКИЙ КРАЙ, ГОРОД БАРНАУЛ, УЛИЦА ТРАКТОВАЯ, ДОМ 25</t>
  </si>
  <si>
    <t>Кобзев Владимир Иванович</t>
  </si>
  <si>
    <t>+7 (903) 910-47-90', '+7 (906) 965-10-30'</t>
  </si>
  <si>
    <t>ОБЩЕСТВО С ОГРАНИЧЕННОЙ ОТВЕТСТВЕННОСТЬЮ "МК-БЕТОН"</t>
  </si>
  <si>
    <t>"МК-БЕТОН"</t>
  </si>
  <si>
    <t>2222869532</t>
  </si>
  <si>
    <t>656922, АЛТАЙСКИЙ КРАЙ, ГОРОД БАРНАУЛ, УЛИЦА ТРАКТОВАЯ, ДОМ 58</t>
  </si>
  <si>
    <t>Новиков Константин Валерьевич</t>
  </si>
  <si>
    <t>buh1@cpb-glavbuh'</t>
  </si>
  <si>
    <t>ОБЩЕСТВО С ОГРАНИЧЕННОЙ ОТВЕТСТВЕННОСТЬЮ "БЕТОН-КОНТАКТ"</t>
  </si>
  <si>
    <t>"БЕТОН-КОНТАКТ"</t>
  </si>
  <si>
    <t>2222890534</t>
  </si>
  <si>
    <t>656922, АЛТАЙСКИЙ КРАЙ, Г. Барнаул, УЛ. НОВОСИБИРСКАЯ, Д. 1А,..</t>
  </si>
  <si>
    <t>ОБЩЕСТВО С ОГРАНИЧЕННОЙ ОТВЕТСТВЕННОСТЬЮ "ПОДРЯД-1"</t>
  </si>
  <si>
    <t>"ПОДРЯД-1"</t>
  </si>
  <si>
    <t>2222816192</t>
  </si>
  <si>
    <t>656922, АЛТАЙСКИЙ КРАЙ, Г. БАРНАУЛ, УЛ. ТРАКТОВАЯ, Д.53А</t>
  </si>
  <si>
    <t>Минаев Денис Сергеевич</t>
  </si>
  <si>
    <t>ОБЩЕСТВО С ОГРАНИЧЕННОЙ ОТВЕТСТВЕННОСТЬЮ "ПОДРЯД"</t>
  </si>
  <si>
    <t>"ПОДРЯД"</t>
  </si>
  <si>
    <t>2225105912</t>
  </si>
  <si>
    <t>656922, АЛТАЙСКИЙ КРАЙ, ГОРОД БАРНАУЛ, УЛИЦА ТРАКТОВАЯ, 53А</t>
  </si>
  <si>
    <t>ОБЩЕСТВО С ОГРАНИЧЕННОЙ ОТВЕТСТВЕННОСТЬЮ "БАРНАУЛЬСКИЙ СИЛИКАТНЫЙ ЗАВОД"</t>
  </si>
  <si>
    <t>"БАРНАУЛЬСКИЙ СИЛИКАТНЫЙ ЗАВОД"</t>
  </si>
  <si>
    <t>2222829730</t>
  </si>
  <si>
    <t>656922, АЛТАЙСКИЙ КРАЙ, ГОРОД БАРНАУЛ, УЛИЦА ТРАКТОВАЯ, 51</t>
  </si>
  <si>
    <t>Колесников Виктор Афанасьевич</t>
  </si>
  <si>
    <t>beton_pr@mail.ru'</t>
  </si>
  <si>
    <t>ОБЩЕСТВО С ОГРАНИЧЕННОЙ ОТВЕТСТВЕННОСТЬЮ "ЮТИ"</t>
  </si>
  <si>
    <t>"ЮТИ"</t>
  </si>
  <si>
    <t>2225055073</t>
  </si>
  <si>
    <t>Г БАРНАУЛ,УЛ ПОПОВА, Д 252В</t>
  </si>
  <si>
    <t>Иванько Евгений Сергеевич</t>
  </si>
  <si>
    <t>ОБЩЕСТВО С ОГРАНИЧЕННОЙ ОТВЕТСТВЕННОСТЬЮ "ЗАВОД ЖЕЛЕЗОБЕТОННЫХ ИЗДЕЛИЙ - 30"</t>
  </si>
  <si>
    <t>"ЗАВОД ЖЕЛЕЗОБЕТОННЫХ ИЗДЕЛИЙ - 30"</t>
  </si>
  <si>
    <t>2222853275</t>
  </si>
  <si>
    <t>656905, АЛТАЙСКИЙ КРАЙ, ГОРОД БАРНАУЛ, ПРОЕЗД ЮЖНЫЙ, ДОМ 43Е</t>
  </si>
  <si>
    <t>Пономаренко Алексей Николаевич</t>
  </si>
  <si>
    <t>+7 (903) 910-22-27'</t>
  </si>
  <si>
    <t>ОБЩЕСТВО С ОГРАНИЧЕННОЙ ОТВЕТСТВЕННОСТЬЮ ТОРГОВО-ПРОИЗВОДСТВЕННАЯ КОМПАНИЯ "АЛТАЙДОМСТРОЙ"</t>
  </si>
  <si>
    <t>ТОРГОВО-ПРОИЗВОДСТВЕННАЯ КОМПАНИЯ "АЛТАЙДОМСТРОЙ"</t>
  </si>
  <si>
    <t>2222820576</t>
  </si>
  <si>
    <t>656922, АЛТАЙСКИЙ КРАЙ, ГОРОД БАРНАУЛ, УЛИЦА ПОПОВА, 248</t>
  </si>
  <si>
    <t>Кудрявцев Валерий Николаевич</t>
  </si>
  <si>
    <t>+7 (913) 210-41-13'</t>
  </si>
  <si>
    <t>aktaydomstroy@mail.ru'</t>
  </si>
  <si>
    <t>ОБЩЕСТВО С ОГРАНИЧЕННОЙ ОТВЕТСТВЕННОСТЬЮ "АЛТАЙСКИЙ ЖЕЛЕЗОБЕТОН"</t>
  </si>
  <si>
    <t>"АЛТАЙСКИЙ ЖЕЛЕЗОБЕТОН"</t>
  </si>
  <si>
    <t>2222880085</t>
  </si>
  <si>
    <t>656922, АЛТАЙСКИЙ КРАЙ, ГОРОД БАРНАУЛ, УЛИЦА ПОПОВА, ДОМ 248</t>
  </si>
  <si>
    <t>Кудрявцева Юлия Александровна</t>
  </si>
  <si>
    <t>+7 (913) 090-79-36'</t>
  </si>
  <si>
    <t>ОБЩЕСТВО С ОГРАНИЧЕННОЙ ОТВЕТСТВЕННОСТЬЮ "ЖЕЛЕЗОБЕТОННЫЕ ИЗДЕЛИЯ-100"</t>
  </si>
  <si>
    <t>"ЖЕЛЕЗОБЕТОННЫЕ ИЗДЕЛИЯ-100"</t>
  </si>
  <si>
    <t>2222865954</t>
  </si>
  <si>
    <t>656922, АЛТАЙСКИЙ КРАЙ, ГОРОД БАРНАУЛ, ПРОСПЕКТ ЭНЕРГЕТИКОВ, ДОМ 37А, ЭТАЖ 4, КАБИНЕТ 406</t>
  </si>
  <si>
    <t>Савченко Сергей Валентинович</t>
  </si>
  <si>
    <t>+7 (913) 553-54-01'</t>
  </si>
  <si>
    <t>ОБЩЕСТВО С ОГРАНИЧЕННОЙ ОТВЕТСТВЕННОСТЬЮ "УПРАВЛЕНИЕ ЖЕЛЕЗОБЕТОННЫЕ ИЗДЕЛИЯ-100"</t>
  </si>
  <si>
    <t>"УПРАВЛЕНИЕ ЖЕЛЕЗОБЕТОННЫЕ ИЗДЕЛИЯ-100"</t>
  </si>
  <si>
    <t>2225201824</t>
  </si>
  <si>
    <t>656922, АЛТАЙСКИЙ КРАЙ, ГОРОД БАРНАУЛ, ПРОСПЕКТ ЭНЕРГЕТИКОВ, ДОМ 37А, КАБИНЕТ 415</t>
  </si>
  <si>
    <t>Комиссаров Михаил Юрьевич</t>
  </si>
  <si>
    <t>+7 (913) 250-15-11'</t>
  </si>
  <si>
    <t>ОБЩЕСТВО С ОГРАНИЧЕННОЙ ОТВЕТСТВЕННОСТЬЮ "СТРОЙ-ПРОДУКТ"</t>
  </si>
  <si>
    <t>"СТРОЙ-ПРОДУКТ"</t>
  </si>
  <si>
    <t>2222891672</t>
  </si>
  <si>
    <t>656905, АЛТАЙСКИЙ КРАЙ, Г. Барнаул, ПР-Д ЮЖНЫЙ, Д. 43В</t>
  </si>
  <si>
    <t>Попов Дмитрий Иванович</t>
  </si>
  <si>
    <t>DMITAT1992@YANDEX.RU'</t>
  </si>
  <si>
    <t>ОБЩЕСТВО С ОГРАНИЧЕННОЙ ОТВЕТСТВЕННОСТЬЮ «БАРНАУЛЬСКИЙ ЖЕЛЕЗОБЕТОННЫЙ КОМБИНАТ»</t>
  </si>
  <si>
    <t>«БАРНАУЛЬСКИЙ ЖЕЛЕЗОБЕТОННЫЙ КОМБИНАТ»</t>
  </si>
  <si>
    <t>2222896737</t>
  </si>
  <si>
    <t>656067, Алтайский край, ГОРОД БАРНАУЛ, Г БАРНАУЛ, ТРАКТ ПАВЛОВСКИЙ, Д. 299</t>
  </si>
  <si>
    <t>Кретинин Антон Сергеевич</t>
  </si>
  <si>
    <t>PAVLOVASVV@MAIL.RU'</t>
  </si>
  <si>
    <t>ОБЩЕСТВО С ОГРАНИЧЕННОЙ ОТВЕТСТВЕННОСТЬЮ "ИНПРОГРЕСС"</t>
  </si>
  <si>
    <t>"ИНПРОГРЕСС"</t>
  </si>
  <si>
    <t>2223596302</t>
  </si>
  <si>
    <t>656000, АЛТАЙСКИЙ КРАЙ, ГОРОД БАРНАУЛ, УЛИЦА ШУКШИНА, 2, 272</t>
  </si>
  <si>
    <t>Соколова Татьяна Александровна</t>
  </si>
  <si>
    <t>bf1@list.ru'</t>
  </si>
  <si>
    <t>2222791318</t>
  </si>
  <si>
    <t>656006, АЛТАЙСКИЙ КРАЙ, ГОРОД БАРНАУЛ, ПРОЕЗД ЮЖНЫЙ, 43 В</t>
  </si>
  <si>
    <t>Семенова Евгения Юрьевна</t>
  </si>
  <si>
    <t>stroiss@mail.ru', 'stross22@mail.ru'</t>
  </si>
  <si>
    <t>ОБЩЕСТВО С ОГРАНИЧЕННОЙ ОТВЕТСТВЕННОСТЬЮ "Сити-Трейд"</t>
  </si>
  <si>
    <t>"Сити-Трейд"</t>
  </si>
  <si>
    <t>2222782539</t>
  </si>
  <si>
    <t>656006, АЛТАЙСКИЙ КРАЙ, ГОРОД БАРНАУЛ, УЛИЦА ЛАЗУРНАЯ, ДОМ 57, ОФИС 308</t>
  </si>
  <si>
    <t>Остапенко Павел Николаевич</t>
  </si>
  <si>
    <t>ОБЩЕСТВО С ОГРАНИЧЕННОЙ ОТВЕТСТВЕННОСТЬЮ "БЕТОФОРМ"</t>
  </si>
  <si>
    <t>"БЕТОФОРМ"</t>
  </si>
  <si>
    <t>2223620989</t>
  </si>
  <si>
    <t>656063, АЛТАЙСКИЙ КРАЙ, ГОРОД БАРНАУЛ, УЛИЦА ПОПОВА, ДОМ 1, ОФИС 6</t>
  </si>
  <si>
    <t>Ефимов Павел Никитович</t>
  </si>
  <si>
    <t>+7 (385) 233-35-16', '+7 (913) 029-83-92'</t>
  </si>
  <si>
    <t>2221214580</t>
  </si>
  <si>
    <t>656006, АЛТАЙСКИЙ КРАЙ, ГОРОД БАРНАУЛ, УЛИЦА ЛАЗУРНАЯ, ДОМ 51,..</t>
  </si>
  <si>
    <t>Гефнер Александр Александрович</t>
  </si>
  <si>
    <t>+7 (960) 959-42-57'</t>
  </si>
  <si>
    <t>ОБЩЕСТВО С ОГРАНИЧЕННОЙ ОТВЕТСТВЕННОСТЬЮ "Новониколаевская компания"</t>
  </si>
  <si>
    <t>"Новониколаевская компания"</t>
  </si>
  <si>
    <t>5407471034</t>
  </si>
  <si>
    <t>656063, АЛТАЙСКИЙ КРАЙ, Г. БАРНАУЛ, ПР-Д ЗАВОДСКОЙ 9-Й, Д. 56, ЛИТЕРА А, ОФИС 28</t>
  </si>
  <si>
    <t>Кругликов Сергей Леонидович</t>
  </si>
  <si>
    <t>+7 (983) 182-07-36'</t>
  </si>
  <si>
    <t>2277013250</t>
  </si>
  <si>
    <t>658016, АЛТАЙСКИЙ КРАЙ, Р-Н ТАЛЬМЕНСКИЙ, СТ ОЗЁРКИ, УЛ. ПАРТИЗАНСКАЯ, Д. 5</t>
  </si>
  <si>
    <t>Кулешов Александр Валерьевич</t>
  </si>
  <si>
    <t>+7 (903) 947-66-42', '+7 (960) 951-95-32'</t>
  </si>
  <si>
    <t>kuryaeva@yandex.ru'</t>
  </si>
  <si>
    <t>ОБЩЕСТВО С ОГРАНИЧЕННОЙ ОТВЕТСТВЕННОСТЬЮ "ДИНАСТИЯ"</t>
  </si>
  <si>
    <t>"ДИНАСТИЯ"</t>
  </si>
  <si>
    <t>2277016011</t>
  </si>
  <si>
    <t>658016, Алтайский край, муниципальный район ТАЛЬМЕНСКИЙ, СТ ОЗЁРКИ, сельское поселение НОВООЗЁРСКИЙ СЕЛЬСОВЕТ, УЛ ПАРТИЗАНСКАЯ, Д. 5,</t>
  </si>
  <si>
    <t>Титов Сергей Владимирович</t>
  </si>
  <si>
    <t>+7 (960) 951-95-32'</t>
  </si>
  <si>
    <t>ОБЩЕСТВО С ОГРАНИЧЕННОЙ ОТВЕТСТВЕННОСТЬЮ "БАРНАУЛЬСКИЙ КОМБИНАТ ЖЕЛЕЗОБЕТОННЫХ ИЗДЕЛИЙ № 1 ИМЕНИ ВЛАДИМИРА ИВАНОВИЧА МУДРИКА"</t>
  </si>
  <si>
    <t>"БАРНАУЛЬСКИЙ КОМБИНАТ ЖЕЛЕЗОБЕТОННЫХ ИЗДЕЛИЙ № 1 ИМЕНИ ВЛАДИМИРА ИВАНОВИЧА МУДРИКА"</t>
  </si>
  <si>
    <t>2225101330</t>
  </si>
  <si>
    <t>http://gbisib.ru</t>
  </si>
  <si>
    <t>656023, АЛТАЙСКИЙ КРАЙ, ГОРОД БАРНАУЛ, ПРОЕЗД ЗАВОДСКОЙ 9-Й, ДОМ 40</t>
  </si>
  <si>
    <t>Овсянников Кирилл Сергеевич</t>
  </si>
  <si>
    <t>ОБЩЕСТВО С ОГРАНИЧЕННОЙ ОТВЕТСТВЕННОСТЬЮ "ПРОИЗВОДСТВО СИЛИКАТНОГО КИРПИЧА"</t>
  </si>
  <si>
    <t>"ПРОИЗВОДСТВО СИЛИКАТНОГО КИРПИЧА"</t>
  </si>
  <si>
    <t>2222825856</t>
  </si>
  <si>
    <t>656031, АЛТАЙСКИЙ КРАЙ, Г. БАРНАУЛ, УЛ. СИЛИКАТНАЯ, Д. 16, ОФИС 10</t>
  </si>
  <si>
    <t>Разумов Геннадий Борисович</t>
  </si>
  <si>
    <t>+7 (895) 987-07-89'</t>
  </si>
  <si>
    <t>psk22@list.ru'</t>
  </si>
  <si>
    <t>ОБЩЕСТВО С ОГРАНИЧЕННОЙ ОТВЕТСТВЕННОСТЬЮ "ПЕСОК АЛТАЯ"</t>
  </si>
  <si>
    <t>"ПЕСОК АЛТАЯ"</t>
  </si>
  <si>
    <t>2222846550</t>
  </si>
  <si>
    <t>656031, Алтайский край, городской округ ГОРОД БАРНАУЛ, Город БАРНАУЛ, УЛ СИЛИКАТНАЯ, ВЛД. 16, СТР. 1, КАБИНЕТ 11</t>
  </si>
  <si>
    <t>Захаров Константин Викторович</t>
  </si>
  <si>
    <t>+7 (913) 237-48-48'</t>
  </si>
  <si>
    <t>ОБЩЕСТВО С ОГРАНИЧЕННОЙ ОТВЕТСТВЕННОСТЬЮ "Строительная технология"</t>
  </si>
  <si>
    <t>"Строительная технология"</t>
  </si>
  <si>
    <t>2225115854</t>
  </si>
  <si>
    <t>656031, АЛТАЙСКИЙ КРАЙ, Г. БАРНАУЛ, УЛ. СИЛИКАТНАЯ, Д. 16, СТР. 1, КАБИНЕТ 11</t>
  </si>
  <si>
    <t>+7 (960) 952-55-55', '+7 (961) 988-65-56', '+7 (953) 037-70-38'</t>
  </si>
  <si>
    <t>2221243936</t>
  </si>
  <si>
    <t>656031, АЛТАЙСКИЙ КРАЙ, Г. БАРНАУЛ, ПР-Д МАГНИТНЫЙ, Д. 52</t>
  </si>
  <si>
    <t>Архипов Данил Валерьевич</t>
  </si>
  <si>
    <t>sfera220@list.ru'</t>
  </si>
  <si>
    <t>ОБЩЕСТВО С ОГРАНИЧЕННОЙ ОТВЕТСТВЕННОСТЬЮ "СИБМОНТАЖ"</t>
  </si>
  <si>
    <t>"СИБМОНТАЖ"</t>
  </si>
  <si>
    <t>2221253613</t>
  </si>
  <si>
    <t>656031, АЛТАЙСКИЙ КРАЙ, Г. Барнаул, УЛ. МОЛОДЕЖНАЯ, Д. 136,..</t>
  </si>
  <si>
    <t>Кондратьев Кирилл Константинович</t>
  </si>
  <si>
    <t>89293757334@YANDEX.RU'</t>
  </si>
  <si>
    <t>ОБЩЕСТВО С ОГРАНИЧЕННОЙ ОТВЕТСТВЕННОСТЬЮ "КУЗНЕЦКСТРОЙ"</t>
  </si>
  <si>
    <t>"КУЗНЕЦКСТРОЙ"</t>
  </si>
  <si>
    <t>2224203184</t>
  </si>
  <si>
    <t>656002, АЛТАЙСКИЙ КРАЙ, Г. БАРНАУЛ, УЛ. СОВЕТСКАЯ, Д. 6, К. 2, ОФИС 7А</t>
  </si>
  <si>
    <t>Хачатрян Саргис Арутович</t>
  </si>
  <si>
    <t>ОБЩЕСТВО С ОГРАНИЧЕННОЙ ОТВЕТСТВЕННОСТЬЮ "ГАЗОБЛОК22"</t>
  </si>
  <si>
    <t>"ГАЗОБЛОК22"</t>
  </si>
  <si>
    <t>2222889120</t>
  </si>
  <si>
    <t>656015, Алтайский край, городской округ ГОРОД БАРНАУЛ, Город БАРНАУЛ, ПР-КТ ЛЕНИНА, Д. 69, ПОМЕЩ./ОФИС Н5/8</t>
  </si>
  <si>
    <t>Домбровская Екатерина Игоревна</t>
  </si>
  <si>
    <t>ОБЩЕСТВО С ОГРАНИЧЕННОЙ ОТВЕТСТВЕННОСТЬЮ "БОРЗОВСКИЙ КИРПИЧНИК"</t>
  </si>
  <si>
    <t>"БОРЗОВСКИЙ КИРПИЧНИК"</t>
  </si>
  <si>
    <t>2225173817</t>
  </si>
  <si>
    <t>http://b-kirpichnik.nethouse.ru</t>
  </si>
  <si>
    <t>Г БАРНАУЛ,УЛ РЖЕВСКОГО, Д 43</t>
  </si>
  <si>
    <t>Шмаров Иван Кузьмич</t>
  </si>
  <si>
    <t>+7 (905) 985-02-40'</t>
  </si>
  <si>
    <t>ОБЩЕСТВО С ОГРАНИЧЕННОЙ ОТВЕТСТВЕННОСТЬЮ "ГРАДСТРОЙ"</t>
  </si>
  <si>
    <t>"ГРАДСТРОЙ"</t>
  </si>
  <si>
    <t>2225207720</t>
  </si>
  <si>
    <t>656043, АЛТАЙСКИЙ КРАЙ, ГОРОД БАРНАУЛ, ПРОСПЕКТ ЛЕНИНА, ДОМ 31, ПОМ/ОФИС Н13/1</t>
  </si>
  <si>
    <t>Миронов Алексей Александрович</t>
  </si>
  <si>
    <t>+7 (913) 218-31-77'</t>
  </si>
  <si>
    <t>ОБЩЕСТВО С ОГРАНИЧЕННОЙ ОТВЕТСТВЕННОСТЬЮ "ЛЕГО КИРПИЧ "КУН ГРАД"</t>
  </si>
  <si>
    <t>"ЛЕГО КИРПИЧ "КУН ГРАД"</t>
  </si>
  <si>
    <t>2225199798</t>
  </si>
  <si>
    <t>656043, АЛТАЙСКИЙ КРАЙ, Г. БАРНАУЛ, УЛ. ПОЛЗУНОВА, Д. 55А, ОФИС 7</t>
  </si>
  <si>
    <t>Миронова Светлана Михайловна</t>
  </si>
  <si>
    <t>ОБЩЕСТВО С ОГРАНИЧЕННОЙ ОТВЕТСТВЕННОСТЬЮ "Динамика"</t>
  </si>
  <si>
    <t>"Динамика"</t>
  </si>
  <si>
    <t>2222815470</t>
  </si>
  <si>
    <t>656043, АЛТАЙСКИЙ КРАЙ, Г. БАРНАУЛ, УЛ. КОРОЛЕНКО, Д. 104, ОФИС 216А</t>
  </si>
  <si>
    <t>Глебов Дмитрий Викторович</t>
  </si>
  <si>
    <t>+7 (961) 995-97-79', '+7 (913) 227-78-70'</t>
  </si>
  <si>
    <t>79132277870@yandex.ru'</t>
  </si>
  <si>
    <t>ОБЩЕСТВО С ОГРАНИЧЕННОЙ ОТВЕТСТВЕННОСТЬЮ "АЛТАЙ МОНОЛИТ"</t>
  </si>
  <si>
    <t>"АЛТАЙ МОНОЛИТ"</t>
  </si>
  <si>
    <t>2225149839</t>
  </si>
  <si>
    <t>656049, АЛТАЙСКИЙ КРАЙ, Г. БАРНАУЛ, УЛ. ЧЕРНЫШЕВСКОГО, Д.59</t>
  </si>
  <si>
    <t>Геворгян Артур Варужанович</t>
  </si>
  <si>
    <t>"СТРОЙГРАД"</t>
  </si>
  <si>
    <t>2225178332</t>
  </si>
  <si>
    <t>656049, АЛТАЙСКИЙ КРАЙ, Г. БАРНАУЛ, ПР-КТ ЛЕНИНА, Д. 31</t>
  </si>
  <si>
    <t>+7 (913) 231-01-19', '+7 (913) 218-31-77'</t>
  </si>
  <si>
    <t>ОБЩЕСТВО С ОГРАНИЧЕННОЙ ОТВЕТСТВЕННОСТЬЮ "ТРОТУАРСТРОЙ"</t>
  </si>
  <si>
    <t>2225175437</t>
  </si>
  <si>
    <t>656056, АЛТАЙСКИЙ КРАЙ, Г. БАРНАУЛ, УЛ. ПУШКИНА, Д. 38А, ОФИС 31</t>
  </si>
  <si>
    <t>Шелков Павел Владимирович</t>
  </si>
  <si>
    <t>ОБЩЕСТВО С ОГРАНИЧЕННОЙ ОТВЕТСТВЕННОСТЬЮ "Стройинновации"</t>
  </si>
  <si>
    <t>"Стройинновации"</t>
  </si>
  <si>
    <t>2225103880</t>
  </si>
  <si>
    <t>656056, Алтайский край, городской округ ГОРОД БАРНАУЛ, Город БАРНАУЛ, УЛ ПУШКИНА, Д. 32,..</t>
  </si>
  <si>
    <t>Чайкина Ольга Владимировна</t>
  </si>
  <si>
    <t>+7 (913) 277-77-72', '+7 (903) 996-11-25'</t>
  </si>
  <si>
    <t>ОБЩЕСТВО С ОГРАНИЧЕННОЙ ОТВЕТСТВЕННОСТЬЮ "Завод Стеновых Блоков"</t>
  </si>
  <si>
    <t>"Завод Стеновых Блоков"</t>
  </si>
  <si>
    <t>2222805627</t>
  </si>
  <si>
    <t>http://zsb-altai.ru</t>
  </si>
  <si>
    <t>656056, АЛТАЙСКИЙ КРАЙ, Г. БАРНАУЛ, УЛ. МАКСИМА ГОРЬКОГО, Д. 22А, ОФИС 315</t>
  </si>
  <si>
    <t>Шатров Александр Сергеевич</t>
  </si>
  <si>
    <t>+7 (905) 084-55-62'</t>
  </si>
  <si>
    <t>ОБЩЕСТВО С ОГРАНИЧЕННОЙ ОТВЕТСТВЕННОСТЬЮ "АДС"</t>
  </si>
  <si>
    <t>"АДС"</t>
  </si>
  <si>
    <t>2208035292</t>
  </si>
  <si>
    <t>658042, АЛТАЙСКИЙ КРАЙ, РАЙОН ПЕРВОМАЙСКИЙ, СЕЛО ЗУДИЛОВО, МИКРОРАЙОН ПРИДОРОЖНЫЙ, ДОМ 10Б</t>
  </si>
  <si>
    <t>+7 (983) 180-16-39', '+7 (913) 090-79-36'</t>
  </si>
  <si>
    <t>bespjtova@mail.ru'</t>
  </si>
  <si>
    <t>2208043695</t>
  </si>
  <si>
    <t>658080, АЛТАЙСКИЙ КРАЙ, Г. Новоалтайск, УЛ. 7 МИКРОРАЙОН, Д. 5, ПОМЕЩ. Н3</t>
  </si>
  <si>
    <t>Снигирева Ольга Анатольевна</t>
  </si>
  <si>
    <t>+7 (923) 647-55-35', '+7 (905) 926-00-33'</t>
  </si>
  <si>
    <t>ОБЩЕСТВО С ОГРАНИЧЕННОЙ ОТВЕТСТВЕННОСТЬЮ "Рента"</t>
  </si>
  <si>
    <t>"Рента"</t>
  </si>
  <si>
    <t>2208020803</t>
  </si>
  <si>
    <t>658084, Алтайский край, г Новоалтайск, ул Переездная, д 4/1</t>
  </si>
  <si>
    <t>Гуляев Сергей Николаевич</t>
  </si>
  <si>
    <t>2208029595</t>
  </si>
  <si>
    <t>658084, АЛТАЙСКИЙ КРАЙ, ГОРОД НОВОАЛТАЙСК, УЛИЦА БЕЛЯКОВА, ДОМ 1А, ОФИС 23</t>
  </si>
  <si>
    <t>Ефремов Артём Викторович</t>
  </si>
  <si>
    <t>+7 (913) 271-30-65', '+7 (913) 257-75-57'</t>
  </si>
  <si>
    <t>stroidom_22@mail.ru'</t>
  </si>
  <si>
    <t>ОБЩЕСТВО С ОГРАНИЧЕННОЙ ОТВЕТСТВЕННОСТЬЮ "АЛТАЙБЛОК"</t>
  </si>
  <si>
    <t>"АЛТАЙБЛОК"</t>
  </si>
  <si>
    <t>2263031524</t>
  </si>
  <si>
    <t>658059, Алтайский край, ПЕРВОМАЙСКИЙ, 2 САННИКОВСКИЙ СЕЛЬСОВЕТ, С ФИРСОВО, УЛ ПЕСЧАНАЯ, ДВЛД. 7А</t>
  </si>
  <si>
    <t>Бовкуш Илья Владимирович</t>
  </si>
  <si>
    <t>ОБЩЕСТВО С ОГРАНИЧЕННОЙ ОТВЕТСТВЕННОСТЬЮ "НОВОАЛТАЙСКИЙ ЗАВОД ЖЕЛЕЗОБЕТОННЫХ ИЗДЕЛИЙ №1"</t>
  </si>
  <si>
    <t>"НОВОАЛТАЙСКИЙ ЗАВОД ЖЕЛЕЗОБЕТОННЫХ ИЗДЕЛИЙ №1"</t>
  </si>
  <si>
    <t>2208061969</t>
  </si>
  <si>
    <t>658083, АЛТАЙСКИЙ КРАЙ, Г. Новоалтайск, УЛ. ДОРОЖНАЯ, ЗД. 80</t>
  </si>
  <si>
    <t>Фомичев Алексей Валерьевич</t>
  </si>
  <si>
    <t>NZGBI_1@MAIL.RU'</t>
  </si>
  <si>
    <t>ОБЩЕСТВО С ОГРАНИЧЕННОЙ ОТВЕТСТВЕННОСТЬЮ "ЖИЛСТРОЙКОМ"</t>
  </si>
  <si>
    <t>"ЖИЛСТРОЙКОМ"</t>
  </si>
  <si>
    <t>2208024565</t>
  </si>
  <si>
    <t>658071, АЛТАЙСКИЙ КРАЙ, Р-Н ПЕРВОМАЙСКИЙ, С ЖИЛИНО, УЛ. ПРОИЗВОДСТВЕННАЯ, Д.9</t>
  </si>
  <si>
    <t>Мулаков Игорь Николаевич</t>
  </si>
  <si>
    <t>+7 (961) 985-79-85'</t>
  </si>
  <si>
    <t>ОБЩЕСТВО С ОГРАНИЧЕННОЙ ОТВЕТСТВЕННОСТЬЮ "КАМЕНЬ-ПРОФИ"</t>
  </si>
  <si>
    <t>"КАМЕНЬ-ПРОФИ"</t>
  </si>
  <si>
    <t>5438320155</t>
  </si>
  <si>
    <t>633454, НОВОСИБИРСКАЯ ОБЛАСТЬ, РАЙОН ТОГУЧИНСКИЙ, ГОРОД ТОГУЧИН, УЛИЦА ДЗЕРЖИНСКОГО, ДОМ 10/2</t>
  </si>
  <si>
    <t>Беляев Владимир Александрович</t>
  </si>
  <si>
    <t>+7 (913) 468-77-48'</t>
  </si>
  <si>
    <t>kpbuh16@mail.ru', 'buh@yandex.ru'</t>
  </si>
  <si>
    <t>ОБЩЕСТВО С ОГРАНИЧЕННОЙ ОТВЕТСТВЕННОСТЬЮ "БАУСТОУН"</t>
  </si>
  <si>
    <t>"БАУСТОУН"</t>
  </si>
  <si>
    <t>2204083351</t>
  </si>
  <si>
    <t>659300, АЛТАЙСКИЙ КРАЙ, ГОРОД БИЙСК, УЛИЦА СОЦИАЛИСТИЧЕСКАЯ, ДОМ 23/3, ОФИС 204</t>
  </si>
  <si>
    <t>Марущак Олег Валерьевич</t>
  </si>
  <si>
    <t>+7 (906) 196-56-65'</t>
  </si>
  <si>
    <t>ОБЩЕСТВО С ОГРАНИЧЕННОЙ ОТВЕТСТВЕННОСТЬЮ  "БАУПРОМ"</t>
  </si>
  <si>
    <t xml:space="preserve"> "БАУПРОМ"</t>
  </si>
  <si>
    <t>2204092067</t>
  </si>
  <si>
    <t>659300, АЛТАЙСКИЙ КРАЙ, ГОРОД БИЙСК, УЛИЦА СОЦИАЛИСТИЧЕСКАЯ, ДОМ 23/3, ПОМ/ОФИС Н2/206</t>
  </si>
  <si>
    <t>Эпанаева Елена Сергеевна</t>
  </si>
  <si>
    <t>+7 (961) 993-24-95'</t>
  </si>
  <si>
    <t>ОБЩЕСТВО С ОГРАНИЧЕННОЙ ОТВЕТСТВЕННОСТЬЮ "СТРОИТЕЛЬНОЕ УПРАВЛЕНИЕ №2"</t>
  </si>
  <si>
    <t>"СТРОИТЕЛЬНОЕ УПРАВЛЕНИЕ №2"</t>
  </si>
  <si>
    <t>2204051590</t>
  </si>
  <si>
    <t>659305, АЛТАЙСКИЙ КРАЙ, ГОРОД БИЙСК, УЛИЦА ИМЕНИ ГЕРОЯ СОВЕТСКОГО СОЮЗА ВАСИЛЬЕВА, 64</t>
  </si>
  <si>
    <t>Карманов Игорь Аркадьевич</t>
  </si>
  <si>
    <t>+7 (913) 212-10-05'</t>
  </si>
  <si>
    <t>ОБЩЕСТВО С ОГРАНИЧЕННОЙ ОТВЕТСТВЕННОСТЬЮ "БИЙСКИЙ ЗАВОД ЖЕЛЕЗОБЕТОННЫХ ИЗДЕЛИЙ"</t>
  </si>
  <si>
    <t>"БИЙСКИЙ ЗАВОД ЖЕЛЕЗОБЕТОННЫХ ИЗДЕЛИЙ"</t>
  </si>
  <si>
    <t>2204092589</t>
  </si>
  <si>
    <t>659305, АЛТАЙСКИЙ КРАЙ, Г. БИЙСК, УЛ. ИМЕНИ ГЕРОЯ СОВЕТСКОГО СОЮЗА ВАСИЛЬЕВА, Д. 64, ОФИС 10</t>
  </si>
  <si>
    <t>Смеляк Александр Валерьевич</t>
  </si>
  <si>
    <t>+7 (983) 170-38-06'</t>
  </si>
  <si>
    <t>ОБЩЕСТВО С ОГРАНИЧЕННОЙ ОТВЕТСТВЕННОСТЬЮ "ПРОИЗВОДСТВЕННОЕ ОБЪЕДИНЕНИЕ "ЖЕЛЕЗОБЕТОН" ИМЕНИ "ВЕНИАМИНА МОИСЕЕВИЧА МОЗЫРСКОГО"</t>
  </si>
  <si>
    <t>"ПРОИЗВОДСТВЕННОЕ ОБЪЕДИНЕНИЕ "ЖЕЛЕЗОБЕТОН" ИМЕНИ "ВЕНИАМИНА МОИСЕЕВИЧА МОЗЫРСКОГО"</t>
  </si>
  <si>
    <t>2227007734</t>
  </si>
  <si>
    <t>АЛТАЙСКИЙ КРАЙ,Г БИЙСК,УЛ ВАСИЛЬЕВА, Д 64</t>
  </si>
  <si>
    <t>Бахарев Андрей Игоревич</t>
  </si>
  <si>
    <t>zhelezobeton@mail.biysk'</t>
  </si>
  <si>
    <t>ОБЩЕСТВО С ОГРАНИЧЕННОЙ ОТВЕТСТВЕННОСТЬЮ "ЗАВОД ЗАЩИТНЫХ ПОКРЫТИЙ"</t>
  </si>
  <si>
    <t>"ЗАВОД ЗАЩИТНЫХ ПОКРЫТИЙ"</t>
  </si>
  <si>
    <t>2204076643</t>
  </si>
  <si>
    <t>АЛТАЙСКИЙ КРАЙ,Г БИЙСК,УЛ ВАСИЛЬЕВА, Д 93</t>
  </si>
  <si>
    <t>Киргизов Максим Владимирович</t>
  </si>
  <si>
    <t>biizs@mail.byisk', 'izs@yandex.ru'</t>
  </si>
  <si>
    <t>ОБЩЕСТВО С ОГРАНИЧЕННОЙ ОТВЕТСТВЕННОСТЬЮ "СИБТРЕЙД ПЛЮС"</t>
  </si>
  <si>
    <t>"СИБТРЕЙД ПЛЮС"</t>
  </si>
  <si>
    <t>2204086190</t>
  </si>
  <si>
    <t>659302, АЛТАЙСКИЙ КРАЙ, ГОРОД БИЙСК, УЛИЦА МИХАИЛА КУТУЗОВА, ДОМ 11/2,..</t>
  </si>
  <si>
    <t>ОБЩЕСТВО С ОГРАНИЧЕННОЙ ОТВЕТСТВЕННОСТЬЮ "СИБТРЕЙД-АЛЬФА"</t>
  </si>
  <si>
    <t>"СИБТРЕЙД-АЛЬФА"</t>
  </si>
  <si>
    <t>2204093695</t>
  </si>
  <si>
    <t>659302, АЛТАЙСКИЙ КРАЙ, Г. Бийск, УЛ. МИХАИЛА КУТУЗОВА, Д. 11/2,..</t>
  </si>
  <si>
    <t>3000@YANDEX.RU'</t>
  </si>
  <si>
    <t>ОБЩЕСТВО С ОГРАНИЧЕННОЙ ОТВЕТСТВЕННОСТЬЮ "РИМ"</t>
  </si>
  <si>
    <t>"РИМ"</t>
  </si>
  <si>
    <t>2204089240</t>
  </si>
  <si>
    <t>659320, АЛТАЙСКИЙ КРАЙ, ГОРОД БИЙСК, УЛИЦА РАЗДОЛЬНАЯ, ДОМ 24А</t>
  </si>
  <si>
    <t>Цар Роман Станиславович</t>
  </si>
  <si>
    <t>ОБЩЕСТВО С ОГРАНИЧЕННОЙ ОТВЕТСТВЕННОСТЬЮ "МАСТЕР-КРОТ"</t>
  </si>
  <si>
    <t>"МАСТЕР-КРОТ"</t>
  </si>
  <si>
    <t>2204039360</t>
  </si>
  <si>
    <t>http://master-krot.pe.hu</t>
  </si>
  <si>
    <t>659330, АЛТАЙСКИЙ КРАЙ, Г. Бийск, УЛ. КРАСНООКТЯБРЬСКАЯ, ЗД. 192</t>
  </si>
  <si>
    <t>Попов Александр Вячеславович</t>
  </si>
  <si>
    <t>+7 (385) 447-48-74'</t>
  </si>
  <si>
    <t>ОБЩЕСТВО С ОГРАНИЧЕННОЙ ОТВЕТСТВЕННОСТЬЮ "МеталлСтройРегион"</t>
  </si>
  <si>
    <t>"МеталлСтройРегион"</t>
  </si>
  <si>
    <t>0411161011</t>
  </si>
  <si>
    <t>649100, АЛТАЙ РЕСПУБЛИКА, Р-Н МАЙМИНСКИЙ, П КАРЛУШКА, УЛ. ТРАКТОВАЯ, Д.15</t>
  </si>
  <si>
    <t>Чеконов Дмитрий Александрович</t>
  </si>
  <si>
    <t>04@mail.ru', '53@mail.ru'</t>
  </si>
  <si>
    <t>ОБЩЕСТВО С ОГРАНИЧЕННОЙ ОТВЕТСТВЕННОСТЬЮ Торговый дом "МЗЖБИ"</t>
  </si>
  <si>
    <t>"МЗЖБИ"</t>
  </si>
  <si>
    <t>0411157209</t>
  </si>
  <si>
    <t>649100, АЛТАЙ РЕСПУБЛИКА, РАЙОН МАЙМИНСКИЙ, СЕЛО МАЙМА, УЛИЦА ЭНЕРГЕТИКОВ, 26/1</t>
  </si>
  <si>
    <t>Гаспарян Левон Акобович</t>
  </si>
  <si>
    <t>+7 (913) 255-00-29'</t>
  </si>
  <si>
    <t>0410002192</t>
  </si>
  <si>
    <t>РЕСПУБЛИКА АЛТАЙ,МАЙМИНСКИЙ Р-Н,С МАЙМА,УЛ ЭНЕРГЕТИКОВ, Д 31</t>
  </si>
  <si>
    <t>Исаев Евгений Сергеевич</t>
  </si>
  <si>
    <t>0411175007</t>
  </si>
  <si>
    <t>649002, АЛТАЙ РЕСПУБЛИКА, Г. ГОРНО-АЛТАЙСК, УЛ. ПРОМЫШЛЕННАЯ, Д. 2,..</t>
  </si>
  <si>
    <t>Ротарь Николай Федорович</t>
  </si>
  <si>
    <t>+7 (962) 582-76-76'</t>
  </si>
  <si>
    <t>frotar@mail.ru'</t>
  </si>
  <si>
    <t>"СИБИРСКИЙ БЕТОН"</t>
  </si>
  <si>
    <t>0400010155</t>
  </si>
  <si>
    <t>649006, АЛТАЙ РЕСПУБЛИКА, ГОРОД ГОРНО-АЛТАЙСК, УЛИЦА КОМСОМОЛЬСКАЯ, ДОМ 9, ОФИС 407</t>
  </si>
  <si>
    <t>Белоусов Виталий Александрович</t>
  </si>
  <si>
    <t>solienko@mail.ru'</t>
  </si>
  <si>
    <t>ОБЩЕСТВО С ОГРАНИЧЕННОЙ ОТВЕТСТВЕННОСТЬЮ "ПРОИЗВОДСТВЕННАЯ КОМПАНИЯ "ТЕПЛОБЛОКАЛТАЙСТРОЙ"</t>
  </si>
  <si>
    <t>"ПРОИЗВОДСТВЕННАЯ КОМПАНИЯ "ТЕПЛОБЛОКАЛТАЙСТРОЙ"</t>
  </si>
  <si>
    <t>0411176610</t>
  </si>
  <si>
    <t>649105, АЛТАЙ РЕСП, МАЙМИНСКИЙ Р-Н, с Кызыл-Озек, МОЛОДЕЖНАЯ УЛ, ДОМ 22</t>
  </si>
  <si>
    <t>Кыдырбаев Бауыржан Ниязбекович</t>
  </si>
  <si>
    <t>+7 (913) 991-12-40'</t>
  </si>
  <si>
    <t>ОБЩЕСТВО С ОГРАНИЧЕННОЙ ОТВЕТСТВЕННОСТЬЮ "БАЧАТСКИЙ БЕТОН"</t>
  </si>
  <si>
    <t>"БАЧАТСКИЙ БЕТОН"</t>
  </si>
  <si>
    <t>4212042673</t>
  </si>
  <si>
    <t>652780, КЕМЕРОВСКАЯ ОБЛАСТЬ - КУЗБАСС ОБЛ., Гурьевский Р-Н, Г. Гурьевск, УЛ. ЖДАНОВА, ЗД. 33В</t>
  </si>
  <si>
    <t>Кузнецов Денис Александрович</t>
  </si>
  <si>
    <t>ОБЩЕСТВО С ОГРАНИЧЕННОЙ ОТВЕТСТВЕННОСТЬЮ "АККОРДПЛЮС"</t>
  </si>
  <si>
    <t>"АККОРДПЛЮС"</t>
  </si>
  <si>
    <t>0411168200</t>
  </si>
  <si>
    <t>649105, АЛТАЙ РЕСПУБЛИКА, Р-Н МАЙМИНСКИЙ, С КЫЗЫЛ-ОЗЕК, УЛ. СОВЕТСКАЯ, Д.88"А", К.2</t>
  </si>
  <si>
    <t>Василенко Александр Александрович</t>
  </si>
  <si>
    <t>+7 (983) 580-21-78'</t>
  </si>
  <si>
    <t>ОБЩЕСТВО С ОГРАНИЧЕННОЙ ОТВЕТСТВЕННОСТЬЮ "АРБОКОМПЛЕКТ"</t>
  </si>
  <si>
    <t>"АРБОКОМПЛЕКТ"</t>
  </si>
  <si>
    <t>0400019207</t>
  </si>
  <si>
    <t>649100, Республика Алтай, МАЙМИНСКИЙ, 2 КЫЗЫЛ-ОЗЕКСКОЕ, П АЛФЕРОВО, УЛ НАГОРНАЯ, Д. 4А</t>
  </si>
  <si>
    <t>Шантяпин Денис Анатольевич</t>
  </si>
  <si>
    <t>ОБЩЕСТВО С ОГРАНИЧЕННОЙ ОТВЕТСТВЕННОСТЬЮ "Монолит-РА"</t>
  </si>
  <si>
    <t>"Монолит-РА"</t>
  </si>
  <si>
    <t>0404007957</t>
  </si>
  <si>
    <t>649440, АЛТАЙ РЕСПУБЛИКА, Р-Н ОНГУДАЙСКИЙ, С ОНГУДАЙ, УЛ. СОВЕТСКАЯ, Д.177, К.Г</t>
  </si>
  <si>
    <t>Башпаков Василий Васильевич</t>
  </si>
  <si>
    <t>+7 (963) 511-27-80'</t>
  </si>
  <si>
    <t>ОБЩЕСТВО С ОГРАНИЧЕННОЙ ОТВЕТСТВЕННОСТЬЮ "АМУГУС"</t>
  </si>
  <si>
    <t>"АМУГУС"</t>
  </si>
  <si>
    <t>4212042930</t>
  </si>
  <si>
    <t>652502, Кемеровская область - Кузбасс, городской округ ЛЕНИНСК-КУЗНЕЦКИЙ, Город ЛЕНИНСК-КУЗНЕЦКИЙ, ПЕР КИШИНЕВСКИЙ, Д. 9,</t>
  </si>
  <si>
    <t xml:space="preserve"> Директор Хорошилов Евгений Сергеевич</t>
  </si>
  <si>
    <t>ОБЩЕСТВО С ОГРАНИЧЕННОЙ ОТВЕТСТВЕННОСТЬЮ "ЛЕГО"</t>
  </si>
  <si>
    <t>"ЛЕГО"</t>
  </si>
  <si>
    <t>4223122987</t>
  </si>
  <si>
    <t>653024, КЕМЕРОВСКАЯ ОБЛАСТЬ - КУЗБАСС, ГОРОД ПРОКОПЬЕВСК, УЛИЦА ЛУГОВАЯ, ДОМ 21А, СТРОЕНИЕ 7</t>
  </si>
  <si>
    <t>Петросян Арсен Варданович</t>
  </si>
  <si>
    <t>ОБЩЕСТВО С ОГРАНИЧЕННОЙ ОТВЕТСТВЕННОСТЬЮ "Гранд"</t>
  </si>
  <si>
    <t>"Гранд"</t>
  </si>
  <si>
    <t>4218107574</t>
  </si>
  <si>
    <t>653036, КЕМЕРОВСКАЯ ОБЛАСТЬ - КУЗБАСС, Г. ПРОКОПЬЕВСК, УЛ. КЫШТЫМСКАЯ, Д.1</t>
  </si>
  <si>
    <t>Солянников Алексей Валерьевич</t>
  </si>
  <si>
    <t>+7 (905) 963-75-44', '+7 (913) 328-59-15'</t>
  </si>
  <si>
    <t>ЗАКРЫТОЕ АКЦИОНЕРНОЕ ОБЩЕСТВО "ЗЕЛЕНОГОРСКИЙ ЗАВОД ЖЕЛЕЗОБЕТОННЫХ ИЗДЕЛИЙ"</t>
  </si>
  <si>
    <t>ЗАКРЫТОЕ "ЗЕЛЕНОГОРСКИЙ ЗАВОД ЖЕЛЕЗОБЕТОННЫХ ИЗДЕЛИЙ"</t>
  </si>
  <si>
    <t>4212032308</t>
  </si>
  <si>
    <t>652440, КЕМЕРОВСКАЯ ОБЛАСТЬ - КУЗБАСС, Р-Н КРАПИВИНСКИЙ, ПГТ ЗЕЛЕНОГОРСКИЙ, АБК</t>
  </si>
  <si>
    <t>Близнюк Павел Алексеевич</t>
  </si>
  <si>
    <t>+7 (905) 968-18-47', '+7 (384) 462-53-44', '+7 (384) 462-51-38'</t>
  </si>
  <si>
    <t>ОБЩЕСТВО С ОГРАНИЧЕННОЙ ОТВЕТСТВЕННОСТЬЮ "СТРОЙ ЭКСПЕРТ"</t>
  </si>
  <si>
    <t>"СТРОЙ ЭКСПЕРТ"</t>
  </si>
  <si>
    <t>4253047737</t>
  </si>
  <si>
    <t>654079, КЕМЕРОВСКАЯ ОБЛАСТЬ - КУЗБАСС, ГОРОД НОВОКУЗНЕЦК, УЛИЦА МИЧУРИНА (КУЙБЫШЕВСКИЙ Р-Н), ДОМ 9,..</t>
  </si>
  <si>
    <t>Саргсян Марлен Нверович</t>
  </si>
  <si>
    <t>s77@mail.ru'</t>
  </si>
  <si>
    <t>ОБЩЕСТВО С ОГРАНИЧЕННОЙ ОТВЕТСТВЕННОСТЬЮ "СИБИРЬ СТРОЙ"</t>
  </si>
  <si>
    <t>"СИБИРЬ СТРОЙ"</t>
  </si>
  <si>
    <t>4253048240</t>
  </si>
  <si>
    <t>654029, КЕМЕРОВСКАЯ ОБЛАСТЬ - КУЗБАСС, ГОРОД НОВОКУЗНЕЦК, УЛИЦА ВОКЗАЛЬНАЯ (КУЙБЫШЕВСКИЙ Р-Н), ДОМ 12, КОРПУС 2, ЭТ/ПОМ 2/27</t>
  </si>
  <si>
    <t>Шабалин Александр Александрович</t>
  </si>
  <si>
    <t>4217205233</t>
  </si>
  <si>
    <t>654007, Кемеровская область - Кузбасс, городской округ НОВОКУЗНЕЦКИЙ, Город НОВОКУЗНЕЦК, Р-Н ЦЕНТРАЛЬНЫЙ, ПР-КТ ПИОНЕРСКИЙ, Д. 30,..</t>
  </si>
  <si>
    <t>Тищенко Ирина Ивановна</t>
  </si>
  <si>
    <t>4253034294</t>
  </si>
  <si>
    <t>654005, КЕМЕРОВСКАЯ ОБЛАСТЬ - КУЗБАСС, Г. Новокузнецк, УЛ. ПРОИЗВОДСТВЕННАЯ (ЦЕНТРАЛЬНЫЙ Р-Н), Д. 13, К. 2</t>
  </si>
  <si>
    <t>Баланов Антон Сергеевич</t>
  </si>
  <si>
    <t>+7 (905) 918-96-98'</t>
  </si>
  <si>
    <t>ОБЩЕСТВО С ОГРАНИЧЕННОЙ ОТВЕТСТВЕННОСТЬЮ "ЖЕЛЕЗОБЕТОН-42"</t>
  </si>
  <si>
    <t>"ЖЕЛЕЗОБЕТОН-42"</t>
  </si>
  <si>
    <t>4217185636</t>
  </si>
  <si>
    <t>654006, КЕМЕРОВСКАЯ ОБЛАСТЬ - КУЗБАСС, НОВОКУЗНЕЦК Г, ЧАЙКИНОЙ УЛ, ДОМ 2А, КОРПУС 9, КАБИНЕТ 3</t>
  </si>
  <si>
    <t>Бойцов Роман Юрьевич</t>
  </si>
  <si>
    <t>464149@mail.ru'</t>
  </si>
  <si>
    <t>ОБЩЕСТВО С ОГРАНИЧЕННОЙ ОТВЕТСТВЕННОСТЬЮ "СПЕЦЖБИСТРОЙ"</t>
  </si>
  <si>
    <t>"СПЕЦЖБИСТРОЙ"</t>
  </si>
  <si>
    <t>4253044662</t>
  </si>
  <si>
    <t>654044, КЕМЕРОВСКАЯ ОБЛАСТЬ - КУЗБАСС, ГОРОД НОВОКУЗНЕЦК, УЛИЦА КОСЫГИНА (НОВОИЛЬИНСКИЙ Р-Н), ДОМ 55,..</t>
  </si>
  <si>
    <t>Кобзарь Сергей Александрович</t>
  </si>
  <si>
    <t>sgbis@mail.ru', 'ctk@yandex.ru'</t>
  </si>
  <si>
    <t>ОБЩЕСТВО С ОГРАНИЧЕННОЙ ОТВЕТСТВЕННОСТЬЮ "НОВОКУЗНЕЦКИЙ ЗАВОД СТРОИТЕЛЬНЫХ МАТЕРИАЛОВ И КОНСТРУКЦИЙ"</t>
  </si>
  <si>
    <t>"НОВОКУЗНЕЦКИЙ ЗАВОД СТРОИТЕЛЬНЫХ МАТЕРИАЛОВ И КОНСТРУКЦИЙ"</t>
  </si>
  <si>
    <t>4217201221</t>
  </si>
  <si>
    <t>654080, КЕМЕРОВСКАЯ ОБЛАСТЬ - КУЗБАСС, Г. Новокузнецк, ПР-КТ Н.С.ЕРМАКОВА (ЦЕНТРАЛЬНЫЙ Р-Н), Д. 30А, ОФИС 14</t>
  </si>
  <si>
    <t>Булгаков Дмитрий Вячеславович</t>
  </si>
  <si>
    <t>BULGAKOF@YANDEX.RU'</t>
  </si>
  <si>
    <t>ОБЩЕСТВО С ОГРАНИЧЕННОЙ ОТВЕТСТВЕННОСТЬЮ "ВИКАНТ"</t>
  </si>
  <si>
    <t>"ВИКАНТ"</t>
  </si>
  <si>
    <t>4205266739</t>
  </si>
  <si>
    <t>654000 , КЕМЕРОВСКАЯ ОБЛ.,Г НОВОКУЗНЕЦК,УЛ СЕЧЕНОВА,Д 13..</t>
  </si>
  <si>
    <t>Никифоров Антон Валерьевич</t>
  </si>
  <si>
    <t>+7 (384) 228-80-17'</t>
  </si>
  <si>
    <t>4253020661</t>
  </si>
  <si>
    <t>654041, КЕМЕРОВСКАЯ ОБЛАСТЬ - КУЗБАСС, Г. Новокузнецк, УЛ. ТРАНСПОРТНАЯ (КУЙБЫШЕВСКИЙ Р-Н), Д. 83, ОФИС 3.2</t>
  </si>
  <si>
    <t>Макаров Глеб Леонидович</t>
  </si>
  <si>
    <t>+7 (905) 968-31-62', '+7 (904) 968-18-16'</t>
  </si>
  <si>
    <t>ОБЩЕСТВО С ОГРАНИЧЕННОЙ ОТВЕТСТВЕННОСТЬЮ "ТОРГОВО-ТРАНСПОРТНАЯ КОМПАНИЯ"</t>
  </si>
  <si>
    <t>"ТОРГОВО-ТРАНСПОРТНАЯ КОМПАНИЯ"</t>
  </si>
  <si>
    <t>4252013703</t>
  </si>
  <si>
    <t>654201, КЕМЕРОВСКАЯ ОБЛАСТЬ - КУЗБАСС, РАЙОН НОВОКУЗНЕЦКИЙ, СЕЛО СОСНОВКА, УЛИЦА СОВЕТСКАЯ, ДОМ 61-2</t>
  </si>
  <si>
    <t>Трофимов Денис Николаевич</t>
  </si>
  <si>
    <t>+7 (905) 948-92-10'</t>
  </si>
  <si>
    <t>Общество с ограниченной ответственностью "Ригул"</t>
  </si>
  <si>
    <t>"Ригул"</t>
  </si>
  <si>
    <t>4217046255</t>
  </si>
  <si>
    <t>654080, КЕМЕРОВСКАЯ ОБЛАСТЬ - КУЗБАСС, Г. НОВОКУЗНЕЦК, УЛ. КИРОВА (ЦЕНТРАЛЬНЫЙ Р-Н), Д.99,..</t>
  </si>
  <si>
    <t>Бедарев Андрей Владимирович</t>
  </si>
  <si>
    <t>+7 (923) 630-07-00'</t>
  </si>
  <si>
    <t>ОБЩЕСТВО С ОГРАНИЧЕННОЙ ОТВЕТСТВЕННОСТЬЮ "НОВОКУЗНЕЦКИЙ ОПЫТНЫЙ ЗАВОД ТЕХНОЛОГИЧЕСКОГО ОБОРУДОВАНИЯ"</t>
  </si>
  <si>
    <t>"НОВОКУЗНЕЦКИЙ ОПЫТНЫЙ ЗАВОД ТЕХНОЛОГИЧЕСКОГО ОБОРУДОВАНИЯ"</t>
  </si>
  <si>
    <t>4253048280</t>
  </si>
  <si>
    <t>654038, КЕМЕРОВСКАЯ ОБЛАСТЬ - КУЗБАСС, Г. НОВОКУЗНЕЦК, УЛ. АВТОТРАНСПОРТНАЯ (ЗАВОДСКОЙ Р-Н), Д. 18</t>
  </si>
  <si>
    <t>Борискин Александр Юрьевич</t>
  </si>
  <si>
    <t>ОБЩЕСТВО С ОГРАНИЧЕННОЙ ОТВЕТСТВЕННОСТЬЮ "НК-СТРОЙПРОДУКТ"</t>
  </si>
  <si>
    <t>"НК-СТРОЙПРОДУКТ"</t>
  </si>
  <si>
    <t>4217157597</t>
  </si>
  <si>
    <t>654015, КЕМЕРОВСКАЯ ОБЛАСТЬ - КУЗБАСС, ГОРОД НОВОКУЗНЕЦК, УЛИЦА ТОЛМАЧЕВА (КУЗНЕЦКИЙ Р-Н), ДОМ 59Б</t>
  </si>
  <si>
    <t>Заруднева Наталья Александровна</t>
  </si>
  <si>
    <t>+7 (903) 909-68-10', '+7 (913) 431-55-99', '+7 (951) 595-31-52'</t>
  </si>
  <si>
    <t>finnam_resurs@mail.ru'</t>
  </si>
  <si>
    <t>"СТРОЙПРОМ"</t>
  </si>
  <si>
    <t>4253047712</t>
  </si>
  <si>
    <t>654034, Кемеровская область - Кузбасс, городской округ НОВОКУЗНЕЦКИЙ, Город НОВОКУЗНЕЦК, Р-Н КУЗНЕЦКИЙ, ПР-Д ТЕХНИЧЕСКИЙ, Д. 17, К. 7,</t>
  </si>
  <si>
    <t>Головко Наталья Викторовна</t>
  </si>
  <si>
    <t>ОБЩЕСТВО С ОГРАНИЧЕННОЙ ОТВЕТСТВЕННОСТЬЮ " ПРОМКОМБИНАТЪ"</t>
  </si>
  <si>
    <t>" ПРОМКОМБИНАТЪ"</t>
  </si>
  <si>
    <t>4222009273</t>
  </si>
  <si>
    <t>http://promkaltan.ru</t>
  </si>
  <si>
    <t>КЕМЕРОВСКАЯ ОБЛ.,Г КАЛТАН,УЛ КОМСОМОЛЬСКАЯ,Д 8</t>
  </si>
  <si>
    <t>Чунарев Дмитрий Федорович</t>
  </si>
  <si>
    <t>ОБЩЕСТВО С ОГРАНИЧЕННОЙ ОТВЕТСТВЕННОСТЬЮ "НОВОКУЗНЕЦКИЙ ЗАВОД СТРОИТЕЛЬНЫХ МАТЕРИАЛОВ"</t>
  </si>
  <si>
    <t>"НОВОКУЗНЕЦКИЙ ЗАВОД СТРОИТЕЛЬНЫХ МАТЕРИАЛОВ"</t>
  </si>
  <si>
    <t>4253045169</t>
  </si>
  <si>
    <t>654033, КЕМЕРОВСКАЯ ОБЛАСТЬ - КУЗБАСС, ГОРОД НОВОКУЗНЕЦК, УЛИЦА ЭСТАКАДНАЯ (ОРДЖОНИКИДЗЕВСКИЙ Р-Н), ДОМ 3А</t>
  </si>
  <si>
    <t>Абибула Олег Анатольевич</t>
  </si>
  <si>
    <t>ОБЩЕСТВО С ОГРАНИЧЕННОЙ ОТВЕТСТВЕННОСТЬЮ "ПРОИЗВОДСТВЕННАЯ КОМПАНИЯ "ЭЛИССА"</t>
  </si>
  <si>
    <t>"ПРОИЗВОДСТВЕННАЯ КОМПАНИЯ "ЭЛИССА"</t>
  </si>
  <si>
    <t>4253019480</t>
  </si>
  <si>
    <t>654033, КЕМЕРОВСКАЯ ОБЛАСТЬ - КУЗБАСС, ГОРОД НОВОКУЗНЕЦК, УЛИЦА ЭСТАКАДНАЯ (ОРДЖОНИКИДЗЕВСКИЙ Р-Н), ДОМ 11</t>
  </si>
  <si>
    <t>Чукин Алексей Александрович</t>
  </si>
  <si>
    <t>+7 (923) 928-04-49', '+7 (923) 463-54-08'</t>
  </si>
  <si>
    <t>elissa06@inbox.ru'</t>
  </si>
  <si>
    <t>ОБЩЕСТВО С ОГРАНИЧЕННОЙ ОТВЕТСТВЕННОСТЬЮ "СТИМУЛ"</t>
  </si>
  <si>
    <t>4214041393</t>
  </si>
  <si>
    <t>652845, КЕМЕРОВСКАЯ ОБЛАСТЬ - КУЗБАСС ОБЛ., Г. Мыски, УЛ. КУЗНЕЦКАЯ, Д. 3,..</t>
  </si>
  <si>
    <t>Кустов Александр Сергеевич</t>
  </si>
  <si>
    <t>4214039073</t>
  </si>
  <si>
    <t>652842, КЕМЕРОВСКАЯ ОБЛАСТЬ - КУЗБАСС, Г. МЫСКИ, УЛ. ЛЕВОЛОГОВАЯ, Д. 1, ОФИС 5</t>
  </si>
  <si>
    <t>Татару Дмитрий Ефимович</t>
  </si>
  <si>
    <t>+7 (906) 934-53-02', '+7 (905) 969-06-66'</t>
  </si>
  <si>
    <t>2457076860</t>
  </si>
  <si>
    <t>663302, КРАСНОЯРСКИЙ КРАЙ, НОРИЛЬСК Г, КОМСОМОЛЬСКАЯ УЛ, ДОМ 12, ОФИС 25</t>
  </si>
  <si>
    <t>Цатурян Арсен Варабович</t>
  </si>
  <si>
    <t>+7 (923) 343-54-69', '+7 (913) 160-30-82'</t>
  </si>
  <si>
    <t>sanata_73@bk.ru'</t>
  </si>
  <si>
    <t>2457064952</t>
  </si>
  <si>
    <t>663318, Красноярский край, городской округ ГОРОД НОРИЛЬСК, Город НОРИЛЬСК, УЛ ОКТЯБРЬСКАЯ, Д. 26А,</t>
  </si>
  <si>
    <t>Пименов Алексей Викторович</t>
  </si>
  <si>
    <t>ОБЩЕСТВО С ОГРАНИЧЕННОЙ ОТВЕТСТВЕННОСТЬЮ "РЕМОНТНО-СТРОИТЕЛЬНОЕ ПРЕДПРИЯТИЕ ЖИЛИЩНО-КОММУНАЛЬНОГО ХОЗЯЙСТВА ВЕРА"</t>
  </si>
  <si>
    <t>"РЕМОНТНО-СТРОИТЕЛЬНОЕ ПРЕДПРИЯТИЕ ЖИЛИЩНО-КОММУНАЛЬНОГО ХОЗЯЙСТВА ВЕРА"</t>
  </si>
  <si>
    <t>1900004970</t>
  </si>
  <si>
    <t>655211, Республика Хакасия, ШИРИНСКИЙ, 2 КОММУНАРОВСКИЙ СЕЛЬСОВЕТ, С КОММУНАР, УЛ 50 ЛЕТ ВЛКСМ, Д. 20</t>
  </si>
  <si>
    <t>Скопин Анатолий Евгеньевич</t>
  </si>
  <si>
    <t>SKOPIN67@LIST.RU'</t>
  </si>
  <si>
    <t>ОБЩЕСТВО С ОГРАНИЧЕННОЙ ОТВЕТСТВЕННОСТЬЮ " ДЕКОР КАМЕНЬ "</t>
  </si>
  <si>
    <t>" ДЕКОР КАМЕНЬ "</t>
  </si>
  <si>
    <t>1903024124</t>
  </si>
  <si>
    <t>655154, ХАКАСИЯ РЕСПУБЛИКА, ГОРОД ЧЕРНОГОРСК, УЛИЦА МИРА, ДОМ 014,..</t>
  </si>
  <si>
    <t>Каратаев Александр Юрьевич</t>
  </si>
  <si>
    <t>+7 (950) 996-51-41'</t>
  </si>
  <si>
    <t>ОБЩЕСТВО С ОГРАНИЧЕННОЙ ОТВЕТСТВЕННОСТЬЮ "ЖЕЛЕЗОБЕТОН СИБИРИ"</t>
  </si>
  <si>
    <t>"ЖЕЛЕЗОБЕТОН СИБИРИ"</t>
  </si>
  <si>
    <t>1903027421</t>
  </si>
  <si>
    <t>655163, ХАКАСИЯ РЕСПУБЛИКА, ГОРОД ЧЕРНОГОРСК, УЛИЦА ГЕНЕРАЛА ТИХОНОВА, ЗДАНИЕ 3, ОФИС 24</t>
  </si>
  <si>
    <t>Гартман Алексей Анатольевич</t>
  </si>
  <si>
    <t>bigdirector@mail.ru', 'bigdirector@mail.ru'</t>
  </si>
  <si>
    <t>ОБЩЕСТВО С ОГРАНИЧЕННОЙ ОТВЕТСТВЕННОСТЬЮ "КИРПИЧНЫЙ ЗАВОД КОЛИЗЕЙ"</t>
  </si>
  <si>
    <t>"КИРПИЧНЫЙ ЗАВОД КОЛИЗЕЙ"</t>
  </si>
  <si>
    <t>0400009431</t>
  </si>
  <si>
    <t>655163, ХАКАСИЯ РЕСП., Г. Черногорск, УЛ. ЭНЕРГЕТИКОВ, ВЛД. 5В</t>
  </si>
  <si>
    <t>Гофферберг Денис Владимирович</t>
  </si>
  <si>
    <t>kirpichgrad@mail.ru'</t>
  </si>
  <si>
    <t>ОБЩЕСТВО С ОГРАНИЧЕННОЙ ОТВЕТСТВЕННОСТЬЮ "АТРИУМ 88"</t>
  </si>
  <si>
    <t>"АТРИУМ 88"</t>
  </si>
  <si>
    <t>1901144987</t>
  </si>
  <si>
    <t>655650, ХАКАСИЯ РЕСПУБЛИКА, РАЙОН АЛТАЙСКИЙ, СЕЛО БЕЛЫЙ ЯР, УЛИЦА МИРА, ДОМ 8В, КАБИНЕТ 2</t>
  </si>
  <si>
    <t>Борькин Станислав Дмитриевич</t>
  </si>
  <si>
    <t>1901074634</t>
  </si>
  <si>
    <t>Г АБАКАН,УЛ СОВЕТСКАЯ Д 180</t>
  </si>
  <si>
    <t>Кузьмишко Ольга Станиславовна</t>
  </si>
  <si>
    <t>ОБЩЕСТВО С ОГРАНИЧЕННОЙ ОТВЕТСТВЕННОСТЬЮ "ЖБИ-19"</t>
  </si>
  <si>
    <t>"ЖБИ-19"</t>
  </si>
  <si>
    <t>1901130247</t>
  </si>
  <si>
    <t>655008, ХАКАСИЯ РЕСПУБЛИКА, ГОРОД АБАКАН, УЛИЦА СОВЕТСКАЯ, ДОМ 180В, ЛИТЕРА А, ОФИС 3</t>
  </si>
  <si>
    <t>Гановская Марина Игоревна</t>
  </si>
  <si>
    <t>+7 (902) 467-19-01', '+7 (983) 197-00-00'</t>
  </si>
  <si>
    <t>1902027877</t>
  </si>
  <si>
    <t>655008, ХАКАСИЯ РЕСПУБЛИКА, ГОРОД АБАКАН, УЛИЦА СКЛАДСКАЯ, ДОМ 9А, СТРОЕНИЕ 1, КАБИНЕТ 306</t>
  </si>
  <si>
    <t>Соловьёв Виталий Иванович</t>
  </si>
  <si>
    <t>ОБЩЕСТВО С ОГРАНИЧЕННОЙ ОТВЕТСТВЕННОСТЬЮ "ИРКУС"</t>
  </si>
  <si>
    <t>"ИРКУС"</t>
  </si>
  <si>
    <t>1901138052</t>
  </si>
  <si>
    <t>655008, ХАКАСИЯ РЕСПУБЛИКА, ГОРОД АБАКАН, УЛИЦА СКЛАДСКАЯ, ДОМ 15, ЛИТЕР А1</t>
  </si>
  <si>
    <t>Путилов Егор Михайлович</t>
  </si>
  <si>
    <t>bisness@mail.ru', 'Baksentiy@mail.ru'</t>
  </si>
  <si>
    <t>ОБЩЕСТВО С ОГРАНИЧЕННОЙ ОТВЕТСТВЕННОСТЬЮ ЗСМ "НЬЮ ЛАЙФ"</t>
  </si>
  <si>
    <t>ЗСМ "НЬЮ ЛАЙФ"</t>
  </si>
  <si>
    <t>1900003670</t>
  </si>
  <si>
    <t>655008, ХАКАСИЯ РЕСП., Г. Абакан, УЛ. СКЛАДСКАЯ, Д. 6-Ж, ЛИТЕР Б</t>
  </si>
  <si>
    <t>Смирнов Валерий Викторович</t>
  </si>
  <si>
    <t>ОБЩЕСТВО С ОГРАНИЧЕННОЙ ОТВЕТСТВЕННОСТЬЮ "ЛЭП-МАРКЕТ"</t>
  </si>
  <si>
    <t>"ЛЭП-МАРКЕТ"</t>
  </si>
  <si>
    <t>1901139592</t>
  </si>
  <si>
    <t>655015, ХАКАСИЯ РЕСПУБЛИКА, Г. АБАКАН, УЛ. ПЕРВАЯ, Д. 3</t>
  </si>
  <si>
    <t>Панов Максим Петрович</t>
  </si>
  <si>
    <t>yagodina08@mail.ru'</t>
  </si>
  <si>
    <t>ОБЩЕСТВО С ОГРАНИЧЕННОЙ ОТВЕТСТВЕННОСТЬЮ "ВЫМПЕЛСТРОЙ-СИБИРЬ"</t>
  </si>
  <si>
    <t>"ВЫМПЕЛСТРОЙ-СИБИРЬ"</t>
  </si>
  <si>
    <t>1900006060</t>
  </si>
  <si>
    <t>655008, Республика Хакасия, городской округ ГОРОД АБАКАН, Город АБАКАН, УЛ СОВЕТСКАЯ, Д. 209А, СТР. 1, ПОМЕЩ. 4Н, ОФИС 2</t>
  </si>
  <si>
    <t>Демидова Елена Викторовна</t>
  </si>
  <si>
    <t>ОБЩЕСТВО С ОГРАНИЧЕННОЙ ОТВЕТСТВЕННОСТЬЮ "АГРОПРОМСТРОЙ"</t>
  </si>
  <si>
    <t>"АГРОПРОМСТРОЙ"</t>
  </si>
  <si>
    <t>1902026489</t>
  </si>
  <si>
    <t>655603, ХАКАСИЯ РЕСПУБЛИКА, ГОРОД САЯНОГОРСК, УЛИЦА ИНДУСТРИАЛЬНАЯ, ДОМ 23Ж</t>
  </si>
  <si>
    <t>Кремпин Сергей Валентинович</t>
  </si>
  <si>
    <t>+7 (902) 467-09-85'</t>
  </si>
  <si>
    <t>ОБЩЕСТВО С ОГРАНИЧЕННОЙ ОТВЕТСТВЕННОСТЬЮ "РАДОМИР"</t>
  </si>
  <si>
    <t>"РАДОМИР"</t>
  </si>
  <si>
    <t>1901124229</t>
  </si>
  <si>
    <t>655014, ХАКАСИЯ РЕСПУБЛИКА, ГОРОД АБАКАН, УЛИЦА ЦИОЛКОВСКОГО, ДОМ 23</t>
  </si>
  <si>
    <t>Миллер Константин Александрович</t>
  </si>
  <si>
    <t>+7 (906) 952-42-20'</t>
  </si>
  <si>
    <t>m72@bk.ru', 'pochufarova@list.ru', 'pochufarova@list.ru'</t>
  </si>
  <si>
    <t>ОБЩЕСТВО С ОГРАНИЧЕННОЙ ОТВЕТСТВЕННОСТЬЮ "ХАКАССКАЯ РЕМОНТНО-СТРОИТЕЛЬНАЯ КОМПАНИЯ"</t>
  </si>
  <si>
    <t>"ХАКАССКАЯ РЕМОНТНО-СТРОИТЕЛЬНАЯ КОМПАНИЯ"</t>
  </si>
  <si>
    <t>1901125060</t>
  </si>
  <si>
    <t>655004, ХАКАСИЯ РЕСПУБЛИКА, Г. АБАКАН, УЛ. ТУВИНСКАЯ, Д. 5,..</t>
  </si>
  <si>
    <t>Истратий Александр Сергеевич</t>
  </si>
  <si>
    <t>+7 (983) 194-73-27', '+7 (983) 193-20-82'</t>
  </si>
  <si>
    <t>falec2015@yandex.ru'</t>
  </si>
  <si>
    <t>ОБЩЕСТВО С ОГРАНИЧЕННОЙ ОТВЕТСТВЕННОСТЬЮ "ЖБИ Райков"</t>
  </si>
  <si>
    <t>"ЖБИ Райков"</t>
  </si>
  <si>
    <t>1901095049</t>
  </si>
  <si>
    <t>655004, ХАКАСИЯ РЕСПУБЛИКА, ГОРОД АБАКАН, УЛИЦА ИТЫГИНА, 20А</t>
  </si>
  <si>
    <t>Шалагин Александр Викторович</t>
  </si>
  <si>
    <t>ОБЩЕСТВО С ОГРАНИЧЕННОЙ ОТВЕТСТВЕННОСТЬЮ "СИБИРСКИЙ ГАЗОБЕТОН"</t>
  </si>
  <si>
    <t>"СИБИРСКИЙ ГАЗОБЕТОН"</t>
  </si>
  <si>
    <t>1900006938</t>
  </si>
  <si>
    <t>655016, Республика Хакасия, ГОРОД АБАКАН, Г АБАКАН, ПР-КТ ДРУЖБЫ НАРОДОВ, Д. 43А</t>
  </si>
  <si>
    <t>Кутуков Федор Федорович</t>
  </si>
  <si>
    <t>ОБЩЕСТВО С ОГРАНИЧЕННОЙ ОТВЕТСТВЕННОСТЬЮ "СТРОЙМАСТЕР"</t>
  </si>
  <si>
    <t>"СТРОЙМАСТЕР"</t>
  </si>
  <si>
    <t>1902027429</t>
  </si>
  <si>
    <t>655603, ХАКАСИЯ РЕСПУБЛИКА, ГОРОД САЯНОГОРСК, МИКРОРАЙОН ЕНИСЕЙСКИЙ, ДОМ 9,..</t>
  </si>
  <si>
    <t>Касьянова Ольга Николаевна</t>
  </si>
  <si>
    <t>sm20882@mail.ru'</t>
  </si>
  <si>
    <t>ОБЩЕСТВО С ОГРАНИЧЕННОЙ ОТВЕТСТВЕННОСТЬЮ "ПРОИЗВОДСТВЕННАЯ КОМПАНИЯ "САЯНЮВИПРОМ"</t>
  </si>
  <si>
    <t>"ПРОИЗВОДСТВЕННАЯ КОМПАНИЯ "САЯНЮВИПРОМ"</t>
  </si>
  <si>
    <t>1901083283</t>
  </si>
  <si>
    <t>655009, ХАКАСИЯ РЕСПУБЛИКА, ГОРОД АБАКАН, УЛИЦА БЕЛОЯРСКАЯ, 50</t>
  </si>
  <si>
    <t>Панферов Игорь Иванович</t>
  </si>
  <si>
    <t>+7 (913) 443-45-32'</t>
  </si>
  <si>
    <t>ОБЩЕСТВО С ОГРАНИЧЕННОЙ ОТВЕТСТВЕННОСТЬЮ "ПРОИЗВОДСТВЕННАЯ КОМПАНИЯ "ПромБетонПоставка"</t>
  </si>
  <si>
    <t>"ПРОИЗВОДСТВЕННАЯ КОМПАНИЯ "ПромБетонПоставка"</t>
  </si>
  <si>
    <t>1901102698</t>
  </si>
  <si>
    <t>655009, ХАКАСИЯ РЕСПУБЛИКА, ГОРОД АБАКАН, УЛИЦА БЕЛОЯРСКАЯ, ДОМ 50</t>
  </si>
  <si>
    <t>supra@mail.ru', 'ipanferovi@rambler.ru'</t>
  </si>
  <si>
    <t>ОБЩЕСТВО С ОГРАНИЧЕННОЙ ОТВЕТСТВЕННОСТЬЮ "КВАЗАР"</t>
  </si>
  <si>
    <t>"КВАЗАР"</t>
  </si>
  <si>
    <t>1901111999</t>
  </si>
  <si>
    <t>655010, ХАКАСИЯ РЕСПУБЛИКА, ГОРОД АБАКАН, УЛИЦА ТОРОСОВА, 23, 97</t>
  </si>
  <si>
    <t>Тарасов Денис Сергеевич</t>
  </si>
  <si>
    <t>falec2015@yandex.ru', 'st_denis@mail.ru'</t>
  </si>
  <si>
    <t>ОБЩЕСТВО С ОГРАНИЧЕННОЙ ОТВЕТСТВЕННОСТЬЮ "ЗИП"</t>
  </si>
  <si>
    <t>"ЗИП"</t>
  </si>
  <si>
    <t>1901022883</t>
  </si>
  <si>
    <t>Г АБАКАН,УЛ МИРА Д 1</t>
  </si>
  <si>
    <t>1901132533</t>
  </si>
  <si>
    <t>655009, ХАКАСИЯ РЕСПУБЛИКА, ГОРОД АБАКАН, УЛИЦА АСКИЗСКАЯ, ДОМ 60</t>
  </si>
  <si>
    <t>Ковалева Яна Игоревна</t>
  </si>
  <si>
    <t>+7 (913) 050-99-66'</t>
  </si>
  <si>
    <t>"АЛГОРИТМ"</t>
  </si>
  <si>
    <t>1901121316</t>
  </si>
  <si>
    <t>655009, ХАКАСИЯ РЕСПУБЛИКА, ГОРОД АБАКАН, УЛИЦА АСКИЗСКАЯ, 202А, 2, 64 Н</t>
  </si>
  <si>
    <t>bsk2012@list.ru', 'bsk2012@mail.ru', 'ugsibstroyi@bk.ru', 'toma@mail.ru'</t>
  </si>
  <si>
    <t>ОБЩЕСТВО С ОГРАНИЧЕННОЙ ОТВЕТСТВЕННОСТЬЮ "ДОМА И БАНЬКИ"</t>
  </si>
  <si>
    <t>"ДОМА И БАНЬКИ"</t>
  </si>
  <si>
    <t>1901137098</t>
  </si>
  <si>
    <t>655007, ХАКАСИЯ РЕСПУБЛИКА, Г. АБАКАН, УЛ. КИРПИЧНАЯ, Д. 39Л, ЛИТЕРА ББ1/2, ОФИС 1</t>
  </si>
  <si>
    <t>Коняшкина Марина Михайловна</t>
  </si>
  <si>
    <t>alfakonsalting@bk.ru', 'banki@mail.ru'</t>
  </si>
  <si>
    <t>1901140534</t>
  </si>
  <si>
    <t>655018, ХАКАСИЯ РЕСПУБЛИКА, ГОРОД АБАКАН, УЛИЦА ЭНГЕЛЬСА, ДОМ 42,..</t>
  </si>
  <si>
    <t>Недбаева Мария Анатольевна</t>
  </si>
  <si>
    <t>ОБЩЕСТВО С ОГРАНИЧЕННОЙ ОТВЕТСТВЕННОСТЬЮ ПРОИЗВОДСТВЕННАЯ КОМПАНИЯ "БАСТИОН"</t>
  </si>
  <si>
    <t>ПРОИЗВОДСТВЕННАЯ КОМПАНИЯ "БАСТИОН"</t>
  </si>
  <si>
    <t>1901127942</t>
  </si>
  <si>
    <t>655007, ХАКАСИЯ РЕСПУБЛИКА, ГОРОД АБАКАН, УЛИЦА КИРПИЧНАЯ, ДОМ 5</t>
  </si>
  <si>
    <t>Ладаев Андрей Викторович</t>
  </si>
  <si>
    <t>+7 (908) 326-26-05'</t>
  </si>
  <si>
    <t>avangardbyx@yandex.ru', 'bastion313100@mail.ru', 'tokana@yandex.ru'</t>
  </si>
  <si>
    <t>ОБЩЕСТВО С ОГРАНИЧЕННОЙ ОТВЕТСТВЕННОСТЬЮ "АБАКАНСКИЙ ЖЕЛЕЗОБЕТОННЫЙ ЗАВОД"</t>
  </si>
  <si>
    <t>"АБАКАНСКИЙ ЖЕЛЕЗОБЕТОННЫЙ ЗАВОД"</t>
  </si>
  <si>
    <t>1901094119</t>
  </si>
  <si>
    <t>http://beton-abakan.ru</t>
  </si>
  <si>
    <t>655015, ХАКАСИЯ РЕСПУБЛИКА, ГОРОД АБАКАН, УЛИЦА БУДЕННОГО, 88Е</t>
  </si>
  <si>
    <t>Итяксов Андрей Николаевич</t>
  </si>
  <si>
    <t>+7 (908) 300-81-45', '+7 (983) 196-63-07'</t>
  </si>
  <si>
    <t>ОБЩЕСТВО С ОГРАНИЧЕННОЙ ОТВЕТСТВЕННОСТЬЮ "АБАКАНСКИЙ ЖЕЛЕЗОБЕТОННЫЙ ЗАВОД И КОМПАНИЯ"</t>
  </si>
  <si>
    <t>"АБАКАНСКИЙ ЖЕЛЕЗОБЕТОННЫЙ ЗАВОД И КОМПАНИЯ"</t>
  </si>
  <si>
    <t>1901111131</t>
  </si>
  <si>
    <t>655015, ХАКАСИЯ РЕСПУБЛИКА, Г. АБАКАН, УЛ. БУДЕННОГО, Д.88 Е</t>
  </si>
  <si>
    <t>Кудерко Александр Игнатьевич</t>
  </si>
  <si>
    <t>+7 (923) 590-01-01', '+7 (913) 050-34-82', '+7 (983) 199-31-76'</t>
  </si>
  <si>
    <t>1901132854</t>
  </si>
  <si>
    <t>655015, ХАКАСИЯ РЕСПУБЛИКА, ГОРОД АБАКАН, УЛИЦА БУДЕННОГО, ДОМ 88Е</t>
  </si>
  <si>
    <t>Ещин Виктор Семенович</t>
  </si>
  <si>
    <t>+7 (902) 996-31-91'</t>
  </si>
  <si>
    <t>ОБЩЕСТВО С ОГРАНИЧЕННОЙ ОТВЕТСТВЕННОСТЬЮ "ФАСТИКС"</t>
  </si>
  <si>
    <t>"ФАСТИКС"</t>
  </si>
  <si>
    <t>2422392110</t>
  </si>
  <si>
    <t>662660, КРАСНОЯРСКИЙ КРАЙ, Р-Н КРАСНОТУРАНСКИЙ, С КРАСНОТУРАНСК, УЛ. КОСМОНАВТОВ, Д.76</t>
  </si>
  <si>
    <t>Савич Александр Сергеевич</t>
  </si>
  <si>
    <t>+7 (913) 410-84-61'</t>
  </si>
  <si>
    <t>89135420315@mail.ru'</t>
  </si>
  <si>
    <t>ОБЩЕСТВО С ОГРАНИЧЕННОЙ ОТВЕТСТВЕННОСТЬЮ "ЖБИ+"</t>
  </si>
  <si>
    <t>"ЖБИ+"</t>
  </si>
  <si>
    <t>2455033853</t>
  </si>
  <si>
    <t>662610, Красноярский край, г Минусинск, ул. Гагарина, д. 9,..</t>
  </si>
  <si>
    <t>Голин Павел Николаевич</t>
  </si>
  <si>
    <t>ОБЩЕСТВО С ОГРАНИЧЕННОЙ ОТВЕТСТВЕННОСТЬЮ "МЗСМ24"</t>
  </si>
  <si>
    <t>"МЗСМ24"</t>
  </si>
  <si>
    <t>2455038330</t>
  </si>
  <si>
    <t>662601, Красноярский край, городской округ ГОРОД МИНУСИНСК, Город МИНУСИНСК, УЛ ПОДГОРНАЯ, Д. 56А,</t>
  </si>
  <si>
    <t>Огурцова Наталья Петровна</t>
  </si>
  <si>
    <t>+7 (913) 046-62-38'</t>
  </si>
  <si>
    <t>ОБЩЕСТВО С ОГРАНИЧЕННОЙ ОТВЕТСТВЕННОСТЬЮ "РОСТБИЛД"</t>
  </si>
  <si>
    <t>"РОСТБИЛД"</t>
  </si>
  <si>
    <t>2455034656</t>
  </si>
  <si>
    <t>662607, КРАСНОЯРСКИЙ КРАЙ, Г. МИНУСИНСК, УЛ. АРХАНГЕЛЬСКАЯ, Д. 79</t>
  </si>
  <si>
    <t>Романченко Дмитрий Викторович</t>
  </si>
  <si>
    <t>+7 (953) 257-65-44', '+7 (913) 178-58-53'</t>
  </si>
  <si>
    <t>romanchenkomarina@yandex.ru'</t>
  </si>
  <si>
    <t>2413007971</t>
  </si>
  <si>
    <t>662820, КРАСНОЯРСКИЙ КРАЙ, РАЙОН ЕРМАКОВСКИЙ, СЕЛО ЕРМАКОВСКОЕ, УЛИЦА ДАЛЬНЯЯ, ДОМ 32</t>
  </si>
  <si>
    <t>Нецерин Григорий Николаевич</t>
  </si>
  <si>
    <t>+7 (923) 356-88-81'</t>
  </si>
  <si>
    <t>1901118610</t>
  </si>
  <si>
    <t>667010, ТЫВА РЕСП., Г. Кызыл, УЛ. КАЛИНИНА, Д. 17, ПОМЕЩ. 7</t>
  </si>
  <si>
    <t>bsk2012@list.ru', 'bsk2012@mail.ru', 'ugsibstroyi@bk.ru'</t>
  </si>
  <si>
    <t>ОБЩЕСТВО С ОГРАНИЧЕННОЙ ОТВЕТСТВЕННОСТЬЮ "ТРАНСНЕДРО"</t>
  </si>
  <si>
    <t>"ТРАНСНЕДРО"</t>
  </si>
  <si>
    <t>1701058770</t>
  </si>
  <si>
    <t>667000, ТЫВА РЕСПУБЛИКА, Г. КЫЗЫЛ, УЛ. КОЧЕТОВА, Д. 55/1,..</t>
  </si>
  <si>
    <t>Монгуш Дайза Байбекович</t>
  </si>
  <si>
    <t>+7 (923) 381-48-30'</t>
  </si>
  <si>
    <t>ОБЩЕСТВО С ОГРАНИЧЕННОЙ ОТВЕТСТВЕННОСТЬЮ "ХО ГРУПП"</t>
  </si>
  <si>
    <t>"ХО ГРУПП"</t>
  </si>
  <si>
    <t>1701064195</t>
  </si>
  <si>
    <t>667008, ТЫВА РЕСПУБЛИКА, ГОРОД КЫЗЫЛ, УЛИЦА УБСУ-НУРСКАЯ (СПУТНИК МКР.), ДОМ 2,..</t>
  </si>
  <si>
    <t>Хертек Маргарита Макаровна</t>
  </si>
  <si>
    <t>ОБЩЕСТВО С ОГРАНИЧЕННОЙ ОТВЕТСТВЕННОСТЬЮ "СТРОИТЕЛЬНАЯ ГРУППА"</t>
  </si>
  <si>
    <t>"СТРОИТЕЛЬНАЯ ГРУППА"</t>
  </si>
  <si>
    <t>1717010847</t>
  </si>
  <si>
    <t>667901, Республика Тыва, Кызылский кожуун, пгт Каа-Хем, ул Таежная, д 60, корп а, к 2</t>
  </si>
  <si>
    <t>Серен Шораан Владимирович</t>
  </si>
  <si>
    <t>+7 (923) 262-59-69'</t>
  </si>
  <si>
    <t>shoraan@mail.ru'</t>
  </si>
  <si>
    <t>100.100</t>
  </si>
  <si>
    <t>ООО "ГОРНОЗАВОДСКЦЕМЕНТ"</t>
  </si>
  <si>
    <t>100.1,100</t>
  </si>
  <si>
    <t>АО "ИСКИТИМЦЕМЕНТ"</t>
  </si>
  <si>
    <t>100.2,100</t>
  </si>
  <si>
    <t>ООО "КАМЧАТЦЕМЕНТ"</t>
  </si>
  <si>
    <t>100.3,100</t>
  </si>
  <si>
    <t>АО "КАВКАЗЦЕМЕНТ"</t>
  </si>
  <si>
    <t>100.4,100</t>
  </si>
  <si>
    <t>ООО «ГЛАЦЕМ» (Ленинградская область, г.Волхов)</t>
  </si>
  <si>
    <t>100.5,100</t>
  </si>
  <si>
    <t>ООО «СЛК ЦЕМЕНТ» (Ф-Л "КОРКИНО", Ф-Л "СУХОЛОЖСКЦЕМЕНТ")</t>
  </si>
  <si>
    <t>100.6,100</t>
  </si>
  <si>
    <t>ООО "КРАСНОЯРСКИЙ ЦЕМЕНТ"</t>
  </si>
  <si>
    <t>100.7,100</t>
  </si>
  <si>
    <t>ЗАО "КАТАВСКИЙ ЦЕМЕНТ"</t>
  </si>
  <si>
    <t>100.8,100</t>
  </si>
  <si>
    <t>АО "ЛИПЕЦКЦЕМЕНТ"</t>
  </si>
  <si>
    <t>100.9,100</t>
  </si>
  <si>
    <t>АО "МАЛЬЦОВСКИЙ ПОРТЛАНДЦЕМЕНТ"</t>
  </si>
  <si>
    <t>ООО "МАГНИТОГОРСКИЙ ЦЕМЕНТНО-ОГНЕУПОРНЫЙ ЗАВОД"</t>
  </si>
  <si>
    <t>100.11,100</t>
  </si>
  <si>
    <t>АО "МИХАЙЛОВЦЕМЕНТ"</t>
  </si>
  <si>
    <t>100.12,100</t>
  </si>
  <si>
    <t>ПАО "МОРДОВЦЕМЕНТ"</t>
  </si>
  <si>
    <t>100.13,100</t>
  </si>
  <si>
    <t>ОАО "НОВОРОСЦЕМЕНТ"</t>
  </si>
  <si>
    <t>100.14,100</t>
  </si>
  <si>
    <t>АО "НЕВЬЯНСКИЙ ЦЕМЕНТНИК"</t>
  </si>
  <si>
    <t>100.15,100</t>
  </si>
  <si>
    <t>АО "НОВОТРОИЦКИЙ ЦЕМЕНТНЫЙ ЗАВОД"</t>
  </si>
  <si>
    <t>100.16,100</t>
  </si>
  <si>
    <t>"Красноуфимский гравий" ООО</t>
  </si>
  <si>
    <t>Производство заполнителей для тяжелого бетона</t>
  </si>
  <si>
    <t>100.17,100</t>
  </si>
  <si>
    <t>"Сильницкий карьер" ОАО</t>
  </si>
  <si>
    <t>100.18,100</t>
  </si>
  <si>
    <t>"Андреедмитриевский щебеночный завод" ООО</t>
  </si>
  <si>
    <t>100.19,100</t>
  </si>
  <si>
    <t>"ТК "Неруд" ООО</t>
  </si>
  <si>
    <t>"Стройкоплект-К" ООО</t>
  </si>
  <si>
    <t>100.21,100</t>
  </si>
  <si>
    <t>"Репнянское КУ" ООО</t>
  </si>
  <si>
    <t>100.22,100</t>
  </si>
  <si>
    <t>100.23,100</t>
  </si>
  <si>
    <t>"Павловск Неруд" ОАО</t>
  </si>
  <si>
    <t>100.24,100</t>
  </si>
  <si>
    <t>"Гранит" ООО</t>
  </si>
  <si>
    <t>100.25,100</t>
  </si>
  <si>
    <t>"Онега Неруд" ООО</t>
  </si>
  <si>
    <t>100.26,100</t>
  </si>
  <si>
    <t>"Донской камень" ООО</t>
  </si>
  <si>
    <t>100.27,100</t>
  </si>
  <si>
    <t>"Камнереченский щебеночный завод" филиал ОАО ПНК"</t>
  </si>
  <si>
    <t>100.28,100</t>
  </si>
  <si>
    <t>"Гранит" РУПП</t>
  </si>
  <si>
    <t>100.29,100</t>
  </si>
  <si>
    <t>"Восточные Берники" ООО</t>
  </si>
  <si>
    <t>"ВСВ" ООО</t>
  </si>
  <si>
    <t>100.31,100</t>
  </si>
  <si>
    <t>"ТЛК "ВВ" ООО</t>
  </si>
  <si>
    <t>100.32,100</t>
  </si>
  <si>
    <t>"Искитимцемент" ОАО</t>
  </si>
  <si>
    <t>100.33,100</t>
  </si>
  <si>
    <t>"Оренбургские минералы" ОАО</t>
  </si>
  <si>
    <t>100.34,100</t>
  </si>
  <si>
    <t>"Транс-Сервис" ООО</t>
  </si>
  <si>
    <t>100.35,100</t>
  </si>
  <si>
    <t>"Щебеночный завод "Курьян" фл. АО "БСМ"</t>
  </si>
  <si>
    <t>100.36,100</t>
  </si>
  <si>
    <t>"Карелминерал" ООО</t>
  </si>
  <si>
    <t>100.37,100</t>
  </si>
  <si>
    <t>"Теплоозёрскцемент" ОАО</t>
  </si>
  <si>
    <t>100.38,100</t>
  </si>
  <si>
    <t>"Северский гранитный карьер" АО</t>
  </si>
  <si>
    <t>100.39,100</t>
  </si>
  <si>
    <t>"Вяземский щебеночный завод" ООО</t>
  </si>
  <si>
    <t>100.41,100</t>
  </si>
  <si>
    <t>100.42,100</t>
  </si>
  <si>
    <t>100.43,100</t>
  </si>
  <si>
    <t>"Выбор-С" ООО</t>
  </si>
  <si>
    <t>100.44,100</t>
  </si>
  <si>
    <t>"Мостовской ДСЗ" ОАО</t>
  </si>
  <si>
    <t>100.45,100</t>
  </si>
  <si>
    <t>100.46,100</t>
  </si>
  <si>
    <t>"Омегатранс" ООО</t>
  </si>
  <si>
    <t>100.47,100</t>
  </si>
  <si>
    <t>"ГеоНеруд" ПАО</t>
  </si>
  <si>
    <t>100.48,100</t>
  </si>
  <si>
    <t>"Янгелевский ГОК" ОАО</t>
  </si>
  <si>
    <t>100.49,100</t>
  </si>
  <si>
    <t>"ПП "Полевской ДОЗ" ООО</t>
  </si>
  <si>
    <t>"Порт Пермь" ООО</t>
  </si>
  <si>
    <t>100.51,100</t>
  </si>
  <si>
    <t>100.52,100</t>
  </si>
  <si>
    <t>«Барзасский карьер» - «Участок ЯЯ»</t>
  </si>
  <si>
    <t>100.53,100</t>
  </si>
  <si>
    <t>"Омречпорт" ОАО</t>
  </si>
  <si>
    <t>100.54,100</t>
  </si>
  <si>
    <t>"Витязь" ООО</t>
  </si>
  <si>
    <t>100.55,100</t>
  </si>
  <si>
    <t>100.56,100</t>
  </si>
  <si>
    <t>"Карабашмедь" ЗАО</t>
  </si>
  <si>
    <t>100.57,100</t>
  </si>
  <si>
    <t>"Хромцовский карьер" ОАО</t>
  </si>
  <si>
    <t>100.58,100</t>
  </si>
  <si>
    <t>"Инерт-Империя" ООО</t>
  </si>
  <si>
    <t>100.59,100</t>
  </si>
  <si>
    <t>"Новеврощебень" ООО</t>
  </si>
  <si>
    <t>"Ин Ма" ООО</t>
  </si>
  <si>
    <t>100.61,100</t>
  </si>
  <si>
    <t>"Экспресс Сервис-ДВ" ООО</t>
  </si>
  <si>
    <t>100.62,100</t>
  </si>
  <si>
    <t>"Беломорская нерудная компания" ООО</t>
  </si>
  <si>
    <t>100.63,100</t>
  </si>
  <si>
    <t>"СУМЗ" ОАО</t>
  </si>
  <si>
    <t>100.64,100</t>
  </si>
  <si>
    <t>"Угранский карьер" ООО</t>
  </si>
  <si>
    <t>100.65,100</t>
  </si>
  <si>
    <t>"ХК Итера" ООО</t>
  </si>
  <si>
    <t>100.66,100</t>
  </si>
  <si>
    <t>100.67,100</t>
  </si>
  <si>
    <t>"Белпром" ООО</t>
  </si>
  <si>
    <t>100.68,100</t>
  </si>
  <si>
    <t>100.69,100</t>
  </si>
  <si>
    <t>"Орское карьероуправление" ОАО</t>
  </si>
  <si>
    <t>100.71,100</t>
  </si>
  <si>
    <t>"Ураласбест" ПАО</t>
  </si>
  <si>
    <t>100.72,100</t>
  </si>
  <si>
    <t>100.73,100</t>
  </si>
  <si>
    <t>"Первоуральское рудоуправление" ОАО</t>
  </si>
  <si>
    <t>100.74,100</t>
  </si>
  <si>
    <t>"Сангалыкский диоритовый карьер" ООО</t>
  </si>
  <si>
    <t>100.75,100</t>
  </si>
  <si>
    <t>"Карьер "Кузнечное" (ЛСР-Базовые)</t>
  </si>
  <si>
    <t>100.76,100</t>
  </si>
  <si>
    <t>100.77,100</t>
  </si>
  <si>
    <t>"Каменногорский комбинат нерудных материалов" ЗАО</t>
  </si>
  <si>
    <t>100.78,100</t>
  </si>
  <si>
    <t>"Биянковский щебеночный завод" ООО</t>
  </si>
  <si>
    <t>100.79,100</t>
  </si>
  <si>
    <t>"Комбинат строительных материалов" ООО</t>
  </si>
  <si>
    <t>"Саткинский щебеночный завод" ООО</t>
  </si>
  <si>
    <t>100.81,100</t>
  </si>
  <si>
    <t>"ЕВРАЗ НТМК" ОАО</t>
  </si>
  <si>
    <t>100.82,100</t>
  </si>
  <si>
    <t>"Новокиевский щебеночный завод" ООО</t>
  </si>
  <si>
    <t>100.83,100</t>
  </si>
  <si>
    <t>"Рускальк" ООО</t>
  </si>
  <si>
    <t>100.84,100</t>
  </si>
  <si>
    <t>"ТД "Челябоблснабсбыт" ООО</t>
  </si>
  <si>
    <t>100.85,100</t>
  </si>
  <si>
    <t>"КП-Габбро" АО</t>
  </si>
  <si>
    <t>100.86,100</t>
  </si>
  <si>
    <t>"Миньярский карьер" ООО</t>
  </si>
  <si>
    <t>100.87,100</t>
  </si>
  <si>
    <t>100.88,100</t>
  </si>
  <si>
    <t>"Финансбюро" ООО</t>
  </si>
  <si>
    <t>100.89,100</t>
  </si>
  <si>
    <t>"Олимп" ООО</t>
  </si>
  <si>
    <t>"Новосельский мехкарьер"</t>
  </si>
  <si>
    <t>100.91,100</t>
  </si>
  <si>
    <t>"Искитимский карьер"</t>
  </si>
  <si>
    <t>100.92,100</t>
  </si>
  <si>
    <t>"Барзасский карьер" ООО</t>
  </si>
  <si>
    <t>100.93,100</t>
  </si>
  <si>
    <t>"Партнер СТК" ООО</t>
  </si>
  <si>
    <t>100.94,100</t>
  </si>
  <si>
    <t>"Спецтехпроект" ООО</t>
  </si>
  <si>
    <t>100.95,100</t>
  </si>
  <si>
    <t>"Потенциал-Недра" ООО</t>
  </si>
  <si>
    <t>100.96,100</t>
  </si>
  <si>
    <t>"ЕВРАЗ КГОК" ОАО</t>
  </si>
  <si>
    <t>100.97,100</t>
  </si>
  <si>
    <t>100.98,100</t>
  </si>
  <si>
    <t>"Башкиравтодор" ОАО</t>
  </si>
  <si>
    <t>100.99,100</t>
  </si>
  <si>
    <t>"Саткинская нерудная компания"</t>
  </si>
  <si>
    <t>"Сортавальский дробильно-сортировочный завод" ОАО</t>
  </si>
  <si>
    <t>100.101,100</t>
  </si>
  <si>
    <t>"Прионежская горная компания" ООО</t>
  </si>
  <si>
    <t>100.102,100</t>
  </si>
  <si>
    <t>100.103,100</t>
  </si>
  <si>
    <t>"Яккима Гранит" ООО</t>
  </si>
  <si>
    <t>100.104,100</t>
  </si>
  <si>
    <t>"ПНК-Урал" ООО</t>
  </si>
  <si>
    <t>100.105,100</t>
  </si>
  <si>
    <t>"Каменный карьер: "ДСФ-1-1, 3"</t>
  </si>
  <si>
    <t>100.106,100</t>
  </si>
  <si>
    <t>"Карьер "Леппясюрья" филиал ООО "Карелприродресурс"</t>
  </si>
  <si>
    <t>100.107,100</t>
  </si>
  <si>
    <t>100.108,100</t>
  </si>
  <si>
    <t>100.109,100</t>
  </si>
  <si>
    <t>"Дорпромгранит" ООО</t>
  </si>
  <si>
    <t>100.111,100</t>
  </si>
  <si>
    <t>"Карьер "Коккомяки" ЗАО</t>
  </si>
  <si>
    <t>100.112,100</t>
  </si>
  <si>
    <t>"ТД Урализвесть" ООО</t>
  </si>
  <si>
    <t>100.113,100</t>
  </si>
  <si>
    <t>100.114,100</t>
  </si>
  <si>
    <t>"Аргаяшский Порфиритовый Карьер" ООО</t>
  </si>
  <si>
    <t>100.115,100</t>
  </si>
  <si>
    <t>"Высокогорский ГОК" ОАО</t>
  </si>
  <si>
    <t>100.116,100</t>
  </si>
  <si>
    <t>"ТД "Уралдоломит" ООО</t>
  </si>
  <si>
    <t>100.117,100</t>
  </si>
  <si>
    <t>Гумбейский щебеночный комплекс (ф-л АО "ННК")</t>
  </si>
  <si>
    <t>100.118,100</t>
  </si>
  <si>
    <t>"Вижайский каменный карьер" АО</t>
  </si>
  <si>
    <t>100.119,100</t>
  </si>
  <si>
    <t>"ММК" ОАО</t>
  </si>
  <si>
    <t>100.121,100</t>
  </si>
  <si>
    <t>"Каскад" ОАО</t>
  </si>
  <si>
    <t>100.122,100</t>
  </si>
  <si>
    <t>"Карьер "Голодай Гора" ЗАО</t>
  </si>
  <si>
    <t>100.123,100</t>
  </si>
  <si>
    <t>"Северсталь" ПАО</t>
  </si>
  <si>
    <t>100.124,100</t>
  </si>
  <si>
    <t>"Синарский щебеночный карьер" ОАО</t>
  </si>
  <si>
    <t>100.125,100</t>
  </si>
  <si>
    <t>"Сунский карьер" ООО</t>
  </si>
  <si>
    <t>100.126,100</t>
  </si>
  <si>
    <t>"О.К.А." ООО</t>
  </si>
  <si>
    <t>100.127,100</t>
  </si>
  <si>
    <t>100.128,100</t>
  </si>
  <si>
    <t>"Богословское рудоуправление" ОАО</t>
  </si>
  <si>
    <t>100.129,100</t>
  </si>
  <si>
    <t>100.131,100</t>
  </si>
  <si>
    <t>"Святогор" ОАО</t>
  </si>
  <si>
    <t>100.132,100</t>
  </si>
  <si>
    <t>100.133,100</t>
  </si>
  <si>
    <t>"Стойленский ГОК" ОАО</t>
  </si>
  <si>
    <t>100.134,100</t>
  </si>
  <si>
    <t>100.135,100</t>
  </si>
  <si>
    <t>"Уральский Гранитный Щебеночный Завод" ООО</t>
  </si>
  <si>
    <t>100.136,100</t>
  </si>
  <si>
    <t>"Строительный камень" ООО</t>
  </si>
  <si>
    <t>100.137,100</t>
  </si>
  <si>
    <t>100.138,100</t>
  </si>
  <si>
    <t>100.139,100</t>
  </si>
  <si>
    <t>"Сибирцевский щебеночный завод" филиал ОАО "ПНК"</t>
  </si>
  <si>
    <t>100.141,100</t>
  </si>
  <si>
    <t>"Железная гора" ООО</t>
  </si>
  <si>
    <t>100.142,100</t>
  </si>
  <si>
    <t>"Пруды-Моховое-Яскинское" (ЛСР-Базовые)</t>
  </si>
  <si>
    <t>100.143,100</t>
  </si>
  <si>
    <t>"Власовское карьероуправление" ООО</t>
  </si>
  <si>
    <t>100.144,100</t>
  </si>
  <si>
    <t>100.145,100</t>
  </si>
  <si>
    <t>"Каменногорское карьероуправление" ЗАО</t>
  </si>
  <si>
    <t>100.146,100</t>
  </si>
  <si>
    <t>"Тургоякское рудоуправление" ОАО</t>
  </si>
  <si>
    <t>100.147,100</t>
  </si>
  <si>
    <t>"Карагайский камень" ООО</t>
  </si>
  <si>
    <t>100.148,100</t>
  </si>
  <si>
    <t>100.149,100</t>
  </si>
  <si>
    <t>"Автодор" ООО</t>
  </si>
  <si>
    <t>"Богураевнеруд" ОАО</t>
  </si>
  <si>
    <t>100.151,100</t>
  </si>
  <si>
    <t>"Апанасовское" ОАО</t>
  </si>
  <si>
    <t>100.152,100</t>
  </si>
  <si>
    <t>"Надеждинское" ООО</t>
  </si>
  <si>
    <t>100.153,100</t>
  </si>
  <si>
    <t>"Уральский щебень" ООО</t>
  </si>
  <si>
    <t>100.154,100</t>
  </si>
  <si>
    <t>"Лавский карьер" ОАО</t>
  </si>
  <si>
    <t>100.155,100</t>
  </si>
  <si>
    <t>"Карбонат" АО</t>
  </si>
  <si>
    <t>100.156,100</t>
  </si>
  <si>
    <t>"Лобское-5" ООО</t>
  </si>
  <si>
    <t>100.157,100</t>
  </si>
  <si>
    <t>Месторождение "Амфиболитовое"</t>
  </si>
  <si>
    <t>100.158,100</t>
  </si>
  <si>
    <t>"Гранит-Карелия" ЗАО</t>
  </si>
  <si>
    <t>100.159,100</t>
  </si>
  <si>
    <t>"Пром-Актив" ООО</t>
  </si>
  <si>
    <t>"Есеновичское карьероуправление" ООО</t>
  </si>
  <si>
    <t>100.161,100</t>
  </si>
  <si>
    <t>"Хребетский щебеночный завод" филиал ОАО "ПНК"</t>
  </si>
  <si>
    <t>100.162,100</t>
  </si>
  <si>
    <t>"Карьер "Большая Уя" филиал ООО "Карелприродресурс"</t>
  </si>
  <si>
    <t>100.163,100</t>
  </si>
  <si>
    <t>100.164,100</t>
  </si>
  <si>
    <t>"Алапаевский щебзавод" ООО</t>
  </si>
  <si>
    <t>100.165,100</t>
  </si>
  <si>
    <t>"ЧМК" ОАО</t>
  </si>
  <si>
    <t>100.166,100</t>
  </si>
  <si>
    <t>"Орский щебеночный завод" филиал ОАО "ПНК"</t>
  </si>
  <si>
    <t>100.167,100</t>
  </si>
  <si>
    <t>"Ивантеевский каменный карьер" ОАО</t>
  </si>
  <si>
    <t>100.168,100</t>
  </si>
  <si>
    <t>"Выборгское карьероуправление" ЗАО</t>
  </si>
  <si>
    <t>100.169,100</t>
  </si>
  <si>
    <t>"Темирский доломит" ООО</t>
  </si>
  <si>
    <t>"Абазинский рудник" ООО</t>
  </si>
  <si>
    <t>100.171,100</t>
  </si>
  <si>
    <t>"Гавриловское карьероуправление" АО</t>
  </si>
  <si>
    <t>100.172,100</t>
  </si>
  <si>
    <t>100.173,100</t>
  </si>
  <si>
    <t>"ПК "Урал" ООО</t>
  </si>
  <si>
    <t>100.174,100</t>
  </si>
  <si>
    <t>"Дагнеруд" ОАО</t>
  </si>
  <si>
    <t>100.175,100</t>
  </si>
  <si>
    <t>"Горняк" ООО</t>
  </si>
  <si>
    <t>100.176,100</t>
  </si>
  <si>
    <t>"Центурион" ООО</t>
  </si>
  <si>
    <t>100.177,100</t>
  </si>
  <si>
    <t>"Атомстройкомплекс" ООО</t>
  </si>
  <si>
    <t>100.178,100</t>
  </si>
  <si>
    <t>"Курманский каменно-щебеночный карьер" ООО</t>
  </si>
  <si>
    <t>100.179,100</t>
  </si>
  <si>
    <t>"Щебень Полуночное - 1" ООО</t>
  </si>
  <si>
    <t>"НСММЗ" ОАО</t>
  </si>
  <si>
    <t>100.181,100</t>
  </si>
  <si>
    <t>100.182,100</t>
  </si>
  <si>
    <t>100.183,100</t>
  </si>
  <si>
    <t>100.184,100</t>
  </si>
  <si>
    <t>"Булатовский базальт" ООО</t>
  </si>
  <si>
    <t>100.185,100</t>
  </si>
  <si>
    <t>"Чусовской металлургический завод" ОАО</t>
  </si>
  <si>
    <t>100.186,100</t>
  </si>
  <si>
    <t>100.187,100</t>
  </si>
  <si>
    <t>"Союз-Д" ООО</t>
  </si>
  <si>
    <t>100.188,100</t>
  </si>
  <si>
    <t>"Щебеночно-дробильный завод "Северный" ООО</t>
  </si>
  <si>
    <t>100.189,100</t>
  </si>
  <si>
    <t>"Щебзавод №1" ЗАО</t>
  </si>
  <si>
    <t>"Пудлинговский щебзавод" ООО</t>
  </si>
  <si>
    <t>100.191,100</t>
  </si>
  <si>
    <t>"ЛебГОК-ДСФ" ООО</t>
  </si>
  <si>
    <t>100.192,100</t>
  </si>
  <si>
    <t>"Корфовский каменный карьер" ОАО</t>
  </si>
  <si>
    <t>100.193,100</t>
  </si>
  <si>
    <t>"Горнодобывающая компания" ООО</t>
  </si>
  <si>
    <t>100.194,100</t>
  </si>
  <si>
    <t>"АПК "Кушвинский щебзавод" ОАО</t>
  </si>
  <si>
    <t>100.195,100</t>
  </si>
  <si>
    <t>"Автобан" ООО</t>
  </si>
  <si>
    <t>100.196,100</t>
  </si>
  <si>
    <t>"Порфирит" ОАО</t>
  </si>
  <si>
    <t>100.197,100</t>
  </si>
  <si>
    <t>"Михайловский ГОК" ОАО</t>
  </si>
  <si>
    <t>100.198,100</t>
  </si>
  <si>
    <t>"Западуралнеруд" ООО</t>
  </si>
  <si>
    <t>100.199,100</t>
  </si>
  <si>
    <t>"ЛБ Минералс" ООО</t>
  </si>
  <si>
    <t>"Кузнецкие ферросплавы" ОАО</t>
  </si>
  <si>
    <t>100.201,100</t>
  </si>
  <si>
    <t>"Яккимо" ООО</t>
  </si>
  <si>
    <t>100.202,100</t>
  </si>
  <si>
    <t>100.203,100</t>
  </si>
  <si>
    <t>"Южуралкамень" ООО</t>
  </si>
  <si>
    <t>100.204,100</t>
  </si>
  <si>
    <t>"464 Комбинат нерудоископаемых" ООО</t>
  </si>
  <si>
    <t>100.205,100</t>
  </si>
  <si>
    <t>100.206,100</t>
  </si>
  <si>
    <t>"Дорснаб-Урал" ООО</t>
  </si>
  <si>
    <t>100.207,100</t>
  </si>
  <si>
    <t>100.208,100</t>
  </si>
  <si>
    <t>"Ангасольский щебеночный завод" филиал ОАО "ПНК"</t>
  </si>
  <si>
    <t>100.209,100</t>
  </si>
  <si>
    <t>100.211,100</t>
  </si>
  <si>
    <t>"Жирновский щебеночный завод" ООО</t>
  </si>
  <si>
    <t>100.212,100</t>
  </si>
  <si>
    <t>"Карьер "Кааламо" филиал ООО "Карелприродресурс"</t>
  </si>
  <si>
    <t>100.213,100</t>
  </si>
  <si>
    <t>"Коелгамрамор" ООО</t>
  </si>
  <si>
    <t>100.214,100</t>
  </si>
  <si>
    <t>100.215,100</t>
  </si>
  <si>
    <t>100.216,100</t>
  </si>
  <si>
    <t>"Майкопнеруд" ООО</t>
  </si>
  <si>
    <t>100.217,100</t>
  </si>
  <si>
    <t>100.218,100</t>
  </si>
  <si>
    <t>"Бобровский кварцит" ООО</t>
  </si>
  <si>
    <t>100.219,100</t>
  </si>
  <si>
    <t>"Джей Ви Пи-Урал" ООО</t>
  </si>
  <si>
    <t>100.221,100</t>
  </si>
  <si>
    <t>"Каменский щебеночный завод" ООО</t>
  </si>
  <si>
    <t>100.222,100</t>
  </si>
  <si>
    <t>"Шершнинский щебеночный завод" филиал ОАО "ПНК</t>
  </si>
  <si>
    <t>100.223,100</t>
  </si>
  <si>
    <t>100.224,100</t>
  </si>
  <si>
    <t>"ЭкспоДон" ООО</t>
  </si>
  <si>
    <t>100.225,100</t>
  </si>
  <si>
    <t>"НДСМ" ООО</t>
  </si>
  <si>
    <t>100.226,100</t>
  </si>
  <si>
    <t>100.227,100</t>
  </si>
  <si>
    <t>100.228,100</t>
  </si>
  <si>
    <t>"Исетский щебеночный завод" филиал ОАО "ПНК"</t>
  </si>
  <si>
    <t>100.229,100</t>
  </si>
  <si>
    <t>"Карельский комбинат нерудных ископаемых" ООО</t>
  </si>
  <si>
    <t>"Пермский щебеночный завод" ООО</t>
  </si>
  <si>
    <t>100.231,100</t>
  </si>
  <si>
    <t>"Режевской камне-дробильный завод" ООО</t>
  </si>
  <si>
    <t>100.232,100</t>
  </si>
  <si>
    <t>"Обогатительная фабрика нерудных материалов" ООО</t>
  </si>
  <si>
    <t>100.233,100</t>
  </si>
  <si>
    <t>100.234,100</t>
  </si>
  <si>
    <t>100.235,100</t>
  </si>
  <si>
    <t>"Пугачевский карьер" ООО</t>
  </si>
  <si>
    <t>100.236,100</t>
  </si>
  <si>
    <t>"Приморский базальт" ООО</t>
  </si>
  <si>
    <t>100.237,100</t>
  </si>
  <si>
    <t>"Корунд" ООО</t>
  </si>
  <si>
    <t>100.238,100</t>
  </si>
  <si>
    <t>100.239,100</t>
  </si>
  <si>
    <t>"УКГК" ООО</t>
  </si>
  <si>
    <t>"Стагдок" ОАО</t>
  </si>
  <si>
    <t>100.241,100</t>
  </si>
  <si>
    <t>"Гайский диабазовый карьер" ООО</t>
  </si>
  <si>
    <t>100.242,100</t>
  </si>
  <si>
    <t>"Град" ООО</t>
  </si>
  <si>
    <t>100.243,100</t>
  </si>
  <si>
    <t>100.244,100</t>
  </si>
  <si>
    <t>"Первоуральский новотрубный завод" ОАО</t>
  </si>
  <si>
    <t>100.245,100</t>
  </si>
  <si>
    <t>100.246,100</t>
  </si>
  <si>
    <t>100.247,100</t>
  </si>
  <si>
    <t>"Карьер Диабазовый"</t>
  </si>
  <si>
    <t>100.248,100</t>
  </si>
  <si>
    <t>100.249,100</t>
  </si>
  <si>
    <t>"Гранит ДВ" ООО</t>
  </si>
  <si>
    <t>"Адыгеянеруд" ОАО</t>
  </si>
  <si>
    <t>100.251,100</t>
  </si>
  <si>
    <t>"Карьероуправление Венцы-Заря" ОАО</t>
  </si>
  <si>
    <t>100.252,100</t>
  </si>
  <si>
    <t>100.253,100</t>
  </si>
  <si>
    <t>"Замчаловское карьероуправление" ОАО</t>
  </si>
  <si>
    <t>100.254,100</t>
  </si>
  <si>
    <t>100.255,100</t>
  </si>
  <si>
    <t>"Дубенский карьер" ОАО</t>
  </si>
  <si>
    <t>100.256,100</t>
  </si>
  <si>
    <t>100.257,100</t>
  </si>
  <si>
    <t>"Биоэн Трейд" ООО</t>
  </si>
  <si>
    <t>100.258,100</t>
  </si>
  <si>
    <t>"Пореченский карьер" ЗАО</t>
  </si>
  <si>
    <t>100.259,100</t>
  </si>
  <si>
    <t>"Цемент" ОАО</t>
  </si>
  <si>
    <t>"Доргранит-М" ООО</t>
  </si>
  <si>
    <t>100.261,100</t>
  </si>
  <si>
    <t>"Кубаньнедроресурс" ООО</t>
  </si>
  <si>
    <t>100.262,100</t>
  </si>
  <si>
    <t>"Березовский каменный карьер" ООО</t>
  </si>
  <si>
    <t>100.263,100</t>
  </si>
  <si>
    <t>"Уральский доломит" ф-л ООО "Георесурс"</t>
  </si>
  <si>
    <t>100.264,100</t>
  </si>
  <si>
    <t>"СК "ВСМ" ООО</t>
  </si>
  <si>
    <t>100.265,100</t>
  </si>
  <si>
    <t>"Гайщебень" ООО</t>
  </si>
  <si>
    <t>100.266,100</t>
  </si>
  <si>
    <t>"Челябинская угольная компания" АО</t>
  </si>
  <si>
    <t>100.267,100</t>
  </si>
  <si>
    <t>"Шишимский мрамор и Ко" ООО</t>
  </si>
  <si>
    <t>100.268,100</t>
  </si>
  <si>
    <t>"Карьер "Восточный" ООО</t>
  </si>
  <si>
    <t>100.269,100</t>
  </si>
  <si>
    <t>"Красноярский цемент" ООО</t>
  </si>
  <si>
    <t>"Бамстроймеханизация" ОАО</t>
  </si>
  <si>
    <t>100.271,100</t>
  </si>
  <si>
    <t>"Прогресс" ООО</t>
  </si>
  <si>
    <t>100.272,100</t>
  </si>
  <si>
    <t>"СЧПЗ" ЗАО</t>
  </si>
  <si>
    <t>100.273,100</t>
  </si>
  <si>
    <t>"РИФ-Микромрамор" ООО</t>
  </si>
  <si>
    <t>100.274,100</t>
  </si>
  <si>
    <t>"Дорисс-Урал" ООО</t>
  </si>
  <si>
    <t>100.275,100</t>
  </si>
  <si>
    <t>"Новокаолиновый ГОК" ОАО</t>
  </si>
  <si>
    <t>100.276,100</t>
  </si>
  <si>
    <t>"Геоинвест" ЗАО</t>
  </si>
  <si>
    <t>100.277,100</t>
  </si>
  <si>
    <t>"Новотроицкий завод хромовых изделий" АО</t>
  </si>
  <si>
    <t>100.278,100</t>
  </si>
  <si>
    <t>"Дробильно-сортировочный завод" ОАО</t>
  </si>
  <si>
    <t>100.279,100</t>
  </si>
  <si>
    <t>"Евразруда" ОАО</t>
  </si>
  <si>
    <t>"Белый мрамор" ООО</t>
  </si>
  <si>
    <t>100.281,100</t>
  </si>
  <si>
    <t>"БелТрансКом" ООО</t>
  </si>
  <si>
    <t>100.282,100</t>
  </si>
  <si>
    <t>"НЛМК" ПАО</t>
  </si>
  <si>
    <t>100.283,100</t>
  </si>
  <si>
    <t>100.284,100</t>
  </si>
  <si>
    <t>"Березниковский содовый завод" ОАО</t>
  </si>
  <si>
    <t>100.285,100</t>
  </si>
  <si>
    <t>"Ангарскцемент" АО</t>
  </si>
  <si>
    <t>100.286,100</t>
  </si>
  <si>
    <t>100.287,100</t>
  </si>
  <si>
    <t>100.288,100</t>
  </si>
  <si>
    <t>"Рождественский карьер" ООО</t>
  </si>
  <si>
    <t>100.289,100</t>
  </si>
  <si>
    <t>"Касимовнеруд" ЗАО</t>
  </si>
  <si>
    <t>"Ольшанский карьер" ЗАО</t>
  </si>
  <si>
    <t>100.291,100</t>
  </si>
  <si>
    <t>"Швакинские известняки" ООО</t>
  </si>
  <si>
    <t>100.292,100</t>
  </si>
  <si>
    <t>"Добрятинское карьероуправление" ООО</t>
  </si>
  <si>
    <t>100.293,100</t>
  </si>
  <si>
    <t>"Искитимизвесть" ОАО</t>
  </si>
  <si>
    <t>100.294,100</t>
  </si>
  <si>
    <t>"Известняк" ЗАО</t>
  </si>
  <si>
    <t>100.295,100</t>
  </si>
  <si>
    <t>100.296,100</t>
  </si>
  <si>
    <t>"Хмелинецкий карьер" ООО</t>
  </si>
  <si>
    <t>100.297,100</t>
  </si>
  <si>
    <t>100.298,100</t>
  </si>
  <si>
    <t>"Горная компания" ООО</t>
  </si>
  <si>
    <t>100.299,100</t>
  </si>
  <si>
    <t>100.301,100</t>
  </si>
  <si>
    <t>100.302,100</t>
  </si>
  <si>
    <t>"Сулинский щебеночный завод" филиал ОАО "ПНК"</t>
  </si>
  <si>
    <t>100.303,100</t>
  </si>
  <si>
    <t>100.304,100</t>
  </si>
  <si>
    <t>100.305,100</t>
  </si>
  <si>
    <t>100.306,100</t>
  </si>
  <si>
    <t>100.307,100</t>
  </si>
  <si>
    <t>100.308,100</t>
  </si>
  <si>
    <t>"Талданский щебеночный завод" филиал ОАО "ПНК"</t>
  </si>
  <si>
    <t>100.309,100</t>
  </si>
  <si>
    <t>"Жипхегенский щебеночный завод" филиал ОАО "ПНК"</t>
  </si>
  <si>
    <t>100.311,100</t>
  </si>
  <si>
    <t>100.312,100</t>
  </si>
  <si>
    <t>100.313,100</t>
  </si>
  <si>
    <t>"Оленегорский щебеночный завод" филиал ОАО "ПНК"</t>
  </si>
  <si>
    <t>100.314,100</t>
  </si>
  <si>
    <t>100.315,100</t>
  </si>
  <si>
    <t>"Курагинский щебеночный завод" филиал ОАО "ПНК"</t>
  </si>
  <si>
    <t>100.316,100</t>
  </si>
  <si>
    <t>100.317,100</t>
  </si>
  <si>
    <t>100.318,100</t>
  </si>
  <si>
    <t>100.319,100</t>
  </si>
  <si>
    <t>100.321,100</t>
  </si>
  <si>
    <t>100.322,100</t>
  </si>
  <si>
    <t>100.323,100</t>
  </si>
  <si>
    <t>100.324,100</t>
  </si>
  <si>
    <t>100.325,100</t>
  </si>
  <si>
    <t>"Мочищенский щебеночный завод" филиал ОАО "ПНК"</t>
  </si>
  <si>
    <t>100.326,100</t>
  </si>
  <si>
    <t>"ТК "Белогорье" ООО</t>
  </si>
  <si>
    <t>100.327,100</t>
  </si>
  <si>
    <t>100.328,100</t>
  </si>
  <si>
    <t>100.329,100</t>
  </si>
  <si>
    <t>"Щебеночный завод "Адриановский" фл. ОАО "БСМ"</t>
  </si>
  <si>
    <t>"Медвежьегорский щебеночный завод" ООО</t>
  </si>
  <si>
    <t>100.331,100</t>
  </si>
  <si>
    <t>"Крутокачинский щебеночный завод" филиал ОАО "ПНК"</t>
  </si>
  <si>
    <t>100.332,100</t>
  </si>
  <si>
    <t>100.333,100</t>
  </si>
  <si>
    <t>100.334,100</t>
  </si>
  <si>
    <t>56.053236,92.908106</t>
  </si>
  <si>
    <t>"Саянский щебень" ООО</t>
  </si>
  <si>
    <t>53.842199,85.438524</t>
  </si>
  <si>
    <t>67.613212585,33.659629822</t>
  </si>
  <si>
    <t xml:space="preserve"> "ЦЕНТР СТРОИТЕЛЬНЫХ МАТЕРИАЛОВ"</t>
  </si>
  <si>
    <t>5103062840</t>
  </si>
  <si>
    <t>МУРМАНСКАЯ ОБЛ.,Г КИРОВСК,ПРОМЫШЛЕННАЯ ПЛОЩАДКА АНОФ - 3 ПЛОЩАДКА</t>
  </si>
  <si>
    <t>Фомин Александр Сергеевич</t>
  </si>
  <si>
    <t>+7 (921) 153-05-43'</t>
  </si>
  <si>
    <t>68.977005005,33.066204071</t>
  </si>
  <si>
    <t>ОБЩЕСТВО С ОГРАНИЧЕННОЙ ОТВЕТСТВЕННОСТЬЮ "ОЛЕН БЕТОН"</t>
  </si>
  <si>
    <t xml:space="preserve"> "ОЛЕН БЕТОН"</t>
  </si>
  <si>
    <t>5190140130</t>
  </si>
  <si>
    <t>Г МУРМАНСК,ПРОЕЗД ПОРТОВЫЙ, Д 21</t>
  </si>
  <si>
    <t>Берге Свейн Атле</t>
  </si>
  <si>
    <t>ОБЩЕСТВО С ОГРАНИЧЕННОЙ ОТВЕТСТВЕННОСТЬЮ "Норильский Бетонный Завод"</t>
  </si>
  <si>
    <t xml:space="preserve"> "Норильский Бетонный Завод"</t>
  </si>
  <si>
    <t>2457071974</t>
  </si>
  <si>
    <t>Феоктистов Константин Михайлович</t>
  </si>
  <si>
    <t>69.347184,87.761208</t>
  </si>
  <si>
    <t>ОБЩЕСТВО С ОГРАНИЧЕННОЙ ОТВЕТСТВЕННОСТЬЮ "ЗАПОЛЯРНЫЙ БЕТОННЫЙ ЗАВОД"</t>
  </si>
  <si>
    <t xml:space="preserve"> "ЗАПОЛЯРНЫЙ БЕТОННЫЙ ЗАВОД"</t>
  </si>
  <si>
    <t>2457084412</t>
  </si>
  <si>
    <t>663340, КРАСНОЯРСКИЙ КРАЙ, ГОРОД НОРИЛЬСК, УЛИЦА СТРОИТЕЛЬНАЯ, ДОМ 6,..</t>
  </si>
  <si>
    <t>Разорвина Ирина Александровна</t>
  </si>
  <si>
    <t>69.340908,88.21024</t>
  </si>
  <si>
    <t xml:space="preserve"> "СТРОЙМАТ"</t>
  </si>
  <si>
    <t>2457086762</t>
  </si>
  <si>
    <t>663305, КРАСНОЯРСКИЙ КРАЙ, ГОРОД НОРИЛЬСК, УЛИЦА БОГДАНА ХМЕЛЬНИЦКОГО, ДОМ 1,..</t>
  </si>
  <si>
    <t>Котлубовская Анастасия Юрьевна</t>
  </si>
  <si>
    <t>69.342044,88.210545</t>
  </si>
  <si>
    <t>ОБЩЕСТВО С ОГРАНИЧЕННОЙ ОТВЕТСТВЕННОСТЬЮ "НОРИЛЬСК БЕТОН"</t>
  </si>
  <si>
    <t xml:space="preserve"> "НОРИЛЬСК БЕТОН"</t>
  </si>
  <si>
    <t>2457088304</t>
  </si>
  <si>
    <t>663305, КРАСНОЯРСКИЙ КРАЙ, Г. Норильск, УЛ. СЕВАСТОПОЛЬСКАЯ, Д. 2,..</t>
  </si>
  <si>
    <t>Мусаткин Николай Витальевич</t>
  </si>
  <si>
    <t>69.429866,30.827665</t>
  </si>
  <si>
    <t>ОБЩЕСТВО С ОГРАНИЧЕННОЙ ОТВЕТСТВЕННОСТЬЮ "ПЕЧЕНГАБЕТОН"</t>
  </si>
  <si>
    <t xml:space="preserve"> "ПЕЧЕНГАБЕТОН"</t>
  </si>
  <si>
    <t>5105012700</t>
  </si>
  <si>
    <t>184430, МУРМАНСКАЯ ОБЛАСТЬ, РАЙОН ПЕЧЕНГСКИЙ, ГОРОД ЗАПОЛЯРНЫЙ, УЛИЦА БАБИКОВА, ДОМ 12А</t>
  </si>
  <si>
    <t>Белашов Руслан Анатольевич</t>
  </si>
  <si>
    <t>68.883809,33.079203</t>
  </si>
  <si>
    <t>ОБЩЕСТВО С ОГРАНИЧЕННОЙ ОТВЕТСТВЕННОСТЬЮ "НОРД БЕТОН"</t>
  </si>
  <si>
    <t xml:space="preserve"> "НОРД БЕТОН"</t>
  </si>
  <si>
    <t>5105014440</t>
  </si>
  <si>
    <t>184381, МУРМАНСКАЯ ОБЛ., Кольский Р-Н, Г. Кола, Ш. КИЛЬДИНСКОЕ, ВЛД. 18, ЭТАЖ 2 ПОМЕЩ. 4</t>
  </si>
  <si>
    <t>Саренко Кирилл Анатольевич</t>
  </si>
  <si>
    <t>NORDBETON51@YANDEX.RU'</t>
  </si>
  <si>
    <t>68.891102,33.053071</t>
  </si>
  <si>
    <t xml:space="preserve"> "АГРОСТРОЙ"</t>
  </si>
  <si>
    <t>5105091678</t>
  </si>
  <si>
    <t>184381, МУРМАНСКАЯ ОБЛАСТЬ, РАЙОН КОЛЬСКИЙ, ГОРОД КОЛА, УЛИЦА ПРИВОКЗАЛЬНАЯ, ДОМ 28</t>
  </si>
  <si>
    <t>Усманов Равил Минибаевич</t>
  </si>
  <si>
    <t>+7 (911) 332-48-58'</t>
  </si>
  <si>
    <t>67.939508,32.902738</t>
  </si>
  <si>
    <t>ОБЩЕСТВО С ОГРАНИЧЕННОЙ ОТВЕТСТВЕННОСТЬЮ "БМП-ТЕХНОЛОГИЯ"</t>
  </si>
  <si>
    <t xml:space="preserve"> "БМП-ТЕХНОЛОГИЯ"</t>
  </si>
  <si>
    <t>5107916860</t>
  </si>
  <si>
    <t>184511, МУРМАНСКАЯ ОБЛАСТЬ, Г. МОНЧЕГОРСК, ПР-КТ МЕТАЛЛУРГОВ, Д. 8, КАБИНЕТ 303</t>
  </si>
  <si>
    <t>Телегин Евгений Валентинович</t>
  </si>
  <si>
    <t>telegin@procervic.ru'</t>
  </si>
  <si>
    <t>67.928726,32.82895</t>
  </si>
  <si>
    <t xml:space="preserve"> "БЕТОНПРОМ"</t>
  </si>
  <si>
    <t>5108004200</t>
  </si>
  <si>
    <t>184511, Мурманская область, ГОРОД МОНЧЕГОРСК, Г МОНЧЕГОРСК, УЛ МАЛО-КУМУЖИНСКАЯ, Д. 13</t>
  </si>
  <si>
    <t>Сухоруков Иван Иванович</t>
  </si>
  <si>
    <t>68.141886,33.291933</t>
  </si>
  <si>
    <t>Общество с ограниченной ответственностью "Завод Стройматериалы"</t>
  </si>
  <si>
    <t xml:space="preserve"> "Завод Стройматериалы"</t>
  </si>
  <si>
    <t>5108997333</t>
  </si>
  <si>
    <t>МУРМАНСКАЯ ОБЛ.,Г ОЛЕНЕГОРСК,УЛ СТРОИТЕЛЬНАЯ, Д 67 А</t>
  </si>
  <si>
    <t>Кашаева Татьяна Ивановна</t>
  </si>
  <si>
    <t>68.970663,33.074918</t>
  </si>
  <si>
    <t>ОБЩЕСТВО С ОГРАНИЧЕННОЙ ОТВЕТСТВЕННОСТЬЮ "МУРМАНСКИЙ БЕТОННЫЙ ЗАВОД"</t>
  </si>
  <si>
    <t xml:space="preserve"> "МУРМАНСКИЙ БЕТОННЫЙ ЗАВОД"</t>
  </si>
  <si>
    <t>5190038383</t>
  </si>
  <si>
    <t>183001, МУРМАНСКАЯ ОБЛАСТЬ, ГОРОД МУРМАНСК, ТЕРРИТОРИЯ РЫБНЫЙ ПОРТ(ЮЖНЫЕ ПРИЧАЛЫ)</t>
  </si>
  <si>
    <t>Уреке Александра Сергеевна</t>
  </si>
  <si>
    <t>murmanskbeton@mail.ru'</t>
  </si>
  <si>
    <t>68.95838,33.095875</t>
  </si>
  <si>
    <t>ОБЩЕСТВО С ОГРАНИЧЕННОЙ ОТВЕТСТВЕННОСТЬЮ "БЕТОНСЕВЕР"</t>
  </si>
  <si>
    <t xml:space="preserve"> "БЕТОНСЕВЕР"</t>
  </si>
  <si>
    <t>5190081406</t>
  </si>
  <si>
    <t>183039, МУРМАНСКАЯ ОБЛАСТЬ, Г. МУРМАНСК, УЛ. АКАДЕМИКА КНИПОВИЧА, Д. 51, ОФИС 42</t>
  </si>
  <si>
    <t>Кондаков Сергей Анатольевич</t>
  </si>
  <si>
    <t>68.994741,33.124038</t>
  </si>
  <si>
    <t>ОБЩЕСТВО С ОГРАНИЧЕННОЙ ОТВЕТСТВЕННОСТЬЮ "ТОБОЛБЕТОН"</t>
  </si>
  <si>
    <t xml:space="preserve"> "ТОБОЛБЕТОН"</t>
  </si>
  <si>
    <t>5190085030</t>
  </si>
  <si>
    <t>183038, МУРМАНСКАЯ ОБЛАСТЬ, ГОРОД МУРМАНСК, УЛИЦА ДОМОСТРОИТЕЛЬНАЯ, ДОМ 13</t>
  </si>
  <si>
    <t>Гагарина Марина Григорьевна</t>
  </si>
  <si>
    <t>52.075281,113.484026</t>
  </si>
  <si>
    <t xml:space="preserve"> "СК"</t>
  </si>
  <si>
    <t>7536125854</t>
  </si>
  <si>
    <t>672049, ЗАБАЙКАЛЬСКИЙ КРАЙ, Г. ЧИТА, МКР СЕВЕРНЫЙ, Д. 58,..</t>
  </si>
  <si>
    <t>Скулов Дмитрий Сергеевич</t>
  </si>
  <si>
    <t>55.038398,82.755095</t>
  </si>
  <si>
    <t>ОБЩЕСТВО С ОГРАНИЧЕННОЙ ОТВЕТСТВЕННОСТЬЮ "Юнис Сибирь"</t>
  </si>
  <si>
    <t xml:space="preserve"> "Юнис Сибирь"</t>
  </si>
  <si>
    <t>7730669051</t>
  </si>
  <si>
    <t>630512, НОВОСИБИРСКАЯ ОБЛАСТЬ, НОВОСИБИРСКИЙ РАЙОН, С МАРУСИНО, УЛ ПРОМЗОНА, 20</t>
  </si>
  <si>
    <t>Селютин Юрий Юрьевич</t>
  </si>
  <si>
    <t>+7 (383) 790-79-06'</t>
  </si>
  <si>
    <t>63.064074,179.251548</t>
  </si>
  <si>
    <t>ОБЩЕСТВО С ОГРАНИЧЕННОЙ ОТВЕТСТВЕННОСТЬЮ "СТРОЙСФЕРА"</t>
  </si>
  <si>
    <t xml:space="preserve"> "СТРОЙСФЕРА"</t>
  </si>
  <si>
    <t>8701005795</t>
  </si>
  <si>
    <t>87-Чукотский автономный округ</t>
  </si>
  <si>
    <t>689100, Чукотский автономный округ, АНАДЫРСКИЙ, 1 БЕРИНГОВСКИЙ, ПГТ БЕРИНГОВСКИЙ, УЛ МАНДРИКОВА, Д. 22</t>
  </si>
  <si>
    <t>Филиппенко Филипп Александрович</t>
  </si>
  <si>
    <t>FILIPPFILIPPENKO07041999@GMAIL.COM'</t>
  </si>
  <si>
    <t>66.08852,76.644017</t>
  </si>
  <si>
    <t>ОБЩЕСТВО С ОГРАНИЧЕННОЙ ОТВЕТСТВЕННОСТЬЮ"БЕТОН ПЛЮС"</t>
  </si>
  <si>
    <t>8904084954</t>
  </si>
  <si>
    <t>629307, ЯМАЛО-НЕНЕЦКИЙ АВТОНОМНЫЙ ОКРУГ, Г. НОВЫЙ УРЕНГОЙ, УЛ. КОМСОМОЛЬСКАЯ, Д. 8А,..</t>
  </si>
  <si>
    <t>Велимчаница Владимир Афанасьевич</t>
  </si>
  <si>
    <t>+7 (902) 626-52-62'</t>
  </si>
  <si>
    <t>63.197875,75.505825</t>
  </si>
  <si>
    <t>ОБЩЕСТВО С ОГРАНИЧЕННОЙ ОТВЕТСТВЕННОСТЬЮ Научно-Производственное Объединение "Ноябрьский Завод Строительных Материалов"</t>
  </si>
  <si>
    <t xml:space="preserve"> Научно-Производственное Объединение "Ноябрьский Завод Строительных Материалов"</t>
  </si>
  <si>
    <t>8905052480</t>
  </si>
  <si>
    <t>629800, ЯМАЛО-НЕНЕЦКИЙ АВТОНОМНЫЙ ОКРУГ, ГОРОД НОЯБРЬСК, ТЕРРИТОРИЯ ПЕЛЕЙ ПРОМУЗЕЛ, ПАНЕЛЬ 11</t>
  </si>
  <si>
    <t>Евсеев Сергей Сергеевич</t>
  </si>
  <si>
    <t>+7 (922) 436-83-26'</t>
  </si>
  <si>
    <t>nponzsm@nponzsm.com'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</si>
</sst>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0000000000"/>
    <numFmt numFmtId="165" formatCode="d.m.yyyy"/>
    <numFmt numFmtId="166" formatCode="d.m"/>
  </numFmts>
  <fonts count="38">
    <font>
      <sz val="10.0"/>
      <color rgb="FF000000"/>
      <name val="Arial"/>
      <scheme val="minor"/>
    </font>
    <font>
      <b/>
      <sz val="11.0"/>
      <color theme="1"/>
      <name val="Calibri"/>
    </font>
    <font>
      <color theme="1"/>
      <name val="Arial"/>
      <scheme val="minor"/>
    </font>
    <font>
      <sz val="11.0"/>
      <color theme="1"/>
      <name val="Calibri"/>
    </font>
    <font>
      <sz val="9.0"/>
      <color rgb="FF000000"/>
      <name val="&quot;Google Sans Mono&quot;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sz val="11.0"/>
      <color rgb="FF212121"/>
      <name val="Arial"/>
    </font>
    <font>
      <sz val="11.0"/>
      <color rgb="FF000000"/>
      <name val="Calibri"/>
    </font>
    <font>
      <u/>
      <sz val="11.0"/>
      <color rgb="FF0563C1"/>
      <name val="Calibri"/>
    </font>
    <font>
      <u/>
      <sz val="11.0"/>
      <color rgb="FF0563C1"/>
      <name val="Calibri"/>
    </font>
    <font>
      <color rgb="FF000000"/>
      <name val="Calibri"/>
    </font>
    <font>
      <u/>
      <sz val="11.0"/>
      <color rgb="FF0563C1"/>
      <name val="Calibri"/>
    </font>
    <font>
      <u/>
      <sz val="11.0"/>
      <color rgb="FF000000"/>
      <name val="Calibri"/>
    </font>
    <font>
      <u/>
      <sz val="11.0"/>
      <color rgb="FF0563C1"/>
      <name val="Calibri"/>
    </font>
    <font>
      <color rgb="FF333333"/>
      <name val="Tahoma"/>
    </font>
    <font>
      <color rgb="FF333333"/>
      <name val="Calibri"/>
    </font>
    <font>
      <u/>
      <sz val="11.0"/>
      <color rgb="FF000000"/>
      <name val="Calibri"/>
    </font>
    <font>
      <sz val="11.0"/>
      <color theme="1"/>
      <name val="&quot;Times New Roman&quot;"/>
    </font>
    <font>
      <sz val="11.0"/>
      <color rgb="FF042038"/>
      <name val="Arial"/>
    </font>
    <font>
      <u/>
      <sz val="11.0"/>
      <color rgb="FF0000FF"/>
      <name val="&quot;Times New Roman&quot;"/>
    </font>
    <font>
      <u/>
      <sz val="11.0"/>
      <color rgb="FF0000FF"/>
      <name val="&quot;Times New Roman&quot;"/>
    </font>
    <font>
      <sz val="12.0"/>
      <color rgb="FF333333"/>
      <name val="&quot;Times New Roman&quot;"/>
    </font>
    <font>
      <sz val="12.0"/>
      <color rgb="FF000000"/>
      <name val="&quot;Times New Roman&quot;"/>
    </font>
    <font>
      <u/>
      <sz val="12.0"/>
      <color rgb="FF0066CC"/>
      <name val="&quot;Times New Roman&quot;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0563C1"/>
      <name val="Calibri"/>
    </font>
    <font>
      <u/>
      <sz val="11.0"/>
      <color rgb="FF0563C1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sz val="12.0"/>
      <color rgb="FF1F1F1F"/>
      <name val="Montserrat"/>
    </font>
  </fonts>
  <fills count="6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D8D8D8"/>
        <bgColor rgb="FFD8D8D8"/>
      </patternFill>
    </fill>
    <fill>
      <patternFill patternType="solid">
        <fgColor rgb="FFDBE5F1"/>
        <bgColor rgb="FFDBE5F1"/>
      </patternFill>
    </fill>
    <fill>
      <patternFill patternType="solid">
        <fgColor rgb="FFD9D9D9"/>
        <bgColor rgb="FFD9D9D9"/>
      </patternFill>
    </fill>
  </fills>
  <borders count="11">
    <border/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0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shrinkToFit="0" vertical="top" wrapText="1"/>
    </xf>
    <xf borderId="2" fillId="2" fontId="1" numFmtId="0" xfId="0" applyAlignment="1" applyBorder="1" applyFont="1">
      <alignment horizontal="left" readingOrder="0" shrinkToFit="0" vertical="top" wrapText="1"/>
    </xf>
    <xf borderId="2" fillId="2" fontId="1" numFmtId="0" xfId="0" applyAlignment="1" applyBorder="1" applyFont="1">
      <alignment horizontal="left" shrinkToFit="0" vertical="top" wrapText="1"/>
    </xf>
    <xf borderId="2" fillId="2" fontId="1" numFmtId="164" xfId="0" applyAlignment="1" applyBorder="1" applyFont="1" applyNumberFormat="1">
      <alignment horizontal="left" shrinkToFit="0" vertical="top" wrapText="1"/>
    </xf>
    <xf borderId="0" fillId="0" fontId="2" numFmtId="0" xfId="0" applyAlignment="1" applyFont="1">
      <alignment horizontal="left" shrinkToFit="0" wrapText="1"/>
    </xf>
    <xf borderId="0" fillId="0" fontId="2" numFmtId="0" xfId="0" applyAlignment="1" applyFont="1">
      <alignment horizontal="left" shrinkToFit="0" wrapText="1"/>
    </xf>
    <xf borderId="0" fillId="3" fontId="3" numFmtId="0" xfId="0" applyAlignment="1" applyFill="1" applyFont="1">
      <alignment horizontal="left"/>
    </xf>
    <xf borderId="0" fillId="3" fontId="3" numFmtId="0" xfId="0" applyAlignment="1" applyFont="1">
      <alignment horizontal="left" shrinkToFit="0" vertical="bottom" wrapText="1"/>
    </xf>
    <xf borderId="0" fillId="3" fontId="3" numFmtId="49" xfId="0" applyAlignment="1" applyFont="1" applyNumberFormat="1">
      <alignment horizontal="left"/>
    </xf>
    <xf borderId="0" fillId="3" fontId="3" numFmtId="0" xfId="0" applyAlignment="1" applyFont="1">
      <alignment horizontal="left" vertical="bottom"/>
    </xf>
    <xf quotePrefix="1" borderId="0" fillId="3" fontId="3" numFmtId="0" xfId="0" applyAlignment="1" applyFont="1">
      <alignment horizontal="left" vertical="bottom"/>
    </xf>
    <xf borderId="0" fillId="0" fontId="2" numFmtId="0" xfId="0" applyAlignment="1" applyFont="1">
      <alignment horizontal="left"/>
    </xf>
    <xf borderId="0" fillId="2" fontId="4" numFmtId="0" xfId="0" applyFont="1"/>
    <xf borderId="0" fillId="2" fontId="4" numFmtId="0" xfId="0" applyFont="1"/>
    <xf borderId="0" fillId="4" fontId="3" numFmtId="0" xfId="0" applyAlignment="1" applyFill="1" applyFont="1">
      <alignment horizontal="left" shrinkToFit="0" wrapText="1"/>
    </xf>
    <xf borderId="0" fillId="4" fontId="3" numFmtId="0" xfId="0" applyAlignment="1" applyFont="1">
      <alignment horizontal="left" shrinkToFit="0" vertical="bottom" wrapText="1"/>
    </xf>
    <xf borderId="0" fillId="4" fontId="3" numFmtId="49" xfId="0" applyAlignment="1" applyFont="1" applyNumberFormat="1">
      <alignment horizontal="left" shrinkToFit="0" wrapText="1"/>
    </xf>
    <xf borderId="0" fillId="3" fontId="3" numFmtId="0" xfId="0" applyAlignment="1" applyFont="1">
      <alignment horizontal="left" shrinkToFit="0" wrapText="1"/>
    </xf>
    <xf borderId="0" fillId="3" fontId="3" numFmtId="49" xfId="0" applyAlignment="1" applyFont="1" applyNumberFormat="1">
      <alignment horizontal="left" shrinkToFit="0" wrapText="1"/>
    </xf>
    <xf borderId="0" fillId="4" fontId="3" numFmtId="0" xfId="0" applyAlignment="1" applyFont="1">
      <alignment horizontal="left"/>
    </xf>
    <xf borderId="0" fillId="4" fontId="3" numFmtId="49" xfId="0" applyAlignment="1" applyFont="1" applyNumberFormat="1">
      <alignment horizontal="left"/>
    </xf>
    <xf borderId="0" fillId="4" fontId="3" numFmtId="0" xfId="0" applyAlignment="1" applyFont="1">
      <alignment horizontal="left" vertical="bottom"/>
    </xf>
    <xf quotePrefix="1" borderId="0" fillId="4" fontId="3" numFmtId="0" xfId="0" applyAlignment="1" applyFont="1">
      <alignment horizontal="left" vertical="bottom"/>
    </xf>
    <xf quotePrefix="1" borderId="0" fillId="3" fontId="3" numFmtId="0" xfId="0" applyAlignment="1" applyFont="1">
      <alignment horizontal="left" shrinkToFit="0" vertical="bottom" wrapText="1"/>
    </xf>
    <xf quotePrefix="1" borderId="0" fillId="4" fontId="3" numFmtId="0" xfId="0" applyAlignment="1" applyFont="1">
      <alignment horizontal="left" shrinkToFit="0" vertical="bottom" wrapText="1"/>
    </xf>
    <xf borderId="0" fillId="3" fontId="3" numFmtId="0" xfId="0" applyAlignment="1" applyFont="1">
      <alignment horizontal="left" readingOrder="0" vertical="bottom"/>
    </xf>
    <xf borderId="0" fillId="3" fontId="5" numFmtId="0" xfId="0" applyAlignment="1" applyFont="1">
      <alignment horizontal="left" shrinkToFit="0" vertical="bottom" wrapText="1"/>
    </xf>
    <xf borderId="0" fillId="4" fontId="6" numFmtId="0" xfId="0" applyAlignment="1" applyFont="1">
      <alignment horizontal="left" vertical="bottom"/>
    </xf>
    <xf quotePrefix="1" borderId="0" fillId="3" fontId="3" numFmtId="0" xfId="0" applyAlignment="1" applyFont="1">
      <alignment horizontal="left" shrinkToFit="0" vertical="bottom" wrapText="0"/>
    </xf>
    <xf quotePrefix="1" borderId="0" fillId="4" fontId="3" numFmtId="0" xfId="0" applyAlignment="1" applyFont="1">
      <alignment horizontal="left" shrinkToFit="0" vertical="bottom" wrapText="0"/>
    </xf>
    <xf borderId="0" fillId="3" fontId="7" numFmtId="0" xfId="0" applyAlignment="1" applyFont="1">
      <alignment horizontal="left" vertical="bottom"/>
    </xf>
    <xf borderId="0" fillId="4" fontId="8" numFmtId="0" xfId="0" applyAlignment="1" applyFont="1">
      <alignment horizontal="left" shrinkToFit="0" vertical="bottom" wrapText="1"/>
    </xf>
    <xf borderId="0" fillId="3" fontId="9" numFmtId="0" xfId="0" applyAlignment="1" applyFont="1">
      <alignment horizontal="left" shrinkToFit="0" wrapText="1"/>
    </xf>
    <xf borderId="0" fillId="3" fontId="3" numFmtId="0" xfId="0" applyAlignment="1" applyFont="1">
      <alignment horizontal="left" readingOrder="0" shrinkToFit="0" vertical="bottom" wrapText="1"/>
    </xf>
    <xf borderId="0" fillId="5" fontId="10" numFmtId="0" xfId="0" applyAlignment="1" applyFill="1" applyFont="1">
      <alignment horizontal="left" vertical="bottom"/>
    </xf>
    <xf borderId="0" fillId="5" fontId="10" numFmtId="0" xfId="0" applyAlignment="1" applyFont="1">
      <alignment horizontal="left" readingOrder="0" vertical="bottom"/>
    </xf>
    <xf borderId="0" fillId="5" fontId="10" numFmtId="0" xfId="0" applyAlignment="1" applyFont="1">
      <alignment horizontal="left" readingOrder="0" shrinkToFit="0" vertical="bottom" wrapText="0"/>
    </xf>
    <xf borderId="0" fillId="5" fontId="10" numFmtId="49" xfId="0" applyAlignment="1" applyFont="1" applyNumberFormat="1">
      <alignment horizontal="left" readingOrder="0" shrinkToFit="0" vertical="bottom" wrapText="0"/>
    </xf>
    <xf borderId="0" fillId="5" fontId="11" numFmtId="0" xfId="0" applyAlignment="1" applyFont="1">
      <alignment horizontal="left" readingOrder="0" vertical="bottom"/>
    </xf>
    <xf quotePrefix="1" borderId="0" fillId="5" fontId="10" numFmtId="0" xfId="0" applyAlignment="1" applyFont="1">
      <alignment horizontal="left" readingOrder="0" vertical="bottom"/>
    </xf>
    <xf borderId="0" fillId="0" fontId="10" numFmtId="0" xfId="0" applyAlignment="1" applyFont="1">
      <alignment horizontal="left" shrinkToFit="0" vertical="bottom" wrapText="1"/>
    </xf>
    <xf borderId="0" fillId="0" fontId="10" numFmtId="0" xfId="0" applyAlignment="1" applyFont="1">
      <alignment horizontal="left" readingOrder="0" shrinkToFit="0" vertical="bottom" wrapText="1"/>
    </xf>
    <xf borderId="0" fillId="5" fontId="10" numFmtId="49" xfId="0" applyAlignment="1" applyFont="1" applyNumberFormat="1">
      <alignment horizontal="left" readingOrder="0" shrinkToFit="0" vertical="bottom" wrapText="1"/>
    </xf>
    <xf borderId="0" fillId="0" fontId="10" numFmtId="165" xfId="0" applyAlignment="1" applyFont="1" applyNumberFormat="1">
      <alignment horizontal="left" readingOrder="0" shrinkToFit="0" vertical="bottom" wrapText="1"/>
    </xf>
    <xf borderId="0" fillId="0" fontId="12" numFmtId="0" xfId="0" applyAlignment="1" applyFont="1">
      <alignment horizontal="left" shrinkToFit="0" vertical="bottom" wrapText="1"/>
    </xf>
    <xf borderId="0" fillId="0" fontId="13" numFmtId="0" xfId="0" applyAlignment="1" applyFont="1">
      <alignment horizontal="left" readingOrder="0" shrinkToFit="0" vertical="bottom" wrapText="1"/>
    </xf>
    <xf quotePrefix="1" borderId="0" fillId="0" fontId="10" numFmtId="0" xfId="0" applyAlignment="1" applyFont="1">
      <alignment horizontal="left" readingOrder="0" shrinkToFit="0" vertical="bottom" wrapText="1"/>
    </xf>
    <xf borderId="0" fillId="0" fontId="14" numFmtId="0" xfId="0" applyAlignment="1" applyFont="1">
      <alignment horizontal="left" readingOrder="0" shrinkToFit="0" vertical="bottom" wrapText="1"/>
    </xf>
    <xf borderId="0" fillId="5" fontId="15" numFmtId="0" xfId="0" applyAlignment="1" applyFont="1">
      <alignment horizontal="left" readingOrder="0" vertical="bottom"/>
    </xf>
    <xf borderId="0" fillId="5" fontId="10" numFmtId="165" xfId="0" applyAlignment="1" applyFont="1" applyNumberFormat="1">
      <alignment horizontal="left" readingOrder="0" vertical="bottom"/>
    </xf>
    <xf borderId="0" fillId="5" fontId="10" numFmtId="0" xfId="0" applyAlignment="1" applyFont="1">
      <alignment horizontal="left" shrinkToFit="0" vertical="bottom" wrapText="0"/>
    </xf>
    <xf borderId="0" fillId="5" fontId="13" numFmtId="0" xfId="0" applyAlignment="1" applyFont="1">
      <alignment horizontal="left" readingOrder="0" vertical="bottom"/>
    </xf>
    <xf borderId="0" fillId="0" fontId="10" numFmtId="0" xfId="0" applyAlignment="1" applyFont="1">
      <alignment horizontal="left" vertical="bottom"/>
    </xf>
    <xf borderId="0" fillId="0" fontId="10" numFmtId="0" xfId="0" applyAlignment="1" applyFont="1">
      <alignment horizontal="left" readingOrder="0" vertical="bottom"/>
    </xf>
    <xf borderId="0" fillId="0" fontId="10" numFmtId="0" xfId="0" applyAlignment="1" applyFont="1">
      <alignment horizontal="left" readingOrder="0" shrinkToFit="0" vertical="bottom" wrapText="0"/>
    </xf>
    <xf borderId="0" fillId="0" fontId="10" numFmtId="49" xfId="0" applyAlignment="1" applyFont="1" applyNumberFormat="1">
      <alignment horizontal="left" readingOrder="0" shrinkToFit="0" vertical="bottom" wrapText="0"/>
    </xf>
    <xf borderId="0" fillId="0" fontId="10" numFmtId="166" xfId="0" applyAlignment="1" applyFont="1" applyNumberFormat="1">
      <alignment horizontal="left" readingOrder="0" vertical="bottom"/>
    </xf>
    <xf borderId="0" fillId="0" fontId="10" numFmtId="0" xfId="0" applyAlignment="1" applyFont="1">
      <alignment horizontal="left" shrinkToFit="0" vertical="bottom" wrapText="0"/>
    </xf>
    <xf borderId="0" fillId="0" fontId="16" numFmtId="0" xfId="0" applyAlignment="1" applyFont="1">
      <alignment horizontal="left" readingOrder="0" vertical="bottom"/>
    </xf>
    <xf borderId="0" fillId="0" fontId="17" numFmtId="0" xfId="0" applyAlignment="1" applyFont="1">
      <alignment horizontal="left" readingOrder="0" vertical="bottom"/>
    </xf>
    <xf quotePrefix="1" borderId="0" fillId="0" fontId="10" numFmtId="0" xfId="0" applyAlignment="1" applyFont="1">
      <alignment horizontal="left" readingOrder="0" vertical="bottom"/>
    </xf>
    <xf borderId="0" fillId="5" fontId="10" numFmtId="166" xfId="0" applyAlignment="1" applyFont="1" applyNumberFormat="1">
      <alignment horizontal="left" readingOrder="0" vertical="bottom"/>
    </xf>
    <xf borderId="0" fillId="0" fontId="10" numFmtId="0" xfId="0" applyAlignment="1" applyFont="1">
      <alignment horizontal="left" readingOrder="0"/>
    </xf>
    <xf borderId="0" fillId="0" fontId="10" numFmtId="0" xfId="0" applyAlignment="1" applyFont="1">
      <alignment horizontal="left" readingOrder="0" vertical="bottom"/>
    </xf>
    <xf borderId="0" fillId="5" fontId="18" numFmtId="0" xfId="0" applyAlignment="1" applyFont="1">
      <alignment horizontal="left" readingOrder="0" vertical="bottom"/>
    </xf>
    <xf borderId="0" fillId="0" fontId="10" numFmtId="165" xfId="0" applyAlignment="1" applyFont="1" applyNumberFormat="1">
      <alignment horizontal="left" readingOrder="0" vertical="bottom"/>
    </xf>
    <xf borderId="0" fillId="0" fontId="19" numFmtId="0" xfId="0" applyAlignment="1" applyFont="1">
      <alignment horizontal="left" readingOrder="0" shrinkToFit="0" vertical="bottom" wrapText="1"/>
    </xf>
    <xf borderId="0" fillId="0" fontId="10" numFmtId="49" xfId="0" applyAlignment="1" applyFont="1" applyNumberFormat="1">
      <alignment horizontal="left" readingOrder="0" shrinkToFit="0" vertical="bottom" wrapText="1"/>
    </xf>
    <xf borderId="0" fillId="0" fontId="10" numFmtId="166" xfId="0" applyAlignment="1" applyFont="1" applyNumberFormat="1">
      <alignment horizontal="left" readingOrder="0" shrinkToFit="0" vertical="bottom" wrapText="1"/>
    </xf>
    <xf borderId="0" fillId="0" fontId="10" numFmtId="0" xfId="0" applyAlignment="1" applyFont="1">
      <alignment horizontal="left" shrinkToFit="0" vertical="bottom" wrapText="1"/>
    </xf>
    <xf borderId="0" fillId="5" fontId="10" numFmtId="165" xfId="0" applyAlignment="1" applyFont="1" applyNumberFormat="1">
      <alignment horizontal="left" readingOrder="0" shrinkToFit="0" vertical="bottom" wrapText="0"/>
    </xf>
    <xf borderId="0" fillId="0" fontId="10" numFmtId="165" xfId="0" applyAlignment="1" applyFont="1" applyNumberFormat="1">
      <alignment horizontal="left" readingOrder="0" shrinkToFit="0" vertical="bottom" wrapText="0"/>
    </xf>
    <xf borderId="0" fillId="5" fontId="10" numFmtId="166" xfId="0" applyAlignment="1" applyFont="1" applyNumberFormat="1">
      <alignment horizontal="left" readingOrder="0" shrinkToFit="0" vertical="bottom" wrapText="0"/>
    </xf>
    <xf borderId="0" fillId="5" fontId="3" numFmtId="0" xfId="0" applyAlignment="1" applyFont="1">
      <alignment horizontal="left" shrinkToFit="0" wrapText="0"/>
    </xf>
    <xf borderId="0" fillId="5" fontId="3" numFmtId="0" xfId="0" applyAlignment="1" applyFont="1">
      <alignment horizontal="left" readingOrder="0" shrinkToFit="0" vertical="bottom" wrapText="0"/>
    </xf>
    <xf borderId="0" fillId="5" fontId="20" numFmtId="0" xfId="0" applyAlignment="1" applyFont="1">
      <alignment horizontal="left" readingOrder="0" vertical="bottom"/>
    </xf>
    <xf borderId="0" fillId="5" fontId="21" numFmtId="0" xfId="0" applyAlignment="1" applyFont="1">
      <alignment horizontal="left" readingOrder="0" shrinkToFit="0" vertical="bottom" wrapText="0"/>
    </xf>
    <xf borderId="0" fillId="5" fontId="20" numFmtId="49" xfId="0" applyAlignment="1" applyFont="1" applyNumberFormat="1">
      <alignment horizontal="left" readingOrder="0"/>
    </xf>
    <xf borderId="0" fillId="5" fontId="3" numFmtId="166" xfId="0" applyAlignment="1" applyFont="1" applyNumberFormat="1">
      <alignment horizontal="left" readingOrder="0" shrinkToFit="0" vertical="bottom" wrapText="0"/>
    </xf>
    <xf borderId="0" fillId="5" fontId="3" numFmtId="0" xfId="0" applyAlignment="1" applyFont="1">
      <alignment horizontal="left" shrinkToFit="0" vertical="bottom" wrapText="0"/>
    </xf>
    <xf borderId="0" fillId="5" fontId="22" numFmtId="0" xfId="0" applyAlignment="1" applyFont="1">
      <alignment horizontal="left" readingOrder="0" vertical="bottom"/>
    </xf>
    <xf borderId="0" fillId="5" fontId="20" numFmtId="0" xfId="0" applyAlignment="1" applyFont="1">
      <alignment horizontal="left" vertical="bottom"/>
    </xf>
    <xf quotePrefix="1" borderId="0" fillId="5" fontId="10" numFmtId="0" xfId="0" applyAlignment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wrapText="0"/>
    </xf>
    <xf borderId="0" fillId="0" fontId="3" numFmtId="0" xfId="0" applyAlignment="1" applyFont="1">
      <alignment horizontal="left" readingOrder="0" shrinkToFit="0" vertical="bottom" wrapText="0"/>
    </xf>
    <xf borderId="0" fillId="0" fontId="20" numFmtId="0" xfId="0" applyAlignment="1" applyFont="1">
      <alignment horizontal="left" readingOrder="0" vertical="bottom"/>
    </xf>
    <xf borderId="0" fillId="0" fontId="21" numFmtId="0" xfId="0" applyAlignment="1" applyFont="1">
      <alignment horizontal="left" readingOrder="0" shrinkToFit="0" vertical="bottom" wrapText="0"/>
    </xf>
    <xf borderId="0" fillId="0" fontId="20" numFmtId="49" xfId="0" applyAlignment="1" applyFont="1" applyNumberFormat="1">
      <alignment horizontal="left" readingOrder="0"/>
    </xf>
    <xf borderId="0" fillId="0" fontId="3" numFmtId="166" xfId="0" applyAlignment="1" applyFont="1" applyNumberForma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0"/>
    </xf>
    <xf borderId="0" fillId="0" fontId="23" numFmtId="0" xfId="0" applyAlignment="1" applyFont="1">
      <alignment horizontal="left" readingOrder="0" vertical="bottom"/>
    </xf>
    <xf borderId="0" fillId="0" fontId="20" numFmtId="0" xfId="0" applyAlignment="1" applyFont="1">
      <alignment horizontal="left" vertical="bottom"/>
    </xf>
    <xf quotePrefix="1" borderId="0" fillId="0" fontId="10" numFmtId="0" xfId="0" applyAlignment="1" applyFont="1">
      <alignment horizontal="left" readingOrder="0" shrinkToFit="0" vertical="bottom" wrapText="0"/>
    </xf>
    <xf borderId="0" fillId="5" fontId="24" numFmtId="0" xfId="0" applyAlignment="1" applyFont="1">
      <alignment horizontal="left" readingOrder="0"/>
    </xf>
    <xf borderId="0" fillId="5" fontId="24" numFmtId="49" xfId="0" applyAlignment="1" applyFont="1" applyNumberFormat="1">
      <alignment horizontal="left" readingOrder="0"/>
    </xf>
    <xf borderId="0" fillId="5" fontId="25" numFmtId="0" xfId="0" applyAlignment="1" applyFont="1">
      <alignment horizontal="left"/>
    </xf>
    <xf borderId="0" fillId="5" fontId="24" numFmtId="0" xfId="0" applyAlignment="1" applyFont="1">
      <alignment horizontal="left"/>
    </xf>
    <xf borderId="0" fillId="5" fontId="26" numFmtId="0" xfId="0" applyAlignment="1" applyFont="1">
      <alignment horizontal="left" readingOrder="0"/>
    </xf>
    <xf borderId="0" fillId="0" fontId="3" numFmtId="0" xfId="0" applyAlignment="1" applyFont="1">
      <alignment horizontal="left" shrinkToFit="0" wrapText="0"/>
    </xf>
    <xf borderId="0" fillId="0" fontId="20" numFmtId="0" xfId="0" applyAlignment="1" applyFont="1">
      <alignment horizontal="left" readingOrder="0" vertical="bottom"/>
    </xf>
    <xf borderId="0" fillId="0" fontId="3" numFmtId="49" xfId="0" applyAlignment="1" applyFont="1" applyNumberFormat="1">
      <alignment horizontal="left" readingOrder="0" vertical="bottom"/>
    </xf>
    <xf borderId="0" fillId="0" fontId="3" numFmtId="0" xfId="0" applyAlignment="1" applyFont="1">
      <alignment horizontal="left" shrinkToFit="0" vertical="bottom" wrapText="0"/>
    </xf>
    <xf borderId="0" fillId="0" fontId="27" numFmtId="0" xfId="0" applyAlignment="1" applyFont="1">
      <alignment horizontal="left" readingOrder="0" vertical="bottom"/>
    </xf>
    <xf borderId="0" fillId="0" fontId="3" numFmtId="0" xfId="0" applyAlignment="1" applyFont="1">
      <alignment horizontal="left" readingOrder="0" vertical="bottom"/>
    </xf>
    <xf borderId="0" fillId="0" fontId="20" numFmtId="0" xfId="0" applyAlignment="1" applyFont="1">
      <alignment horizontal="left" vertical="bottom"/>
    </xf>
    <xf borderId="0" fillId="5" fontId="3" numFmtId="49" xfId="0" applyAlignment="1" applyFont="1" applyNumberFormat="1">
      <alignment horizontal="left" readingOrder="0" vertical="bottom"/>
    </xf>
    <xf borderId="0" fillId="5" fontId="28" numFmtId="0" xfId="0" applyAlignment="1" applyFont="1">
      <alignment horizontal="left" readingOrder="0" vertical="bottom"/>
    </xf>
    <xf borderId="0" fillId="5" fontId="3" numFmtId="0" xfId="0" applyAlignment="1" applyFont="1">
      <alignment horizontal="left" readingOrder="0" vertical="bottom"/>
    </xf>
    <xf borderId="0" fillId="0" fontId="3" numFmtId="49" xfId="0" applyAlignment="1" applyFont="1" applyNumberFormat="1">
      <alignment horizontal="left" readingOrder="0"/>
    </xf>
    <xf borderId="0" fillId="0" fontId="29" numFmtId="0" xfId="0" applyAlignment="1" applyFont="1">
      <alignment horizontal="left" readingOrder="0"/>
    </xf>
    <xf borderId="0" fillId="0" fontId="3" numFmtId="0" xfId="0" applyAlignment="1" applyFont="1">
      <alignment horizontal="left" readingOrder="0"/>
    </xf>
    <xf borderId="0" fillId="5" fontId="3" numFmtId="0" xfId="0" applyAlignment="1" applyFont="1">
      <alignment horizontal="left" shrinkToFit="0" wrapText="1"/>
    </xf>
    <xf borderId="0" fillId="5" fontId="20" numFmtId="0" xfId="0" applyAlignment="1" applyFont="1">
      <alignment horizontal="left" readingOrder="0" shrinkToFit="0" vertical="bottom" wrapText="1"/>
    </xf>
    <xf borderId="0" fillId="5" fontId="21" numFmtId="0" xfId="0" applyAlignment="1" applyFont="1">
      <alignment horizontal="left" readingOrder="0" shrinkToFit="0" vertical="bottom" wrapText="1"/>
    </xf>
    <xf borderId="0" fillId="5" fontId="3" numFmtId="49" xfId="0" applyAlignment="1" applyFont="1" applyNumberFormat="1">
      <alignment horizontal="left" readingOrder="0" shrinkToFit="0" wrapText="1"/>
    </xf>
    <xf borderId="0" fillId="5" fontId="3" numFmtId="0" xfId="0" applyAlignment="1" applyFont="1">
      <alignment horizontal="left" readingOrder="0" shrinkToFit="0" vertical="bottom" wrapText="1"/>
    </xf>
    <xf borderId="0" fillId="5" fontId="3" numFmtId="166" xfId="0" applyAlignment="1" applyFont="1" applyNumberFormat="1">
      <alignment horizontal="left" readingOrder="0" shrinkToFit="0" vertical="bottom" wrapText="1"/>
    </xf>
    <xf borderId="0" fillId="5" fontId="3" numFmtId="0" xfId="0" applyAlignment="1" applyFont="1">
      <alignment horizontal="left" shrinkToFit="0" vertical="bottom" wrapText="1"/>
    </xf>
    <xf borderId="0" fillId="5" fontId="3" numFmtId="0" xfId="0" applyAlignment="1" applyFont="1">
      <alignment horizontal="left" shrinkToFit="0" wrapText="1"/>
    </xf>
    <xf borderId="0" fillId="5" fontId="20" numFmtId="0" xfId="0" applyAlignment="1" applyFont="1">
      <alignment horizontal="left" shrinkToFit="0" vertical="bottom" wrapText="1"/>
    </xf>
    <xf quotePrefix="1" borderId="0" fillId="5" fontId="10" numFmtId="0" xfId="0" applyAlignment="1" applyFont="1">
      <alignment horizontal="left" readingOrder="0" shrinkToFit="0" vertical="bottom" wrapText="1"/>
    </xf>
    <xf borderId="0" fillId="5" fontId="3" numFmtId="0" xfId="0" applyAlignment="1" applyFont="1">
      <alignment horizontal="left" vertical="bottom"/>
    </xf>
    <xf borderId="0" fillId="5" fontId="30" numFmtId="0" xfId="0" applyAlignment="1" applyFont="1">
      <alignment horizontal="left" vertical="bottom"/>
    </xf>
    <xf borderId="0" fillId="0" fontId="3" numFmtId="0" xfId="0" applyAlignment="1" applyFont="1">
      <alignment horizontal="left" vertical="bottom"/>
    </xf>
    <xf borderId="0" fillId="0" fontId="3" numFmtId="0" xfId="0" applyAlignment="1" applyFont="1">
      <alignment horizontal="left" shrinkToFit="0" wrapText="1"/>
    </xf>
    <xf borderId="0" fillId="0" fontId="20" numFmtId="0" xfId="0" applyAlignment="1" applyFont="1">
      <alignment horizontal="left" readingOrder="0" shrinkToFit="0" vertical="bottom" wrapText="1"/>
    </xf>
    <xf borderId="0" fillId="0" fontId="21" numFmtId="0" xfId="0" applyAlignment="1" applyFont="1">
      <alignment horizontal="left" readingOrder="0" shrinkToFit="0" vertical="bottom" wrapText="1"/>
    </xf>
    <xf borderId="0" fillId="0" fontId="3" numFmtId="49" xfId="0" applyAlignment="1" applyFont="1" applyNumberFormat="1">
      <alignment horizontal="left" readingOrder="0" shrinkToFit="0" vertical="bottom" wrapText="1"/>
    </xf>
    <xf borderId="0" fillId="0" fontId="3" numFmtId="0" xfId="0" applyAlignment="1" applyFont="1">
      <alignment horizontal="left" readingOrder="0" shrinkToFit="0" vertical="bottom" wrapText="1"/>
    </xf>
    <xf borderId="0" fillId="0" fontId="3" numFmtId="166" xfId="0" applyAlignment="1" applyFont="1" applyNumberFormat="1">
      <alignment horizontal="left" readingOrder="0" shrinkToFit="0" vertical="bottom" wrapText="1"/>
    </xf>
    <xf borderId="0" fillId="0" fontId="3" numFmtId="0" xfId="0" applyAlignment="1" applyFont="1">
      <alignment horizontal="left" shrinkToFit="0" vertical="bottom" wrapText="1"/>
    </xf>
    <xf borderId="0" fillId="0" fontId="3" numFmtId="0" xfId="0" applyAlignment="1" applyFont="1">
      <alignment horizontal="left" shrinkToFit="0" vertical="bottom" wrapText="1"/>
    </xf>
    <xf borderId="0" fillId="0" fontId="20" numFmtId="0" xfId="0" applyAlignment="1" applyFont="1">
      <alignment horizontal="left" shrinkToFit="0" vertical="bottom" wrapText="1"/>
    </xf>
    <xf borderId="0" fillId="5" fontId="3" numFmtId="49" xfId="0" applyAlignment="1" applyFont="1" applyNumberFormat="1">
      <alignment horizontal="left" readingOrder="0"/>
    </xf>
    <xf borderId="0" fillId="5" fontId="31" numFmtId="0" xfId="0" applyAlignment="1" applyFont="1">
      <alignment horizontal="left" readingOrder="0"/>
    </xf>
    <xf borderId="0" fillId="3" fontId="3" numFmtId="0" xfId="0" applyAlignment="1" applyFont="1">
      <alignment horizontal="center" shrinkToFit="0" wrapText="1"/>
    </xf>
    <xf borderId="0" fillId="3" fontId="3" numFmtId="0" xfId="0" applyAlignment="1" applyFont="1">
      <alignment shrinkToFit="0" vertical="bottom" wrapText="1"/>
    </xf>
    <xf borderId="0" fillId="3" fontId="3" numFmtId="49" xfId="0" applyAlignment="1" applyFont="1" applyNumberFormat="1">
      <alignment horizontal="center" shrinkToFit="0" wrapText="1"/>
    </xf>
    <xf borderId="0" fillId="4" fontId="3" numFmtId="0" xfId="0" applyAlignment="1" applyFont="1">
      <alignment horizontal="center" shrinkToFit="0" wrapText="1"/>
    </xf>
    <xf borderId="0" fillId="4" fontId="3" numFmtId="0" xfId="0" applyAlignment="1" applyFont="1">
      <alignment shrinkToFit="0" vertical="bottom" wrapText="1"/>
    </xf>
    <xf borderId="0" fillId="4" fontId="3" numFmtId="49" xfId="0" applyAlignment="1" applyFont="1" applyNumberFormat="1">
      <alignment horizontal="center" shrinkToFit="0" wrapText="1"/>
    </xf>
    <xf borderId="0" fillId="3" fontId="3" numFmtId="0" xfId="0" applyAlignment="1" applyFont="1">
      <alignment horizontal="center"/>
    </xf>
    <xf borderId="0" fillId="3" fontId="3" numFmtId="0" xfId="0" applyAlignment="1" applyFont="1">
      <alignment vertical="bottom"/>
    </xf>
    <xf borderId="0" fillId="3" fontId="3" numFmtId="49" xfId="0" applyAlignment="1" applyFont="1" applyNumberFormat="1">
      <alignment horizontal="center"/>
    </xf>
    <xf quotePrefix="1" borderId="0" fillId="3" fontId="3" numFmtId="0" xfId="0" applyAlignment="1" applyFont="1">
      <alignment vertical="bottom"/>
    </xf>
    <xf borderId="0" fillId="4" fontId="3" numFmtId="0" xfId="0" applyAlignment="1" applyFont="1">
      <alignment horizontal="center"/>
    </xf>
    <xf borderId="0" fillId="4" fontId="3" numFmtId="0" xfId="0" applyAlignment="1" applyFont="1">
      <alignment vertical="bottom"/>
    </xf>
    <xf borderId="0" fillId="4" fontId="3" numFmtId="49" xfId="0" applyAlignment="1" applyFont="1" applyNumberFormat="1">
      <alignment horizontal="center"/>
    </xf>
    <xf quotePrefix="1" borderId="0" fillId="4" fontId="3" numFmtId="0" xfId="0" applyAlignment="1" applyFont="1">
      <alignment vertical="bottom"/>
    </xf>
    <xf quotePrefix="1" borderId="0" fillId="4" fontId="3" numFmtId="0" xfId="0" applyAlignment="1" applyFont="1">
      <alignment shrinkToFit="0" vertical="bottom" wrapText="0"/>
    </xf>
    <xf borderId="0" fillId="4" fontId="32" numFmtId="0" xfId="0" applyAlignment="1" applyFont="1">
      <alignment vertical="bottom"/>
    </xf>
    <xf quotePrefix="1" borderId="0" fillId="3" fontId="3" numFmtId="0" xfId="0" applyAlignment="1" applyFont="1">
      <alignment shrinkToFit="0" vertical="bottom" wrapText="0"/>
    </xf>
    <xf quotePrefix="1" borderId="0" fillId="3" fontId="3" numFmtId="0" xfId="0" applyAlignment="1" applyFont="1">
      <alignment shrinkToFit="0" vertical="bottom" wrapText="1"/>
    </xf>
    <xf quotePrefix="1" borderId="0" fillId="4" fontId="3" numFmtId="0" xfId="0" applyAlignment="1" applyFont="1">
      <alignment shrinkToFit="0" vertical="bottom" wrapText="1"/>
    </xf>
    <xf borderId="0" fillId="3" fontId="33" numFmtId="0" xfId="0" applyAlignment="1" applyFont="1">
      <alignment vertical="bottom"/>
    </xf>
    <xf borderId="0" fillId="3" fontId="34" numFmtId="0" xfId="0" applyAlignment="1" applyFont="1">
      <alignment shrinkToFit="0" vertical="bottom" wrapText="1"/>
    </xf>
    <xf borderId="0" fillId="4" fontId="35" numFmtId="0" xfId="0" applyAlignment="1" applyFont="1">
      <alignment shrinkToFit="0" vertical="bottom" wrapText="1"/>
    </xf>
    <xf borderId="3" fillId="3" fontId="3" numFmtId="0" xfId="0" applyAlignment="1" applyBorder="1" applyFont="1">
      <alignment horizontal="center" shrinkToFit="0" wrapText="1"/>
    </xf>
    <xf borderId="3" fillId="3" fontId="3" numFmtId="0" xfId="0" applyAlignment="1" applyBorder="1" applyFont="1">
      <alignment shrinkToFit="0" vertical="bottom" wrapText="1"/>
    </xf>
    <xf borderId="3" fillId="3" fontId="3" numFmtId="49" xfId="0" applyAlignment="1" applyBorder="1" applyFont="1" applyNumberFormat="1">
      <alignment horizontal="center" shrinkToFit="0" wrapText="1"/>
    </xf>
    <xf borderId="4" fillId="4" fontId="3" numFmtId="0" xfId="0" applyAlignment="1" applyBorder="1" applyFont="1">
      <alignment shrinkToFit="0" vertical="bottom" wrapText="1"/>
    </xf>
    <xf borderId="4" fillId="4" fontId="3" numFmtId="49" xfId="0" applyAlignment="1" applyBorder="1" applyFont="1" applyNumberFormat="1">
      <alignment horizontal="center" shrinkToFit="0" wrapText="1"/>
    </xf>
    <xf borderId="5" fillId="4" fontId="3" numFmtId="0" xfId="0" applyAlignment="1" applyBorder="1" applyFont="1">
      <alignment shrinkToFit="0" vertical="bottom" wrapText="1"/>
    </xf>
    <xf borderId="1" fillId="3" fontId="3" numFmtId="0" xfId="0" applyAlignment="1" applyBorder="1" applyFont="1">
      <alignment shrinkToFit="0" vertical="bottom" wrapText="1"/>
    </xf>
    <xf borderId="1" fillId="3" fontId="3" numFmtId="49" xfId="0" applyAlignment="1" applyBorder="1" applyFont="1" applyNumberFormat="1">
      <alignment horizontal="center" shrinkToFit="0" wrapText="1"/>
    </xf>
    <xf borderId="2" fillId="3" fontId="3" numFmtId="0" xfId="0" applyAlignment="1" applyBorder="1" applyFont="1">
      <alignment shrinkToFit="0" vertical="bottom" wrapText="1"/>
    </xf>
    <xf quotePrefix="1" borderId="6" fillId="3" fontId="3" numFmtId="0" xfId="0" applyAlignment="1" applyBorder="1" applyFont="1">
      <alignment shrinkToFit="0" vertical="bottom" wrapText="1"/>
    </xf>
    <xf borderId="4" fillId="4" fontId="3" numFmtId="0" xfId="0" applyAlignment="1" applyBorder="1" applyFont="1">
      <alignment vertical="bottom"/>
    </xf>
    <xf borderId="4" fillId="4" fontId="3" numFmtId="49" xfId="0" applyAlignment="1" applyBorder="1" applyFont="1" applyNumberFormat="1">
      <alignment horizontal="center"/>
    </xf>
    <xf borderId="5" fillId="4" fontId="3" numFmtId="0" xfId="0" applyAlignment="1" applyBorder="1" applyFont="1">
      <alignment vertical="bottom"/>
    </xf>
    <xf borderId="1" fillId="3" fontId="3" numFmtId="0" xfId="0" applyAlignment="1" applyBorder="1" applyFont="1">
      <alignment vertical="bottom"/>
    </xf>
    <xf borderId="1" fillId="3" fontId="3" numFmtId="49" xfId="0" applyAlignment="1" applyBorder="1" applyFont="1" applyNumberFormat="1">
      <alignment horizontal="center"/>
    </xf>
    <xf borderId="2" fillId="3" fontId="3" numFmtId="0" xfId="0" applyAlignment="1" applyBorder="1" applyFont="1">
      <alignment vertical="bottom"/>
    </xf>
    <xf borderId="6" fillId="3" fontId="3" numFmtId="0" xfId="0" applyAlignment="1" applyBorder="1" applyFont="1">
      <alignment vertical="bottom"/>
    </xf>
    <xf borderId="7" fillId="3" fontId="3" numFmtId="0" xfId="0" applyAlignment="1" applyBorder="1" applyFont="1">
      <alignment shrinkToFit="0" vertical="bottom" wrapText="1"/>
    </xf>
    <xf borderId="7" fillId="3" fontId="3" numFmtId="49" xfId="0" applyAlignment="1" applyBorder="1" applyFont="1" applyNumberFormat="1">
      <alignment horizontal="center" shrinkToFit="0" wrapText="1"/>
    </xf>
    <xf borderId="7" fillId="3" fontId="36" numFmtId="0" xfId="0" applyAlignment="1" applyBorder="1" applyFont="1">
      <alignment shrinkToFit="0" vertical="bottom" wrapText="1"/>
    </xf>
    <xf borderId="8" fillId="3" fontId="3" numFmtId="0" xfId="0" applyAlignment="1" applyBorder="1" applyFont="1">
      <alignment shrinkToFit="0" vertical="bottom" wrapText="1"/>
    </xf>
    <xf borderId="9" fillId="4" fontId="3" numFmtId="0" xfId="0" applyAlignment="1" applyBorder="1" applyFont="1">
      <alignment vertical="bottom"/>
    </xf>
    <xf borderId="9" fillId="4" fontId="3" numFmtId="49" xfId="0" applyAlignment="1" applyBorder="1" applyFont="1" applyNumberFormat="1">
      <alignment horizontal="center"/>
    </xf>
    <xf borderId="4" fillId="3" fontId="3" numFmtId="0" xfId="0" applyAlignment="1" applyBorder="1" applyFont="1">
      <alignment shrinkToFit="0" vertical="bottom" wrapText="1"/>
    </xf>
    <xf borderId="4" fillId="3" fontId="3" numFmtId="49" xfId="0" applyAlignment="1" applyBorder="1" applyFont="1" applyNumberFormat="1">
      <alignment horizontal="center" shrinkToFit="0" wrapText="1"/>
    </xf>
    <xf borderId="10" fillId="3" fontId="3" numFmtId="0" xfId="0" applyAlignment="1" applyBorder="1" applyFont="1">
      <alignment shrinkToFit="0" vertical="bottom" wrapText="1"/>
    </xf>
    <xf quotePrefix="1" borderId="1" fillId="3" fontId="3" numFmtId="0" xfId="0" applyAlignment="1" applyBorder="1" applyFont="1">
      <alignment vertical="bottom"/>
    </xf>
    <xf borderId="10" fillId="4" fontId="3" numFmtId="49" xfId="0" applyAlignment="1" applyBorder="1" applyFont="1" applyNumberFormat="1">
      <alignment horizontal="center"/>
    </xf>
    <xf borderId="10" fillId="4" fontId="3" numFmtId="0" xfId="0" applyAlignment="1" applyBorder="1" applyFont="1">
      <alignment vertical="bottom"/>
    </xf>
    <xf borderId="4" fillId="3" fontId="3" numFmtId="0" xfId="0" applyAlignment="1" applyBorder="1" applyFont="1">
      <alignment vertical="bottom"/>
    </xf>
    <xf borderId="4" fillId="3" fontId="3" numFmtId="49" xfId="0" applyAlignment="1" applyBorder="1" applyFont="1" applyNumberFormat="1">
      <alignment horizontal="center"/>
    </xf>
    <xf borderId="10" fillId="3" fontId="3" numFmtId="0" xfId="0" applyAlignment="1" applyBorder="1" applyFont="1">
      <alignment vertical="bottom"/>
    </xf>
    <xf quotePrefix="1" borderId="5" fillId="3" fontId="3" numFmtId="0" xfId="0" applyAlignment="1" applyBorder="1" applyFont="1">
      <alignment vertical="bottom"/>
    </xf>
    <xf borderId="9" fillId="4" fontId="3" numFmtId="49" xfId="0" applyAlignment="1" applyBorder="1" applyFont="1" applyNumberFormat="1">
      <alignment horizontal="center" shrinkToFit="0" wrapText="1"/>
    </xf>
    <xf borderId="1" fillId="4" fontId="3" numFmtId="0" xfId="0" applyAlignment="1" applyBorder="1" applyFont="1">
      <alignment shrinkToFit="0" vertical="bottom" wrapText="1"/>
    </xf>
    <xf borderId="6" fillId="3" fontId="3" numFmtId="0" xfId="0" applyAlignment="1" applyBorder="1" applyFont="1">
      <alignment shrinkToFit="0" vertical="bottom" wrapText="1"/>
    </xf>
    <xf quotePrefix="1" borderId="5" fillId="4" fontId="3" numFmtId="0" xfId="0" applyAlignment="1" applyBorder="1" applyFont="1">
      <alignment vertical="bottom"/>
    </xf>
    <xf borderId="5" fillId="3" fontId="3" numFmtId="0" xfId="0" applyAlignment="1" applyBorder="1" applyFont="1">
      <alignment vertical="bottom"/>
    </xf>
    <xf quotePrefix="1" borderId="5" fillId="4" fontId="3" numFmtId="0" xfId="0" applyAlignment="1" applyBorder="1" applyFont="1">
      <alignment shrinkToFit="0" vertical="bottom" wrapText="1"/>
    </xf>
    <xf borderId="5" fillId="3" fontId="3" numFmtId="0" xfId="0" applyAlignment="1" applyBorder="1" applyFont="1">
      <alignment shrinkToFit="0" vertical="bottom" wrapText="1"/>
    </xf>
    <xf borderId="9" fillId="4" fontId="3" numFmtId="0" xfId="0" applyAlignment="1" applyBorder="1" applyFont="1">
      <alignment shrinkToFit="0" vertical="bottom" wrapText="1"/>
    </xf>
    <xf borderId="3" fillId="4" fontId="3" numFmtId="0" xfId="0" applyAlignment="1" applyBorder="1" applyFont="1">
      <alignment horizontal="center" shrinkToFit="0" wrapText="1"/>
    </xf>
    <xf borderId="3" fillId="4" fontId="3" numFmtId="0" xfId="0" applyAlignment="1" applyBorder="1" applyFont="1">
      <alignment shrinkToFit="0" vertical="bottom" wrapText="1"/>
    </xf>
    <xf borderId="3" fillId="3" fontId="3" numFmtId="0" xfId="0" applyAlignment="1" applyBorder="1" applyFont="1">
      <alignment horizontal="center"/>
    </xf>
    <xf borderId="3" fillId="4" fontId="3" numFmtId="0" xfId="0" applyAlignment="1" applyBorder="1" applyFont="1">
      <alignment horizontal="center"/>
    </xf>
    <xf borderId="0" fillId="3" fontId="3" numFmtId="0" xfId="0" applyAlignment="1" applyFont="1">
      <alignment shrinkToFit="0" vertical="bottom" wrapText="0"/>
    </xf>
    <xf borderId="0" fillId="3" fontId="3" numFmtId="0" xfId="0" applyAlignment="1" applyFont="1">
      <alignment horizontal="left" shrinkToFit="0" vertical="bottom" wrapText="1"/>
    </xf>
    <xf borderId="0" fillId="3" fontId="3" numFmtId="166" xfId="0" applyAlignment="1" applyFont="1" applyNumberFormat="1">
      <alignment horizontal="left" readingOrder="0" shrinkToFit="0" vertical="bottom" wrapText="1"/>
    </xf>
    <xf borderId="0" fillId="0" fontId="10" numFmtId="0" xfId="0" applyAlignment="1" applyFont="1">
      <alignment readingOrder="0" shrinkToFit="0" vertical="bottom" wrapText="1"/>
    </xf>
    <xf borderId="0" fillId="2" fontId="37" numFmtId="0" xfId="0" applyAlignment="1" applyFont="1">
      <alignment readingOrder="0" shrinkToFit="0" wrapText="1"/>
    </xf>
    <xf borderId="0" fillId="3" fontId="3" numFmtId="0" xfId="0" applyAlignment="1" applyFont="1">
      <alignment horizontal="left"/>
    </xf>
  </cellXfs>
  <cellStyles count="1">
    <cellStyle xfId="0" name="Normal" builtinId="0"/>
  </cellStyles>
  <dxfs count="1">
    <dxf>
      <font/>
      <fill>
        <patternFill patternType="solid">
          <fgColor rgb="FFE06666"/>
          <bgColor rgb="FFE06666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://archikam.ru/" TargetMode="External"/><Relationship Id="rId194" Type="http://schemas.openxmlformats.org/officeDocument/2006/relationships/hyperlink" Target="http://betonconstruct.ru/" TargetMode="External"/><Relationship Id="rId193" Type="http://schemas.openxmlformats.org/officeDocument/2006/relationships/hyperlink" Target="http://ekoyar.ru/" TargetMode="External"/><Relationship Id="rId192" Type="http://schemas.openxmlformats.org/officeDocument/2006/relationships/hyperlink" Target="http://yarkolco.ru/" TargetMode="External"/><Relationship Id="rId191" Type="http://schemas.openxmlformats.org/officeDocument/2006/relationships/hyperlink" Target="http://dedogor.ru/" TargetMode="External"/><Relationship Id="rId187" Type="http://schemas.openxmlformats.org/officeDocument/2006/relationships/hyperlink" Target="http://makrapolis.ru/" TargetMode="External"/><Relationship Id="rId186" Type="http://schemas.openxmlformats.org/officeDocument/2006/relationships/hyperlink" Target="http://utsm.ru/" TargetMode="External"/><Relationship Id="rId185" Type="http://schemas.openxmlformats.org/officeDocument/2006/relationships/hyperlink" Target="http://doborny.gorcomm.ru/" TargetMode="External"/><Relationship Id="rId184" Type="http://schemas.openxmlformats.org/officeDocument/2006/relationships/hyperlink" Target="http://zhbk40.tomsk.ru/" TargetMode="External"/><Relationship Id="rId189" Type="http://schemas.openxmlformats.org/officeDocument/2006/relationships/hyperlink" Target="http://ecoplit.ru/" TargetMode="External"/><Relationship Id="rId188" Type="http://schemas.openxmlformats.org/officeDocument/2006/relationships/hyperlink" Target="http://tzbi1.ru/" TargetMode="External"/><Relationship Id="rId183" Type="http://schemas.openxmlformats.org/officeDocument/2006/relationships/hyperlink" Target="http://volgaform.ru/" TargetMode="External"/><Relationship Id="rId182" Type="http://schemas.openxmlformats.org/officeDocument/2006/relationships/hyperlink" Target="http://armadaperm.ru/" TargetMode="External"/><Relationship Id="rId181" Type="http://schemas.openxmlformats.org/officeDocument/2006/relationships/hyperlink" Target="http://permgazobeton.ru/" TargetMode="External"/><Relationship Id="rId180" Type="http://schemas.openxmlformats.org/officeDocument/2006/relationships/hyperlink" Target="http://kpp33.ru/" TargetMode="External"/><Relationship Id="rId176" Type="http://schemas.openxmlformats.org/officeDocument/2006/relationships/hyperlink" Target="http://plitfasad.ru/" TargetMode="External"/><Relationship Id="rId297" Type="http://schemas.openxmlformats.org/officeDocument/2006/relationships/hyperlink" Target="mailto:zakaz@gbz1.ru" TargetMode="External"/><Relationship Id="rId175" Type="http://schemas.openxmlformats.org/officeDocument/2006/relationships/hyperlink" Target="http://kgbmk.ru/" TargetMode="External"/><Relationship Id="rId296" Type="http://schemas.openxmlformats.org/officeDocument/2006/relationships/hyperlink" Target="http://www.gazobeton-volga.ru/" TargetMode="External"/><Relationship Id="rId174" Type="http://schemas.openxmlformats.org/officeDocument/2006/relationships/hyperlink" Target="http://rbu.ucoz.ru/" TargetMode="External"/><Relationship Id="rId295" Type="http://schemas.openxmlformats.org/officeDocument/2006/relationships/hyperlink" Target="mailto:dzheliev_ao@v-k-b.ru" TargetMode="External"/><Relationship Id="rId173" Type="http://schemas.openxmlformats.org/officeDocument/2006/relationships/hyperlink" Target="http://kirpichstroy.narod.ru/" TargetMode="External"/><Relationship Id="rId294" Type="http://schemas.openxmlformats.org/officeDocument/2006/relationships/hyperlink" Target="http://www.ksmk.ru/" TargetMode="External"/><Relationship Id="rId179" Type="http://schemas.openxmlformats.org/officeDocument/2006/relationships/hyperlink" Target="about:blank" TargetMode="External"/><Relationship Id="rId178" Type="http://schemas.openxmlformats.org/officeDocument/2006/relationships/hyperlink" Target="http://jbk9.ru/" TargetMode="External"/><Relationship Id="rId299" Type="http://schemas.openxmlformats.org/officeDocument/2006/relationships/hyperlink" Target="https://agb65.ru/" TargetMode="External"/><Relationship Id="rId177" Type="http://schemas.openxmlformats.org/officeDocument/2006/relationships/hyperlink" Target="about:blank" TargetMode="External"/><Relationship Id="rId298" Type="http://schemas.openxmlformats.org/officeDocument/2006/relationships/hyperlink" Target="http://www.dskgras.ru/" TargetMode="External"/><Relationship Id="rId198" Type="http://schemas.openxmlformats.org/officeDocument/2006/relationships/hyperlink" Target="http://fasadpolimer.com/" TargetMode="External"/><Relationship Id="rId197" Type="http://schemas.openxmlformats.org/officeDocument/2006/relationships/hyperlink" Target="http://kirovssk.ru/" TargetMode="External"/><Relationship Id="rId196" Type="http://schemas.openxmlformats.org/officeDocument/2006/relationships/hyperlink" Target="http://jbi-4.ru/" TargetMode="External"/><Relationship Id="rId195" Type="http://schemas.openxmlformats.org/officeDocument/2006/relationships/hyperlink" Target="http://ava-sm.ru/" TargetMode="External"/><Relationship Id="rId199" Type="http://schemas.openxmlformats.org/officeDocument/2006/relationships/hyperlink" Target="http://silicatbrick.ru/" TargetMode="External"/><Relationship Id="rId150" Type="http://schemas.openxmlformats.org/officeDocument/2006/relationships/hyperlink" Target="http://tehnomonolit.ru/" TargetMode="External"/><Relationship Id="rId271" Type="http://schemas.openxmlformats.org/officeDocument/2006/relationships/hyperlink" Target="mailto:fabrikabi@mail.ru" TargetMode="External"/><Relationship Id="rId392" Type="http://schemas.openxmlformats.org/officeDocument/2006/relationships/hyperlink" Target="http://standart-resurs.ru/" TargetMode="External"/><Relationship Id="rId270" Type="http://schemas.openxmlformats.org/officeDocument/2006/relationships/hyperlink" Target="https://fabrikabi.ru/" TargetMode="External"/><Relationship Id="rId391" Type="http://schemas.openxmlformats.org/officeDocument/2006/relationships/hyperlink" Target="http://betocube.ru/" TargetMode="External"/><Relationship Id="rId390" Type="http://schemas.openxmlformats.org/officeDocument/2006/relationships/hyperlink" Target="about:blank" TargetMode="External"/><Relationship Id="rId1" Type="http://schemas.openxmlformats.org/officeDocument/2006/relationships/hyperlink" Target="http://peskoblok-irk.ru/" TargetMode="External"/><Relationship Id="rId2" Type="http://schemas.openxmlformats.org/officeDocument/2006/relationships/hyperlink" Target="http://sculptor38.ru/" TargetMode="External"/><Relationship Id="rId3" Type="http://schemas.openxmlformats.org/officeDocument/2006/relationships/hyperlink" Target="https://sib-ksi.ru/" TargetMode="External"/><Relationship Id="rId149" Type="http://schemas.openxmlformats.org/officeDocument/2006/relationships/hyperlink" Target="http://gbi.perm.ru/" TargetMode="External"/><Relationship Id="rId4" Type="http://schemas.openxmlformats.org/officeDocument/2006/relationships/hyperlink" Target="http://stroy27.ru/" TargetMode="External"/><Relationship Id="rId148" Type="http://schemas.openxmlformats.org/officeDocument/2006/relationships/hyperlink" Target="https://www.plitkanaveka.ru/" TargetMode="External"/><Relationship Id="rId269" Type="http://schemas.openxmlformats.org/officeDocument/2006/relationships/hyperlink" Target="mailto:fabrikabi@mail.ru" TargetMode="External"/><Relationship Id="rId9" Type="http://schemas.openxmlformats.org/officeDocument/2006/relationships/hyperlink" Target="http://prom-gbi.ru/" TargetMode="External"/><Relationship Id="rId143" Type="http://schemas.openxmlformats.org/officeDocument/2006/relationships/hyperlink" Target="http://beton02.ru/" TargetMode="External"/><Relationship Id="rId264" Type="http://schemas.openxmlformats.org/officeDocument/2006/relationships/hyperlink" Target="https://zhbikzn.ru/" TargetMode="External"/><Relationship Id="rId385" Type="http://schemas.openxmlformats.org/officeDocument/2006/relationships/hyperlink" Target="http://ksm-rss.ru/" TargetMode="External"/><Relationship Id="rId142" Type="http://schemas.openxmlformats.org/officeDocument/2006/relationships/hyperlink" Target="http://monolit-i-k.ru/" TargetMode="External"/><Relationship Id="rId263" Type="http://schemas.openxmlformats.org/officeDocument/2006/relationships/hyperlink" Target="mailto:zavod_izkm@mail.ru" TargetMode="External"/><Relationship Id="rId384" Type="http://schemas.openxmlformats.org/officeDocument/2006/relationships/hyperlink" Target="http://teresvl.ru/" TargetMode="External"/><Relationship Id="rId141" Type="http://schemas.openxmlformats.org/officeDocument/2006/relationships/hyperlink" Target="http://elitcomstroy.ru/" TargetMode="External"/><Relationship Id="rId262" Type="http://schemas.openxmlformats.org/officeDocument/2006/relationships/hyperlink" Target="https://www.izkm.ru/" TargetMode="External"/><Relationship Id="rId383" Type="http://schemas.openxmlformats.org/officeDocument/2006/relationships/hyperlink" Target="http://centrbetona.ru/" TargetMode="External"/><Relationship Id="rId140" Type="http://schemas.openxmlformats.org/officeDocument/2006/relationships/hyperlink" Target="http://kamenotes.org/" TargetMode="External"/><Relationship Id="rId261" Type="http://schemas.openxmlformats.org/officeDocument/2006/relationships/hyperlink" Target="https://euroblok-kzn.ru/" TargetMode="External"/><Relationship Id="rId382" Type="http://schemas.openxmlformats.org/officeDocument/2006/relationships/hyperlink" Target="http://toguchinbeton.ru/" TargetMode="External"/><Relationship Id="rId5" Type="http://schemas.openxmlformats.org/officeDocument/2006/relationships/hyperlink" Target="http://jamera.ru/" TargetMode="External"/><Relationship Id="rId147" Type="http://schemas.openxmlformats.org/officeDocument/2006/relationships/hyperlink" Target="http://bugulma-zjbi.ru/" TargetMode="External"/><Relationship Id="rId268" Type="http://schemas.openxmlformats.org/officeDocument/2006/relationships/hyperlink" Target="https://fabrikabi.ru/" TargetMode="External"/><Relationship Id="rId389" Type="http://schemas.openxmlformats.org/officeDocument/2006/relationships/hyperlink" Target="about:blank" TargetMode="External"/><Relationship Id="rId6" Type="http://schemas.openxmlformats.org/officeDocument/2006/relationships/hyperlink" Target="http://biopp-shop.ru/" TargetMode="External"/><Relationship Id="rId146" Type="http://schemas.openxmlformats.org/officeDocument/2006/relationships/hyperlink" Target="about:blank" TargetMode="External"/><Relationship Id="rId267" Type="http://schemas.openxmlformats.org/officeDocument/2006/relationships/hyperlink" Target="mailto:keramzit-ksm@mail.ru" TargetMode="External"/><Relationship Id="rId388" Type="http://schemas.openxmlformats.org/officeDocument/2006/relationships/hyperlink" Target="http://bru12.ru/" TargetMode="External"/><Relationship Id="rId7" Type="http://schemas.openxmlformats.org/officeDocument/2006/relationships/hyperlink" Target="https://st-proekt.net/" TargetMode="External"/><Relationship Id="rId145" Type="http://schemas.openxmlformats.org/officeDocument/2006/relationships/hyperlink" Target="http://vsm73.ru/" TargetMode="External"/><Relationship Id="rId266" Type="http://schemas.openxmlformats.org/officeDocument/2006/relationships/hyperlink" Target="http://ksm-enem.ru/" TargetMode="External"/><Relationship Id="rId387" Type="http://schemas.openxmlformats.org/officeDocument/2006/relationships/hyperlink" Target="http://atombz.ru/" TargetMode="External"/><Relationship Id="rId8" Type="http://schemas.openxmlformats.org/officeDocument/2006/relationships/hyperlink" Target="http://ecobeton.info/" TargetMode="External"/><Relationship Id="rId144" Type="http://schemas.openxmlformats.org/officeDocument/2006/relationships/hyperlink" Target="http://eydos.ru/" TargetMode="External"/><Relationship Id="rId265" Type="http://schemas.openxmlformats.org/officeDocument/2006/relationships/hyperlink" Target="mailto:oksanamarkova@bk.ru" TargetMode="External"/><Relationship Id="rId386" Type="http://schemas.openxmlformats.org/officeDocument/2006/relationships/hyperlink" Target="about:blank" TargetMode="External"/><Relationship Id="rId260" Type="http://schemas.openxmlformats.org/officeDocument/2006/relationships/hyperlink" Target="https://skb21.ru/" TargetMode="External"/><Relationship Id="rId381" Type="http://schemas.openxmlformats.org/officeDocument/2006/relationships/hyperlink" Target="http://beton.strussa.biz/" TargetMode="External"/><Relationship Id="rId380" Type="http://schemas.openxmlformats.org/officeDocument/2006/relationships/hyperlink" Target="http://kulsh.ru/" TargetMode="External"/><Relationship Id="rId139" Type="http://schemas.openxmlformats.org/officeDocument/2006/relationships/hyperlink" Target="http://kolca74.ru/" TargetMode="External"/><Relationship Id="rId138" Type="http://schemas.openxmlformats.org/officeDocument/2006/relationships/hyperlink" Target="http://zyab.ru/" TargetMode="External"/><Relationship Id="rId259" Type="http://schemas.openxmlformats.org/officeDocument/2006/relationships/hyperlink" Target="https://www.list-org.com/go?site=7294517" TargetMode="External"/><Relationship Id="rId137" Type="http://schemas.openxmlformats.org/officeDocument/2006/relationships/hyperlink" Target="http://sibaviastroy.ru/" TargetMode="External"/><Relationship Id="rId258" Type="http://schemas.openxmlformats.org/officeDocument/2006/relationships/hyperlink" Target="http://ooonpz.ru" TargetMode="External"/><Relationship Id="rId379" Type="http://schemas.openxmlformats.org/officeDocument/2006/relationships/hyperlink" Target="about:blank" TargetMode="External"/><Relationship Id="rId132" Type="http://schemas.openxmlformats.org/officeDocument/2006/relationships/hyperlink" Target="http://gbi-vp.ru/" TargetMode="External"/><Relationship Id="rId253" Type="http://schemas.openxmlformats.org/officeDocument/2006/relationships/hyperlink" Target="http://remzltd.ru" TargetMode="External"/><Relationship Id="rId374" Type="http://schemas.openxmlformats.org/officeDocument/2006/relationships/hyperlink" Target="http://mtbeton.ru/" TargetMode="External"/><Relationship Id="rId131" Type="http://schemas.openxmlformats.org/officeDocument/2006/relationships/hyperlink" Target="http://bsdbel.ru/" TargetMode="External"/><Relationship Id="rId252" Type="http://schemas.openxmlformats.org/officeDocument/2006/relationships/hyperlink" Target="http://abinmetall.ru" TargetMode="External"/><Relationship Id="rId373" Type="http://schemas.openxmlformats.org/officeDocument/2006/relationships/hyperlink" Target="http://daskon-tour.ru/" TargetMode="External"/><Relationship Id="rId130" Type="http://schemas.openxmlformats.org/officeDocument/2006/relationships/hyperlink" Target="http://belpleks31.ru/" TargetMode="External"/><Relationship Id="rId251" Type="http://schemas.openxmlformats.org/officeDocument/2006/relationships/hyperlink" Target="http://tula-steel.ru" TargetMode="External"/><Relationship Id="rId372" Type="http://schemas.openxmlformats.org/officeDocument/2006/relationships/hyperlink" Target="http://ecobeton.msk.ru/" TargetMode="External"/><Relationship Id="rId250" Type="http://schemas.openxmlformats.org/officeDocument/2006/relationships/hyperlink" Target="http://severstalmetiz.com" TargetMode="External"/><Relationship Id="rId371" Type="http://schemas.openxmlformats.org/officeDocument/2006/relationships/hyperlink" Target="http://regionstroibeton.ru/" TargetMode="External"/><Relationship Id="rId136" Type="http://schemas.openxmlformats.org/officeDocument/2006/relationships/hyperlink" Target="http://orenbeton.ru/" TargetMode="External"/><Relationship Id="rId257" Type="http://schemas.openxmlformats.org/officeDocument/2006/relationships/hyperlink" Target="http://balakovo.severstal.com" TargetMode="External"/><Relationship Id="rId378" Type="http://schemas.openxmlformats.org/officeDocument/2006/relationships/hyperlink" Target="https://mirastroy.ru/" TargetMode="External"/><Relationship Id="rId135" Type="http://schemas.openxmlformats.org/officeDocument/2006/relationships/hyperlink" Target="about:blank" TargetMode="External"/><Relationship Id="rId256" Type="http://schemas.openxmlformats.org/officeDocument/2006/relationships/hyperlink" Target="https://ural.nlmk.com/ru/" TargetMode="External"/><Relationship Id="rId377" Type="http://schemas.openxmlformats.org/officeDocument/2006/relationships/hyperlink" Target="http://moscow.tskbeton.ru/" TargetMode="External"/><Relationship Id="rId134" Type="http://schemas.openxmlformats.org/officeDocument/2006/relationships/hyperlink" Target="http://zhbk2.ru/" TargetMode="External"/><Relationship Id="rId255" Type="http://schemas.openxmlformats.org/officeDocument/2006/relationships/hyperlink" Target="http://mmc-steel.ru" TargetMode="External"/><Relationship Id="rId376" Type="http://schemas.openxmlformats.org/officeDocument/2006/relationships/hyperlink" Target="http://7493434.ru/" TargetMode="External"/><Relationship Id="rId133" Type="http://schemas.openxmlformats.org/officeDocument/2006/relationships/hyperlink" Target="http://jbk3.ru/" TargetMode="External"/><Relationship Id="rId254" Type="http://schemas.openxmlformats.org/officeDocument/2006/relationships/hyperlink" Target="https://kaluga.nlmk.com/ru/" TargetMode="External"/><Relationship Id="rId375" Type="http://schemas.openxmlformats.org/officeDocument/2006/relationships/hyperlink" Target="http://betonmagnat.ru/" TargetMode="External"/><Relationship Id="rId172" Type="http://schemas.openxmlformats.org/officeDocument/2006/relationships/hyperlink" Target="about:blank" TargetMode="External"/><Relationship Id="rId293" Type="http://schemas.openxmlformats.org/officeDocument/2006/relationships/hyperlink" Target="mailto:ksmk@inbox.ru" TargetMode="External"/><Relationship Id="rId171" Type="http://schemas.openxmlformats.org/officeDocument/2006/relationships/hyperlink" Target="http://betongroup.ru/" TargetMode="External"/><Relationship Id="rId292" Type="http://schemas.openxmlformats.org/officeDocument/2006/relationships/hyperlink" Target="http://www.ksmk.ru/" TargetMode="External"/><Relationship Id="rId170" Type="http://schemas.openxmlformats.org/officeDocument/2006/relationships/hyperlink" Target="http://blokufa.ru/" TargetMode="External"/><Relationship Id="rId291" Type="http://schemas.openxmlformats.org/officeDocument/2006/relationships/hyperlink" Target="https://masix23.ru/" TargetMode="External"/><Relationship Id="rId290" Type="http://schemas.openxmlformats.org/officeDocument/2006/relationships/hyperlink" Target="http://omskblok.ru/" TargetMode="External"/><Relationship Id="rId165" Type="http://schemas.openxmlformats.org/officeDocument/2006/relationships/hyperlink" Target="http://kgbi-7.ru/" TargetMode="External"/><Relationship Id="rId286" Type="http://schemas.openxmlformats.org/officeDocument/2006/relationships/hyperlink" Target="http://www.todos-m.ru/" TargetMode="External"/><Relationship Id="rId164" Type="http://schemas.openxmlformats.org/officeDocument/2006/relationships/hyperlink" Target="http://xella-online.ru/" TargetMode="External"/><Relationship Id="rId285" Type="http://schemas.openxmlformats.org/officeDocument/2006/relationships/hyperlink" Target="https://aozyb.ru/" TargetMode="External"/><Relationship Id="rId163" Type="http://schemas.openxmlformats.org/officeDocument/2006/relationships/hyperlink" Target="http://festirim.ru/rossiya/moskva/trotuarnaya-plitka/342-mehanicheskii-zavod-oao/" TargetMode="External"/><Relationship Id="rId284" Type="http://schemas.openxmlformats.org/officeDocument/2006/relationships/hyperlink" Target="mailto:89990707070@mail.ru" TargetMode="External"/><Relationship Id="rId162" Type="http://schemas.openxmlformats.org/officeDocument/2006/relationships/hyperlink" Target="http://sibtsk.ru/" TargetMode="External"/><Relationship Id="rId283" Type="http://schemas.openxmlformats.org/officeDocument/2006/relationships/hyperlink" Target="https://krasnodar-blok.ru/" TargetMode="External"/><Relationship Id="rId169" Type="http://schemas.openxmlformats.org/officeDocument/2006/relationships/hyperlink" Target="http://ecozol.ru/" TargetMode="External"/><Relationship Id="rId168" Type="http://schemas.openxmlformats.org/officeDocument/2006/relationships/hyperlink" Target="http://archistone.ru/" TargetMode="External"/><Relationship Id="rId289" Type="http://schemas.openxmlformats.org/officeDocument/2006/relationships/hyperlink" Target="https://pzsp.ru/" TargetMode="External"/><Relationship Id="rId167" Type="http://schemas.openxmlformats.org/officeDocument/2006/relationships/hyperlink" Target="http://dom-250.ru/" TargetMode="External"/><Relationship Id="rId288" Type="http://schemas.openxmlformats.org/officeDocument/2006/relationships/hyperlink" Target="http://www.pzng.ru/" TargetMode="External"/><Relationship Id="rId166" Type="http://schemas.openxmlformats.org/officeDocument/2006/relationships/hyperlink" Target="http://nzsm.ru/" TargetMode="External"/><Relationship Id="rId287" Type="http://schemas.openxmlformats.org/officeDocument/2006/relationships/hyperlink" Target="https://www.ptgb.ru/" TargetMode="External"/><Relationship Id="rId161" Type="http://schemas.openxmlformats.org/officeDocument/2006/relationships/hyperlink" Target="http://gbki.ru/" TargetMode="External"/><Relationship Id="rId282" Type="http://schemas.openxmlformats.org/officeDocument/2006/relationships/hyperlink" Target="https://dsk-suor.ru/" TargetMode="External"/><Relationship Id="rId160" Type="http://schemas.openxmlformats.org/officeDocument/2006/relationships/hyperlink" Target="http://dsk-v.ru/" TargetMode="External"/><Relationship Id="rId281" Type="http://schemas.openxmlformats.org/officeDocument/2006/relationships/hyperlink" Target="http://dagkeramzit.ru/" TargetMode="External"/><Relationship Id="rId280" Type="http://schemas.openxmlformats.org/officeDocument/2006/relationships/hyperlink" Target="about:blank" TargetMode="External"/><Relationship Id="rId159" Type="http://schemas.openxmlformats.org/officeDocument/2006/relationships/hyperlink" Target="http://ssk-safonovo.ru/" TargetMode="External"/><Relationship Id="rId154" Type="http://schemas.openxmlformats.org/officeDocument/2006/relationships/hyperlink" Target="http://betonvufa.ru/" TargetMode="External"/><Relationship Id="rId275" Type="http://schemas.openxmlformats.org/officeDocument/2006/relationships/hyperlink" Target="mailto:osm_55@mail.ru" TargetMode="External"/><Relationship Id="rId396" Type="http://schemas.openxmlformats.org/officeDocument/2006/relationships/hyperlink" Target="http://art-betonstroy.ru/" TargetMode="External"/><Relationship Id="rId153" Type="http://schemas.openxmlformats.org/officeDocument/2006/relationships/hyperlink" Target="http://smolensk.det-ploshadka.ru/" TargetMode="External"/><Relationship Id="rId274" Type="http://schemas.openxmlformats.org/officeDocument/2006/relationships/hyperlink" Target="https://omstroymetall.ru/" TargetMode="External"/><Relationship Id="rId395" Type="http://schemas.openxmlformats.org/officeDocument/2006/relationships/hyperlink" Target="http://abz-leninskiy.ru/" TargetMode="External"/><Relationship Id="rId152" Type="http://schemas.openxmlformats.org/officeDocument/2006/relationships/hyperlink" Target="http://stroivermita.ru/" TargetMode="External"/><Relationship Id="rId273" Type="http://schemas.openxmlformats.org/officeDocument/2006/relationships/hyperlink" Target="about:blank" TargetMode="External"/><Relationship Id="rId394" Type="http://schemas.openxmlformats.org/officeDocument/2006/relationships/hyperlink" Target="http://erkon-beton.ru/" TargetMode="External"/><Relationship Id="rId151" Type="http://schemas.openxmlformats.org/officeDocument/2006/relationships/hyperlink" Target="http://jbi3.ru/" TargetMode="External"/><Relationship Id="rId272" Type="http://schemas.openxmlformats.org/officeDocument/2006/relationships/hyperlink" Target="https://partner-stroi.ru/" TargetMode="External"/><Relationship Id="rId393" Type="http://schemas.openxmlformats.org/officeDocument/2006/relationships/hyperlink" Target="http://mks-beton.ru/" TargetMode="External"/><Relationship Id="rId158" Type="http://schemas.openxmlformats.org/officeDocument/2006/relationships/hyperlink" Target="http://el-block.ru/" TargetMode="External"/><Relationship Id="rId279" Type="http://schemas.openxmlformats.org/officeDocument/2006/relationships/hyperlink" Target="http://kkzastra.narod.ru/" TargetMode="External"/><Relationship Id="rId157" Type="http://schemas.openxmlformats.org/officeDocument/2006/relationships/hyperlink" Target="http://nzsk.ru/" TargetMode="External"/><Relationship Id="rId278" Type="http://schemas.openxmlformats.org/officeDocument/2006/relationships/hyperlink" Target="https://kushvakeramzit.ru/" TargetMode="External"/><Relationship Id="rId399" Type="http://schemas.openxmlformats.org/officeDocument/2006/relationships/hyperlink" Target="about:blank" TargetMode="External"/><Relationship Id="rId156" Type="http://schemas.openxmlformats.org/officeDocument/2006/relationships/hyperlink" Target="http://gbi-12.ru/" TargetMode="External"/><Relationship Id="rId277" Type="http://schemas.openxmlformats.org/officeDocument/2006/relationships/hyperlink" Target="mailto:info@beton55.ru" TargetMode="External"/><Relationship Id="rId398" Type="http://schemas.openxmlformats.org/officeDocument/2006/relationships/hyperlink" Target="http://beton222.ru/" TargetMode="External"/><Relationship Id="rId155" Type="http://schemas.openxmlformats.org/officeDocument/2006/relationships/hyperlink" Target="http://nssk.ru/" TargetMode="External"/><Relationship Id="rId276" Type="http://schemas.openxmlformats.org/officeDocument/2006/relationships/hyperlink" Target="https://beton55.ru/" TargetMode="External"/><Relationship Id="rId397" Type="http://schemas.openxmlformats.org/officeDocument/2006/relationships/hyperlink" Target="http://triumf-opt.ru/" TargetMode="External"/><Relationship Id="rId40" Type="http://schemas.openxmlformats.org/officeDocument/2006/relationships/hyperlink" Target="http://archistone.ru/" TargetMode="External"/><Relationship Id="rId42" Type="http://schemas.openxmlformats.org/officeDocument/2006/relationships/hyperlink" Target="http://nicoinvest.ru/" TargetMode="External"/><Relationship Id="rId41" Type="http://schemas.openxmlformats.org/officeDocument/2006/relationships/hyperlink" Target="http://zao-economist.ru/" TargetMode="External"/><Relationship Id="rId44" Type="http://schemas.openxmlformats.org/officeDocument/2006/relationships/hyperlink" Target="http://dekorstonespb.ru/" TargetMode="External"/><Relationship Id="rId43" Type="http://schemas.openxmlformats.org/officeDocument/2006/relationships/hyperlink" Target="http://ava-beton.ru/" TargetMode="External"/><Relationship Id="rId46" Type="http://schemas.openxmlformats.org/officeDocument/2006/relationships/hyperlink" Target="http://trotuar.org/" TargetMode="External"/><Relationship Id="rId45" Type="http://schemas.openxmlformats.org/officeDocument/2006/relationships/hyperlink" Target="http://teplobeton93.ru/" TargetMode="External"/><Relationship Id="rId48" Type="http://schemas.openxmlformats.org/officeDocument/2006/relationships/hyperlink" Target="http://osnova-m.ru/" TargetMode="External"/><Relationship Id="rId47" Type="http://schemas.openxmlformats.org/officeDocument/2006/relationships/hyperlink" Target="http://kolcakol.ru/" TargetMode="External"/><Relationship Id="rId49" Type="http://schemas.openxmlformats.org/officeDocument/2006/relationships/hyperlink" Target="http://durisol.ru/" TargetMode="External"/><Relationship Id="rId31" Type="http://schemas.openxmlformats.org/officeDocument/2006/relationships/hyperlink" Target="http://imperial-corp.ru/" TargetMode="External"/><Relationship Id="rId30" Type="http://schemas.openxmlformats.org/officeDocument/2006/relationships/hyperlink" Target="http://defshovroch.ru/" TargetMode="External"/><Relationship Id="rId33" Type="http://schemas.openxmlformats.org/officeDocument/2006/relationships/hyperlink" Target="http://viimiracula.ru/" TargetMode="External"/><Relationship Id="rId32" Type="http://schemas.openxmlformats.org/officeDocument/2006/relationships/hyperlink" Target="http://1kkz.ru/" TargetMode="External"/><Relationship Id="rId35" Type="http://schemas.openxmlformats.org/officeDocument/2006/relationships/hyperlink" Target="http://spectrn.ru/" TargetMode="External"/><Relationship Id="rId34" Type="http://schemas.openxmlformats.org/officeDocument/2006/relationships/hyperlink" Target="http://250jbi.ru/" TargetMode="External"/><Relationship Id="rId37" Type="http://schemas.openxmlformats.org/officeDocument/2006/relationships/hyperlink" Target="http://smartstone.ru/" TargetMode="External"/><Relationship Id="rId36" Type="http://schemas.openxmlformats.org/officeDocument/2006/relationships/hyperlink" Target="http://rokot-taldom.ru/" TargetMode="External"/><Relationship Id="rId39" Type="http://schemas.openxmlformats.org/officeDocument/2006/relationships/hyperlink" Target="https://zhbi247.ru/" TargetMode="External"/><Relationship Id="rId38" Type="http://schemas.openxmlformats.org/officeDocument/2006/relationships/hyperlink" Target="http://zhbi247.ru/" TargetMode="External"/><Relationship Id="rId20" Type="http://schemas.openxmlformats.org/officeDocument/2006/relationships/hyperlink" Target="http://alvitis.com/" TargetMode="External"/><Relationship Id="rId22" Type="http://schemas.openxmlformats.org/officeDocument/2006/relationships/hyperlink" Target="http://penoblok-volokolamsk.ru/" TargetMode="External"/><Relationship Id="rId21" Type="http://schemas.openxmlformats.org/officeDocument/2006/relationships/hyperlink" Target="http://kgkarelia.ru/" TargetMode="External"/><Relationship Id="rId24" Type="http://schemas.openxmlformats.org/officeDocument/2006/relationships/hyperlink" Target="http://sbmineral.ru/" TargetMode="External"/><Relationship Id="rId23" Type="http://schemas.openxmlformats.org/officeDocument/2006/relationships/hyperlink" Target="http://tccgbi.ru/" TargetMode="External"/><Relationship Id="rId409" Type="http://schemas.openxmlformats.org/officeDocument/2006/relationships/hyperlink" Target="http://zsb-altai.ru/" TargetMode="External"/><Relationship Id="rId404" Type="http://schemas.openxmlformats.org/officeDocument/2006/relationships/hyperlink" Target="http://omskgrad.ru/" TargetMode="External"/><Relationship Id="rId403" Type="http://schemas.openxmlformats.org/officeDocument/2006/relationships/hyperlink" Target="http://skplustm.ru/" TargetMode="External"/><Relationship Id="rId402" Type="http://schemas.openxmlformats.org/officeDocument/2006/relationships/hyperlink" Target="http://pilon-stone.ru/" TargetMode="External"/><Relationship Id="rId401" Type="http://schemas.openxmlformats.org/officeDocument/2006/relationships/hyperlink" Target="https://avtobeton-alushta.ru/" TargetMode="External"/><Relationship Id="rId408" Type="http://schemas.openxmlformats.org/officeDocument/2006/relationships/hyperlink" Target="http://b-kirpichnik.nethouse.ru/" TargetMode="External"/><Relationship Id="rId407" Type="http://schemas.openxmlformats.org/officeDocument/2006/relationships/hyperlink" Target="http://gbisib.ru/" TargetMode="External"/><Relationship Id="rId406" Type="http://schemas.openxmlformats.org/officeDocument/2006/relationships/hyperlink" Target="http://m-zbk.ru/" TargetMode="External"/><Relationship Id="rId405" Type="http://schemas.openxmlformats.org/officeDocument/2006/relationships/hyperlink" Target="http://graniteks.ru/" TargetMode="External"/><Relationship Id="rId26" Type="http://schemas.openxmlformats.org/officeDocument/2006/relationships/hyperlink" Target="http://bloki-obninsk.ru/" TargetMode="External"/><Relationship Id="rId25" Type="http://schemas.openxmlformats.org/officeDocument/2006/relationships/hyperlink" Target="http://polibet.ru/" TargetMode="External"/><Relationship Id="rId28" Type="http://schemas.openxmlformats.org/officeDocument/2006/relationships/hyperlink" Target="http://agrostroy-rbu.ru/" TargetMode="External"/><Relationship Id="rId27" Type="http://schemas.openxmlformats.org/officeDocument/2006/relationships/hyperlink" Target="http://psosm.ru/" TargetMode="External"/><Relationship Id="rId400" Type="http://schemas.openxmlformats.org/officeDocument/2006/relationships/hyperlink" Target="http://stkdeviz.ru/" TargetMode="External"/><Relationship Id="rId29" Type="http://schemas.openxmlformats.org/officeDocument/2006/relationships/hyperlink" Target="http://aleksin-mag.ru/" TargetMode="External"/><Relationship Id="rId11" Type="http://schemas.openxmlformats.org/officeDocument/2006/relationships/hyperlink" Target="https://stena-block.ru/" TargetMode="External"/><Relationship Id="rId10" Type="http://schemas.openxmlformats.org/officeDocument/2006/relationships/hyperlink" Target="https://betoganza.ru/" TargetMode="External"/><Relationship Id="rId13" Type="http://schemas.openxmlformats.org/officeDocument/2006/relationships/hyperlink" Target="about:blank" TargetMode="External"/><Relationship Id="rId12" Type="http://schemas.openxmlformats.org/officeDocument/2006/relationships/hyperlink" Target="http://smolelitbeton.ru/" TargetMode="External"/><Relationship Id="rId15" Type="http://schemas.openxmlformats.org/officeDocument/2006/relationships/hyperlink" Target="http://slav-beton.ru/" TargetMode="External"/><Relationship Id="rId14" Type="http://schemas.openxmlformats.org/officeDocument/2006/relationships/hyperlink" Target="http://betonart.ru/" TargetMode="External"/><Relationship Id="rId17" Type="http://schemas.openxmlformats.org/officeDocument/2006/relationships/hyperlink" Target="http://udarnik74.ru/" TargetMode="External"/><Relationship Id="rId16" Type="http://schemas.openxmlformats.org/officeDocument/2006/relationships/hyperlink" Target="http://spmk4.ru/" TargetMode="External"/><Relationship Id="rId19" Type="http://schemas.openxmlformats.org/officeDocument/2006/relationships/hyperlink" Target="http://led-hit.ru/" TargetMode="External"/><Relationship Id="rId18" Type="http://schemas.openxmlformats.org/officeDocument/2006/relationships/hyperlink" Target="http://beton-crimea.com/" TargetMode="External"/><Relationship Id="rId84" Type="http://schemas.openxmlformats.org/officeDocument/2006/relationships/hyperlink" Target="http://avtoservis-m7.ru/" TargetMode="External"/><Relationship Id="rId83" Type="http://schemas.openxmlformats.org/officeDocument/2006/relationships/hyperlink" Target="http://blok-26.ru/" TargetMode="External"/><Relationship Id="rId86" Type="http://schemas.openxmlformats.org/officeDocument/2006/relationships/hyperlink" Target="http://kpd210.ru/" TargetMode="External"/><Relationship Id="rId85" Type="http://schemas.openxmlformats.org/officeDocument/2006/relationships/hyperlink" Target="http://kamennayaroza.ru/" TargetMode="External"/><Relationship Id="rId88" Type="http://schemas.openxmlformats.org/officeDocument/2006/relationships/hyperlink" Target="http://yuzh-veter.ru/" TargetMode="External"/><Relationship Id="rId87" Type="http://schemas.openxmlformats.org/officeDocument/2006/relationships/hyperlink" Target="http://dskgras.ru/" TargetMode="External"/><Relationship Id="rId89" Type="http://schemas.openxmlformats.org/officeDocument/2006/relationships/hyperlink" Target="http://spbscb.ru/" TargetMode="External"/><Relationship Id="rId80" Type="http://schemas.openxmlformats.org/officeDocument/2006/relationships/hyperlink" Target="http://kcc44.ru/" TargetMode="External"/><Relationship Id="rId82" Type="http://schemas.openxmlformats.org/officeDocument/2006/relationships/hyperlink" Target="about:blank" TargetMode="External"/><Relationship Id="rId81" Type="http://schemas.openxmlformats.org/officeDocument/2006/relationships/hyperlink" Target="about:blank" TargetMode="External"/><Relationship Id="rId73" Type="http://schemas.openxmlformats.org/officeDocument/2006/relationships/hyperlink" Target="http://gbi-5.net/" TargetMode="External"/><Relationship Id="rId72" Type="http://schemas.openxmlformats.org/officeDocument/2006/relationships/hyperlink" Target="http://beton-48.ru/" TargetMode="External"/><Relationship Id="rId75" Type="http://schemas.openxmlformats.org/officeDocument/2006/relationships/hyperlink" Target="http://rybinsk-beton.ru/" TargetMode="External"/><Relationship Id="rId74" Type="http://schemas.openxmlformats.org/officeDocument/2006/relationships/hyperlink" Target="http://sgb-yug.ru/" TargetMode="External"/><Relationship Id="rId77" Type="http://schemas.openxmlformats.org/officeDocument/2006/relationships/hyperlink" Target="http://fabrikabi.ru/" TargetMode="External"/><Relationship Id="rId76" Type="http://schemas.openxmlformats.org/officeDocument/2006/relationships/hyperlink" Target="http://gbi-kzn.ru/" TargetMode="External"/><Relationship Id="rId79" Type="http://schemas.openxmlformats.org/officeDocument/2006/relationships/hyperlink" Target="http://maria-kirpich.com/" TargetMode="External"/><Relationship Id="rId78" Type="http://schemas.openxmlformats.org/officeDocument/2006/relationships/hyperlink" Target="http://beton-masters.ru/index.php?option=com_content&amp;task=view&amp;id=23&amp;Itemid=47" TargetMode="External"/><Relationship Id="rId71" Type="http://schemas.openxmlformats.org/officeDocument/2006/relationships/hyperlink" Target="http://rs-gbi.ru/" TargetMode="External"/><Relationship Id="rId70" Type="http://schemas.openxmlformats.org/officeDocument/2006/relationships/hyperlink" Target="http://kraftbeton.ru/" TargetMode="External"/><Relationship Id="rId62" Type="http://schemas.openxmlformats.org/officeDocument/2006/relationships/hyperlink" Target="http://k-gbi.ru/" TargetMode="External"/><Relationship Id="rId61" Type="http://schemas.openxmlformats.org/officeDocument/2006/relationships/hyperlink" Target="http://evromramor-vrn.ru/" TargetMode="External"/><Relationship Id="rId64" Type="http://schemas.openxmlformats.org/officeDocument/2006/relationships/hyperlink" Target="http://gib-plita.ru/" TargetMode="External"/><Relationship Id="rId63" Type="http://schemas.openxmlformats.org/officeDocument/2006/relationships/hyperlink" Target="http://stroydvor-ug.ru/" TargetMode="External"/><Relationship Id="rId66" Type="http://schemas.openxmlformats.org/officeDocument/2006/relationships/hyperlink" Target="http://gbipokrov.ru/" TargetMode="External"/><Relationship Id="rId65" Type="http://schemas.openxmlformats.org/officeDocument/2006/relationships/hyperlink" Target="http://beton-s.net/" TargetMode="External"/><Relationship Id="rId68" Type="http://schemas.openxmlformats.org/officeDocument/2006/relationships/hyperlink" Target="about:blank" TargetMode="External"/><Relationship Id="rId67" Type="http://schemas.openxmlformats.org/officeDocument/2006/relationships/hyperlink" Target="about:blank" TargetMode="External"/><Relationship Id="rId60" Type="http://schemas.openxmlformats.org/officeDocument/2006/relationships/hyperlink" Target="http://azimuth-group.com/" TargetMode="External"/><Relationship Id="rId69" Type="http://schemas.openxmlformats.org/officeDocument/2006/relationships/hyperlink" Target="http://zavodarbet.ru/" TargetMode="External"/><Relationship Id="rId51" Type="http://schemas.openxmlformats.org/officeDocument/2006/relationships/hyperlink" Target="http://synstone.ru/" TargetMode="External"/><Relationship Id="rId50" Type="http://schemas.openxmlformats.org/officeDocument/2006/relationships/hyperlink" Target="http://blokplastbeton.ru/" TargetMode="External"/><Relationship Id="rId53" Type="http://schemas.openxmlformats.org/officeDocument/2006/relationships/hyperlink" Target="http://mybeton.ru/" TargetMode="External"/><Relationship Id="rId52" Type="http://schemas.openxmlformats.org/officeDocument/2006/relationships/hyperlink" Target="http://hgbi.ru/" TargetMode="External"/><Relationship Id="rId55" Type="http://schemas.openxmlformats.org/officeDocument/2006/relationships/hyperlink" Target="http://aleksplitka.ru/" TargetMode="External"/><Relationship Id="rId54" Type="http://schemas.openxmlformats.org/officeDocument/2006/relationships/hyperlink" Target="http://elportal.lipetsk.ru/" TargetMode="External"/><Relationship Id="rId57" Type="http://schemas.openxmlformats.org/officeDocument/2006/relationships/hyperlink" Target="http://pspbeton.ru/" TargetMode="External"/><Relationship Id="rId56" Type="http://schemas.openxmlformats.org/officeDocument/2006/relationships/hyperlink" Target="http://blagoustroitel76.ru/" TargetMode="External"/><Relationship Id="rId59" Type="http://schemas.openxmlformats.org/officeDocument/2006/relationships/hyperlink" Target="http://block-gbi.ru/" TargetMode="External"/><Relationship Id="rId58" Type="http://schemas.openxmlformats.org/officeDocument/2006/relationships/hyperlink" Target="https://apt-ug.ru/" TargetMode="External"/><Relationship Id="rId107" Type="http://schemas.openxmlformats.org/officeDocument/2006/relationships/hyperlink" Target="http://oaosilikat.ru/" TargetMode="External"/><Relationship Id="rId228" Type="http://schemas.openxmlformats.org/officeDocument/2006/relationships/hyperlink" Target="http://www.site.ru/" TargetMode="External"/><Relationship Id="rId349" Type="http://schemas.openxmlformats.org/officeDocument/2006/relationships/hyperlink" Target="http://avstromobil.ru/" TargetMode="External"/><Relationship Id="rId106" Type="http://schemas.openxmlformats.org/officeDocument/2006/relationships/hyperlink" Target="http://szsm.ctk-tm.ru/" TargetMode="External"/><Relationship Id="rId227" Type="http://schemas.openxmlformats.org/officeDocument/2006/relationships/hyperlink" Target="http://r24.fssprus.ru/" TargetMode="External"/><Relationship Id="rId348" Type="http://schemas.openxmlformats.org/officeDocument/2006/relationships/hyperlink" Target="about:blank" TargetMode="External"/><Relationship Id="rId105" Type="http://schemas.openxmlformats.org/officeDocument/2006/relationships/hyperlink" Target="http://zsmik.ru/" TargetMode="External"/><Relationship Id="rId226" Type="http://schemas.openxmlformats.org/officeDocument/2006/relationships/hyperlink" Target="about:blank" TargetMode="External"/><Relationship Id="rId347" Type="http://schemas.openxmlformats.org/officeDocument/2006/relationships/hyperlink" Target="http://karum.ru/" TargetMode="External"/><Relationship Id="rId104" Type="http://schemas.openxmlformats.org/officeDocument/2006/relationships/hyperlink" Target="http://profill-group.com/" TargetMode="External"/><Relationship Id="rId225" Type="http://schemas.openxmlformats.org/officeDocument/2006/relationships/hyperlink" Target="http://opr124.ru/" TargetMode="External"/><Relationship Id="rId346" Type="http://schemas.openxmlformats.org/officeDocument/2006/relationships/hyperlink" Target="http://votkinsk-beton.jimdo.com/" TargetMode="External"/><Relationship Id="rId109" Type="http://schemas.openxmlformats.org/officeDocument/2006/relationships/hyperlink" Target="http://apskg.ru/" TargetMode="External"/><Relationship Id="rId108" Type="http://schemas.openxmlformats.org/officeDocument/2006/relationships/hyperlink" Target="http://danbetonplus.ru/" TargetMode="External"/><Relationship Id="rId229" Type="http://schemas.openxmlformats.org/officeDocument/2006/relationships/hyperlink" Target="mailto:pochta@yandex.ru" TargetMode="External"/><Relationship Id="rId220" Type="http://schemas.openxmlformats.org/officeDocument/2006/relationships/hyperlink" Target="http://990379.ru/" TargetMode="External"/><Relationship Id="rId341" Type="http://schemas.openxmlformats.org/officeDocument/2006/relationships/hyperlink" Target="http://metalworks.ru/" TargetMode="External"/><Relationship Id="rId340" Type="http://schemas.openxmlformats.org/officeDocument/2006/relationships/hyperlink" Target="http://bcs-ufa.ru/" TargetMode="External"/><Relationship Id="rId103" Type="http://schemas.openxmlformats.org/officeDocument/2006/relationships/hyperlink" Target="http://firma-vis.ru/" TargetMode="External"/><Relationship Id="rId224" Type="http://schemas.openxmlformats.org/officeDocument/2006/relationships/hyperlink" Target="http://st-pamyat.ru/" TargetMode="External"/><Relationship Id="rId345" Type="http://schemas.openxmlformats.org/officeDocument/2006/relationships/hyperlink" Target="http://gilui.ru/" TargetMode="External"/><Relationship Id="rId102" Type="http://schemas.openxmlformats.org/officeDocument/2006/relationships/hyperlink" Target="http://stroydom-tver.ru/" TargetMode="External"/><Relationship Id="rId223" Type="http://schemas.openxmlformats.org/officeDocument/2006/relationships/hyperlink" Target="http://stroygorod.tomsk.ru/" TargetMode="External"/><Relationship Id="rId344" Type="http://schemas.openxmlformats.org/officeDocument/2006/relationships/hyperlink" Target="http://ch-m.ru/" TargetMode="External"/><Relationship Id="rId101" Type="http://schemas.openxmlformats.org/officeDocument/2006/relationships/hyperlink" Target="http://gost-beton.ru/" TargetMode="External"/><Relationship Id="rId222" Type="http://schemas.openxmlformats.org/officeDocument/2006/relationships/hyperlink" Target="http://beform.ru/" TargetMode="External"/><Relationship Id="rId343" Type="http://schemas.openxmlformats.org/officeDocument/2006/relationships/hyperlink" Target="http://betzavod.ru/main.html" TargetMode="External"/><Relationship Id="rId100" Type="http://schemas.openxmlformats.org/officeDocument/2006/relationships/hyperlink" Target="http://tms34.ru/" TargetMode="External"/><Relationship Id="rId221" Type="http://schemas.openxmlformats.org/officeDocument/2006/relationships/hyperlink" Target="http://polimerresurs.ru/" TargetMode="External"/><Relationship Id="rId342" Type="http://schemas.openxmlformats.org/officeDocument/2006/relationships/hyperlink" Target="http://kanti.ru/" TargetMode="External"/><Relationship Id="rId217" Type="http://schemas.openxmlformats.org/officeDocument/2006/relationships/hyperlink" Target="http://zavod.gis.ru/" TargetMode="External"/><Relationship Id="rId338" Type="http://schemas.openxmlformats.org/officeDocument/2006/relationships/hyperlink" Target="http://betonika.su/" TargetMode="External"/><Relationship Id="rId216" Type="http://schemas.openxmlformats.org/officeDocument/2006/relationships/hyperlink" Target="http://lider-biz.ru/" TargetMode="External"/><Relationship Id="rId337" Type="http://schemas.openxmlformats.org/officeDocument/2006/relationships/hyperlink" Target="http://bskbeton.ru/" TargetMode="External"/><Relationship Id="rId215" Type="http://schemas.openxmlformats.org/officeDocument/2006/relationships/hyperlink" Target="http://modern-stone.su/" TargetMode="External"/><Relationship Id="rId336" Type="http://schemas.openxmlformats.org/officeDocument/2006/relationships/hyperlink" Target="http://rbz1.ru/" TargetMode="External"/><Relationship Id="rId214" Type="http://schemas.openxmlformats.org/officeDocument/2006/relationships/hyperlink" Target="http://zavodpsd.ru/" TargetMode="External"/><Relationship Id="rId335" Type="http://schemas.openxmlformats.org/officeDocument/2006/relationships/hyperlink" Target="http://2211555.ru/" TargetMode="External"/><Relationship Id="rId219" Type="http://schemas.openxmlformats.org/officeDocument/2006/relationships/hyperlink" Target="http://606050.ru/" TargetMode="External"/><Relationship Id="rId218" Type="http://schemas.openxmlformats.org/officeDocument/2006/relationships/hyperlink" Target="http://in4me.ru/" TargetMode="External"/><Relationship Id="rId339" Type="http://schemas.openxmlformats.org/officeDocument/2006/relationships/hyperlink" Target="about:blank" TargetMode="External"/><Relationship Id="rId330" Type="http://schemas.openxmlformats.org/officeDocument/2006/relationships/hyperlink" Target="http://sbmonolit.ru/" TargetMode="External"/><Relationship Id="rId213" Type="http://schemas.openxmlformats.org/officeDocument/2006/relationships/hyperlink" Target="http://p-beton.sky.ru/" TargetMode="External"/><Relationship Id="rId334" Type="http://schemas.openxmlformats.org/officeDocument/2006/relationships/hyperlink" Target="http://abc52.ru/" TargetMode="External"/><Relationship Id="rId212" Type="http://schemas.openxmlformats.org/officeDocument/2006/relationships/hyperlink" Target="http://promenergobeton.ru/" TargetMode="External"/><Relationship Id="rId333" Type="http://schemas.openxmlformats.org/officeDocument/2006/relationships/hyperlink" Target="http://krasbeton.ru/" TargetMode="External"/><Relationship Id="rId211" Type="http://schemas.openxmlformats.org/officeDocument/2006/relationships/hyperlink" Target="http://zavodgbk.su/" TargetMode="External"/><Relationship Id="rId332" Type="http://schemas.openxmlformats.org/officeDocument/2006/relationships/hyperlink" Target="http://mosgbi.ru/" TargetMode="External"/><Relationship Id="rId210" Type="http://schemas.openxmlformats.org/officeDocument/2006/relationships/hyperlink" Target="http://gc-polur.ru/" TargetMode="External"/><Relationship Id="rId331" Type="http://schemas.openxmlformats.org/officeDocument/2006/relationships/hyperlink" Target="http://betas.su/" TargetMode="External"/><Relationship Id="rId370" Type="http://schemas.openxmlformats.org/officeDocument/2006/relationships/hyperlink" Target="http://ugbeton.com/" TargetMode="External"/><Relationship Id="rId129" Type="http://schemas.openxmlformats.org/officeDocument/2006/relationships/hyperlink" Target="http://samaradsk1.ru/" TargetMode="External"/><Relationship Id="rId128" Type="http://schemas.openxmlformats.org/officeDocument/2006/relationships/hyperlink" Target="http://farbstein-group.ru/" TargetMode="External"/><Relationship Id="rId249" Type="http://schemas.openxmlformats.org/officeDocument/2006/relationships/hyperlink" Target="http://www.bmk.ufanet.ru" TargetMode="External"/><Relationship Id="rId127" Type="http://schemas.openxmlformats.org/officeDocument/2006/relationships/hyperlink" Target="http://samara-intek.ru/" TargetMode="External"/><Relationship Id="rId248" Type="http://schemas.openxmlformats.org/officeDocument/2006/relationships/hyperlink" Target="https://ural.nlmk.com/ru/" TargetMode="External"/><Relationship Id="rId369" Type="http://schemas.openxmlformats.org/officeDocument/2006/relationships/hyperlink" Target="http://stroyregion21.ru/" TargetMode="External"/><Relationship Id="rId126" Type="http://schemas.openxmlformats.org/officeDocument/2006/relationships/hyperlink" Target="http://prozrachny-beton.com/" TargetMode="External"/><Relationship Id="rId247" Type="http://schemas.openxmlformats.org/officeDocument/2006/relationships/hyperlink" Target="https://www.list-org.com/search?type=name&amp;val=%D0%9E%D0%A2%D0%9A%D0%A0%D0%AB%D0%A2%D0%9E%D0%95%20%D0%90%D0%9A%D0%A6%D0%98%D0%9E%D0%9D%D0%95%D0%A0%D0%9D%D0%9E%D0%95%20%D0%9E%D0%91%D0%A9%D0%95%D0%A1%D0%A2%D0%92%D0%9E%20%20%D0%A1%D0%90%D0%9B%D0%94%D0%98%D0%9D%D0%A1%D0%9A%D0%98%D0%99%20%D0%9C%D0%95%D0%A2%D0%90%D0%9B%D0%9B%D0%A3%D0%A0%D0%93%D0%98%D0%A7%D0%95%D0%A1%D0%9A%D0%98%D0%99%20%D0%97%D0%90%D0%92%D0%9E%D0%94" TargetMode="External"/><Relationship Id="rId368" Type="http://schemas.openxmlformats.org/officeDocument/2006/relationships/hyperlink" Target="about:blank" TargetMode="External"/><Relationship Id="rId121" Type="http://schemas.openxmlformats.org/officeDocument/2006/relationships/hyperlink" Target="http://zjbik.com/" TargetMode="External"/><Relationship Id="rId242" Type="http://schemas.openxmlformats.org/officeDocument/2006/relationships/hyperlink" Target="mailto:sokolova_na@chmz.ru" TargetMode="External"/><Relationship Id="rId363" Type="http://schemas.openxmlformats.org/officeDocument/2006/relationships/hyperlink" Target="http://jbi-profstroy.ru/" TargetMode="External"/><Relationship Id="rId120" Type="http://schemas.openxmlformats.org/officeDocument/2006/relationships/hyperlink" Target="http://dsk-etalon.ru/" TargetMode="External"/><Relationship Id="rId241" Type="http://schemas.openxmlformats.org/officeDocument/2006/relationships/hyperlink" Target="http://chmz.ru" TargetMode="External"/><Relationship Id="rId362" Type="http://schemas.openxmlformats.org/officeDocument/2006/relationships/hyperlink" Target="http://poligon-kaluga.ru/" TargetMode="External"/><Relationship Id="rId240" Type="http://schemas.openxmlformats.org/officeDocument/2006/relationships/hyperlink" Target="https://www.list-org.com/search?type=name&amp;val=%D0%90%D0%BA%D1%86%D0%B8%D0%BE%D0%BD%D0%B5%D1%80%D0%BD%D0%BE%D0%B5%20%D0%BE%D0%B1%D1%89%D0%B5%D1%81%D1%82%D0%B2%D0%BE%20%20%D0%A7%D1%83%D1%81%D0%BE%D0%B2%D1%81%D0%BA%D0%BE%D0%B9%20%D0%BC%D0%B5%D1%82%D0%B0%D0%BB%D0%BB%D1%83%D1%80%D0%B3%D0%B8%D1%87%D0%B5%D1%81%D0%BA%D0%B8%D0%B9%20%D0%B7%D0%B0%D0%B2%D0%BE%D0%B4" TargetMode="External"/><Relationship Id="rId361" Type="http://schemas.openxmlformats.org/officeDocument/2006/relationships/hyperlink" Target="http://sibeton.ru/" TargetMode="External"/><Relationship Id="rId360" Type="http://schemas.openxmlformats.org/officeDocument/2006/relationships/hyperlink" Target="http://remontprof.umi.ru/" TargetMode="External"/><Relationship Id="rId125" Type="http://schemas.openxmlformats.org/officeDocument/2006/relationships/hyperlink" Target="about:blank" TargetMode="External"/><Relationship Id="rId246" Type="http://schemas.openxmlformats.org/officeDocument/2006/relationships/hyperlink" Target="https://mmk-metiz.ru" TargetMode="External"/><Relationship Id="rId367" Type="http://schemas.openxmlformats.org/officeDocument/2006/relationships/hyperlink" Target="http://rbu131.ru/" TargetMode="External"/><Relationship Id="rId124" Type="http://schemas.openxmlformats.org/officeDocument/2006/relationships/hyperlink" Target="http://bikton.ru/" TargetMode="External"/><Relationship Id="rId245" Type="http://schemas.openxmlformats.org/officeDocument/2006/relationships/hyperlink" Target="http://www.oemk.oskol.ru/" TargetMode="External"/><Relationship Id="rId366" Type="http://schemas.openxmlformats.org/officeDocument/2006/relationships/hyperlink" Target="http://progresiya.ru/" TargetMode="External"/><Relationship Id="rId123" Type="http://schemas.openxmlformats.org/officeDocument/2006/relationships/hyperlink" Target="http://kzhi.ru/" TargetMode="External"/><Relationship Id="rId244" Type="http://schemas.openxmlformats.org/officeDocument/2006/relationships/hyperlink" Target="http://www.amurstal.com/" TargetMode="External"/><Relationship Id="rId365" Type="http://schemas.openxmlformats.org/officeDocument/2006/relationships/hyperlink" Target="http://astroy-sv.ru/" TargetMode="External"/><Relationship Id="rId122" Type="http://schemas.openxmlformats.org/officeDocument/2006/relationships/hyperlink" Target="http://zsk34.ru/" TargetMode="External"/><Relationship Id="rId243" Type="http://schemas.openxmlformats.org/officeDocument/2006/relationships/hyperlink" Target="http://www.mmk.ru" TargetMode="External"/><Relationship Id="rId364" Type="http://schemas.openxmlformats.org/officeDocument/2006/relationships/hyperlink" Target="http://umis33.ru/" TargetMode="External"/><Relationship Id="rId95" Type="http://schemas.openxmlformats.org/officeDocument/2006/relationships/hyperlink" Target="http://boravtobeton.ru/" TargetMode="External"/><Relationship Id="rId94" Type="http://schemas.openxmlformats.org/officeDocument/2006/relationships/hyperlink" Target="http://dek-kamen.ru/" TargetMode="External"/><Relationship Id="rId97" Type="http://schemas.openxmlformats.org/officeDocument/2006/relationships/hyperlink" Target="http://tuapse-bzavod.ru/" TargetMode="External"/><Relationship Id="rId96" Type="http://schemas.openxmlformats.org/officeDocument/2006/relationships/hyperlink" Target="http://yugstroiart.ru/" TargetMode="External"/><Relationship Id="rId99" Type="http://schemas.openxmlformats.org/officeDocument/2006/relationships/hyperlink" Target="http://zhbi-6.ru/" TargetMode="External"/><Relationship Id="rId98" Type="http://schemas.openxmlformats.org/officeDocument/2006/relationships/hyperlink" Target="http://vzsmvlg.ru/" TargetMode="External"/><Relationship Id="rId91" Type="http://schemas.openxmlformats.org/officeDocument/2006/relationships/hyperlink" Target="http://nostalzhi.com/" TargetMode="External"/><Relationship Id="rId90" Type="http://schemas.openxmlformats.org/officeDocument/2006/relationships/hyperlink" Target="http://gbi3.com/" TargetMode="External"/><Relationship Id="rId93" Type="http://schemas.openxmlformats.org/officeDocument/2006/relationships/hyperlink" Target="http://terehovka.com/" TargetMode="External"/><Relationship Id="rId92" Type="http://schemas.openxmlformats.org/officeDocument/2006/relationships/hyperlink" Target="http://kpp-kirovskiy.ucoz.ru/" TargetMode="External"/><Relationship Id="rId118" Type="http://schemas.openxmlformats.org/officeDocument/2006/relationships/hyperlink" Target="https://www.beton4.ru/" TargetMode="External"/><Relationship Id="rId239" Type="http://schemas.openxmlformats.org/officeDocument/2006/relationships/hyperlink" Target="mailto:ofwork@bmz.gomel.by" TargetMode="External"/><Relationship Id="rId117" Type="http://schemas.openxmlformats.org/officeDocument/2006/relationships/hyperlink" Target="http://gbi-5.ru/" TargetMode="External"/><Relationship Id="rId238" Type="http://schemas.openxmlformats.org/officeDocument/2006/relationships/hyperlink" Target="https://belsteel.com/" TargetMode="External"/><Relationship Id="rId359" Type="http://schemas.openxmlformats.org/officeDocument/2006/relationships/hyperlink" Target="http://beton-werk.com/" TargetMode="External"/><Relationship Id="rId116" Type="http://schemas.openxmlformats.org/officeDocument/2006/relationships/hyperlink" Target="http://betonulyanovsk.ru/" TargetMode="External"/><Relationship Id="rId237" Type="http://schemas.openxmlformats.org/officeDocument/2006/relationships/hyperlink" Target="mailto:krilova_zv@nkmk.ru" TargetMode="External"/><Relationship Id="rId358" Type="http://schemas.openxmlformats.org/officeDocument/2006/relationships/hyperlink" Target="http://vik-beton.ru/" TargetMode="External"/><Relationship Id="rId115" Type="http://schemas.openxmlformats.org/officeDocument/2006/relationships/hyperlink" Target="http://stroibloc.ru/" TargetMode="External"/><Relationship Id="rId236" Type="http://schemas.openxmlformats.org/officeDocument/2006/relationships/hyperlink" Target="https://www.list-org.com/go?site=597" TargetMode="External"/><Relationship Id="rId357" Type="http://schemas.openxmlformats.org/officeDocument/2006/relationships/hyperlink" Target="http://sunirk-irk.ru/" TargetMode="External"/><Relationship Id="rId119" Type="http://schemas.openxmlformats.org/officeDocument/2006/relationships/hyperlink" Target="http://ks173.ru/" TargetMode="External"/><Relationship Id="rId110" Type="http://schemas.openxmlformats.org/officeDocument/2006/relationships/hyperlink" Target="http://rostum.ru/" TargetMode="External"/><Relationship Id="rId231" Type="http://schemas.openxmlformats.org/officeDocument/2006/relationships/hyperlink" Target="https://www.list-org.com/search?type=name&amp;val=%D0%9F%D0%A3%D0%91%D0%9B%D0%98%D0%A7%D0%9D%D0%9E%D0%95%20%D0%90%D0%9A%D0%A6%D0%98%D0%9E%D0%9D%D0%95%D0%A0%D0%9D%D0%9E%D0%95%20%D0%9E%D0%91%D0%A9%D0%95%D0%A1%D0%A2%D0%92%D0%9E%20%20%D0%A1%D0%95%D0%92%D0%95%D0%A0%D0%A1%D0%A2%D0%90%D0%9B%D0%AC" TargetMode="External"/><Relationship Id="rId352" Type="http://schemas.openxmlformats.org/officeDocument/2006/relationships/hyperlink" Target="http://beton001.ru/" TargetMode="External"/><Relationship Id="rId230" Type="http://schemas.openxmlformats.org/officeDocument/2006/relationships/hyperlink" Target="mailto:zakaz@metallexport.ru" TargetMode="External"/><Relationship Id="rId351" Type="http://schemas.openxmlformats.org/officeDocument/2006/relationships/hyperlink" Target="http://betongrad.ru/" TargetMode="External"/><Relationship Id="rId350" Type="http://schemas.openxmlformats.org/officeDocument/2006/relationships/hyperlink" Target="http://krymskbeton.ru/" TargetMode="External"/><Relationship Id="rId114" Type="http://schemas.openxmlformats.org/officeDocument/2006/relationships/hyperlink" Target="http://astra-beton.ru/" TargetMode="External"/><Relationship Id="rId235" Type="http://schemas.openxmlformats.org/officeDocument/2006/relationships/hyperlink" Target="mailto:sekr_kommerc@mechel.ru" TargetMode="External"/><Relationship Id="rId356" Type="http://schemas.openxmlformats.org/officeDocument/2006/relationships/hyperlink" Target="http://gsr33.ru/" TargetMode="External"/><Relationship Id="rId113" Type="http://schemas.openxmlformats.org/officeDocument/2006/relationships/hyperlink" Target="http://keramblok.ru/" TargetMode="External"/><Relationship Id="rId234" Type="http://schemas.openxmlformats.org/officeDocument/2006/relationships/hyperlink" Target="https://mechel.ru" TargetMode="External"/><Relationship Id="rId355" Type="http://schemas.openxmlformats.org/officeDocument/2006/relationships/hyperlink" Target="http://r31.fssprus.ru/" TargetMode="External"/><Relationship Id="rId112" Type="http://schemas.openxmlformats.org/officeDocument/2006/relationships/hyperlink" Target="http://pptk-energostroy.ru/" TargetMode="External"/><Relationship Id="rId233" Type="http://schemas.openxmlformats.org/officeDocument/2006/relationships/hyperlink" Target="mailto:severstal@severstal.com" TargetMode="External"/><Relationship Id="rId354" Type="http://schemas.openxmlformats.org/officeDocument/2006/relationships/hyperlink" Target="http://ugdorstroi.ru/" TargetMode="External"/><Relationship Id="rId111" Type="http://schemas.openxmlformats.org/officeDocument/2006/relationships/hyperlink" Target="http://kcc-ug.ru/" TargetMode="External"/><Relationship Id="rId232" Type="http://schemas.openxmlformats.org/officeDocument/2006/relationships/hyperlink" Target="https://www.list-org.com/go?site=1653" TargetMode="External"/><Relationship Id="rId353" Type="http://schemas.openxmlformats.org/officeDocument/2006/relationships/hyperlink" Target="http://nesyemnaya-opalubka-nakhodka.umi.ru/" TargetMode="External"/><Relationship Id="rId305" Type="http://schemas.openxmlformats.org/officeDocument/2006/relationships/hyperlink" Target="mailto:skirta@bgazobeton.ru" TargetMode="External"/><Relationship Id="rId304" Type="http://schemas.openxmlformats.org/officeDocument/2006/relationships/hyperlink" Target="http://silex.ru/" TargetMode="External"/><Relationship Id="rId303" Type="http://schemas.openxmlformats.org/officeDocument/2006/relationships/hyperlink" Target="mailto:zakaz@insi-blok.ru" TargetMode="External"/><Relationship Id="rId302" Type="http://schemas.openxmlformats.org/officeDocument/2006/relationships/hyperlink" Target="https://gazo-beton.ru/" TargetMode="External"/><Relationship Id="rId309" Type="http://schemas.openxmlformats.org/officeDocument/2006/relationships/hyperlink" Target="https://gazobeton-blok.ru/" TargetMode="External"/><Relationship Id="rId308" Type="http://schemas.openxmlformats.org/officeDocument/2006/relationships/hyperlink" Target="mailto:saa@teplit.ru" TargetMode="External"/><Relationship Id="rId307" Type="http://schemas.openxmlformats.org/officeDocument/2006/relationships/hyperlink" Target="https://twinblock.ru/" TargetMode="External"/><Relationship Id="rId306" Type="http://schemas.openxmlformats.org/officeDocument/2006/relationships/hyperlink" Target="mailto:bs77782@mail.ru" TargetMode="External"/><Relationship Id="rId301" Type="http://schemas.openxmlformats.org/officeDocument/2006/relationships/hyperlink" Target="mailto:info@gsblock.ru" TargetMode="External"/><Relationship Id="rId300" Type="http://schemas.openxmlformats.org/officeDocument/2006/relationships/hyperlink" Target="about:blank" TargetMode="External"/><Relationship Id="rId413" Type="http://schemas.openxmlformats.org/officeDocument/2006/relationships/drawing" Target="../drawings/drawing1.xml"/><Relationship Id="rId412" Type="http://schemas.openxmlformats.org/officeDocument/2006/relationships/hyperlink" Target="http://beton-abakan.ru/" TargetMode="External"/><Relationship Id="rId411" Type="http://schemas.openxmlformats.org/officeDocument/2006/relationships/hyperlink" Target="http://promkaltan.ru/" TargetMode="External"/><Relationship Id="rId410" Type="http://schemas.openxmlformats.org/officeDocument/2006/relationships/hyperlink" Target="http://master-krot.pe.hu/" TargetMode="External"/><Relationship Id="rId206" Type="http://schemas.openxmlformats.org/officeDocument/2006/relationships/hyperlink" Target="http://2mastaka.ru/" TargetMode="External"/><Relationship Id="rId327" Type="http://schemas.openxmlformats.org/officeDocument/2006/relationships/hyperlink" Target="about:blank" TargetMode="External"/><Relationship Id="rId205" Type="http://schemas.openxmlformats.org/officeDocument/2006/relationships/hyperlink" Target="http://penoblok-ek.ru/" TargetMode="External"/><Relationship Id="rId326" Type="http://schemas.openxmlformats.org/officeDocument/2006/relationships/hyperlink" Target="http://niks-k.ru/" TargetMode="External"/><Relationship Id="rId204" Type="http://schemas.openxmlformats.org/officeDocument/2006/relationships/hyperlink" Target="http://kzmp.org/" TargetMode="External"/><Relationship Id="rId325" Type="http://schemas.openxmlformats.org/officeDocument/2006/relationships/hyperlink" Target="http://sk-promstroinvest.ru/" TargetMode="External"/><Relationship Id="rId203" Type="http://schemas.openxmlformats.org/officeDocument/2006/relationships/hyperlink" Target="http://stroy-siv.ru/" TargetMode="External"/><Relationship Id="rId324" Type="http://schemas.openxmlformats.org/officeDocument/2006/relationships/hyperlink" Target="http://betontranserv.ru/" TargetMode="External"/><Relationship Id="rId209" Type="http://schemas.openxmlformats.org/officeDocument/2006/relationships/hyperlink" Target="http://prestige10.ru/" TargetMode="External"/><Relationship Id="rId208" Type="http://schemas.openxmlformats.org/officeDocument/2006/relationships/hyperlink" Target="http://bz-zhbi.ru/" TargetMode="External"/><Relationship Id="rId329" Type="http://schemas.openxmlformats.org/officeDocument/2006/relationships/hyperlink" Target="http://sz-beton.ru/" TargetMode="External"/><Relationship Id="rId207" Type="http://schemas.openxmlformats.org/officeDocument/2006/relationships/hyperlink" Target="http://concrete66.ru/" TargetMode="External"/><Relationship Id="rId328" Type="http://schemas.openxmlformats.org/officeDocument/2006/relationships/hyperlink" Target="http://bogorodskbeton.ru/" TargetMode="External"/><Relationship Id="rId202" Type="http://schemas.openxmlformats.org/officeDocument/2006/relationships/hyperlink" Target="http://technezis.com/" TargetMode="External"/><Relationship Id="rId323" Type="http://schemas.openxmlformats.org/officeDocument/2006/relationships/hyperlink" Target="http://omskblok.ru/" TargetMode="External"/><Relationship Id="rId201" Type="http://schemas.openxmlformats.org/officeDocument/2006/relationships/hyperlink" Target="https://stroysistema.org/" TargetMode="External"/><Relationship Id="rId322" Type="http://schemas.openxmlformats.org/officeDocument/2006/relationships/hyperlink" Target="http://cbi3.com/" TargetMode="External"/><Relationship Id="rId200" Type="http://schemas.openxmlformats.org/officeDocument/2006/relationships/hyperlink" Target="http://standard21.ru/" TargetMode="External"/><Relationship Id="rId321" Type="http://schemas.openxmlformats.org/officeDocument/2006/relationships/hyperlink" Target="http://betonrb.ru/" TargetMode="External"/><Relationship Id="rId320" Type="http://schemas.openxmlformats.org/officeDocument/2006/relationships/hyperlink" Target="http://beros63.ru/" TargetMode="External"/><Relationship Id="rId316" Type="http://schemas.openxmlformats.org/officeDocument/2006/relationships/hyperlink" Target="http://kuban-beton.ru/" TargetMode="External"/><Relationship Id="rId315" Type="http://schemas.openxmlformats.org/officeDocument/2006/relationships/hyperlink" Target="http://monolitservis.ru/" TargetMode="External"/><Relationship Id="rId314" Type="http://schemas.openxmlformats.org/officeDocument/2006/relationships/hyperlink" Target="http://ooobetonservis.ru/" TargetMode="External"/><Relationship Id="rId313" Type="http://schemas.openxmlformats.org/officeDocument/2006/relationships/hyperlink" Target="about:blank" TargetMode="External"/><Relationship Id="rId319" Type="http://schemas.openxmlformats.org/officeDocument/2006/relationships/hyperlink" Target="http://agropromdor.ru/" TargetMode="External"/><Relationship Id="rId318" Type="http://schemas.openxmlformats.org/officeDocument/2006/relationships/hyperlink" Target="http://formmat.ru/" TargetMode="External"/><Relationship Id="rId317" Type="http://schemas.openxmlformats.org/officeDocument/2006/relationships/hyperlink" Target="http://rbu-1.ru/" TargetMode="External"/><Relationship Id="rId312" Type="http://schemas.openxmlformats.org/officeDocument/2006/relationships/hyperlink" Target="mailto:alit@alit.su" TargetMode="External"/><Relationship Id="rId311" Type="http://schemas.openxmlformats.org/officeDocument/2006/relationships/hyperlink" Target="https://alit.su/" TargetMode="External"/><Relationship Id="rId310" Type="http://schemas.openxmlformats.org/officeDocument/2006/relationships/hyperlink" Target="mailto:chel@gazobeton-blok.r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5.75"/>
    <col customWidth="1" min="2" max="2" width="41.5"/>
    <col customWidth="1" min="3" max="3" width="47.5"/>
    <col customWidth="1" min="4" max="4" width="20.25"/>
    <col customWidth="1" min="5" max="5" width="12.5"/>
    <col customWidth="1" min="6" max="6" width="23.75"/>
    <col customWidth="1" min="7" max="7" width="8.13"/>
    <col customWidth="1" min="8" max="8" width="11.25"/>
    <col customWidth="1" min="10" max="10" width="46.63"/>
    <col customWidth="1" min="11" max="11" width="20.88"/>
    <col customWidth="1" min="12" max="12" width="27.0"/>
    <col customWidth="1" min="13" max="13" width="30.13"/>
  </cols>
  <sheetData>
    <row r="1" ht="21.0" customHeight="1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5"/>
      <c r="O1" s="5"/>
      <c r="P1" s="6"/>
      <c r="Q1" s="6"/>
      <c r="R1" s="5"/>
      <c r="S1" s="5"/>
      <c r="T1" s="5"/>
    </row>
    <row r="2">
      <c r="A2" s="7" t="s">
        <v>13</v>
      </c>
      <c r="B2" s="8" t="s">
        <v>14</v>
      </c>
      <c r="C2" s="8" t="s">
        <v>15</v>
      </c>
      <c r="D2" s="8" t="s">
        <v>16</v>
      </c>
      <c r="E2" s="9" t="s">
        <v>17</v>
      </c>
      <c r="F2" s="10" t="s">
        <v>18</v>
      </c>
      <c r="G2" s="8">
        <v>23.61</v>
      </c>
      <c r="H2" s="8"/>
      <c r="I2" s="10"/>
      <c r="J2" s="10" t="s">
        <v>19</v>
      </c>
      <c r="K2" s="10" t="s">
        <v>20</v>
      </c>
      <c r="L2" s="11" t="s">
        <v>21</v>
      </c>
      <c r="M2" s="11" t="s">
        <v>22</v>
      </c>
      <c r="N2" s="12"/>
      <c r="O2" s="12"/>
      <c r="P2" s="13">
        <f>IFERROR(__xludf.DUMMYFUNCTION("VALUE(SUBSTITUTE((INDEX(SPLIT(A2,"",""),1)),""."","","",1))"),54.580602)</f>
        <v>54.580602</v>
      </c>
      <c r="Q2" s="13">
        <f>IFERROR(__xludf.DUMMYFUNCTION("VALUE(SUBSTITUTE((INDEX(SPLIT(A2,"",""),2)),""."","","",1))"),100.562138)</f>
        <v>100.562138</v>
      </c>
      <c r="R2" s="14" t="b">
        <f t="shared" ref="R2:R8336" si="1">AND(P2&gt;72)</f>
        <v>0</v>
      </c>
      <c r="S2" s="14" t="str">
        <f t="shared" ref="S2:S8336" si="2">IF(R2,SUBSTITUTE(SUBSTITUTE(CONCATENATE(Q2,",",P2),",",".",1),",",".",2),A2)</f>
        <v>54.580602,100.562138</v>
      </c>
      <c r="T2" s="12"/>
    </row>
    <row r="3">
      <c r="A3" s="15" t="s">
        <v>23</v>
      </c>
      <c r="B3" s="16" t="s">
        <v>24</v>
      </c>
      <c r="C3" s="16" t="s">
        <v>25</v>
      </c>
      <c r="D3" s="16" t="s">
        <v>16</v>
      </c>
      <c r="E3" s="17" t="s">
        <v>26</v>
      </c>
      <c r="F3" s="16" t="s">
        <v>18</v>
      </c>
      <c r="G3" s="16">
        <v>23.61</v>
      </c>
      <c r="H3" s="16"/>
      <c r="I3" s="16"/>
      <c r="J3" s="16" t="s">
        <v>27</v>
      </c>
      <c r="K3" s="16" t="s">
        <v>28</v>
      </c>
      <c r="L3" s="16"/>
      <c r="M3" s="16"/>
      <c r="N3" s="12"/>
      <c r="O3" s="12"/>
      <c r="P3" s="13">
        <f>IFERROR(__xludf.DUMMYFUNCTION("VALUE(SUBSTITUTE((INDEX(SPLIT(A3,"",""),1)),""."","","",1))"),56.125736)</f>
        <v>56.125736</v>
      </c>
      <c r="Q3" s="13">
        <f>IFERROR(__xludf.DUMMYFUNCTION("VALUE(SUBSTITUTE((INDEX(SPLIT(A3,"",""),2)),""."","","",1))"),101.166677)</f>
        <v>101.166677</v>
      </c>
      <c r="R3" s="14" t="b">
        <f t="shared" si="1"/>
        <v>0</v>
      </c>
      <c r="S3" s="14" t="str">
        <f t="shared" si="2"/>
        <v>56.125736,101.166677</v>
      </c>
      <c r="T3" s="12"/>
    </row>
    <row r="4">
      <c r="A4" s="18" t="s">
        <v>29</v>
      </c>
      <c r="B4" s="8" t="s">
        <v>30</v>
      </c>
      <c r="C4" s="8" t="s">
        <v>31</v>
      </c>
      <c r="D4" s="8" t="s">
        <v>16</v>
      </c>
      <c r="E4" s="19" t="s">
        <v>32</v>
      </c>
      <c r="F4" s="8" t="s">
        <v>18</v>
      </c>
      <c r="G4" s="8">
        <v>23.61</v>
      </c>
      <c r="H4" s="8"/>
      <c r="I4" s="8"/>
      <c r="J4" s="8" t="s">
        <v>33</v>
      </c>
      <c r="K4" s="8" t="s">
        <v>34</v>
      </c>
      <c r="L4" s="8"/>
      <c r="M4" s="8"/>
      <c r="N4" s="12"/>
      <c r="O4" s="12"/>
      <c r="P4" s="13">
        <f>IFERROR(__xludf.DUMMYFUNCTION("VALUE(SUBSTITUTE((INDEX(SPLIT(A4,"",""),1)),""."","","",1))"),56.155333)</f>
        <v>56.155333</v>
      </c>
      <c r="Q4" s="13">
        <f>IFERROR(__xludf.DUMMYFUNCTION("VALUE(SUBSTITUTE((INDEX(SPLIT(A4,"",""),2)),""."","","",1))"),101.620839)</f>
        <v>101.620839</v>
      </c>
      <c r="R4" s="14" t="b">
        <f t="shared" si="1"/>
        <v>0</v>
      </c>
      <c r="S4" s="14" t="str">
        <f t="shared" si="2"/>
        <v>56.155333,101.620839</v>
      </c>
      <c r="T4" s="12"/>
    </row>
    <row r="5">
      <c r="A5" s="15" t="s">
        <v>35</v>
      </c>
      <c r="B5" s="16" t="s">
        <v>36</v>
      </c>
      <c r="C5" s="16" t="s">
        <v>37</v>
      </c>
      <c r="D5" s="16" t="s">
        <v>16</v>
      </c>
      <c r="E5" s="17" t="s">
        <v>38</v>
      </c>
      <c r="F5" s="16" t="s">
        <v>18</v>
      </c>
      <c r="G5" s="16">
        <v>23.61</v>
      </c>
      <c r="H5" s="16"/>
      <c r="I5" s="16"/>
      <c r="J5" s="16" t="s">
        <v>39</v>
      </c>
      <c r="K5" s="16" t="s">
        <v>40</v>
      </c>
      <c r="L5" s="16"/>
      <c r="M5" s="16"/>
      <c r="N5" s="12"/>
      <c r="O5" s="12"/>
      <c r="P5" s="13">
        <f>IFERROR(__xludf.DUMMYFUNCTION("VALUE(SUBSTITUTE((INDEX(SPLIT(A5,"",""),1)),""."","","",1))"),56.295725)</f>
        <v>56.295725</v>
      </c>
      <c r="Q5" s="13">
        <f>IFERROR(__xludf.DUMMYFUNCTION("VALUE(SUBSTITUTE((INDEX(SPLIT(A5,"",""),2)),""."","","",1))"),101.727172)</f>
        <v>101.727172</v>
      </c>
      <c r="R5" s="14" t="b">
        <f t="shared" si="1"/>
        <v>0</v>
      </c>
      <c r="S5" s="14" t="str">
        <f t="shared" si="2"/>
        <v>56.295725,101.727172</v>
      </c>
      <c r="T5" s="12"/>
    </row>
    <row r="6">
      <c r="A6" s="18" t="s">
        <v>41</v>
      </c>
      <c r="B6" s="8" t="s">
        <v>42</v>
      </c>
      <c r="C6" s="8" t="s">
        <v>43</v>
      </c>
      <c r="D6" s="8" t="s">
        <v>16</v>
      </c>
      <c r="E6" s="19" t="s">
        <v>44</v>
      </c>
      <c r="F6" s="8" t="s">
        <v>18</v>
      </c>
      <c r="G6" s="8">
        <v>23.61</v>
      </c>
      <c r="H6" s="8"/>
      <c r="I6" s="8"/>
      <c r="J6" s="8" t="s">
        <v>45</v>
      </c>
      <c r="K6" s="8" t="s">
        <v>46</v>
      </c>
      <c r="L6" s="8"/>
      <c r="M6" s="8"/>
      <c r="N6" s="12"/>
      <c r="O6" s="12"/>
      <c r="P6" s="13">
        <f>IFERROR(__xludf.DUMMYFUNCTION("VALUE(SUBSTITUTE((INDEX(SPLIT(A6,"",""),1)),""."","","",1))"),54.113048)</f>
        <v>54.113048</v>
      </c>
      <c r="Q6" s="13">
        <f>IFERROR(__xludf.DUMMYFUNCTION("VALUE(SUBSTITUTE((INDEX(SPLIT(A6,"",""),2)),""."","","",1))"),102.163475)</f>
        <v>102.163475</v>
      </c>
      <c r="R6" s="14" t="b">
        <f t="shared" si="1"/>
        <v>0</v>
      </c>
      <c r="S6" s="14" t="str">
        <f t="shared" si="2"/>
        <v>54.113048,102.163475</v>
      </c>
      <c r="T6" s="12"/>
    </row>
    <row r="7">
      <c r="A7" s="20" t="s">
        <v>47</v>
      </c>
      <c r="B7" s="16" t="s">
        <v>48</v>
      </c>
      <c r="C7" s="16" t="s">
        <v>49</v>
      </c>
      <c r="D7" s="16" t="s">
        <v>16</v>
      </c>
      <c r="E7" s="21" t="s">
        <v>50</v>
      </c>
      <c r="F7" s="22" t="s">
        <v>18</v>
      </c>
      <c r="G7" s="16">
        <v>23.61</v>
      </c>
      <c r="H7" s="16"/>
      <c r="I7" s="22"/>
      <c r="J7" s="22" t="s">
        <v>51</v>
      </c>
      <c r="K7" s="22" t="s">
        <v>52</v>
      </c>
      <c r="L7" s="23" t="s">
        <v>53</v>
      </c>
      <c r="M7" s="22"/>
      <c r="N7" s="12"/>
      <c r="O7" s="12"/>
      <c r="P7" s="13">
        <f>IFERROR(__xludf.DUMMYFUNCTION("VALUE(SUBSTITUTE((INDEX(SPLIT(A7,"",""),1)),""."","","",1))"),56.54647)</f>
        <v>56.54647</v>
      </c>
      <c r="Q7" s="13">
        <f>IFERROR(__xludf.DUMMYFUNCTION("VALUE(SUBSTITUTE((INDEX(SPLIT(A7,"",""),2)),""."","","",1))"),102.45532)</f>
        <v>102.45532</v>
      </c>
      <c r="R7" s="14" t="b">
        <f t="shared" si="1"/>
        <v>0</v>
      </c>
      <c r="S7" s="14" t="str">
        <f t="shared" si="2"/>
        <v>56.54647,102.45532</v>
      </c>
      <c r="T7" s="12"/>
    </row>
    <row r="8">
      <c r="A8" s="7" t="s">
        <v>54</v>
      </c>
      <c r="B8" s="8" t="s">
        <v>55</v>
      </c>
      <c r="C8" s="8" t="s">
        <v>56</v>
      </c>
      <c r="D8" s="8" t="s">
        <v>16</v>
      </c>
      <c r="E8" s="9" t="s">
        <v>57</v>
      </c>
      <c r="F8" s="10" t="s">
        <v>58</v>
      </c>
      <c r="G8" s="8">
        <v>23.61</v>
      </c>
      <c r="H8" s="8"/>
      <c r="I8" s="10"/>
      <c r="J8" s="10" t="s">
        <v>59</v>
      </c>
      <c r="K8" s="10" t="s">
        <v>60</v>
      </c>
      <c r="L8" s="11" t="s">
        <v>61</v>
      </c>
      <c r="M8" s="11" t="s">
        <v>62</v>
      </c>
      <c r="N8" s="12"/>
      <c r="O8" s="12"/>
      <c r="P8" s="13">
        <f>IFERROR(__xludf.DUMMYFUNCTION("VALUE(SUBSTITUTE((INDEX(SPLIT(A8,"",""),1)),""."","","",1))"),51.794454)</f>
        <v>51.794454</v>
      </c>
      <c r="Q8" s="13">
        <f>IFERROR(__xludf.DUMMYFUNCTION("VALUE(SUBSTITUTE((INDEX(SPLIT(A8,"",""),2)),""."","","",1))"),102.537731)</f>
        <v>102.537731</v>
      </c>
      <c r="R8" s="14" t="b">
        <f t="shared" si="1"/>
        <v>0</v>
      </c>
      <c r="S8" s="14" t="str">
        <f t="shared" si="2"/>
        <v>51.794454,102.537731</v>
      </c>
      <c r="T8" s="12"/>
    </row>
    <row r="9">
      <c r="A9" s="15" t="s">
        <v>63</v>
      </c>
      <c r="B9" s="16" t="s">
        <v>64</v>
      </c>
      <c r="C9" s="16" t="s">
        <v>65</v>
      </c>
      <c r="D9" s="16" t="s">
        <v>16</v>
      </c>
      <c r="E9" s="17" t="s">
        <v>66</v>
      </c>
      <c r="F9" s="16" t="s">
        <v>18</v>
      </c>
      <c r="G9" s="16">
        <v>23.61</v>
      </c>
      <c r="H9" s="16"/>
      <c r="I9" s="16"/>
      <c r="J9" s="16" t="s">
        <v>67</v>
      </c>
      <c r="K9" s="16" t="s">
        <v>68</v>
      </c>
      <c r="L9" s="16"/>
      <c r="M9" s="16"/>
      <c r="N9" s="12"/>
      <c r="O9" s="12"/>
      <c r="P9" s="13">
        <f>IFERROR(__xludf.DUMMYFUNCTION("VALUE(SUBSTITUTE((INDEX(SPLIT(A9,"",""),1)),""."","","",1))"),57.942686)</f>
        <v>57.942686</v>
      </c>
      <c r="Q9" s="13">
        <f>IFERROR(__xludf.DUMMYFUNCTION("VALUE(SUBSTITUTE((INDEX(SPLIT(A9,"",""),2)),""."","","",1))"),102.733519)</f>
        <v>102.733519</v>
      </c>
      <c r="R9" s="14" t="b">
        <f t="shared" si="1"/>
        <v>0</v>
      </c>
      <c r="S9" s="14" t="str">
        <f t="shared" si="2"/>
        <v>57.942686,102.733519</v>
      </c>
      <c r="T9" s="12"/>
    </row>
    <row r="10">
      <c r="A10" s="7" t="s">
        <v>69</v>
      </c>
      <c r="B10" s="8" t="s">
        <v>70</v>
      </c>
      <c r="C10" s="8" t="s">
        <v>71</v>
      </c>
      <c r="D10" s="8" t="s">
        <v>16</v>
      </c>
      <c r="E10" s="9" t="s">
        <v>72</v>
      </c>
      <c r="F10" s="10" t="s">
        <v>58</v>
      </c>
      <c r="G10" s="8">
        <v>23.61</v>
      </c>
      <c r="H10" s="8"/>
      <c r="I10" s="10"/>
      <c r="J10" s="10" t="s">
        <v>73</v>
      </c>
      <c r="K10" s="10" t="s">
        <v>74</v>
      </c>
      <c r="L10" s="11" t="s">
        <v>75</v>
      </c>
      <c r="M10" s="10"/>
      <c r="N10" s="12"/>
      <c r="O10" s="12"/>
      <c r="P10" s="13">
        <f>IFERROR(__xludf.DUMMYFUNCTION("VALUE(SUBSTITUTE((INDEX(SPLIT(A10,"",""),1)),""."","","",1))"),50.377577)</f>
        <v>50.377577</v>
      </c>
      <c r="Q10" s="13">
        <f>IFERROR(__xludf.DUMMYFUNCTION("VALUE(SUBSTITUTE((INDEX(SPLIT(A10,"",""),2)),""."","","",1))"),103.282048)</f>
        <v>103.282048</v>
      </c>
      <c r="R10" s="14" t="b">
        <f t="shared" si="1"/>
        <v>0</v>
      </c>
      <c r="S10" s="14" t="str">
        <f t="shared" si="2"/>
        <v>50.377577,103.282048</v>
      </c>
      <c r="T10" s="12"/>
    </row>
    <row r="11">
      <c r="A11" s="15" t="s">
        <v>76</v>
      </c>
      <c r="B11" s="16" t="s">
        <v>77</v>
      </c>
      <c r="C11" s="16" t="s">
        <v>78</v>
      </c>
      <c r="D11" s="16" t="s">
        <v>16</v>
      </c>
      <c r="E11" s="17" t="s">
        <v>79</v>
      </c>
      <c r="F11" s="16" t="s">
        <v>58</v>
      </c>
      <c r="G11" s="16">
        <v>23.61</v>
      </c>
      <c r="H11" s="16"/>
      <c r="I11" s="16"/>
      <c r="J11" s="16" t="s">
        <v>80</v>
      </c>
      <c r="K11" s="16" t="s">
        <v>81</v>
      </c>
      <c r="L11" s="16"/>
      <c r="M11" s="16"/>
      <c r="N11" s="12"/>
      <c r="O11" s="12"/>
      <c r="P11" s="13">
        <f>IFERROR(__xludf.DUMMYFUNCTION("VALUE(SUBSTITUTE((INDEX(SPLIT(A11,"",""),1)),""."","","",1))"),50.74035)</f>
        <v>50.74035</v>
      </c>
      <c r="Q11" s="13">
        <f>IFERROR(__xludf.DUMMYFUNCTION("VALUE(SUBSTITUTE((INDEX(SPLIT(A11,"",""),2)),""."","","",1))"),103.42974)</f>
        <v>103.42974</v>
      </c>
      <c r="R11" s="14" t="b">
        <f t="shared" si="1"/>
        <v>0</v>
      </c>
      <c r="S11" s="14" t="str">
        <f t="shared" si="2"/>
        <v>50.74035,103.42974</v>
      </c>
      <c r="T11" s="12"/>
    </row>
    <row r="12">
      <c r="A12" s="18" t="s">
        <v>82</v>
      </c>
      <c r="B12" s="8" t="s">
        <v>83</v>
      </c>
      <c r="C12" s="8" t="s">
        <v>84</v>
      </c>
      <c r="D12" s="8" t="s">
        <v>16</v>
      </c>
      <c r="E12" s="19" t="s">
        <v>85</v>
      </c>
      <c r="F12" s="8" t="s">
        <v>18</v>
      </c>
      <c r="G12" s="8">
        <v>23.61</v>
      </c>
      <c r="H12" s="8"/>
      <c r="I12" s="8"/>
      <c r="J12" s="8" t="s">
        <v>86</v>
      </c>
      <c r="K12" s="8" t="s">
        <v>87</v>
      </c>
      <c r="L12" s="8"/>
      <c r="M12" s="8"/>
      <c r="N12" s="12"/>
      <c r="O12" s="12"/>
      <c r="P12" s="13">
        <f>IFERROR(__xludf.DUMMYFUNCTION("VALUE(SUBSTITUTE((INDEX(SPLIT(A12,"",""),1)),""."","","",1))"),52.849075)</f>
        <v>52.849075</v>
      </c>
      <c r="Q12" s="13">
        <f>IFERROR(__xludf.DUMMYFUNCTION("VALUE(SUBSTITUTE((INDEX(SPLIT(A12,"",""),2)),""."","","",1))"),103.521674)</f>
        <v>103.521674</v>
      </c>
      <c r="R12" s="14" t="b">
        <f t="shared" si="1"/>
        <v>0</v>
      </c>
      <c r="S12" s="14" t="str">
        <f t="shared" si="2"/>
        <v>52.849075,103.521674</v>
      </c>
      <c r="T12" s="12"/>
    </row>
    <row r="13">
      <c r="A13" s="20" t="s">
        <v>88</v>
      </c>
      <c r="B13" s="16" t="s">
        <v>89</v>
      </c>
      <c r="C13" s="16" t="s">
        <v>90</v>
      </c>
      <c r="D13" s="16" t="s">
        <v>16</v>
      </c>
      <c r="E13" s="21" t="s">
        <v>91</v>
      </c>
      <c r="F13" s="22" t="s">
        <v>18</v>
      </c>
      <c r="G13" s="16">
        <v>23.61</v>
      </c>
      <c r="H13" s="16"/>
      <c r="I13" s="22"/>
      <c r="J13" s="22" t="s">
        <v>92</v>
      </c>
      <c r="K13" s="22" t="s">
        <v>93</v>
      </c>
      <c r="L13" s="23" t="s">
        <v>94</v>
      </c>
      <c r="M13" s="23" t="s">
        <v>95</v>
      </c>
      <c r="N13" s="12"/>
      <c r="O13" s="12"/>
      <c r="P13" s="13">
        <f>IFERROR(__xludf.DUMMYFUNCTION("VALUE(SUBSTITUTE((INDEX(SPLIT(A13,"",""),1)),""."","","",1))"),52.742072)</f>
        <v>52.742072</v>
      </c>
      <c r="Q13" s="13">
        <f>IFERROR(__xludf.DUMMYFUNCTION("VALUE(SUBSTITUTE((INDEX(SPLIT(A13,"",""),2)),""."","","",1))"),103.592856)</f>
        <v>103.592856</v>
      </c>
      <c r="R13" s="14" t="b">
        <f t="shared" si="1"/>
        <v>0</v>
      </c>
      <c r="S13" s="14" t="str">
        <f t="shared" si="2"/>
        <v>52.742072,103.592856</v>
      </c>
      <c r="T13" s="12"/>
    </row>
    <row r="14">
      <c r="A14" s="18" t="s">
        <v>96</v>
      </c>
      <c r="B14" s="8" t="s">
        <v>97</v>
      </c>
      <c r="C14" s="8" t="s">
        <v>98</v>
      </c>
      <c r="D14" s="8" t="s">
        <v>16</v>
      </c>
      <c r="E14" s="19" t="s">
        <v>99</v>
      </c>
      <c r="F14" s="8" t="s">
        <v>18</v>
      </c>
      <c r="G14" s="8">
        <v>23.61</v>
      </c>
      <c r="H14" s="8"/>
      <c r="I14" s="8"/>
      <c r="J14" s="8" t="s">
        <v>100</v>
      </c>
      <c r="K14" s="8" t="s">
        <v>101</v>
      </c>
      <c r="L14" s="8"/>
      <c r="M14" s="8"/>
      <c r="N14" s="12"/>
      <c r="O14" s="12"/>
      <c r="P14" s="13">
        <f>IFERROR(__xludf.DUMMYFUNCTION("VALUE(SUBSTITUTE((INDEX(SPLIT(A14,"",""),1)),""."","","",1))"),52.757095)</f>
        <v>52.757095</v>
      </c>
      <c r="Q14" s="13">
        <f>IFERROR(__xludf.DUMMYFUNCTION("VALUE(SUBSTITUTE((INDEX(SPLIT(A14,"",""),2)),""."","","",1))"),103.637332)</f>
        <v>103.637332</v>
      </c>
      <c r="R14" s="14" t="b">
        <f t="shared" si="1"/>
        <v>0</v>
      </c>
      <c r="S14" s="14" t="str">
        <f t="shared" si="2"/>
        <v>52.757095,103.637332</v>
      </c>
      <c r="T14" s="12"/>
    </row>
    <row r="15">
      <c r="A15" s="20" t="s">
        <v>102</v>
      </c>
      <c r="B15" s="16" t="s">
        <v>103</v>
      </c>
      <c r="C15" s="16" t="s">
        <v>104</v>
      </c>
      <c r="D15" s="16" t="s">
        <v>16</v>
      </c>
      <c r="E15" s="21" t="s">
        <v>105</v>
      </c>
      <c r="F15" s="22" t="s">
        <v>18</v>
      </c>
      <c r="G15" s="16">
        <v>23.61</v>
      </c>
      <c r="H15" s="16"/>
      <c r="I15" s="22"/>
      <c r="J15" s="22" t="s">
        <v>106</v>
      </c>
      <c r="K15" s="22" t="s">
        <v>107</v>
      </c>
      <c r="L15" s="23" t="s">
        <v>108</v>
      </c>
      <c r="M15" s="22"/>
      <c r="N15" s="12"/>
      <c r="O15" s="12"/>
      <c r="P15" s="13">
        <f>IFERROR(__xludf.DUMMYFUNCTION("VALUE(SUBSTITUTE((INDEX(SPLIT(A15,"",""),1)),""."","","",1))"),52.730987)</f>
        <v>52.730987</v>
      </c>
      <c r="Q15" s="13">
        <f>IFERROR(__xludf.DUMMYFUNCTION("VALUE(SUBSTITUTE((INDEX(SPLIT(A15,"",""),2)),""."","","",1))"),103.664784)</f>
        <v>103.664784</v>
      </c>
      <c r="R15" s="14" t="b">
        <f t="shared" si="1"/>
        <v>0</v>
      </c>
      <c r="S15" s="14" t="str">
        <f t="shared" si="2"/>
        <v>52.730987,103.664784</v>
      </c>
      <c r="T15" s="12"/>
    </row>
    <row r="16">
      <c r="A16" s="18" t="s">
        <v>109</v>
      </c>
      <c r="B16" s="8" t="s">
        <v>110</v>
      </c>
      <c r="C16" s="8" t="s">
        <v>111</v>
      </c>
      <c r="D16" s="8" t="s">
        <v>16</v>
      </c>
      <c r="E16" s="19" t="s">
        <v>112</v>
      </c>
      <c r="F16" s="8" t="s">
        <v>18</v>
      </c>
      <c r="G16" s="8">
        <v>23.61</v>
      </c>
      <c r="H16" s="8"/>
      <c r="I16" s="8"/>
      <c r="J16" s="8" t="s">
        <v>113</v>
      </c>
      <c r="K16" s="8" t="s">
        <v>114</v>
      </c>
      <c r="L16" s="8"/>
      <c r="M16" s="24" t="s">
        <v>115</v>
      </c>
      <c r="N16" s="12"/>
      <c r="O16" s="12"/>
      <c r="P16" s="13">
        <f>IFERROR(__xludf.DUMMYFUNCTION("VALUE(SUBSTITUTE((INDEX(SPLIT(A16,"",""),1)),""."","","",1))"),52.722681)</f>
        <v>52.722681</v>
      </c>
      <c r="Q16" s="13">
        <f>IFERROR(__xludf.DUMMYFUNCTION("VALUE(SUBSTITUTE((INDEX(SPLIT(A16,"",""),2)),""."","","",1))"),103.66518)</f>
        <v>103.66518</v>
      </c>
      <c r="R16" s="14" t="b">
        <f t="shared" si="1"/>
        <v>0</v>
      </c>
      <c r="S16" s="14" t="str">
        <f t="shared" si="2"/>
        <v>52.722681,103.66518</v>
      </c>
      <c r="T16" s="12"/>
    </row>
    <row r="17">
      <c r="A17" s="15" t="s">
        <v>116</v>
      </c>
      <c r="B17" s="16" t="s">
        <v>117</v>
      </c>
      <c r="C17" s="16" t="s">
        <v>118</v>
      </c>
      <c r="D17" s="16" t="s">
        <v>16</v>
      </c>
      <c r="E17" s="17" t="s">
        <v>119</v>
      </c>
      <c r="F17" s="16" t="s">
        <v>18</v>
      </c>
      <c r="G17" s="16">
        <v>23.61</v>
      </c>
      <c r="H17" s="16"/>
      <c r="I17" s="16"/>
      <c r="J17" s="16" t="s">
        <v>120</v>
      </c>
      <c r="K17" s="16" t="s">
        <v>121</v>
      </c>
      <c r="L17" s="16"/>
      <c r="M17" s="16"/>
      <c r="N17" s="12"/>
      <c r="O17" s="12"/>
      <c r="P17" s="13">
        <f>IFERROR(__xludf.DUMMYFUNCTION("VALUE(SUBSTITUTE((INDEX(SPLIT(A17,"",""),1)),""."","","",1))"),53.090699)</f>
        <v>53.090699</v>
      </c>
      <c r="Q17" s="13">
        <f>IFERROR(__xludf.DUMMYFUNCTION("VALUE(SUBSTITUTE((INDEX(SPLIT(A17,"",""),2)),""."","","",1))"),103.775825)</f>
        <v>103.775825</v>
      </c>
      <c r="R17" s="14" t="b">
        <f t="shared" si="1"/>
        <v>0</v>
      </c>
      <c r="S17" s="14" t="str">
        <f t="shared" si="2"/>
        <v>53.090699,103.775825</v>
      </c>
      <c r="T17" s="12"/>
    </row>
    <row r="18">
      <c r="A18" s="7" t="s">
        <v>122</v>
      </c>
      <c r="B18" s="8" t="s">
        <v>123</v>
      </c>
      <c r="C18" s="8" t="s">
        <v>124</v>
      </c>
      <c r="D18" s="8" t="s">
        <v>16</v>
      </c>
      <c r="E18" s="9" t="s">
        <v>125</v>
      </c>
      <c r="F18" s="10" t="s">
        <v>18</v>
      </c>
      <c r="G18" s="8">
        <v>23.61</v>
      </c>
      <c r="H18" s="8"/>
      <c r="I18" s="10"/>
      <c r="J18" s="10" t="s">
        <v>126</v>
      </c>
      <c r="K18" s="10" t="s">
        <v>127</v>
      </c>
      <c r="L18" s="11" t="s">
        <v>128</v>
      </c>
      <c r="M18" s="10"/>
      <c r="N18" s="12"/>
      <c r="O18" s="12"/>
      <c r="P18" s="13">
        <f>IFERROR(__xludf.DUMMYFUNCTION("VALUE(SUBSTITUTE((INDEX(SPLIT(A18,"",""),1)),""."","","",1))"),52.489617)</f>
        <v>52.489617</v>
      </c>
      <c r="Q18" s="13">
        <f>IFERROR(__xludf.DUMMYFUNCTION("VALUE(SUBSTITUTE((INDEX(SPLIT(A18,"",""),2)),""."","","",1))"),103.836605)</f>
        <v>103.836605</v>
      </c>
      <c r="R18" s="14" t="b">
        <f t="shared" si="1"/>
        <v>0</v>
      </c>
      <c r="S18" s="14" t="str">
        <f t="shared" si="2"/>
        <v>52.489617,103.836605</v>
      </c>
      <c r="T18" s="12"/>
    </row>
    <row r="19">
      <c r="A19" s="15" t="s">
        <v>129</v>
      </c>
      <c r="B19" s="16" t="s">
        <v>130</v>
      </c>
      <c r="C19" s="16" t="s">
        <v>131</v>
      </c>
      <c r="D19" s="16" t="s">
        <v>16</v>
      </c>
      <c r="E19" s="17" t="s">
        <v>132</v>
      </c>
      <c r="F19" s="16" t="s">
        <v>18</v>
      </c>
      <c r="G19" s="16">
        <v>23.61</v>
      </c>
      <c r="H19" s="16"/>
      <c r="I19" s="16"/>
      <c r="J19" s="16" t="s">
        <v>133</v>
      </c>
      <c r="K19" s="16" t="s">
        <v>134</v>
      </c>
      <c r="L19" s="16"/>
      <c r="M19" s="16"/>
      <c r="N19" s="12"/>
      <c r="O19" s="12"/>
      <c r="P19" s="13">
        <f>IFERROR(__xludf.DUMMYFUNCTION("VALUE(SUBSTITUTE((INDEX(SPLIT(A19,"",""),1)),""."","","",1))"),52.509101)</f>
        <v>52.509101</v>
      </c>
      <c r="Q19" s="13">
        <f>IFERROR(__xludf.DUMMYFUNCTION("VALUE(SUBSTITUTE((INDEX(SPLIT(A19,"",""),2)),""."","","",1))"),103.84875)</f>
        <v>103.84875</v>
      </c>
      <c r="R19" s="14" t="b">
        <f t="shared" si="1"/>
        <v>0</v>
      </c>
      <c r="S19" s="14" t="str">
        <f t="shared" si="2"/>
        <v>52.509101,103.84875</v>
      </c>
      <c r="T19" s="12"/>
    </row>
    <row r="20">
      <c r="A20" s="18" t="s">
        <v>135</v>
      </c>
      <c r="B20" s="8" t="s">
        <v>136</v>
      </c>
      <c r="C20" s="8" t="s">
        <v>137</v>
      </c>
      <c r="D20" s="8" t="s">
        <v>16</v>
      </c>
      <c r="E20" s="19" t="s">
        <v>138</v>
      </c>
      <c r="F20" s="8" t="s">
        <v>18</v>
      </c>
      <c r="G20" s="8">
        <v>23.61</v>
      </c>
      <c r="H20" s="8"/>
      <c r="I20" s="8"/>
      <c r="J20" s="8" t="s">
        <v>139</v>
      </c>
      <c r="K20" s="8" t="s">
        <v>140</v>
      </c>
      <c r="L20" s="8"/>
      <c r="M20" s="8"/>
      <c r="N20" s="12"/>
      <c r="O20" s="12"/>
      <c r="P20" s="13">
        <f>IFERROR(__xludf.DUMMYFUNCTION("VALUE(SUBSTITUTE((INDEX(SPLIT(A20,"",""),1)),""."","","",1))"),52.517887)</f>
        <v>52.517887</v>
      </c>
      <c r="Q20" s="13">
        <f>IFERROR(__xludf.DUMMYFUNCTION("VALUE(SUBSTITUTE((INDEX(SPLIT(A20,"",""),2)),""."","","",1))"),103.855964)</f>
        <v>103.855964</v>
      </c>
      <c r="R20" s="14" t="b">
        <f t="shared" si="1"/>
        <v>0</v>
      </c>
      <c r="S20" s="14" t="str">
        <f t="shared" si="2"/>
        <v>52.517887,103.855964</v>
      </c>
      <c r="T20" s="12"/>
    </row>
    <row r="21">
      <c r="A21" s="15" t="s">
        <v>141</v>
      </c>
      <c r="B21" s="16" t="s">
        <v>142</v>
      </c>
      <c r="C21" s="16" t="s">
        <v>143</v>
      </c>
      <c r="D21" s="16" t="s">
        <v>16</v>
      </c>
      <c r="E21" s="17" t="s">
        <v>144</v>
      </c>
      <c r="F21" s="16" t="s">
        <v>18</v>
      </c>
      <c r="G21" s="16">
        <v>23.61</v>
      </c>
      <c r="H21" s="16"/>
      <c r="I21" s="16"/>
      <c r="J21" s="16" t="s">
        <v>145</v>
      </c>
      <c r="K21" s="16" t="s">
        <v>146</v>
      </c>
      <c r="L21" s="16"/>
      <c r="M21" s="25" t="s">
        <v>147</v>
      </c>
      <c r="N21" s="12"/>
      <c r="O21" s="12"/>
      <c r="P21" s="13">
        <f>IFERROR(__xludf.DUMMYFUNCTION("VALUE(SUBSTITUTE((INDEX(SPLIT(A21,"",""),1)),""."","","",1))"),52.558759)</f>
        <v>52.558759</v>
      </c>
      <c r="Q21" s="13">
        <f>IFERROR(__xludf.DUMMYFUNCTION("VALUE(SUBSTITUTE((INDEX(SPLIT(A21,"",""),2)),""."","","",1))"),103.880353)</f>
        <v>103.880353</v>
      </c>
      <c r="R21" s="14" t="b">
        <f t="shared" si="1"/>
        <v>0</v>
      </c>
      <c r="S21" s="14" t="str">
        <f t="shared" si="2"/>
        <v>52.558759,103.880353</v>
      </c>
      <c r="T21" s="12"/>
    </row>
    <row r="22">
      <c r="A22" s="18" t="s">
        <v>148</v>
      </c>
      <c r="B22" s="8" t="s">
        <v>149</v>
      </c>
      <c r="C22" s="8" t="s">
        <v>150</v>
      </c>
      <c r="D22" s="8" t="s">
        <v>16</v>
      </c>
      <c r="E22" s="19" t="s">
        <v>151</v>
      </c>
      <c r="F22" s="8" t="s">
        <v>18</v>
      </c>
      <c r="G22" s="8">
        <v>23.61</v>
      </c>
      <c r="H22" s="8"/>
      <c r="I22" s="8"/>
      <c r="J22" s="8" t="s">
        <v>152</v>
      </c>
      <c r="K22" s="8" t="s">
        <v>153</v>
      </c>
      <c r="L22" s="8"/>
      <c r="M22" s="8"/>
      <c r="N22" s="12"/>
      <c r="O22" s="12"/>
      <c r="P22" s="13">
        <f>IFERROR(__xludf.DUMMYFUNCTION("VALUE(SUBSTITUTE((INDEX(SPLIT(A22,"",""),1)),""."","","",1))"),52.537868)</f>
        <v>52.537868</v>
      </c>
      <c r="Q22" s="13">
        <f>IFERROR(__xludf.DUMMYFUNCTION("VALUE(SUBSTITUTE((INDEX(SPLIT(A22,"",""),2)),""."","","",1))"),103.893397)</f>
        <v>103.893397</v>
      </c>
      <c r="R22" s="14" t="b">
        <f t="shared" si="1"/>
        <v>0</v>
      </c>
      <c r="S22" s="14" t="str">
        <f t="shared" si="2"/>
        <v>52.537868,103.893397</v>
      </c>
      <c r="T22" s="12"/>
    </row>
    <row r="23">
      <c r="A23" s="15" t="s">
        <v>154</v>
      </c>
      <c r="B23" s="16" t="s">
        <v>155</v>
      </c>
      <c r="C23" s="16" t="s">
        <v>156</v>
      </c>
      <c r="D23" s="16" t="s">
        <v>16</v>
      </c>
      <c r="E23" s="17" t="s">
        <v>157</v>
      </c>
      <c r="F23" s="16" t="s">
        <v>18</v>
      </c>
      <c r="G23" s="16">
        <v>23.61</v>
      </c>
      <c r="H23" s="16"/>
      <c r="I23" s="16"/>
      <c r="J23" s="16" t="s">
        <v>158</v>
      </c>
      <c r="K23" s="16" t="s">
        <v>159</v>
      </c>
      <c r="L23" s="16"/>
      <c r="M23" s="16"/>
      <c r="N23" s="12"/>
      <c r="O23" s="12"/>
      <c r="P23" s="13">
        <f>IFERROR(__xludf.DUMMYFUNCTION("VALUE(SUBSTITUTE((INDEX(SPLIT(A23,"",""),1)),""."","","",1))"),52.604117)</f>
        <v>52.604117</v>
      </c>
      <c r="Q23" s="13">
        <f>IFERROR(__xludf.DUMMYFUNCTION("VALUE(SUBSTITUTE((INDEX(SPLIT(A23,"",""),2)),""."","","",1))"),103.919484)</f>
        <v>103.919484</v>
      </c>
      <c r="R23" s="14" t="b">
        <f t="shared" si="1"/>
        <v>0</v>
      </c>
      <c r="S23" s="14" t="str">
        <f t="shared" si="2"/>
        <v>52.604117,103.919484</v>
      </c>
      <c r="T23" s="12"/>
    </row>
    <row r="24">
      <c r="A24" s="18" t="s">
        <v>160</v>
      </c>
      <c r="B24" s="8" t="s">
        <v>161</v>
      </c>
      <c r="C24" s="8" t="s">
        <v>162</v>
      </c>
      <c r="D24" s="8" t="s">
        <v>16</v>
      </c>
      <c r="E24" s="19" t="s">
        <v>163</v>
      </c>
      <c r="F24" s="8" t="s">
        <v>18</v>
      </c>
      <c r="G24" s="8">
        <v>23.61</v>
      </c>
      <c r="H24" s="8"/>
      <c r="I24" s="8"/>
      <c r="J24" s="8" t="s">
        <v>164</v>
      </c>
      <c r="K24" s="8" t="s">
        <v>165</v>
      </c>
      <c r="L24" s="8"/>
      <c r="M24" s="8"/>
      <c r="N24" s="12"/>
      <c r="O24" s="12"/>
      <c r="P24" s="13">
        <f>IFERROR(__xludf.DUMMYFUNCTION("VALUE(SUBSTITUTE((INDEX(SPLIT(A24,"",""),1)),""."","","",1))"),52.562553)</f>
        <v>52.562553</v>
      </c>
      <c r="Q24" s="13">
        <f>IFERROR(__xludf.DUMMYFUNCTION("VALUE(SUBSTITUTE((INDEX(SPLIT(A24,"",""),2)),""."","","",1))"),103.943199)</f>
        <v>103.943199</v>
      </c>
      <c r="R24" s="14" t="b">
        <f t="shared" si="1"/>
        <v>0</v>
      </c>
      <c r="S24" s="14" t="str">
        <f t="shared" si="2"/>
        <v>52.562553,103.943199</v>
      </c>
      <c r="T24" s="12"/>
    </row>
    <row r="25">
      <c r="A25" s="20" t="s">
        <v>166</v>
      </c>
      <c r="B25" s="16" t="s">
        <v>167</v>
      </c>
      <c r="C25" s="16" t="s">
        <v>168</v>
      </c>
      <c r="D25" s="16" t="s">
        <v>16</v>
      </c>
      <c r="E25" s="21" t="s">
        <v>169</v>
      </c>
      <c r="F25" s="22" t="s">
        <v>18</v>
      </c>
      <c r="G25" s="16">
        <v>23.61</v>
      </c>
      <c r="H25" s="16"/>
      <c r="I25" s="22"/>
      <c r="J25" s="22" t="s">
        <v>170</v>
      </c>
      <c r="K25" s="22" t="s">
        <v>171</v>
      </c>
      <c r="L25" s="23" t="s">
        <v>172</v>
      </c>
      <c r="M25" s="22"/>
      <c r="N25" s="12"/>
      <c r="O25" s="12"/>
      <c r="P25" s="13">
        <f>IFERROR(__xludf.DUMMYFUNCTION("VALUE(SUBSTITUTE((INDEX(SPLIT(A25,"",""),1)),""."","","",1))"),52.485691)</f>
        <v>52.485691</v>
      </c>
      <c r="Q25" s="13">
        <f>IFERROR(__xludf.DUMMYFUNCTION("VALUE(SUBSTITUTE((INDEX(SPLIT(A25,"",""),2)),""."","","",1))"),103.972305)</f>
        <v>103.972305</v>
      </c>
      <c r="R25" s="14" t="b">
        <f t="shared" si="1"/>
        <v>0</v>
      </c>
      <c r="S25" s="14" t="str">
        <f t="shared" si="2"/>
        <v>52.485691,103.972305</v>
      </c>
      <c r="T25" s="12"/>
    </row>
    <row r="26">
      <c r="A26" s="18" t="s">
        <v>173</v>
      </c>
      <c r="B26" s="8" t="s">
        <v>174</v>
      </c>
      <c r="C26" s="8" t="s">
        <v>175</v>
      </c>
      <c r="D26" s="8" t="s">
        <v>16</v>
      </c>
      <c r="E26" s="19" t="s">
        <v>176</v>
      </c>
      <c r="F26" s="8" t="s">
        <v>18</v>
      </c>
      <c r="G26" s="8">
        <v>23.61</v>
      </c>
      <c r="H26" s="8"/>
      <c r="I26" s="8"/>
      <c r="J26" s="8" t="s">
        <v>177</v>
      </c>
      <c r="K26" s="8" t="s">
        <v>178</v>
      </c>
      <c r="L26" s="8"/>
      <c r="M26" s="24" t="s">
        <v>179</v>
      </c>
      <c r="N26" s="12"/>
      <c r="O26" s="12"/>
      <c r="P26" s="13">
        <f>IFERROR(__xludf.DUMMYFUNCTION("VALUE(SUBSTITUTE((INDEX(SPLIT(A26,"",""),1)),""."","","",1))"),52.205518)</f>
        <v>52.205518</v>
      </c>
      <c r="Q26" s="13">
        <f>IFERROR(__xludf.DUMMYFUNCTION("VALUE(SUBSTITUTE((INDEX(SPLIT(A26,"",""),2)),""."","","",1))"),103.985375)</f>
        <v>103.985375</v>
      </c>
      <c r="R26" s="14" t="b">
        <f t="shared" si="1"/>
        <v>0</v>
      </c>
      <c r="S26" s="14" t="str">
        <f t="shared" si="2"/>
        <v>52.205518,103.985375</v>
      </c>
      <c r="T26" s="12"/>
    </row>
    <row r="27">
      <c r="A27" s="15" t="s">
        <v>180</v>
      </c>
      <c r="B27" s="16" t="s">
        <v>181</v>
      </c>
      <c r="C27" s="16" t="s">
        <v>182</v>
      </c>
      <c r="D27" s="16" t="s">
        <v>16</v>
      </c>
      <c r="E27" s="17" t="s">
        <v>183</v>
      </c>
      <c r="F27" s="16" t="s">
        <v>18</v>
      </c>
      <c r="G27" s="16">
        <v>23.61</v>
      </c>
      <c r="H27" s="16"/>
      <c r="I27" s="16"/>
      <c r="J27" s="16" t="s">
        <v>184</v>
      </c>
      <c r="K27" s="16" t="s">
        <v>185</v>
      </c>
      <c r="L27" s="16"/>
      <c r="M27" s="16"/>
      <c r="N27" s="12"/>
      <c r="O27" s="12"/>
      <c r="P27" s="13">
        <f>IFERROR(__xludf.DUMMYFUNCTION("VALUE(SUBSTITUTE((INDEX(SPLIT(A27,"",""),1)),""."","","",1))"),52.363302)</f>
        <v>52.363302</v>
      </c>
      <c r="Q27" s="13">
        <f>IFERROR(__xludf.DUMMYFUNCTION("VALUE(SUBSTITUTE((INDEX(SPLIT(A27,"",""),2)),""."","","",1))"),104.047826)</f>
        <v>104.047826</v>
      </c>
      <c r="R27" s="14" t="b">
        <f t="shared" si="1"/>
        <v>0</v>
      </c>
      <c r="S27" s="14" t="str">
        <f t="shared" si="2"/>
        <v>52.363302,104.047826</v>
      </c>
      <c r="T27" s="12"/>
    </row>
    <row r="28">
      <c r="A28" s="18" t="s">
        <v>186</v>
      </c>
      <c r="B28" s="8" t="s">
        <v>187</v>
      </c>
      <c r="C28" s="8" t="s">
        <v>188</v>
      </c>
      <c r="D28" s="8" t="s">
        <v>16</v>
      </c>
      <c r="E28" s="19" t="s">
        <v>189</v>
      </c>
      <c r="F28" s="8" t="s">
        <v>18</v>
      </c>
      <c r="G28" s="8">
        <v>23.61</v>
      </c>
      <c r="H28" s="8"/>
      <c r="I28" s="8"/>
      <c r="J28" s="8" t="s">
        <v>190</v>
      </c>
      <c r="K28" s="8" t="s">
        <v>191</v>
      </c>
      <c r="L28" s="8"/>
      <c r="M28" s="8"/>
      <c r="N28" s="12"/>
      <c r="O28" s="12"/>
      <c r="P28" s="13">
        <f>IFERROR(__xludf.DUMMYFUNCTION("VALUE(SUBSTITUTE((INDEX(SPLIT(A28,"",""),1)),""."","","",1))"),52.196654)</f>
        <v>52.196654</v>
      </c>
      <c r="Q28" s="13">
        <f>IFERROR(__xludf.DUMMYFUNCTION("VALUE(SUBSTITUTE((INDEX(SPLIT(A28,"",""),2)),""."","","",1))"),104.101824)</f>
        <v>104.101824</v>
      </c>
      <c r="R28" s="14" t="b">
        <f t="shared" si="1"/>
        <v>0</v>
      </c>
      <c r="S28" s="14" t="str">
        <f t="shared" si="2"/>
        <v>52.196654,104.101824</v>
      </c>
      <c r="T28" s="12"/>
    </row>
    <row r="29">
      <c r="A29" s="15" t="s">
        <v>192</v>
      </c>
      <c r="B29" s="16" t="s">
        <v>193</v>
      </c>
      <c r="C29" s="16" t="s">
        <v>194</v>
      </c>
      <c r="D29" s="16" t="s">
        <v>16</v>
      </c>
      <c r="E29" s="17" t="s">
        <v>195</v>
      </c>
      <c r="F29" s="16" t="s">
        <v>18</v>
      </c>
      <c r="G29" s="16">
        <v>23.61</v>
      </c>
      <c r="H29" s="16"/>
      <c r="I29" s="16"/>
      <c r="J29" s="16" t="s">
        <v>196</v>
      </c>
      <c r="K29" s="16" t="s">
        <v>197</v>
      </c>
      <c r="L29" s="16"/>
      <c r="M29" s="16"/>
      <c r="N29" s="12"/>
      <c r="O29" s="12"/>
      <c r="P29" s="13">
        <f>IFERROR(__xludf.DUMMYFUNCTION("VALUE(SUBSTITUTE((INDEX(SPLIT(A29,"",""),1)),""."","","",1))"),52.223783)</f>
        <v>52.223783</v>
      </c>
      <c r="Q29" s="13">
        <f>IFERROR(__xludf.DUMMYFUNCTION("VALUE(SUBSTITUTE((INDEX(SPLIT(A29,"",""),2)),""."","","",1))"),104.10433)</f>
        <v>104.10433</v>
      </c>
      <c r="R29" s="14" t="b">
        <f t="shared" si="1"/>
        <v>0</v>
      </c>
      <c r="S29" s="14" t="str">
        <f t="shared" si="2"/>
        <v>52.223783,104.10433</v>
      </c>
      <c r="T29" s="12"/>
    </row>
    <row r="30">
      <c r="A30" s="18" t="s">
        <v>198</v>
      </c>
      <c r="B30" s="8" t="s">
        <v>199</v>
      </c>
      <c r="C30" s="8" t="s">
        <v>200</v>
      </c>
      <c r="D30" s="8" t="s">
        <v>16</v>
      </c>
      <c r="E30" s="19" t="s">
        <v>201</v>
      </c>
      <c r="F30" s="8" t="s">
        <v>18</v>
      </c>
      <c r="G30" s="8">
        <v>23.61</v>
      </c>
      <c r="H30" s="8"/>
      <c r="I30" s="8"/>
      <c r="J30" s="8" t="s">
        <v>202</v>
      </c>
      <c r="K30" s="8" t="s">
        <v>203</v>
      </c>
      <c r="L30" s="8"/>
      <c r="M30" s="8"/>
      <c r="N30" s="12"/>
      <c r="O30" s="12"/>
      <c r="P30" s="13">
        <f>IFERROR(__xludf.DUMMYFUNCTION("VALUE(SUBSTITUTE((INDEX(SPLIT(A30,"",""),1)),""."","","",1))"),56.588744)</f>
        <v>56.588744</v>
      </c>
      <c r="Q30" s="13">
        <f>IFERROR(__xludf.DUMMYFUNCTION("VALUE(SUBSTITUTE((INDEX(SPLIT(A30,"",""),2)),""."","","",1))"),104.117778)</f>
        <v>104.117778</v>
      </c>
      <c r="R30" s="14" t="b">
        <f t="shared" si="1"/>
        <v>0</v>
      </c>
      <c r="S30" s="14" t="str">
        <f t="shared" si="2"/>
        <v>56.588744,104.117778</v>
      </c>
      <c r="T30" s="12"/>
    </row>
    <row r="31">
      <c r="A31" s="15" t="s">
        <v>204</v>
      </c>
      <c r="B31" s="16" t="s">
        <v>205</v>
      </c>
      <c r="C31" s="16" t="s">
        <v>206</v>
      </c>
      <c r="D31" s="16" t="s">
        <v>16</v>
      </c>
      <c r="E31" s="17" t="s">
        <v>207</v>
      </c>
      <c r="F31" s="16" t="s">
        <v>18</v>
      </c>
      <c r="G31" s="16">
        <v>23.61</v>
      </c>
      <c r="H31" s="16"/>
      <c r="I31" s="16"/>
      <c r="J31" s="16" t="s">
        <v>208</v>
      </c>
      <c r="K31" s="16" t="s">
        <v>209</v>
      </c>
      <c r="L31" s="16"/>
      <c r="M31" s="16"/>
      <c r="N31" s="12"/>
      <c r="O31" s="12"/>
      <c r="P31" s="13">
        <f>IFERROR(__xludf.DUMMYFUNCTION("VALUE(SUBSTITUTE((INDEX(SPLIT(A31,"",""),1)),""."","","",1))"),52.25057)</f>
        <v>52.25057</v>
      </c>
      <c r="Q31" s="13">
        <f>IFERROR(__xludf.DUMMYFUNCTION("VALUE(SUBSTITUTE((INDEX(SPLIT(A31,"",""),2)),""."","","",1))"),104.130264)</f>
        <v>104.130264</v>
      </c>
      <c r="R31" s="14" t="b">
        <f t="shared" si="1"/>
        <v>0</v>
      </c>
      <c r="S31" s="14" t="str">
        <f t="shared" si="2"/>
        <v>52.25057,104.130264</v>
      </c>
      <c r="T31" s="12"/>
    </row>
    <row r="32">
      <c r="A32" s="18" t="s">
        <v>210</v>
      </c>
      <c r="B32" s="8" t="s">
        <v>211</v>
      </c>
      <c r="C32" s="8" t="s">
        <v>212</v>
      </c>
      <c r="D32" s="8" t="s">
        <v>16</v>
      </c>
      <c r="E32" s="19" t="s">
        <v>213</v>
      </c>
      <c r="F32" s="8" t="s">
        <v>18</v>
      </c>
      <c r="G32" s="8">
        <v>23.61</v>
      </c>
      <c r="H32" s="8"/>
      <c r="I32" s="8"/>
      <c r="J32" s="8" t="s">
        <v>214</v>
      </c>
      <c r="K32" s="8" t="s">
        <v>215</v>
      </c>
      <c r="L32" s="8"/>
      <c r="M32" s="8"/>
      <c r="N32" s="12"/>
      <c r="O32" s="12"/>
      <c r="P32" s="13">
        <f>IFERROR(__xludf.DUMMYFUNCTION("VALUE(SUBSTITUTE((INDEX(SPLIT(A32,"",""),1)),""."","","",1))"),51.522826)</f>
        <v>51.522826</v>
      </c>
      <c r="Q32" s="13">
        <f>IFERROR(__xludf.DUMMYFUNCTION("VALUE(SUBSTITUTE((INDEX(SPLIT(A32,"",""),2)),""."","","",1))"),104.149928)</f>
        <v>104.149928</v>
      </c>
      <c r="R32" s="14" t="b">
        <f t="shared" si="1"/>
        <v>0</v>
      </c>
      <c r="S32" s="14" t="str">
        <f t="shared" si="2"/>
        <v>51.522826,104.149928</v>
      </c>
      <c r="T32" s="12"/>
    </row>
    <row r="33">
      <c r="A33" s="15" t="s">
        <v>216</v>
      </c>
      <c r="B33" s="16" t="s">
        <v>217</v>
      </c>
      <c r="C33" s="16" t="s">
        <v>218</v>
      </c>
      <c r="D33" s="16" t="s">
        <v>16</v>
      </c>
      <c r="E33" s="17" t="s">
        <v>219</v>
      </c>
      <c r="F33" s="16" t="s">
        <v>18</v>
      </c>
      <c r="G33" s="16">
        <v>23.61</v>
      </c>
      <c r="H33" s="16"/>
      <c r="I33" s="16"/>
      <c r="J33" s="16" t="s">
        <v>220</v>
      </c>
      <c r="K33" s="16" t="s">
        <v>221</v>
      </c>
      <c r="L33" s="16"/>
      <c r="M33" s="16"/>
      <c r="N33" s="12"/>
      <c r="O33" s="12"/>
      <c r="P33" s="13">
        <f>IFERROR(__xludf.DUMMYFUNCTION("VALUE(SUBSTITUTE((INDEX(SPLIT(A33,"",""),1)),""."","","",1))"),52.344469)</f>
        <v>52.344469</v>
      </c>
      <c r="Q33" s="13">
        <f>IFERROR(__xludf.DUMMYFUNCTION("VALUE(SUBSTITUTE((INDEX(SPLIT(A33,"",""),2)),""."","","",1))"),104.15822)</f>
        <v>104.15822</v>
      </c>
      <c r="R33" s="14" t="b">
        <f t="shared" si="1"/>
        <v>0</v>
      </c>
      <c r="S33" s="14" t="str">
        <f t="shared" si="2"/>
        <v>52.344469,104.15822</v>
      </c>
      <c r="T33" s="12"/>
    </row>
    <row r="34">
      <c r="A34" s="18" t="s">
        <v>222</v>
      </c>
      <c r="B34" s="8" t="s">
        <v>223</v>
      </c>
      <c r="C34" s="8" t="s">
        <v>224</v>
      </c>
      <c r="D34" s="8" t="s">
        <v>16</v>
      </c>
      <c r="E34" s="19" t="s">
        <v>225</v>
      </c>
      <c r="F34" s="8" t="s">
        <v>18</v>
      </c>
      <c r="G34" s="8">
        <v>23.61</v>
      </c>
      <c r="H34" s="8"/>
      <c r="I34" s="8"/>
      <c r="J34" s="8" t="s">
        <v>226</v>
      </c>
      <c r="K34" s="8" t="s">
        <v>227</v>
      </c>
      <c r="L34" s="8"/>
      <c r="M34" s="24" t="s">
        <v>228</v>
      </c>
      <c r="N34" s="12"/>
      <c r="O34" s="12"/>
      <c r="P34" s="13">
        <f>IFERROR(__xludf.DUMMYFUNCTION("VALUE(SUBSTITUTE((INDEX(SPLIT(A34,"",""),1)),""."","","",1))"),52.243346)</f>
        <v>52.243346</v>
      </c>
      <c r="Q34" s="13">
        <f>IFERROR(__xludf.DUMMYFUNCTION("VALUE(SUBSTITUTE((INDEX(SPLIT(A34,"",""),2)),""."","","",1))"),104.188888)</f>
        <v>104.188888</v>
      </c>
      <c r="R34" s="14" t="b">
        <f t="shared" si="1"/>
        <v>0</v>
      </c>
      <c r="S34" s="14" t="str">
        <f t="shared" si="2"/>
        <v>52.243346,104.188888</v>
      </c>
      <c r="T34" s="12"/>
    </row>
    <row r="35">
      <c r="A35" s="20" t="s">
        <v>229</v>
      </c>
      <c r="B35" s="16" t="s">
        <v>230</v>
      </c>
      <c r="C35" s="16" t="s">
        <v>231</v>
      </c>
      <c r="D35" s="16" t="s">
        <v>16</v>
      </c>
      <c r="E35" s="21" t="s">
        <v>232</v>
      </c>
      <c r="F35" s="22" t="s">
        <v>18</v>
      </c>
      <c r="G35" s="16">
        <v>23.61</v>
      </c>
      <c r="H35" s="16"/>
      <c r="I35" s="22"/>
      <c r="J35" s="22" t="s">
        <v>233</v>
      </c>
      <c r="K35" s="22" t="s">
        <v>234</v>
      </c>
      <c r="L35" s="23" t="s">
        <v>235</v>
      </c>
      <c r="M35" s="22"/>
      <c r="N35" s="12"/>
      <c r="O35" s="12"/>
      <c r="P35" s="13">
        <f>IFERROR(__xludf.DUMMYFUNCTION("VALUE(SUBSTITUTE((INDEX(SPLIT(A35,"",""),1)),""."","","",1))"),52.358078)</f>
        <v>52.358078</v>
      </c>
      <c r="Q35" s="13">
        <f>IFERROR(__xludf.DUMMYFUNCTION("VALUE(SUBSTITUTE((INDEX(SPLIT(A35,"",""),2)),""."","","",1))"),104.213242)</f>
        <v>104.213242</v>
      </c>
      <c r="R35" s="14" t="b">
        <f t="shared" si="1"/>
        <v>0</v>
      </c>
      <c r="S35" s="14" t="str">
        <f t="shared" si="2"/>
        <v>52.358078,104.213242</v>
      </c>
      <c r="T35" s="12"/>
    </row>
    <row r="36">
      <c r="A36" s="7" t="s">
        <v>236</v>
      </c>
      <c r="B36" s="8" t="s">
        <v>237</v>
      </c>
      <c r="C36" s="8" t="s">
        <v>238</v>
      </c>
      <c r="D36" s="8" t="s">
        <v>16</v>
      </c>
      <c r="E36" s="9" t="s">
        <v>239</v>
      </c>
      <c r="F36" s="10" t="s">
        <v>18</v>
      </c>
      <c r="G36" s="8">
        <v>23.61</v>
      </c>
      <c r="H36" s="8"/>
      <c r="I36" s="10"/>
      <c r="J36" s="10" t="s">
        <v>240</v>
      </c>
      <c r="K36" s="10" t="s">
        <v>241</v>
      </c>
      <c r="L36" s="11" t="s">
        <v>242</v>
      </c>
      <c r="M36" s="10"/>
      <c r="N36" s="12"/>
      <c r="O36" s="12"/>
      <c r="P36" s="13">
        <f>IFERROR(__xludf.DUMMYFUNCTION("VALUE(SUBSTITUTE((INDEX(SPLIT(A36,"",""),1)),""."","","",1))"),52.279622)</f>
        <v>52.279622</v>
      </c>
      <c r="Q36" s="13">
        <f>IFERROR(__xludf.DUMMYFUNCTION("VALUE(SUBSTITUTE((INDEX(SPLIT(A36,"",""),2)),""."","","",1))"),104.215604)</f>
        <v>104.215604</v>
      </c>
      <c r="R36" s="14" t="b">
        <f t="shared" si="1"/>
        <v>0</v>
      </c>
      <c r="S36" s="14" t="str">
        <f t="shared" si="2"/>
        <v>52.279622,104.215604</v>
      </c>
      <c r="T36" s="12"/>
    </row>
    <row r="37">
      <c r="A37" s="15" t="s">
        <v>243</v>
      </c>
      <c r="B37" s="16" t="s">
        <v>244</v>
      </c>
      <c r="C37" s="16" t="s">
        <v>245</v>
      </c>
      <c r="D37" s="16" t="s">
        <v>16</v>
      </c>
      <c r="E37" s="17" t="s">
        <v>246</v>
      </c>
      <c r="F37" s="16" t="s">
        <v>18</v>
      </c>
      <c r="G37" s="16">
        <v>23.61</v>
      </c>
      <c r="H37" s="16"/>
      <c r="I37" s="16"/>
      <c r="J37" s="16" t="s">
        <v>247</v>
      </c>
      <c r="K37" s="16" t="s">
        <v>248</v>
      </c>
      <c r="L37" s="16"/>
      <c r="M37" s="16"/>
      <c r="N37" s="12"/>
      <c r="O37" s="12"/>
      <c r="P37" s="13">
        <f>IFERROR(__xludf.DUMMYFUNCTION("VALUE(SUBSTITUTE((INDEX(SPLIT(A37,"",""),1)),""."","","",1))"),52.347648)</f>
        <v>52.347648</v>
      </c>
      <c r="Q37" s="13">
        <f>IFERROR(__xludf.DUMMYFUNCTION("VALUE(SUBSTITUTE((INDEX(SPLIT(A37,"",""),2)),""."","","",1))"),104.215829)</f>
        <v>104.215829</v>
      </c>
      <c r="R37" s="14" t="b">
        <f t="shared" si="1"/>
        <v>0</v>
      </c>
      <c r="S37" s="14" t="str">
        <f t="shared" si="2"/>
        <v>52.347648,104.215829</v>
      </c>
      <c r="T37" s="12"/>
    </row>
    <row r="38">
      <c r="A38" s="7" t="s">
        <v>249</v>
      </c>
      <c r="B38" s="8" t="s">
        <v>250</v>
      </c>
      <c r="C38" s="8" t="s">
        <v>251</v>
      </c>
      <c r="D38" s="8" t="s">
        <v>16</v>
      </c>
      <c r="E38" s="9" t="s">
        <v>252</v>
      </c>
      <c r="F38" s="10" t="s">
        <v>18</v>
      </c>
      <c r="G38" s="8">
        <v>23.61</v>
      </c>
      <c r="H38" s="8"/>
      <c r="I38" s="10"/>
      <c r="J38" s="10" t="s">
        <v>253</v>
      </c>
      <c r="K38" s="10" t="s">
        <v>254</v>
      </c>
      <c r="L38" s="11" t="s">
        <v>255</v>
      </c>
      <c r="M38" s="26" t="s">
        <v>256</v>
      </c>
      <c r="N38" s="12"/>
      <c r="O38" s="12"/>
      <c r="P38" s="13">
        <f>IFERROR(__xludf.DUMMYFUNCTION("VALUE(SUBSTITUTE((INDEX(SPLIT(A38,"",""),1)),""."","","",1))"),52.266192)</f>
        <v>52.266192</v>
      </c>
      <c r="Q38" s="13">
        <f>IFERROR(__xludf.DUMMYFUNCTION("VALUE(SUBSTITUTE((INDEX(SPLIT(A38,"",""),2)),""."","","",1))"),104.217886)</f>
        <v>104.217886</v>
      </c>
      <c r="R38" s="14" t="b">
        <f t="shared" si="1"/>
        <v>0</v>
      </c>
      <c r="S38" s="14" t="str">
        <f t="shared" si="2"/>
        <v>52.266192,104.217886</v>
      </c>
      <c r="T38" s="12"/>
    </row>
    <row r="39">
      <c r="A39" s="15" t="s">
        <v>257</v>
      </c>
      <c r="B39" s="16" t="s">
        <v>258</v>
      </c>
      <c r="C39" s="16" t="s">
        <v>259</v>
      </c>
      <c r="D39" s="16" t="s">
        <v>16</v>
      </c>
      <c r="E39" s="17" t="s">
        <v>260</v>
      </c>
      <c r="F39" s="16" t="s">
        <v>18</v>
      </c>
      <c r="G39" s="16">
        <v>23.61</v>
      </c>
      <c r="H39" s="16"/>
      <c r="I39" s="16"/>
      <c r="J39" s="16" t="s">
        <v>261</v>
      </c>
      <c r="K39" s="16" t="s">
        <v>262</v>
      </c>
      <c r="L39" s="16"/>
      <c r="M39" s="16"/>
      <c r="N39" s="12"/>
      <c r="O39" s="12"/>
      <c r="P39" s="13">
        <f>IFERROR(__xludf.DUMMYFUNCTION("VALUE(SUBSTITUTE((INDEX(SPLIT(A39,"",""),1)),""."","","",1))"),52.273186)</f>
        <v>52.273186</v>
      </c>
      <c r="Q39" s="13">
        <f>IFERROR(__xludf.DUMMYFUNCTION("VALUE(SUBSTITUTE((INDEX(SPLIT(A39,"",""),2)),""."","","",1))"),104.232133)</f>
        <v>104.232133</v>
      </c>
      <c r="R39" s="14" t="b">
        <f t="shared" si="1"/>
        <v>0</v>
      </c>
      <c r="S39" s="14" t="str">
        <f t="shared" si="2"/>
        <v>52.273186,104.232133</v>
      </c>
      <c r="T39" s="12"/>
    </row>
    <row r="40">
      <c r="A40" s="18" t="s">
        <v>263</v>
      </c>
      <c r="B40" s="8" t="s">
        <v>264</v>
      </c>
      <c r="C40" s="8" t="s">
        <v>265</v>
      </c>
      <c r="D40" s="8" t="s">
        <v>16</v>
      </c>
      <c r="E40" s="19" t="s">
        <v>266</v>
      </c>
      <c r="F40" s="8" t="s">
        <v>18</v>
      </c>
      <c r="G40" s="8">
        <v>23.61</v>
      </c>
      <c r="H40" s="8"/>
      <c r="I40" s="8"/>
      <c r="J40" s="8" t="s">
        <v>267</v>
      </c>
      <c r="K40" s="8" t="s">
        <v>268</v>
      </c>
      <c r="L40" s="8"/>
      <c r="M40" s="24" t="s">
        <v>269</v>
      </c>
      <c r="N40" s="12"/>
      <c r="O40" s="12"/>
      <c r="P40" s="13">
        <f>IFERROR(__xludf.DUMMYFUNCTION("VALUE(SUBSTITUTE((INDEX(SPLIT(A40,"",""),1)),""."","","",1))"),52.3147)</f>
        <v>52.3147</v>
      </c>
      <c r="Q40" s="13">
        <f>IFERROR(__xludf.DUMMYFUNCTION("VALUE(SUBSTITUTE((INDEX(SPLIT(A40,"",""),2)),""."","","",1))"),104.235709)</f>
        <v>104.235709</v>
      </c>
      <c r="R40" s="14" t="b">
        <f t="shared" si="1"/>
        <v>0</v>
      </c>
      <c r="S40" s="14" t="str">
        <f t="shared" si="2"/>
        <v>52.3147,104.235709</v>
      </c>
      <c r="T40" s="12"/>
    </row>
    <row r="41">
      <c r="A41" s="15" t="s">
        <v>270</v>
      </c>
      <c r="B41" s="16" t="s">
        <v>271</v>
      </c>
      <c r="C41" s="16" t="s">
        <v>272</v>
      </c>
      <c r="D41" s="16" t="s">
        <v>16</v>
      </c>
      <c r="E41" s="17" t="s">
        <v>273</v>
      </c>
      <c r="F41" s="16" t="s">
        <v>18</v>
      </c>
      <c r="G41" s="16">
        <v>23.61</v>
      </c>
      <c r="H41" s="16"/>
      <c r="I41" s="16"/>
      <c r="J41" s="16" t="s">
        <v>274</v>
      </c>
      <c r="K41" s="16" t="s">
        <v>275</v>
      </c>
      <c r="L41" s="16"/>
      <c r="M41" s="25" t="s">
        <v>276</v>
      </c>
      <c r="N41" s="12"/>
      <c r="O41" s="12"/>
      <c r="P41" s="13">
        <f>IFERROR(__xludf.DUMMYFUNCTION("VALUE(SUBSTITUTE((INDEX(SPLIT(A41,"",""),1)),""."","","",1))"),52.331141)</f>
        <v>52.331141</v>
      </c>
      <c r="Q41" s="13">
        <f>IFERROR(__xludf.DUMMYFUNCTION("VALUE(SUBSTITUTE((INDEX(SPLIT(A41,"",""),2)),""."","","",1))"),104.247459)</f>
        <v>104.247459</v>
      </c>
      <c r="R41" s="14" t="b">
        <f t="shared" si="1"/>
        <v>0</v>
      </c>
      <c r="S41" s="14" t="str">
        <f t="shared" si="2"/>
        <v>52.331141,104.247459</v>
      </c>
      <c r="T41" s="12"/>
    </row>
    <row r="42">
      <c r="A42" s="18" t="s">
        <v>277</v>
      </c>
      <c r="B42" s="8" t="s">
        <v>278</v>
      </c>
      <c r="C42" s="8" t="s">
        <v>279</v>
      </c>
      <c r="D42" s="8" t="s">
        <v>16</v>
      </c>
      <c r="E42" s="19" t="s">
        <v>280</v>
      </c>
      <c r="F42" s="8" t="s">
        <v>18</v>
      </c>
      <c r="G42" s="8">
        <v>23.61</v>
      </c>
      <c r="H42" s="8"/>
      <c r="I42" s="27" t="s">
        <v>281</v>
      </c>
      <c r="J42" s="8" t="s">
        <v>282</v>
      </c>
      <c r="K42" s="8" t="s">
        <v>283</v>
      </c>
      <c r="L42" s="8"/>
      <c r="M42" s="8"/>
      <c r="N42" s="12"/>
      <c r="O42" s="12"/>
      <c r="P42" s="13">
        <f>IFERROR(__xludf.DUMMYFUNCTION("VALUE(SUBSTITUTE((INDEX(SPLIT(A42,"",""),1)),""."","","",1))"),52.342901)</f>
        <v>52.342901</v>
      </c>
      <c r="Q42" s="13">
        <f>IFERROR(__xludf.DUMMYFUNCTION("VALUE(SUBSTITUTE((INDEX(SPLIT(A42,"",""),2)),""."","","",1))"),104.26344)</f>
        <v>104.26344</v>
      </c>
      <c r="R42" s="14" t="b">
        <f t="shared" si="1"/>
        <v>0</v>
      </c>
      <c r="S42" s="14" t="str">
        <f t="shared" si="2"/>
        <v>52.342901,104.26344</v>
      </c>
      <c r="T42" s="12"/>
    </row>
    <row r="43">
      <c r="A43" s="20" t="s">
        <v>284</v>
      </c>
      <c r="B43" s="16" t="s">
        <v>285</v>
      </c>
      <c r="C43" s="16" t="s">
        <v>286</v>
      </c>
      <c r="D43" s="16" t="s">
        <v>16</v>
      </c>
      <c r="E43" s="21" t="s">
        <v>287</v>
      </c>
      <c r="F43" s="22" t="s">
        <v>18</v>
      </c>
      <c r="G43" s="16">
        <v>23.61</v>
      </c>
      <c r="H43" s="16"/>
      <c r="I43" s="22"/>
      <c r="J43" s="22" t="s">
        <v>288</v>
      </c>
      <c r="K43" s="22" t="s">
        <v>289</v>
      </c>
      <c r="L43" s="23" t="s">
        <v>290</v>
      </c>
      <c r="M43" s="22"/>
      <c r="N43" s="12"/>
      <c r="O43" s="12"/>
      <c r="P43" s="13">
        <f>IFERROR(__xludf.DUMMYFUNCTION("VALUE(SUBSTITUTE((INDEX(SPLIT(A43,"",""),1)),""."","","",1))"),52.32845)</f>
        <v>52.32845</v>
      </c>
      <c r="Q43" s="13">
        <f>IFERROR(__xludf.DUMMYFUNCTION("VALUE(SUBSTITUTE((INDEX(SPLIT(A43,"",""),2)),""."","","",1))"),104.265488)</f>
        <v>104.265488</v>
      </c>
      <c r="R43" s="14" t="b">
        <f t="shared" si="1"/>
        <v>0</v>
      </c>
      <c r="S43" s="14" t="str">
        <f t="shared" si="2"/>
        <v>52.32845,104.265488</v>
      </c>
      <c r="T43" s="12"/>
    </row>
    <row r="44">
      <c r="A44" s="18" t="s">
        <v>291</v>
      </c>
      <c r="B44" s="8" t="s">
        <v>292</v>
      </c>
      <c r="C44" s="8" t="s">
        <v>293</v>
      </c>
      <c r="D44" s="8" t="s">
        <v>16</v>
      </c>
      <c r="E44" s="19" t="s">
        <v>294</v>
      </c>
      <c r="F44" s="8" t="s">
        <v>18</v>
      </c>
      <c r="G44" s="8">
        <v>23.61</v>
      </c>
      <c r="H44" s="8"/>
      <c r="I44" s="8"/>
      <c r="J44" s="8" t="s">
        <v>295</v>
      </c>
      <c r="K44" s="8" t="s">
        <v>296</v>
      </c>
      <c r="L44" s="8"/>
      <c r="M44" s="24" t="s">
        <v>297</v>
      </c>
      <c r="N44" s="12"/>
      <c r="O44" s="12"/>
      <c r="P44" s="13">
        <f>IFERROR(__xludf.DUMMYFUNCTION("VALUE(SUBSTITUTE((INDEX(SPLIT(A44,"",""),1)),""."","","",1))"),52.252119)</f>
        <v>52.252119</v>
      </c>
      <c r="Q44" s="13">
        <f>IFERROR(__xludf.DUMMYFUNCTION("VALUE(SUBSTITUTE((INDEX(SPLIT(A44,"",""),2)),""."","","",1))"),104.274992)</f>
        <v>104.274992</v>
      </c>
      <c r="R44" s="14" t="b">
        <f t="shared" si="1"/>
        <v>0</v>
      </c>
      <c r="S44" s="14" t="str">
        <f t="shared" si="2"/>
        <v>52.252119,104.274992</v>
      </c>
      <c r="T44" s="12"/>
    </row>
    <row r="45">
      <c r="A45" s="15" t="s">
        <v>298</v>
      </c>
      <c r="B45" s="16" t="s">
        <v>299</v>
      </c>
      <c r="C45" s="16" t="s">
        <v>300</v>
      </c>
      <c r="D45" s="16" t="s">
        <v>16</v>
      </c>
      <c r="E45" s="17" t="s">
        <v>301</v>
      </c>
      <c r="F45" s="16" t="s">
        <v>18</v>
      </c>
      <c r="G45" s="16">
        <v>23.61</v>
      </c>
      <c r="H45" s="16"/>
      <c r="I45" s="16"/>
      <c r="J45" s="16" t="s">
        <v>302</v>
      </c>
      <c r="K45" s="16" t="s">
        <v>303</v>
      </c>
      <c r="L45" s="16"/>
      <c r="M45" s="25" t="s">
        <v>304</v>
      </c>
      <c r="N45" s="12"/>
      <c r="O45" s="12"/>
      <c r="P45" s="13">
        <f>IFERROR(__xludf.DUMMYFUNCTION("VALUE(SUBSTITUTE((INDEX(SPLIT(A45,"",""),1)),""."","","",1))"),52.289588)</f>
        <v>52.289588</v>
      </c>
      <c r="Q45" s="13">
        <f>IFERROR(__xludf.DUMMYFUNCTION("VALUE(SUBSTITUTE((INDEX(SPLIT(A45,"",""),2)),""."","","",1))"),104.280606)</f>
        <v>104.280606</v>
      </c>
      <c r="R45" s="14" t="b">
        <f t="shared" si="1"/>
        <v>0</v>
      </c>
      <c r="S45" s="14" t="str">
        <f t="shared" si="2"/>
        <v>52.289588,104.280606</v>
      </c>
      <c r="T45" s="12"/>
    </row>
    <row r="46">
      <c r="A46" s="7" t="s">
        <v>298</v>
      </c>
      <c r="B46" s="8" t="s">
        <v>305</v>
      </c>
      <c r="C46" s="8" t="s">
        <v>306</v>
      </c>
      <c r="D46" s="8" t="s">
        <v>16</v>
      </c>
      <c r="E46" s="9" t="s">
        <v>307</v>
      </c>
      <c r="F46" s="10" t="s">
        <v>18</v>
      </c>
      <c r="G46" s="8">
        <v>23.61</v>
      </c>
      <c r="H46" s="8"/>
      <c r="I46" s="10"/>
      <c r="J46" s="10" t="s">
        <v>308</v>
      </c>
      <c r="K46" s="10" t="s">
        <v>309</v>
      </c>
      <c r="L46" s="11" t="s">
        <v>310</v>
      </c>
      <c r="M46" s="10"/>
      <c r="N46" s="12"/>
      <c r="O46" s="12"/>
      <c r="P46" s="13">
        <f>IFERROR(__xludf.DUMMYFUNCTION("VALUE(SUBSTITUTE((INDEX(SPLIT(A46,"",""),1)),""."","","",1))"),52.289588)</f>
        <v>52.289588</v>
      </c>
      <c r="Q46" s="13">
        <f>IFERROR(__xludf.DUMMYFUNCTION("VALUE(SUBSTITUTE((INDEX(SPLIT(A46,"",""),2)),""."","","",1))"),104.280606)</f>
        <v>104.280606</v>
      </c>
      <c r="R46" s="14" t="b">
        <f t="shared" si="1"/>
        <v>0</v>
      </c>
      <c r="S46" s="14" t="str">
        <f t="shared" si="2"/>
        <v>52.289588,104.280606</v>
      </c>
      <c r="T46" s="12"/>
    </row>
    <row r="47">
      <c r="A47" s="15" t="s">
        <v>311</v>
      </c>
      <c r="B47" s="16" t="s">
        <v>312</v>
      </c>
      <c r="C47" s="16" t="s">
        <v>313</v>
      </c>
      <c r="D47" s="16" t="s">
        <v>16</v>
      </c>
      <c r="E47" s="17" t="s">
        <v>314</v>
      </c>
      <c r="F47" s="16" t="s">
        <v>18</v>
      </c>
      <c r="G47" s="16">
        <v>23.61</v>
      </c>
      <c r="H47" s="16"/>
      <c r="I47" s="16"/>
      <c r="J47" s="16" t="s">
        <v>315</v>
      </c>
      <c r="K47" s="16" t="s">
        <v>316</v>
      </c>
      <c r="L47" s="16"/>
      <c r="M47" s="16"/>
      <c r="N47" s="12"/>
      <c r="O47" s="12"/>
      <c r="P47" s="13">
        <f>IFERROR(__xludf.DUMMYFUNCTION("VALUE(SUBSTITUTE((INDEX(SPLIT(A47,"",""),1)),""."","","",1))"),52.289946)</f>
        <v>52.289946</v>
      </c>
      <c r="Q47" s="13">
        <f>IFERROR(__xludf.DUMMYFUNCTION("VALUE(SUBSTITUTE((INDEX(SPLIT(A47,"",""),2)),""."","","",1))"),104.282232)</f>
        <v>104.282232</v>
      </c>
      <c r="R47" s="14" t="b">
        <f t="shared" si="1"/>
        <v>0</v>
      </c>
      <c r="S47" s="14" t="str">
        <f t="shared" si="2"/>
        <v>52.289946,104.282232</v>
      </c>
      <c r="T47" s="12"/>
    </row>
    <row r="48">
      <c r="A48" s="18" t="s">
        <v>317</v>
      </c>
      <c r="B48" s="8" t="s">
        <v>318</v>
      </c>
      <c r="C48" s="8" t="s">
        <v>319</v>
      </c>
      <c r="D48" s="8" t="s">
        <v>16</v>
      </c>
      <c r="E48" s="19" t="s">
        <v>320</v>
      </c>
      <c r="F48" s="8" t="s">
        <v>18</v>
      </c>
      <c r="G48" s="8">
        <v>23.61</v>
      </c>
      <c r="H48" s="8"/>
      <c r="I48" s="8"/>
      <c r="J48" s="8" t="s">
        <v>321</v>
      </c>
      <c r="K48" s="8" t="s">
        <v>322</v>
      </c>
      <c r="L48" s="8"/>
      <c r="M48" s="24" t="s">
        <v>323</v>
      </c>
      <c r="N48" s="12"/>
      <c r="O48" s="12"/>
      <c r="P48" s="13">
        <f>IFERROR(__xludf.DUMMYFUNCTION("VALUE(SUBSTITUTE((INDEX(SPLIT(A48,"",""),1)),""."","","",1))"),52.28929)</f>
        <v>52.28929</v>
      </c>
      <c r="Q48" s="13">
        <f>IFERROR(__xludf.DUMMYFUNCTION("VALUE(SUBSTITUTE((INDEX(SPLIT(A48,"",""),2)),""."","","",1))"),104.28437)</f>
        <v>104.28437</v>
      </c>
      <c r="R48" s="14" t="b">
        <f t="shared" si="1"/>
        <v>0</v>
      </c>
      <c r="S48" s="14" t="str">
        <f t="shared" si="2"/>
        <v>52.28929,104.28437</v>
      </c>
      <c r="T48" s="12"/>
    </row>
    <row r="49">
      <c r="A49" s="15" t="s">
        <v>317</v>
      </c>
      <c r="B49" s="16" t="s">
        <v>324</v>
      </c>
      <c r="C49" s="16" t="s">
        <v>325</v>
      </c>
      <c r="D49" s="16" t="s">
        <v>16</v>
      </c>
      <c r="E49" s="17" t="s">
        <v>326</v>
      </c>
      <c r="F49" s="16" t="s">
        <v>18</v>
      </c>
      <c r="G49" s="16">
        <v>23.61</v>
      </c>
      <c r="H49" s="16"/>
      <c r="I49" s="16"/>
      <c r="J49" s="16" t="s">
        <v>327</v>
      </c>
      <c r="K49" s="16" t="s">
        <v>328</v>
      </c>
      <c r="L49" s="16"/>
      <c r="M49" s="16"/>
      <c r="N49" s="12"/>
      <c r="O49" s="12"/>
      <c r="P49" s="13">
        <f>IFERROR(__xludf.DUMMYFUNCTION("VALUE(SUBSTITUTE((INDEX(SPLIT(A49,"",""),1)),""."","","",1))"),52.28929)</f>
        <v>52.28929</v>
      </c>
      <c r="Q49" s="13">
        <f>IFERROR(__xludf.DUMMYFUNCTION("VALUE(SUBSTITUTE((INDEX(SPLIT(A49,"",""),2)),""."","","",1))"),104.28437)</f>
        <v>104.28437</v>
      </c>
      <c r="R49" s="14" t="b">
        <f t="shared" si="1"/>
        <v>0</v>
      </c>
      <c r="S49" s="14" t="str">
        <f t="shared" si="2"/>
        <v>52.28929,104.28437</v>
      </c>
      <c r="T49" s="12"/>
    </row>
    <row r="50">
      <c r="A50" s="18" t="s">
        <v>329</v>
      </c>
      <c r="B50" s="8" t="s">
        <v>330</v>
      </c>
      <c r="C50" s="8" t="s">
        <v>331</v>
      </c>
      <c r="D50" s="8" t="s">
        <v>16</v>
      </c>
      <c r="E50" s="19" t="s">
        <v>332</v>
      </c>
      <c r="F50" s="8" t="s">
        <v>18</v>
      </c>
      <c r="G50" s="8">
        <v>23.61</v>
      </c>
      <c r="H50" s="8"/>
      <c r="I50" s="8"/>
      <c r="J50" s="8" t="s">
        <v>333</v>
      </c>
      <c r="K50" s="8" t="s">
        <v>334</v>
      </c>
      <c r="L50" s="8"/>
      <c r="M50" s="8"/>
      <c r="N50" s="12"/>
      <c r="O50" s="12"/>
      <c r="P50" s="13">
        <f>IFERROR(__xludf.DUMMYFUNCTION("VALUE(SUBSTITUTE((INDEX(SPLIT(A50,"",""),1)),""."","","",1))"),52.289742)</f>
        <v>52.289742</v>
      </c>
      <c r="Q50" s="13">
        <f>IFERROR(__xludf.DUMMYFUNCTION("VALUE(SUBSTITUTE((INDEX(SPLIT(A50,"",""),2)),""."","","",1))"),104.286544)</f>
        <v>104.286544</v>
      </c>
      <c r="R50" s="14" t="b">
        <f t="shared" si="1"/>
        <v>0</v>
      </c>
      <c r="S50" s="14" t="str">
        <f t="shared" si="2"/>
        <v>52.289742,104.286544</v>
      </c>
      <c r="T50" s="12"/>
    </row>
    <row r="51">
      <c r="A51" s="15" t="s">
        <v>329</v>
      </c>
      <c r="B51" s="16" t="s">
        <v>335</v>
      </c>
      <c r="C51" s="16" t="s">
        <v>336</v>
      </c>
      <c r="D51" s="16" t="s">
        <v>16</v>
      </c>
      <c r="E51" s="17" t="s">
        <v>337</v>
      </c>
      <c r="F51" s="16" t="s">
        <v>18</v>
      </c>
      <c r="G51" s="16">
        <v>23.61</v>
      </c>
      <c r="H51" s="16"/>
      <c r="I51" s="16"/>
      <c r="J51" s="16" t="s">
        <v>338</v>
      </c>
      <c r="K51" s="16" t="s">
        <v>339</v>
      </c>
      <c r="L51" s="16"/>
      <c r="M51" s="25" t="s">
        <v>340</v>
      </c>
      <c r="N51" s="12"/>
      <c r="O51" s="12"/>
      <c r="P51" s="13">
        <f>IFERROR(__xludf.DUMMYFUNCTION("VALUE(SUBSTITUTE((INDEX(SPLIT(A51,"",""),1)),""."","","",1))"),52.289742)</f>
        <v>52.289742</v>
      </c>
      <c r="Q51" s="13">
        <f>IFERROR(__xludf.DUMMYFUNCTION("VALUE(SUBSTITUTE((INDEX(SPLIT(A51,"",""),2)),""."","","",1))"),104.286544)</f>
        <v>104.286544</v>
      </c>
      <c r="R51" s="14" t="b">
        <f t="shared" si="1"/>
        <v>0</v>
      </c>
      <c r="S51" s="14" t="str">
        <f t="shared" si="2"/>
        <v>52.289742,104.286544</v>
      </c>
      <c r="T51" s="12"/>
    </row>
    <row r="52">
      <c r="A52" s="18" t="s">
        <v>341</v>
      </c>
      <c r="B52" s="8" t="s">
        <v>342</v>
      </c>
      <c r="C52" s="8" t="s">
        <v>343</v>
      </c>
      <c r="D52" s="8" t="s">
        <v>16</v>
      </c>
      <c r="E52" s="19" t="s">
        <v>344</v>
      </c>
      <c r="F52" s="8" t="s">
        <v>18</v>
      </c>
      <c r="G52" s="8">
        <v>23.61</v>
      </c>
      <c r="H52" s="8"/>
      <c r="I52" s="8"/>
      <c r="J52" s="8" t="s">
        <v>345</v>
      </c>
      <c r="K52" s="8" t="s">
        <v>346</v>
      </c>
      <c r="L52" s="8"/>
      <c r="M52" s="8"/>
      <c r="N52" s="12"/>
      <c r="O52" s="12"/>
      <c r="P52" s="13">
        <f>IFERROR(__xludf.DUMMYFUNCTION("VALUE(SUBSTITUTE((INDEX(SPLIT(A52,"",""),1)),""."","","",1))"),52.282448)</f>
        <v>52.282448</v>
      </c>
      <c r="Q52" s="13">
        <f>IFERROR(__xludf.DUMMYFUNCTION("VALUE(SUBSTITUTE((INDEX(SPLIT(A52,"",""),2)),""."","","",1))"),104.288871)</f>
        <v>104.288871</v>
      </c>
      <c r="R52" s="14" t="b">
        <f t="shared" si="1"/>
        <v>0</v>
      </c>
      <c r="S52" s="14" t="str">
        <f t="shared" si="2"/>
        <v>52.282448,104.288871</v>
      </c>
      <c r="T52" s="12"/>
    </row>
    <row r="53">
      <c r="A53" s="15" t="s">
        <v>347</v>
      </c>
      <c r="B53" s="16" t="s">
        <v>348</v>
      </c>
      <c r="C53" s="16" t="s">
        <v>349</v>
      </c>
      <c r="D53" s="16" t="s">
        <v>16</v>
      </c>
      <c r="E53" s="17" t="s">
        <v>350</v>
      </c>
      <c r="F53" s="16" t="s">
        <v>18</v>
      </c>
      <c r="G53" s="16">
        <v>23.61</v>
      </c>
      <c r="H53" s="16"/>
      <c r="I53" s="16"/>
      <c r="J53" s="16" t="s">
        <v>351</v>
      </c>
      <c r="K53" s="16" t="s">
        <v>352</v>
      </c>
      <c r="L53" s="16"/>
      <c r="M53" s="16"/>
      <c r="N53" s="12"/>
      <c r="O53" s="12"/>
      <c r="P53" s="13">
        <f>IFERROR(__xludf.DUMMYFUNCTION("VALUE(SUBSTITUTE((INDEX(SPLIT(A53,"",""),1)),""."","","",1))"),52.311683)</f>
        <v>52.311683</v>
      </c>
      <c r="Q53" s="13">
        <f>IFERROR(__xludf.DUMMYFUNCTION("VALUE(SUBSTITUTE((INDEX(SPLIT(A53,"",""),2)),""."","","",1))"),104.291171)</f>
        <v>104.291171</v>
      </c>
      <c r="R53" s="14" t="b">
        <f t="shared" si="1"/>
        <v>0</v>
      </c>
      <c r="S53" s="14" t="str">
        <f t="shared" si="2"/>
        <v>52.311683,104.291171</v>
      </c>
      <c r="T53" s="12"/>
    </row>
    <row r="54">
      <c r="A54" s="18" t="s">
        <v>353</v>
      </c>
      <c r="B54" s="8" t="s">
        <v>354</v>
      </c>
      <c r="C54" s="8" t="s">
        <v>355</v>
      </c>
      <c r="D54" s="8" t="s">
        <v>16</v>
      </c>
      <c r="E54" s="19" t="s">
        <v>356</v>
      </c>
      <c r="F54" s="8" t="s">
        <v>18</v>
      </c>
      <c r="G54" s="8">
        <v>23.61</v>
      </c>
      <c r="H54" s="8"/>
      <c r="I54" s="8"/>
      <c r="J54" s="8" t="s">
        <v>357</v>
      </c>
      <c r="K54" s="8" t="s">
        <v>358</v>
      </c>
      <c r="L54" s="8"/>
      <c r="M54" s="24" t="s">
        <v>359</v>
      </c>
      <c r="N54" s="12"/>
      <c r="O54" s="12"/>
      <c r="P54" s="13">
        <f>IFERROR(__xludf.DUMMYFUNCTION("VALUE(SUBSTITUTE((INDEX(SPLIT(A54,"",""),1)),""."","","",1))"),52.218045)</f>
        <v>52.218045</v>
      </c>
      <c r="Q54" s="13">
        <f>IFERROR(__xludf.DUMMYFUNCTION("VALUE(SUBSTITUTE((INDEX(SPLIT(A54,"",""),2)),""."","","",1))"),104.292509)</f>
        <v>104.292509</v>
      </c>
      <c r="R54" s="14" t="b">
        <f t="shared" si="1"/>
        <v>0</v>
      </c>
      <c r="S54" s="14" t="str">
        <f t="shared" si="2"/>
        <v>52.218045,104.292509</v>
      </c>
      <c r="T54" s="12"/>
    </row>
    <row r="55">
      <c r="A55" s="20" t="s">
        <v>360</v>
      </c>
      <c r="B55" s="16" t="s">
        <v>361</v>
      </c>
      <c r="C55" s="16" t="s">
        <v>362</v>
      </c>
      <c r="D55" s="16" t="s">
        <v>16</v>
      </c>
      <c r="E55" s="21" t="s">
        <v>363</v>
      </c>
      <c r="F55" s="22" t="s">
        <v>18</v>
      </c>
      <c r="G55" s="16">
        <v>23.61</v>
      </c>
      <c r="H55" s="16"/>
      <c r="I55" s="28" t="s">
        <v>364</v>
      </c>
      <c r="J55" s="22" t="s">
        <v>365</v>
      </c>
      <c r="K55" s="22" t="s">
        <v>366</v>
      </c>
      <c r="L55" s="23" t="s">
        <v>367</v>
      </c>
      <c r="M55" s="22"/>
      <c r="N55" s="12"/>
      <c r="O55" s="12"/>
      <c r="P55" s="13">
        <f>IFERROR(__xludf.DUMMYFUNCTION("VALUE(SUBSTITUTE((INDEX(SPLIT(A55,"",""),1)),""."","","",1))"),52.264781)</f>
        <v>52.264781</v>
      </c>
      <c r="Q55" s="13">
        <f>IFERROR(__xludf.DUMMYFUNCTION("VALUE(SUBSTITUTE((INDEX(SPLIT(A55,"",""),2)),""."","","",1))"),104.296354)</f>
        <v>104.296354</v>
      </c>
      <c r="R55" s="14" t="b">
        <f t="shared" si="1"/>
        <v>0</v>
      </c>
      <c r="S55" s="14" t="str">
        <f t="shared" si="2"/>
        <v>52.264781,104.296354</v>
      </c>
      <c r="T55" s="12"/>
    </row>
    <row r="56">
      <c r="A56" s="18" t="s">
        <v>368</v>
      </c>
      <c r="B56" s="8" t="s">
        <v>369</v>
      </c>
      <c r="C56" s="8" t="s">
        <v>370</v>
      </c>
      <c r="D56" s="8" t="s">
        <v>16</v>
      </c>
      <c r="E56" s="19" t="s">
        <v>371</v>
      </c>
      <c r="F56" s="8" t="s">
        <v>18</v>
      </c>
      <c r="G56" s="8">
        <v>23.61</v>
      </c>
      <c r="H56" s="8"/>
      <c r="I56" s="8"/>
      <c r="J56" s="8" t="s">
        <v>372</v>
      </c>
      <c r="K56" s="8" t="s">
        <v>373</v>
      </c>
      <c r="L56" s="8"/>
      <c r="M56" s="24" t="s">
        <v>374</v>
      </c>
      <c r="N56" s="12"/>
      <c r="O56" s="12"/>
      <c r="P56" s="13">
        <f>IFERROR(__xludf.DUMMYFUNCTION("VALUE(SUBSTITUTE((INDEX(SPLIT(A56,"",""),1)),""."","","",1))"),52.271929)</f>
        <v>52.271929</v>
      </c>
      <c r="Q56" s="13">
        <f>IFERROR(__xludf.DUMMYFUNCTION("VALUE(SUBSTITUTE((INDEX(SPLIT(A56,"",""),2)),""."","","",1))"),104.296551)</f>
        <v>104.296551</v>
      </c>
      <c r="R56" s="14" t="b">
        <f t="shared" si="1"/>
        <v>0</v>
      </c>
      <c r="S56" s="14" t="str">
        <f t="shared" si="2"/>
        <v>52.271929,104.296551</v>
      </c>
      <c r="T56" s="12"/>
    </row>
    <row r="57">
      <c r="A57" s="15" t="s">
        <v>375</v>
      </c>
      <c r="B57" s="16" t="s">
        <v>376</v>
      </c>
      <c r="C57" s="16" t="s">
        <v>377</v>
      </c>
      <c r="D57" s="16" t="s">
        <v>16</v>
      </c>
      <c r="E57" s="17" t="s">
        <v>378</v>
      </c>
      <c r="F57" s="16" t="s">
        <v>18</v>
      </c>
      <c r="G57" s="16">
        <v>23.61</v>
      </c>
      <c r="H57" s="16"/>
      <c r="I57" s="16"/>
      <c r="J57" s="16" t="s">
        <v>379</v>
      </c>
      <c r="K57" s="16" t="s">
        <v>380</v>
      </c>
      <c r="L57" s="16"/>
      <c r="M57" s="25" t="s">
        <v>381</v>
      </c>
      <c r="N57" s="12"/>
      <c r="O57" s="12"/>
      <c r="P57" s="13">
        <f>IFERROR(__xludf.DUMMYFUNCTION("VALUE(SUBSTITUTE((INDEX(SPLIT(A57,"",""),1)),""."","","",1))"),52.260757)</f>
        <v>52.260757</v>
      </c>
      <c r="Q57" s="13">
        <f>IFERROR(__xludf.DUMMYFUNCTION("VALUE(SUBSTITUTE((INDEX(SPLIT(A57,"",""),2)),""."","","",1))"),104.302983)</f>
        <v>104.302983</v>
      </c>
      <c r="R57" s="14" t="b">
        <f t="shared" si="1"/>
        <v>0</v>
      </c>
      <c r="S57" s="14" t="str">
        <f t="shared" si="2"/>
        <v>52.260757,104.302983</v>
      </c>
      <c r="T57" s="12"/>
    </row>
    <row r="58">
      <c r="A58" s="18" t="s">
        <v>382</v>
      </c>
      <c r="B58" s="8" t="s">
        <v>383</v>
      </c>
      <c r="C58" s="8" t="s">
        <v>384</v>
      </c>
      <c r="D58" s="8" t="s">
        <v>16</v>
      </c>
      <c r="E58" s="19" t="s">
        <v>385</v>
      </c>
      <c r="F58" s="8" t="s">
        <v>18</v>
      </c>
      <c r="G58" s="8">
        <v>23.61</v>
      </c>
      <c r="H58" s="8"/>
      <c r="I58" s="8"/>
      <c r="J58" s="8" t="s">
        <v>386</v>
      </c>
      <c r="K58" s="8" t="s">
        <v>387</v>
      </c>
      <c r="L58" s="8"/>
      <c r="M58" s="24" t="s">
        <v>388</v>
      </c>
      <c r="N58" s="12"/>
      <c r="O58" s="12"/>
      <c r="P58" s="13">
        <f>IFERROR(__xludf.DUMMYFUNCTION("VALUE(SUBSTITUTE((INDEX(SPLIT(A58,"",""),1)),""."","","",1))"),52.231274)</f>
        <v>52.231274</v>
      </c>
      <c r="Q58" s="13">
        <f>IFERROR(__xludf.DUMMYFUNCTION("VALUE(SUBSTITUTE((INDEX(SPLIT(A58,"",""),2)),""."","","",1))"),104.303549)</f>
        <v>104.303549</v>
      </c>
      <c r="R58" s="14" t="b">
        <f t="shared" si="1"/>
        <v>0</v>
      </c>
      <c r="S58" s="14" t="str">
        <f t="shared" si="2"/>
        <v>52.231274,104.303549</v>
      </c>
      <c r="T58" s="12"/>
    </row>
    <row r="59">
      <c r="A59" s="15" t="s">
        <v>389</v>
      </c>
      <c r="B59" s="16" t="s">
        <v>390</v>
      </c>
      <c r="C59" s="16" t="s">
        <v>391</v>
      </c>
      <c r="D59" s="16" t="s">
        <v>16</v>
      </c>
      <c r="E59" s="17" t="s">
        <v>392</v>
      </c>
      <c r="F59" s="16" t="s">
        <v>18</v>
      </c>
      <c r="G59" s="16">
        <v>23.61</v>
      </c>
      <c r="H59" s="16"/>
      <c r="I59" s="16"/>
      <c r="J59" s="16" t="s">
        <v>393</v>
      </c>
      <c r="K59" s="16" t="s">
        <v>394</v>
      </c>
      <c r="L59" s="16"/>
      <c r="M59" s="25" t="s">
        <v>395</v>
      </c>
      <c r="N59" s="12"/>
      <c r="O59" s="12"/>
      <c r="P59" s="13">
        <f>IFERROR(__xludf.DUMMYFUNCTION("VALUE(SUBSTITUTE((INDEX(SPLIT(A59,"",""),1)),""."","","",1))"),52.226684)</f>
        <v>52.226684</v>
      </c>
      <c r="Q59" s="13">
        <f>IFERROR(__xludf.DUMMYFUNCTION("VALUE(SUBSTITUTE((INDEX(SPLIT(A59,"",""),2)),""."","","",1))"),104.307403)</f>
        <v>104.307403</v>
      </c>
      <c r="R59" s="14" t="b">
        <f t="shared" si="1"/>
        <v>0</v>
      </c>
      <c r="S59" s="14" t="str">
        <f t="shared" si="2"/>
        <v>52.226684,104.307403</v>
      </c>
      <c r="T59" s="12"/>
    </row>
    <row r="60">
      <c r="A60" s="18" t="s">
        <v>396</v>
      </c>
      <c r="B60" s="8" t="s">
        <v>397</v>
      </c>
      <c r="C60" s="8" t="s">
        <v>398</v>
      </c>
      <c r="D60" s="8" t="s">
        <v>16</v>
      </c>
      <c r="E60" s="19" t="s">
        <v>399</v>
      </c>
      <c r="F60" s="8" t="s">
        <v>18</v>
      </c>
      <c r="G60" s="8">
        <v>23.61</v>
      </c>
      <c r="H60" s="8"/>
      <c r="I60" s="8"/>
      <c r="J60" s="8" t="s">
        <v>400</v>
      </c>
      <c r="K60" s="8" t="s">
        <v>401</v>
      </c>
      <c r="L60" s="8"/>
      <c r="M60" s="8"/>
      <c r="N60" s="12"/>
      <c r="O60" s="12"/>
      <c r="P60" s="13">
        <f>IFERROR(__xludf.DUMMYFUNCTION("VALUE(SUBSTITUTE((INDEX(SPLIT(A60,"",""),1)),""."","","",1))"),52.236525)</f>
        <v>52.236525</v>
      </c>
      <c r="Q60" s="13">
        <f>IFERROR(__xludf.DUMMYFUNCTION("VALUE(SUBSTITUTE((INDEX(SPLIT(A60,"",""),2)),""."","","",1))"),104.308059)</f>
        <v>104.308059</v>
      </c>
      <c r="R60" s="14" t="b">
        <f t="shared" si="1"/>
        <v>0</v>
      </c>
      <c r="S60" s="14" t="str">
        <f t="shared" si="2"/>
        <v>52.236525,104.308059</v>
      </c>
      <c r="T60" s="12"/>
    </row>
    <row r="61">
      <c r="A61" s="15" t="s">
        <v>402</v>
      </c>
      <c r="B61" s="16" t="s">
        <v>403</v>
      </c>
      <c r="C61" s="16" t="s">
        <v>404</v>
      </c>
      <c r="D61" s="16" t="s">
        <v>16</v>
      </c>
      <c r="E61" s="17" t="s">
        <v>405</v>
      </c>
      <c r="F61" s="16" t="s">
        <v>18</v>
      </c>
      <c r="G61" s="16">
        <v>23.61</v>
      </c>
      <c r="H61" s="16"/>
      <c r="I61" s="16"/>
      <c r="J61" s="16" t="s">
        <v>406</v>
      </c>
      <c r="K61" s="16" t="s">
        <v>407</v>
      </c>
      <c r="L61" s="16"/>
      <c r="M61" s="16"/>
      <c r="N61" s="12"/>
      <c r="O61" s="12"/>
      <c r="P61" s="13">
        <f>IFERROR(__xludf.DUMMYFUNCTION("VALUE(SUBSTITUTE((INDEX(SPLIT(A61,"",""),1)),""."","","",1))"),52.267482)</f>
        <v>52.267482</v>
      </c>
      <c r="Q61" s="13">
        <f>IFERROR(__xludf.DUMMYFUNCTION("VALUE(SUBSTITUTE((INDEX(SPLIT(A61,"",""),2)),""."","","",1))"),104.310026)</f>
        <v>104.310026</v>
      </c>
      <c r="R61" s="14" t="b">
        <f t="shared" si="1"/>
        <v>0</v>
      </c>
      <c r="S61" s="14" t="str">
        <f t="shared" si="2"/>
        <v>52.267482,104.310026</v>
      </c>
      <c r="T61" s="12"/>
    </row>
    <row r="62">
      <c r="A62" s="18" t="s">
        <v>402</v>
      </c>
      <c r="B62" s="8" t="s">
        <v>408</v>
      </c>
      <c r="C62" s="8" t="s">
        <v>409</v>
      </c>
      <c r="D62" s="8" t="s">
        <v>16</v>
      </c>
      <c r="E62" s="19" t="s">
        <v>410</v>
      </c>
      <c r="F62" s="8" t="s">
        <v>18</v>
      </c>
      <c r="G62" s="8">
        <v>23.61</v>
      </c>
      <c r="H62" s="8"/>
      <c r="I62" s="8"/>
      <c r="J62" s="8" t="s">
        <v>411</v>
      </c>
      <c r="K62" s="8" t="s">
        <v>407</v>
      </c>
      <c r="L62" s="8"/>
      <c r="M62" s="8"/>
      <c r="N62" s="12"/>
      <c r="O62" s="12"/>
      <c r="P62" s="13">
        <f>IFERROR(__xludf.DUMMYFUNCTION("VALUE(SUBSTITUTE((INDEX(SPLIT(A62,"",""),1)),""."","","",1))"),52.267482)</f>
        <v>52.267482</v>
      </c>
      <c r="Q62" s="13">
        <f>IFERROR(__xludf.DUMMYFUNCTION("VALUE(SUBSTITUTE((INDEX(SPLIT(A62,"",""),2)),""."","","",1))"),104.310026)</f>
        <v>104.310026</v>
      </c>
      <c r="R62" s="14" t="b">
        <f t="shared" si="1"/>
        <v>0</v>
      </c>
      <c r="S62" s="14" t="str">
        <f t="shared" si="2"/>
        <v>52.267482,104.310026</v>
      </c>
      <c r="T62" s="12"/>
    </row>
    <row r="63">
      <c r="A63" s="15" t="s">
        <v>412</v>
      </c>
      <c r="B63" s="16" t="s">
        <v>413</v>
      </c>
      <c r="C63" s="16" t="s">
        <v>414</v>
      </c>
      <c r="D63" s="16" t="s">
        <v>16</v>
      </c>
      <c r="E63" s="17" t="s">
        <v>415</v>
      </c>
      <c r="F63" s="16" t="s">
        <v>18</v>
      </c>
      <c r="G63" s="16">
        <v>23.61</v>
      </c>
      <c r="H63" s="16"/>
      <c r="I63" s="16"/>
      <c r="J63" s="16" t="s">
        <v>416</v>
      </c>
      <c r="K63" s="16" t="s">
        <v>417</v>
      </c>
      <c r="L63" s="16"/>
      <c r="M63" s="16"/>
      <c r="N63" s="12"/>
      <c r="O63" s="12"/>
      <c r="P63" s="13">
        <f>IFERROR(__xludf.DUMMYFUNCTION("VALUE(SUBSTITUTE((INDEX(SPLIT(A63,"",""),1)),""."","","",1))"),52.278751)</f>
        <v>52.278751</v>
      </c>
      <c r="Q63" s="13">
        <f>IFERROR(__xludf.DUMMYFUNCTION("VALUE(SUBSTITUTE((INDEX(SPLIT(A63,"",""),2)),""."","","",1))"),104.31079)</f>
        <v>104.31079</v>
      </c>
      <c r="R63" s="14" t="b">
        <f t="shared" si="1"/>
        <v>0</v>
      </c>
      <c r="S63" s="14" t="str">
        <f t="shared" si="2"/>
        <v>52.278751,104.31079</v>
      </c>
      <c r="T63" s="12"/>
    </row>
    <row r="64">
      <c r="A64" s="18" t="s">
        <v>418</v>
      </c>
      <c r="B64" s="8" t="s">
        <v>419</v>
      </c>
      <c r="C64" s="8" t="s">
        <v>420</v>
      </c>
      <c r="D64" s="8" t="s">
        <v>16</v>
      </c>
      <c r="E64" s="19" t="s">
        <v>421</v>
      </c>
      <c r="F64" s="8" t="s">
        <v>18</v>
      </c>
      <c r="G64" s="8">
        <v>23.61</v>
      </c>
      <c r="H64" s="8"/>
      <c r="I64" s="8"/>
      <c r="J64" s="8" t="s">
        <v>422</v>
      </c>
      <c r="K64" s="8" t="s">
        <v>423</v>
      </c>
      <c r="L64" s="8"/>
      <c r="M64" s="8"/>
      <c r="N64" s="12"/>
      <c r="O64" s="12"/>
      <c r="P64" s="13">
        <f>IFERROR(__xludf.DUMMYFUNCTION("VALUE(SUBSTITUTE((INDEX(SPLIT(A64,"",""),1)),""."","","",1))"),52.271973)</f>
        <v>52.271973</v>
      </c>
      <c r="Q64" s="13">
        <f>IFERROR(__xludf.DUMMYFUNCTION("VALUE(SUBSTITUTE((INDEX(SPLIT(A64,"",""),2)),""."","","",1))"),104.312119)</f>
        <v>104.312119</v>
      </c>
      <c r="R64" s="14" t="b">
        <f t="shared" si="1"/>
        <v>0</v>
      </c>
      <c r="S64" s="14" t="str">
        <f t="shared" si="2"/>
        <v>52.271973,104.312119</v>
      </c>
      <c r="T64" s="12"/>
    </row>
    <row r="65">
      <c r="A65" s="15" t="s">
        <v>424</v>
      </c>
      <c r="B65" s="16" t="s">
        <v>425</v>
      </c>
      <c r="C65" s="16" t="s">
        <v>426</v>
      </c>
      <c r="D65" s="16" t="s">
        <v>16</v>
      </c>
      <c r="E65" s="17" t="s">
        <v>427</v>
      </c>
      <c r="F65" s="16" t="s">
        <v>18</v>
      </c>
      <c r="G65" s="16">
        <v>23.61</v>
      </c>
      <c r="H65" s="16"/>
      <c r="I65" s="16"/>
      <c r="J65" s="16" t="s">
        <v>428</v>
      </c>
      <c r="K65" s="16" t="s">
        <v>429</v>
      </c>
      <c r="L65" s="16"/>
      <c r="M65" s="16"/>
      <c r="N65" s="12"/>
      <c r="O65" s="12"/>
      <c r="P65" s="13">
        <f>IFERROR(__xludf.DUMMYFUNCTION("VALUE(SUBSTITUTE((INDEX(SPLIT(A65,"",""),1)),""."","","",1))"),52.278178)</f>
        <v>52.278178</v>
      </c>
      <c r="Q65" s="13">
        <f>IFERROR(__xludf.DUMMYFUNCTION("VALUE(SUBSTITUTE((INDEX(SPLIT(A65,"",""),2)),""."","","",1))"),104.315982)</f>
        <v>104.315982</v>
      </c>
      <c r="R65" s="14" t="b">
        <f t="shared" si="1"/>
        <v>0</v>
      </c>
      <c r="S65" s="14" t="str">
        <f t="shared" si="2"/>
        <v>52.278178,104.315982</v>
      </c>
      <c r="T65" s="12"/>
    </row>
    <row r="66">
      <c r="A66" s="18" t="s">
        <v>430</v>
      </c>
      <c r="B66" s="8" t="s">
        <v>431</v>
      </c>
      <c r="C66" s="8" t="s">
        <v>432</v>
      </c>
      <c r="D66" s="8" t="s">
        <v>16</v>
      </c>
      <c r="E66" s="19" t="s">
        <v>433</v>
      </c>
      <c r="F66" s="8" t="s">
        <v>18</v>
      </c>
      <c r="G66" s="8">
        <v>23.61</v>
      </c>
      <c r="H66" s="8"/>
      <c r="I66" s="8"/>
      <c r="J66" s="8" t="s">
        <v>434</v>
      </c>
      <c r="K66" s="8" t="s">
        <v>435</v>
      </c>
      <c r="L66" s="8"/>
      <c r="M66" s="24" t="s">
        <v>436</v>
      </c>
      <c r="N66" s="12"/>
      <c r="O66" s="12"/>
      <c r="P66" s="13">
        <f>IFERROR(__xludf.DUMMYFUNCTION("VALUE(SUBSTITUTE((INDEX(SPLIT(A66,"",""),1)),""."","","",1))"),52.250956)</f>
        <v>52.250956</v>
      </c>
      <c r="Q66" s="13">
        <f>IFERROR(__xludf.DUMMYFUNCTION("VALUE(SUBSTITUTE((INDEX(SPLIT(A66,"",""),2)),""."","","",1))"),104.330472)</f>
        <v>104.330472</v>
      </c>
      <c r="R66" s="14" t="b">
        <f t="shared" si="1"/>
        <v>0</v>
      </c>
      <c r="S66" s="14" t="str">
        <f t="shared" si="2"/>
        <v>52.250956,104.330472</v>
      </c>
      <c r="T66" s="12"/>
    </row>
    <row r="67">
      <c r="A67" s="15" t="s">
        <v>437</v>
      </c>
      <c r="B67" s="16" t="s">
        <v>438</v>
      </c>
      <c r="C67" s="16" t="s">
        <v>439</v>
      </c>
      <c r="D67" s="16" t="s">
        <v>16</v>
      </c>
      <c r="E67" s="17" t="s">
        <v>440</v>
      </c>
      <c r="F67" s="16" t="s">
        <v>18</v>
      </c>
      <c r="G67" s="16">
        <v>23.61</v>
      </c>
      <c r="H67" s="16"/>
      <c r="I67" s="16"/>
      <c r="J67" s="16" t="s">
        <v>441</v>
      </c>
      <c r="K67" s="16" t="s">
        <v>442</v>
      </c>
      <c r="L67" s="16"/>
      <c r="M67" s="25" t="s">
        <v>443</v>
      </c>
      <c r="N67" s="12"/>
      <c r="O67" s="12"/>
      <c r="P67" s="13">
        <f>IFERROR(__xludf.DUMMYFUNCTION("VALUE(SUBSTITUTE((INDEX(SPLIT(A67,"",""),1)),""."","","",1))"),52.307349)</f>
        <v>52.307349</v>
      </c>
      <c r="Q67" s="13">
        <f>IFERROR(__xludf.DUMMYFUNCTION("VALUE(SUBSTITUTE((INDEX(SPLIT(A67,"",""),2)),""."","","",1))"),104.331631)</f>
        <v>104.331631</v>
      </c>
      <c r="R67" s="14" t="b">
        <f t="shared" si="1"/>
        <v>0</v>
      </c>
      <c r="S67" s="14" t="str">
        <f t="shared" si="2"/>
        <v>52.307349,104.331631</v>
      </c>
      <c r="T67" s="12"/>
    </row>
    <row r="68">
      <c r="A68" s="7" t="s">
        <v>444</v>
      </c>
      <c r="B68" s="8" t="s">
        <v>445</v>
      </c>
      <c r="C68" s="8" t="s">
        <v>446</v>
      </c>
      <c r="D68" s="8" t="s">
        <v>16</v>
      </c>
      <c r="E68" s="9" t="s">
        <v>447</v>
      </c>
      <c r="F68" s="10" t="s">
        <v>18</v>
      </c>
      <c r="G68" s="8">
        <v>23.61</v>
      </c>
      <c r="H68" s="8"/>
      <c r="I68" s="10"/>
      <c r="J68" s="10" t="s">
        <v>448</v>
      </c>
      <c r="K68" s="10" t="s">
        <v>449</v>
      </c>
      <c r="L68" s="11" t="s">
        <v>450</v>
      </c>
      <c r="M68" s="10"/>
      <c r="N68" s="12"/>
      <c r="O68" s="12"/>
      <c r="P68" s="13">
        <f>IFERROR(__xludf.DUMMYFUNCTION("VALUE(SUBSTITUTE((INDEX(SPLIT(A68,"",""),1)),""."","","",1))"),52.250112)</f>
        <v>52.250112</v>
      </c>
      <c r="Q68" s="13">
        <f>IFERROR(__xludf.DUMMYFUNCTION("VALUE(SUBSTITUTE((INDEX(SPLIT(A68,"",""),2)),""."","","",1))"),104.332331)</f>
        <v>104.332331</v>
      </c>
      <c r="R68" s="14" t="b">
        <f t="shared" si="1"/>
        <v>0</v>
      </c>
      <c r="S68" s="14" t="str">
        <f t="shared" si="2"/>
        <v>52.250112,104.332331</v>
      </c>
      <c r="T68" s="12"/>
    </row>
    <row r="69">
      <c r="A69" s="15" t="s">
        <v>451</v>
      </c>
      <c r="B69" s="16" t="s">
        <v>452</v>
      </c>
      <c r="C69" s="16" t="s">
        <v>453</v>
      </c>
      <c r="D69" s="16" t="s">
        <v>16</v>
      </c>
      <c r="E69" s="17" t="s">
        <v>454</v>
      </c>
      <c r="F69" s="16" t="s">
        <v>18</v>
      </c>
      <c r="G69" s="16">
        <v>23.61</v>
      </c>
      <c r="H69" s="16"/>
      <c r="I69" s="16"/>
      <c r="J69" s="16" t="s">
        <v>455</v>
      </c>
      <c r="K69" s="16" t="s">
        <v>456</v>
      </c>
      <c r="L69" s="16"/>
      <c r="M69" s="25" t="s">
        <v>457</v>
      </c>
      <c r="N69" s="12"/>
      <c r="O69" s="12"/>
      <c r="P69" s="13">
        <f>IFERROR(__xludf.DUMMYFUNCTION("VALUE(SUBSTITUTE((INDEX(SPLIT(A69,"",""),1)),""."","","",1))"),52.304789)</f>
        <v>52.304789</v>
      </c>
      <c r="Q69" s="13">
        <f>IFERROR(__xludf.DUMMYFUNCTION("VALUE(SUBSTITUTE((INDEX(SPLIT(A69,"",""),2)),""."","","",1))"),104.336661)</f>
        <v>104.336661</v>
      </c>
      <c r="R69" s="14" t="b">
        <f t="shared" si="1"/>
        <v>0</v>
      </c>
      <c r="S69" s="14" t="str">
        <f t="shared" si="2"/>
        <v>52.304789,104.336661</v>
      </c>
      <c r="T69" s="12"/>
    </row>
    <row r="70">
      <c r="A70" s="18" t="s">
        <v>458</v>
      </c>
      <c r="B70" s="8" t="s">
        <v>459</v>
      </c>
      <c r="C70" s="8" t="s">
        <v>460</v>
      </c>
      <c r="D70" s="8" t="s">
        <v>16</v>
      </c>
      <c r="E70" s="19" t="s">
        <v>461</v>
      </c>
      <c r="F70" s="8" t="s">
        <v>18</v>
      </c>
      <c r="G70" s="8">
        <v>23.61</v>
      </c>
      <c r="H70" s="8"/>
      <c r="I70" s="8"/>
      <c r="J70" s="8" t="s">
        <v>462</v>
      </c>
      <c r="K70" s="8" t="s">
        <v>463</v>
      </c>
      <c r="L70" s="8"/>
      <c r="M70" s="24" t="s">
        <v>464</v>
      </c>
      <c r="N70" s="12"/>
      <c r="O70" s="12"/>
      <c r="P70" s="13">
        <f>IFERROR(__xludf.DUMMYFUNCTION("VALUE(SUBSTITUTE((INDEX(SPLIT(A70,"",""),1)),""."","","",1))"),52.25251)</f>
        <v>52.25251</v>
      </c>
      <c r="Q70" s="13">
        <f>IFERROR(__xludf.DUMMYFUNCTION("VALUE(SUBSTITUTE((INDEX(SPLIT(A70,"",""),2)),""."","","",1))"),104.352642)</f>
        <v>104.352642</v>
      </c>
      <c r="R70" s="14" t="b">
        <f t="shared" si="1"/>
        <v>0</v>
      </c>
      <c r="S70" s="14" t="str">
        <f t="shared" si="2"/>
        <v>52.25251,104.352642</v>
      </c>
      <c r="T70" s="12"/>
    </row>
    <row r="71">
      <c r="A71" s="15" t="s">
        <v>465</v>
      </c>
      <c r="B71" s="16" t="s">
        <v>466</v>
      </c>
      <c r="C71" s="16" t="s">
        <v>467</v>
      </c>
      <c r="D71" s="16" t="s">
        <v>16</v>
      </c>
      <c r="E71" s="17" t="s">
        <v>468</v>
      </c>
      <c r="F71" s="16" t="s">
        <v>18</v>
      </c>
      <c r="G71" s="16">
        <v>23.61</v>
      </c>
      <c r="H71" s="16"/>
      <c r="I71" s="16"/>
      <c r="J71" s="16" t="s">
        <v>469</v>
      </c>
      <c r="K71" s="16" t="s">
        <v>470</v>
      </c>
      <c r="L71" s="16"/>
      <c r="M71" s="16"/>
      <c r="N71" s="12"/>
      <c r="O71" s="12"/>
      <c r="P71" s="13">
        <f>IFERROR(__xludf.DUMMYFUNCTION("VALUE(SUBSTITUTE((INDEX(SPLIT(A71,"",""),1)),""."","","",1))"),52.229338)</f>
        <v>52.229338</v>
      </c>
      <c r="Q71" s="13">
        <f>IFERROR(__xludf.DUMMYFUNCTION("VALUE(SUBSTITUTE((INDEX(SPLIT(A71,"",""),2)),""."","","",1))"),104.416252)</f>
        <v>104.416252</v>
      </c>
      <c r="R71" s="14" t="b">
        <f t="shared" si="1"/>
        <v>0</v>
      </c>
      <c r="S71" s="14" t="str">
        <f t="shared" si="2"/>
        <v>52.229338,104.416252</v>
      </c>
      <c r="T71" s="12"/>
    </row>
    <row r="72">
      <c r="A72" s="18" t="s">
        <v>471</v>
      </c>
      <c r="B72" s="8" t="s">
        <v>472</v>
      </c>
      <c r="C72" s="8" t="s">
        <v>473</v>
      </c>
      <c r="D72" s="8" t="s">
        <v>16</v>
      </c>
      <c r="E72" s="19" t="s">
        <v>474</v>
      </c>
      <c r="F72" s="8" t="s">
        <v>18</v>
      </c>
      <c r="G72" s="8">
        <v>23.61</v>
      </c>
      <c r="H72" s="8"/>
      <c r="I72" s="8"/>
      <c r="J72" s="8" t="s">
        <v>475</v>
      </c>
      <c r="K72" s="8" t="s">
        <v>476</v>
      </c>
      <c r="L72" s="8"/>
      <c r="M72" s="8"/>
      <c r="N72" s="12"/>
      <c r="O72" s="12"/>
      <c r="P72" s="13">
        <f>IFERROR(__xludf.DUMMYFUNCTION("VALUE(SUBSTITUTE((INDEX(SPLIT(A72,"",""),1)),""."","","",1))"),56.811611)</f>
        <v>56.811611</v>
      </c>
      <c r="Q72" s="13">
        <f>IFERROR(__xludf.DUMMYFUNCTION("VALUE(SUBSTITUTE((INDEX(SPLIT(A72,"",""),2)),""."","","",1))"),105.862719)</f>
        <v>105.862719</v>
      </c>
      <c r="R72" s="14" t="b">
        <f t="shared" si="1"/>
        <v>0</v>
      </c>
      <c r="S72" s="14" t="str">
        <f t="shared" si="2"/>
        <v>56.811611,105.862719</v>
      </c>
      <c r="T72" s="12"/>
    </row>
    <row r="73">
      <c r="A73" s="15" t="s">
        <v>477</v>
      </c>
      <c r="B73" s="16" t="s">
        <v>478</v>
      </c>
      <c r="C73" s="16" t="s">
        <v>479</v>
      </c>
      <c r="D73" s="16" t="s">
        <v>16</v>
      </c>
      <c r="E73" s="17" t="s">
        <v>480</v>
      </c>
      <c r="F73" s="16" t="s">
        <v>58</v>
      </c>
      <c r="G73" s="16">
        <v>23.61</v>
      </c>
      <c r="H73" s="16"/>
      <c r="I73" s="16"/>
      <c r="J73" s="16" t="s">
        <v>481</v>
      </c>
      <c r="K73" s="16" t="s">
        <v>482</v>
      </c>
      <c r="L73" s="16"/>
      <c r="M73" s="16"/>
      <c r="N73" s="12"/>
      <c r="O73" s="12"/>
      <c r="P73" s="13">
        <f>IFERROR(__xludf.DUMMYFUNCTION("VALUE(SUBSTITUTE((INDEX(SPLIT(A73,"",""),1)),""."","","",1))"),51.983199)</f>
        <v>51.983199</v>
      </c>
      <c r="Q73" s="13">
        <f>IFERROR(__xludf.DUMMYFUNCTION("VALUE(SUBSTITUTE((INDEX(SPLIT(A73,"",""),2)),""."","","",1))"),106.583456)</f>
        <v>106.583456</v>
      </c>
      <c r="R73" s="14" t="b">
        <f t="shared" si="1"/>
        <v>0</v>
      </c>
      <c r="S73" s="14" t="str">
        <f t="shared" si="2"/>
        <v>51.983199,106.583456</v>
      </c>
      <c r="T73" s="12"/>
    </row>
    <row r="74">
      <c r="A74" s="7" t="s">
        <v>483</v>
      </c>
      <c r="B74" s="8" t="s">
        <v>484</v>
      </c>
      <c r="C74" s="8" t="s">
        <v>485</v>
      </c>
      <c r="D74" s="8" t="s">
        <v>16</v>
      </c>
      <c r="E74" s="9" t="s">
        <v>486</v>
      </c>
      <c r="F74" s="10" t="s">
        <v>58</v>
      </c>
      <c r="G74" s="8">
        <v>23.61</v>
      </c>
      <c r="H74" s="8"/>
      <c r="I74" s="10"/>
      <c r="J74" s="10" t="s">
        <v>487</v>
      </c>
      <c r="K74" s="10" t="s">
        <v>488</v>
      </c>
      <c r="L74" s="11" t="s">
        <v>489</v>
      </c>
      <c r="M74" s="10"/>
      <c r="N74" s="12"/>
      <c r="O74" s="12"/>
      <c r="P74" s="13">
        <f>IFERROR(__xludf.DUMMYFUNCTION("VALUE(SUBSTITUTE((INDEX(SPLIT(A74,"",""),1)),""."","","",1))"),51.62)</f>
        <v>51.62</v>
      </c>
      <c r="Q74" s="13">
        <f>IFERROR(__xludf.DUMMYFUNCTION("VALUE(SUBSTITUTE((INDEX(SPLIT(A74,"",""),2)),""."","","",1))"),107.000921)</f>
        <v>107.000921</v>
      </c>
      <c r="R74" s="14" t="b">
        <f t="shared" si="1"/>
        <v>0</v>
      </c>
      <c r="S74" s="14" t="str">
        <f t="shared" si="2"/>
        <v>51.62,107.000921</v>
      </c>
      <c r="T74" s="12"/>
    </row>
    <row r="75">
      <c r="A75" s="15" t="s">
        <v>490</v>
      </c>
      <c r="B75" s="16" t="s">
        <v>491</v>
      </c>
      <c r="C75" s="16" t="s">
        <v>492</v>
      </c>
      <c r="D75" s="16" t="s">
        <v>16</v>
      </c>
      <c r="E75" s="17" t="s">
        <v>493</v>
      </c>
      <c r="F75" s="16" t="s">
        <v>58</v>
      </c>
      <c r="G75" s="16">
        <v>23.61</v>
      </c>
      <c r="H75" s="16"/>
      <c r="I75" s="16"/>
      <c r="J75" s="16" t="s">
        <v>494</v>
      </c>
      <c r="K75" s="16" t="s">
        <v>495</v>
      </c>
      <c r="L75" s="16"/>
      <c r="M75" s="16"/>
      <c r="N75" s="12"/>
      <c r="O75" s="12"/>
      <c r="P75" s="13">
        <f>IFERROR(__xludf.DUMMYFUNCTION("VALUE(SUBSTITUTE((INDEX(SPLIT(A75,"",""),1)),""."","","",1))"),51.802118)</f>
        <v>51.802118</v>
      </c>
      <c r="Q75" s="13">
        <f>IFERROR(__xludf.DUMMYFUNCTION("VALUE(SUBSTITUTE((INDEX(SPLIT(A75,"",""),2)),""."","","",1))"),107.496153)</f>
        <v>107.496153</v>
      </c>
      <c r="R75" s="14" t="b">
        <f t="shared" si="1"/>
        <v>0</v>
      </c>
      <c r="S75" s="14" t="str">
        <f t="shared" si="2"/>
        <v>51.802118,107.496153</v>
      </c>
      <c r="T75" s="12"/>
    </row>
    <row r="76">
      <c r="A76" s="18" t="s">
        <v>496</v>
      </c>
      <c r="B76" s="8" t="s">
        <v>497</v>
      </c>
      <c r="C76" s="8" t="s">
        <v>498</v>
      </c>
      <c r="D76" s="8" t="s">
        <v>16</v>
      </c>
      <c r="E76" s="19" t="s">
        <v>499</v>
      </c>
      <c r="F76" s="8" t="s">
        <v>58</v>
      </c>
      <c r="G76" s="8">
        <v>23.61</v>
      </c>
      <c r="H76" s="8"/>
      <c r="I76" s="8"/>
      <c r="J76" s="8" t="s">
        <v>500</v>
      </c>
      <c r="K76" s="8" t="s">
        <v>501</v>
      </c>
      <c r="L76" s="8"/>
      <c r="M76" s="8"/>
      <c r="N76" s="12"/>
      <c r="O76" s="12"/>
      <c r="P76" s="13">
        <f>IFERROR(__xludf.DUMMYFUNCTION("VALUE(SUBSTITUTE((INDEX(SPLIT(A76,"",""),1)),""."","","",1))"),51.837002)</f>
        <v>51.837002</v>
      </c>
      <c r="Q76" s="13">
        <f>IFERROR(__xludf.DUMMYFUNCTION("VALUE(SUBSTITUTE((INDEX(SPLIT(A76,"",""),2)),""."","","",1))"),107.499216)</f>
        <v>107.499216</v>
      </c>
      <c r="R76" s="14" t="b">
        <f t="shared" si="1"/>
        <v>0</v>
      </c>
      <c r="S76" s="14" t="str">
        <f t="shared" si="2"/>
        <v>51.837002,107.499216</v>
      </c>
      <c r="T76" s="12"/>
    </row>
    <row r="77">
      <c r="A77" s="15" t="s">
        <v>502</v>
      </c>
      <c r="B77" s="16" t="s">
        <v>503</v>
      </c>
      <c r="C77" s="16" t="s">
        <v>504</v>
      </c>
      <c r="D77" s="16" t="s">
        <v>16</v>
      </c>
      <c r="E77" s="17" t="s">
        <v>505</v>
      </c>
      <c r="F77" s="16" t="s">
        <v>58</v>
      </c>
      <c r="G77" s="16">
        <v>23.61</v>
      </c>
      <c r="H77" s="16"/>
      <c r="I77" s="16"/>
      <c r="J77" s="16" t="s">
        <v>506</v>
      </c>
      <c r="K77" s="16" t="s">
        <v>507</v>
      </c>
      <c r="L77" s="16"/>
      <c r="M77" s="16"/>
      <c r="N77" s="12"/>
      <c r="O77" s="12"/>
      <c r="P77" s="13">
        <f>IFERROR(__xludf.DUMMYFUNCTION("VALUE(SUBSTITUTE((INDEX(SPLIT(A77,"",""),1)),""."","","",1))"),51.844964)</f>
        <v>51.844964</v>
      </c>
      <c r="Q77" s="13">
        <f>IFERROR(__xludf.DUMMYFUNCTION("VALUE(SUBSTITUTE((INDEX(SPLIT(A77,"",""),2)),""."","","",1))"),107.514083)</f>
        <v>107.514083</v>
      </c>
      <c r="R77" s="14" t="b">
        <f t="shared" si="1"/>
        <v>0</v>
      </c>
      <c r="S77" s="14" t="str">
        <f t="shared" si="2"/>
        <v>51.844964,107.514083</v>
      </c>
      <c r="T77" s="12"/>
    </row>
    <row r="78">
      <c r="A78" s="18" t="s">
        <v>508</v>
      </c>
      <c r="B78" s="8" t="s">
        <v>509</v>
      </c>
      <c r="C78" s="8" t="s">
        <v>510</v>
      </c>
      <c r="D78" s="8" t="s">
        <v>16</v>
      </c>
      <c r="E78" s="19" t="s">
        <v>511</v>
      </c>
      <c r="F78" s="8" t="s">
        <v>58</v>
      </c>
      <c r="G78" s="8">
        <v>23.61</v>
      </c>
      <c r="H78" s="8"/>
      <c r="I78" s="8"/>
      <c r="J78" s="8" t="s">
        <v>512</v>
      </c>
      <c r="K78" s="8" t="s">
        <v>513</v>
      </c>
      <c r="L78" s="8"/>
      <c r="M78" s="24" t="s">
        <v>514</v>
      </c>
      <c r="N78" s="12"/>
      <c r="O78" s="12"/>
      <c r="P78" s="13">
        <f>IFERROR(__xludf.DUMMYFUNCTION("VALUE(SUBSTITUTE((INDEX(SPLIT(A78,"",""),1)),""."","","",1))"),51.842282)</f>
        <v>51.842282</v>
      </c>
      <c r="Q78" s="13">
        <f>IFERROR(__xludf.DUMMYFUNCTION("VALUE(SUBSTITUTE((INDEX(SPLIT(A78,"",""),2)),""."","","",1))"),107.514937)</f>
        <v>107.514937</v>
      </c>
      <c r="R78" s="14" t="b">
        <f t="shared" si="1"/>
        <v>0</v>
      </c>
      <c r="S78" s="14" t="str">
        <f t="shared" si="2"/>
        <v>51.842282,107.514937</v>
      </c>
      <c r="T78" s="12"/>
    </row>
    <row r="79">
      <c r="A79" s="20" t="s">
        <v>515</v>
      </c>
      <c r="B79" s="16" t="s">
        <v>516</v>
      </c>
      <c r="C79" s="16" t="s">
        <v>517</v>
      </c>
      <c r="D79" s="16" t="s">
        <v>16</v>
      </c>
      <c r="E79" s="21" t="s">
        <v>518</v>
      </c>
      <c r="F79" s="22" t="s">
        <v>58</v>
      </c>
      <c r="G79" s="16">
        <v>23.61</v>
      </c>
      <c r="H79" s="16"/>
      <c r="I79" s="22"/>
      <c r="J79" s="22" t="s">
        <v>519</v>
      </c>
      <c r="K79" s="22" t="s">
        <v>520</v>
      </c>
      <c r="L79" s="23" t="s">
        <v>521</v>
      </c>
      <c r="M79" s="22"/>
      <c r="N79" s="12"/>
      <c r="O79" s="12"/>
      <c r="P79" s="13">
        <f>IFERROR(__xludf.DUMMYFUNCTION("VALUE(SUBSTITUTE((INDEX(SPLIT(A79,"",""),1)),""."","","",1))"),51.77672)</f>
        <v>51.77672</v>
      </c>
      <c r="Q79" s="13">
        <f>IFERROR(__xludf.DUMMYFUNCTION("VALUE(SUBSTITUTE((INDEX(SPLIT(A79,"",""),2)),""."","","",1))"),107.55007)</f>
        <v>107.55007</v>
      </c>
      <c r="R79" s="14" t="b">
        <f t="shared" si="1"/>
        <v>0</v>
      </c>
      <c r="S79" s="14" t="str">
        <f t="shared" si="2"/>
        <v>51.77672,107.55007</v>
      </c>
      <c r="T79" s="12"/>
    </row>
    <row r="80">
      <c r="A80" s="7" t="s">
        <v>515</v>
      </c>
      <c r="B80" s="8" t="s">
        <v>522</v>
      </c>
      <c r="C80" s="8" t="s">
        <v>523</v>
      </c>
      <c r="D80" s="8" t="s">
        <v>16</v>
      </c>
      <c r="E80" s="9" t="s">
        <v>524</v>
      </c>
      <c r="F80" s="10" t="s">
        <v>58</v>
      </c>
      <c r="G80" s="8">
        <v>23.61</v>
      </c>
      <c r="H80" s="8"/>
      <c r="I80" s="10"/>
      <c r="J80" s="10" t="s">
        <v>525</v>
      </c>
      <c r="K80" s="10" t="s">
        <v>526</v>
      </c>
      <c r="L80" s="11" t="s">
        <v>521</v>
      </c>
      <c r="M80" s="10"/>
      <c r="N80" s="12"/>
      <c r="O80" s="12"/>
      <c r="P80" s="13">
        <f>IFERROR(__xludf.DUMMYFUNCTION("VALUE(SUBSTITUTE((INDEX(SPLIT(A80,"",""),1)),""."","","",1))"),51.77672)</f>
        <v>51.77672</v>
      </c>
      <c r="Q80" s="13">
        <f>IFERROR(__xludf.DUMMYFUNCTION("VALUE(SUBSTITUTE((INDEX(SPLIT(A80,"",""),2)),""."","","",1))"),107.55007)</f>
        <v>107.55007</v>
      </c>
      <c r="R80" s="14" t="b">
        <f t="shared" si="1"/>
        <v>0</v>
      </c>
      <c r="S80" s="14" t="str">
        <f t="shared" si="2"/>
        <v>51.77672,107.55007</v>
      </c>
      <c r="T80" s="12"/>
    </row>
    <row r="81">
      <c r="A81" s="20" t="s">
        <v>515</v>
      </c>
      <c r="B81" s="16" t="s">
        <v>527</v>
      </c>
      <c r="C81" s="16" t="s">
        <v>528</v>
      </c>
      <c r="D81" s="16" t="s">
        <v>16</v>
      </c>
      <c r="E81" s="21" t="s">
        <v>529</v>
      </c>
      <c r="F81" s="22" t="s">
        <v>58</v>
      </c>
      <c r="G81" s="16">
        <v>23.61</v>
      </c>
      <c r="H81" s="16"/>
      <c r="I81" s="22"/>
      <c r="J81" s="22" t="s">
        <v>519</v>
      </c>
      <c r="K81" s="22" t="s">
        <v>520</v>
      </c>
      <c r="L81" s="23" t="s">
        <v>521</v>
      </c>
      <c r="M81" s="22"/>
      <c r="N81" s="12"/>
      <c r="O81" s="12"/>
      <c r="P81" s="13">
        <f>IFERROR(__xludf.DUMMYFUNCTION("VALUE(SUBSTITUTE((INDEX(SPLIT(A81,"",""),1)),""."","","",1))"),51.77672)</f>
        <v>51.77672</v>
      </c>
      <c r="Q81" s="13">
        <f>IFERROR(__xludf.DUMMYFUNCTION("VALUE(SUBSTITUTE((INDEX(SPLIT(A81,"",""),2)),""."","","",1))"),107.55007)</f>
        <v>107.55007</v>
      </c>
      <c r="R81" s="14" t="b">
        <f t="shared" si="1"/>
        <v>0</v>
      </c>
      <c r="S81" s="14" t="str">
        <f t="shared" si="2"/>
        <v>51.77672,107.55007</v>
      </c>
      <c r="T81" s="12"/>
    </row>
    <row r="82">
      <c r="A82" s="18" t="s">
        <v>530</v>
      </c>
      <c r="B82" s="8" t="s">
        <v>77</v>
      </c>
      <c r="C82" s="8" t="s">
        <v>78</v>
      </c>
      <c r="D82" s="8" t="s">
        <v>16</v>
      </c>
      <c r="E82" s="19" t="s">
        <v>531</v>
      </c>
      <c r="F82" s="8" t="s">
        <v>58</v>
      </c>
      <c r="G82" s="8">
        <v>23.61</v>
      </c>
      <c r="H82" s="8"/>
      <c r="I82" s="8"/>
      <c r="J82" s="8" t="s">
        <v>532</v>
      </c>
      <c r="K82" s="8" t="s">
        <v>533</v>
      </c>
      <c r="L82" s="8"/>
      <c r="M82" s="24" t="s">
        <v>534</v>
      </c>
      <c r="N82" s="12"/>
      <c r="O82" s="12"/>
      <c r="P82" s="13">
        <f>IFERROR(__xludf.DUMMYFUNCTION("VALUE(SUBSTITUTE((INDEX(SPLIT(A82,"",""),1)),""."","","",1))"),51.776107)</f>
        <v>51.776107</v>
      </c>
      <c r="Q82" s="13">
        <f>IFERROR(__xludf.DUMMYFUNCTION("VALUE(SUBSTITUTE((INDEX(SPLIT(A82,"",""),2)),""."","","",1))"),107.553196)</f>
        <v>107.553196</v>
      </c>
      <c r="R82" s="14" t="b">
        <f t="shared" si="1"/>
        <v>0</v>
      </c>
      <c r="S82" s="14" t="str">
        <f t="shared" si="2"/>
        <v>51.776107,107.553196</v>
      </c>
      <c r="T82" s="12"/>
    </row>
    <row r="83">
      <c r="A83" s="15" t="s">
        <v>535</v>
      </c>
      <c r="B83" s="16" t="s">
        <v>536</v>
      </c>
      <c r="C83" s="16" t="s">
        <v>537</v>
      </c>
      <c r="D83" s="16" t="s">
        <v>16</v>
      </c>
      <c r="E83" s="17" t="s">
        <v>538</v>
      </c>
      <c r="F83" s="16" t="s">
        <v>58</v>
      </c>
      <c r="G83" s="16">
        <v>23.61</v>
      </c>
      <c r="H83" s="16"/>
      <c r="I83" s="16"/>
      <c r="J83" s="16" t="s">
        <v>539</v>
      </c>
      <c r="K83" s="16" t="s">
        <v>540</v>
      </c>
      <c r="L83" s="16"/>
      <c r="M83" s="25" t="s">
        <v>541</v>
      </c>
      <c r="N83" s="12"/>
      <c r="O83" s="12"/>
      <c r="P83" s="13">
        <f>IFERROR(__xludf.DUMMYFUNCTION("VALUE(SUBSTITUTE((INDEX(SPLIT(A83,"",""),1)),""."","","",1))"),51.844158)</f>
        <v>51.844158</v>
      </c>
      <c r="Q83" s="13">
        <f>IFERROR(__xludf.DUMMYFUNCTION("VALUE(SUBSTITUTE((INDEX(SPLIT(A83,"",""),2)),""."","","",1))"),107.556115)</f>
        <v>107.556115</v>
      </c>
      <c r="R83" s="14" t="b">
        <f t="shared" si="1"/>
        <v>0</v>
      </c>
      <c r="S83" s="14" t="str">
        <f t="shared" si="2"/>
        <v>51.844158,107.556115</v>
      </c>
      <c r="T83" s="12"/>
    </row>
    <row r="84">
      <c r="A84" s="7" t="s">
        <v>542</v>
      </c>
      <c r="B84" s="8" t="s">
        <v>543</v>
      </c>
      <c r="C84" s="8" t="s">
        <v>544</v>
      </c>
      <c r="D84" s="8" t="s">
        <v>16</v>
      </c>
      <c r="E84" s="9" t="s">
        <v>545</v>
      </c>
      <c r="F84" s="10" t="s">
        <v>58</v>
      </c>
      <c r="G84" s="8">
        <v>23.61</v>
      </c>
      <c r="H84" s="8"/>
      <c r="I84" s="10"/>
      <c r="J84" s="10" t="s">
        <v>546</v>
      </c>
      <c r="K84" s="10" t="s">
        <v>547</v>
      </c>
      <c r="L84" s="11" t="s">
        <v>548</v>
      </c>
      <c r="M84" s="10"/>
      <c r="N84" s="12"/>
      <c r="O84" s="12"/>
      <c r="P84" s="13">
        <f>IFERROR(__xludf.DUMMYFUNCTION("VALUE(SUBSTITUTE((INDEX(SPLIT(A84,"",""),1)),""."","","",1))"),51.784008)</f>
        <v>51.784008</v>
      </c>
      <c r="Q84" s="13">
        <f>IFERROR(__xludf.DUMMYFUNCTION("VALUE(SUBSTITUTE((INDEX(SPLIT(A84,"",""),2)),""."","","",1))"),107.570003)</f>
        <v>107.570003</v>
      </c>
      <c r="R84" s="14" t="b">
        <f t="shared" si="1"/>
        <v>0</v>
      </c>
      <c r="S84" s="14" t="str">
        <f t="shared" si="2"/>
        <v>51.784008,107.570003</v>
      </c>
      <c r="T84" s="12"/>
    </row>
    <row r="85">
      <c r="A85" s="15" t="s">
        <v>549</v>
      </c>
      <c r="B85" s="16" t="s">
        <v>550</v>
      </c>
      <c r="C85" s="16" t="s">
        <v>551</v>
      </c>
      <c r="D85" s="16" t="s">
        <v>16</v>
      </c>
      <c r="E85" s="17" t="s">
        <v>552</v>
      </c>
      <c r="F85" s="16" t="s">
        <v>58</v>
      </c>
      <c r="G85" s="16">
        <v>23.61</v>
      </c>
      <c r="H85" s="16"/>
      <c r="I85" s="16"/>
      <c r="J85" s="16" t="s">
        <v>553</v>
      </c>
      <c r="K85" s="16" t="s">
        <v>554</v>
      </c>
      <c r="L85" s="16"/>
      <c r="M85" s="25" t="s">
        <v>555</v>
      </c>
      <c r="N85" s="12"/>
      <c r="O85" s="12"/>
      <c r="P85" s="13">
        <f>IFERROR(__xludf.DUMMYFUNCTION("VALUE(SUBSTITUTE((INDEX(SPLIT(A85,"",""),1)),""."","","",1))"),51.785017)</f>
        <v>51.785017</v>
      </c>
      <c r="Q85" s="13">
        <f>IFERROR(__xludf.DUMMYFUNCTION("VALUE(SUBSTITUTE((INDEX(SPLIT(A85,"",""),2)),""."","","",1))"),107.576022)</f>
        <v>107.576022</v>
      </c>
      <c r="R85" s="14" t="b">
        <f t="shared" si="1"/>
        <v>0</v>
      </c>
      <c r="S85" s="14" t="str">
        <f t="shared" si="2"/>
        <v>51.785017,107.576022</v>
      </c>
      <c r="T85" s="12"/>
    </row>
    <row r="86">
      <c r="A86" s="7" t="s">
        <v>556</v>
      </c>
      <c r="B86" s="8" t="s">
        <v>557</v>
      </c>
      <c r="C86" s="8" t="s">
        <v>558</v>
      </c>
      <c r="D86" s="8" t="s">
        <v>16</v>
      </c>
      <c r="E86" s="9" t="s">
        <v>559</v>
      </c>
      <c r="F86" s="10" t="s">
        <v>58</v>
      </c>
      <c r="G86" s="8">
        <v>23.61</v>
      </c>
      <c r="H86" s="8"/>
      <c r="I86" s="10"/>
      <c r="J86" s="10" t="s">
        <v>560</v>
      </c>
      <c r="K86" s="10" t="s">
        <v>561</v>
      </c>
      <c r="L86" s="11" t="s">
        <v>562</v>
      </c>
      <c r="M86" s="10"/>
      <c r="N86" s="12"/>
      <c r="O86" s="12"/>
      <c r="P86" s="13">
        <f>IFERROR(__xludf.DUMMYFUNCTION("VALUE(SUBSTITUTE((INDEX(SPLIT(A86,"",""),1)),""."","","",1))"),51.82985)</f>
        <v>51.82985</v>
      </c>
      <c r="Q86" s="13">
        <f>IFERROR(__xludf.DUMMYFUNCTION("VALUE(SUBSTITUTE((INDEX(SPLIT(A86,"",""),2)),""."","","",1))"),107.579741)</f>
        <v>107.579741</v>
      </c>
      <c r="R86" s="14" t="b">
        <f t="shared" si="1"/>
        <v>0</v>
      </c>
      <c r="S86" s="14" t="str">
        <f t="shared" si="2"/>
        <v>51.82985,107.579741</v>
      </c>
      <c r="T86" s="12"/>
    </row>
    <row r="87">
      <c r="A87" s="15" t="s">
        <v>563</v>
      </c>
      <c r="B87" s="16" t="s">
        <v>564</v>
      </c>
      <c r="C87" s="16" t="s">
        <v>565</v>
      </c>
      <c r="D87" s="16" t="s">
        <v>16</v>
      </c>
      <c r="E87" s="17" t="s">
        <v>566</v>
      </c>
      <c r="F87" s="16" t="s">
        <v>58</v>
      </c>
      <c r="G87" s="16">
        <v>23.61</v>
      </c>
      <c r="H87" s="16"/>
      <c r="I87" s="16"/>
      <c r="J87" s="16" t="s">
        <v>567</v>
      </c>
      <c r="K87" s="16" t="s">
        <v>568</v>
      </c>
      <c r="L87" s="16"/>
      <c r="M87" s="16"/>
      <c r="N87" s="12"/>
      <c r="O87" s="12"/>
      <c r="P87" s="13">
        <f>IFERROR(__xludf.DUMMYFUNCTION("VALUE(SUBSTITUTE((INDEX(SPLIT(A87,"",""),1)),""."","","",1))"),51.834809)</f>
        <v>51.834809</v>
      </c>
      <c r="Q87" s="13">
        <f>IFERROR(__xludf.DUMMYFUNCTION("VALUE(SUBSTITUTE((INDEX(SPLIT(A87,"",""),2)),""."","","",1))"),107.584547)</f>
        <v>107.584547</v>
      </c>
      <c r="R87" s="14" t="b">
        <f t="shared" si="1"/>
        <v>0</v>
      </c>
      <c r="S87" s="14" t="str">
        <f t="shared" si="2"/>
        <v>51.834809,107.584547</v>
      </c>
      <c r="T87" s="12"/>
    </row>
    <row r="88">
      <c r="A88" s="18" t="s">
        <v>569</v>
      </c>
      <c r="B88" s="8" t="s">
        <v>570</v>
      </c>
      <c r="C88" s="8" t="s">
        <v>571</v>
      </c>
      <c r="D88" s="8" t="s">
        <v>16</v>
      </c>
      <c r="E88" s="19" t="s">
        <v>572</v>
      </c>
      <c r="F88" s="8" t="s">
        <v>58</v>
      </c>
      <c r="G88" s="8">
        <v>23.61</v>
      </c>
      <c r="H88" s="8"/>
      <c r="I88" s="8"/>
      <c r="J88" s="8" t="s">
        <v>573</v>
      </c>
      <c r="K88" s="8" t="s">
        <v>574</v>
      </c>
      <c r="L88" s="8"/>
      <c r="M88" s="24" t="s">
        <v>575</v>
      </c>
      <c r="N88" s="12"/>
      <c r="O88" s="12"/>
      <c r="P88" s="13">
        <f>IFERROR(__xludf.DUMMYFUNCTION("VALUE(SUBSTITUTE((INDEX(SPLIT(A88,"",""),1)),""."","","",1))"),51.826544)</f>
        <v>51.826544</v>
      </c>
      <c r="Q88" s="13">
        <f>IFERROR(__xludf.DUMMYFUNCTION("VALUE(SUBSTITUTE((INDEX(SPLIT(A88,"",""),2)),""."","","",1))"),107.589694)</f>
        <v>107.589694</v>
      </c>
      <c r="R88" s="14" t="b">
        <f t="shared" si="1"/>
        <v>0</v>
      </c>
      <c r="S88" s="14" t="str">
        <f t="shared" si="2"/>
        <v>51.826544,107.589694</v>
      </c>
      <c r="T88" s="12"/>
    </row>
    <row r="89">
      <c r="A89" s="20" t="s">
        <v>576</v>
      </c>
      <c r="B89" s="16" t="s">
        <v>577</v>
      </c>
      <c r="C89" s="16" t="s">
        <v>578</v>
      </c>
      <c r="D89" s="16" t="s">
        <v>16</v>
      </c>
      <c r="E89" s="21" t="s">
        <v>579</v>
      </c>
      <c r="F89" s="22" t="s">
        <v>58</v>
      </c>
      <c r="G89" s="16">
        <v>23.61</v>
      </c>
      <c r="H89" s="16"/>
      <c r="I89" s="22"/>
      <c r="J89" s="22" t="s">
        <v>580</v>
      </c>
      <c r="K89" s="22" t="s">
        <v>581</v>
      </c>
      <c r="L89" s="23" t="s">
        <v>582</v>
      </c>
      <c r="M89" s="22"/>
      <c r="N89" s="12"/>
      <c r="O89" s="12"/>
      <c r="P89" s="13">
        <f>IFERROR(__xludf.DUMMYFUNCTION("VALUE(SUBSTITUTE((INDEX(SPLIT(A89,"",""),1)),""."","","",1))"),51.851324)</f>
        <v>51.851324</v>
      </c>
      <c r="Q89" s="13">
        <f>IFERROR(__xludf.DUMMYFUNCTION("VALUE(SUBSTITUTE((INDEX(SPLIT(A89,"",""),2)),""."","","",1))"),107.592659)</f>
        <v>107.592659</v>
      </c>
      <c r="R89" s="14" t="b">
        <f t="shared" si="1"/>
        <v>0</v>
      </c>
      <c r="S89" s="14" t="str">
        <f t="shared" si="2"/>
        <v>51.851324,107.592659</v>
      </c>
      <c r="T89" s="12"/>
    </row>
    <row r="90">
      <c r="A90" s="7" t="s">
        <v>583</v>
      </c>
      <c r="B90" s="8" t="s">
        <v>584</v>
      </c>
      <c r="C90" s="8" t="s">
        <v>585</v>
      </c>
      <c r="D90" s="8" t="s">
        <v>16</v>
      </c>
      <c r="E90" s="9" t="s">
        <v>586</v>
      </c>
      <c r="F90" s="10" t="s">
        <v>58</v>
      </c>
      <c r="G90" s="8">
        <v>23.61</v>
      </c>
      <c r="H90" s="8"/>
      <c r="I90" s="10"/>
      <c r="J90" s="10" t="s">
        <v>587</v>
      </c>
      <c r="K90" s="10" t="s">
        <v>588</v>
      </c>
      <c r="L90" s="11" t="s">
        <v>589</v>
      </c>
      <c r="M90" s="11" t="s">
        <v>590</v>
      </c>
      <c r="N90" s="12"/>
      <c r="O90" s="12"/>
      <c r="P90" s="13">
        <f>IFERROR(__xludf.DUMMYFUNCTION("VALUE(SUBSTITUTE((INDEX(SPLIT(A90,"",""),1)),""."","","",1))"),51.826894)</f>
        <v>51.826894</v>
      </c>
      <c r="Q90" s="13">
        <f>IFERROR(__xludf.DUMMYFUNCTION("VALUE(SUBSTITUTE((INDEX(SPLIT(A90,"",""),2)),""."","","",1))"),107.595641)</f>
        <v>107.595641</v>
      </c>
      <c r="R90" s="14" t="b">
        <f t="shared" si="1"/>
        <v>0</v>
      </c>
      <c r="S90" s="14" t="str">
        <f t="shared" si="2"/>
        <v>51.826894,107.595641</v>
      </c>
      <c r="T90" s="12"/>
    </row>
    <row r="91">
      <c r="A91" s="20" t="s">
        <v>591</v>
      </c>
      <c r="B91" s="16" t="s">
        <v>592</v>
      </c>
      <c r="C91" s="16" t="s">
        <v>593</v>
      </c>
      <c r="D91" s="16" t="s">
        <v>16</v>
      </c>
      <c r="E91" s="21" t="s">
        <v>594</v>
      </c>
      <c r="F91" s="22" t="s">
        <v>58</v>
      </c>
      <c r="G91" s="16">
        <v>23.61</v>
      </c>
      <c r="H91" s="16"/>
      <c r="I91" s="22"/>
      <c r="J91" s="22" t="s">
        <v>595</v>
      </c>
      <c r="K91" s="22" t="s">
        <v>596</v>
      </c>
      <c r="L91" s="23" t="s">
        <v>548</v>
      </c>
      <c r="M91" s="22"/>
      <c r="N91" s="12"/>
      <c r="O91" s="12"/>
      <c r="P91" s="13">
        <f>IFERROR(__xludf.DUMMYFUNCTION("VALUE(SUBSTITUTE((INDEX(SPLIT(A91,"",""),1)),""."","","",1))"),51.784014)</f>
        <v>51.784014</v>
      </c>
      <c r="Q91" s="13">
        <f>IFERROR(__xludf.DUMMYFUNCTION("VALUE(SUBSTITUTE((INDEX(SPLIT(A91,"",""),2)),""."","","",1))"),107.600959)</f>
        <v>107.600959</v>
      </c>
      <c r="R91" s="14" t="b">
        <f t="shared" si="1"/>
        <v>0</v>
      </c>
      <c r="S91" s="14" t="str">
        <f t="shared" si="2"/>
        <v>51.784014,107.600959</v>
      </c>
      <c r="T91" s="12"/>
    </row>
    <row r="92">
      <c r="A92" s="18" t="s">
        <v>597</v>
      </c>
      <c r="B92" s="8" t="s">
        <v>598</v>
      </c>
      <c r="C92" s="8" t="s">
        <v>599</v>
      </c>
      <c r="D92" s="8" t="s">
        <v>16</v>
      </c>
      <c r="E92" s="19" t="s">
        <v>600</v>
      </c>
      <c r="F92" s="8" t="s">
        <v>58</v>
      </c>
      <c r="G92" s="8">
        <v>23.61</v>
      </c>
      <c r="H92" s="8"/>
      <c r="I92" s="8"/>
      <c r="J92" s="8" t="s">
        <v>601</v>
      </c>
      <c r="K92" s="8" t="s">
        <v>602</v>
      </c>
      <c r="L92" s="8"/>
      <c r="M92" s="24" t="s">
        <v>603</v>
      </c>
      <c r="N92" s="12"/>
      <c r="O92" s="12"/>
      <c r="P92" s="13">
        <f>IFERROR(__xludf.DUMMYFUNCTION("VALUE(SUBSTITUTE((INDEX(SPLIT(A92,"",""),1)),""."","","",1))"),51.801138)</f>
        <v>51.801138</v>
      </c>
      <c r="Q92" s="13">
        <f>IFERROR(__xludf.DUMMYFUNCTION("VALUE(SUBSTITUTE((INDEX(SPLIT(A92,"",""),2)),""."","","",1))"),107.604723)</f>
        <v>107.604723</v>
      </c>
      <c r="R92" s="14" t="b">
        <f t="shared" si="1"/>
        <v>0</v>
      </c>
      <c r="S92" s="14" t="str">
        <f t="shared" si="2"/>
        <v>51.801138,107.604723</v>
      </c>
      <c r="T92" s="12"/>
    </row>
    <row r="93">
      <c r="A93" s="15" t="s">
        <v>604</v>
      </c>
      <c r="B93" s="16" t="s">
        <v>605</v>
      </c>
      <c r="C93" s="16" t="s">
        <v>606</v>
      </c>
      <c r="D93" s="16" t="s">
        <v>16</v>
      </c>
      <c r="E93" s="17" t="s">
        <v>607</v>
      </c>
      <c r="F93" s="16" t="s">
        <v>58</v>
      </c>
      <c r="G93" s="16">
        <v>23.61</v>
      </c>
      <c r="H93" s="16"/>
      <c r="I93" s="16"/>
      <c r="J93" s="16" t="s">
        <v>608</v>
      </c>
      <c r="K93" s="16" t="s">
        <v>609</v>
      </c>
      <c r="L93" s="16"/>
      <c r="M93" s="16"/>
      <c r="N93" s="12"/>
      <c r="O93" s="12"/>
      <c r="P93" s="13">
        <f>IFERROR(__xludf.DUMMYFUNCTION("VALUE(SUBSTITUTE((INDEX(SPLIT(A93,"",""),1)),""."","","",1))"),51.812481)</f>
        <v>51.812481</v>
      </c>
      <c r="Q93" s="13">
        <f>IFERROR(__xludf.DUMMYFUNCTION("VALUE(SUBSTITUTE((INDEX(SPLIT(A93,"",""),2)),""."","","",1))"),107.609125)</f>
        <v>107.609125</v>
      </c>
      <c r="R93" s="14" t="b">
        <f t="shared" si="1"/>
        <v>0</v>
      </c>
      <c r="S93" s="14" t="str">
        <f t="shared" si="2"/>
        <v>51.812481,107.609125</v>
      </c>
      <c r="T93" s="12"/>
    </row>
    <row r="94">
      <c r="A94" s="7" t="s">
        <v>610</v>
      </c>
      <c r="B94" s="8" t="s">
        <v>611</v>
      </c>
      <c r="C94" s="8" t="s">
        <v>612</v>
      </c>
      <c r="D94" s="8" t="s">
        <v>16</v>
      </c>
      <c r="E94" s="9" t="s">
        <v>613</v>
      </c>
      <c r="F94" s="10" t="s">
        <v>58</v>
      </c>
      <c r="G94" s="8">
        <v>23.61</v>
      </c>
      <c r="H94" s="8"/>
      <c r="I94" s="10"/>
      <c r="J94" s="10" t="s">
        <v>614</v>
      </c>
      <c r="K94" s="10" t="s">
        <v>615</v>
      </c>
      <c r="L94" s="11" t="s">
        <v>616</v>
      </c>
      <c r="M94" s="10"/>
      <c r="N94" s="12"/>
      <c r="O94" s="12"/>
      <c r="P94" s="13">
        <f>IFERROR(__xludf.DUMMYFUNCTION("VALUE(SUBSTITUTE((INDEX(SPLIT(A94,"",""),1)),""."","","",1))"),51.811941)</f>
        <v>51.811941</v>
      </c>
      <c r="Q94" s="13">
        <f>IFERROR(__xludf.DUMMYFUNCTION("VALUE(SUBSTITUTE((INDEX(SPLIT(A94,"",""),2)),""."","","",1))"),107.611065)</f>
        <v>107.611065</v>
      </c>
      <c r="R94" s="14" t="b">
        <f t="shared" si="1"/>
        <v>0</v>
      </c>
      <c r="S94" s="14" t="str">
        <f t="shared" si="2"/>
        <v>51.811941,107.611065</v>
      </c>
      <c r="T94" s="12"/>
    </row>
    <row r="95">
      <c r="A95" s="20" t="s">
        <v>617</v>
      </c>
      <c r="B95" s="16" t="s">
        <v>618</v>
      </c>
      <c r="C95" s="16" t="s">
        <v>619</v>
      </c>
      <c r="D95" s="16" t="s">
        <v>16</v>
      </c>
      <c r="E95" s="21" t="s">
        <v>620</v>
      </c>
      <c r="F95" s="22" t="s">
        <v>58</v>
      </c>
      <c r="G95" s="16">
        <v>23.61</v>
      </c>
      <c r="H95" s="16"/>
      <c r="I95" s="22"/>
      <c r="J95" s="22" t="s">
        <v>621</v>
      </c>
      <c r="K95" s="22" t="s">
        <v>561</v>
      </c>
      <c r="L95" s="23" t="s">
        <v>622</v>
      </c>
      <c r="M95" s="23" t="s">
        <v>623</v>
      </c>
      <c r="N95" s="12"/>
      <c r="O95" s="12"/>
      <c r="P95" s="13">
        <f>IFERROR(__xludf.DUMMYFUNCTION("VALUE(SUBSTITUTE((INDEX(SPLIT(A95,"",""),1)),""."","","",1))"),51.80889)</f>
        <v>51.80889</v>
      </c>
      <c r="Q95" s="13">
        <f>IFERROR(__xludf.DUMMYFUNCTION("VALUE(SUBSTITUTE((INDEX(SPLIT(A95,"",""),2)),""."","","",1))"),107.625555)</f>
        <v>107.625555</v>
      </c>
      <c r="R95" s="14" t="b">
        <f t="shared" si="1"/>
        <v>0</v>
      </c>
      <c r="S95" s="14" t="str">
        <f t="shared" si="2"/>
        <v>51.80889,107.625555</v>
      </c>
      <c r="T95" s="12"/>
    </row>
    <row r="96">
      <c r="A96" s="18" t="s">
        <v>624</v>
      </c>
      <c r="B96" s="8" t="s">
        <v>625</v>
      </c>
      <c r="C96" s="8" t="s">
        <v>626</v>
      </c>
      <c r="D96" s="8" t="s">
        <v>16</v>
      </c>
      <c r="E96" s="19" t="s">
        <v>627</v>
      </c>
      <c r="F96" s="8" t="s">
        <v>58</v>
      </c>
      <c r="G96" s="8">
        <v>23.61</v>
      </c>
      <c r="H96" s="8"/>
      <c r="I96" s="8"/>
      <c r="J96" s="8" t="s">
        <v>628</v>
      </c>
      <c r="K96" s="8" t="s">
        <v>629</v>
      </c>
      <c r="L96" s="8"/>
      <c r="M96" s="8"/>
      <c r="N96" s="12"/>
      <c r="O96" s="12"/>
      <c r="P96" s="13">
        <f>IFERROR(__xludf.DUMMYFUNCTION("VALUE(SUBSTITUTE((INDEX(SPLIT(A96,"",""),1)),""."","","",1))"),51.837475)</f>
        <v>51.837475</v>
      </c>
      <c r="Q96" s="13">
        <f>IFERROR(__xludf.DUMMYFUNCTION("VALUE(SUBSTITUTE((INDEX(SPLIT(A96,"",""),2)),""."","","",1))"),107.628322)</f>
        <v>107.628322</v>
      </c>
      <c r="R96" s="14" t="b">
        <f t="shared" si="1"/>
        <v>0</v>
      </c>
      <c r="S96" s="14" t="str">
        <f t="shared" si="2"/>
        <v>51.837475,107.628322</v>
      </c>
      <c r="T96" s="12"/>
    </row>
    <row r="97">
      <c r="A97" s="15" t="s">
        <v>630</v>
      </c>
      <c r="B97" s="16" t="s">
        <v>631</v>
      </c>
      <c r="C97" s="16" t="s">
        <v>632</v>
      </c>
      <c r="D97" s="16" t="s">
        <v>16</v>
      </c>
      <c r="E97" s="17" t="s">
        <v>633</v>
      </c>
      <c r="F97" s="16" t="s">
        <v>58</v>
      </c>
      <c r="G97" s="16">
        <v>23.61</v>
      </c>
      <c r="H97" s="16"/>
      <c r="I97" s="16"/>
      <c r="J97" s="16" t="s">
        <v>634</v>
      </c>
      <c r="K97" s="16" t="s">
        <v>635</v>
      </c>
      <c r="L97" s="16"/>
      <c r="M97" s="16"/>
      <c r="N97" s="12"/>
      <c r="O97" s="12"/>
      <c r="P97" s="13">
        <f>IFERROR(__xludf.DUMMYFUNCTION("VALUE(SUBSTITUTE((INDEX(SPLIT(A97,"",""),1)),""."","","",1))"),51.818255)</f>
        <v>51.818255</v>
      </c>
      <c r="Q97" s="13">
        <f>IFERROR(__xludf.DUMMYFUNCTION("VALUE(SUBSTITUTE((INDEX(SPLIT(A97,"",""),2)),""."","","",1))"),107.629301)</f>
        <v>107.629301</v>
      </c>
      <c r="R97" s="14" t="b">
        <f t="shared" si="1"/>
        <v>0</v>
      </c>
      <c r="S97" s="14" t="str">
        <f t="shared" si="2"/>
        <v>51.818255,107.629301</v>
      </c>
      <c r="T97" s="12"/>
    </row>
    <row r="98">
      <c r="A98" s="18" t="s">
        <v>636</v>
      </c>
      <c r="B98" s="8" t="s">
        <v>637</v>
      </c>
      <c r="C98" s="8" t="s">
        <v>638</v>
      </c>
      <c r="D98" s="8" t="s">
        <v>16</v>
      </c>
      <c r="E98" s="19" t="s">
        <v>639</v>
      </c>
      <c r="F98" s="8" t="s">
        <v>58</v>
      </c>
      <c r="G98" s="8">
        <v>23.61</v>
      </c>
      <c r="H98" s="8"/>
      <c r="I98" s="8"/>
      <c r="J98" s="8" t="s">
        <v>640</v>
      </c>
      <c r="K98" s="8" t="s">
        <v>641</v>
      </c>
      <c r="L98" s="8"/>
      <c r="M98" s="8"/>
      <c r="N98" s="12"/>
      <c r="O98" s="12"/>
      <c r="P98" s="13">
        <f>IFERROR(__xludf.DUMMYFUNCTION("VALUE(SUBSTITUTE((INDEX(SPLIT(A98,"",""),1)),""."","","",1))"),51.840969)</f>
        <v>51.840969</v>
      </c>
      <c r="Q98" s="13">
        <f>IFERROR(__xludf.DUMMYFUNCTION("VALUE(SUBSTITUTE((INDEX(SPLIT(A98,"",""),2)),""."","","",1))"),107.641213)</f>
        <v>107.641213</v>
      </c>
      <c r="R98" s="14" t="b">
        <f t="shared" si="1"/>
        <v>0</v>
      </c>
      <c r="S98" s="14" t="str">
        <f t="shared" si="2"/>
        <v>51.840969,107.641213</v>
      </c>
      <c r="T98" s="12"/>
    </row>
    <row r="99">
      <c r="A99" s="20" t="s">
        <v>642</v>
      </c>
      <c r="B99" s="16" t="s">
        <v>643</v>
      </c>
      <c r="C99" s="16" t="s">
        <v>644</v>
      </c>
      <c r="D99" s="16" t="s">
        <v>16</v>
      </c>
      <c r="E99" s="21" t="s">
        <v>645</v>
      </c>
      <c r="F99" s="22" t="s">
        <v>58</v>
      </c>
      <c r="G99" s="16">
        <v>23.61</v>
      </c>
      <c r="H99" s="16"/>
      <c r="I99" s="22"/>
      <c r="J99" s="22" t="s">
        <v>646</v>
      </c>
      <c r="K99" s="22" t="s">
        <v>647</v>
      </c>
      <c r="L99" s="23" t="s">
        <v>648</v>
      </c>
      <c r="M99" s="23" t="s">
        <v>649</v>
      </c>
      <c r="N99" s="12"/>
      <c r="O99" s="12"/>
      <c r="P99" s="13">
        <f>IFERROR(__xludf.DUMMYFUNCTION("VALUE(SUBSTITUTE((INDEX(SPLIT(A99,"",""),1)),""."","","",1))"),51.838799)</f>
        <v>51.838799</v>
      </c>
      <c r="Q99" s="13">
        <f>IFERROR(__xludf.DUMMYFUNCTION("VALUE(SUBSTITUTE((INDEX(SPLIT(A99,"",""),2)),""."","","",1))"),107.644644)</f>
        <v>107.644644</v>
      </c>
      <c r="R99" s="14" t="b">
        <f t="shared" si="1"/>
        <v>0</v>
      </c>
      <c r="S99" s="14" t="str">
        <f t="shared" si="2"/>
        <v>51.838799,107.644644</v>
      </c>
      <c r="T99" s="12"/>
    </row>
    <row r="100">
      <c r="A100" s="7" t="s">
        <v>650</v>
      </c>
      <c r="B100" s="8" t="s">
        <v>651</v>
      </c>
      <c r="C100" s="8" t="s">
        <v>652</v>
      </c>
      <c r="D100" s="8" t="s">
        <v>16</v>
      </c>
      <c r="E100" s="9" t="s">
        <v>653</v>
      </c>
      <c r="F100" s="10" t="s">
        <v>58</v>
      </c>
      <c r="G100" s="8">
        <v>23.61</v>
      </c>
      <c r="H100" s="8"/>
      <c r="I100" s="10"/>
      <c r="J100" s="10" t="s">
        <v>654</v>
      </c>
      <c r="K100" s="10" t="s">
        <v>655</v>
      </c>
      <c r="L100" s="11" t="s">
        <v>656</v>
      </c>
      <c r="M100" s="10"/>
      <c r="N100" s="12"/>
      <c r="O100" s="12"/>
      <c r="P100" s="13">
        <f>IFERROR(__xludf.DUMMYFUNCTION("VALUE(SUBSTITUTE((INDEX(SPLIT(A100,"",""),1)),""."","","",1))"),51.827301)</f>
        <v>51.827301</v>
      </c>
      <c r="Q100" s="13">
        <f>IFERROR(__xludf.DUMMYFUNCTION("VALUE(SUBSTITUTE((INDEX(SPLIT(A100,"",""),2)),""."","","",1))"),107.65997)</f>
        <v>107.65997</v>
      </c>
      <c r="R100" s="14" t="b">
        <f t="shared" si="1"/>
        <v>0</v>
      </c>
      <c r="S100" s="14" t="str">
        <f t="shared" si="2"/>
        <v>51.827301,107.65997</v>
      </c>
      <c r="T100" s="12"/>
    </row>
    <row r="101">
      <c r="A101" s="20" t="s">
        <v>657</v>
      </c>
      <c r="B101" s="16" t="s">
        <v>658</v>
      </c>
      <c r="C101" s="16" t="s">
        <v>659</v>
      </c>
      <c r="D101" s="16" t="s">
        <v>16</v>
      </c>
      <c r="E101" s="21" t="s">
        <v>660</v>
      </c>
      <c r="F101" s="22" t="s">
        <v>58</v>
      </c>
      <c r="G101" s="16">
        <v>23.61</v>
      </c>
      <c r="H101" s="16"/>
      <c r="I101" s="22"/>
      <c r="J101" s="22" t="s">
        <v>661</v>
      </c>
      <c r="K101" s="22" t="s">
        <v>662</v>
      </c>
      <c r="L101" s="23" t="s">
        <v>663</v>
      </c>
      <c r="M101" s="22"/>
      <c r="N101" s="12"/>
      <c r="O101" s="12"/>
      <c r="P101" s="13">
        <f>IFERROR(__xludf.DUMMYFUNCTION("VALUE(SUBSTITUTE((INDEX(SPLIT(A101,"",""),1)),""."","","",1))"),51.818555)</f>
        <v>51.818555</v>
      </c>
      <c r="Q101" s="13">
        <f>IFERROR(__xludf.DUMMYFUNCTION("VALUE(SUBSTITUTE((INDEX(SPLIT(A101,"",""),2)),""."","","",1))"),107.662045)</f>
        <v>107.662045</v>
      </c>
      <c r="R101" s="14" t="b">
        <f t="shared" si="1"/>
        <v>0</v>
      </c>
      <c r="S101" s="14" t="str">
        <f t="shared" si="2"/>
        <v>51.818555,107.662045</v>
      </c>
      <c r="T101" s="12"/>
    </row>
    <row r="102">
      <c r="A102" s="7" t="s">
        <v>664</v>
      </c>
      <c r="B102" s="8" t="s">
        <v>89</v>
      </c>
      <c r="C102" s="8" t="s">
        <v>90</v>
      </c>
      <c r="D102" s="8" t="s">
        <v>16</v>
      </c>
      <c r="E102" s="9" t="s">
        <v>665</v>
      </c>
      <c r="F102" s="10" t="s">
        <v>58</v>
      </c>
      <c r="G102" s="8">
        <v>23.61</v>
      </c>
      <c r="H102" s="8"/>
      <c r="I102" s="10"/>
      <c r="J102" s="10" t="s">
        <v>666</v>
      </c>
      <c r="K102" s="10" t="s">
        <v>667</v>
      </c>
      <c r="L102" s="11" t="s">
        <v>668</v>
      </c>
      <c r="M102" s="10"/>
      <c r="N102" s="12"/>
      <c r="O102" s="12"/>
      <c r="P102" s="13">
        <f>IFERROR(__xludf.DUMMYFUNCTION("VALUE(SUBSTITUTE((INDEX(SPLIT(A102,"",""),1)),""."","","",1))"),51.81816)</f>
        <v>51.81816</v>
      </c>
      <c r="Q102" s="13">
        <f>IFERROR(__xludf.DUMMYFUNCTION("VALUE(SUBSTITUTE((INDEX(SPLIT(A102,"",""),2)),""."","","",1))"),107.662054)</f>
        <v>107.662054</v>
      </c>
      <c r="R102" s="14" t="b">
        <f t="shared" si="1"/>
        <v>0</v>
      </c>
      <c r="S102" s="14" t="str">
        <f t="shared" si="2"/>
        <v>51.81816,107.662054</v>
      </c>
      <c r="T102" s="12"/>
    </row>
    <row r="103">
      <c r="A103" s="15" t="s">
        <v>669</v>
      </c>
      <c r="B103" s="16" t="s">
        <v>670</v>
      </c>
      <c r="C103" s="16" t="s">
        <v>671</v>
      </c>
      <c r="D103" s="16" t="s">
        <v>16</v>
      </c>
      <c r="E103" s="17" t="s">
        <v>672</v>
      </c>
      <c r="F103" s="16" t="s">
        <v>58</v>
      </c>
      <c r="G103" s="16">
        <v>23.61</v>
      </c>
      <c r="H103" s="16"/>
      <c r="I103" s="16"/>
      <c r="J103" s="16" t="s">
        <v>673</v>
      </c>
      <c r="K103" s="16" t="s">
        <v>674</v>
      </c>
      <c r="L103" s="16"/>
      <c r="M103" s="25" t="s">
        <v>675</v>
      </c>
      <c r="N103" s="12"/>
      <c r="O103" s="12"/>
      <c r="P103" s="13">
        <f>IFERROR(__xludf.DUMMYFUNCTION("VALUE(SUBSTITUTE((INDEX(SPLIT(A103,"",""),1)),""."","","",1))"),51.824874)</f>
        <v>51.824874</v>
      </c>
      <c r="Q103" s="13">
        <f>IFERROR(__xludf.DUMMYFUNCTION("VALUE(SUBSTITUTE((INDEX(SPLIT(A103,"",""),2)),""."","","",1))"),107.67384)</f>
        <v>107.67384</v>
      </c>
      <c r="R103" s="14" t="b">
        <f t="shared" si="1"/>
        <v>0</v>
      </c>
      <c r="S103" s="14" t="str">
        <f t="shared" si="2"/>
        <v>51.824874,107.67384</v>
      </c>
      <c r="T103" s="12"/>
    </row>
    <row r="104">
      <c r="A104" s="18" t="s">
        <v>676</v>
      </c>
      <c r="B104" s="8" t="s">
        <v>677</v>
      </c>
      <c r="C104" s="8" t="s">
        <v>678</v>
      </c>
      <c r="D104" s="8" t="s">
        <v>16</v>
      </c>
      <c r="E104" s="19" t="s">
        <v>679</v>
      </c>
      <c r="F104" s="8" t="s">
        <v>58</v>
      </c>
      <c r="G104" s="8">
        <v>23.61</v>
      </c>
      <c r="H104" s="8"/>
      <c r="I104" s="8"/>
      <c r="J104" s="8" t="s">
        <v>680</v>
      </c>
      <c r="K104" s="8" t="s">
        <v>681</v>
      </c>
      <c r="L104" s="8"/>
      <c r="M104" s="8"/>
      <c r="N104" s="12"/>
      <c r="O104" s="12"/>
      <c r="P104" s="13">
        <f>IFERROR(__xludf.DUMMYFUNCTION("VALUE(SUBSTITUTE((INDEX(SPLIT(A104,"",""),1)),""."","","",1))"),51.821935)</f>
        <v>51.821935</v>
      </c>
      <c r="Q104" s="13">
        <f>IFERROR(__xludf.DUMMYFUNCTION("VALUE(SUBSTITUTE((INDEX(SPLIT(A104,"",""),2)),""."","","",1))"),107.678214)</f>
        <v>107.678214</v>
      </c>
      <c r="R104" s="14" t="b">
        <f t="shared" si="1"/>
        <v>0</v>
      </c>
      <c r="S104" s="14" t="str">
        <f t="shared" si="2"/>
        <v>51.821935,107.678214</v>
      </c>
      <c r="T104" s="12"/>
    </row>
    <row r="105">
      <c r="A105" s="15" t="s">
        <v>682</v>
      </c>
      <c r="B105" s="16" t="s">
        <v>683</v>
      </c>
      <c r="C105" s="16" t="s">
        <v>684</v>
      </c>
      <c r="D105" s="16" t="s">
        <v>16</v>
      </c>
      <c r="E105" s="17" t="s">
        <v>685</v>
      </c>
      <c r="F105" s="16" t="s">
        <v>58</v>
      </c>
      <c r="G105" s="16">
        <v>23.61</v>
      </c>
      <c r="H105" s="16"/>
      <c r="I105" s="16"/>
      <c r="J105" s="16" t="s">
        <v>686</v>
      </c>
      <c r="K105" s="16" t="s">
        <v>647</v>
      </c>
      <c r="L105" s="16"/>
      <c r="M105" s="25" t="s">
        <v>687</v>
      </c>
      <c r="N105" s="12"/>
      <c r="O105" s="12"/>
      <c r="P105" s="13">
        <f>IFERROR(__xludf.DUMMYFUNCTION("VALUE(SUBSTITUTE((INDEX(SPLIT(A105,"",""),1)),""."","","",1))"),51.82847)</f>
        <v>51.82847</v>
      </c>
      <c r="Q105" s="13">
        <f>IFERROR(__xludf.DUMMYFUNCTION("VALUE(SUBSTITUTE((INDEX(SPLIT(A105,"",""),2)),""."","","",1))"),107.682365)</f>
        <v>107.682365</v>
      </c>
      <c r="R105" s="14" t="b">
        <f t="shared" si="1"/>
        <v>0</v>
      </c>
      <c r="S105" s="14" t="str">
        <f t="shared" si="2"/>
        <v>51.82847,107.682365</v>
      </c>
      <c r="T105" s="12"/>
    </row>
    <row r="106">
      <c r="A106" s="18" t="s">
        <v>688</v>
      </c>
      <c r="B106" s="8" t="s">
        <v>689</v>
      </c>
      <c r="C106" s="8" t="s">
        <v>690</v>
      </c>
      <c r="D106" s="8" t="s">
        <v>16</v>
      </c>
      <c r="E106" s="19" t="s">
        <v>691</v>
      </c>
      <c r="F106" s="8" t="s">
        <v>58</v>
      </c>
      <c r="G106" s="8">
        <v>23.61</v>
      </c>
      <c r="H106" s="8"/>
      <c r="I106" s="8"/>
      <c r="J106" s="8" t="s">
        <v>692</v>
      </c>
      <c r="K106" s="8" t="s">
        <v>693</v>
      </c>
      <c r="L106" s="8"/>
      <c r="M106" s="8"/>
      <c r="N106" s="12"/>
      <c r="O106" s="12"/>
      <c r="P106" s="13">
        <f>IFERROR(__xludf.DUMMYFUNCTION("VALUE(SUBSTITUTE((INDEX(SPLIT(A106,"",""),1)),""."","","",1))"),51.832477)</f>
        <v>51.832477</v>
      </c>
      <c r="Q106" s="13">
        <f>IFERROR(__xludf.DUMMYFUNCTION("VALUE(SUBSTITUTE((INDEX(SPLIT(A106,"",""),2)),""."","","",1))"),107.690027)</f>
        <v>107.690027</v>
      </c>
      <c r="R106" s="14" t="b">
        <f t="shared" si="1"/>
        <v>0</v>
      </c>
      <c r="S106" s="14" t="str">
        <f t="shared" si="2"/>
        <v>51.832477,107.690027</v>
      </c>
      <c r="T106" s="12"/>
    </row>
    <row r="107">
      <c r="A107" s="15" t="s">
        <v>688</v>
      </c>
      <c r="B107" s="16" t="s">
        <v>694</v>
      </c>
      <c r="C107" s="16" t="s">
        <v>695</v>
      </c>
      <c r="D107" s="16" t="s">
        <v>16</v>
      </c>
      <c r="E107" s="17" t="s">
        <v>696</v>
      </c>
      <c r="F107" s="16" t="s">
        <v>58</v>
      </c>
      <c r="G107" s="16">
        <v>23.61</v>
      </c>
      <c r="H107" s="16"/>
      <c r="I107" s="16"/>
      <c r="J107" s="16" t="s">
        <v>697</v>
      </c>
      <c r="K107" s="16" t="s">
        <v>698</v>
      </c>
      <c r="L107" s="16"/>
      <c r="M107" s="25" t="s">
        <v>699</v>
      </c>
      <c r="N107" s="12"/>
      <c r="O107" s="12"/>
      <c r="P107" s="13">
        <f>IFERROR(__xludf.DUMMYFUNCTION("VALUE(SUBSTITUTE((INDEX(SPLIT(A107,"",""),1)),""."","","",1))"),51.832477)</f>
        <v>51.832477</v>
      </c>
      <c r="Q107" s="13">
        <f>IFERROR(__xludf.DUMMYFUNCTION("VALUE(SUBSTITUTE((INDEX(SPLIT(A107,"",""),2)),""."","","",1))"),107.690027)</f>
        <v>107.690027</v>
      </c>
      <c r="R107" s="14" t="b">
        <f t="shared" si="1"/>
        <v>0</v>
      </c>
      <c r="S107" s="14" t="str">
        <f t="shared" si="2"/>
        <v>51.832477,107.690027</v>
      </c>
      <c r="T107" s="12"/>
    </row>
    <row r="108">
      <c r="A108" s="7" t="s">
        <v>700</v>
      </c>
      <c r="B108" s="8" t="s">
        <v>701</v>
      </c>
      <c r="C108" s="8" t="s">
        <v>702</v>
      </c>
      <c r="D108" s="8" t="s">
        <v>16</v>
      </c>
      <c r="E108" s="9" t="s">
        <v>703</v>
      </c>
      <c r="F108" s="10" t="s">
        <v>58</v>
      </c>
      <c r="G108" s="8">
        <v>23.61</v>
      </c>
      <c r="H108" s="8"/>
      <c r="I108" s="10"/>
      <c r="J108" s="10" t="s">
        <v>704</v>
      </c>
      <c r="K108" s="10" t="s">
        <v>705</v>
      </c>
      <c r="L108" s="11" t="s">
        <v>706</v>
      </c>
      <c r="M108" s="11" t="s">
        <v>707</v>
      </c>
      <c r="N108" s="12"/>
      <c r="O108" s="12"/>
      <c r="P108" s="13">
        <f>IFERROR(__xludf.DUMMYFUNCTION("VALUE(SUBSTITUTE((INDEX(SPLIT(A108,"",""),1)),""."","","",1))"),51.7702)</f>
        <v>51.7702</v>
      </c>
      <c r="Q108" s="13">
        <f>IFERROR(__xludf.DUMMYFUNCTION("VALUE(SUBSTITUTE((INDEX(SPLIT(A108,"",""),2)),""."","","",1))"),107.70776)</f>
        <v>107.70776</v>
      </c>
      <c r="R108" s="14" t="b">
        <f t="shared" si="1"/>
        <v>0</v>
      </c>
      <c r="S108" s="14" t="str">
        <f t="shared" si="2"/>
        <v>51.7702,107.70776</v>
      </c>
      <c r="T108" s="12"/>
    </row>
    <row r="109">
      <c r="A109" s="15" t="s">
        <v>708</v>
      </c>
      <c r="B109" s="16" t="s">
        <v>516</v>
      </c>
      <c r="C109" s="16" t="s">
        <v>517</v>
      </c>
      <c r="D109" s="16" t="s">
        <v>16</v>
      </c>
      <c r="E109" s="17" t="s">
        <v>709</v>
      </c>
      <c r="F109" s="16" t="s">
        <v>58</v>
      </c>
      <c r="G109" s="16">
        <v>23.61</v>
      </c>
      <c r="H109" s="16"/>
      <c r="I109" s="16"/>
      <c r="J109" s="16" t="s">
        <v>710</v>
      </c>
      <c r="K109" s="16" t="s">
        <v>711</v>
      </c>
      <c r="L109" s="16"/>
      <c r="M109" s="25" t="s">
        <v>712</v>
      </c>
      <c r="N109" s="12"/>
      <c r="O109" s="12"/>
      <c r="P109" s="13">
        <f>IFERROR(__xludf.DUMMYFUNCTION("VALUE(SUBSTITUTE((INDEX(SPLIT(A109,"",""),1)),""."","","",1))"),51.86236)</f>
        <v>51.86236</v>
      </c>
      <c r="Q109" s="13">
        <f>IFERROR(__xludf.DUMMYFUNCTION("VALUE(SUBSTITUTE((INDEX(SPLIT(A109,"",""),2)),""."","","",1))"),107.726553)</f>
        <v>107.726553</v>
      </c>
      <c r="R109" s="14" t="b">
        <f t="shared" si="1"/>
        <v>0</v>
      </c>
      <c r="S109" s="14" t="str">
        <f t="shared" si="2"/>
        <v>51.86236,107.726553</v>
      </c>
      <c r="T109" s="12"/>
    </row>
    <row r="110">
      <c r="A110" s="7" t="s">
        <v>713</v>
      </c>
      <c r="B110" s="8" t="s">
        <v>714</v>
      </c>
      <c r="C110" s="8" t="s">
        <v>715</v>
      </c>
      <c r="D110" s="8" t="s">
        <v>16</v>
      </c>
      <c r="E110" s="9" t="s">
        <v>716</v>
      </c>
      <c r="F110" s="10" t="s">
        <v>58</v>
      </c>
      <c r="G110" s="8">
        <v>23.61</v>
      </c>
      <c r="H110" s="8"/>
      <c r="I110" s="10"/>
      <c r="J110" s="10" t="s">
        <v>717</v>
      </c>
      <c r="K110" s="10" t="s">
        <v>718</v>
      </c>
      <c r="L110" s="11" t="s">
        <v>719</v>
      </c>
      <c r="M110" s="10"/>
      <c r="N110" s="12"/>
      <c r="O110" s="12"/>
      <c r="P110" s="13">
        <f>IFERROR(__xludf.DUMMYFUNCTION("VALUE(SUBSTITUTE((INDEX(SPLIT(A110,"",""),1)),""."","","",1))"),51.859328)</f>
        <v>51.859328</v>
      </c>
      <c r="Q110" s="13">
        <f>IFERROR(__xludf.DUMMYFUNCTION("VALUE(SUBSTITUTE((INDEX(SPLIT(A110,"",""),2)),""."","","",1))"),107.73621)</f>
        <v>107.73621</v>
      </c>
      <c r="R110" s="14" t="b">
        <f t="shared" si="1"/>
        <v>0</v>
      </c>
      <c r="S110" s="14" t="str">
        <f t="shared" si="2"/>
        <v>51.859328,107.73621</v>
      </c>
      <c r="T110" s="12"/>
    </row>
    <row r="111">
      <c r="A111" s="15" t="s">
        <v>720</v>
      </c>
      <c r="B111" s="16" t="s">
        <v>721</v>
      </c>
      <c r="C111" s="16" t="s">
        <v>722</v>
      </c>
      <c r="D111" s="16" t="s">
        <v>16</v>
      </c>
      <c r="E111" s="17" t="s">
        <v>723</v>
      </c>
      <c r="F111" s="16" t="s">
        <v>58</v>
      </c>
      <c r="G111" s="16">
        <v>23.61</v>
      </c>
      <c r="H111" s="16"/>
      <c r="I111" s="16"/>
      <c r="J111" s="16" t="s">
        <v>724</v>
      </c>
      <c r="K111" s="16" t="s">
        <v>725</v>
      </c>
      <c r="L111" s="16"/>
      <c r="M111" s="25" t="s">
        <v>726</v>
      </c>
      <c r="N111" s="12"/>
      <c r="O111" s="12"/>
      <c r="P111" s="13">
        <f>IFERROR(__xludf.DUMMYFUNCTION("VALUE(SUBSTITUTE((INDEX(SPLIT(A111,"",""),1)),""."","","",1))"),51.845053)</f>
        <v>51.845053</v>
      </c>
      <c r="Q111" s="13">
        <f>IFERROR(__xludf.DUMMYFUNCTION("VALUE(SUBSTITUTE((INDEX(SPLIT(A111,"",""),2)),""."","","",1))"),107.763869)</f>
        <v>107.763869</v>
      </c>
      <c r="R111" s="14" t="b">
        <f t="shared" si="1"/>
        <v>0</v>
      </c>
      <c r="S111" s="14" t="str">
        <f t="shared" si="2"/>
        <v>51.845053,107.763869</v>
      </c>
      <c r="T111" s="12"/>
    </row>
    <row r="112">
      <c r="A112" s="18" t="s">
        <v>727</v>
      </c>
      <c r="B112" s="8" t="s">
        <v>728</v>
      </c>
      <c r="C112" s="8" t="s">
        <v>729</v>
      </c>
      <c r="D112" s="8" t="s">
        <v>16</v>
      </c>
      <c r="E112" s="19" t="s">
        <v>730</v>
      </c>
      <c r="F112" s="8" t="s">
        <v>58</v>
      </c>
      <c r="G112" s="8">
        <v>23.61</v>
      </c>
      <c r="H112" s="8"/>
      <c r="I112" s="8"/>
      <c r="J112" s="8" t="s">
        <v>731</v>
      </c>
      <c r="K112" s="8" t="s">
        <v>732</v>
      </c>
      <c r="L112" s="8"/>
      <c r="M112" s="24" t="s">
        <v>733</v>
      </c>
      <c r="N112" s="12"/>
      <c r="O112" s="12"/>
      <c r="P112" s="13">
        <f>IFERROR(__xludf.DUMMYFUNCTION("VALUE(SUBSTITUTE((INDEX(SPLIT(A112,"",""),1)),""."","","",1))"),55.788641)</f>
        <v>55.788641</v>
      </c>
      <c r="Q112" s="13">
        <f>IFERROR(__xludf.DUMMYFUNCTION("VALUE(SUBSTITUTE((INDEX(SPLIT(A112,"",""),2)),""."","","",1))"),109.579094)</f>
        <v>109.579094</v>
      </c>
      <c r="R112" s="14" t="b">
        <f t="shared" si="1"/>
        <v>0</v>
      </c>
      <c r="S112" s="14" t="str">
        <f t="shared" si="2"/>
        <v>55.788641,109.579094</v>
      </c>
      <c r="T112" s="12"/>
    </row>
    <row r="113">
      <c r="A113" s="15" t="s">
        <v>734</v>
      </c>
      <c r="B113" s="16" t="s">
        <v>735</v>
      </c>
      <c r="C113" s="16" t="s">
        <v>736</v>
      </c>
      <c r="D113" s="16" t="s">
        <v>16</v>
      </c>
      <c r="E113" s="17" t="s">
        <v>737</v>
      </c>
      <c r="F113" s="16" t="s">
        <v>738</v>
      </c>
      <c r="G113" s="16">
        <v>23.61</v>
      </c>
      <c r="H113" s="16"/>
      <c r="I113" s="16"/>
      <c r="J113" s="16" t="s">
        <v>739</v>
      </c>
      <c r="K113" s="16" t="s">
        <v>740</v>
      </c>
      <c r="L113" s="16"/>
      <c r="M113" s="25" t="s">
        <v>741</v>
      </c>
      <c r="N113" s="12"/>
      <c r="O113" s="12"/>
      <c r="P113" s="13">
        <f>IFERROR(__xludf.DUMMYFUNCTION("VALUE(SUBSTITUTE((INDEX(SPLIT(A113,"",""),1)),""."","","",1))"),52.035702)</f>
        <v>52.035702</v>
      </c>
      <c r="Q113" s="13">
        <f>IFERROR(__xludf.DUMMYFUNCTION("VALUE(SUBSTITUTE((INDEX(SPLIT(A113,"",""),2)),""."","","",1))"),113.265026)</f>
        <v>113.265026</v>
      </c>
      <c r="R113" s="14" t="b">
        <f t="shared" si="1"/>
        <v>0</v>
      </c>
      <c r="S113" s="14" t="str">
        <f t="shared" si="2"/>
        <v>52.035702,113.265026</v>
      </c>
      <c r="T113" s="12"/>
    </row>
    <row r="114">
      <c r="A114" s="18" t="s">
        <v>742</v>
      </c>
      <c r="B114" s="8" t="s">
        <v>743</v>
      </c>
      <c r="C114" s="8" t="s">
        <v>744</v>
      </c>
      <c r="D114" s="8" t="s">
        <v>16</v>
      </c>
      <c r="E114" s="19" t="s">
        <v>745</v>
      </c>
      <c r="F114" s="8" t="s">
        <v>738</v>
      </c>
      <c r="G114" s="8">
        <v>23.61</v>
      </c>
      <c r="H114" s="8"/>
      <c r="I114" s="8"/>
      <c r="J114" s="8" t="s">
        <v>746</v>
      </c>
      <c r="K114" s="8" t="s">
        <v>747</v>
      </c>
      <c r="L114" s="8"/>
      <c r="M114" s="8"/>
      <c r="N114" s="12"/>
      <c r="O114" s="12"/>
      <c r="P114" s="13">
        <f>IFERROR(__xludf.DUMMYFUNCTION("VALUE(SUBSTITUTE((INDEX(SPLIT(A114,"",""),1)),""."","","",1))"),52.114509)</f>
        <v>52.114509</v>
      </c>
      <c r="Q114" s="13">
        <f>IFERROR(__xludf.DUMMYFUNCTION("VALUE(SUBSTITUTE((INDEX(SPLIT(A114,"",""),2)),""."","","",1))"),113.333468)</f>
        <v>113.333468</v>
      </c>
      <c r="R114" s="14" t="b">
        <f t="shared" si="1"/>
        <v>0</v>
      </c>
      <c r="S114" s="14" t="str">
        <f t="shared" si="2"/>
        <v>52.114509,113.333468</v>
      </c>
      <c r="T114" s="12"/>
    </row>
    <row r="115">
      <c r="A115" s="20" t="s">
        <v>748</v>
      </c>
      <c r="B115" s="16" t="s">
        <v>749</v>
      </c>
      <c r="C115" s="16" t="s">
        <v>750</v>
      </c>
      <c r="D115" s="16" t="s">
        <v>16</v>
      </c>
      <c r="E115" s="21" t="s">
        <v>751</v>
      </c>
      <c r="F115" s="22" t="s">
        <v>738</v>
      </c>
      <c r="G115" s="16">
        <v>23.61</v>
      </c>
      <c r="H115" s="16"/>
      <c r="I115" s="22"/>
      <c r="J115" s="22" t="s">
        <v>752</v>
      </c>
      <c r="K115" s="22" t="s">
        <v>753</v>
      </c>
      <c r="L115" s="23" t="s">
        <v>754</v>
      </c>
      <c r="M115" s="23" t="s">
        <v>755</v>
      </c>
      <c r="N115" s="12"/>
      <c r="O115" s="12"/>
      <c r="P115" s="13">
        <f>IFERROR(__xludf.DUMMYFUNCTION("VALUE(SUBSTITUTE((INDEX(SPLIT(A115,"",""),1)),""."","","",1))"),52.008657)</f>
        <v>52.008657</v>
      </c>
      <c r="Q115" s="13">
        <f>IFERROR(__xludf.DUMMYFUNCTION("VALUE(SUBSTITUTE((INDEX(SPLIT(A115,"",""),2)),""."","","",1))"),113.336451)</f>
        <v>113.336451</v>
      </c>
      <c r="R115" s="14" t="b">
        <f t="shared" si="1"/>
        <v>0</v>
      </c>
      <c r="S115" s="14" t="str">
        <f t="shared" si="2"/>
        <v>52.008657,113.336451</v>
      </c>
      <c r="T115" s="12"/>
    </row>
    <row r="116">
      <c r="A116" s="18" t="s">
        <v>756</v>
      </c>
      <c r="B116" s="8" t="s">
        <v>757</v>
      </c>
      <c r="C116" s="8" t="s">
        <v>758</v>
      </c>
      <c r="D116" s="8" t="s">
        <v>16</v>
      </c>
      <c r="E116" s="19" t="s">
        <v>759</v>
      </c>
      <c r="F116" s="8" t="s">
        <v>738</v>
      </c>
      <c r="G116" s="8">
        <v>23.61</v>
      </c>
      <c r="H116" s="8"/>
      <c r="I116" s="8"/>
      <c r="J116" s="8" t="s">
        <v>760</v>
      </c>
      <c r="K116" s="8" t="s">
        <v>761</v>
      </c>
      <c r="L116" s="8"/>
      <c r="M116" s="8"/>
      <c r="N116" s="12"/>
      <c r="O116" s="12"/>
      <c r="P116" s="13">
        <f>IFERROR(__xludf.DUMMYFUNCTION("VALUE(SUBSTITUTE((INDEX(SPLIT(A116,"",""),1)),""."","","",1))"),52.061651)</f>
        <v>52.061651</v>
      </c>
      <c r="Q116" s="13">
        <f>IFERROR(__xludf.DUMMYFUNCTION("VALUE(SUBSTITUTE((INDEX(SPLIT(A116,"",""),2)),""."","","",1))"),113.4036)</f>
        <v>113.4036</v>
      </c>
      <c r="R116" s="14" t="b">
        <f t="shared" si="1"/>
        <v>0</v>
      </c>
      <c r="S116" s="14" t="str">
        <f t="shared" si="2"/>
        <v>52.061651,113.4036</v>
      </c>
      <c r="T116" s="12"/>
    </row>
    <row r="117">
      <c r="A117" s="15" t="s">
        <v>762</v>
      </c>
      <c r="B117" s="16" t="s">
        <v>763</v>
      </c>
      <c r="C117" s="16" t="s">
        <v>764</v>
      </c>
      <c r="D117" s="16" t="s">
        <v>16</v>
      </c>
      <c r="E117" s="17" t="s">
        <v>765</v>
      </c>
      <c r="F117" s="16" t="s">
        <v>738</v>
      </c>
      <c r="G117" s="16">
        <v>23.61</v>
      </c>
      <c r="H117" s="16"/>
      <c r="I117" s="16"/>
      <c r="J117" s="16" t="s">
        <v>766</v>
      </c>
      <c r="K117" s="16" t="s">
        <v>767</v>
      </c>
      <c r="L117" s="16"/>
      <c r="M117" s="25" t="s">
        <v>768</v>
      </c>
      <c r="N117" s="12"/>
      <c r="O117" s="12"/>
      <c r="P117" s="13">
        <f>IFERROR(__xludf.DUMMYFUNCTION("VALUE(SUBSTITUTE((INDEX(SPLIT(A117,"",""),1)),""."","","",1))"),52.087534)</f>
        <v>52.087534</v>
      </c>
      <c r="Q117" s="13">
        <f>IFERROR(__xludf.DUMMYFUNCTION("VALUE(SUBSTITUTE((INDEX(SPLIT(A117,"",""),2)),""."","","",1))"),113.450896)</f>
        <v>113.450896</v>
      </c>
      <c r="R117" s="14" t="b">
        <f t="shared" si="1"/>
        <v>0</v>
      </c>
      <c r="S117" s="14" t="str">
        <f t="shared" si="2"/>
        <v>52.087534,113.450896</v>
      </c>
      <c r="T117" s="12"/>
    </row>
    <row r="118">
      <c r="A118" s="18" t="s">
        <v>769</v>
      </c>
      <c r="B118" s="8" t="s">
        <v>770</v>
      </c>
      <c r="C118" s="8" t="s">
        <v>771</v>
      </c>
      <c r="D118" s="8" t="s">
        <v>16</v>
      </c>
      <c r="E118" s="19" t="s">
        <v>772</v>
      </c>
      <c r="F118" s="8" t="s">
        <v>738</v>
      </c>
      <c r="G118" s="8">
        <v>23.61</v>
      </c>
      <c r="H118" s="8"/>
      <c r="I118" s="8"/>
      <c r="J118" s="8" t="s">
        <v>773</v>
      </c>
      <c r="K118" s="8" t="s">
        <v>774</v>
      </c>
      <c r="L118" s="8"/>
      <c r="M118" s="8"/>
      <c r="N118" s="12"/>
      <c r="O118" s="12"/>
      <c r="P118" s="13">
        <f>IFERROR(__xludf.DUMMYFUNCTION("VALUE(SUBSTITUTE((INDEX(SPLIT(A118,"",""),1)),""."","","",1))"),52.087938)</f>
        <v>52.087938</v>
      </c>
      <c r="Q118" s="13">
        <f>IFERROR(__xludf.DUMMYFUNCTION("VALUE(SUBSTITUTE((INDEX(SPLIT(A118,"",""),2)),""."","","",1))"),113.451193)</f>
        <v>113.451193</v>
      </c>
      <c r="R118" s="14" t="b">
        <f t="shared" si="1"/>
        <v>0</v>
      </c>
      <c r="S118" s="14" t="str">
        <f t="shared" si="2"/>
        <v>52.087938,113.451193</v>
      </c>
      <c r="T118" s="12"/>
    </row>
    <row r="119">
      <c r="A119" s="20" t="s">
        <v>775</v>
      </c>
      <c r="B119" s="16" t="s">
        <v>776</v>
      </c>
      <c r="C119" s="16" t="s">
        <v>777</v>
      </c>
      <c r="D119" s="16" t="s">
        <v>16</v>
      </c>
      <c r="E119" s="21" t="s">
        <v>778</v>
      </c>
      <c r="F119" s="22" t="s">
        <v>738</v>
      </c>
      <c r="G119" s="16">
        <v>23.61</v>
      </c>
      <c r="H119" s="16"/>
      <c r="I119" s="22"/>
      <c r="J119" s="22" t="s">
        <v>779</v>
      </c>
      <c r="K119" s="22" t="s">
        <v>780</v>
      </c>
      <c r="L119" s="23" t="s">
        <v>781</v>
      </c>
      <c r="M119" s="22"/>
      <c r="N119" s="12"/>
      <c r="O119" s="12"/>
      <c r="P119" s="13">
        <f>IFERROR(__xludf.DUMMYFUNCTION("VALUE(SUBSTITUTE((INDEX(SPLIT(A119,"",""),1)),""."","","",1))"),52.057226)</f>
        <v>52.057226</v>
      </c>
      <c r="Q119" s="13">
        <f>IFERROR(__xludf.DUMMYFUNCTION("VALUE(SUBSTITUTE((INDEX(SPLIT(A119,"",""),2)),""."","","",1))"),113.458226)</f>
        <v>113.458226</v>
      </c>
      <c r="R119" s="14" t="b">
        <f t="shared" si="1"/>
        <v>0</v>
      </c>
      <c r="S119" s="14" t="str">
        <f t="shared" si="2"/>
        <v>52.057226,113.458226</v>
      </c>
      <c r="T119" s="12"/>
    </row>
    <row r="120">
      <c r="A120" s="18" t="s">
        <v>782</v>
      </c>
      <c r="B120" s="8" t="s">
        <v>783</v>
      </c>
      <c r="C120" s="8" t="s">
        <v>784</v>
      </c>
      <c r="D120" s="8" t="s">
        <v>16</v>
      </c>
      <c r="E120" s="19" t="s">
        <v>785</v>
      </c>
      <c r="F120" s="8" t="s">
        <v>738</v>
      </c>
      <c r="G120" s="8">
        <v>23.61</v>
      </c>
      <c r="H120" s="8"/>
      <c r="I120" s="8"/>
      <c r="J120" s="8" t="s">
        <v>786</v>
      </c>
      <c r="K120" s="8" t="s">
        <v>787</v>
      </c>
      <c r="L120" s="8"/>
      <c r="M120" s="8"/>
      <c r="N120" s="12"/>
      <c r="O120" s="12"/>
      <c r="P120" s="13">
        <f>IFERROR(__xludf.DUMMYFUNCTION("VALUE(SUBSTITUTE((INDEX(SPLIT(A120,"",""),1)),""."","","",1))"),52.056185)</f>
        <v>52.056185</v>
      </c>
      <c r="Q120" s="13">
        <f>IFERROR(__xludf.DUMMYFUNCTION("VALUE(SUBSTITUTE((INDEX(SPLIT(A120,"",""),2)),""."","","",1))"),113.478555)</f>
        <v>113.478555</v>
      </c>
      <c r="R120" s="14" t="b">
        <f t="shared" si="1"/>
        <v>0</v>
      </c>
      <c r="S120" s="14" t="str">
        <f t="shared" si="2"/>
        <v>52.056185,113.478555</v>
      </c>
      <c r="T120" s="12"/>
    </row>
    <row r="121">
      <c r="A121" s="20" t="s">
        <v>788</v>
      </c>
      <c r="B121" s="16" t="s">
        <v>789</v>
      </c>
      <c r="C121" s="16" t="s">
        <v>790</v>
      </c>
      <c r="D121" s="16" t="s">
        <v>16</v>
      </c>
      <c r="E121" s="21" t="s">
        <v>791</v>
      </c>
      <c r="F121" s="22" t="s">
        <v>738</v>
      </c>
      <c r="G121" s="16">
        <v>23.61</v>
      </c>
      <c r="H121" s="16"/>
      <c r="I121" s="22"/>
      <c r="J121" s="22" t="s">
        <v>792</v>
      </c>
      <c r="K121" s="22" t="s">
        <v>793</v>
      </c>
      <c r="L121" s="23" t="s">
        <v>794</v>
      </c>
      <c r="M121" s="22"/>
      <c r="N121" s="12"/>
      <c r="O121" s="12"/>
      <c r="P121" s="13">
        <f>IFERROR(__xludf.DUMMYFUNCTION("VALUE(SUBSTITUTE((INDEX(SPLIT(A121,"",""),1)),""."","","",1))"),52.070271)</f>
        <v>52.070271</v>
      </c>
      <c r="Q121" s="13">
        <f>IFERROR(__xludf.DUMMYFUNCTION("VALUE(SUBSTITUTE((INDEX(SPLIT(A121,"",""),2)),""."","","",1))"),113.483478)</f>
        <v>113.483478</v>
      </c>
      <c r="R121" s="14" t="b">
        <f t="shared" si="1"/>
        <v>0</v>
      </c>
      <c r="S121" s="14" t="str">
        <f t="shared" si="2"/>
        <v>52.070271,113.483478</v>
      </c>
      <c r="T121" s="12"/>
    </row>
    <row r="122">
      <c r="A122" s="18" t="s">
        <v>795</v>
      </c>
      <c r="B122" s="8" t="s">
        <v>796</v>
      </c>
      <c r="C122" s="8" t="s">
        <v>797</v>
      </c>
      <c r="D122" s="8" t="s">
        <v>16</v>
      </c>
      <c r="E122" s="19" t="s">
        <v>798</v>
      </c>
      <c r="F122" s="8" t="s">
        <v>738</v>
      </c>
      <c r="G122" s="8">
        <v>23.61</v>
      </c>
      <c r="H122" s="8"/>
      <c r="I122" s="8"/>
      <c r="J122" s="8" t="s">
        <v>799</v>
      </c>
      <c r="K122" s="8" t="s">
        <v>800</v>
      </c>
      <c r="L122" s="8"/>
      <c r="M122" s="8"/>
      <c r="N122" s="12"/>
      <c r="O122" s="12"/>
      <c r="P122" s="13">
        <f>IFERROR(__xludf.DUMMYFUNCTION("VALUE(SUBSTITUTE((INDEX(SPLIT(A122,"",""),1)),""."","","",1))"),52.070597)</f>
        <v>52.070597</v>
      </c>
      <c r="Q122" s="13">
        <f>IFERROR(__xludf.DUMMYFUNCTION("VALUE(SUBSTITUTE((INDEX(SPLIT(A122,"",""),2)),""."","","",1))"),113.48443)</f>
        <v>113.48443</v>
      </c>
      <c r="R122" s="14" t="b">
        <f t="shared" si="1"/>
        <v>0</v>
      </c>
      <c r="S122" s="14" t="str">
        <f t="shared" si="2"/>
        <v>52.070597,113.48443</v>
      </c>
      <c r="T122" s="12"/>
    </row>
    <row r="123">
      <c r="A123" s="20" t="s">
        <v>801</v>
      </c>
      <c r="B123" s="16" t="s">
        <v>802</v>
      </c>
      <c r="C123" s="16" t="s">
        <v>803</v>
      </c>
      <c r="D123" s="16" t="s">
        <v>16</v>
      </c>
      <c r="E123" s="21" t="s">
        <v>804</v>
      </c>
      <c r="F123" s="22" t="s">
        <v>738</v>
      </c>
      <c r="G123" s="16">
        <v>23.61</v>
      </c>
      <c r="H123" s="16"/>
      <c r="I123" s="22"/>
      <c r="J123" s="22" t="s">
        <v>805</v>
      </c>
      <c r="K123" s="22" t="s">
        <v>806</v>
      </c>
      <c r="L123" s="23" t="s">
        <v>807</v>
      </c>
      <c r="M123" s="22"/>
      <c r="N123" s="12"/>
      <c r="O123" s="12"/>
      <c r="P123" s="13">
        <f>IFERROR(__xludf.DUMMYFUNCTION("VALUE(SUBSTITUTE((INDEX(SPLIT(A123,"",""),1)),""."","","",1))"),52.066384)</f>
        <v>52.066384</v>
      </c>
      <c r="Q123" s="13">
        <f>IFERROR(__xludf.DUMMYFUNCTION("VALUE(SUBSTITUTE((INDEX(SPLIT(A123,"",""),2)),""."","","",1))"),113.491293)</f>
        <v>113.491293</v>
      </c>
      <c r="R123" s="14" t="b">
        <f t="shared" si="1"/>
        <v>0</v>
      </c>
      <c r="S123" s="14" t="str">
        <f t="shared" si="2"/>
        <v>52.066384,113.491293</v>
      </c>
      <c r="T123" s="12"/>
    </row>
    <row r="124">
      <c r="A124" s="18" t="s">
        <v>808</v>
      </c>
      <c r="B124" s="8" t="s">
        <v>809</v>
      </c>
      <c r="C124" s="8" t="s">
        <v>810</v>
      </c>
      <c r="D124" s="8" t="s">
        <v>16</v>
      </c>
      <c r="E124" s="19" t="s">
        <v>811</v>
      </c>
      <c r="F124" s="8" t="s">
        <v>738</v>
      </c>
      <c r="G124" s="8">
        <v>23.61</v>
      </c>
      <c r="H124" s="8"/>
      <c r="I124" s="8"/>
      <c r="J124" s="8" t="s">
        <v>812</v>
      </c>
      <c r="K124" s="8" t="s">
        <v>813</v>
      </c>
      <c r="L124" s="8"/>
      <c r="M124" s="8"/>
      <c r="N124" s="12"/>
      <c r="O124" s="12"/>
      <c r="P124" s="13">
        <f>IFERROR(__xludf.DUMMYFUNCTION("VALUE(SUBSTITUTE((INDEX(SPLIT(A124,"",""),1)),""."","","",1))"),52.036727)</f>
        <v>52.036727</v>
      </c>
      <c r="Q124" s="13">
        <f>IFERROR(__xludf.DUMMYFUNCTION("VALUE(SUBSTITUTE((INDEX(SPLIT(A124,"",""),2)),""."","","",1))"),113.494195)</f>
        <v>113.494195</v>
      </c>
      <c r="R124" s="14" t="b">
        <f t="shared" si="1"/>
        <v>0</v>
      </c>
      <c r="S124" s="14" t="str">
        <f t="shared" si="2"/>
        <v>52.036727,113.494195</v>
      </c>
      <c r="T124" s="12"/>
    </row>
    <row r="125">
      <c r="A125" s="15" t="s">
        <v>814</v>
      </c>
      <c r="B125" s="16" t="s">
        <v>815</v>
      </c>
      <c r="C125" s="16" t="s">
        <v>816</v>
      </c>
      <c r="D125" s="16" t="s">
        <v>16</v>
      </c>
      <c r="E125" s="17" t="s">
        <v>817</v>
      </c>
      <c r="F125" s="16" t="s">
        <v>738</v>
      </c>
      <c r="G125" s="16">
        <v>23.61</v>
      </c>
      <c r="H125" s="16"/>
      <c r="I125" s="16"/>
      <c r="J125" s="16" t="s">
        <v>818</v>
      </c>
      <c r="K125" s="16" t="s">
        <v>819</v>
      </c>
      <c r="L125" s="16"/>
      <c r="M125" s="16"/>
      <c r="N125" s="12"/>
      <c r="O125" s="12"/>
      <c r="P125" s="13">
        <f>IFERROR(__xludf.DUMMYFUNCTION("VALUE(SUBSTITUTE((INDEX(SPLIT(A125,"",""),1)),""."","","",1))"),52.027646)</f>
        <v>52.027646</v>
      </c>
      <c r="Q125" s="13">
        <f>IFERROR(__xludf.DUMMYFUNCTION("VALUE(SUBSTITUTE((INDEX(SPLIT(A125,"",""),2)),""."","","",1))"),113.506547)</f>
        <v>113.506547</v>
      </c>
      <c r="R125" s="14" t="b">
        <f t="shared" si="1"/>
        <v>0</v>
      </c>
      <c r="S125" s="14" t="str">
        <f t="shared" si="2"/>
        <v>52.027646,113.506547</v>
      </c>
      <c r="T125" s="12"/>
    </row>
    <row r="126">
      <c r="A126" s="18" t="s">
        <v>820</v>
      </c>
      <c r="B126" s="8" t="s">
        <v>821</v>
      </c>
      <c r="C126" s="8" t="s">
        <v>822</v>
      </c>
      <c r="D126" s="8" t="s">
        <v>16</v>
      </c>
      <c r="E126" s="19" t="s">
        <v>823</v>
      </c>
      <c r="F126" s="8" t="s">
        <v>738</v>
      </c>
      <c r="G126" s="8">
        <v>23.61</v>
      </c>
      <c r="H126" s="8"/>
      <c r="I126" s="8"/>
      <c r="J126" s="8" t="s">
        <v>824</v>
      </c>
      <c r="K126" s="8" t="s">
        <v>825</v>
      </c>
      <c r="L126" s="8"/>
      <c r="M126" s="8"/>
      <c r="N126" s="12"/>
      <c r="O126" s="12"/>
      <c r="P126" s="13">
        <f>IFERROR(__xludf.DUMMYFUNCTION("VALUE(SUBSTITUTE((INDEX(SPLIT(A126,"",""),1)),""."","","",1))"),52.040599)</f>
        <v>52.040599</v>
      </c>
      <c r="Q126" s="13">
        <f>IFERROR(__xludf.DUMMYFUNCTION("VALUE(SUBSTITUTE((INDEX(SPLIT(A126,"",""),2)),""."","","",1))"),113.507688)</f>
        <v>113.507688</v>
      </c>
      <c r="R126" s="14" t="b">
        <f t="shared" si="1"/>
        <v>0</v>
      </c>
      <c r="S126" s="14" t="str">
        <f t="shared" si="2"/>
        <v>52.040599,113.507688</v>
      </c>
      <c r="T126" s="12"/>
    </row>
    <row r="127">
      <c r="A127" s="15" t="s">
        <v>826</v>
      </c>
      <c r="B127" s="16" t="s">
        <v>827</v>
      </c>
      <c r="C127" s="16" t="s">
        <v>828</v>
      </c>
      <c r="D127" s="16" t="s">
        <v>16</v>
      </c>
      <c r="E127" s="17" t="s">
        <v>829</v>
      </c>
      <c r="F127" s="16" t="s">
        <v>738</v>
      </c>
      <c r="G127" s="16">
        <v>23.61</v>
      </c>
      <c r="H127" s="16"/>
      <c r="I127" s="16"/>
      <c r="J127" s="16" t="s">
        <v>830</v>
      </c>
      <c r="K127" s="16" t="s">
        <v>831</v>
      </c>
      <c r="L127" s="16"/>
      <c r="M127" s="25" t="s">
        <v>832</v>
      </c>
      <c r="N127" s="12"/>
      <c r="O127" s="12"/>
      <c r="P127" s="13">
        <f>IFERROR(__xludf.DUMMYFUNCTION("VALUE(SUBSTITUTE((INDEX(SPLIT(A127,"",""),1)),""."","","",1))"),52.046194)</f>
        <v>52.046194</v>
      </c>
      <c r="Q127" s="13">
        <f>IFERROR(__xludf.DUMMYFUNCTION("VALUE(SUBSTITUTE((INDEX(SPLIT(A127,"",""),2)),""."","","",1))"),113.510994)</f>
        <v>113.510994</v>
      </c>
      <c r="R127" s="14" t="b">
        <f t="shared" si="1"/>
        <v>0</v>
      </c>
      <c r="S127" s="14" t="str">
        <f t="shared" si="2"/>
        <v>52.046194,113.510994</v>
      </c>
      <c r="T127" s="12"/>
    </row>
    <row r="128">
      <c r="A128" s="18" t="s">
        <v>833</v>
      </c>
      <c r="B128" s="8" t="s">
        <v>834</v>
      </c>
      <c r="C128" s="8" t="s">
        <v>835</v>
      </c>
      <c r="D128" s="8" t="s">
        <v>16</v>
      </c>
      <c r="E128" s="19" t="s">
        <v>836</v>
      </c>
      <c r="F128" s="8" t="s">
        <v>738</v>
      </c>
      <c r="G128" s="8">
        <v>23.61</v>
      </c>
      <c r="H128" s="8"/>
      <c r="I128" s="8"/>
      <c r="J128" s="8" t="s">
        <v>837</v>
      </c>
      <c r="K128" s="8" t="s">
        <v>838</v>
      </c>
      <c r="L128" s="8"/>
      <c r="M128" s="24" t="s">
        <v>839</v>
      </c>
      <c r="N128" s="12"/>
      <c r="O128" s="12"/>
      <c r="P128" s="13">
        <f>IFERROR(__xludf.DUMMYFUNCTION("VALUE(SUBSTITUTE((INDEX(SPLIT(A128,"",""),1)),""."","","",1))"),52.033469)</f>
        <v>52.033469</v>
      </c>
      <c r="Q128" s="13">
        <f>IFERROR(__xludf.DUMMYFUNCTION("VALUE(SUBSTITUTE((INDEX(SPLIT(A128,"",""),2)),""."","","",1))"),113.516671)</f>
        <v>113.516671</v>
      </c>
      <c r="R128" s="14" t="b">
        <f t="shared" si="1"/>
        <v>0</v>
      </c>
      <c r="S128" s="14" t="str">
        <f t="shared" si="2"/>
        <v>52.033469,113.516671</v>
      </c>
      <c r="T128" s="12"/>
    </row>
    <row r="129">
      <c r="A129" s="20" t="s">
        <v>840</v>
      </c>
      <c r="B129" s="16" t="s">
        <v>841</v>
      </c>
      <c r="C129" s="16" t="s">
        <v>842</v>
      </c>
      <c r="D129" s="16" t="s">
        <v>16</v>
      </c>
      <c r="E129" s="21" t="s">
        <v>843</v>
      </c>
      <c r="F129" s="22" t="s">
        <v>738</v>
      </c>
      <c r="G129" s="16">
        <v>23.61</v>
      </c>
      <c r="H129" s="16"/>
      <c r="I129" s="22"/>
      <c r="J129" s="22" t="s">
        <v>844</v>
      </c>
      <c r="K129" s="22" t="s">
        <v>845</v>
      </c>
      <c r="L129" s="23" t="s">
        <v>846</v>
      </c>
      <c r="M129" s="22"/>
      <c r="N129" s="12"/>
      <c r="O129" s="12"/>
      <c r="P129" s="13">
        <f>IFERROR(__xludf.DUMMYFUNCTION("VALUE(SUBSTITUTE((INDEX(SPLIT(A129,"",""),1)),""."","","",1))"),52.042128)</f>
        <v>52.042128</v>
      </c>
      <c r="Q129" s="13">
        <f>IFERROR(__xludf.DUMMYFUNCTION("VALUE(SUBSTITUTE((INDEX(SPLIT(A129,"",""),2)),""."","","",1))"),113.51694)</f>
        <v>113.51694</v>
      </c>
      <c r="R129" s="14" t="b">
        <f t="shared" si="1"/>
        <v>0</v>
      </c>
      <c r="S129" s="14" t="str">
        <f t="shared" si="2"/>
        <v>52.042128,113.51694</v>
      </c>
      <c r="T129" s="12"/>
    </row>
    <row r="130">
      <c r="A130" s="18" t="s">
        <v>847</v>
      </c>
      <c r="B130" s="8" t="s">
        <v>848</v>
      </c>
      <c r="C130" s="8" t="s">
        <v>849</v>
      </c>
      <c r="D130" s="8" t="s">
        <v>16</v>
      </c>
      <c r="E130" s="19" t="s">
        <v>850</v>
      </c>
      <c r="F130" s="8" t="s">
        <v>738</v>
      </c>
      <c r="G130" s="8">
        <v>23.61</v>
      </c>
      <c r="H130" s="8"/>
      <c r="I130" s="8"/>
      <c r="J130" s="8" t="s">
        <v>851</v>
      </c>
      <c r="K130" s="8" t="s">
        <v>852</v>
      </c>
      <c r="L130" s="8"/>
      <c r="M130" s="8"/>
      <c r="N130" s="12"/>
      <c r="O130" s="12"/>
      <c r="P130" s="13">
        <f>IFERROR(__xludf.DUMMYFUNCTION("VALUE(SUBSTITUTE((INDEX(SPLIT(A130,"",""),1)),""."","","",1))"),52.155067)</f>
        <v>52.155067</v>
      </c>
      <c r="Q130" s="13">
        <f>IFERROR(__xludf.DUMMYFUNCTION("VALUE(SUBSTITUTE((INDEX(SPLIT(A130,"",""),2)),""."","","",1))"),113.521558)</f>
        <v>113.521558</v>
      </c>
      <c r="R130" s="14" t="b">
        <f t="shared" si="1"/>
        <v>0</v>
      </c>
      <c r="S130" s="14" t="str">
        <f t="shared" si="2"/>
        <v>52.155067,113.521558</v>
      </c>
      <c r="T130" s="12"/>
    </row>
    <row r="131">
      <c r="A131" s="15" t="s">
        <v>853</v>
      </c>
      <c r="B131" s="16" t="s">
        <v>854</v>
      </c>
      <c r="C131" s="16" t="s">
        <v>855</v>
      </c>
      <c r="D131" s="16" t="s">
        <v>16</v>
      </c>
      <c r="E131" s="17" t="s">
        <v>856</v>
      </c>
      <c r="F131" s="16" t="s">
        <v>738</v>
      </c>
      <c r="G131" s="16">
        <v>23.61</v>
      </c>
      <c r="H131" s="16"/>
      <c r="I131" s="16"/>
      <c r="J131" s="16" t="s">
        <v>857</v>
      </c>
      <c r="K131" s="16" t="s">
        <v>858</v>
      </c>
      <c r="L131" s="16"/>
      <c r="M131" s="16"/>
      <c r="N131" s="12"/>
      <c r="O131" s="12"/>
      <c r="P131" s="13">
        <f>IFERROR(__xludf.DUMMYFUNCTION("VALUE(SUBSTITUTE((INDEX(SPLIT(A131,"",""),1)),""."","","",1))"),52.009949)</f>
        <v>52.009949</v>
      </c>
      <c r="Q131" s="13">
        <f>IFERROR(__xludf.DUMMYFUNCTION("VALUE(SUBSTITUTE((INDEX(SPLIT(A131,"",""),2)),""."","","",1))"),113.55979)</f>
        <v>113.55979</v>
      </c>
      <c r="R131" s="14" t="b">
        <f t="shared" si="1"/>
        <v>0</v>
      </c>
      <c r="S131" s="14" t="str">
        <f t="shared" si="2"/>
        <v>52.009949,113.55979</v>
      </c>
      <c r="T131" s="12"/>
    </row>
    <row r="132">
      <c r="A132" s="18" t="s">
        <v>853</v>
      </c>
      <c r="B132" s="8" t="s">
        <v>859</v>
      </c>
      <c r="C132" s="8" t="s">
        <v>860</v>
      </c>
      <c r="D132" s="8" t="s">
        <v>16</v>
      </c>
      <c r="E132" s="19" t="s">
        <v>861</v>
      </c>
      <c r="F132" s="8" t="s">
        <v>738</v>
      </c>
      <c r="G132" s="8">
        <v>23.61</v>
      </c>
      <c r="H132" s="8"/>
      <c r="I132" s="8"/>
      <c r="J132" s="8" t="s">
        <v>862</v>
      </c>
      <c r="K132" s="8" t="s">
        <v>863</v>
      </c>
      <c r="L132" s="8"/>
      <c r="M132" s="24" t="s">
        <v>864</v>
      </c>
      <c r="N132" s="12"/>
      <c r="O132" s="12"/>
      <c r="P132" s="13">
        <f>IFERROR(__xludf.DUMMYFUNCTION("VALUE(SUBSTITUTE((INDEX(SPLIT(A132,"",""),1)),""."","","",1))"),52.009949)</f>
        <v>52.009949</v>
      </c>
      <c r="Q132" s="13">
        <f>IFERROR(__xludf.DUMMYFUNCTION("VALUE(SUBSTITUTE((INDEX(SPLIT(A132,"",""),2)),""."","","",1))"),113.55979)</f>
        <v>113.55979</v>
      </c>
      <c r="R132" s="14" t="b">
        <f t="shared" si="1"/>
        <v>0</v>
      </c>
      <c r="S132" s="14" t="str">
        <f t="shared" si="2"/>
        <v>52.009949,113.55979</v>
      </c>
      <c r="T132" s="12"/>
    </row>
    <row r="133">
      <c r="A133" s="15" t="s">
        <v>865</v>
      </c>
      <c r="B133" s="16" t="s">
        <v>866</v>
      </c>
      <c r="C133" s="16" t="s">
        <v>867</v>
      </c>
      <c r="D133" s="16" t="s">
        <v>16</v>
      </c>
      <c r="E133" s="17" t="s">
        <v>868</v>
      </c>
      <c r="F133" s="16" t="s">
        <v>738</v>
      </c>
      <c r="G133" s="16">
        <v>23.61</v>
      </c>
      <c r="H133" s="16"/>
      <c r="I133" s="16"/>
      <c r="J133" s="16" t="s">
        <v>869</v>
      </c>
      <c r="K133" s="16" t="s">
        <v>870</v>
      </c>
      <c r="L133" s="16"/>
      <c r="M133" s="16"/>
      <c r="N133" s="12"/>
      <c r="O133" s="12"/>
      <c r="P133" s="13">
        <f>IFERROR(__xludf.DUMMYFUNCTION("VALUE(SUBSTITUTE((INDEX(SPLIT(A133,"",""),1)),""."","","",1))"),52.144181)</f>
        <v>52.144181</v>
      </c>
      <c r="Q133" s="13">
        <f>IFERROR(__xludf.DUMMYFUNCTION("VALUE(SUBSTITUTE((INDEX(SPLIT(A133,"",""),2)),""."","","",1))"),113.599729)</f>
        <v>113.599729</v>
      </c>
      <c r="R133" s="14" t="b">
        <f t="shared" si="1"/>
        <v>0</v>
      </c>
      <c r="S133" s="14" t="str">
        <f t="shared" si="2"/>
        <v>52.144181,113.599729</v>
      </c>
      <c r="T133" s="12"/>
    </row>
    <row r="134">
      <c r="A134" s="18" t="s">
        <v>871</v>
      </c>
      <c r="B134" s="8" t="s">
        <v>872</v>
      </c>
      <c r="C134" s="8" t="s">
        <v>873</v>
      </c>
      <c r="D134" s="8" t="s">
        <v>16</v>
      </c>
      <c r="E134" s="19" t="s">
        <v>874</v>
      </c>
      <c r="F134" s="8" t="s">
        <v>18</v>
      </c>
      <c r="G134" s="8">
        <v>23.61</v>
      </c>
      <c r="H134" s="8"/>
      <c r="I134" s="8"/>
      <c r="J134" s="8" t="s">
        <v>875</v>
      </c>
      <c r="K134" s="8" t="s">
        <v>876</v>
      </c>
      <c r="L134" s="8"/>
      <c r="M134" s="8"/>
      <c r="N134" s="12"/>
      <c r="O134" s="12"/>
      <c r="P134" s="13">
        <f>IFERROR(__xludf.DUMMYFUNCTION("VALUE(SUBSTITUTE((INDEX(SPLIT(A134,"",""),1)),""."","","",1))"),57.85435)</f>
        <v>57.85435</v>
      </c>
      <c r="Q134" s="13">
        <f>IFERROR(__xludf.DUMMYFUNCTION("VALUE(SUBSTITUTE((INDEX(SPLIT(A134,"",""),2)),""."","","",1))"),114.217474)</f>
        <v>114.217474</v>
      </c>
      <c r="R134" s="14" t="b">
        <f t="shared" si="1"/>
        <v>0</v>
      </c>
      <c r="S134" s="14" t="str">
        <f t="shared" si="2"/>
        <v>57.85435,114.217474</v>
      </c>
      <c r="T134" s="12"/>
    </row>
    <row r="135">
      <c r="A135" s="20" t="s">
        <v>877</v>
      </c>
      <c r="B135" s="16" t="s">
        <v>878</v>
      </c>
      <c r="C135" s="16" t="s">
        <v>879</v>
      </c>
      <c r="D135" s="16" t="s">
        <v>16</v>
      </c>
      <c r="E135" s="21" t="s">
        <v>880</v>
      </c>
      <c r="F135" s="22" t="s">
        <v>881</v>
      </c>
      <c r="G135" s="16">
        <v>23.61</v>
      </c>
      <c r="H135" s="16"/>
      <c r="I135" s="22"/>
      <c r="J135" s="22" t="s">
        <v>882</v>
      </c>
      <c r="K135" s="22" t="s">
        <v>883</v>
      </c>
      <c r="L135" s="23" t="s">
        <v>884</v>
      </c>
      <c r="M135" s="22"/>
      <c r="N135" s="12"/>
      <c r="O135" s="12"/>
      <c r="P135" s="13">
        <f>IFERROR(__xludf.DUMMYFUNCTION("VALUE(SUBSTITUTE((INDEX(SPLIT(A135,"",""),1)),""."","","",1))"),51.082851)</f>
        <v>51.082851</v>
      </c>
      <c r="Q135" s="13">
        <f>IFERROR(__xludf.DUMMYFUNCTION("VALUE(SUBSTITUTE((INDEX(SPLIT(A135,"",""),2)),""."","","",1))"),114.469137)</f>
        <v>114.469137</v>
      </c>
      <c r="R135" s="14" t="b">
        <f t="shared" si="1"/>
        <v>0</v>
      </c>
      <c r="S135" s="14" t="str">
        <f t="shared" si="2"/>
        <v>51.082851,114.469137</v>
      </c>
      <c r="T135" s="12"/>
    </row>
    <row r="136">
      <c r="A136" s="7" t="s">
        <v>885</v>
      </c>
      <c r="B136" s="8" t="s">
        <v>886</v>
      </c>
      <c r="C136" s="8" t="s">
        <v>887</v>
      </c>
      <c r="D136" s="8" t="s">
        <v>16</v>
      </c>
      <c r="E136" s="9" t="s">
        <v>888</v>
      </c>
      <c r="F136" s="10" t="s">
        <v>881</v>
      </c>
      <c r="G136" s="8">
        <v>23.61</v>
      </c>
      <c r="H136" s="8"/>
      <c r="I136" s="10"/>
      <c r="J136" s="10" t="s">
        <v>889</v>
      </c>
      <c r="K136" s="10" t="s">
        <v>890</v>
      </c>
      <c r="L136" s="11" t="s">
        <v>891</v>
      </c>
      <c r="M136" s="11" t="s">
        <v>892</v>
      </c>
      <c r="N136" s="12"/>
      <c r="O136" s="12"/>
      <c r="P136" s="13">
        <f>IFERROR(__xludf.DUMMYFUNCTION("VALUE(SUBSTITUTE((INDEX(SPLIT(A136,"",""),1)),""."","","",1))"),51.406598)</f>
        <v>51.406598</v>
      </c>
      <c r="Q136" s="13">
        <f>IFERROR(__xludf.DUMMYFUNCTION("VALUE(SUBSTITUTE((INDEX(SPLIT(A136,"",""),2)),""."","","",1))"),115.61615)</f>
        <v>115.61615</v>
      </c>
      <c r="R136" s="14" t="b">
        <f t="shared" si="1"/>
        <v>0</v>
      </c>
      <c r="S136" s="14" t="str">
        <f t="shared" si="2"/>
        <v>51.406598,115.61615</v>
      </c>
      <c r="T136" s="12"/>
    </row>
    <row r="137">
      <c r="A137" s="20" t="s">
        <v>893</v>
      </c>
      <c r="B137" s="16" t="s">
        <v>894</v>
      </c>
      <c r="C137" s="16" t="s">
        <v>895</v>
      </c>
      <c r="D137" s="16" t="s">
        <v>16</v>
      </c>
      <c r="E137" s="21" t="s">
        <v>896</v>
      </c>
      <c r="F137" s="22" t="s">
        <v>738</v>
      </c>
      <c r="G137" s="16">
        <v>23.61</v>
      </c>
      <c r="H137" s="16"/>
      <c r="I137" s="22"/>
      <c r="J137" s="22" t="s">
        <v>897</v>
      </c>
      <c r="K137" s="22" t="s">
        <v>898</v>
      </c>
      <c r="L137" s="23" t="s">
        <v>899</v>
      </c>
      <c r="M137" s="22"/>
      <c r="N137" s="12"/>
      <c r="O137" s="12"/>
      <c r="P137" s="13">
        <f>IFERROR(__xludf.DUMMYFUNCTION("VALUE(SUBSTITUTE((INDEX(SPLIT(A137,"",""),1)),""."","","",1))"),51.669294)</f>
        <v>51.669294</v>
      </c>
      <c r="Q137" s="13">
        <f>IFERROR(__xludf.DUMMYFUNCTION("VALUE(SUBSTITUTE((INDEX(SPLIT(A137,"",""),2)),""."","","",1))"),115.63833)</f>
        <v>115.63833</v>
      </c>
      <c r="R137" s="14" t="b">
        <f t="shared" si="1"/>
        <v>0</v>
      </c>
      <c r="S137" s="14" t="str">
        <f t="shared" si="2"/>
        <v>51.669294,115.63833</v>
      </c>
      <c r="T137" s="12"/>
    </row>
    <row r="138">
      <c r="A138" s="18" t="s">
        <v>900</v>
      </c>
      <c r="B138" s="8" t="s">
        <v>901</v>
      </c>
      <c r="C138" s="8" t="s">
        <v>902</v>
      </c>
      <c r="D138" s="8" t="s">
        <v>16</v>
      </c>
      <c r="E138" s="19" t="s">
        <v>903</v>
      </c>
      <c r="F138" s="8" t="s">
        <v>738</v>
      </c>
      <c r="G138" s="8">
        <v>23.61</v>
      </c>
      <c r="H138" s="8"/>
      <c r="I138" s="8"/>
      <c r="J138" s="8" t="s">
        <v>904</v>
      </c>
      <c r="K138" s="8" t="s">
        <v>905</v>
      </c>
      <c r="L138" s="8"/>
      <c r="M138" s="24" t="s">
        <v>906</v>
      </c>
      <c r="N138" s="12"/>
      <c r="O138" s="12"/>
      <c r="P138" s="13">
        <f>IFERROR(__xludf.DUMMYFUNCTION("VALUE(SUBSTITUTE((INDEX(SPLIT(A138,"",""),1)),""."","","",1))"),51.6831)</f>
        <v>51.6831</v>
      </c>
      <c r="Q138" s="13">
        <f>IFERROR(__xludf.DUMMYFUNCTION("VALUE(SUBSTITUTE((INDEX(SPLIT(A138,"",""),2)),""."","","",1))"),115.673679)</f>
        <v>115.673679</v>
      </c>
      <c r="R138" s="14" t="b">
        <f t="shared" si="1"/>
        <v>0</v>
      </c>
      <c r="S138" s="14" t="str">
        <f t="shared" si="2"/>
        <v>51.6831,115.673679</v>
      </c>
      <c r="T138" s="12"/>
    </row>
    <row r="139">
      <c r="A139" s="20" t="s">
        <v>907</v>
      </c>
      <c r="B139" s="16" t="s">
        <v>908</v>
      </c>
      <c r="C139" s="16" t="s">
        <v>909</v>
      </c>
      <c r="D139" s="16" t="s">
        <v>16</v>
      </c>
      <c r="E139" s="21" t="s">
        <v>910</v>
      </c>
      <c r="F139" s="22" t="s">
        <v>911</v>
      </c>
      <c r="G139" s="16">
        <v>23.61</v>
      </c>
      <c r="H139" s="16"/>
      <c r="I139" s="22"/>
      <c r="J139" s="22" t="s">
        <v>912</v>
      </c>
      <c r="K139" s="22" t="s">
        <v>913</v>
      </c>
      <c r="L139" s="23" t="s">
        <v>914</v>
      </c>
      <c r="M139" s="22"/>
      <c r="N139" s="12"/>
      <c r="O139" s="12"/>
      <c r="P139" s="13">
        <f>IFERROR(__xludf.DUMMYFUNCTION("VALUE(SUBSTITUTE((INDEX(SPLIT(A139,"",""),1)),""."","","",1))"),63.446261)</f>
        <v>63.446261</v>
      </c>
      <c r="Q139" s="13">
        <f>IFERROR(__xludf.DUMMYFUNCTION("VALUE(SUBSTITUTE((INDEX(SPLIT(A139,"",""),2)),""."","","",1))"),120.324499)</f>
        <v>120.324499</v>
      </c>
      <c r="R139" s="14" t="b">
        <f t="shared" si="1"/>
        <v>0</v>
      </c>
      <c r="S139" s="14" t="str">
        <f t="shared" si="2"/>
        <v>63.446261,120.324499</v>
      </c>
      <c r="T139" s="12"/>
    </row>
    <row r="140">
      <c r="A140" s="7" t="s">
        <v>915</v>
      </c>
      <c r="B140" s="8" t="s">
        <v>916</v>
      </c>
      <c r="C140" s="8" t="s">
        <v>917</v>
      </c>
      <c r="D140" s="8" t="s">
        <v>16</v>
      </c>
      <c r="E140" s="9" t="s">
        <v>918</v>
      </c>
      <c r="F140" s="10" t="s">
        <v>911</v>
      </c>
      <c r="G140" s="8">
        <v>23.61</v>
      </c>
      <c r="H140" s="8"/>
      <c r="I140" s="10"/>
      <c r="J140" s="10" t="s">
        <v>919</v>
      </c>
      <c r="K140" s="10" t="s">
        <v>920</v>
      </c>
      <c r="L140" s="11" t="s">
        <v>921</v>
      </c>
      <c r="M140" s="10"/>
      <c r="N140" s="12"/>
      <c r="O140" s="12"/>
      <c r="P140" s="13">
        <f>IFERROR(__xludf.DUMMYFUNCTION("VALUE(SUBSTITUTE((INDEX(SPLIT(A140,"",""),1)),""."","","",1))"),63.744978)</f>
        <v>63.744978</v>
      </c>
      <c r="Q140" s="13">
        <f>IFERROR(__xludf.DUMMYFUNCTION("VALUE(SUBSTITUTE((INDEX(SPLIT(A140,"",""),2)),""."","","",1))"),121.628296)</f>
        <v>121.628296</v>
      </c>
      <c r="R140" s="14" t="b">
        <f t="shared" si="1"/>
        <v>0</v>
      </c>
      <c r="S140" s="14" t="str">
        <f t="shared" si="2"/>
        <v>63.744978,121.628296</v>
      </c>
      <c r="T140" s="12"/>
    </row>
    <row r="141">
      <c r="A141" s="20" t="s">
        <v>922</v>
      </c>
      <c r="B141" s="16" t="s">
        <v>923</v>
      </c>
      <c r="C141" s="16" t="s">
        <v>924</v>
      </c>
      <c r="D141" s="16" t="s">
        <v>16</v>
      </c>
      <c r="E141" s="21" t="s">
        <v>925</v>
      </c>
      <c r="F141" s="22" t="s">
        <v>911</v>
      </c>
      <c r="G141" s="16">
        <v>23.61</v>
      </c>
      <c r="H141" s="16"/>
      <c r="I141" s="22"/>
      <c r="J141" s="22" t="s">
        <v>926</v>
      </c>
      <c r="K141" s="22" t="s">
        <v>927</v>
      </c>
      <c r="L141" s="23" t="s">
        <v>928</v>
      </c>
      <c r="M141" s="22"/>
      <c r="N141" s="12"/>
      <c r="O141" s="12"/>
      <c r="P141" s="13">
        <f>IFERROR(__xludf.DUMMYFUNCTION("VALUE(SUBSTITUTE((INDEX(SPLIT(A141,"",""),1)),""."","","",1))"),56.656728)</f>
        <v>56.656728</v>
      </c>
      <c r="Q141" s="13">
        <f>IFERROR(__xludf.DUMMYFUNCTION("VALUE(SUBSTITUTE((INDEX(SPLIT(A141,"",""),2)),""."","","",1))"),124.709006)</f>
        <v>124.709006</v>
      </c>
      <c r="R141" s="14" t="b">
        <f t="shared" si="1"/>
        <v>0</v>
      </c>
      <c r="S141" s="14" t="str">
        <f t="shared" si="2"/>
        <v>56.656728,124.709006</v>
      </c>
      <c r="T141" s="12"/>
    </row>
    <row r="142">
      <c r="A142" s="7" t="s">
        <v>929</v>
      </c>
      <c r="B142" s="8" t="s">
        <v>930</v>
      </c>
      <c r="C142" s="8" t="s">
        <v>931</v>
      </c>
      <c r="D142" s="8" t="s">
        <v>16</v>
      </c>
      <c r="E142" s="9" t="s">
        <v>932</v>
      </c>
      <c r="F142" s="10" t="s">
        <v>911</v>
      </c>
      <c r="G142" s="8">
        <v>23.61</v>
      </c>
      <c r="H142" s="8"/>
      <c r="I142" s="10"/>
      <c r="J142" s="10" t="s">
        <v>933</v>
      </c>
      <c r="K142" s="10" t="s">
        <v>934</v>
      </c>
      <c r="L142" s="11" t="s">
        <v>935</v>
      </c>
      <c r="M142" s="10"/>
      <c r="N142" s="12"/>
      <c r="O142" s="12"/>
      <c r="P142" s="13">
        <f>IFERROR(__xludf.DUMMYFUNCTION("VALUE(SUBSTITUTE((INDEX(SPLIT(A142,"",""),1)),""."","","",1))"),56.657979)</f>
        <v>56.657979</v>
      </c>
      <c r="Q142" s="13">
        <f>IFERROR(__xludf.DUMMYFUNCTION("VALUE(SUBSTITUTE((INDEX(SPLIT(A142,"",""),2)),""."","","",1))"),124.72487)</f>
        <v>124.72487</v>
      </c>
      <c r="R142" s="14" t="b">
        <f t="shared" si="1"/>
        <v>0</v>
      </c>
      <c r="S142" s="14" t="str">
        <f t="shared" si="2"/>
        <v>56.657979,124.72487</v>
      </c>
      <c r="T142" s="12"/>
    </row>
    <row r="143">
      <c r="A143" s="15" t="s">
        <v>936</v>
      </c>
      <c r="B143" s="16" t="s">
        <v>937</v>
      </c>
      <c r="C143" s="16" t="s">
        <v>938</v>
      </c>
      <c r="D143" s="16" t="s">
        <v>16</v>
      </c>
      <c r="E143" s="17" t="s">
        <v>939</v>
      </c>
      <c r="F143" s="16" t="s">
        <v>911</v>
      </c>
      <c r="G143" s="16">
        <v>23.61</v>
      </c>
      <c r="H143" s="16"/>
      <c r="I143" s="16"/>
      <c r="J143" s="16" t="s">
        <v>940</v>
      </c>
      <c r="K143" s="16" t="s">
        <v>941</v>
      </c>
      <c r="L143" s="16"/>
      <c r="M143" s="16"/>
      <c r="N143" s="12"/>
      <c r="O143" s="12"/>
      <c r="P143" s="13">
        <f>IFERROR(__xludf.DUMMYFUNCTION("VALUE(SUBSTITUTE((INDEX(SPLIT(A143,"",""),1)),""."","","",1))"),56.676414)</f>
        <v>56.676414</v>
      </c>
      <c r="Q143" s="13">
        <f>IFERROR(__xludf.DUMMYFUNCTION("VALUE(SUBSTITUTE((INDEX(SPLIT(A143,"",""),2)),""."","","",1))"),124.841022)</f>
        <v>124.841022</v>
      </c>
      <c r="R143" s="14" t="b">
        <f t="shared" si="1"/>
        <v>0</v>
      </c>
      <c r="S143" s="14" t="str">
        <f t="shared" si="2"/>
        <v>56.676414,124.841022</v>
      </c>
      <c r="T143" s="12"/>
    </row>
    <row r="144">
      <c r="A144" s="7" t="s">
        <v>942</v>
      </c>
      <c r="B144" s="8" t="s">
        <v>943</v>
      </c>
      <c r="C144" s="8" t="s">
        <v>944</v>
      </c>
      <c r="D144" s="8" t="s">
        <v>16</v>
      </c>
      <c r="E144" s="9" t="s">
        <v>945</v>
      </c>
      <c r="F144" s="10" t="s">
        <v>911</v>
      </c>
      <c r="G144" s="8">
        <v>23.61</v>
      </c>
      <c r="H144" s="8"/>
      <c r="I144" s="10"/>
      <c r="J144" s="10" t="s">
        <v>946</v>
      </c>
      <c r="K144" s="10" t="s">
        <v>947</v>
      </c>
      <c r="L144" s="11" t="s">
        <v>948</v>
      </c>
      <c r="M144" s="10"/>
      <c r="N144" s="12"/>
      <c r="O144" s="12"/>
      <c r="P144" s="13">
        <f>IFERROR(__xludf.DUMMYFUNCTION("VALUE(SUBSTITUTE((INDEX(SPLIT(A144,"",""),1)),""."","","",1))"),62.10629)</f>
        <v>62.10629</v>
      </c>
      <c r="Q144" s="13">
        <f>IFERROR(__xludf.DUMMYFUNCTION("VALUE(SUBSTITUTE((INDEX(SPLIT(A144,"",""),2)),""."","","",1))"),126.721537)</f>
        <v>126.721537</v>
      </c>
      <c r="R144" s="14" t="b">
        <f t="shared" si="1"/>
        <v>0</v>
      </c>
      <c r="S144" s="14" t="str">
        <f t="shared" si="2"/>
        <v>62.10629,126.721537</v>
      </c>
      <c r="T144" s="12"/>
    </row>
    <row r="145">
      <c r="A145" s="15" t="s">
        <v>949</v>
      </c>
      <c r="B145" s="16" t="s">
        <v>950</v>
      </c>
      <c r="C145" s="16" t="s">
        <v>951</v>
      </c>
      <c r="D145" s="16" t="s">
        <v>16</v>
      </c>
      <c r="E145" s="17" t="s">
        <v>952</v>
      </c>
      <c r="F145" s="16" t="s">
        <v>953</v>
      </c>
      <c r="G145" s="16">
        <v>23.61</v>
      </c>
      <c r="H145" s="16"/>
      <c r="I145" s="16"/>
      <c r="J145" s="16" t="s">
        <v>954</v>
      </c>
      <c r="K145" s="16" t="s">
        <v>955</v>
      </c>
      <c r="L145" s="16"/>
      <c r="M145" s="16"/>
      <c r="N145" s="12"/>
      <c r="O145" s="12"/>
      <c r="P145" s="13">
        <f>IFERROR(__xludf.DUMMYFUNCTION("VALUE(SUBSTITUTE((INDEX(SPLIT(A145,"",""),1)),""."","","",1))"),53.756797)</f>
        <v>53.756797</v>
      </c>
      <c r="Q145" s="13">
        <f>IFERROR(__xludf.DUMMYFUNCTION("VALUE(SUBSTITUTE((INDEX(SPLIT(A145,"",""),2)),""."","","",1))"),127.276633)</f>
        <v>127.276633</v>
      </c>
      <c r="R145" s="14" t="b">
        <f t="shared" si="1"/>
        <v>0</v>
      </c>
      <c r="S145" s="14" t="str">
        <f t="shared" si="2"/>
        <v>53.756797,127.276633</v>
      </c>
      <c r="T145" s="12"/>
    </row>
    <row r="146">
      <c r="A146" s="18" t="s">
        <v>956</v>
      </c>
      <c r="B146" s="8" t="s">
        <v>957</v>
      </c>
      <c r="C146" s="8" t="s">
        <v>958</v>
      </c>
      <c r="D146" s="8" t="s">
        <v>16</v>
      </c>
      <c r="E146" s="19" t="s">
        <v>959</v>
      </c>
      <c r="F146" s="8" t="s">
        <v>911</v>
      </c>
      <c r="G146" s="8">
        <v>23.61</v>
      </c>
      <c r="H146" s="8"/>
      <c r="I146" s="8"/>
      <c r="J146" s="8" t="s">
        <v>960</v>
      </c>
      <c r="K146" s="8" t="s">
        <v>961</v>
      </c>
      <c r="L146" s="8"/>
      <c r="M146" s="24" t="s">
        <v>962</v>
      </c>
      <c r="N146" s="12"/>
      <c r="O146" s="12"/>
      <c r="P146" s="13">
        <f>IFERROR(__xludf.DUMMYFUNCTION("VALUE(SUBSTITUTE((INDEX(SPLIT(A146,"",""),1)),""."","","",1))"),63.930645)</f>
        <v>63.930645</v>
      </c>
      <c r="Q146" s="13">
        <f>IFERROR(__xludf.DUMMYFUNCTION("VALUE(SUBSTITUTE((INDEX(SPLIT(A146,"",""),2)),""."","","",1))"),127.467417)</f>
        <v>127.467417</v>
      </c>
      <c r="R146" s="14" t="b">
        <f t="shared" si="1"/>
        <v>0</v>
      </c>
      <c r="S146" s="14" t="str">
        <f t="shared" si="2"/>
        <v>63.930645,127.467417</v>
      </c>
      <c r="T146" s="12"/>
    </row>
    <row r="147">
      <c r="A147" s="15" t="s">
        <v>963</v>
      </c>
      <c r="B147" s="16" t="s">
        <v>516</v>
      </c>
      <c r="C147" s="16" t="s">
        <v>517</v>
      </c>
      <c r="D147" s="16" t="s">
        <v>16</v>
      </c>
      <c r="E147" s="17" t="s">
        <v>964</v>
      </c>
      <c r="F147" s="16" t="s">
        <v>953</v>
      </c>
      <c r="G147" s="16">
        <v>23.61</v>
      </c>
      <c r="H147" s="16"/>
      <c r="I147" s="16"/>
      <c r="J147" s="16" t="s">
        <v>965</v>
      </c>
      <c r="K147" s="16" t="s">
        <v>966</v>
      </c>
      <c r="L147" s="16"/>
      <c r="M147" s="25" t="s">
        <v>967</v>
      </c>
      <c r="N147" s="12"/>
      <c r="O147" s="12"/>
      <c r="P147" s="13">
        <f>IFERROR(__xludf.DUMMYFUNCTION("VALUE(SUBSTITUTE((INDEX(SPLIT(A147,"",""),1)),""."","","",1))"),50.285685)</f>
        <v>50.285685</v>
      </c>
      <c r="Q147" s="13">
        <f>IFERROR(__xludf.DUMMYFUNCTION("VALUE(SUBSTITUTE((INDEX(SPLIT(A147,"",""),2)),""."","","",1))"),127.496029)</f>
        <v>127.496029</v>
      </c>
      <c r="R147" s="14" t="b">
        <f t="shared" si="1"/>
        <v>0</v>
      </c>
      <c r="S147" s="14" t="str">
        <f t="shared" si="2"/>
        <v>50.285685,127.496029</v>
      </c>
      <c r="T147" s="12"/>
    </row>
    <row r="148">
      <c r="A148" s="7" t="s">
        <v>968</v>
      </c>
      <c r="B148" s="8" t="s">
        <v>969</v>
      </c>
      <c r="C148" s="8" t="s">
        <v>970</v>
      </c>
      <c r="D148" s="8" t="s">
        <v>16</v>
      </c>
      <c r="E148" s="9" t="s">
        <v>971</v>
      </c>
      <c r="F148" s="10" t="s">
        <v>953</v>
      </c>
      <c r="G148" s="8">
        <v>23.61</v>
      </c>
      <c r="H148" s="8"/>
      <c r="I148" s="10"/>
      <c r="J148" s="10" t="s">
        <v>972</v>
      </c>
      <c r="K148" s="10" t="s">
        <v>973</v>
      </c>
      <c r="L148" s="11" t="s">
        <v>974</v>
      </c>
      <c r="M148" s="10"/>
      <c r="N148" s="12"/>
      <c r="O148" s="12"/>
      <c r="P148" s="13">
        <f>IFERROR(__xludf.DUMMYFUNCTION("VALUE(SUBSTITUTE((INDEX(SPLIT(A148,"",""),1)),""."","","",1))"),50.284033)</f>
        <v>50.284033</v>
      </c>
      <c r="Q148" s="13">
        <f>IFERROR(__xludf.DUMMYFUNCTION("VALUE(SUBSTITUTE((INDEX(SPLIT(A148,"",""),2)),""."","","",1))"),127.497053)</f>
        <v>127.497053</v>
      </c>
      <c r="R148" s="14" t="b">
        <f t="shared" si="1"/>
        <v>0</v>
      </c>
      <c r="S148" s="14" t="str">
        <f t="shared" si="2"/>
        <v>50.284033,127.497053</v>
      </c>
      <c r="T148" s="12"/>
    </row>
    <row r="149">
      <c r="A149" s="15" t="s">
        <v>968</v>
      </c>
      <c r="B149" s="16" t="s">
        <v>975</v>
      </c>
      <c r="C149" s="16" t="s">
        <v>976</v>
      </c>
      <c r="D149" s="16" t="s">
        <v>16</v>
      </c>
      <c r="E149" s="17" t="s">
        <v>977</v>
      </c>
      <c r="F149" s="16" t="s">
        <v>953</v>
      </c>
      <c r="G149" s="16">
        <v>23.61</v>
      </c>
      <c r="H149" s="16"/>
      <c r="I149" s="16"/>
      <c r="J149" s="16" t="s">
        <v>978</v>
      </c>
      <c r="K149" s="16" t="s">
        <v>979</v>
      </c>
      <c r="L149" s="16"/>
      <c r="M149" s="16"/>
      <c r="N149" s="12"/>
      <c r="O149" s="12"/>
      <c r="P149" s="13">
        <f>IFERROR(__xludf.DUMMYFUNCTION("VALUE(SUBSTITUTE((INDEX(SPLIT(A149,"",""),1)),""."","","",1))"),50.284033)</f>
        <v>50.284033</v>
      </c>
      <c r="Q149" s="13">
        <f>IFERROR(__xludf.DUMMYFUNCTION("VALUE(SUBSTITUTE((INDEX(SPLIT(A149,"",""),2)),""."","","",1))"),127.497053)</f>
        <v>127.497053</v>
      </c>
      <c r="R149" s="14" t="b">
        <f t="shared" si="1"/>
        <v>0</v>
      </c>
      <c r="S149" s="14" t="str">
        <f t="shared" si="2"/>
        <v>50.284033,127.497053</v>
      </c>
      <c r="T149" s="12"/>
    </row>
    <row r="150">
      <c r="A150" s="7" t="s">
        <v>980</v>
      </c>
      <c r="B150" s="8" t="s">
        <v>981</v>
      </c>
      <c r="C150" s="8" t="s">
        <v>982</v>
      </c>
      <c r="D150" s="8" t="s">
        <v>16</v>
      </c>
      <c r="E150" s="9" t="s">
        <v>983</v>
      </c>
      <c r="F150" s="10" t="s">
        <v>953</v>
      </c>
      <c r="G150" s="8">
        <v>23.61</v>
      </c>
      <c r="H150" s="8"/>
      <c r="I150" s="10"/>
      <c r="J150" s="10" t="s">
        <v>984</v>
      </c>
      <c r="K150" s="10" t="s">
        <v>985</v>
      </c>
      <c r="L150" s="11" t="s">
        <v>986</v>
      </c>
      <c r="M150" s="10"/>
      <c r="N150" s="12"/>
      <c r="O150" s="12"/>
      <c r="P150" s="13">
        <f>IFERROR(__xludf.DUMMYFUNCTION("VALUE(SUBSTITUTE((INDEX(SPLIT(A150,"",""),1)),""."","","",1))"),50.283049)</f>
        <v>50.283049</v>
      </c>
      <c r="Q150" s="13">
        <f>IFERROR(__xludf.DUMMYFUNCTION("VALUE(SUBSTITUTE((INDEX(SPLIT(A150,"",""),2)),""."","","",1))"),127.499065)</f>
        <v>127.499065</v>
      </c>
      <c r="R150" s="14" t="b">
        <f t="shared" si="1"/>
        <v>0</v>
      </c>
      <c r="S150" s="14" t="str">
        <f t="shared" si="2"/>
        <v>50.283049,127.499065</v>
      </c>
      <c r="T150" s="12"/>
    </row>
    <row r="151">
      <c r="A151" s="20" t="s">
        <v>987</v>
      </c>
      <c r="B151" s="16" t="s">
        <v>988</v>
      </c>
      <c r="C151" s="16" t="s">
        <v>989</v>
      </c>
      <c r="D151" s="16" t="s">
        <v>16</v>
      </c>
      <c r="E151" s="21" t="s">
        <v>990</v>
      </c>
      <c r="F151" s="22" t="s">
        <v>953</v>
      </c>
      <c r="G151" s="16">
        <v>23.61</v>
      </c>
      <c r="H151" s="16"/>
      <c r="I151" s="22"/>
      <c r="J151" s="22" t="s">
        <v>991</v>
      </c>
      <c r="K151" s="22" t="s">
        <v>992</v>
      </c>
      <c r="L151" s="23" t="s">
        <v>993</v>
      </c>
      <c r="M151" s="22"/>
      <c r="N151" s="12"/>
      <c r="O151" s="12"/>
      <c r="P151" s="13">
        <f>IFERROR(__xludf.DUMMYFUNCTION("VALUE(SUBSTITUTE((INDEX(SPLIT(A151,"",""),1)),""."","","",1))"),50.286698)</f>
        <v>50.286698</v>
      </c>
      <c r="Q151" s="13">
        <f>IFERROR(__xludf.DUMMYFUNCTION("VALUE(SUBSTITUTE((INDEX(SPLIT(A151,"",""),2)),""."","","",1))"),127.500601)</f>
        <v>127.500601</v>
      </c>
      <c r="R151" s="14" t="b">
        <f t="shared" si="1"/>
        <v>0</v>
      </c>
      <c r="S151" s="14" t="str">
        <f t="shared" si="2"/>
        <v>50.286698,127.500601</v>
      </c>
      <c r="T151" s="12"/>
    </row>
    <row r="152">
      <c r="A152" s="7" t="s">
        <v>987</v>
      </c>
      <c r="B152" s="8" t="s">
        <v>994</v>
      </c>
      <c r="C152" s="8" t="s">
        <v>995</v>
      </c>
      <c r="D152" s="8" t="s">
        <v>16</v>
      </c>
      <c r="E152" s="9" t="s">
        <v>996</v>
      </c>
      <c r="F152" s="10" t="s">
        <v>953</v>
      </c>
      <c r="G152" s="8">
        <v>23.61</v>
      </c>
      <c r="H152" s="8"/>
      <c r="I152" s="10"/>
      <c r="J152" s="10" t="s">
        <v>997</v>
      </c>
      <c r="K152" s="10" t="s">
        <v>992</v>
      </c>
      <c r="L152" s="11" t="s">
        <v>993</v>
      </c>
      <c r="M152" s="10"/>
      <c r="N152" s="12"/>
      <c r="O152" s="12"/>
      <c r="P152" s="13">
        <f>IFERROR(__xludf.DUMMYFUNCTION("VALUE(SUBSTITUTE((INDEX(SPLIT(A152,"",""),1)),""."","","",1))"),50.286698)</f>
        <v>50.286698</v>
      </c>
      <c r="Q152" s="13">
        <f>IFERROR(__xludf.DUMMYFUNCTION("VALUE(SUBSTITUTE((INDEX(SPLIT(A152,"",""),2)),""."","","",1))"),127.500601)</f>
        <v>127.500601</v>
      </c>
      <c r="R152" s="14" t="b">
        <f t="shared" si="1"/>
        <v>0</v>
      </c>
      <c r="S152" s="14" t="str">
        <f t="shared" si="2"/>
        <v>50.286698,127.500601</v>
      </c>
      <c r="T152" s="12"/>
    </row>
    <row r="153">
      <c r="A153" s="15" t="s">
        <v>998</v>
      </c>
      <c r="B153" s="16" t="s">
        <v>999</v>
      </c>
      <c r="C153" s="16" t="s">
        <v>1000</v>
      </c>
      <c r="D153" s="16" t="s">
        <v>16</v>
      </c>
      <c r="E153" s="17" t="s">
        <v>1001</v>
      </c>
      <c r="F153" s="16" t="s">
        <v>953</v>
      </c>
      <c r="G153" s="16">
        <v>23.61</v>
      </c>
      <c r="H153" s="16"/>
      <c r="I153" s="16"/>
      <c r="J153" s="16" t="s">
        <v>1002</v>
      </c>
      <c r="K153" s="16" t="s">
        <v>1003</v>
      </c>
      <c r="L153" s="16"/>
      <c r="M153" s="25" t="s">
        <v>1004</v>
      </c>
      <c r="N153" s="12"/>
      <c r="O153" s="12"/>
      <c r="P153" s="13">
        <f>IFERROR(__xludf.DUMMYFUNCTION("VALUE(SUBSTITUTE((INDEX(SPLIT(A153,"",""),1)),""."","","",1))"),50.285558)</f>
        <v>50.285558</v>
      </c>
      <c r="Q153" s="13">
        <f>IFERROR(__xludf.DUMMYFUNCTION("VALUE(SUBSTITUTE((INDEX(SPLIT(A153,"",""),2)),""."","","",1))"),127.504949)</f>
        <v>127.504949</v>
      </c>
      <c r="R153" s="14" t="b">
        <f t="shared" si="1"/>
        <v>0</v>
      </c>
      <c r="S153" s="14" t="str">
        <f t="shared" si="2"/>
        <v>50.285558,127.504949</v>
      </c>
      <c r="T153" s="12"/>
    </row>
    <row r="154">
      <c r="A154" s="18" t="s">
        <v>1005</v>
      </c>
      <c r="B154" s="8" t="s">
        <v>1006</v>
      </c>
      <c r="C154" s="8" t="s">
        <v>1007</v>
      </c>
      <c r="D154" s="8" t="s">
        <v>16</v>
      </c>
      <c r="E154" s="19" t="s">
        <v>1008</v>
      </c>
      <c r="F154" s="8" t="s">
        <v>953</v>
      </c>
      <c r="G154" s="8">
        <v>23.61</v>
      </c>
      <c r="H154" s="8"/>
      <c r="I154" s="8"/>
      <c r="J154" s="8" t="s">
        <v>1009</v>
      </c>
      <c r="K154" s="8" t="s">
        <v>1010</v>
      </c>
      <c r="L154" s="8"/>
      <c r="M154" s="24" t="s">
        <v>1011</v>
      </c>
      <c r="N154" s="12"/>
      <c r="O154" s="12"/>
      <c r="P154" s="13">
        <f>IFERROR(__xludf.DUMMYFUNCTION("VALUE(SUBSTITUTE((INDEX(SPLIT(A154,"",""),1)),""."","","",1))"),50.268749)</f>
        <v>50.268749</v>
      </c>
      <c r="Q154" s="13">
        <f>IFERROR(__xludf.DUMMYFUNCTION("VALUE(SUBSTITUTE((INDEX(SPLIT(A154,"",""),2)),""."","","",1))"),127.516178)</f>
        <v>127.516178</v>
      </c>
      <c r="R154" s="14" t="b">
        <f t="shared" si="1"/>
        <v>0</v>
      </c>
      <c r="S154" s="14" t="str">
        <f t="shared" si="2"/>
        <v>50.268749,127.516178</v>
      </c>
      <c r="T154" s="12"/>
    </row>
    <row r="155">
      <c r="A155" s="15" t="s">
        <v>1012</v>
      </c>
      <c r="B155" s="16" t="s">
        <v>1013</v>
      </c>
      <c r="C155" s="16" t="s">
        <v>1014</v>
      </c>
      <c r="D155" s="16" t="s">
        <v>16</v>
      </c>
      <c r="E155" s="17" t="s">
        <v>1015</v>
      </c>
      <c r="F155" s="16" t="s">
        <v>953</v>
      </c>
      <c r="G155" s="16">
        <v>23.61</v>
      </c>
      <c r="H155" s="16"/>
      <c r="I155" s="16"/>
      <c r="J155" s="16" t="s">
        <v>1016</v>
      </c>
      <c r="K155" s="16" t="s">
        <v>1017</v>
      </c>
      <c r="L155" s="16"/>
      <c r="M155" s="25" t="s">
        <v>1018</v>
      </c>
      <c r="N155" s="12"/>
      <c r="O155" s="12"/>
      <c r="P155" s="13">
        <f>IFERROR(__xludf.DUMMYFUNCTION("VALUE(SUBSTITUTE((INDEX(SPLIT(A155,"",""),1)),""."","","",1))"),50.288931)</f>
        <v>50.288931</v>
      </c>
      <c r="Q155" s="13">
        <f>IFERROR(__xludf.DUMMYFUNCTION("VALUE(SUBSTITUTE((INDEX(SPLIT(A155,"",""),2)),""."","","",1))"),127.517912)</f>
        <v>127.517912</v>
      </c>
      <c r="R155" s="14" t="b">
        <f t="shared" si="1"/>
        <v>0</v>
      </c>
      <c r="S155" s="14" t="str">
        <f t="shared" si="2"/>
        <v>50.288931,127.517912</v>
      </c>
      <c r="T155" s="12"/>
    </row>
    <row r="156">
      <c r="A156" s="7" t="s">
        <v>1019</v>
      </c>
      <c r="B156" s="8" t="s">
        <v>1020</v>
      </c>
      <c r="C156" s="8" t="s">
        <v>1021</v>
      </c>
      <c r="D156" s="8" t="s">
        <v>16</v>
      </c>
      <c r="E156" s="9" t="s">
        <v>1022</v>
      </c>
      <c r="F156" s="10" t="s">
        <v>953</v>
      </c>
      <c r="G156" s="8">
        <v>23.61</v>
      </c>
      <c r="H156" s="8"/>
      <c r="I156" s="10"/>
      <c r="J156" s="10" t="s">
        <v>1023</v>
      </c>
      <c r="K156" s="10" t="s">
        <v>1024</v>
      </c>
      <c r="L156" s="11" t="s">
        <v>1025</v>
      </c>
      <c r="M156" s="10"/>
      <c r="N156" s="12"/>
      <c r="O156" s="12"/>
      <c r="P156" s="13">
        <f>IFERROR(__xludf.DUMMYFUNCTION("VALUE(SUBSTITUTE((INDEX(SPLIT(A156,"",""),1)),""."","","",1))"),50.277828)</f>
        <v>50.277828</v>
      </c>
      <c r="Q156" s="13">
        <f>IFERROR(__xludf.DUMMYFUNCTION("VALUE(SUBSTITUTE((INDEX(SPLIT(A156,"",""),2)),""."","","",1))"),127.519906)</f>
        <v>127.519906</v>
      </c>
      <c r="R156" s="14" t="b">
        <f t="shared" si="1"/>
        <v>0</v>
      </c>
      <c r="S156" s="14" t="str">
        <f t="shared" si="2"/>
        <v>50.277828,127.519906</v>
      </c>
      <c r="T156" s="12"/>
    </row>
    <row r="157">
      <c r="A157" s="15" t="s">
        <v>1026</v>
      </c>
      <c r="B157" s="16" t="s">
        <v>1027</v>
      </c>
      <c r="C157" s="16" t="s">
        <v>1028</v>
      </c>
      <c r="D157" s="16" t="s">
        <v>16</v>
      </c>
      <c r="E157" s="17" t="s">
        <v>1029</v>
      </c>
      <c r="F157" s="16" t="s">
        <v>953</v>
      </c>
      <c r="G157" s="16">
        <v>23.61</v>
      </c>
      <c r="H157" s="16"/>
      <c r="I157" s="16"/>
      <c r="J157" s="16" t="s">
        <v>1030</v>
      </c>
      <c r="K157" s="16" t="s">
        <v>1031</v>
      </c>
      <c r="L157" s="16"/>
      <c r="M157" s="16"/>
      <c r="N157" s="12"/>
      <c r="O157" s="12"/>
      <c r="P157" s="13">
        <f>IFERROR(__xludf.DUMMYFUNCTION("VALUE(SUBSTITUTE((INDEX(SPLIT(A157,"",""),1)),""."","","",1))"),50.28119)</f>
        <v>50.28119</v>
      </c>
      <c r="Q157" s="13">
        <f>IFERROR(__xludf.DUMMYFUNCTION("VALUE(SUBSTITUTE((INDEX(SPLIT(A157,"",""),2)),""."","","",1))"),127.528422)</f>
        <v>127.528422</v>
      </c>
      <c r="R157" s="14" t="b">
        <f t="shared" si="1"/>
        <v>0</v>
      </c>
      <c r="S157" s="14" t="str">
        <f t="shared" si="2"/>
        <v>50.28119,127.528422</v>
      </c>
      <c r="T157" s="12"/>
    </row>
    <row r="158">
      <c r="A158" s="18" t="s">
        <v>1032</v>
      </c>
      <c r="B158" s="8" t="s">
        <v>1033</v>
      </c>
      <c r="C158" s="8" t="s">
        <v>1034</v>
      </c>
      <c r="D158" s="8" t="s">
        <v>16</v>
      </c>
      <c r="E158" s="19" t="s">
        <v>1035</v>
      </c>
      <c r="F158" s="8" t="s">
        <v>953</v>
      </c>
      <c r="G158" s="8">
        <v>23.61</v>
      </c>
      <c r="H158" s="8"/>
      <c r="I158" s="8"/>
      <c r="J158" s="8" t="s">
        <v>1036</v>
      </c>
      <c r="K158" s="8" t="s">
        <v>1037</v>
      </c>
      <c r="L158" s="8"/>
      <c r="M158" s="8"/>
      <c r="N158" s="12"/>
      <c r="O158" s="12"/>
      <c r="P158" s="13">
        <f>IFERROR(__xludf.DUMMYFUNCTION("VALUE(SUBSTITUTE((INDEX(SPLIT(A158,"",""),1)),""."","","",1))"),50.257456)</f>
        <v>50.257456</v>
      </c>
      <c r="Q158" s="13">
        <f>IFERROR(__xludf.DUMMYFUNCTION("VALUE(SUBSTITUTE((INDEX(SPLIT(A158,"",""),2)),""."","","",1))"),127.534611)</f>
        <v>127.534611</v>
      </c>
      <c r="R158" s="14" t="b">
        <f t="shared" si="1"/>
        <v>0</v>
      </c>
      <c r="S158" s="14" t="str">
        <f t="shared" si="2"/>
        <v>50.257456,127.534611</v>
      </c>
      <c r="T158" s="12"/>
    </row>
    <row r="159">
      <c r="A159" s="15" t="s">
        <v>1038</v>
      </c>
      <c r="B159" s="16" t="s">
        <v>1039</v>
      </c>
      <c r="C159" s="16" t="s">
        <v>1040</v>
      </c>
      <c r="D159" s="16" t="s">
        <v>16</v>
      </c>
      <c r="E159" s="17" t="s">
        <v>1041</v>
      </c>
      <c r="F159" s="16" t="s">
        <v>953</v>
      </c>
      <c r="G159" s="16">
        <v>23.61</v>
      </c>
      <c r="H159" s="16"/>
      <c r="I159" s="16"/>
      <c r="J159" s="16" t="s">
        <v>1042</v>
      </c>
      <c r="K159" s="16" t="s">
        <v>1043</v>
      </c>
      <c r="L159" s="16"/>
      <c r="M159" s="16"/>
      <c r="N159" s="12"/>
      <c r="O159" s="12"/>
      <c r="P159" s="13">
        <f>IFERROR(__xludf.DUMMYFUNCTION("VALUE(SUBSTITUTE((INDEX(SPLIT(A159,"",""),1)),""."","","",1))"),50.304519)</f>
        <v>50.304519</v>
      </c>
      <c r="Q159" s="13">
        <f>IFERROR(__xludf.DUMMYFUNCTION("VALUE(SUBSTITUTE((INDEX(SPLIT(A159,"",""),2)),""."","","",1))"),127.541708)</f>
        <v>127.541708</v>
      </c>
      <c r="R159" s="14" t="b">
        <f t="shared" si="1"/>
        <v>0</v>
      </c>
      <c r="S159" s="14" t="str">
        <f t="shared" si="2"/>
        <v>50.304519,127.541708</v>
      </c>
      <c r="T159" s="12"/>
    </row>
    <row r="160">
      <c r="A160" s="18" t="s">
        <v>1038</v>
      </c>
      <c r="B160" s="8" t="s">
        <v>1044</v>
      </c>
      <c r="C160" s="8" t="s">
        <v>1045</v>
      </c>
      <c r="D160" s="8" t="s">
        <v>16</v>
      </c>
      <c r="E160" s="19" t="s">
        <v>1046</v>
      </c>
      <c r="F160" s="8" t="s">
        <v>953</v>
      </c>
      <c r="G160" s="8">
        <v>23.61</v>
      </c>
      <c r="H160" s="8"/>
      <c r="I160" s="8"/>
      <c r="J160" s="8" t="s">
        <v>1047</v>
      </c>
      <c r="K160" s="8" t="s">
        <v>1043</v>
      </c>
      <c r="L160" s="8"/>
      <c r="M160" s="8"/>
      <c r="N160" s="12"/>
      <c r="O160" s="12"/>
      <c r="P160" s="13">
        <f>IFERROR(__xludf.DUMMYFUNCTION("VALUE(SUBSTITUTE((INDEX(SPLIT(A160,"",""),1)),""."","","",1))"),50.304519)</f>
        <v>50.304519</v>
      </c>
      <c r="Q160" s="13">
        <f>IFERROR(__xludf.DUMMYFUNCTION("VALUE(SUBSTITUTE((INDEX(SPLIT(A160,"",""),2)),""."","","",1))"),127.541708)</f>
        <v>127.541708</v>
      </c>
      <c r="R160" s="14" t="b">
        <f t="shared" si="1"/>
        <v>0</v>
      </c>
      <c r="S160" s="14" t="str">
        <f t="shared" si="2"/>
        <v>50.304519,127.541708</v>
      </c>
      <c r="T160" s="12"/>
    </row>
    <row r="161">
      <c r="A161" s="15" t="s">
        <v>1038</v>
      </c>
      <c r="B161" s="16" t="s">
        <v>1048</v>
      </c>
      <c r="C161" s="16" t="s">
        <v>1049</v>
      </c>
      <c r="D161" s="16" t="s">
        <v>16</v>
      </c>
      <c r="E161" s="17" t="s">
        <v>1050</v>
      </c>
      <c r="F161" s="16" t="s">
        <v>953</v>
      </c>
      <c r="G161" s="16">
        <v>23.61</v>
      </c>
      <c r="H161" s="16"/>
      <c r="I161" s="16"/>
      <c r="J161" s="16" t="s">
        <v>1051</v>
      </c>
      <c r="K161" s="16" t="s">
        <v>1052</v>
      </c>
      <c r="L161" s="16"/>
      <c r="M161" s="16"/>
      <c r="N161" s="12"/>
      <c r="O161" s="12"/>
      <c r="P161" s="13">
        <f>IFERROR(__xludf.DUMMYFUNCTION("VALUE(SUBSTITUTE((INDEX(SPLIT(A161,"",""),1)),""."","","",1))"),50.304519)</f>
        <v>50.304519</v>
      </c>
      <c r="Q161" s="13">
        <f>IFERROR(__xludf.DUMMYFUNCTION("VALUE(SUBSTITUTE((INDEX(SPLIT(A161,"",""),2)),""."","","",1))"),127.541708)</f>
        <v>127.541708</v>
      </c>
      <c r="R161" s="14" t="b">
        <f t="shared" si="1"/>
        <v>0</v>
      </c>
      <c r="S161" s="14" t="str">
        <f t="shared" si="2"/>
        <v>50.304519,127.541708</v>
      </c>
      <c r="T161" s="12"/>
    </row>
    <row r="162">
      <c r="A162" s="18" t="s">
        <v>1053</v>
      </c>
      <c r="B162" s="8" t="s">
        <v>1054</v>
      </c>
      <c r="C162" s="8" t="s">
        <v>1055</v>
      </c>
      <c r="D162" s="8" t="s">
        <v>16</v>
      </c>
      <c r="E162" s="19" t="s">
        <v>1056</v>
      </c>
      <c r="F162" s="8" t="s">
        <v>953</v>
      </c>
      <c r="G162" s="8">
        <v>23.61</v>
      </c>
      <c r="H162" s="8"/>
      <c r="I162" s="8"/>
      <c r="J162" s="8" t="s">
        <v>1057</v>
      </c>
      <c r="K162" s="8" t="s">
        <v>1058</v>
      </c>
      <c r="L162" s="8"/>
      <c r="M162" s="24" t="s">
        <v>1059</v>
      </c>
      <c r="N162" s="12"/>
      <c r="O162" s="12"/>
      <c r="P162" s="13">
        <f>IFERROR(__xludf.DUMMYFUNCTION("VALUE(SUBSTITUTE((INDEX(SPLIT(A162,"",""),1)),""."","","",1))"),50.286013)</f>
        <v>50.286013</v>
      </c>
      <c r="Q162" s="13">
        <f>IFERROR(__xludf.DUMMYFUNCTION("VALUE(SUBSTITUTE((INDEX(SPLIT(A162,"",""),2)),""."","","",1))"),127.544619)</f>
        <v>127.544619</v>
      </c>
      <c r="R162" s="14" t="b">
        <f t="shared" si="1"/>
        <v>0</v>
      </c>
      <c r="S162" s="14" t="str">
        <f t="shared" si="2"/>
        <v>50.286013,127.544619</v>
      </c>
      <c r="T162" s="12"/>
    </row>
    <row r="163">
      <c r="A163" s="15" t="s">
        <v>1060</v>
      </c>
      <c r="B163" s="16" t="s">
        <v>1061</v>
      </c>
      <c r="C163" s="16" t="s">
        <v>1062</v>
      </c>
      <c r="D163" s="16" t="s">
        <v>16</v>
      </c>
      <c r="E163" s="17" t="s">
        <v>1063</v>
      </c>
      <c r="F163" s="16" t="s">
        <v>953</v>
      </c>
      <c r="G163" s="16">
        <v>23.61</v>
      </c>
      <c r="H163" s="16"/>
      <c r="I163" s="16"/>
      <c r="J163" s="16" t="s">
        <v>1064</v>
      </c>
      <c r="K163" s="16" t="s">
        <v>1065</v>
      </c>
      <c r="L163" s="16"/>
      <c r="M163" s="16"/>
      <c r="N163" s="12"/>
      <c r="O163" s="12"/>
      <c r="P163" s="13">
        <f>IFERROR(__xludf.DUMMYFUNCTION("VALUE(SUBSTITUTE((INDEX(SPLIT(A163,"",""),1)),""."","","",1))"),50.271599)</f>
        <v>50.271599</v>
      </c>
      <c r="Q163" s="13">
        <f>IFERROR(__xludf.DUMMYFUNCTION("VALUE(SUBSTITUTE((INDEX(SPLIT(A163,"",""),2)),""."","","",1))"),127.552425)</f>
        <v>127.552425</v>
      </c>
      <c r="R163" s="14" t="b">
        <f t="shared" si="1"/>
        <v>0</v>
      </c>
      <c r="S163" s="14" t="str">
        <f t="shared" si="2"/>
        <v>50.271599,127.552425</v>
      </c>
      <c r="T163" s="12"/>
    </row>
    <row r="164">
      <c r="A164" s="18" t="s">
        <v>1060</v>
      </c>
      <c r="B164" s="8" t="s">
        <v>1066</v>
      </c>
      <c r="C164" s="8" t="s">
        <v>1067</v>
      </c>
      <c r="D164" s="8" t="s">
        <v>16</v>
      </c>
      <c r="E164" s="19" t="s">
        <v>1068</v>
      </c>
      <c r="F164" s="8" t="s">
        <v>953</v>
      </c>
      <c r="G164" s="8">
        <v>23.61</v>
      </c>
      <c r="H164" s="8"/>
      <c r="I164" s="8"/>
      <c r="J164" s="8" t="s">
        <v>1064</v>
      </c>
      <c r="K164" s="8" t="s">
        <v>1065</v>
      </c>
      <c r="L164" s="8"/>
      <c r="M164" s="8"/>
      <c r="N164" s="12"/>
      <c r="O164" s="12"/>
      <c r="P164" s="13">
        <f>IFERROR(__xludf.DUMMYFUNCTION("VALUE(SUBSTITUTE((INDEX(SPLIT(A164,"",""),1)),""."","","",1))"),50.271599)</f>
        <v>50.271599</v>
      </c>
      <c r="Q164" s="13">
        <f>IFERROR(__xludf.DUMMYFUNCTION("VALUE(SUBSTITUTE((INDEX(SPLIT(A164,"",""),2)),""."","","",1))"),127.552425)</f>
        <v>127.552425</v>
      </c>
      <c r="R164" s="14" t="b">
        <f t="shared" si="1"/>
        <v>0</v>
      </c>
      <c r="S164" s="14" t="str">
        <f t="shared" si="2"/>
        <v>50.271599,127.552425</v>
      </c>
      <c r="T164" s="12"/>
    </row>
    <row r="165">
      <c r="A165" s="15" t="s">
        <v>1069</v>
      </c>
      <c r="B165" s="16" t="s">
        <v>1070</v>
      </c>
      <c r="C165" s="16" t="s">
        <v>1071</v>
      </c>
      <c r="D165" s="16" t="s">
        <v>16</v>
      </c>
      <c r="E165" s="17" t="s">
        <v>1072</v>
      </c>
      <c r="F165" s="16" t="s">
        <v>953</v>
      </c>
      <c r="G165" s="16">
        <v>23.61</v>
      </c>
      <c r="H165" s="16"/>
      <c r="I165" s="16"/>
      <c r="J165" s="16" t="s">
        <v>1073</v>
      </c>
      <c r="K165" s="16" t="s">
        <v>1074</v>
      </c>
      <c r="L165" s="16"/>
      <c r="M165" s="25" t="s">
        <v>1075</v>
      </c>
      <c r="N165" s="12"/>
      <c r="O165" s="12"/>
      <c r="P165" s="13">
        <f>IFERROR(__xludf.DUMMYFUNCTION("VALUE(SUBSTITUTE((INDEX(SPLIT(A165,"",""),1)),""."","","",1))"),50.295371)</f>
        <v>50.295371</v>
      </c>
      <c r="Q165" s="13">
        <f>IFERROR(__xludf.DUMMYFUNCTION("VALUE(SUBSTITUTE((INDEX(SPLIT(A165,"",""),2)),""."","","",1))"),127.552488)</f>
        <v>127.552488</v>
      </c>
      <c r="R165" s="14" t="b">
        <f t="shared" si="1"/>
        <v>0</v>
      </c>
      <c r="S165" s="14" t="str">
        <f t="shared" si="2"/>
        <v>50.295371,127.552488</v>
      </c>
      <c r="T165" s="12"/>
    </row>
    <row r="166">
      <c r="A166" s="7" t="s">
        <v>1076</v>
      </c>
      <c r="B166" s="8" t="s">
        <v>1077</v>
      </c>
      <c r="C166" s="8" t="s">
        <v>1078</v>
      </c>
      <c r="D166" s="8" t="s">
        <v>16</v>
      </c>
      <c r="E166" s="9" t="s">
        <v>1079</v>
      </c>
      <c r="F166" s="10" t="s">
        <v>953</v>
      </c>
      <c r="G166" s="8">
        <v>23.61</v>
      </c>
      <c r="H166" s="8"/>
      <c r="I166" s="10"/>
      <c r="J166" s="10" t="s">
        <v>1080</v>
      </c>
      <c r="K166" s="10" t="s">
        <v>1081</v>
      </c>
      <c r="L166" s="11" t="s">
        <v>1082</v>
      </c>
      <c r="M166" s="10"/>
      <c r="N166" s="12"/>
      <c r="O166" s="12"/>
      <c r="P166" s="13">
        <f>IFERROR(__xludf.DUMMYFUNCTION("VALUE(SUBSTITUTE((INDEX(SPLIT(A166,"",""),1)),""."","","",1))"),50.289213)</f>
        <v>50.289213</v>
      </c>
      <c r="Q166" s="13">
        <f>IFERROR(__xludf.DUMMYFUNCTION("VALUE(SUBSTITUTE((INDEX(SPLIT(A166,"",""),2)),""."","","",1))"),127.558066)</f>
        <v>127.558066</v>
      </c>
      <c r="R166" s="14" t="b">
        <f t="shared" si="1"/>
        <v>0</v>
      </c>
      <c r="S166" s="14" t="str">
        <f t="shared" si="2"/>
        <v>50.289213,127.558066</v>
      </c>
      <c r="T166" s="12"/>
    </row>
    <row r="167">
      <c r="A167" s="15" t="s">
        <v>1083</v>
      </c>
      <c r="B167" s="16" t="s">
        <v>1084</v>
      </c>
      <c r="C167" s="16" t="s">
        <v>1085</v>
      </c>
      <c r="D167" s="16" t="s">
        <v>16</v>
      </c>
      <c r="E167" s="17" t="s">
        <v>1086</v>
      </c>
      <c r="F167" s="16" t="s">
        <v>953</v>
      </c>
      <c r="G167" s="16">
        <v>23.61</v>
      </c>
      <c r="H167" s="16"/>
      <c r="I167" s="16"/>
      <c r="J167" s="16" t="s">
        <v>1087</v>
      </c>
      <c r="K167" s="16" t="s">
        <v>1088</v>
      </c>
      <c r="L167" s="16"/>
      <c r="M167" s="16"/>
      <c r="N167" s="12"/>
      <c r="O167" s="12"/>
      <c r="P167" s="13">
        <f>IFERROR(__xludf.DUMMYFUNCTION("VALUE(SUBSTITUTE((INDEX(SPLIT(A167,"",""),1)),""."","","",1))"),50.288355)</f>
        <v>50.288355</v>
      </c>
      <c r="Q167" s="13">
        <f>IFERROR(__xludf.DUMMYFUNCTION("VALUE(SUBSTITUTE((INDEX(SPLIT(A167,"",""),2)),""."","","",1))"),127.564732)</f>
        <v>127.564732</v>
      </c>
      <c r="R167" s="14" t="b">
        <f t="shared" si="1"/>
        <v>0</v>
      </c>
      <c r="S167" s="14" t="str">
        <f t="shared" si="2"/>
        <v>50.288355,127.564732</v>
      </c>
      <c r="T167" s="12"/>
    </row>
    <row r="168">
      <c r="A168" s="7" t="s">
        <v>1089</v>
      </c>
      <c r="B168" s="8" t="s">
        <v>1090</v>
      </c>
      <c r="C168" s="8" t="s">
        <v>1091</v>
      </c>
      <c r="D168" s="8" t="s">
        <v>16</v>
      </c>
      <c r="E168" s="9" t="s">
        <v>1092</v>
      </c>
      <c r="F168" s="10" t="s">
        <v>953</v>
      </c>
      <c r="G168" s="8">
        <v>23.61</v>
      </c>
      <c r="H168" s="8"/>
      <c r="I168" s="10"/>
      <c r="J168" s="10" t="s">
        <v>1093</v>
      </c>
      <c r="K168" s="10" t="s">
        <v>1088</v>
      </c>
      <c r="L168" s="11" t="s">
        <v>1094</v>
      </c>
      <c r="M168" s="10"/>
      <c r="N168" s="12"/>
      <c r="O168" s="12"/>
      <c r="P168" s="13">
        <f>IFERROR(__xludf.DUMMYFUNCTION("VALUE(SUBSTITUTE((INDEX(SPLIT(A168,"",""),1)),""."","","",1))"),50.286191)</f>
        <v>50.286191</v>
      </c>
      <c r="Q168" s="13">
        <f>IFERROR(__xludf.DUMMYFUNCTION("VALUE(SUBSTITUTE((INDEX(SPLIT(A168,"",""),2)),""."","","",1))"),127.564992)</f>
        <v>127.564992</v>
      </c>
      <c r="R168" s="14" t="b">
        <f t="shared" si="1"/>
        <v>0</v>
      </c>
      <c r="S168" s="14" t="str">
        <f t="shared" si="2"/>
        <v>50.286191,127.564992</v>
      </c>
      <c r="T168" s="12"/>
    </row>
    <row r="169">
      <c r="A169" s="20" t="s">
        <v>1095</v>
      </c>
      <c r="B169" s="16" t="s">
        <v>1096</v>
      </c>
      <c r="C169" s="16" t="s">
        <v>1097</v>
      </c>
      <c r="D169" s="16" t="s">
        <v>16</v>
      </c>
      <c r="E169" s="21" t="s">
        <v>1098</v>
      </c>
      <c r="F169" s="22" t="s">
        <v>953</v>
      </c>
      <c r="G169" s="16">
        <v>23.61</v>
      </c>
      <c r="H169" s="16"/>
      <c r="I169" s="22"/>
      <c r="J169" s="22" t="s">
        <v>1099</v>
      </c>
      <c r="K169" s="22" t="s">
        <v>1100</v>
      </c>
      <c r="L169" s="23" t="s">
        <v>1101</v>
      </c>
      <c r="M169" s="22"/>
      <c r="N169" s="12"/>
      <c r="O169" s="12"/>
      <c r="P169" s="13">
        <f>IFERROR(__xludf.DUMMYFUNCTION("VALUE(SUBSTITUTE((INDEX(SPLIT(A169,"",""),1)),""."","","",1))"),50.340683)</f>
        <v>50.340683</v>
      </c>
      <c r="Q169" s="13">
        <f>IFERROR(__xludf.DUMMYFUNCTION("VALUE(SUBSTITUTE((INDEX(SPLIT(A169,"",""),2)),""."","","",1))"),127.587594)</f>
        <v>127.587594</v>
      </c>
      <c r="R169" s="14" t="b">
        <f t="shared" si="1"/>
        <v>0</v>
      </c>
      <c r="S169" s="14" t="str">
        <f t="shared" si="2"/>
        <v>50.340683,127.587594</v>
      </c>
      <c r="T169" s="12"/>
    </row>
    <row r="170">
      <c r="A170" s="18" t="s">
        <v>1102</v>
      </c>
      <c r="B170" s="8" t="s">
        <v>1103</v>
      </c>
      <c r="C170" s="8" t="s">
        <v>1104</v>
      </c>
      <c r="D170" s="8" t="s">
        <v>16</v>
      </c>
      <c r="E170" s="19" t="s">
        <v>1105</v>
      </c>
      <c r="F170" s="8" t="s">
        <v>953</v>
      </c>
      <c r="G170" s="8">
        <v>23.61</v>
      </c>
      <c r="H170" s="8"/>
      <c r="I170" s="8"/>
      <c r="J170" s="8" t="s">
        <v>1106</v>
      </c>
      <c r="K170" s="8" t="s">
        <v>1107</v>
      </c>
      <c r="L170" s="8"/>
      <c r="M170" s="24" t="s">
        <v>1108</v>
      </c>
      <c r="N170" s="12"/>
      <c r="O170" s="12"/>
      <c r="P170" s="13">
        <f>IFERROR(__xludf.DUMMYFUNCTION("VALUE(SUBSTITUTE((INDEX(SPLIT(A170,"",""),1)),""."","","",1))"),50.346288)</f>
        <v>50.346288</v>
      </c>
      <c r="Q170" s="13">
        <f>IFERROR(__xludf.DUMMYFUNCTION("VALUE(SUBSTITUTE((INDEX(SPLIT(A170,"",""),2)),""."","","",1))"),127.590639)</f>
        <v>127.590639</v>
      </c>
      <c r="R170" s="14" t="b">
        <f t="shared" si="1"/>
        <v>0</v>
      </c>
      <c r="S170" s="14" t="str">
        <f t="shared" si="2"/>
        <v>50.346288,127.590639</v>
      </c>
      <c r="T170" s="12"/>
    </row>
    <row r="171">
      <c r="A171" s="15" t="s">
        <v>1109</v>
      </c>
      <c r="B171" s="16" t="s">
        <v>1110</v>
      </c>
      <c r="C171" s="16" t="s">
        <v>1111</v>
      </c>
      <c r="D171" s="16" t="s">
        <v>16</v>
      </c>
      <c r="E171" s="17" t="s">
        <v>1112</v>
      </c>
      <c r="F171" s="16" t="s">
        <v>953</v>
      </c>
      <c r="G171" s="16">
        <v>23.61</v>
      </c>
      <c r="H171" s="16"/>
      <c r="I171" s="16"/>
      <c r="J171" s="16" t="s">
        <v>1113</v>
      </c>
      <c r="K171" s="16" t="s">
        <v>1114</v>
      </c>
      <c r="L171" s="16"/>
      <c r="M171" s="16"/>
      <c r="N171" s="12"/>
      <c r="O171" s="12"/>
      <c r="P171" s="13">
        <f>IFERROR(__xludf.DUMMYFUNCTION("VALUE(SUBSTITUTE((INDEX(SPLIT(A171,"",""),1)),""."","","",1))"),50.34266)</f>
        <v>50.34266</v>
      </c>
      <c r="Q171" s="13">
        <f>IFERROR(__xludf.DUMMYFUNCTION("VALUE(SUBSTITUTE((INDEX(SPLIT(A171,"",""),2)),""."","","",1))"),127.59337)</f>
        <v>127.59337</v>
      </c>
      <c r="R171" s="14" t="b">
        <f t="shared" si="1"/>
        <v>0</v>
      </c>
      <c r="S171" s="14" t="str">
        <f t="shared" si="2"/>
        <v>50.34266,127.59337</v>
      </c>
      <c r="T171" s="12"/>
    </row>
    <row r="172">
      <c r="A172" s="7" t="s">
        <v>1109</v>
      </c>
      <c r="B172" s="8" t="s">
        <v>1115</v>
      </c>
      <c r="C172" s="8" t="s">
        <v>1116</v>
      </c>
      <c r="D172" s="8" t="s">
        <v>16</v>
      </c>
      <c r="E172" s="9" t="s">
        <v>1117</v>
      </c>
      <c r="F172" s="10" t="s">
        <v>953</v>
      </c>
      <c r="G172" s="8">
        <v>23.61</v>
      </c>
      <c r="H172" s="8"/>
      <c r="I172" s="10"/>
      <c r="J172" s="10" t="s">
        <v>1118</v>
      </c>
      <c r="K172" s="10" t="s">
        <v>1119</v>
      </c>
      <c r="L172" s="11" t="s">
        <v>1120</v>
      </c>
      <c r="M172" s="11" t="s">
        <v>1121</v>
      </c>
      <c r="N172" s="12"/>
      <c r="O172" s="12"/>
      <c r="P172" s="13">
        <f>IFERROR(__xludf.DUMMYFUNCTION("VALUE(SUBSTITUTE((INDEX(SPLIT(A172,"",""),1)),""."","","",1))"),50.34266)</f>
        <v>50.34266</v>
      </c>
      <c r="Q172" s="13">
        <f>IFERROR(__xludf.DUMMYFUNCTION("VALUE(SUBSTITUTE((INDEX(SPLIT(A172,"",""),2)),""."","","",1))"),127.59337)</f>
        <v>127.59337</v>
      </c>
      <c r="R172" s="14" t="b">
        <f t="shared" si="1"/>
        <v>0</v>
      </c>
      <c r="S172" s="14" t="str">
        <f t="shared" si="2"/>
        <v>50.34266,127.59337</v>
      </c>
      <c r="T172" s="12"/>
    </row>
    <row r="173">
      <c r="A173" s="20" t="s">
        <v>1122</v>
      </c>
      <c r="B173" s="16" t="s">
        <v>1123</v>
      </c>
      <c r="C173" s="16" t="s">
        <v>1124</v>
      </c>
      <c r="D173" s="16" t="s">
        <v>16</v>
      </c>
      <c r="E173" s="21" t="s">
        <v>1125</v>
      </c>
      <c r="F173" s="22" t="s">
        <v>953</v>
      </c>
      <c r="G173" s="16">
        <v>23.61</v>
      </c>
      <c r="H173" s="16"/>
      <c r="I173" s="22"/>
      <c r="J173" s="22" t="s">
        <v>1126</v>
      </c>
      <c r="K173" s="22" t="s">
        <v>1127</v>
      </c>
      <c r="L173" s="23" t="s">
        <v>1128</v>
      </c>
      <c r="M173" s="22"/>
      <c r="N173" s="12"/>
      <c r="O173" s="12"/>
      <c r="P173" s="13">
        <f>IFERROR(__xludf.DUMMYFUNCTION("VALUE(SUBSTITUTE((INDEX(SPLIT(A173,"",""),1)),""."","","",1))"),50.494854)</f>
        <v>50.494854</v>
      </c>
      <c r="Q173" s="13">
        <f>IFERROR(__xludf.DUMMYFUNCTION("VALUE(SUBSTITUTE((INDEX(SPLIT(A173,"",""),2)),""."","","",1))"),127.652318)</f>
        <v>127.652318</v>
      </c>
      <c r="R173" s="14" t="b">
        <f t="shared" si="1"/>
        <v>0</v>
      </c>
      <c r="S173" s="14" t="str">
        <f t="shared" si="2"/>
        <v>50.494854,127.652318</v>
      </c>
      <c r="T173" s="12"/>
    </row>
    <row r="174">
      <c r="A174" s="7" t="s">
        <v>1129</v>
      </c>
      <c r="B174" s="8" t="s">
        <v>1130</v>
      </c>
      <c r="C174" s="8" t="s">
        <v>1131</v>
      </c>
      <c r="D174" s="8" t="s">
        <v>16</v>
      </c>
      <c r="E174" s="9" t="s">
        <v>1132</v>
      </c>
      <c r="F174" s="10" t="s">
        <v>953</v>
      </c>
      <c r="G174" s="8">
        <v>23.61</v>
      </c>
      <c r="H174" s="8"/>
      <c r="I174" s="10"/>
      <c r="J174" s="10" t="s">
        <v>1133</v>
      </c>
      <c r="K174" s="10" t="s">
        <v>1134</v>
      </c>
      <c r="L174" s="11" t="s">
        <v>1135</v>
      </c>
      <c r="M174" s="10"/>
      <c r="N174" s="12"/>
      <c r="O174" s="12"/>
      <c r="P174" s="13">
        <f>IFERROR(__xludf.DUMMYFUNCTION("VALUE(SUBSTITUTE((INDEX(SPLIT(A174,"",""),1)),""."","","",1))"),50.096632)</f>
        <v>50.096632</v>
      </c>
      <c r="Q174" s="13">
        <f>IFERROR(__xludf.DUMMYFUNCTION("VALUE(SUBSTITUTE((INDEX(SPLIT(A174,"",""),2)),""."","","",1))"),128.061536)</f>
        <v>128.061536</v>
      </c>
      <c r="R174" s="14" t="b">
        <f t="shared" si="1"/>
        <v>0</v>
      </c>
      <c r="S174" s="14" t="str">
        <f t="shared" si="2"/>
        <v>50.096632,128.061536</v>
      </c>
      <c r="T174" s="12"/>
    </row>
    <row r="175">
      <c r="A175" s="15" t="s">
        <v>1136</v>
      </c>
      <c r="B175" s="16" t="s">
        <v>1137</v>
      </c>
      <c r="C175" s="16" t="s">
        <v>1138</v>
      </c>
      <c r="D175" s="16" t="s">
        <v>16</v>
      </c>
      <c r="E175" s="17" t="s">
        <v>1139</v>
      </c>
      <c r="F175" s="16" t="s">
        <v>953</v>
      </c>
      <c r="G175" s="16">
        <v>23.61</v>
      </c>
      <c r="H175" s="16"/>
      <c r="I175" s="16"/>
      <c r="J175" s="16" t="s">
        <v>1140</v>
      </c>
      <c r="K175" s="16" t="s">
        <v>1141</v>
      </c>
      <c r="L175" s="16"/>
      <c r="M175" s="16"/>
      <c r="N175" s="12"/>
      <c r="O175" s="12"/>
      <c r="P175" s="13">
        <f>IFERROR(__xludf.DUMMYFUNCTION("VALUE(SUBSTITUTE((INDEX(SPLIT(A175,"",""),1)),""."","","",1))"),51.375889)</f>
        <v>51.375889</v>
      </c>
      <c r="Q175" s="13">
        <f>IFERROR(__xludf.DUMMYFUNCTION("VALUE(SUBSTITUTE((INDEX(SPLIT(A175,"",""),2)),""."","","",1))"),128.134156)</f>
        <v>128.134156</v>
      </c>
      <c r="R175" s="14" t="b">
        <f t="shared" si="1"/>
        <v>0</v>
      </c>
      <c r="S175" s="14" t="str">
        <f t="shared" si="2"/>
        <v>51.375889,128.134156</v>
      </c>
      <c r="T175" s="12"/>
    </row>
    <row r="176">
      <c r="A176" s="18" t="s">
        <v>1142</v>
      </c>
      <c r="B176" s="8" t="s">
        <v>1143</v>
      </c>
      <c r="C176" s="8" t="s">
        <v>1144</v>
      </c>
      <c r="D176" s="8" t="s">
        <v>16</v>
      </c>
      <c r="E176" s="19" t="s">
        <v>1145</v>
      </c>
      <c r="F176" s="8" t="s">
        <v>953</v>
      </c>
      <c r="G176" s="8">
        <v>23.61</v>
      </c>
      <c r="H176" s="8"/>
      <c r="I176" s="8"/>
      <c r="J176" s="8" t="s">
        <v>1146</v>
      </c>
      <c r="K176" s="8" t="s">
        <v>1147</v>
      </c>
      <c r="L176" s="8"/>
      <c r="M176" s="24" t="s">
        <v>1148</v>
      </c>
      <c r="N176" s="12"/>
      <c r="O176" s="12"/>
      <c r="P176" s="13">
        <f>IFERROR(__xludf.DUMMYFUNCTION("VALUE(SUBSTITUTE((INDEX(SPLIT(A176,"",""),1)),""."","","",1))"),50.910026)</f>
        <v>50.910026</v>
      </c>
      <c r="Q176" s="13">
        <f>IFERROR(__xludf.DUMMYFUNCTION("VALUE(SUBSTITUTE((INDEX(SPLIT(A176,"",""),2)),""."","","",1))"),128.494506)</f>
        <v>128.494506</v>
      </c>
      <c r="R176" s="14" t="b">
        <f t="shared" si="1"/>
        <v>0</v>
      </c>
      <c r="S176" s="14" t="str">
        <f t="shared" si="2"/>
        <v>50.910026,128.494506</v>
      </c>
      <c r="T176" s="12"/>
    </row>
    <row r="177">
      <c r="A177" s="20" t="s">
        <v>1149</v>
      </c>
      <c r="B177" s="16" t="s">
        <v>1150</v>
      </c>
      <c r="C177" s="16" t="s">
        <v>1151</v>
      </c>
      <c r="D177" s="16" t="s">
        <v>16</v>
      </c>
      <c r="E177" s="21" t="s">
        <v>1152</v>
      </c>
      <c r="F177" s="22" t="s">
        <v>911</v>
      </c>
      <c r="G177" s="16">
        <v>23.61</v>
      </c>
      <c r="H177" s="16"/>
      <c r="I177" s="22"/>
      <c r="J177" s="22" t="s">
        <v>1153</v>
      </c>
      <c r="K177" s="22" t="s">
        <v>1154</v>
      </c>
      <c r="L177" s="23" t="s">
        <v>1155</v>
      </c>
      <c r="M177" s="22"/>
      <c r="N177" s="12"/>
      <c r="O177" s="12"/>
      <c r="P177" s="13">
        <f>IFERROR(__xludf.DUMMYFUNCTION("VALUE(SUBSTITUTE((INDEX(SPLIT(A177,"",""),1)),""."","","",1))"),61.398834)</f>
        <v>61.398834</v>
      </c>
      <c r="Q177" s="13">
        <f>IFERROR(__xludf.DUMMYFUNCTION("VALUE(SUBSTITUTE((INDEX(SPLIT(A177,"",""),2)),""."","","",1))"),128.945416)</f>
        <v>128.945416</v>
      </c>
      <c r="R177" s="14" t="b">
        <f t="shared" si="1"/>
        <v>0</v>
      </c>
      <c r="S177" s="14" t="str">
        <f t="shared" si="2"/>
        <v>61.398834,128.945416</v>
      </c>
      <c r="T177" s="12"/>
    </row>
    <row r="178">
      <c r="A178" s="7" t="s">
        <v>1156</v>
      </c>
      <c r="B178" s="8" t="s">
        <v>1157</v>
      </c>
      <c r="C178" s="8" t="s">
        <v>1158</v>
      </c>
      <c r="D178" s="8" t="s">
        <v>16</v>
      </c>
      <c r="E178" s="9" t="s">
        <v>1159</v>
      </c>
      <c r="F178" s="10" t="s">
        <v>911</v>
      </c>
      <c r="G178" s="8">
        <v>23.61</v>
      </c>
      <c r="H178" s="8"/>
      <c r="I178" s="10"/>
      <c r="J178" s="10" t="s">
        <v>1160</v>
      </c>
      <c r="K178" s="10" t="s">
        <v>1161</v>
      </c>
      <c r="L178" s="11" t="s">
        <v>1162</v>
      </c>
      <c r="M178" s="10"/>
      <c r="N178" s="12"/>
      <c r="O178" s="12"/>
      <c r="P178" s="13">
        <f>IFERROR(__xludf.DUMMYFUNCTION("VALUE(SUBSTITUTE((INDEX(SPLIT(A178,"",""),1)),""."","","",1))"),61.399859)</f>
        <v>61.399859</v>
      </c>
      <c r="Q178" s="13">
        <f>IFERROR(__xludf.DUMMYFUNCTION("VALUE(SUBSTITUTE((INDEX(SPLIT(A178,"",""),2)),""."","","",1))"),128.952261)</f>
        <v>128.952261</v>
      </c>
      <c r="R178" s="14" t="b">
        <f t="shared" si="1"/>
        <v>0</v>
      </c>
      <c r="S178" s="14" t="str">
        <f t="shared" si="2"/>
        <v>61.399859,128.952261</v>
      </c>
      <c r="T178" s="12"/>
    </row>
    <row r="179">
      <c r="A179" s="20" t="s">
        <v>1156</v>
      </c>
      <c r="B179" s="16" t="s">
        <v>1163</v>
      </c>
      <c r="C179" s="16" t="s">
        <v>1164</v>
      </c>
      <c r="D179" s="16" t="s">
        <v>16</v>
      </c>
      <c r="E179" s="21" t="s">
        <v>1165</v>
      </c>
      <c r="F179" s="22" t="s">
        <v>911</v>
      </c>
      <c r="G179" s="16">
        <v>23.61</v>
      </c>
      <c r="H179" s="16"/>
      <c r="I179" s="22"/>
      <c r="J179" s="22" t="s">
        <v>1160</v>
      </c>
      <c r="K179" s="22" t="s">
        <v>1166</v>
      </c>
      <c r="L179" s="23" t="s">
        <v>1167</v>
      </c>
      <c r="M179" s="22"/>
      <c r="N179" s="12"/>
      <c r="O179" s="12"/>
      <c r="P179" s="13">
        <f>IFERROR(__xludf.DUMMYFUNCTION("VALUE(SUBSTITUTE((INDEX(SPLIT(A179,"",""),1)),""."","","",1))"),61.399859)</f>
        <v>61.399859</v>
      </c>
      <c r="Q179" s="13">
        <f>IFERROR(__xludf.DUMMYFUNCTION("VALUE(SUBSTITUTE((INDEX(SPLIT(A179,"",""),2)),""."","","",1))"),128.952261)</f>
        <v>128.952261</v>
      </c>
      <c r="R179" s="14" t="b">
        <f t="shared" si="1"/>
        <v>0</v>
      </c>
      <c r="S179" s="14" t="str">
        <f t="shared" si="2"/>
        <v>61.399859,128.952261</v>
      </c>
      <c r="T179" s="12"/>
    </row>
    <row r="180">
      <c r="A180" s="7" t="s">
        <v>1156</v>
      </c>
      <c r="B180" s="8" t="s">
        <v>1168</v>
      </c>
      <c r="C180" s="8" t="s">
        <v>1169</v>
      </c>
      <c r="D180" s="8" t="s">
        <v>16</v>
      </c>
      <c r="E180" s="9" t="s">
        <v>1170</v>
      </c>
      <c r="F180" s="10" t="s">
        <v>911</v>
      </c>
      <c r="G180" s="8">
        <v>23.61</v>
      </c>
      <c r="H180" s="8"/>
      <c r="I180" s="10"/>
      <c r="J180" s="10" t="s">
        <v>1171</v>
      </c>
      <c r="K180" s="10" t="s">
        <v>1172</v>
      </c>
      <c r="L180" s="11" t="s">
        <v>1173</v>
      </c>
      <c r="M180" s="10"/>
      <c r="N180" s="12"/>
      <c r="O180" s="12"/>
      <c r="P180" s="13">
        <f>IFERROR(__xludf.DUMMYFUNCTION("VALUE(SUBSTITUTE((INDEX(SPLIT(A180,"",""),1)),""."","","",1))"),61.399859)</f>
        <v>61.399859</v>
      </c>
      <c r="Q180" s="13">
        <f>IFERROR(__xludf.DUMMYFUNCTION("VALUE(SUBSTITUTE((INDEX(SPLIT(A180,"",""),2)),""."","","",1))"),128.952261)</f>
        <v>128.952261</v>
      </c>
      <c r="R180" s="14" t="b">
        <f t="shared" si="1"/>
        <v>0</v>
      </c>
      <c r="S180" s="14" t="str">
        <f t="shared" si="2"/>
        <v>61.399859,128.952261</v>
      </c>
      <c r="T180" s="12"/>
    </row>
    <row r="181">
      <c r="A181" s="15" t="s">
        <v>1174</v>
      </c>
      <c r="B181" s="16" t="s">
        <v>1175</v>
      </c>
      <c r="C181" s="16" t="s">
        <v>1176</v>
      </c>
      <c r="D181" s="16" t="s">
        <v>16</v>
      </c>
      <c r="E181" s="17" t="s">
        <v>1177</v>
      </c>
      <c r="F181" s="16" t="s">
        <v>911</v>
      </c>
      <c r="G181" s="16">
        <v>23.61</v>
      </c>
      <c r="H181" s="16"/>
      <c r="I181" s="16"/>
      <c r="J181" s="16" t="s">
        <v>1178</v>
      </c>
      <c r="K181" s="16" t="s">
        <v>1179</v>
      </c>
      <c r="L181" s="16"/>
      <c r="M181" s="25" t="s">
        <v>1180</v>
      </c>
      <c r="N181" s="12"/>
      <c r="O181" s="12"/>
      <c r="P181" s="13">
        <f>IFERROR(__xludf.DUMMYFUNCTION("VALUE(SUBSTITUTE((INDEX(SPLIT(A181,"",""),1)),""."","","",1))"),62.032634)</f>
        <v>62.032634</v>
      </c>
      <c r="Q181" s="13">
        <f>IFERROR(__xludf.DUMMYFUNCTION("VALUE(SUBSTITUTE((INDEX(SPLIT(A181,"",""),2)),""."","","",1))"),129.641116)</f>
        <v>129.641116</v>
      </c>
      <c r="R181" s="14" t="b">
        <f t="shared" si="1"/>
        <v>0</v>
      </c>
      <c r="S181" s="14" t="str">
        <f t="shared" si="2"/>
        <v>62.032634,129.641116</v>
      </c>
      <c r="T181" s="12"/>
    </row>
    <row r="182">
      <c r="A182" s="18" t="s">
        <v>1181</v>
      </c>
      <c r="B182" s="8" t="s">
        <v>1182</v>
      </c>
      <c r="C182" s="8" t="s">
        <v>1183</v>
      </c>
      <c r="D182" s="8" t="s">
        <v>16</v>
      </c>
      <c r="E182" s="19" t="s">
        <v>1184</v>
      </c>
      <c r="F182" s="8" t="s">
        <v>911</v>
      </c>
      <c r="G182" s="8">
        <v>23.61</v>
      </c>
      <c r="H182" s="8"/>
      <c r="I182" s="8"/>
      <c r="J182" s="8" t="s">
        <v>1185</v>
      </c>
      <c r="K182" s="8" t="s">
        <v>1186</v>
      </c>
      <c r="L182" s="8"/>
      <c r="M182" s="8"/>
      <c r="N182" s="12"/>
      <c r="O182" s="12"/>
      <c r="P182" s="13">
        <f>IFERROR(__xludf.DUMMYFUNCTION("VALUE(SUBSTITUTE((INDEX(SPLIT(A182,"",""),1)),""."","","",1))"),61.974233)</f>
        <v>61.974233</v>
      </c>
      <c r="Q182" s="13">
        <f>IFERROR(__xludf.DUMMYFUNCTION("VALUE(SUBSTITUTE((INDEX(SPLIT(A182,"",""),2)),""."","","",1))"),129.641888)</f>
        <v>129.641888</v>
      </c>
      <c r="R182" s="14" t="b">
        <f t="shared" si="1"/>
        <v>0</v>
      </c>
      <c r="S182" s="14" t="str">
        <f t="shared" si="2"/>
        <v>61.974233,129.641888</v>
      </c>
      <c r="T182" s="12"/>
    </row>
    <row r="183">
      <c r="A183" s="15" t="s">
        <v>1187</v>
      </c>
      <c r="B183" s="16" t="s">
        <v>1188</v>
      </c>
      <c r="C183" s="16" t="s">
        <v>1189</v>
      </c>
      <c r="D183" s="16" t="s">
        <v>16</v>
      </c>
      <c r="E183" s="17" t="s">
        <v>1190</v>
      </c>
      <c r="F183" s="16" t="s">
        <v>911</v>
      </c>
      <c r="G183" s="16">
        <v>23.61</v>
      </c>
      <c r="H183" s="16"/>
      <c r="I183" s="16"/>
      <c r="J183" s="16" t="s">
        <v>1191</v>
      </c>
      <c r="K183" s="16" t="s">
        <v>1192</v>
      </c>
      <c r="L183" s="16"/>
      <c r="M183" s="25" t="s">
        <v>1193</v>
      </c>
      <c r="N183" s="12"/>
      <c r="O183" s="12"/>
      <c r="P183" s="13">
        <f>IFERROR(__xludf.DUMMYFUNCTION("VALUE(SUBSTITUTE((INDEX(SPLIT(A183,"",""),1)),""."","","",1))"),62.028056)</f>
        <v>62.028056</v>
      </c>
      <c r="Q183" s="13">
        <f>IFERROR(__xludf.DUMMYFUNCTION("VALUE(SUBSTITUTE((INDEX(SPLIT(A183,"",""),2)),""."","","",1))"),129.647629)</f>
        <v>129.647629</v>
      </c>
      <c r="R183" s="14" t="b">
        <f t="shared" si="1"/>
        <v>0</v>
      </c>
      <c r="S183" s="14" t="str">
        <f t="shared" si="2"/>
        <v>62.028056,129.647629</v>
      </c>
      <c r="T183" s="12"/>
    </row>
    <row r="184">
      <c r="A184" s="7" t="s">
        <v>1194</v>
      </c>
      <c r="B184" s="8" t="s">
        <v>1195</v>
      </c>
      <c r="C184" s="8" t="s">
        <v>1196</v>
      </c>
      <c r="D184" s="8" t="s">
        <v>16</v>
      </c>
      <c r="E184" s="9" t="s">
        <v>1197</v>
      </c>
      <c r="F184" s="10" t="s">
        <v>911</v>
      </c>
      <c r="G184" s="8">
        <v>23.61</v>
      </c>
      <c r="H184" s="8"/>
      <c r="I184" s="10"/>
      <c r="J184" s="10" t="s">
        <v>1198</v>
      </c>
      <c r="K184" s="10" t="s">
        <v>1199</v>
      </c>
      <c r="L184" s="11" t="s">
        <v>1200</v>
      </c>
      <c r="M184" s="11" t="s">
        <v>1201</v>
      </c>
      <c r="N184" s="12"/>
      <c r="O184" s="12"/>
      <c r="P184" s="13">
        <f>IFERROR(__xludf.DUMMYFUNCTION("VALUE(SUBSTITUTE((INDEX(SPLIT(A184,"",""),1)),""."","","",1))"),62.03182)</f>
        <v>62.03182</v>
      </c>
      <c r="Q184" s="13">
        <f>IFERROR(__xludf.DUMMYFUNCTION("VALUE(SUBSTITUTE((INDEX(SPLIT(A184,"",""),2)),""."","","",1))"),129.656729)</f>
        <v>129.656729</v>
      </c>
      <c r="R184" s="14" t="b">
        <f t="shared" si="1"/>
        <v>0</v>
      </c>
      <c r="S184" s="14" t="str">
        <f t="shared" si="2"/>
        <v>62.03182,129.656729</v>
      </c>
      <c r="T184" s="12"/>
    </row>
    <row r="185">
      <c r="A185" s="20" t="s">
        <v>1202</v>
      </c>
      <c r="B185" s="16" t="s">
        <v>1203</v>
      </c>
      <c r="C185" s="16" t="s">
        <v>1204</v>
      </c>
      <c r="D185" s="16" t="s">
        <v>16</v>
      </c>
      <c r="E185" s="21" t="s">
        <v>1205</v>
      </c>
      <c r="F185" s="22" t="s">
        <v>911</v>
      </c>
      <c r="G185" s="16">
        <v>23.61</v>
      </c>
      <c r="H185" s="16"/>
      <c r="I185" s="22"/>
      <c r="J185" s="22" t="s">
        <v>1206</v>
      </c>
      <c r="K185" s="22" t="s">
        <v>1207</v>
      </c>
      <c r="L185" s="23" t="s">
        <v>1208</v>
      </c>
      <c r="M185" s="22"/>
      <c r="N185" s="12"/>
      <c r="O185" s="12"/>
      <c r="P185" s="13">
        <f>IFERROR(__xludf.DUMMYFUNCTION("VALUE(SUBSTITUTE((INDEX(SPLIT(A185,"",""),1)),""."","","",1))"),62.045457)</f>
        <v>62.045457</v>
      </c>
      <c r="Q185" s="13">
        <f>IFERROR(__xludf.DUMMYFUNCTION("VALUE(SUBSTITUTE((INDEX(SPLIT(A185,"",""),2)),""."","","",1))"),129.667032)</f>
        <v>129.667032</v>
      </c>
      <c r="R185" s="14" t="b">
        <f t="shared" si="1"/>
        <v>0</v>
      </c>
      <c r="S185" s="14" t="str">
        <f t="shared" si="2"/>
        <v>62.045457,129.667032</v>
      </c>
      <c r="T185" s="12"/>
    </row>
    <row r="186">
      <c r="A186" s="18" t="s">
        <v>1209</v>
      </c>
      <c r="B186" s="8" t="s">
        <v>1210</v>
      </c>
      <c r="C186" s="8" t="s">
        <v>1211</v>
      </c>
      <c r="D186" s="8" t="s">
        <v>16</v>
      </c>
      <c r="E186" s="19" t="s">
        <v>1212</v>
      </c>
      <c r="F186" s="8" t="s">
        <v>953</v>
      </c>
      <c r="G186" s="8">
        <v>23.61</v>
      </c>
      <c r="H186" s="8"/>
      <c r="I186" s="8"/>
      <c r="J186" s="8" t="s">
        <v>1213</v>
      </c>
      <c r="K186" s="8" t="s">
        <v>1214</v>
      </c>
      <c r="L186" s="8"/>
      <c r="M186" s="8"/>
      <c r="N186" s="12"/>
      <c r="O186" s="12"/>
      <c r="P186" s="13">
        <f>IFERROR(__xludf.DUMMYFUNCTION("VALUE(SUBSTITUTE((INDEX(SPLIT(A186,"",""),1)),""."","","",1))"),49.742924)</f>
        <v>49.742924</v>
      </c>
      <c r="Q186" s="13">
        <f>IFERROR(__xludf.DUMMYFUNCTION("VALUE(SUBSTITUTE((INDEX(SPLIT(A186,"",""),2)),""."","","",1))"),129.676033)</f>
        <v>129.676033</v>
      </c>
      <c r="R186" s="14" t="b">
        <f t="shared" si="1"/>
        <v>0</v>
      </c>
      <c r="S186" s="14" t="str">
        <f t="shared" si="2"/>
        <v>49.742924,129.676033</v>
      </c>
      <c r="T186" s="12"/>
    </row>
    <row r="187">
      <c r="A187" s="20" t="s">
        <v>1215</v>
      </c>
      <c r="B187" s="16" t="s">
        <v>1216</v>
      </c>
      <c r="C187" s="16" t="s">
        <v>1217</v>
      </c>
      <c r="D187" s="16" t="s">
        <v>16</v>
      </c>
      <c r="E187" s="21" t="s">
        <v>1218</v>
      </c>
      <c r="F187" s="22" t="s">
        <v>911</v>
      </c>
      <c r="G187" s="16">
        <v>23.61</v>
      </c>
      <c r="H187" s="16"/>
      <c r="I187" s="22"/>
      <c r="J187" s="22" t="s">
        <v>1219</v>
      </c>
      <c r="K187" s="22" t="s">
        <v>1220</v>
      </c>
      <c r="L187" s="23" t="s">
        <v>1221</v>
      </c>
      <c r="M187" s="23" t="s">
        <v>1222</v>
      </c>
      <c r="N187" s="12"/>
      <c r="O187" s="12"/>
      <c r="P187" s="13">
        <f>IFERROR(__xludf.DUMMYFUNCTION("VALUE(SUBSTITUTE((INDEX(SPLIT(A187,"",""),1)),""."","","",1))"),62.004691)</f>
        <v>62.004691</v>
      </c>
      <c r="Q187" s="13">
        <f>IFERROR(__xludf.DUMMYFUNCTION("VALUE(SUBSTITUTE((INDEX(SPLIT(A187,"",""),2)),""."","","",1))"),129.67703)</f>
        <v>129.67703</v>
      </c>
      <c r="R187" s="14" t="b">
        <f t="shared" si="1"/>
        <v>0</v>
      </c>
      <c r="S187" s="14" t="str">
        <f t="shared" si="2"/>
        <v>62.004691,129.67703</v>
      </c>
      <c r="T187" s="12"/>
    </row>
    <row r="188">
      <c r="A188" s="7" t="s">
        <v>1223</v>
      </c>
      <c r="B188" s="8" t="s">
        <v>1224</v>
      </c>
      <c r="C188" s="8" t="s">
        <v>1225</v>
      </c>
      <c r="D188" s="8" t="s">
        <v>16</v>
      </c>
      <c r="E188" s="9" t="s">
        <v>1226</v>
      </c>
      <c r="F188" s="10" t="s">
        <v>911</v>
      </c>
      <c r="G188" s="8">
        <v>23.61</v>
      </c>
      <c r="H188" s="8"/>
      <c r="I188" s="10"/>
      <c r="J188" s="10" t="s">
        <v>1227</v>
      </c>
      <c r="K188" s="10" t="s">
        <v>1228</v>
      </c>
      <c r="L188" s="11" t="s">
        <v>1229</v>
      </c>
      <c r="M188" s="10"/>
      <c r="N188" s="12"/>
      <c r="O188" s="12"/>
      <c r="P188" s="13">
        <f>IFERROR(__xludf.DUMMYFUNCTION("VALUE(SUBSTITUTE((INDEX(SPLIT(A188,"",""),1)),""."","","",1))"),62.014614)</f>
        <v>62.014614</v>
      </c>
      <c r="Q188" s="13">
        <f>IFERROR(__xludf.DUMMYFUNCTION("VALUE(SUBSTITUTE((INDEX(SPLIT(A188,"",""),2)),""."","","",1))"),129.679887)</f>
        <v>129.679887</v>
      </c>
      <c r="R188" s="14" t="b">
        <f t="shared" si="1"/>
        <v>0</v>
      </c>
      <c r="S188" s="14" t="str">
        <f t="shared" si="2"/>
        <v>62.014614,129.679887</v>
      </c>
      <c r="T188" s="12"/>
    </row>
    <row r="189">
      <c r="A189" s="15" t="s">
        <v>1230</v>
      </c>
      <c r="B189" s="16" t="s">
        <v>1231</v>
      </c>
      <c r="C189" s="16" t="s">
        <v>1232</v>
      </c>
      <c r="D189" s="16" t="s">
        <v>16</v>
      </c>
      <c r="E189" s="17" t="s">
        <v>1233</v>
      </c>
      <c r="F189" s="16" t="s">
        <v>911</v>
      </c>
      <c r="G189" s="16">
        <v>23.61</v>
      </c>
      <c r="H189" s="16"/>
      <c r="I189" s="16"/>
      <c r="J189" s="16" t="s">
        <v>1234</v>
      </c>
      <c r="K189" s="16" t="s">
        <v>1235</v>
      </c>
      <c r="L189" s="16"/>
      <c r="M189" s="25" t="s">
        <v>1236</v>
      </c>
      <c r="N189" s="12"/>
      <c r="O189" s="12"/>
      <c r="P189" s="13">
        <f>IFERROR(__xludf.DUMMYFUNCTION("VALUE(SUBSTITUTE((INDEX(SPLIT(A189,"",""),1)),""."","","",1))"),62.692154)</f>
        <v>62.692154</v>
      </c>
      <c r="Q189" s="13">
        <f>IFERROR(__xludf.DUMMYFUNCTION("VALUE(SUBSTITUTE((INDEX(SPLIT(A189,"",""),2)),""."","","",1))"),129.685205)</f>
        <v>129.685205</v>
      </c>
      <c r="R189" s="14" t="b">
        <f t="shared" si="1"/>
        <v>0</v>
      </c>
      <c r="S189" s="14" t="str">
        <f t="shared" si="2"/>
        <v>62.692154,129.685205</v>
      </c>
      <c r="T189" s="12"/>
    </row>
    <row r="190">
      <c r="A190" s="7" t="s">
        <v>1237</v>
      </c>
      <c r="B190" s="8" t="s">
        <v>1238</v>
      </c>
      <c r="C190" s="8" t="s">
        <v>1239</v>
      </c>
      <c r="D190" s="8" t="s">
        <v>16</v>
      </c>
      <c r="E190" s="9" t="s">
        <v>1240</v>
      </c>
      <c r="F190" s="10" t="s">
        <v>911</v>
      </c>
      <c r="G190" s="8">
        <v>23.61</v>
      </c>
      <c r="H190" s="8"/>
      <c r="I190" s="10"/>
      <c r="J190" s="10" t="s">
        <v>1241</v>
      </c>
      <c r="K190" s="10" t="s">
        <v>1242</v>
      </c>
      <c r="L190" s="11" t="s">
        <v>1243</v>
      </c>
      <c r="M190" s="11" t="s">
        <v>1244</v>
      </c>
      <c r="N190" s="12"/>
      <c r="O190" s="12"/>
      <c r="P190" s="13">
        <f>IFERROR(__xludf.DUMMYFUNCTION("VALUE(SUBSTITUTE((INDEX(SPLIT(A190,"",""),1)),""."","","",1))"),62.003002)</f>
        <v>62.003002</v>
      </c>
      <c r="Q190" s="13">
        <f>IFERROR(__xludf.DUMMYFUNCTION("VALUE(SUBSTITUTE((INDEX(SPLIT(A190,"",""),2)),""."","","",1))"),129.701015)</f>
        <v>129.701015</v>
      </c>
      <c r="R190" s="14" t="b">
        <f t="shared" si="1"/>
        <v>0</v>
      </c>
      <c r="S190" s="14" t="str">
        <f t="shared" si="2"/>
        <v>62.003002,129.701015</v>
      </c>
      <c r="T190" s="12"/>
    </row>
    <row r="191">
      <c r="A191" s="20" t="s">
        <v>1245</v>
      </c>
      <c r="B191" s="16" t="s">
        <v>1246</v>
      </c>
      <c r="C191" s="16" t="s">
        <v>1247</v>
      </c>
      <c r="D191" s="16" t="s">
        <v>16</v>
      </c>
      <c r="E191" s="21" t="s">
        <v>1248</v>
      </c>
      <c r="F191" s="22" t="s">
        <v>911</v>
      </c>
      <c r="G191" s="16">
        <v>23.61</v>
      </c>
      <c r="H191" s="16"/>
      <c r="I191" s="22"/>
      <c r="J191" s="22" t="s">
        <v>1249</v>
      </c>
      <c r="K191" s="22" t="s">
        <v>1250</v>
      </c>
      <c r="L191" s="23" t="s">
        <v>1251</v>
      </c>
      <c r="M191" s="22"/>
      <c r="N191" s="12"/>
      <c r="O191" s="12"/>
      <c r="P191" s="13">
        <f>IFERROR(__xludf.DUMMYFUNCTION("VALUE(SUBSTITUTE((INDEX(SPLIT(A191,"",""),1)),""."","","",1))"),62.059527)</f>
        <v>62.059527</v>
      </c>
      <c r="Q191" s="13">
        <f>IFERROR(__xludf.DUMMYFUNCTION("VALUE(SUBSTITUTE((INDEX(SPLIT(A191,"",""),2)),""."","","",1))"),129.704402)</f>
        <v>129.704402</v>
      </c>
      <c r="R191" s="14" t="b">
        <f t="shared" si="1"/>
        <v>0</v>
      </c>
      <c r="S191" s="14" t="str">
        <f t="shared" si="2"/>
        <v>62.059527,129.704402</v>
      </c>
      <c r="T191" s="12"/>
    </row>
    <row r="192">
      <c r="A192" s="18" t="s">
        <v>1252</v>
      </c>
      <c r="B192" s="8" t="s">
        <v>1253</v>
      </c>
      <c r="C192" s="8" t="s">
        <v>1254</v>
      </c>
      <c r="D192" s="8" t="s">
        <v>16</v>
      </c>
      <c r="E192" s="19" t="s">
        <v>1255</v>
      </c>
      <c r="F192" s="8" t="s">
        <v>911</v>
      </c>
      <c r="G192" s="8">
        <v>23.61</v>
      </c>
      <c r="H192" s="8"/>
      <c r="I192" s="8"/>
      <c r="J192" s="8" t="s">
        <v>1256</v>
      </c>
      <c r="K192" s="8" t="s">
        <v>1257</v>
      </c>
      <c r="L192" s="8"/>
      <c r="M192" s="8"/>
      <c r="N192" s="12"/>
      <c r="O192" s="12"/>
      <c r="P192" s="13">
        <f>IFERROR(__xludf.DUMMYFUNCTION("VALUE(SUBSTITUTE((INDEX(SPLIT(A192,"",""),1)),""."","","",1))"),62.023655)</f>
        <v>62.023655</v>
      </c>
      <c r="Q192" s="13">
        <f>IFERROR(__xludf.DUMMYFUNCTION("VALUE(SUBSTITUTE((INDEX(SPLIT(A192,"",""),2)),""."","","",1))"),129.707789)</f>
        <v>129.707789</v>
      </c>
      <c r="R192" s="14" t="b">
        <f t="shared" si="1"/>
        <v>0</v>
      </c>
      <c r="S192" s="14" t="str">
        <f t="shared" si="2"/>
        <v>62.023655,129.707789</v>
      </c>
      <c r="T192" s="12"/>
    </row>
    <row r="193">
      <c r="A193" s="20" t="s">
        <v>1258</v>
      </c>
      <c r="B193" s="16" t="s">
        <v>1259</v>
      </c>
      <c r="C193" s="16" t="s">
        <v>1260</v>
      </c>
      <c r="D193" s="16" t="s">
        <v>16</v>
      </c>
      <c r="E193" s="21" t="s">
        <v>1261</v>
      </c>
      <c r="F193" s="22" t="s">
        <v>911</v>
      </c>
      <c r="G193" s="16">
        <v>23.61</v>
      </c>
      <c r="H193" s="16"/>
      <c r="I193" s="22"/>
      <c r="J193" s="22" t="s">
        <v>1262</v>
      </c>
      <c r="K193" s="22" t="s">
        <v>1263</v>
      </c>
      <c r="L193" s="23" t="s">
        <v>1264</v>
      </c>
      <c r="M193" s="22"/>
      <c r="N193" s="12"/>
      <c r="O193" s="12"/>
      <c r="P193" s="13">
        <f>IFERROR(__xludf.DUMMYFUNCTION("VALUE(SUBSTITUTE((INDEX(SPLIT(A193,"",""),1)),""."","","",1))"),62.023874)</f>
        <v>62.023874</v>
      </c>
      <c r="Q193" s="13">
        <f>IFERROR(__xludf.DUMMYFUNCTION("VALUE(SUBSTITUTE((INDEX(SPLIT(A193,"",""),2)),""."","","",1))"),129.7091)</f>
        <v>129.7091</v>
      </c>
      <c r="R193" s="14" t="b">
        <f t="shared" si="1"/>
        <v>0</v>
      </c>
      <c r="S193" s="14" t="str">
        <f t="shared" si="2"/>
        <v>62.023874,129.7091</v>
      </c>
      <c r="T193" s="12"/>
    </row>
    <row r="194">
      <c r="A194" s="7" t="s">
        <v>1265</v>
      </c>
      <c r="B194" s="8" t="s">
        <v>1266</v>
      </c>
      <c r="C194" s="8" t="s">
        <v>1267</v>
      </c>
      <c r="D194" s="8" t="s">
        <v>16</v>
      </c>
      <c r="E194" s="9" t="s">
        <v>1268</v>
      </c>
      <c r="F194" s="10" t="s">
        <v>911</v>
      </c>
      <c r="G194" s="8">
        <v>23.61</v>
      </c>
      <c r="H194" s="8"/>
      <c r="I194" s="10"/>
      <c r="J194" s="10" t="s">
        <v>1269</v>
      </c>
      <c r="K194" s="10" t="s">
        <v>1270</v>
      </c>
      <c r="L194" s="11" t="s">
        <v>1271</v>
      </c>
      <c r="M194" s="10"/>
      <c r="N194" s="12"/>
      <c r="O194" s="12"/>
      <c r="P194" s="13">
        <f>IFERROR(__xludf.DUMMYFUNCTION("VALUE(SUBSTITUTE((INDEX(SPLIT(A194,"",""),1)),""."","","",1))"),62.021781)</f>
        <v>62.021781</v>
      </c>
      <c r="Q194" s="13">
        <f>IFERROR(__xludf.DUMMYFUNCTION("VALUE(SUBSTITUTE((INDEX(SPLIT(A194,"",""),2)),""."","","",1))"),129.710547)</f>
        <v>129.710547</v>
      </c>
      <c r="R194" s="14" t="b">
        <f t="shared" si="1"/>
        <v>0</v>
      </c>
      <c r="S194" s="14" t="str">
        <f t="shared" si="2"/>
        <v>62.021781,129.710547</v>
      </c>
      <c r="T194" s="12"/>
    </row>
    <row r="195">
      <c r="A195" s="15" t="s">
        <v>1272</v>
      </c>
      <c r="B195" s="16" t="s">
        <v>1273</v>
      </c>
      <c r="C195" s="16" t="s">
        <v>1274</v>
      </c>
      <c r="D195" s="16" t="s">
        <v>16</v>
      </c>
      <c r="E195" s="17" t="s">
        <v>1275</v>
      </c>
      <c r="F195" s="16" t="s">
        <v>911</v>
      </c>
      <c r="G195" s="16">
        <v>23.61</v>
      </c>
      <c r="H195" s="16"/>
      <c r="I195" s="16"/>
      <c r="J195" s="16" t="s">
        <v>1276</v>
      </c>
      <c r="K195" s="16" t="s">
        <v>1277</v>
      </c>
      <c r="L195" s="16"/>
      <c r="M195" s="25" t="s">
        <v>1278</v>
      </c>
      <c r="N195" s="12"/>
      <c r="O195" s="12"/>
      <c r="P195" s="13">
        <f>IFERROR(__xludf.DUMMYFUNCTION("VALUE(SUBSTITUTE((INDEX(SPLIT(A195,"",""),1)),""."","","",1))"),62.002326)</f>
        <v>62.002326</v>
      </c>
      <c r="Q195" s="13">
        <f>IFERROR(__xludf.DUMMYFUNCTION("VALUE(SUBSTITUTE((INDEX(SPLIT(A195,"",""),2)),""."","","",1))"),129.710601)</f>
        <v>129.710601</v>
      </c>
      <c r="R195" s="14" t="b">
        <f t="shared" si="1"/>
        <v>0</v>
      </c>
      <c r="S195" s="14" t="str">
        <f t="shared" si="2"/>
        <v>62.002326,129.710601</v>
      </c>
      <c r="T195" s="12"/>
    </row>
    <row r="196">
      <c r="A196" s="18" t="s">
        <v>1279</v>
      </c>
      <c r="B196" s="8" t="s">
        <v>1280</v>
      </c>
      <c r="C196" s="8" t="s">
        <v>1281</v>
      </c>
      <c r="D196" s="8" t="s">
        <v>16</v>
      </c>
      <c r="E196" s="19" t="s">
        <v>1282</v>
      </c>
      <c r="F196" s="8" t="s">
        <v>911</v>
      </c>
      <c r="G196" s="8">
        <v>23.61</v>
      </c>
      <c r="H196" s="8"/>
      <c r="I196" s="8"/>
      <c r="J196" s="8" t="s">
        <v>1283</v>
      </c>
      <c r="K196" s="8" t="s">
        <v>1284</v>
      </c>
      <c r="L196" s="8"/>
      <c r="M196" s="8"/>
      <c r="N196" s="12"/>
      <c r="O196" s="12"/>
      <c r="P196" s="13">
        <f>IFERROR(__xludf.DUMMYFUNCTION("VALUE(SUBSTITUTE((INDEX(SPLIT(A196,"",""),1)),""."","","",1))"),62.032913)</f>
        <v>62.032913</v>
      </c>
      <c r="Q196" s="13">
        <f>IFERROR(__xludf.DUMMYFUNCTION("VALUE(SUBSTITUTE((INDEX(SPLIT(A196,"",""),2)),""."","","",1))"),129.714589)</f>
        <v>129.714589</v>
      </c>
      <c r="R196" s="14" t="b">
        <f t="shared" si="1"/>
        <v>0</v>
      </c>
      <c r="S196" s="14" t="str">
        <f t="shared" si="2"/>
        <v>62.032913,129.714589</v>
      </c>
      <c r="T196" s="12"/>
    </row>
    <row r="197">
      <c r="A197" s="20" t="s">
        <v>1285</v>
      </c>
      <c r="B197" s="16" t="s">
        <v>1286</v>
      </c>
      <c r="C197" s="16" t="s">
        <v>1287</v>
      </c>
      <c r="D197" s="16" t="s">
        <v>16</v>
      </c>
      <c r="E197" s="21" t="s">
        <v>1288</v>
      </c>
      <c r="F197" s="22" t="s">
        <v>911</v>
      </c>
      <c r="G197" s="16">
        <v>23.61</v>
      </c>
      <c r="H197" s="16"/>
      <c r="I197" s="22"/>
      <c r="J197" s="22" t="s">
        <v>1289</v>
      </c>
      <c r="K197" s="22" t="s">
        <v>1290</v>
      </c>
      <c r="L197" s="23" t="s">
        <v>1291</v>
      </c>
      <c r="M197" s="22"/>
      <c r="N197" s="12"/>
      <c r="O197" s="12"/>
      <c r="P197" s="13">
        <f>IFERROR(__xludf.DUMMYFUNCTION("VALUE(SUBSTITUTE((INDEX(SPLIT(A197,"",""),1)),""."","","",1))"),62.025697)</f>
        <v>62.025697</v>
      </c>
      <c r="Q197" s="13">
        <f>IFERROR(__xludf.DUMMYFUNCTION("VALUE(SUBSTITUTE((INDEX(SPLIT(A197,"",""),2)),""."","","",1))"),129.717455)</f>
        <v>129.717455</v>
      </c>
      <c r="R197" s="14" t="b">
        <f t="shared" si="1"/>
        <v>0</v>
      </c>
      <c r="S197" s="14" t="str">
        <f t="shared" si="2"/>
        <v>62.025697,129.717455</v>
      </c>
      <c r="T197" s="12"/>
    </row>
    <row r="198">
      <c r="A198" s="7" t="s">
        <v>1292</v>
      </c>
      <c r="B198" s="8" t="s">
        <v>1293</v>
      </c>
      <c r="C198" s="8" t="s">
        <v>1294</v>
      </c>
      <c r="D198" s="8" t="s">
        <v>16</v>
      </c>
      <c r="E198" s="9" t="s">
        <v>1295</v>
      </c>
      <c r="F198" s="10" t="s">
        <v>911</v>
      </c>
      <c r="G198" s="8">
        <v>23.61</v>
      </c>
      <c r="H198" s="8"/>
      <c r="I198" s="10"/>
      <c r="J198" s="10" t="s">
        <v>1296</v>
      </c>
      <c r="K198" s="10" t="s">
        <v>1297</v>
      </c>
      <c r="L198" s="29" t="s">
        <v>1298</v>
      </c>
      <c r="M198" s="10"/>
      <c r="N198" s="12"/>
      <c r="O198" s="12"/>
      <c r="P198" s="13">
        <f>IFERROR(__xludf.DUMMYFUNCTION("VALUE(SUBSTITUTE((INDEX(SPLIT(A198,"",""),1)),""."","","",1))"),62.032238)</f>
        <v>62.032238</v>
      </c>
      <c r="Q198" s="13">
        <f>IFERROR(__xludf.DUMMYFUNCTION("VALUE(SUBSTITUTE((INDEX(SPLIT(A198,"",""),2)),""."","","",1))"),129.718263)</f>
        <v>129.718263</v>
      </c>
      <c r="R198" s="14" t="b">
        <f t="shared" si="1"/>
        <v>0</v>
      </c>
      <c r="S198" s="14" t="str">
        <f t="shared" si="2"/>
        <v>62.032238,129.718263</v>
      </c>
      <c r="T198" s="12"/>
    </row>
    <row r="199">
      <c r="A199" s="15" t="s">
        <v>1299</v>
      </c>
      <c r="B199" s="16" t="s">
        <v>1300</v>
      </c>
      <c r="C199" s="16" t="s">
        <v>1301</v>
      </c>
      <c r="D199" s="16" t="s">
        <v>16</v>
      </c>
      <c r="E199" s="17" t="s">
        <v>1302</v>
      </c>
      <c r="F199" s="16" t="s">
        <v>911</v>
      </c>
      <c r="G199" s="16">
        <v>23.61</v>
      </c>
      <c r="H199" s="16"/>
      <c r="I199" s="16"/>
      <c r="J199" s="16" t="s">
        <v>1303</v>
      </c>
      <c r="K199" s="16" t="s">
        <v>1304</v>
      </c>
      <c r="L199" s="16"/>
      <c r="M199" s="16"/>
      <c r="N199" s="12"/>
      <c r="O199" s="12"/>
      <c r="P199" s="13">
        <f>IFERROR(__xludf.DUMMYFUNCTION("VALUE(SUBSTITUTE((INDEX(SPLIT(A199,"",""),1)),""."","","",1))"),62.017704)</f>
        <v>62.017704</v>
      </c>
      <c r="Q199" s="13">
        <f>IFERROR(__xludf.DUMMYFUNCTION("VALUE(SUBSTITUTE((INDEX(SPLIT(A199,"",""),2)),""."","","",1))"),129.71909)</f>
        <v>129.71909</v>
      </c>
      <c r="R199" s="14" t="b">
        <f t="shared" si="1"/>
        <v>0</v>
      </c>
      <c r="S199" s="14" t="str">
        <f t="shared" si="2"/>
        <v>62.017704,129.71909</v>
      </c>
      <c r="T199" s="12"/>
    </row>
    <row r="200">
      <c r="A200" s="7" t="s">
        <v>1305</v>
      </c>
      <c r="B200" s="8" t="s">
        <v>1306</v>
      </c>
      <c r="C200" s="8" t="s">
        <v>1307</v>
      </c>
      <c r="D200" s="8" t="s">
        <v>16</v>
      </c>
      <c r="E200" s="9" t="s">
        <v>1308</v>
      </c>
      <c r="F200" s="10" t="s">
        <v>911</v>
      </c>
      <c r="G200" s="8">
        <v>23.61</v>
      </c>
      <c r="H200" s="8"/>
      <c r="I200" s="10"/>
      <c r="J200" s="10" t="s">
        <v>1309</v>
      </c>
      <c r="K200" s="10" t="s">
        <v>1310</v>
      </c>
      <c r="L200" s="11" t="s">
        <v>1311</v>
      </c>
      <c r="M200" s="11" t="s">
        <v>1312</v>
      </c>
      <c r="N200" s="12"/>
      <c r="O200" s="12"/>
      <c r="P200" s="13">
        <f>IFERROR(__xludf.DUMMYFUNCTION("VALUE(SUBSTITUTE((INDEX(SPLIT(A200,"",""),1)),""."","","",1))"),62.034368)</f>
        <v>62.034368</v>
      </c>
      <c r="Q200" s="13">
        <f>IFERROR(__xludf.DUMMYFUNCTION("VALUE(SUBSTITUTE((INDEX(SPLIT(A200,"",""),2)),""."","","",1))"),129.722728)</f>
        <v>129.722728</v>
      </c>
      <c r="R200" s="14" t="b">
        <f t="shared" si="1"/>
        <v>0</v>
      </c>
      <c r="S200" s="14" t="str">
        <f t="shared" si="2"/>
        <v>62.034368,129.722728</v>
      </c>
      <c r="T200" s="12"/>
    </row>
    <row r="201">
      <c r="A201" s="20" t="s">
        <v>1313</v>
      </c>
      <c r="B201" s="16" t="s">
        <v>1314</v>
      </c>
      <c r="C201" s="16" t="s">
        <v>1315</v>
      </c>
      <c r="D201" s="16" t="s">
        <v>16</v>
      </c>
      <c r="E201" s="21" t="s">
        <v>1316</v>
      </c>
      <c r="F201" s="22" t="s">
        <v>911</v>
      </c>
      <c r="G201" s="16">
        <v>23.61</v>
      </c>
      <c r="H201" s="16"/>
      <c r="I201" s="22"/>
      <c r="J201" s="22" t="s">
        <v>1317</v>
      </c>
      <c r="K201" s="22" t="s">
        <v>1318</v>
      </c>
      <c r="L201" s="23" t="s">
        <v>1319</v>
      </c>
      <c r="M201" s="22"/>
      <c r="N201" s="12"/>
      <c r="O201" s="12"/>
      <c r="P201" s="13">
        <f>IFERROR(__xludf.DUMMYFUNCTION("VALUE(SUBSTITUTE((INDEX(SPLIT(A201,"",""),1)),""."","","",1))"),62.079409)</f>
        <v>62.079409</v>
      </c>
      <c r="Q201" s="13">
        <f>IFERROR(__xludf.DUMMYFUNCTION("VALUE(SUBSTITUTE((INDEX(SPLIT(A201,"",""),2)),""."","","",1))"),129.725881)</f>
        <v>129.725881</v>
      </c>
      <c r="R201" s="14" t="b">
        <f t="shared" si="1"/>
        <v>0</v>
      </c>
      <c r="S201" s="14" t="str">
        <f t="shared" si="2"/>
        <v>62.079409,129.725881</v>
      </c>
      <c r="T201" s="12"/>
    </row>
    <row r="202">
      <c r="A202" s="7" t="s">
        <v>1320</v>
      </c>
      <c r="B202" s="8" t="s">
        <v>1321</v>
      </c>
      <c r="C202" s="8" t="s">
        <v>1322</v>
      </c>
      <c r="D202" s="8" t="s">
        <v>16</v>
      </c>
      <c r="E202" s="9" t="s">
        <v>1323</v>
      </c>
      <c r="F202" s="10" t="s">
        <v>911</v>
      </c>
      <c r="G202" s="8">
        <v>23.61</v>
      </c>
      <c r="H202" s="8"/>
      <c r="I202" s="10"/>
      <c r="J202" s="10" t="s">
        <v>1324</v>
      </c>
      <c r="K202" s="10" t="s">
        <v>1325</v>
      </c>
      <c r="L202" s="11" t="s">
        <v>1326</v>
      </c>
      <c r="M202" s="10"/>
      <c r="N202" s="12"/>
      <c r="O202" s="12"/>
      <c r="P202" s="13">
        <f>IFERROR(__xludf.DUMMYFUNCTION("VALUE(SUBSTITUTE((INDEX(SPLIT(A202,"",""),1)),""."","","",1))"),62.020717)</f>
        <v>62.020717</v>
      </c>
      <c r="Q202" s="13">
        <f>IFERROR(__xludf.DUMMYFUNCTION("VALUE(SUBSTITUTE((INDEX(SPLIT(A202,"",""),2)),""."","","",1))"),129.726078)</f>
        <v>129.726078</v>
      </c>
      <c r="R202" s="14" t="b">
        <f t="shared" si="1"/>
        <v>0</v>
      </c>
      <c r="S202" s="14" t="str">
        <f t="shared" si="2"/>
        <v>62.020717,129.726078</v>
      </c>
      <c r="T202" s="12"/>
    </row>
    <row r="203">
      <c r="A203" s="20" t="s">
        <v>1327</v>
      </c>
      <c r="B203" s="16" t="s">
        <v>743</v>
      </c>
      <c r="C203" s="16" t="s">
        <v>744</v>
      </c>
      <c r="D203" s="16" t="s">
        <v>16</v>
      </c>
      <c r="E203" s="21" t="s">
        <v>1328</v>
      </c>
      <c r="F203" s="22" t="s">
        <v>911</v>
      </c>
      <c r="G203" s="16">
        <v>23.61</v>
      </c>
      <c r="H203" s="16"/>
      <c r="I203" s="22"/>
      <c r="J203" s="22" t="s">
        <v>1329</v>
      </c>
      <c r="K203" s="22" t="s">
        <v>1172</v>
      </c>
      <c r="L203" s="23" t="s">
        <v>1173</v>
      </c>
      <c r="M203" s="22"/>
      <c r="N203" s="12"/>
      <c r="O203" s="12"/>
      <c r="P203" s="13">
        <f>IFERROR(__xludf.DUMMYFUNCTION("VALUE(SUBSTITUTE((INDEX(SPLIT(A203,"",""),1)),""."","","",1))"),62.034166)</f>
        <v>62.034166</v>
      </c>
      <c r="Q203" s="13">
        <f>IFERROR(__xludf.DUMMYFUNCTION("VALUE(SUBSTITUTE((INDEX(SPLIT(A203,"",""),2)),""."","","",1))"),129.726528)</f>
        <v>129.726528</v>
      </c>
      <c r="R203" s="14" t="b">
        <f t="shared" si="1"/>
        <v>0</v>
      </c>
      <c r="S203" s="14" t="str">
        <f t="shared" si="2"/>
        <v>62.034166,129.726528</v>
      </c>
      <c r="T203" s="12"/>
    </row>
    <row r="204">
      <c r="A204" s="7" t="s">
        <v>1330</v>
      </c>
      <c r="B204" s="8" t="s">
        <v>1331</v>
      </c>
      <c r="C204" s="8" t="s">
        <v>1332</v>
      </c>
      <c r="D204" s="8" t="s">
        <v>16</v>
      </c>
      <c r="E204" s="9" t="s">
        <v>1333</v>
      </c>
      <c r="F204" s="10" t="s">
        <v>911</v>
      </c>
      <c r="G204" s="8">
        <v>23.61</v>
      </c>
      <c r="H204" s="8"/>
      <c r="I204" s="10"/>
      <c r="J204" s="10" t="s">
        <v>1334</v>
      </c>
      <c r="K204" s="10" t="s">
        <v>1335</v>
      </c>
      <c r="L204" s="11" t="s">
        <v>1336</v>
      </c>
      <c r="M204" s="10"/>
      <c r="N204" s="12"/>
      <c r="O204" s="12"/>
      <c r="P204" s="13">
        <f>IFERROR(__xludf.DUMMYFUNCTION("VALUE(SUBSTITUTE((INDEX(SPLIT(A204,"",""),1)),""."","","",1))"),62.027499)</f>
        <v>62.027499</v>
      </c>
      <c r="Q204" s="13">
        <f>IFERROR(__xludf.DUMMYFUNCTION("VALUE(SUBSTITUTE((INDEX(SPLIT(A204,"",""),2)),""."","","",1))"),129.728288)</f>
        <v>129.728288</v>
      </c>
      <c r="R204" s="14" t="b">
        <f t="shared" si="1"/>
        <v>0</v>
      </c>
      <c r="S204" s="14" t="str">
        <f t="shared" si="2"/>
        <v>62.027499,129.728288</v>
      </c>
      <c r="T204" s="12"/>
    </row>
    <row r="205">
      <c r="A205" s="20" t="s">
        <v>1337</v>
      </c>
      <c r="B205" s="16" t="s">
        <v>1338</v>
      </c>
      <c r="C205" s="16" t="s">
        <v>1339</v>
      </c>
      <c r="D205" s="16" t="s">
        <v>16</v>
      </c>
      <c r="E205" s="21" t="s">
        <v>1340</v>
      </c>
      <c r="F205" s="22" t="s">
        <v>911</v>
      </c>
      <c r="G205" s="16">
        <v>23.61</v>
      </c>
      <c r="H205" s="16"/>
      <c r="I205" s="22"/>
      <c r="J205" s="22" t="s">
        <v>1341</v>
      </c>
      <c r="K205" s="22" t="s">
        <v>1342</v>
      </c>
      <c r="L205" s="23" t="s">
        <v>1343</v>
      </c>
      <c r="M205" s="22"/>
      <c r="N205" s="12"/>
      <c r="O205" s="12"/>
      <c r="P205" s="13">
        <f>IFERROR(__xludf.DUMMYFUNCTION("VALUE(SUBSTITUTE((INDEX(SPLIT(A205,"",""),1)),""."","","",1))"),62.040295)</f>
        <v>62.040295</v>
      </c>
      <c r="Q205" s="13">
        <f>IFERROR(__xludf.DUMMYFUNCTION("VALUE(SUBSTITUTE((INDEX(SPLIT(A205,"",""),2)),""."","","",1))"),129.728935)</f>
        <v>129.728935</v>
      </c>
      <c r="R205" s="14" t="b">
        <f t="shared" si="1"/>
        <v>0</v>
      </c>
      <c r="S205" s="14" t="str">
        <f t="shared" si="2"/>
        <v>62.040295,129.728935</v>
      </c>
      <c r="T205" s="12"/>
    </row>
    <row r="206">
      <c r="A206" s="7" t="s">
        <v>1344</v>
      </c>
      <c r="B206" s="8" t="s">
        <v>1345</v>
      </c>
      <c r="C206" s="8" t="s">
        <v>1346</v>
      </c>
      <c r="D206" s="8" t="s">
        <v>16</v>
      </c>
      <c r="E206" s="9" t="s">
        <v>1347</v>
      </c>
      <c r="F206" s="10" t="s">
        <v>911</v>
      </c>
      <c r="G206" s="8">
        <v>23.61</v>
      </c>
      <c r="H206" s="8"/>
      <c r="I206" s="10"/>
      <c r="J206" s="10" t="s">
        <v>1348</v>
      </c>
      <c r="K206" s="10" t="s">
        <v>1349</v>
      </c>
      <c r="L206" s="11" t="s">
        <v>1350</v>
      </c>
      <c r="M206" s="10"/>
      <c r="N206" s="12"/>
      <c r="O206" s="12"/>
      <c r="P206" s="13">
        <f>IFERROR(__xludf.DUMMYFUNCTION("VALUE(SUBSTITUTE((INDEX(SPLIT(A206,"",""),1)),""."","","",1))"),62.049801)</f>
        <v>62.049801</v>
      </c>
      <c r="Q206" s="13">
        <f>IFERROR(__xludf.DUMMYFUNCTION("VALUE(SUBSTITUTE((INDEX(SPLIT(A206,"",""),2)),""."","","",1))"),129.729169)</f>
        <v>129.729169</v>
      </c>
      <c r="R206" s="14" t="b">
        <f t="shared" si="1"/>
        <v>0</v>
      </c>
      <c r="S206" s="14" t="str">
        <f t="shared" si="2"/>
        <v>62.049801,129.729169</v>
      </c>
      <c r="T206" s="12"/>
    </row>
    <row r="207">
      <c r="A207" s="15" t="s">
        <v>1351</v>
      </c>
      <c r="B207" s="16" t="s">
        <v>1352</v>
      </c>
      <c r="C207" s="16" t="s">
        <v>1353</v>
      </c>
      <c r="D207" s="16" t="s">
        <v>16</v>
      </c>
      <c r="E207" s="17" t="s">
        <v>1354</v>
      </c>
      <c r="F207" s="16" t="s">
        <v>911</v>
      </c>
      <c r="G207" s="16">
        <v>23.61</v>
      </c>
      <c r="H207" s="16"/>
      <c r="I207" s="16"/>
      <c r="J207" s="16" t="s">
        <v>1355</v>
      </c>
      <c r="K207" s="16" t="s">
        <v>1356</v>
      </c>
      <c r="L207" s="16"/>
      <c r="M207" s="16"/>
      <c r="N207" s="12"/>
      <c r="O207" s="12"/>
      <c r="P207" s="13">
        <f>IFERROR(__xludf.DUMMYFUNCTION("VALUE(SUBSTITUTE((INDEX(SPLIT(A207,"",""),1)),""."","","",1))"),62.021777)</f>
        <v>62.021777</v>
      </c>
      <c r="Q207" s="13">
        <f>IFERROR(__xludf.DUMMYFUNCTION("VALUE(SUBSTITUTE((INDEX(SPLIT(A207,"",""),2)),""."","","",1))"),129.73304)</f>
        <v>129.73304</v>
      </c>
      <c r="R207" s="14" t="b">
        <f t="shared" si="1"/>
        <v>0</v>
      </c>
      <c r="S207" s="14" t="str">
        <f t="shared" si="2"/>
        <v>62.021777,129.73304</v>
      </c>
      <c r="T207" s="12"/>
    </row>
    <row r="208">
      <c r="A208" s="7" t="s">
        <v>1357</v>
      </c>
      <c r="B208" s="8" t="s">
        <v>1358</v>
      </c>
      <c r="C208" s="8" t="s">
        <v>1359</v>
      </c>
      <c r="D208" s="8" t="s">
        <v>16</v>
      </c>
      <c r="E208" s="9" t="s">
        <v>1360</v>
      </c>
      <c r="F208" s="10" t="s">
        <v>911</v>
      </c>
      <c r="G208" s="8">
        <v>23.61</v>
      </c>
      <c r="H208" s="8"/>
      <c r="I208" s="10"/>
      <c r="J208" s="10" t="s">
        <v>1361</v>
      </c>
      <c r="K208" s="10" t="s">
        <v>1362</v>
      </c>
      <c r="L208" s="11" t="s">
        <v>1363</v>
      </c>
      <c r="M208" s="10"/>
      <c r="N208" s="12"/>
      <c r="O208" s="12"/>
      <c r="P208" s="13">
        <f>IFERROR(__xludf.DUMMYFUNCTION("VALUE(SUBSTITUTE((INDEX(SPLIT(A208,"",""),1)),""."","","",1))"),62.035933)</f>
        <v>62.035933</v>
      </c>
      <c r="Q208" s="13">
        <f>IFERROR(__xludf.DUMMYFUNCTION("VALUE(SUBSTITUTE((INDEX(SPLIT(A208,"",""),2)),""."","","",1))"),129.735924)</f>
        <v>129.735924</v>
      </c>
      <c r="R208" s="14" t="b">
        <f t="shared" si="1"/>
        <v>0</v>
      </c>
      <c r="S208" s="14" t="str">
        <f t="shared" si="2"/>
        <v>62.035933,129.735924</v>
      </c>
      <c r="T208" s="12"/>
    </row>
    <row r="209">
      <c r="A209" s="20" t="s">
        <v>1364</v>
      </c>
      <c r="B209" s="16" t="s">
        <v>1365</v>
      </c>
      <c r="C209" s="16" t="s">
        <v>1366</v>
      </c>
      <c r="D209" s="16" t="s">
        <v>16</v>
      </c>
      <c r="E209" s="21" t="s">
        <v>1367</v>
      </c>
      <c r="F209" s="22" t="s">
        <v>911</v>
      </c>
      <c r="G209" s="16">
        <v>23.61</v>
      </c>
      <c r="H209" s="16"/>
      <c r="I209" s="22"/>
      <c r="J209" s="22" t="s">
        <v>1368</v>
      </c>
      <c r="K209" s="22" t="s">
        <v>1284</v>
      </c>
      <c r="L209" s="23" t="s">
        <v>1369</v>
      </c>
      <c r="M209" s="22"/>
      <c r="N209" s="12"/>
      <c r="O209" s="12"/>
      <c r="P209" s="13">
        <f>IFERROR(__xludf.DUMMYFUNCTION("VALUE(SUBSTITUTE((INDEX(SPLIT(A209,"",""),1)),""."","","",1))"),62.035343)</f>
        <v>62.035343</v>
      </c>
      <c r="Q209" s="13">
        <f>IFERROR(__xludf.DUMMYFUNCTION("VALUE(SUBSTITUTE((INDEX(SPLIT(A209,"",""),2)),""."","","",1))"),129.736158)</f>
        <v>129.736158</v>
      </c>
      <c r="R209" s="14" t="b">
        <f t="shared" si="1"/>
        <v>0</v>
      </c>
      <c r="S209" s="14" t="str">
        <f t="shared" si="2"/>
        <v>62.035343,129.736158</v>
      </c>
      <c r="T209" s="12"/>
    </row>
    <row r="210">
      <c r="A210" s="7" t="s">
        <v>1370</v>
      </c>
      <c r="B210" s="8" t="s">
        <v>1371</v>
      </c>
      <c r="C210" s="8" t="s">
        <v>1372</v>
      </c>
      <c r="D210" s="8" t="s">
        <v>16</v>
      </c>
      <c r="E210" s="9" t="s">
        <v>1373</v>
      </c>
      <c r="F210" s="10" t="s">
        <v>911</v>
      </c>
      <c r="G210" s="8">
        <v>23.61</v>
      </c>
      <c r="H210" s="8"/>
      <c r="I210" s="10"/>
      <c r="J210" s="10" t="s">
        <v>1374</v>
      </c>
      <c r="K210" s="10" t="s">
        <v>1375</v>
      </c>
      <c r="L210" s="11" t="s">
        <v>1376</v>
      </c>
      <c r="M210" s="10"/>
      <c r="N210" s="12"/>
      <c r="O210" s="12"/>
      <c r="P210" s="13">
        <f>IFERROR(__xludf.DUMMYFUNCTION("VALUE(SUBSTITUTE((INDEX(SPLIT(A210,"",""),1)),""."","","",1))"),62.031023)</f>
        <v>62.031023</v>
      </c>
      <c r="Q210" s="13">
        <f>IFERROR(__xludf.DUMMYFUNCTION("VALUE(SUBSTITUTE((INDEX(SPLIT(A210,"",""),2)),""."","","",1))"),129.743856)</f>
        <v>129.743856</v>
      </c>
      <c r="R210" s="14" t="b">
        <f t="shared" si="1"/>
        <v>0</v>
      </c>
      <c r="S210" s="14" t="str">
        <f t="shared" si="2"/>
        <v>62.031023,129.743856</v>
      </c>
      <c r="T210" s="12"/>
    </row>
    <row r="211">
      <c r="A211" s="20" t="s">
        <v>1377</v>
      </c>
      <c r="B211" s="16" t="s">
        <v>1378</v>
      </c>
      <c r="C211" s="16" t="s">
        <v>1379</v>
      </c>
      <c r="D211" s="16" t="s">
        <v>16</v>
      </c>
      <c r="E211" s="21" t="s">
        <v>1380</v>
      </c>
      <c r="F211" s="22" t="s">
        <v>911</v>
      </c>
      <c r="G211" s="16">
        <v>23.61</v>
      </c>
      <c r="H211" s="16"/>
      <c r="I211" s="22"/>
      <c r="J211" s="22" t="s">
        <v>1381</v>
      </c>
      <c r="K211" s="22" t="s">
        <v>1382</v>
      </c>
      <c r="L211" s="30" t="s">
        <v>1383</v>
      </c>
      <c r="M211" s="22"/>
      <c r="N211" s="12"/>
      <c r="O211" s="12"/>
      <c r="P211" s="13">
        <f>IFERROR(__xludf.DUMMYFUNCTION("VALUE(SUBSTITUTE((INDEX(SPLIT(A211,"",""),1)),""."","","",1))"),62.061437)</f>
        <v>62.061437</v>
      </c>
      <c r="Q211" s="13">
        <f>IFERROR(__xludf.DUMMYFUNCTION("VALUE(SUBSTITUTE((INDEX(SPLIT(A211,"",""),2)),""."","","",1))"),129.743973)</f>
        <v>129.743973</v>
      </c>
      <c r="R211" s="14" t="b">
        <f t="shared" si="1"/>
        <v>0</v>
      </c>
      <c r="S211" s="14" t="str">
        <f t="shared" si="2"/>
        <v>62.061437,129.743973</v>
      </c>
      <c r="T211" s="12"/>
    </row>
    <row r="212">
      <c r="A212" s="7" t="s">
        <v>1384</v>
      </c>
      <c r="B212" s="8" t="s">
        <v>1385</v>
      </c>
      <c r="C212" s="8" t="s">
        <v>1386</v>
      </c>
      <c r="D212" s="8" t="s">
        <v>16</v>
      </c>
      <c r="E212" s="9" t="s">
        <v>1387</v>
      </c>
      <c r="F212" s="10" t="s">
        <v>911</v>
      </c>
      <c r="G212" s="8">
        <v>23.61</v>
      </c>
      <c r="H212" s="8"/>
      <c r="I212" s="10"/>
      <c r="J212" s="10" t="s">
        <v>1388</v>
      </c>
      <c r="K212" s="10" t="s">
        <v>1389</v>
      </c>
      <c r="L212" s="11" t="s">
        <v>1390</v>
      </c>
      <c r="M212" s="10"/>
      <c r="N212" s="12"/>
      <c r="O212" s="12"/>
      <c r="P212" s="13">
        <f>IFERROR(__xludf.DUMMYFUNCTION("VALUE(SUBSTITUTE((INDEX(SPLIT(A212,"",""),1)),""."","","",1))"),62.059637)</f>
        <v>62.059637</v>
      </c>
      <c r="Q212" s="13">
        <f>IFERROR(__xludf.DUMMYFUNCTION("VALUE(SUBSTITUTE((INDEX(SPLIT(A212,"",""),2)),""."","","",1))"),129.754941)</f>
        <v>129.754941</v>
      </c>
      <c r="R212" s="14" t="b">
        <f t="shared" si="1"/>
        <v>0</v>
      </c>
      <c r="S212" s="14" t="str">
        <f t="shared" si="2"/>
        <v>62.059637,129.754941</v>
      </c>
      <c r="T212" s="12"/>
    </row>
    <row r="213">
      <c r="A213" s="20" t="s">
        <v>1384</v>
      </c>
      <c r="B213" s="16" t="s">
        <v>1391</v>
      </c>
      <c r="C213" s="16" t="s">
        <v>1392</v>
      </c>
      <c r="D213" s="16" t="s">
        <v>16</v>
      </c>
      <c r="E213" s="21" t="s">
        <v>1393</v>
      </c>
      <c r="F213" s="22" t="s">
        <v>911</v>
      </c>
      <c r="G213" s="16">
        <v>23.61</v>
      </c>
      <c r="H213" s="16"/>
      <c r="I213" s="22"/>
      <c r="J213" s="22" t="s">
        <v>1394</v>
      </c>
      <c r="K213" s="22" t="s">
        <v>1395</v>
      </c>
      <c r="L213" s="23" t="s">
        <v>1396</v>
      </c>
      <c r="M213" s="22"/>
      <c r="N213" s="12"/>
      <c r="O213" s="12"/>
      <c r="P213" s="13">
        <f>IFERROR(__xludf.DUMMYFUNCTION("VALUE(SUBSTITUTE((INDEX(SPLIT(A213,"",""),1)),""."","","",1))"),62.059637)</f>
        <v>62.059637</v>
      </c>
      <c r="Q213" s="13">
        <f>IFERROR(__xludf.DUMMYFUNCTION("VALUE(SUBSTITUTE((INDEX(SPLIT(A213,"",""),2)),""."","","",1))"),129.754941)</f>
        <v>129.754941</v>
      </c>
      <c r="R213" s="14" t="b">
        <f t="shared" si="1"/>
        <v>0</v>
      </c>
      <c r="S213" s="14" t="str">
        <f t="shared" si="2"/>
        <v>62.059637,129.754941</v>
      </c>
      <c r="T213" s="12"/>
    </row>
    <row r="214">
      <c r="A214" s="7" t="s">
        <v>1397</v>
      </c>
      <c r="B214" s="8" t="s">
        <v>1398</v>
      </c>
      <c r="C214" s="8" t="s">
        <v>1399</v>
      </c>
      <c r="D214" s="8" t="s">
        <v>16</v>
      </c>
      <c r="E214" s="9" t="s">
        <v>1400</v>
      </c>
      <c r="F214" s="10" t="s">
        <v>911</v>
      </c>
      <c r="G214" s="8">
        <v>23.61</v>
      </c>
      <c r="H214" s="8"/>
      <c r="I214" s="10"/>
      <c r="J214" s="10" t="s">
        <v>1401</v>
      </c>
      <c r="K214" s="10" t="s">
        <v>1402</v>
      </c>
      <c r="L214" s="11" t="s">
        <v>1403</v>
      </c>
      <c r="M214" s="10"/>
      <c r="N214" s="12"/>
      <c r="O214" s="12"/>
      <c r="P214" s="13">
        <f>IFERROR(__xludf.DUMMYFUNCTION("VALUE(SUBSTITUTE((INDEX(SPLIT(A214,"",""),1)),""."","","",1))"),62.033794)</f>
        <v>62.033794</v>
      </c>
      <c r="Q214" s="13">
        <f>IFERROR(__xludf.DUMMYFUNCTION("VALUE(SUBSTITUTE((INDEX(SPLIT(A214,"",""),2)),""."","","",1))"),129.755633)</f>
        <v>129.755633</v>
      </c>
      <c r="R214" s="14" t="b">
        <f t="shared" si="1"/>
        <v>0</v>
      </c>
      <c r="S214" s="14" t="str">
        <f t="shared" si="2"/>
        <v>62.033794,129.755633</v>
      </c>
      <c r="T214" s="12"/>
    </row>
    <row r="215">
      <c r="A215" s="15" t="s">
        <v>1404</v>
      </c>
      <c r="B215" s="16" t="s">
        <v>1405</v>
      </c>
      <c r="C215" s="16" t="s">
        <v>1406</v>
      </c>
      <c r="D215" s="16" t="s">
        <v>16</v>
      </c>
      <c r="E215" s="17" t="s">
        <v>1407</v>
      </c>
      <c r="F215" s="16" t="s">
        <v>911</v>
      </c>
      <c r="G215" s="16">
        <v>23.61</v>
      </c>
      <c r="H215" s="16"/>
      <c r="I215" s="16"/>
      <c r="J215" s="16" t="s">
        <v>1408</v>
      </c>
      <c r="K215" s="16" t="s">
        <v>1409</v>
      </c>
      <c r="L215" s="16"/>
      <c r="M215" s="25" t="s">
        <v>1410</v>
      </c>
      <c r="N215" s="12"/>
      <c r="O215" s="12"/>
      <c r="P215" s="13">
        <f>IFERROR(__xludf.DUMMYFUNCTION("VALUE(SUBSTITUTE((INDEX(SPLIT(A215,"",""),1)),""."","","",1))"),62.107607)</f>
        <v>62.107607</v>
      </c>
      <c r="Q215" s="13">
        <f>IFERROR(__xludf.DUMMYFUNCTION("VALUE(SUBSTITUTE((INDEX(SPLIT(A215,"",""),2)),""."","","",1))"),129.763457)</f>
        <v>129.763457</v>
      </c>
      <c r="R215" s="14" t="b">
        <f t="shared" si="1"/>
        <v>0</v>
      </c>
      <c r="S215" s="14" t="str">
        <f t="shared" si="2"/>
        <v>62.107607,129.763457</v>
      </c>
      <c r="T215" s="12"/>
    </row>
    <row r="216">
      <c r="A216" s="18" t="s">
        <v>1411</v>
      </c>
      <c r="B216" s="8" t="s">
        <v>1412</v>
      </c>
      <c r="C216" s="8" t="s">
        <v>1413</v>
      </c>
      <c r="D216" s="8" t="s">
        <v>16</v>
      </c>
      <c r="E216" s="19" t="s">
        <v>1414</v>
      </c>
      <c r="F216" s="8" t="s">
        <v>911</v>
      </c>
      <c r="G216" s="8">
        <v>23.61</v>
      </c>
      <c r="H216" s="8"/>
      <c r="I216" s="8"/>
      <c r="J216" s="8" t="s">
        <v>1415</v>
      </c>
      <c r="K216" s="8" t="s">
        <v>1416</v>
      </c>
      <c r="L216" s="8"/>
      <c r="M216" s="8"/>
      <c r="N216" s="12"/>
      <c r="O216" s="12"/>
      <c r="P216" s="13">
        <f>IFERROR(__xludf.DUMMYFUNCTION("VALUE(SUBSTITUTE((INDEX(SPLIT(A216,"",""),1)),""."","","",1))"),62.101672)</f>
        <v>62.101672</v>
      </c>
      <c r="Q216" s="13">
        <f>IFERROR(__xludf.DUMMYFUNCTION("VALUE(SUBSTITUTE((INDEX(SPLIT(A216,"",""),2)),""."","","",1))"),129.795572)</f>
        <v>129.795572</v>
      </c>
      <c r="R216" s="14" t="b">
        <f t="shared" si="1"/>
        <v>0</v>
      </c>
      <c r="S216" s="14" t="str">
        <f t="shared" si="2"/>
        <v>62.101672,129.795572</v>
      </c>
      <c r="T216" s="12"/>
    </row>
    <row r="217">
      <c r="A217" s="15" t="s">
        <v>1417</v>
      </c>
      <c r="B217" s="16" t="s">
        <v>1418</v>
      </c>
      <c r="C217" s="16" t="s">
        <v>1419</v>
      </c>
      <c r="D217" s="16" t="s">
        <v>16</v>
      </c>
      <c r="E217" s="17" t="s">
        <v>1420</v>
      </c>
      <c r="F217" s="16" t="s">
        <v>953</v>
      </c>
      <c r="G217" s="16">
        <v>23.61</v>
      </c>
      <c r="H217" s="16"/>
      <c r="I217" s="16"/>
      <c r="J217" s="16" t="s">
        <v>1421</v>
      </c>
      <c r="K217" s="16" t="s">
        <v>1422</v>
      </c>
      <c r="L217" s="16"/>
      <c r="M217" s="16"/>
      <c r="N217" s="12"/>
      <c r="O217" s="12"/>
      <c r="P217" s="13">
        <f>IFERROR(__xludf.DUMMYFUNCTION("VALUE(SUBSTITUTE((INDEX(SPLIT(A217,"",""),1)),""."","","",1))"),49.79869)</f>
        <v>49.79869</v>
      </c>
      <c r="Q217" s="13">
        <f>IFERROR(__xludf.DUMMYFUNCTION("VALUE(SUBSTITUTE((INDEX(SPLIT(A217,"",""),2)),""."","","",1))"),129.873447)</f>
        <v>129.873447</v>
      </c>
      <c r="R217" s="14" t="b">
        <f t="shared" si="1"/>
        <v>0</v>
      </c>
      <c r="S217" s="14" t="str">
        <f t="shared" si="2"/>
        <v>49.79869,129.873447</v>
      </c>
      <c r="T217" s="12"/>
    </row>
    <row r="218">
      <c r="A218" s="18" t="s">
        <v>1423</v>
      </c>
      <c r="B218" s="8" t="s">
        <v>1424</v>
      </c>
      <c r="C218" s="8" t="s">
        <v>1425</v>
      </c>
      <c r="D218" s="8" t="s">
        <v>16</v>
      </c>
      <c r="E218" s="19" t="s">
        <v>1426</v>
      </c>
      <c r="F218" s="8" t="s">
        <v>911</v>
      </c>
      <c r="G218" s="8">
        <v>23.61</v>
      </c>
      <c r="H218" s="8"/>
      <c r="I218" s="8"/>
      <c r="J218" s="8" t="s">
        <v>1427</v>
      </c>
      <c r="K218" s="8" t="s">
        <v>1428</v>
      </c>
      <c r="L218" s="8"/>
      <c r="M218" s="24" t="s">
        <v>1429</v>
      </c>
      <c r="N218" s="12"/>
      <c r="O218" s="12"/>
      <c r="P218" s="13">
        <f>IFERROR(__xludf.DUMMYFUNCTION("VALUE(SUBSTITUTE((INDEX(SPLIT(A218,"",""),1)),""."","","",1))"),62.332834)</f>
        <v>62.332834</v>
      </c>
      <c r="Q218" s="13">
        <f>IFERROR(__xludf.DUMMYFUNCTION("VALUE(SUBSTITUTE((INDEX(SPLIT(A218,"",""),2)),""."","","",1))"),129.952598)</f>
        <v>129.952598</v>
      </c>
      <c r="R218" s="14" t="b">
        <f t="shared" si="1"/>
        <v>0</v>
      </c>
      <c r="S218" s="14" t="str">
        <f t="shared" si="2"/>
        <v>62.332834,129.952598</v>
      </c>
      <c r="T218" s="12"/>
    </row>
    <row r="219">
      <c r="A219" s="20" t="s">
        <v>1430</v>
      </c>
      <c r="B219" s="16" t="s">
        <v>1431</v>
      </c>
      <c r="C219" s="16" t="s">
        <v>1432</v>
      </c>
      <c r="D219" s="16" t="s">
        <v>16</v>
      </c>
      <c r="E219" s="21" t="s">
        <v>1433</v>
      </c>
      <c r="F219" s="22" t="s">
        <v>911</v>
      </c>
      <c r="G219" s="16">
        <v>23.61</v>
      </c>
      <c r="H219" s="16"/>
      <c r="I219" s="22"/>
      <c r="J219" s="22" t="s">
        <v>1434</v>
      </c>
      <c r="K219" s="22" t="s">
        <v>1435</v>
      </c>
      <c r="L219" s="23" t="s">
        <v>1436</v>
      </c>
      <c r="M219" s="22"/>
      <c r="N219" s="12"/>
      <c r="O219" s="12"/>
      <c r="P219" s="13">
        <f>IFERROR(__xludf.DUMMYFUNCTION("VALUE(SUBSTITUTE((INDEX(SPLIT(A219,"",""),1)),""."","","",1))"),62.104686)</f>
        <v>62.104686</v>
      </c>
      <c r="Q219" s="13">
        <f>IFERROR(__xludf.DUMMYFUNCTION("VALUE(SUBSTITUTE((INDEX(SPLIT(A219,"",""),2)),""."","","",1))"),130.034937)</f>
        <v>130.034937</v>
      </c>
      <c r="R219" s="14" t="b">
        <f t="shared" si="1"/>
        <v>0</v>
      </c>
      <c r="S219" s="14" t="str">
        <f t="shared" si="2"/>
        <v>62.104686,130.034937</v>
      </c>
      <c r="T219" s="12"/>
    </row>
    <row r="220">
      <c r="A220" s="7" t="s">
        <v>1437</v>
      </c>
      <c r="B220" s="8" t="s">
        <v>1438</v>
      </c>
      <c r="C220" s="8" t="s">
        <v>1439</v>
      </c>
      <c r="D220" s="8" t="s">
        <v>16</v>
      </c>
      <c r="E220" s="9" t="s">
        <v>1440</v>
      </c>
      <c r="F220" s="10" t="s">
        <v>911</v>
      </c>
      <c r="G220" s="8">
        <v>23.61</v>
      </c>
      <c r="H220" s="8"/>
      <c r="I220" s="10"/>
      <c r="J220" s="10" t="s">
        <v>1441</v>
      </c>
      <c r="K220" s="10" t="s">
        <v>1442</v>
      </c>
      <c r="L220" s="11" t="s">
        <v>1443</v>
      </c>
      <c r="M220" s="10"/>
      <c r="N220" s="12"/>
      <c r="O220" s="12"/>
      <c r="P220" s="13">
        <f>IFERROR(__xludf.DUMMYFUNCTION("VALUE(SUBSTITUTE((INDEX(SPLIT(A220,"",""),1)),""."","","",1))"),61.739586)</f>
        <v>61.739586</v>
      </c>
      <c r="Q220" s="13">
        <f>IFERROR(__xludf.DUMMYFUNCTION("VALUE(SUBSTITUTE((INDEX(SPLIT(A220,"",""),2)),""."","","",1))"),130.280833)</f>
        <v>130.280833</v>
      </c>
      <c r="R220" s="14" t="b">
        <f t="shared" si="1"/>
        <v>0</v>
      </c>
      <c r="S220" s="14" t="str">
        <f t="shared" si="2"/>
        <v>61.739586,130.280833</v>
      </c>
      <c r="T220" s="12"/>
    </row>
    <row r="221">
      <c r="A221" s="15" t="s">
        <v>1444</v>
      </c>
      <c r="B221" s="16" t="s">
        <v>1445</v>
      </c>
      <c r="C221" s="16" t="s">
        <v>1446</v>
      </c>
      <c r="D221" s="16" t="s">
        <v>16</v>
      </c>
      <c r="E221" s="17" t="s">
        <v>1447</v>
      </c>
      <c r="F221" s="16" t="s">
        <v>1448</v>
      </c>
      <c r="G221" s="16">
        <v>23.61</v>
      </c>
      <c r="H221" s="16"/>
      <c r="I221" s="16"/>
      <c r="J221" s="16" t="s">
        <v>1449</v>
      </c>
      <c r="K221" s="16" t="s">
        <v>1450</v>
      </c>
      <c r="L221" s="16"/>
      <c r="M221" s="16"/>
      <c r="N221" s="12"/>
      <c r="O221" s="12"/>
      <c r="P221" s="13">
        <f>IFERROR(__xludf.DUMMYFUNCTION("VALUE(SUBSTITUTE((INDEX(SPLIT(A221,"",""),1)),""."","","",1))"),43.112653)</f>
        <v>43.112653</v>
      </c>
      <c r="Q221" s="13">
        <f>IFERROR(__xludf.DUMMYFUNCTION("VALUE(SUBSTITUTE((INDEX(SPLIT(A221,"",""),2)),""."","","",1))"),131.879906)</f>
        <v>131.879906</v>
      </c>
      <c r="R221" s="14" t="b">
        <f t="shared" si="1"/>
        <v>0</v>
      </c>
      <c r="S221" s="14" t="str">
        <f t="shared" si="2"/>
        <v>43.112653,131.879906</v>
      </c>
      <c r="T221" s="12"/>
    </row>
    <row r="222">
      <c r="A222" s="18" t="s">
        <v>1451</v>
      </c>
      <c r="B222" s="8" t="s">
        <v>1452</v>
      </c>
      <c r="C222" s="8" t="s">
        <v>1453</v>
      </c>
      <c r="D222" s="8" t="s">
        <v>16</v>
      </c>
      <c r="E222" s="19" t="s">
        <v>1454</v>
      </c>
      <c r="F222" s="8" t="s">
        <v>1448</v>
      </c>
      <c r="G222" s="8">
        <v>23.61</v>
      </c>
      <c r="H222" s="8"/>
      <c r="I222" s="8"/>
      <c r="J222" s="8" t="s">
        <v>1455</v>
      </c>
      <c r="K222" s="8" t="s">
        <v>1456</v>
      </c>
      <c r="L222" s="8"/>
      <c r="M222" s="8"/>
      <c r="N222" s="12"/>
      <c r="O222" s="12"/>
      <c r="P222" s="13">
        <f>IFERROR(__xludf.DUMMYFUNCTION("VALUE(SUBSTITUTE((INDEX(SPLIT(A222,"",""),1)),""."","","",1))"),43.121412)</f>
        <v>43.121412</v>
      </c>
      <c r="Q222" s="13">
        <f>IFERROR(__xludf.DUMMYFUNCTION("VALUE(SUBSTITUTE((INDEX(SPLIT(A222,"",""),2)),""."","","",1))"),131.881272)</f>
        <v>131.881272</v>
      </c>
      <c r="R222" s="14" t="b">
        <f t="shared" si="1"/>
        <v>0</v>
      </c>
      <c r="S222" s="14" t="str">
        <f t="shared" si="2"/>
        <v>43.121412,131.881272</v>
      </c>
      <c r="T222" s="12"/>
    </row>
    <row r="223">
      <c r="A223" s="15" t="s">
        <v>1457</v>
      </c>
      <c r="B223" s="16" t="s">
        <v>1458</v>
      </c>
      <c r="C223" s="16" t="s">
        <v>1459</v>
      </c>
      <c r="D223" s="16" t="s">
        <v>16</v>
      </c>
      <c r="E223" s="17" t="s">
        <v>1460</v>
      </c>
      <c r="F223" s="16" t="s">
        <v>1448</v>
      </c>
      <c r="G223" s="16">
        <v>23.61</v>
      </c>
      <c r="H223" s="16"/>
      <c r="I223" s="16"/>
      <c r="J223" s="16" t="s">
        <v>1461</v>
      </c>
      <c r="K223" s="16" t="s">
        <v>1462</v>
      </c>
      <c r="L223" s="16"/>
      <c r="M223" s="16"/>
      <c r="N223" s="12"/>
      <c r="O223" s="12"/>
      <c r="P223" s="13">
        <f>IFERROR(__xludf.DUMMYFUNCTION("VALUE(SUBSTITUTE((INDEX(SPLIT(A223,"",""),1)),""."","","",1))"),43.113989)</f>
        <v>43.113989</v>
      </c>
      <c r="Q223" s="13">
        <f>IFERROR(__xludf.DUMMYFUNCTION("VALUE(SUBSTITUTE((INDEX(SPLIT(A223,"",""),2)),""."","","",1))"),131.881397)</f>
        <v>131.881397</v>
      </c>
      <c r="R223" s="14" t="b">
        <f t="shared" si="1"/>
        <v>0</v>
      </c>
      <c r="S223" s="14" t="str">
        <f t="shared" si="2"/>
        <v>43.113989,131.881397</v>
      </c>
      <c r="T223" s="12"/>
    </row>
    <row r="224">
      <c r="A224" s="7" t="s">
        <v>1463</v>
      </c>
      <c r="B224" s="8" t="s">
        <v>1464</v>
      </c>
      <c r="C224" s="8" t="s">
        <v>1465</v>
      </c>
      <c r="D224" s="8" t="s">
        <v>16</v>
      </c>
      <c r="E224" s="9" t="s">
        <v>1466</v>
      </c>
      <c r="F224" s="10" t="s">
        <v>1448</v>
      </c>
      <c r="G224" s="8">
        <v>23.61</v>
      </c>
      <c r="H224" s="8"/>
      <c r="I224" s="10"/>
      <c r="J224" s="10" t="s">
        <v>1467</v>
      </c>
      <c r="K224" s="10" t="s">
        <v>1468</v>
      </c>
      <c r="L224" s="11" t="s">
        <v>1469</v>
      </c>
      <c r="M224" s="10"/>
      <c r="N224" s="12"/>
      <c r="O224" s="12"/>
      <c r="P224" s="13">
        <f>IFERROR(__xludf.DUMMYFUNCTION("VALUE(SUBSTITUTE((INDEX(SPLIT(A224,"",""),1)),""."","","",1))"),43.117589)</f>
        <v>43.117589</v>
      </c>
      <c r="Q224" s="13">
        <f>IFERROR(__xludf.DUMMYFUNCTION("VALUE(SUBSTITUTE((INDEX(SPLIT(A224,"",""),2)),""."","","",1))"),131.887641)</f>
        <v>131.887641</v>
      </c>
      <c r="R224" s="14" t="b">
        <f t="shared" si="1"/>
        <v>0</v>
      </c>
      <c r="S224" s="14" t="str">
        <f t="shared" si="2"/>
        <v>43.117589,131.887641</v>
      </c>
      <c r="T224" s="12"/>
    </row>
    <row r="225">
      <c r="A225" s="20" t="s">
        <v>1470</v>
      </c>
      <c r="B225" s="16" t="s">
        <v>1471</v>
      </c>
      <c r="C225" s="16" t="s">
        <v>1472</v>
      </c>
      <c r="D225" s="16" t="s">
        <v>16</v>
      </c>
      <c r="E225" s="21" t="s">
        <v>1473</v>
      </c>
      <c r="F225" s="22" t="s">
        <v>1448</v>
      </c>
      <c r="G225" s="16">
        <v>23.61</v>
      </c>
      <c r="H225" s="16"/>
      <c r="I225" s="22"/>
      <c r="J225" s="22" t="s">
        <v>1474</v>
      </c>
      <c r="K225" s="22" t="s">
        <v>1475</v>
      </c>
      <c r="L225" s="23" t="s">
        <v>1476</v>
      </c>
      <c r="M225" s="22"/>
      <c r="N225" s="12"/>
      <c r="O225" s="12"/>
      <c r="P225" s="13">
        <f>IFERROR(__xludf.DUMMYFUNCTION("VALUE(SUBSTITUTE((INDEX(SPLIT(A225,"",""),1)),""."","","",1))"),43.116181)</f>
        <v>43.116181</v>
      </c>
      <c r="Q225" s="13">
        <f>IFERROR(__xludf.DUMMYFUNCTION("VALUE(SUBSTITUTE((INDEX(SPLIT(A225,"",""),2)),""."","","",1))"),131.888278)</f>
        <v>131.888278</v>
      </c>
      <c r="R225" s="14" t="b">
        <f t="shared" si="1"/>
        <v>0</v>
      </c>
      <c r="S225" s="14" t="str">
        <f t="shared" si="2"/>
        <v>43.116181,131.888278</v>
      </c>
      <c r="T225" s="12"/>
    </row>
    <row r="226">
      <c r="A226" s="7" t="s">
        <v>1477</v>
      </c>
      <c r="B226" s="8" t="s">
        <v>1478</v>
      </c>
      <c r="C226" s="8" t="s">
        <v>1479</v>
      </c>
      <c r="D226" s="8" t="s">
        <v>16</v>
      </c>
      <c r="E226" s="9" t="s">
        <v>1480</v>
      </c>
      <c r="F226" s="10" t="s">
        <v>1448</v>
      </c>
      <c r="G226" s="8">
        <v>23.61</v>
      </c>
      <c r="H226" s="8"/>
      <c r="I226" s="31" t="s">
        <v>1481</v>
      </c>
      <c r="J226" s="10" t="s">
        <v>1482</v>
      </c>
      <c r="K226" s="10" t="s">
        <v>1483</v>
      </c>
      <c r="L226" s="11" t="s">
        <v>1484</v>
      </c>
      <c r="M226" s="11" t="s">
        <v>1485</v>
      </c>
      <c r="N226" s="12"/>
      <c r="O226" s="12"/>
      <c r="P226" s="13">
        <f>IFERROR(__xludf.DUMMYFUNCTION("VALUE(SUBSTITUTE((INDEX(SPLIT(A226,"",""),1)),""."","","",1))"),43.121577)</f>
        <v>43.121577</v>
      </c>
      <c r="Q226" s="13">
        <f>IFERROR(__xludf.DUMMYFUNCTION("VALUE(SUBSTITUTE((INDEX(SPLIT(A226,"",""),2)),""."","","",1))"),131.89286)</f>
        <v>131.89286</v>
      </c>
      <c r="R226" s="14" t="b">
        <f t="shared" si="1"/>
        <v>0</v>
      </c>
      <c r="S226" s="14" t="str">
        <f t="shared" si="2"/>
        <v>43.121577,131.89286</v>
      </c>
      <c r="T226" s="12"/>
    </row>
    <row r="227">
      <c r="A227" s="15" t="s">
        <v>1486</v>
      </c>
      <c r="B227" s="16" t="s">
        <v>1487</v>
      </c>
      <c r="C227" s="16" t="s">
        <v>1488</v>
      </c>
      <c r="D227" s="16" t="s">
        <v>16</v>
      </c>
      <c r="E227" s="17" t="s">
        <v>1489</v>
      </c>
      <c r="F227" s="16" t="s">
        <v>1448</v>
      </c>
      <c r="G227" s="16">
        <v>23.61</v>
      </c>
      <c r="H227" s="16"/>
      <c r="I227" s="16"/>
      <c r="J227" s="16" t="s">
        <v>1490</v>
      </c>
      <c r="K227" s="16" t="s">
        <v>1491</v>
      </c>
      <c r="L227" s="16"/>
      <c r="M227" s="25" t="s">
        <v>1492</v>
      </c>
      <c r="N227" s="12"/>
      <c r="O227" s="12"/>
      <c r="P227" s="13">
        <f>IFERROR(__xludf.DUMMYFUNCTION("VALUE(SUBSTITUTE((INDEX(SPLIT(A227,"",""),1)),""."","","",1))"),43.127887)</f>
        <v>43.127887</v>
      </c>
      <c r="Q227" s="13">
        <f>IFERROR(__xludf.DUMMYFUNCTION("VALUE(SUBSTITUTE((INDEX(SPLIT(A227,"",""),2)),""."","","",1))"),131.893192)</f>
        <v>131.893192</v>
      </c>
      <c r="R227" s="14" t="b">
        <f t="shared" si="1"/>
        <v>0</v>
      </c>
      <c r="S227" s="14" t="str">
        <f t="shared" si="2"/>
        <v>43.127887,131.893192</v>
      </c>
      <c r="T227" s="12"/>
    </row>
    <row r="228">
      <c r="A228" s="18" t="s">
        <v>1493</v>
      </c>
      <c r="B228" s="8" t="s">
        <v>1494</v>
      </c>
      <c r="C228" s="8" t="s">
        <v>1495</v>
      </c>
      <c r="D228" s="8" t="s">
        <v>16</v>
      </c>
      <c r="E228" s="19" t="s">
        <v>1496</v>
      </c>
      <c r="F228" s="8" t="s">
        <v>1448</v>
      </c>
      <c r="G228" s="8">
        <v>23.61</v>
      </c>
      <c r="H228" s="8"/>
      <c r="I228" s="8"/>
      <c r="J228" s="8" t="s">
        <v>1497</v>
      </c>
      <c r="K228" s="8" t="s">
        <v>1498</v>
      </c>
      <c r="L228" s="8"/>
      <c r="M228" s="8"/>
      <c r="N228" s="12"/>
      <c r="O228" s="12"/>
      <c r="P228" s="13">
        <f>IFERROR(__xludf.DUMMYFUNCTION("VALUE(SUBSTITUTE((INDEX(SPLIT(A228,"",""),1)),""."","","",1))"),43.121379)</f>
        <v>43.121379</v>
      </c>
      <c r="Q228" s="13">
        <f>IFERROR(__xludf.DUMMYFUNCTION("VALUE(SUBSTITUTE((INDEX(SPLIT(A228,"",""),2)),""."","","",1))"),131.893758)</f>
        <v>131.893758</v>
      </c>
      <c r="R228" s="14" t="b">
        <f t="shared" si="1"/>
        <v>0</v>
      </c>
      <c r="S228" s="14" t="str">
        <f t="shared" si="2"/>
        <v>43.121379,131.893758</v>
      </c>
      <c r="T228" s="12"/>
    </row>
    <row r="229">
      <c r="A229" s="15" t="s">
        <v>1493</v>
      </c>
      <c r="B229" s="16" t="s">
        <v>1499</v>
      </c>
      <c r="C229" s="16" t="s">
        <v>1500</v>
      </c>
      <c r="D229" s="16" t="s">
        <v>16</v>
      </c>
      <c r="E229" s="17" t="s">
        <v>1501</v>
      </c>
      <c r="F229" s="16" t="s">
        <v>1448</v>
      </c>
      <c r="G229" s="16">
        <v>23.61</v>
      </c>
      <c r="H229" s="16"/>
      <c r="I229" s="16"/>
      <c r="J229" s="16" t="s">
        <v>1502</v>
      </c>
      <c r="K229" s="16" t="s">
        <v>1503</v>
      </c>
      <c r="L229" s="16"/>
      <c r="M229" s="25" t="s">
        <v>1504</v>
      </c>
      <c r="N229" s="12"/>
      <c r="O229" s="12"/>
      <c r="P229" s="13">
        <f>IFERROR(__xludf.DUMMYFUNCTION("VALUE(SUBSTITUTE((INDEX(SPLIT(A229,"",""),1)),""."","","",1))"),43.121379)</f>
        <v>43.121379</v>
      </c>
      <c r="Q229" s="13">
        <f>IFERROR(__xludf.DUMMYFUNCTION("VALUE(SUBSTITUTE((INDEX(SPLIT(A229,"",""),2)),""."","","",1))"),131.893758)</f>
        <v>131.893758</v>
      </c>
      <c r="R229" s="14" t="b">
        <f t="shared" si="1"/>
        <v>0</v>
      </c>
      <c r="S229" s="14" t="str">
        <f t="shared" si="2"/>
        <v>43.121379,131.893758</v>
      </c>
      <c r="T229" s="12"/>
    </row>
    <row r="230">
      <c r="A230" s="7" t="s">
        <v>1505</v>
      </c>
      <c r="B230" s="8" t="s">
        <v>1506</v>
      </c>
      <c r="C230" s="8" t="s">
        <v>1507</v>
      </c>
      <c r="D230" s="8" t="s">
        <v>16</v>
      </c>
      <c r="E230" s="9" t="s">
        <v>1508</v>
      </c>
      <c r="F230" s="10" t="s">
        <v>1448</v>
      </c>
      <c r="G230" s="8">
        <v>23.61</v>
      </c>
      <c r="H230" s="8"/>
      <c r="I230" s="10"/>
      <c r="J230" s="10" t="s">
        <v>1509</v>
      </c>
      <c r="K230" s="10" t="s">
        <v>1510</v>
      </c>
      <c r="L230" s="11" t="s">
        <v>1511</v>
      </c>
      <c r="M230" s="10"/>
      <c r="N230" s="12"/>
      <c r="O230" s="12"/>
      <c r="P230" s="13">
        <f>IFERROR(__xludf.DUMMYFUNCTION("VALUE(SUBSTITUTE((INDEX(SPLIT(A230,"",""),1)),""."","","",1))"),43.131144)</f>
        <v>43.131144</v>
      </c>
      <c r="Q230" s="13">
        <f>IFERROR(__xludf.DUMMYFUNCTION("VALUE(SUBSTITUTE((INDEX(SPLIT(A230,"",""),2)),""."","","",1))"),131.894225)</f>
        <v>131.894225</v>
      </c>
      <c r="R230" s="14" t="b">
        <f t="shared" si="1"/>
        <v>0</v>
      </c>
      <c r="S230" s="14" t="str">
        <f t="shared" si="2"/>
        <v>43.131144,131.894225</v>
      </c>
      <c r="T230" s="12"/>
    </row>
    <row r="231">
      <c r="A231" s="15" t="s">
        <v>1505</v>
      </c>
      <c r="B231" s="16" t="s">
        <v>1512</v>
      </c>
      <c r="C231" s="16" t="s">
        <v>1513</v>
      </c>
      <c r="D231" s="16" t="s">
        <v>16</v>
      </c>
      <c r="E231" s="17" t="s">
        <v>1514</v>
      </c>
      <c r="F231" s="16" t="s">
        <v>1448</v>
      </c>
      <c r="G231" s="16">
        <v>23.61</v>
      </c>
      <c r="H231" s="16"/>
      <c r="I231" s="16"/>
      <c r="J231" s="16" t="s">
        <v>1515</v>
      </c>
      <c r="K231" s="16" t="s">
        <v>1516</v>
      </c>
      <c r="L231" s="16"/>
      <c r="M231" s="25" t="s">
        <v>1517</v>
      </c>
      <c r="N231" s="12"/>
      <c r="O231" s="12"/>
      <c r="P231" s="13">
        <f>IFERROR(__xludf.DUMMYFUNCTION("VALUE(SUBSTITUTE((INDEX(SPLIT(A231,"",""),1)),""."","","",1))"),43.131144)</f>
        <v>43.131144</v>
      </c>
      <c r="Q231" s="13">
        <f>IFERROR(__xludf.DUMMYFUNCTION("VALUE(SUBSTITUTE((INDEX(SPLIT(A231,"",""),2)),""."","","",1))"),131.894225)</f>
        <v>131.894225</v>
      </c>
      <c r="R231" s="14" t="b">
        <f t="shared" si="1"/>
        <v>0</v>
      </c>
      <c r="S231" s="14" t="str">
        <f t="shared" si="2"/>
        <v>43.131144,131.894225</v>
      </c>
      <c r="T231" s="12"/>
    </row>
    <row r="232">
      <c r="A232" s="7" t="s">
        <v>1518</v>
      </c>
      <c r="B232" s="8" t="s">
        <v>1519</v>
      </c>
      <c r="C232" s="8" t="s">
        <v>1520</v>
      </c>
      <c r="D232" s="8" t="s">
        <v>16</v>
      </c>
      <c r="E232" s="9" t="s">
        <v>1521</v>
      </c>
      <c r="F232" s="10" t="s">
        <v>1448</v>
      </c>
      <c r="G232" s="8">
        <v>23.61</v>
      </c>
      <c r="H232" s="8"/>
      <c r="I232" s="10"/>
      <c r="J232" s="10" t="s">
        <v>1522</v>
      </c>
      <c r="K232" s="10" t="s">
        <v>1523</v>
      </c>
      <c r="L232" s="11" t="s">
        <v>1524</v>
      </c>
      <c r="M232" s="10"/>
      <c r="N232" s="12"/>
      <c r="O232" s="12"/>
      <c r="P232" s="13">
        <f>IFERROR(__xludf.DUMMYFUNCTION("VALUE(SUBSTITUTE((INDEX(SPLIT(A232,"",""),1)),""."","","",1))"),43.135269)</f>
        <v>43.135269</v>
      </c>
      <c r="Q232" s="13">
        <f>IFERROR(__xludf.DUMMYFUNCTION("VALUE(SUBSTITUTE((INDEX(SPLIT(A232,"",""),2)),""."","","",1))"),131.898223)</f>
        <v>131.898223</v>
      </c>
      <c r="R232" s="14" t="b">
        <f t="shared" si="1"/>
        <v>0</v>
      </c>
      <c r="S232" s="14" t="str">
        <f t="shared" si="2"/>
        <v>43.135269,131.898223</v>
      </c>
      <c r="T232" s="12"/>
    </row>
    <row r="233">
      <c r="A233" s="15" t="s">
        <v>1525</v>
      </c>
      <c r="B233" s="16" t="s">
        <v>1526</v>
      </c>
      <c r="C233" s="16" t="s">
        <v>1527</v>
      </c>
      <c r="D233" s="16" t="s">
        <v>16</v>
      </c>
      <c r="E233" s="17" t="s">
        <v>1528</v>
      </c>
      <c r="F233" s="16" t="s">
        <v>1448</v>
      </c>
      <c r="G233" s="16">
        <v>23.61</v>
      </c>
      <c r="H233" s="16"/>
      <c r="I233" s="16"/>
      <c r="J233" s="16" t="s">
        <v>1529</v>
      </c>
      <c r="K233" s="16" t="s">
        <v>1456</v>
      </c>
      <c r="L233" s="16"/>
      <c r="M233" s="25" t="s">
        <v>1530</v>
      </c>
      <c r="N233" s="12"/>
      <c r="O233" s="12"/>
      <c r="P233" s="13">
        <f>IFERROR(__xludf.DUMMYFUNCTION("VALUE(SUBSTITUTE((INDEX(SPLIT(A233,"",""),1)),""."","","",1))"),43.130479)</f>
        <v>43.130479</v>
      </c>
      <c r="Q233" s="13">
        <f>IFERROR(__xludf.DUMMYFUNCTION("VALUE(SUBSTITUTE((INDEX(SPLIT(A233,"",""),2)),""."","","",1))"),131.899642)</f>
        <v>131.899642</v>
      </c>
      <c r="R233" s="14" t="b">
        <f t="shared" si="1"/>
        <v>0</v>
      </c>
      <c r="S233" s="14" t="str">
        <f t="shared" si="2"/>
        <v>43.130479,131.899642</v>
      </c>
      <c r="T233" s="12"/>
    </row>
    <row r="234">
      <c r="A234" s="7" t="s">
        <v>1531</v>
      </c>
      <c r="B234" s="8" t="s">
        <v>1532</v>
      </c>
      <c r="C234" s="8" t="s">
        <v>1533</v>
      </c>
      <c r="D234" s="8" t="s">
        <v>16</v>
      </c>
      <c r="E234" s="9" t="s">
        <v>1534</v>
      </c>
      <c r="F234" s="10" t="s">
        <v>1448</v>
      </c>
      <c r="G234" s="8">
        <v>23.61</v>
      </c>
      <c r="H234" s="8"/>
      <c r="I234" s="10"/>
      <c r="J234" s="10" t="s">
        <v>1535</v>
      </c>
      <c r="K234" s="10" t="s">
        <v>1536</v>
      </c>
      <c r="L234" s="29" t="s">
        <v>1537</v>
      </c>
      <c r="M234" s="10"/>
      <c r="N234" s="12"/>
      <c r="O234" s="12"/>
      <c r="P234" s="13">
        <f>IFERROR(__xludf.DUMMYFUNCTION("VALUE(SUBSTITUTE((INDEX(SPLIT(A234,"",""),1)),""."","","",1))"),43.137565)</f>
        <v>43.137565</v>
      </c>
      <c r="Q234" s="13">
        <f>IFERROR(__xludf.DUMMYFUNCTION("VALUE(SUBSTITUTE((INDEX(SPLIT(A234,"",""),2)),""."","","",1))"),131.899642)</f>
        <v>131.899642</v>
      </c>
      <c r="R234" s="14" t="b">
        <f t="shared" si="1"/>
        <v>0</v>
      </c>
      <c r="S234" s="14" t="str">
        <f t="shared" si="2"/>
        <v>43.137565,131.899642</v>
      </c>
      <c r="T234" s="12"/>
    </row>
    <row r="235">
      <c r="A235" s="20" t="s">
        <v>1538</v>
      </c>
      <c r="B235" s="16" t="s">
        <v>1539</v>
      </c>
      <c r="C235" s="16" t="s">
        <v>1540</v>
      </c>
      <c r="D235" s="16" t="s">
        <v>16</v>
      </c>
      <c r="E235" s="21" t="s">
        <v>1541</v>
      </c>
      <c r="F235" s="22" t="s">
        <v>1448</v>
      </c>
      <c r="G235" s="16">
        <v>23.61</v>
      </c>
      <c r="H235" s="16"/>
      <c r="I235" s="22"/>
      <c r="J235" s="22" t="s">
        <v>1542</v>
      </c>
      <c r="K235" s="22" t="s">
        <v>1543</v>
      </c>
      <c r="L235" s="23" t="s">
        <v>1544</v>
      </c>
      <c r="M235" s="23" t="s">
        <v>1545</v>
      </c>
      <c r="N235" s="12"/>
      <c r="O235" s="12"/>
      <c r="P235" s="13">
        <f>IFERROR(__xludf.DUMMYFUNCTION("VALUE(SUBSTITUTE((INDEX(SPLIT(A235,"",""),1)),""."","","",1))"),43.1007)</f>
        <v>43.1007</v>
      </c>
      <c r="Q235" s="13">
        <f>IFERROR(__xludf.DUMMYFUNCTION("VALUE(SUBSTITUTE((INDEX(SPLIT(A235,"",""),2)),""."","","",1))"),131.902175)</f>
        <v>131.902175</v>
      </c>
      <c r="R235" s="14" t="b">
        <f t="shared" si="1"/>
        <v>0</v>
      </c>
      <c r="S235" s="14" t="str">
        <f t="shared" si="2"/>
        <v>43.1007,131.902175</v>
      </c>
      <c r="T235" s="12"/>
    </row>
    <row r="236">
      <c r="A236" s="7" t="s">
        <v>1546</v>
      </c>
      <c r="B236" s="8" t="s">
        <v>1547</v>
      </c>
      <c r="C236" s="8" t="s">
        <v>1548</v>
      </c>
      <c r="D236" s="8" t="s">
        <v>16</v>
      </c>
      <c r="E236" s="9" t="s">
        <v>1549</v>
      </c>
      <c r="F236" s="10" t="s">
        <v>1448</v>
      </c>
      <c r="G236" s="8">
        <v>23.61</v>
      </c>
      <c r="H236" s="8"/>
      <c r="I236" s="10"/>
      <c r="J236" s="10" t="s">
        <v>1550</v>
      </c>
      <c r="K236" s="10" t="s">
        <v>1551</v>
      </c>
      <c r="L236" s="11" t="s">
        <v>1552</v>
      </c>
      <c r="M236" s="10"/>
      <c r="N236" s="12"/>
      <c r="O236" s="12"/>
      <c r="P236" s="13">
        <f>IFERROR(__xludf.DUMMYFUNCTION("VALUE(SUBSTITUTE((INDEX(SPLIT(A236,"",""),1)),""."","","",1))"),43.149471)</f>
        <v>43.149471</v>
      </c>
      <c r="Q236" s="13">
        <f>IFERROR(__xludf.DUMMYFUNCTION("VALUE(SUBSTITUTE((INDEX(SPLIT(A236,"",""),2)),""."","","",1))"),131.90514)</f>
        <v>131.90514</v>
      </c>
      <c r="R236" s="14" t="b">
        <f t="shared" si="1"/>
        <v>0</v>
      </c>
      <c r="S236" s="14" t="str">
        <f t="shared" si="2"/>
        <v>43.149471,131.90514</v>
      </c>
      <c r="T236" s="12"/>
    </row>
    <row r="237">
      <c r="A237" s="15" t="s">
        <v>1553</v>
      </c>
      <c r="B237" s="16" t="s">
        <v>1554</v>
      </c>
      <c r="C237" s="16" t="s">
        <v>1555</v>
      </c>
      <c r="D237" s="16" t="s">
        <v>16</v>
      </c>
      <c r="E237" s="17" t="s">
        <v>1556</v>
      </c>
      <c r="F237" s="16" t="s">
        <v>1448</v>
      </c>
      <c r="G237" s="16">
        <v>23.61</v>
      </c>
      <c r="H237" s="16"/>
      <c r="I237" s="16"/>
      <c r="J237" s="16" t="s">
        <v>1557</v>
      </c>
      <c r="K237" s="16" t="s">
        <v>1558</v>
      </c>
      <c r="L237" s="16"/>
      <c r="M237" s="16"/>
      <c r="N237" s="12"/>
      <c r="O237" s="12"/>
      <c r="P237" s="13">
        <f>IFERROR(__xludf.DUMMYFUNCTION("VALUE(SUBSTITUTE((INDEX(SPLIT(A237,"",""),1)),""."","","",1))"),43.120458)</f>
        <v>43.120458</v>
      </c>
      <c r="Q237" s="13">
        <f>IFERROR(__xludf.DUMMYFUNCTION("VALUE(SUBSTITUTE((INDEX(SPLIT(A237,"",""),2)),""."","","",1))"),131.907224)</f>
        <v>131.907224</v>
      </c>
      <c r="R237" s="14" t="b">
        <f t="shared" si="1"/>
        <v>0</v>
      </c>
      <c r="S237" s="14" t="str">
        <f t="shared" si="2"/>
        <v>43.120458,131.907224</v>
      </c>
      <c r="T237" s="12"/>
    </row>
    <row r="238">
      <c r="A238" s="7" t="s">
        <v>1559</v>
      </c>
      <c r="B238" s="8" t="s">
        <v>1560</v>
      </c>
      <c r="C238" s="8" t="s">
        <v>1561</v>
      </c>
      <c r="D238" s="8" t="s">
        <v>16</v>
      </c>
      <c r="E238" s="9" t="s">
        <v>1562</v>
      </c>
      <c r="F238" s="10" t="s">
        <v>1448</v>
      </c>
      <c r="G238" s="8">
        <v>23.61</v>
      </c>
      <c r="H238" s="8"/>
      <c r="I238" s="10"/>
      <c r="J238" s="10" t="s">
        <v>1563</v>
      </c>
      <c r="K238" s="10" t="s">
        <v>1564</v>
      </c>
      <c r="L238" s="11" t="s">
        <v>1565</v>
      </c>
      <c r="M238" s="10"/>
      <c r="N238" s="12"/>
      <c r="O238" s="12"/>
      <c r="P238" s="13">
        <f>IFERROR(__xludf.DUMMYFUNCTION("VALUE(SUBSTITUTE((INDEX(SPLIT(A238,"",""),1)),""."","","",1))"),43.176419)</f>
        <v>43.176419</v>
      </c>
      <c r="Q238" s="13">
        <f>IFERROR(__xludf.DUMMYFUNCTION("VALUE(SUBSTITUTE((INDEX(SPLIT(A238,"",""),2)),""."","","",1))"),131.907556)</f>
        <v>131.907556</v>
      </c>
      <c r="R238" s="14" t="b">
        <f t="shared" si="1"/>
        <v>0</v>
      </c>
      <c r="S238" s="14" t="str">
        <f t="shared" si="2"/>
        <v>43.176419,131.907556</v>
      </c>
      <c r="T238" s="12"/>
    </row>
    <row r="239">
      <c r="A239" s="20" t="s">
        <v>1566</v>
      </c>
      <c r="B239" s="16" t="s">
        <v>1567</v>
      </c>
      <c r="C239" s="16" t="s">
        <v>1568</v>
      </c>
      <c r="D239" s="16" t="s">
        <v>16</v>
      </c>
      <c r="E239" s="21" t="s">
        <v>1569</v>
      </c>
      <c r="F239" s="22" t="s">
        <v>1448</v>
      </c>
      <c r="G239" s="16">
        <v>23.61</v>
      </c>
      <c r="H239" s="16"/>
      <c r="I239" s="22"/>
      <c r="J239" s="22" t="s">
        <v>1570</v>
      </c>
      <c r="K239" s="22" t="s">
        <v>1571</v>
      </c>
      <c r="L239" s="23" t="s">
        <v>1572</v>
      </c>
      <c r="M239" s="22"/>
      <c r="N239" s="12"/>
      <c r="O239" s="12"/>
      <c r="P239" s="13">
        <f>IFERROR(__xludf.DUMMYFUNCTION("VALUE(SUBSTITUTE((INDEX(SPLIT(A239,"",""),1)),""."","","",1))"),43.151859)</f>
        <v>43.151859</v>
      </c>
      <c r="Q239" s="13">
        <f>IFERROR(__xludf.DUMMYFUNCTION("VALUE(SUBSTITUTE((INDEX(SPLIT(A239,"",""),2)),""."","","",1))"),131.907754)</f>
        <v>131.907754</v>
      </c>
      <c r="R239" s="14" t="b">
        <f t="shared" si="1"/>
        <v>0</v>
      </c>
      <c r="S239" s="14" t="str">
        <f t="shared" si="2"/>
        <v>43.151859,131.907754</v>
      </c>
      <c r="T239" s="12"/>
    </row>
    <row r="240">
      <c r="A240" s="18" t="s">
        <v>1573</v>
      </c>
      <c r="B240" s="8" t="s">
        <v>1574</v>
      </c>
      <c r="C240" s="8" t="s">
        <v>1575</v>
      </c>
      <c r="D240" s="8" t="s">
        <v>16</v>
      </c>
      <c r="E240" s="19" t="s">
        <v>1576</v>
      </c>
      <c r="F240" s="8" t="s">
        <v>1448</v>
      </c>
      <c r="G240" s="8">
        <v>23.61</v>
      </c>
      <c r="H240" s="8"/>
      <c r="I240" s="8"/>
      <c r="J240" s="8" t="s">
        <v>1577</v>
      </c>
      <c r="K240" s="8" t="s">
        <v>1578</v>
      </c>
      <c r="L240" s="8"/>
      <c r="M240" s="8"/>
      <c r="N240" s="12"/>
      <c r="O240" s="12"/>
      <c r="P240" s="13">
        <f>IFERROR(__xludf.DUMMYFUNCTION("VALUE(SUBSTITUTE((INDEX(SPLIT(A240,"",""),1)),""."","","",1))"),43.114838)</f>
        <v>43.114838</v>
      </c>
      <c r="Q240" s="13">
        <f>IFERROR(__xludf.DUMMYFUNCTION("VALUE(SUBSTITUTE((INDEX(SPLIT(A240,"",""),2)),""."","","",1))"),131.9107)</f>
        <v>131.9107</v>
      </c>
      <c r="R240" s="14" t="b">
        <f t="shared" si="1"/>
        <v>0</v>
      </c>
      <c r="S240" s="14" t="str">
        <f t="shared" si="2"/>
        <v>43.114838,131.9107</v>
      </c>
      <c r="T240" s="12"/>
    </row>
    <row r="241">
      <c r="A241" s="15" t="s">
        <v>1579</v>
      </c>
      <c r="B241" s="16" t="s">
        <v>89</v>
      </c>
      <c r="C241" s="16" t="s">
        <v>90</v>
      </c>
      <c r="D241" s="16" t="s">
        <v>16</v>
      </c>
      <c r="E241" s="17" t="s">
        <v>1580</v>
      </c>
      <c r="F241" s="16" t="s">
        <v>1448</v>
      </c>
      <c r="G241" s="16">
        <v>23.61</v>
      </c>
      <c r="H241" s="16"/>
      <c r="I241" s="16"/>
      <c r="J241" s="16" t="s">
        <v>1581</v>
      </c>
      <c r="K241" s="16" t="s">
        <v>1582</v>
      </c>
      <c r="L241" s="16"/>
      <c r="M241" s="16"/>
      <c r="N241" s="12"/>
      <c r="O241" s="12"/>
      <c r="P241" s="13">
        <f>IFERROR(__xludf.DUMMYFUNCTION("VALUE(SUBSTITUTE((INDEX(SPLIT(A241,"",""),1)),""."","","",1))"),43.822943)</f>
        <v>43.822943</v>
      </c>
      <c r="Q241" s="13">
        <f>IFERROR(__xludf.DUMMYFUNCTION("VALUE(SUBSTITUTE((INDEX(SPLIT(A241,"",""),2)),""."","","",1))"),131.911365)</f>
        <v>131.911365</v>
      </c>
      <c r="R241" s="14" t="b">
        <f t="shared" si="1"/>
        <v>0</v>
      </c>
      <c r="S241" s="14" t="str">
        <f t="shared" si="2"/>
        <v>43.822943,131.911365</v>
      </c>
      <c r="T241" s="12"/>
    </row>
    <row r="242">
      <c r="A242" s="18" t="s">
        <v>1583</v>
      </c>
      <c r="B242" s="8" t="s">
        <v>1584</v>
      </c>
      <c r="C242" s="8" t="s">
        <v>1585</v>
      </c>
      <c r="D242" s="8" t="s">
        <v>16</v>
      </c>
      <c r="E242" s="19" t="s">
        <v>1586</v>
      </c>
      <c r="F242" s="8" t="s">
        <v>1448</v>
      </c>
      <c r="G242" s="8">
        <v>23.61</v>
      </c>
      <c r="H242" s="8"/>
      <c r="I242" s="8"/>
      <c r="J242" s="8" t="s">
        <v>1587</v>
      </c>
      <c r="K242" s="8" t="s">
        <v>1588</v>
      </c>
      <c r="L242" s="8"/>
      <c r="M242" s="8"/>
      <c r="N242" s="12"/>
      <c r="O242" s="12"/>
      <c r="P242" s="13">
        <f>IFERROR(__xludf.DUMMYFUNCTION("VALUE(SUBSTITUTE((INDEX(SPLIT(A242,"",""),1)),""."","","",1))"),43.174454)</f>
        <v>43.174454</v>
      </c>
      <c r="Q242" s="13">
        <f>IFERROR(__xludf.DUMMYFUNCTION("VALUE(SUBSTITUTE((INDEX(SPLIT(A242,"",""),2)),""."","","",1))"),131.911653)</f>
        <v>131.911653</v>
      </c>
      <c r="R242" s="14" t="b">
        <f t="shared" si="1"/>
        <v>0</v>
      </c>
      <c r="S242" s="14" t="str">
        <f t="shared" si="2"/>
        <v>43.174454,131.911653</v>
      </c>
      <c r="T242" s="12"/>
    </row>
    <row r="243">
      <c r="A243" s="15" t="s">
        <v>1589</v>
      </c>
      <c r="B243" s="16" t="s">
        <v>1590</v>
      </c>
      <c r="C243" s="16" t="s">
        <v>1591</v>
      </c>
      <c r="D243" s="16" t="s">
        <v>16</v>
      </c>
      <c r="E243" s="17" t="s">
        <v>1592</v>
      </c>
      <c r="F243" s="16" t="s">
        <v>1448</v>
      </c>
      <c r="G243" s="16">
        <v>23.61</v>
      </c>
      <c r="H243" s="16"/>
      <c r="I243" s="16"/>
      <c r="J243" s="16" t="s">
        <v>1593</v>
      </c>
      <c r="K243" s="16" t="s">
        <v>1594</v>
      </c>
      <c r="L243" s="16"/>
      <c r="M243" s="16"/>
      <c r="N243" s="12"/>
      <c r="O243" s="12"/>
      <c r="P243" s="13">
        <f>IFERROR(__xludf.DUMMYFUNCTION("VALUE(SUBSTITUTE((INDEX(SPLIT(A243,"",""),1)),""."","","",1))"),43.166695)</f>
        <v>43.166695</v>
      </c>
      <c r="Q243" s="13">
        <f>IFERROR(__xludf.DUMMYFUNCTION("VALUE(SUBSTITUTE((INDEX(SPLIT(A243,"",""),2)),""."","","",1))"),131.912865)</f>
        <v>131.912865</v>
      </c>
      <c r="R243" s="14" t="b">
        <f t="shared" si="1"/>
        <v>0</v>
      </c>
      <c r="S243" s="14" t="str">
        <f t="shared" si="2"/>
        <v>43.166695,131.912865</v>
      </c>
      <c r="T243" s="12"/>
    </row>
    <row r="244">
      <c r="A244" s="18" t="s">
        <v>1595</v>
      </c>
      <c r="B244" s="8" t="s">
        <v>1596</v>
      </c>
      <c r="C244" s="8" t="s">
        <v>1597</v>
      </c>
      <c r="D244" s="8" t="s">
        <v>16</v>
      </c>
      <c r="E244" s="19" t="s">
        <v>1598</v>
      </c>
      <c r="F244" s="8" t="s">
        <v>1448</v>
      </c>
      <c r="G244" s="8">
        <v>23.61</v>
      </c>
      <c r="H244" s="8"/>
      <c r="I244" s="8"/>
      <c r="J244" s="8" t="s">
        <v>1599</v>
      </c>
      <c r="K244" s="8" t="s">
        <v>1600</v>
      </c>
      <c r="L244" s="8"/>
      <c r="M244" s="24" t="s">
        <v>1601</v>
      </c>
      <c r="N244" s="12"/>
      <c r="O244" s="12"/>
      <c r="P244" s="13">
        <f>IFERROR(__xludf.DUMMYFUNCTION("VALUE(SUBSTITUTE((INDEX(SPLIT(A244,"",""),1)),""."","","",1))"),43.800968)</f>
        <v>43.800968</v>
      </c>
      <c r="Q244" s="13">
        <f>IFERROR(__xludf.DUMMYFUNCTION("VALUE(SUBSTITUTE((INDEX(SPLIT(A244,"",""),2)),""."","","",1))"),131.913054)</f>
        <v>131.913054</v>
      </c>
      <c r="R244" s="14" t="b">
        <f t="shared" si="1"/>
        <v>0</v>
      </c>
      <c r="S244" s="14" t="str">
        <f t="shared" si="2"/>
        <v>43.800968,131.913054</v>
      </c>
      <c r="T244" s="12"/>
    </row>
    <row r="245">
      <c r="A245" s="15" t="s">
        <v>1595</v>
      </c>
      <c r="B245" s="16" t="s">
        <v>1602</v>
      </c>
      <c r="C245" s="16" t="s">
        <v>1603</v>
      </c>
      <c r="D245" s="16" t="s">
        <v>16</v>
      </c>
      <c r="E245" s="17" t="s">
        <v>1604</v>
      </c>
      <c r="F245" s="16" t="s">
        <v>1448</v>
      </c>
      <c r="G245" s="16">
        <v>23.61</v>
      </c>
      <c r="H245" s="16"/>
      <c r="I245" s="16"/>
      <c r="J245" s="16" t="s">
        <v>1605</v>
      </c>
      <c r="K245" s="16" t="s">
        <v>1606</v>
      </c>
      <c r="L245" s="16"/>
      <c r="M245" s="16"/>
      <c r="N245" s="12"/>
      <c r="O245" s="12"/>
      <c r="P245" s="13">
        <f>IFERROR(__xludf.DUMMYFUNCTION("VALUE(SUBSTITUTE((INDEX(SPLIT(A245,"",""),1)),""."","","",1))"),43.800968)</f>
        <v>43.800968</v>
      </c>
      <c r="Q245" s="13">
        <f>IFERROR(__xludf.DUMMYFUNCTION("VALUE(SUBSTITUTE((INDEX(SPLIT(A245,"",""),2)),""."","","",1))"),131.913054)</f>
        <v>131.913054</v>
      </c>
      <c r="R245" s="14" t="b">
        <f t="shared" si="1"/>
        <v>0</v>
      </c>
      <c r="S245" s="14" t="str">
        <f t="shared" si="2"/>
        <v>43.800968,131.913054</v>
      </c>
      <c r="T245" s="12"/>
    </row>
    <row r="246">
      <c r="A246" s="18" t="s">
        <v>1607</v>
      </c>
      <c r="B246" s="8" t="s">
        <v>1608</v>
      </c>
      <c r="C246" s="8" t="s">
        <v>1609</v>
      </c>
      <c r="D246" s="8" t="s">
        <v>16</v>
      </c>
      <c r="E246" s="19" t="s">
        <v>1610</v>
      </c>
      <c r="F246" s="8" t="s">
        <v>1448</v>
      </c>
      <c r="G246" s="8">
        <v>23.61</v>
      </c>
      <c r="H246" s="8"/>
      <c r="I246" s="8"/>
      <c r="J246" s="8" t="s">
        <v>1611</v>
      </c>
      <c r="K246" s="8" t="s">
        <v>1612</v>
      </c>
      <c r="L246" s="8"/>
      <c r="M246" s="24" t="s">
        <v>1492</v>
      </c>
      <c r="N246" s="12"/>
      <c r="O246" s="12"/>
      <c r="P246" s="13">
        <f>IFERROR(__xludf.DUMMYFUNCTION("VALUE(SUBSTITUTE((INDEX(SPLIT(A246,"",""),1)),""."","","",1))"),43.088534)</f>
        <v>43.088534</v>
      </c>
      <c r="Q246" s="13">
        <f>IFERROR(__xludf.DUMMYFUNCTION("VALUE(SUBSTITUTE((INDEX(SPLIT(A246,"",""),2)),""."","","",1))"),131.916863)</f>
        <v>131.916863</v>
      </c>
      <c r="R246" s="14" t="b">
        <f t="shared" si="1"/>
        <v>0</v>
      </c>
      <c r="S246" s="14" t="str">
        <f t="shared" si="2"/>
        <v>43.088534,131.916863</v>
      </c>
      <c r="T246" s="12"/>
    </row>
    <row r="247">
      <c r="A247" s="15" t="s">
        <v>1613</v>
      </c>
      <c r="B247" s="16" t="s">
        <v>1614</v>
      </c>
      <c r="C247" s="16" t="s">
        <v>1615</v>
      </c>
      <c r="D247" s="16" t="s">
        <v>16</v>
      </c>
      <c r="E247" s="17" t="s">
        <v>1616</v>
      </c>
      <c r="F247" s="16" t="s">
        <v>1448</v>
      </c>
      <c r="G247" s="16">
        <v>23.61</v>
      </c>
      <c r="H247" s="16"/>
      <c r="I247" s="16"/>
      <c r="J247" s="16" t="s">
        <v>1617</v>
      </c>
      <c r="K247" s="16" t="s">
        <v>1618</v>
      </c>
      <c r="L247" s="16"/>
      <c r="M247" s="16"/>
      <c r="N247" s="12"/>
      <c r="O247" s="12"/>
      <c r="P247" s="13">
        <f>IFERROR(__xludf.DUMMYFUNCTION("VALUE(SUBSTITUTE((INDEX(SPLIT(A247,"",""),1)),""."","","",1))"),43.170331)</f>
        <v>43.170331</v>
      </c>
      <c r="Q247" s="13">
        <f>IFERROR(__xludf.DUMMYFUNCTION("VALUE(SUBSTITUTE((INDEX(SPLIT(A247,"",""),2)),""."","","",1))"),131.917977)</f>
        <v>131.917977</v>
      </c>
      <c r="R247" s="14" t="b">
        <f t="shared" si="1"/>
        <v>0</v>
      </c>
      <c r="S247" s="14" t="str">
        <f t="shared" si="2"/>
        <v>43.170331,131.917977</v>
      </c>
      <c r="T247" s="12"/>
    </row>
    <row r="248">
      <c r="A248" s="18" t="s">
        <v>1619</v>
      </c>
      <c r="B248" s="8" t="s">
        <v>1620</v>
      </c>
      <c r="C248" s="8" t="s">
        <v>1621</v>
      </c>
      <c r="D248" s="8" t="s">
        <v>16</v>
      </c>
      <c r="E248" s="19" t="s">
        <v>1622</v>
      </c>
      <c r="F248" s="8" t="s">
        <v>1448</v>
      </c>
      <c r="G248" s="8">
        <v>23.61</v>
      </c>
      <c r="H248" s="8"/>
      <c r="I248" s="8"/>
      <c r="J248" s="8" t="s">
        <v>1623</v>
      </c>
      <c r="K248" s="8" t="s">
        <v>1624</v>
      </c>
      <c r="L248" s="8"/>
      <c r="M248" s="8"/>
      <c r="N248" s="12"/>
      <c r="O248" s="12"/>
      <c r="P248" s="13">
        <f>IFERROR(__xludf.DUMMYFUNCTION("VALUE(SUBSTITUTE((INDEX(SPLIT(A248,"",""),1)),""."","","",1))"),43.092787)</f>
        <v>43.092787</v>
      </c>
      <c r="Q248" s="13">
        <f>IFERROR(__xludf.DUMMYFUNCTION("VALUE(SUBSTITUTE((INDEX(SPLIT(A248,"",""),2)),""."","","",1))"),131.921372)</f>
        <v>131.921372</v>
      </c>
      <c r="R248" s="14" t="b">
        <f t="shared" si="1"/>
        <v>0</v>
      </c>
      <c r="S248" s="14" t="str">
        <f t="shared" si="2"/>
        <v>43.092787,131.921372</v>
      </c>
      <c r="T248" s="12"/>
    </row>
    <row r="249">
      <c r="A249" s="20" t="s">
        <v>1619</v>
      </c>
      <c r="B249" s="16" t="s">
        <v>1625</v>
      </c>
      <c r="C249" s="16" t="s">
        <v>1626</v>
      </c>
      <c r="D249" s="16" t="s">
        <v>16</v>
      </c>
      <c r="E249" s="21" t="s">
        <v>1627</v>
      </c>
      <c r="F249" s="22" t="s">
        <v>1448</v>
      </c>
      <c r="G249" s="16">
        <v>23.61</v>
      </c>
      <c r="H249" s="16"/>
      <c r="I249" s="22"/>
      <c r="J249" s="22" t="s">
        <v>1628</v>
      </c>
      <c r="K249" s="22" t="s">
        <v>1629</v>
      </c>
      <c r="L249" s="23" t="s">
        <v>1630</v>
      </c>
      <c r="M249" s="22"/>
      <c r="N249" s="12"/>
      <c r="O249" s="12"/>
      <c r="P249" s="13">
        <f>IFERROR(__xludf.DUMMYFUNCTION("VALUE(SUBSTITUTE((INDEX(SPLIT(A249,"",""),1)),""."","","",1))"),43.092787)</f>
        <v>43.092787</v>
      </c>
      <c r="Q249" s="13">
        <f>IFERROR(__xludf.DUMMYFUNCTION("VALUE(SUBSTITUTE((INDEX(SPLIT(A249,"",""),2)),""."","","",1))"),131.921372)</f>
        <v>131.921372</v>
      </c>
      <c r="R249" s="14" t="b">
        <f t="shared" si="1"/>
        <v>0</v>
      </c>
      <c r="S249" s="14" t="str">
        <f t="shared" si="2"/>
        <v>43.092787,131.921372</v>
      </c>
      <c r="T249" s="12"/>
    </row>
    <row r="250">
      <c r="A250" s="18" t="s">
        <v>1631</v>
      </c>
      <c r="B250" s="8" t="s">
        <v>1632</v>
      </c>
      <c r="C250" s="8" t="s">
        <v>1633</v>
      </c>
      <c r="D250" s="8" t="s">
        <v>16</v>
      </c>
      <c r="E250" s="19" t="s">
        <v>1634</v>
      </c>
      <c r="F250" s="8" t="s">
        <v>1448</v>
      </c>
      <c r="G250" s="8">
        <v>23.61</v>
      </c>
      <c r="H250" s="8"/>
      <c r="I250" s="8"/>
      <c r="J250" s="8" t="s">
        <v>1635</v>
      </c>
      <c r="K250" s="8" t="s">
        <v>1636</v>
      </c>
      <c r="L250" s="8"/>
      <c r="M250" s="8"/>
      <c r="N250" s="12"/>
      <c r="O250" s="12"/>
      <c r="P250" s="13">
        <f>IFERROR(__xludf.DUMMYFUNCTION("VALUE(SUBSTITUTE((INDEX(SPLIT(A250,"",""),1)),""."","","",1))"),43.456119)</f>
        <v>43.456119</v>
      </c>
      <c r="Q250" s="13">
        <f>IFERROR(__xludf.DUMMYFUNCTION("VALUE(SUBSTITUTE((INDEX(SPLIT(A250,"",""),2)),""."","","",1))"),131.922091)</f>
        <v>131.922091</v>
      </c>
      <c r="R250" s="14" t="b">
        <f t="shared" si="1"/>
        <v>0</v>
      </c>
      <c r="S250" s="14" t="str">
        <f t="shared" si="2"/>
        <v>43.456119,131.922091</v>
      </c>
      <c r="T250" s="12"/>
    </row>
    <row r="251">
      <c r="A251" s="15" t="s">
        <v>1637</v>
      </c>
      <c r="B251" s="16" t="s">
        <v>1638</v>
      </c>
      <c r="C251" s="16" t="s">
        <v>1639</v>
      </c>
      <c r="D251" s="16" t="s">
        <v>16</v>
      </c>
      <c r="E251" s="17" t="s">
        <v>1640</v>
      </c>
      <c r="F251" s="16" t="s">
        <v>1448</v>
      </c>
      <c r="G251" s="16">
        <v>23.61</v>
      </c>
      <c r="H251" s="16"/>
      <c r="I251" s="16"/>
      <c r="J251" s="16" t="s">
        <v>1641</v>
      </c>
      <c r="K251" s="16" t="s">
        <v>1642</v>
      </c>
      <c r="L251" s="16"/>
      <c r="M251" s="16"/>
      <c r="N251" s="12"/>
      <c r="O251" s="12"/>
      <c r="P251" s="13">
        <f>IFERROR(__xludf.DUMMYFUNCTION("VALUE(SUBSTITUTE((INDEX(SPLIT(A251,"",""),1)),""."","","",1))"),43.116714)</f>
        <v>43.116714</v>
      </c>
      <c r="Q251" s="13">
        <f>IFERROR(__xludf.DUMMYFUNCTION("VALUE(SUBSTITUTE((INDEX(SPLIT(A251,"",""),2)),""."","","",1))"),131.93005)</f>
        <v>131.93005</v>
      </c>
      <c r="R251" s="14" t="b">
        <f t="shared" si="1"/>
        <v>0</v>
      </c>
      <c r="S251" s="14" t="str">
        <f t="shared" si="2"/>
        <v>43.116714,131.93005</v>
      </c>
      <c r="T251" s="12"/>
    </row>
    <row r="252">
      <c r="A252" s="7" t="s">
        <v>1637</v>
      </c>
      <c r="B252" s="8" t="s">
        <v>1643</v>
      </c>
      <c r="C252" s="8" t="s">
        <v>1644</v>
      </c>
      <c r="D252" s="8" t="s">
        <v>16</v>
      </c>
      <c r="E252" s="9" t="s">
        <v>1645</v>
      </c>
      <c r="F252" s="10" t="s">
        <v>1448</v>
      </c>
      <c r="G252" s="8">
        <v>23.61</v>
      </c>
      <c r="H252" s="8"/>
      <c r="I252" s="10"/>
      <c r="J252" s="10" t="s">
        <v>1646</v>
      </c>
      <c r="K252" s="10" t="s">
        <v>1647</v>
      </c>
      <c r="L252" s="11" t="s">
        <v>1648</v>
      </c>
      <c r="M252" s="10"/>
      <c r="N252" s="12"/>
      <c r="O252" s="12"/>
      <c r="P252" s="13">
        <f>IFERROR(__xludf.DUMMYFUNCTION("VALUE(SUBSTITUTE((INDEX(SPLIT(A252,"",""),1)),""."","","",1))"),43.116714)</f>
        <v>43.116714</v>
      </c>
      <c r="Q252" s="13">
        <f>IFERROR(__xludf.DUMMYFUNCTION("VALUE(SUBSTITUTE((INDEX(SPLIT(A252,"",""),2)),""."","","",1))"),131.93005)</f>
        <v>131.93005</v>
      </c>
      <c r="R252" s="14" t="b">
        <f t="shared" si="1"/>
        <v>0</v>
      </c>
      <c r="S252" s="14" t="str">
        <f t="shared" si="2"/>
        <v>43.116714,131.93005</v>
      </c>
      <c r="T252" s="12"/>
    </row>
    <row r="253">
      <c r="A253" s="20" t="s">
        <v>1649</v>
      </c>
      <c r="B253" s="16" t="s">
        <v>1650</v>
      </c>
      <c r="C253" s="16" t="s">
        <v>1651</v>
      </c>
      <c r="D253" s="16" t="s">
        <v>16</v>
      </c>
      <c r="E253" s="21" t="s">
        <v>1652</v>
      </c>
      <c r="F253" s="22" t="s">
        <v>1448</v>
      </c>
      <c r="G253" s="16">
        <v>23.61</v>
      </c>
      <c r="H253" s="16"/>
      <c r="I253" s="22"/>
      <c r="J253" s="22" t="s">
        <v>1653</v>
      </c>
      <c r="K253" s="22" t="s">
        <v>1654</v>
      </c>
      <c r="L253" s="23" t="s">
        <v>1655</v>
      </c>
      <c r="M253" s="22"/>
      <c r="N253" s="12"/>
      <c r="O253" s="12"/>
      <c r="P253" s="13">
        <f>IFERROR(__xludf.DUMMYFUNCTION("VALUE(SUBSTITUTE((INDEX(SPLIT(A253,"",""),1)),""."","","",1))"),43.807318)</f>
        <v>43.807318</v>
      </c>
      <c r="Q253" s="13">
        <f>IFERROR(__xludf.DUMMYFUNCTION("VALUE(SUBSTITUTE((INDEX(SPLIT(A253,"",""),2)),""."","","",1))"),131.932862)</f>
        <v>131.932862</v>
      </c>
      <c r="R253" s="14" t="b">
        <f t="shared" si="1"/>
        <v>0</v>
      </c>
      <c r="S253" s="14" t="str">
        <f t="shared" si="2"/>
        <v>43.807318,131.932862</v>
      </c>
      <c r="T253" s="12"/>
    </row>
    <row r="254">
      <c r="A254" s="18" t="s">
        <v>1656</v>
      </c>
      <c r="B254" s="8" t="s">
        <v>1657</v>
      </c>
      <c r="C254" s="8" t="s">
        <v>1658</v>
      </c>
      <c r="D254" s="8" t="s">
        <v>16</v>
      </c>
      <c r="E254" s="19" t="s">
        <v>1659</v>
      </c>
      <c r="F254" s="8" t="s">
        <v>1448</v>
      </c>
      <c r="G254" s="8">
        <v>23.61</v>
      </c>
      <c r="H254" s="8"/>
      <c r="I254" s="8"/>
      <c r="J254" s="8" t="s">
        <v>1660</v>
      </c>
      <c r="K254" s="8" t="s">
        <v>1661</v>
      </c>
      <c r="L254" s="8"/>
      <c r="M254" s="8"/>
      <c r="N254" s="12"/>
      <c r="O254" s="12"/>
      <c r="P254" s="13">
        <f>IFERROR(__xludf.DUMMYFUNCTION("VALUE(SUBSTITUTE((INDEX(SPLIT(A254,"",""),1)),""."","","",1))"),43.170449)</f>
        <v>43.170449</v>
      </c>
      <c r="Q254" s="13">
        <f>IFERROR(__xludf.DUMMYFUNCTION("VALUE(SUBSTITUTE((INDEX(SPLIT(A254,"",""),2)),""."","","",1))"),131.935099)</f>
        <v>131.935099</v>
      </c>
      <c r="R254" s="14" t="b">
        <f t="shared" si="1"/>
        <v>0</v>
      </c>
      <c r="S254" s="14" t="str">
        <f t="shared" si="2"/>
        <v>43.170449,131.935099</v>
      </c>
      <c r="T254" s="12"/>
    </row>
    <row r="255">
      <c r="A255" s="20" t="s">
        <v>1662</v>
      </c>
      <c r="B255" s="16" t="s">
        <v>1663</v>
      </c>
      <c r="C255" s="16" t="s">
        <v>1664</v>
      </c>
      <c r="D255" s="16" t="s">
        <v>16</v>
      </c>
      <c r="E255" s="21" t="s">
        <v>1665</v>
      </c>
      <c r="F255" s="22" t="s">
        <v>1448</v>
      </c>
      <c r="G255" s="16">
        <v>23.61</v>
      </c>
      <c r="H255" s="16"/>
      <c r="I255" s="22"/>
      <c r="J255" s="22" t="s">
        <v>1666</v>
      </c>
      <c r="K255" s="22" t="s">
        <v>1667</v>
      </c>
      <c r="L255" s="23" t="s">
        <v>1668</v>
      </c>
      <c r="M255" s="22"/>
      <c r="N255" s="12"/>
      <c r="O255" s="12"/>
      <c r="P255" s="13">
        <f>IFERROR(__xludf.DUMMYFUNCTION("VALUE(SUBSTITUTE((INDEX(SPLIT(A255,"",""),1)),""."","","",1))"),43.797468)</f>
        <v>43.797468</v>
      </c>
      <c r="Q255" s="13">
        <f>IFERROR(__xludf.DUMMYFUNCTION("VALUE(SUBSTITUTE((INDEX(SPLIT(A255,"",""),2)),""."","","",1))"),131.938171)</f>
        <v>131.938171</v>
      </c>
      <c r="R255" s="14" t="b">
        <f t="shared" si="1"/>
        <v>0</v>
      </c>
      <c r="S255" s="14" t="str">
        <f t="shared" si="2"/>
        <v>43.797468,131.938171</v>
      </c>
      <c r="T255" s="12"/>
    </row>
    <row r="256">
      <c r="A256" s="7" t="s">
        <v>1669</v>
      </c>
      <c r="B256" s="8" t="s">
        <v>1670</v>
      </c>
      <c r="C256" s="8" t="s">
        <v>1671</v>
      </c>
      <c r="D256" s="8" t="s">
        <v>16</v>
      </c>
      <c r="E256" s="9" t="s">
        <v>1672</v>
      </c>
      <c r="F256" s="10" t="s">
        <v>1448</v>
      </c>
      <c r="G256" s="8">
        <v>23.61</v>
      </c>
      <c r="H256" s="8"/>
      <c r="I256" s="10"/>
      <c r="J256" s="10" t="s">
        <v>1673</v>
      </c>
      <c r="K256" s="10" t="s">
        <v>1674</v>
      </c>
      <c r="L256" s="11" t="s">
        <v>1675</v>
      </c>
      <c r="M256" s="10"/>
      <c r="N256" s="12"/>
      <c r="O256" s="12"/>
      <c r="P256" s="13">
        <f>IFERROR(__xludf.DUMMYFUNCTION("VALUE(SUBSTITUTE((INDEX(SPLIT(A256,"",""),1)),""."","","",1))"),43.788176)</f>
        <v>43.788176</v>
      </c>
      <c r="Q256" s="13">
        <f>IFERROR(__xludf.DUMMYFUNCTION("VALUE(SUBSTITUTE((INDEX(SPLIT(A256,"",""),2)),""."","","",1))"),131.940507)</f>
        <v>131.940507</v>
      </c>
      <c r="R256" s="14" t="b">
        <f t="shared" si="1"/>
        <v>0</v>
      </c>
      <c r="S256" s="14" t="str">
        <f t="shared" si="2"/>
        <v>43.788176,131.940507</v>
      </c>
      <c r="T256" s="12"/>
    </row>
    <row r="257">
      <c r="A257" s="15" t="s">
        <v>1676</v>
      </c>
      <c r="B257" s="16" t="s">
        <v>1677</v>
      </c>
      <c r="C257" s="16" t="s">
        <v>1678</v>
      </c>
      <c r="D257" s="16" t="s">
        <v>16</v>
      </c>
      <c r="E257" s="17" t="s">
        <v>1679</v>
      </c>
      <c r="F257" s="16" t="s">
        <v>1448</v>
      </c>
      <c r="G257" s="16">
        <v>23.61</v>
      </c>
      <c r="H257" s="16"/>
      <c r="I257" s="16"/>
      <c r="J257" s="16" t="s">
        <v>1680</v>
      </c>
      <c r="K257" s="16" t="s">
        <v>1681</v>
      </c>
      <c r="L257" s="16"/>
      <c r="M257" s="16"/>
      <c r="N257" s="12"/>
      <c r="O257" s="12"/>
      <c r="P257" s="13">
        <f>IFERROR(__xludf.DUMMYFUNCTION("VALUE(SUBSTITUTE((INDEX(SPLIT(A257,"",""),1)),""."","","",1))"),43.10151)</f>
        <v>43.10151</v>
      </c>
      <c r="Q257" s="13">
        <f>IFERROR(__xludf.DUMMYFUNCTION("VALUE(SUBSTITUTE((INDEX(SPLIT(A257,"",""),2)),""."","","",1))"),131.945115)</f>
        <v>131.945115</v>
      </c>
      <c r="R257" s="14" t="b">
        <f t="shared" si="1"/>
        <v>0</v>
      </c>
      <c r="S257" s="14" t="str">
        <f t="shared" si="2"/>
        <v>43.10151,131.945115</v>
      </c>
      <c r="T257" s="12"/>
    </row>
    <row r="258">
      <c r="A258" s="18" t="s">
        <v>1682</v>
      </c>
      <c r="B258" s="8" t="s">
        <v>1683</v>
      </c>
      <c r="C258" s="8" t="s">
        <v>1684</v>
      </c>
      <c r="D258" s="8" t="s">
        <v>16</v>
      </c>
      <c r="E258" s="19" t="s">
        <v>1685</v>
      </c>
      <c r="F258" s="8" t="s">
        <v>1448</v>
      </c>
      <c r="G258" s="8">
        <v>23.61</v>
      </c>
      <c r="H258" s="8"/>
      <c r="I258" s="8"/>
      <c r="J258" s="8" t="s">
        <v>1686</v>
      </c>
      <c r="K258" s="8" t="s">
        <v>1687</v>
      </c>
      <c r="L258" s="8"/>
      <c r="M258" s="8"/>
      <c r="N258" s="12"/>
      <c r="O258" s="12"/>
      <c r="P258" s="13">
        <f>IFERROR(__xludf.DUMMYFUNCTION("VALUE(SUBSTITUTE((INDEX(SPLIT(A258,"",""),1)),""."","","",1))"),43.33404)</f>
        <v>43.33404</v>
      </c>
      <c r="Q258" s="13">
        <f>IFERROR(__xludf.DUMMYFUNCTION("VALUE(SUBSTITUTE((INDEX(SPLIT(A258,"",""),2)),""."","","",1))"),131.94896)</f>
        <v>131.94896</v>
      </c>
      <c r="R258" s="14" t="b">
        <f t="shared" si="1"/>
        <v>0</v>
      </c>
      <c r="S258" s="14" t="str">
        <f t="shared" si="2"/>
        <v>43.33404,131.94896</v>
      </c>
      <c r="T258" s="12"/>
    </row>
    <row r="259">
      <c r="A259" s="20" t="s">
        <v>1682</v>
      </c>
      <c r="B259" s="16" t="s">
        <v>1688</v>
      </c>
      <c r="C259" s="16" t="s">
        <v>1689</v>
      </c>
      <c r="D259" s="16" t="s">
        <v>16</v>
      </c>
      <c r="E259" s="21" t="s">
        <v>1690</v>
      </c>
      <c r="F259" s="22" t="s">
        <v>1448</v>
      </c>
      <c r="G259" s="16">
        <v>23.61</v>
      </c>
      <c r="H259" s="16"/>
      <c r="I259" s="22"/>
      <c r="J259" s="22" t="s">
        <v>1691</v>
      </c>
      <c r="K259" s="22" t="s">
        <v>1468</v>
      </c>
      <c r="L259" s="23" t="s">
        <v>1692</v>
      </c>
      <c r="M259" s="22"/>
      <c r="N259" s="12"/>
      <c r="O259" s="12"/>
      <c r="P259" s="13">
        <f>IFERROR(__xludf.DUMMYFUNCTION("VALUE(SUBSTITUTE((INDEX(SPLIT(A259,"",""),1)),""."","","",1))"),43.33404)</f>
        <v>43.33404</v>
      </c>
      <c r="Q259" s="13">
        <f>IFERROR(__xludf.DUMMYFUNCTION("VALUE(SUBSTITUTE((INDEX(SPLIT(A259,"",""),2)),""."","","",1))"),131.94896)</f>
        <v>131.94896</v>
      </c>
      <c r="R259" s="14" t="b">
        <f t="shared" si="1"/>
        <v>0</v>
      </c>
      <c r="S259" s="14" t="str">
        <f t="shared" si="2"/>
        <v>43.33404,131.94896</v>
      </c>
      <c r="T259" s="12"/>
    </row>
    <row r="260">
      <c r="A260" s="7" t="s">
        <v>1693</v>
      </c>
      <c r="B260" s="8" t="s">
        <v>1694</v>
      </c>
      <c r="C260" s="8" t="s">
        <v>1695</v>
      </c>
      <c r="D260" s="8" t="s">
        <v>16</v>
      </c>
      <c r="E260" s="9" t="s">
        <v>1696</v>
      </c>
      <c r="F260" s="10" t="s">
        <v>1448</v>
      </c>
      <c r="G260" s="8">
        <v>23.61</v>
      </c>
      <c r="H260" s="8"/>
      <c r="I260" s="10"/>
      <c r="J260" s="10" t="s">
        <v>1697</v>
      </c>
      <c r="K260" s="10" t="s">
        <v>1698</v>
      </c>
      <c r="L260" s="11" t="s">
        <v>1699</v>
      </c>
      <c r="M260" s="10"/>
      <c r="N260" s="12"/>
      <c r="O260" s="12"/>
      <c r="P260" s="13">
        <f>IFERROR(__xludf.DUMMYFUNCTION("VALUE(SUBSTITUTE((INDEX(SPLIT(A260,"",""),1)),""."","","",1))"),43.12359)</f>
        <v>43.12359</v>
      </c>
      <c r="Q260" s="13">
        <f>IFERROR(__xludf.DUMMYFUNCTION("VALUE(SUBSTITUTE((INDEX(SPLIT(A260,"",""),2)),""."","","",1))"),131.949472)</f>
        <v>131.949472</v>
      </c>
      <c r="R260" s="14" t="b">
        <f t="shared" si="1"/>
        <v>0</v>
      </c>
      <c r="S260" s="14" t="str">
        <f t="shared" si="2"/>
        <v>43.12359,131.949472</v>
      </c>
      <c r="T260" s="12"/>
    </row>
    <row r="261">
      <c r="A261" s="15" t="s">
        <v>1700</v>
      </c>
      <c r="B261" s="16" t="s">
        <v>1701</v>
      </c>
      <c r="C261" s="16" t="s">
        <v>1702</v>
      </c>
      <c r="D261" s="16" t="s">
        <v>16</v>
      </c>
      <c r="E261" s="17" t="s">
        <v>1703</v>
      </c>
      <c r="F261" s="16" t="s">
        <v>1448</v>
      </c>
      <c r="G261" s="16">
        <v>23.61</v>
      </c>
      <c r="H261" s="16"/>
      <c r="I261" s="16"/>
      <c r="J261" s="16" t="s">
        <v>1704</v>
      </c>
      <c r="K261" s="16" t="s">
        <v>1705</v>
      </c>
      <c r="L261" s="16"/>
      <c r="M261" s="25" t="s">
        <v>1706</v>
      </c>
      <c r="N261" s="12"/>
      <c r="O261" s="12"/>
      <c r="P261" s="13">
        <f>IFERROR(__xludf.DUMMYFUNCTION("VALUE(SUBSTITUTE((INDEX(SPLIT(A261,"",""),1)),""."","","",1))"),43.137131)</f>
        <v>43.137131</v>
      </c>
      <c r="Q261" s="13">
        <f>IFERROR(__xludf.DUMMYFUNCTION("VALUE(SUBSTITUTE((INDEX(SPLIT(A261,"",""),2)),""."","","",1))"),131.953595)</f>
        <v>131.953595</v>
      </c>
      <c r="R261" s="14" t="b">
        <f t="shared" si="1"/>
        <v>0</v>
      </c>
      <c r="S261" s="14" t="str">
        <f t="shared" si="2"/>
        <v>43.137131,131.953595</v>
      </c>
      <c r="T261" s="12"/>
    </row>
    <row r="262">
      <c r="A262" s="18" t="s">
        <v>1700</v>
      </c>
      <c r="B262" s="8" t="s">
        <v>1707</v>
      </c>
      <c r="C262" s="8" t="s">
        <v>1708</v>
      </c>
      <c r="D262" s="8" t="s">
        <v>16</v>
      </c>
      <c r="E262" s="19" t="s">
        <v>1709</v>
      </c>
      <c r="F262" s="8" t="s">
        <v>1448</v>
      </c>
      <c r="G262" s="8">
        <v>23.61</v>
      </c>
      <c r="H262" s="8"/>
      <c r="I262" s="8"/>
      <c r="J262" s="8" t="s">
        <v>1710</v>
      </c>
      <c r="K262" s="8" t="s">
        <v>1711</v>
      </c>
      <c r="L262" s="8"/>
      <c r="M262" s="8"/>
      <c r="N262" s="12"/>
      <c r="O262" s="12"/>
      <c r="P262" s="13">
        <f>IFERROR(__xludf.DUMMYFUNCTION("VALUE(SUBSTITUTE((INDEX(SPLIT(A262,"",""),1)),""."","","",1))"),43.137131)</f>
        <v>43.137131</v>
      </c>
      <c r="Q262" s="13">
        <f>IFERROR(__xludf.DUMMYFUNCTION("VALUE(SUBSTITUTE((INDEX(SPLIT(A262,"",""),2)),""."","","",1))"),131.953595)</f>
        <v>131.953595</v>
      </c>
      <c r="R262" s="14" t="b">
        <f t="shared" si="1"/>
        <v>0</v>
      </c>
      <c r="S262" s="14" t="str">
        <f t="shared" si="2"/>
        <v>43.137131,131.953595</v>
      </c>
      <c r="T262" s="12"/>
    </row>
    <row r="263">
      <c r="A263" s="15" t="s">
        <v>1712</v>
      </c>
      <c r="B263" s="16" t="s">
        <v>1713</v>
      </c>
      <c r="C263" s="16" t="s">
        <v>1714</v>
      </c>
      <c r="D263" s="16" t="s">
        <v>16</v>
      </c>
      <c r="E263" s="17" t="s">
        <v>1715</v>
      </c>
      <c r="F263" s="16" t="s">
        <v>1448</v>
      </c>
      <c r="G263" s="16">
        <v>23.61</v>
      </c>
      <c r="H263" s="16"/>
      <c r="I263" s="16"/>
      <c r="J263" s="16" t="s">
        <v>1716</v>
      </c>
      <c r="K263" s="16" t="s">
        <v>1717</v>
      </c>
      <c r="L263" s="16"/>
      <c r="M263" s="25" t="s">
        <v>1718</v>
      </c>
      <c r="N263" s="12"/>
      <c r="O263" s="12"/>
      <c r="P263" s="13">
        <f>IFERROR(__xludf.DUMMYFUNCTION("VALUE(SUBSTITUTE((INDEX(SPLIT(A263,"",""),1)),""."","","",1))"),43.787518)</f>
        <v>43.787518</v>
      </c>
      <c r="Q263" s="13">
        <f>IFERROR(__xludf.DUMMYFUNCTION("VALUE(SUBSTITUTE((INDEX(SPLIT(A263,"",""),2)),""."","","",1))"),131.953846)</f>
        <v>131.953846</v>
      </c>
      <c r="R263" s="14" t="b">
        <f t="shared" si="1"/>
        <v>0</v>
      </c>
      <c r="S263" s="14" t="str">
        <f t="shared" si="2"/>
        <v>43.787518,131.953846</v>
      </c>
      <c r="T263" s="12"/>
    </row>
    <row r="264">
      <c r="A264" s="18" t="s">
        <v>1719</v>
      </c>
      <c r="B264" s="8" t="s">
        <v>1720</v>
      </c>
      <c r="C264" s="8" t="s">
        <v>1721</v>
      </c>
      <c r="D264" s="8" t="s">
        <v>16</v>
      </c>
      <c r="E264" s="19" t="s">
        <v>1722</v>
      </c>
      <c r="F264" s="8" t="s">
        <v>1448</v>
      </c>
      <c r="G264" s="8">
        <v>23.61</v>
      </c>
      <c r="H264" s="8"/>
      <c r="I264" s="8"/>
      <c r="J264" s="8" t="s">
        <v>1723</v>
      </c>
      <c r="K264" s="8" t="s">
        <v>1724</v>
      </c>
      <c r="L264" s="8"/>
      <c r="M264" s="8"/>
      <c r="N264" s="12"/>
      <c r="O264" s="12"/>
      <c r="P264" s="13">
        <f>IFERROR(__xludf.DUMMYFUNCTION("VALUE(SUBSTITUTE((INDEX(SPLIT(A264,"",""),1)),""."","","",1))"),43.802582)</f>
        <v>43.802582</v>
      </c>
      <c r="Q264" s="13">
        <f>IFERROR(__xludf.DUMMYFUNCTION("VALUE(SUBSTITUTE((INDEX(SPLIT(A264,"",""),2)),""."","","",1))"),131.954736)</f>
        <v>131.954736</v>
      </c>
      <c r="R264" s="14" t="b">
        <f t="shared" si="1"/>
        <v>0</v>
      </c>
      <c r="S264" s="14" t="str">
        <f t="shared" si="2"/>
        <v>43.802582,131.954736</v>
      </c>
      <c r="T264" s="12"/>
    </row>
    <row r="265">
      <c r="A265" s="15" t="s">
        <v>1725</v>
      </c>
      <c r="B265" s="16" t="s">
        <v>1726</v>
      </c>
      <c r="C265" s="16" t="s">
        <v>1727</v>
      </c>
      <c r="D265" s="16" t="s">
        <v>16</v>
      </c>
      <c r="E265" s="17" t="s">
        <v>1728</v>
      </c>
      <c r="F265" s="16" t="s">
        <v>1448</v>
      </c>
      <c r="G265" s="16">
        <v>23.61</v>
      </c>
      <c r="H265" s="16"/>
      <c r="I265" s="16"/>
      <c r="J265" s="16" t="s">
        <v>1729</v>
      </c>
      <c r="K265" s="16" t="s">
        <v>1730</v>
      </c>
      <c r="L265" s="16"/>
      <c r="M265" s="16"/>
      <c r="N265" s="12"/>
      <c r="O265" s="12"/>
      <c r="P265" s="13">
        <f>IFERROR(__xludf.DUMMYFUNCTION("VALUE(SUBSTITUTE((INDEX(SPLIT(A265,"",""),1)),""."","","",1))"),43.799615)</f>
        <v>43.799615</v>
      </c>
      <c r="Q265" s="13">
        <f>IFERROR(__xludf.DUMMYFUNCTION("VALUE(SUBSTITUTE((INDEX(SPLIT(A265,"",""),2)),""."","","",1))"),131.955544)</f>
        <v>131.955544</v>
      </c>
      <c r="R265" s="14" t="b">
        <f t="shared" si="1"/>
        <v>0</v>
      </c>
      <c r="S265" s="14" t="str">
        <f t="shared" si="2"/>
        <v>43.799615,131.955544</v>
      </c>
      <c r="T265" s="12"/>
    </row>
    <row r="266">
      <c r="A266" s="7" t="s">
        <v>1731</v>
      </c>
      <c r="B266" s="8" t="s">
        <v>1732</v>
      </c>
      <c r="C266" s="8" t="s">
        <v>1733</v>
      </c>
      <c r="D266" s="8" t="s">
        <v>16</v>
      </c>
      <c r="E266" s="9" t="s">
        <v>1734</v>
      </c>
      <c r="F266" s="10" t="s">
        <v>1448</v>
      </c>
      <c r="G266" s="8">
        <v>23.61</v>
      </c>
      <c r="H266" s="8"/>
      <c r="I266" s="10"/>
      <c r="J266" s="10" t="s">
        <v>1735</v>
      </c>
      <c r="K266" s="10" t="s">
        <v>1736</v>
      </c>
      <c r="L266" s="11" t="s">
        <v>1737</v>
      </c>
      <c r="M266" s="10"/>
      <c r="N266" s="12"/>
      <c r="O266" s="12"/>
      <c r="P266" s="13">
        <f>IFERROR(__xludf.DUMMYFUNCTION("VALUE(SUBSTITUTE((INDEX(SPLIT(A266,"",""),1)),""."","","",1))"),43.119445)</f>
        <v>43.119445</v>
      </c>
      <c r="Q266" s="13">
        <f>IFERROR(__xludf.DUMMYFUNCTION("VALUE(SUBSTITUTE((INDEX(SPLIT(A266,"",""),2)),""."","","",1))"),131.956497)</f>
        <v>131.956497</v>
      </c>
      <c r="R266" s="14" t="b">
        <f t="shared" si="1"/>
        <v>0</v>
      </c>
      <c r="S266" s="14" t="str">
        <f t="shared" si="2"/>
        <v>43.119445,131.956497</v>
      </c>
      <c r="T266" s="12"/>
    </row>
    <row r="267">
      <c r="A267" s="15" t="s">
        <v>1738</v>
      </c>
      <c r="B267" s="16" t="s">
        <v>1739</v>
      </c>
      <c r="C267" s="16" t="s">
        <v>1740</v>
      </c>
      <c r="D267" s="16" t="s">
        <v>16</v>
      </c>
      <c r="E267" s="17" t="s">
        <v>1741</v>
      </c>
      <c r="F267" s="16" t="s">
        <v>1448</v>
      </c>
      <c r="G267" s="16">
        <v>23.61</v>
      </c>
      <c r="H267" s="16"/>
      <c r="I267" s="16"/>
      <c r="J267" s="16" t="s">
        <v>1742</v>
      </c>
      <c r="K267" s="16" t="s">
        <v>1743</v>
      </c>
      <c r="L267" s="16"/>
      <c r="M267" s="16"/>
      <c r="N267" s="12"/>
      <c r="O267" s="12"/>
      <c r="P267" s="13">
        <f>IFERROR(__xludf.DUMMYFUNCTION("VALUE(SUBSTITUTE((INDEX(SPLIT(A267,"",""),1)),""."","","",1))"),43.133289)</f>
        <v>43.133289</v>
      </c>
      <c r="Q267" s="13">
        <f>IFERROR(__xludf.DUMMYFUNCTION("VALUE(SUBSTITUTE((INDEX(SPLIT(A267,"",""),2)),""."","","",1))"),131.958608)</f>
        <v>131.958608</v>
      </c>
      <c r="R267" s="14" t="b">
        <f t="shared" si="1"/>
        <v>0</v>
      </c>
      <c r="S267" s="14" t="str">
        <f t="shared" si="2"/>
        <v>43.133289,131.958608</v>
      </c>
      <c r="T267" s="12"/>
    </row>
    <row r="268">
      <c r="A268" s="18" t="s">
        <v>1744</v>
      </c>
      <c r="B268" s="8" t="s">
        <v>1745</v>
      </c>
      <c r="C268" s="8" t="s">
        <v>1746</v>
      </c>
      <c r="D268" s="8" t="s">
        <v>16</v>
      </c>
      <c r="E268" s="19" t="s">
        <v>1747</v>
      </c>
      <c r="F268" s="8" t="s">
        <v>1448</v>
      </c>
      <c r="G268" s="8">
        <v>23.61</v>
      </c>
      <c r="H268" s="8"/>
      <c r="I268" s="8"/>
      <c r="J268" s="8" t="s">
        <v>1748</v>
      </c>
      <c r="K268" s="8" t="s">
        <v>1749</v>
      </c>
      <c r="L268" s="8"/>
      <c r="M268" s="8"/>
      <c r="N268" s="12"/>
      <c r="O268" s="12"/>
      <c r="P268" s="13">
        <f>IFERROR(__xludf.DUMMYFUNCTION("VALUE(SUBSTITUTE((INDEX(SPLIT(A268,"",""),1)),""."","","",1))"),43.822904)</f>
        <v>43.822904</v>
      </c>
      <c r="Q268" s="13">
        <f>IFERROR(__xludf.DUMMYFUNCTION("VALUE(SUBSTITUTE((INDEX(SPLIT(A268,"",""),2)),""."","","",1))"),131.960512)</f>
        <v>131.960512</v>
      </c>
      <c r="R268" s="14" t="b">
        <f t="shared" si="1"/>
        <v>0</v>
      </c>
      <c r="S268" s="14" t="str">
        <f t="shared" si="2"/>
        <v>43.822904,131.960512</v>
      </c>
      <c r="T268" s="12"/>
    </row>
    <row r="269">
      <c r="A269" s="20" t="s">
        <v>1750</v>
      </c>
      <c r="B269" s="16" t="s">
        <v>1751</v>
      </c>
      <c r="C269" s="16" t="s">
        <v>1752</v>
      </c>
      <c r="D269" s="16" t="s">
        <v>16</v>
      </c>
      <c r="E269" s="21" t="s">
        <v>1753</v>
      </c>
      <c r="F269" s="22" t="s">
        <v>1448</v>
      </c>
      <c r="G269" s="16">
        <v>23.61</v>
      </c>
      <c r="H269" s="16"/>
      <c r="I269" s="22"/>
      <c r="J269" s="22" t="s">
        <v>1754</v>
      </c>
      <c r="K269" s="22" t="s">
        <v>1755</v>
      </c>
      <c r="L269" s="23" t="s">
        <v>1756</v>
      </c>
      <c r="M269" s="23" t="s">
        <v>1757</v>
      </c>
      <c r="N269" s="12"/>
      <c r="O269" s="12"/>
      <c r="P269" s="13">
        <f>IFERROR(__xludf.DUMMYFUNCTION("VALUE(SUBSTITUTE((INDEX(SPLIT(A269,"",""),1)),""."","","",1))"),43.095671)</f>
        <v>43.095671</v>
      </c>
      <c r="Q269" s="13">
        <f>IFERROR(__xludf.DUMMYFUNCTION("VALUE(SUBSTITUTE((INDEX(SPLIT(A269,"",""),2)),""."","","",1))"),131.964078)</f>
        <v>131.964078</v>
      </c>
      <c r="R269" s="14" t="b">
        <f t="shared" si="1"/>
        <v>0</v>
      </c>
      <c r="S269" s="14" t="str">
        <f t="shared" si="2"/>
        <v>43.095671,131.964078</v>
      </c>
      <c r="T269" s="12"/>
    </row>
    <row r="270">
      <c r="A270" s="7" t="s">
        <v>1758</v>
      </c>
      <c r="B270" s="8" t="s">
        <v>1759</v>
      </c>
      <c r="C270" s="8" t="s">
        <v>1760</v>
      </c>
      <c r="D270" s="8" t="s">
        <v>16</v>
      </c>
      <c r="E270" s="9" t="s">
        <v>1761</v>
      </c>
      <c r="F270" s="10" t="s">
        <v>1448</v>
      </c>
      <c r="G270" s="8">
        <v>23.61</v>
      </c>
      <c r="H270" s="8"/>
      <c r="I270" s="10"/>
      <c r="J270" s="10" t="s">
        <v>1762</v>
      </c>
      <c r="K270" s="10" t="s">
        <v>1763</v>
      </c>
      <c r="L270" s="11" t="s">
        <v>1764</v>
      </c>
      <c r="M270" s="11" t="s">
        <v>1765</v>
      </c>
      <c r="N270" s="12"/>
      <c r="O270" s="12"/>
      <c r="P270" s="13">
        <f>IFERROR(__xludf.DUMMYFUNCTION("VALUE(SUBSTITUTE((INDEX(SPLIT(A270,"",""),1)),""."","","",1))"),43.135815)</f>
        <v>43.135815</v>
      </c>
      <c r="Q270" s="13">
        <f>IFERROR(__xludf.DUMMYFUNCTION("VALUE(SUBSTITUTE((INDEX(SPLIT(A270,"",""),2)),""."","","",1))"),131.969055)</f>
        <v>131.969055</v>
      </c>
      <c r="R270" s="14" t="b">
        <f t="shared" si="1"/>
        <v>0</v>
      </c>
      <c r="S270" s="14" t="str">
        <f t="shared" si="2"/>
        <v>43.135815,131.969055</v>
      </c>
      <c r="T270" s="12"/>
    </row>
    <row r="271">
      <c r="A271" s="15" t="s">
        <v>1766</v>
      </c>
      <c r="B271" s="16" t="s">
        <v>1767</v>
      </c>
      <c r="C271" s="16" t="s">
        <v>1768</v>
      </c>
      <c r="D271" s="16" t="s">
        <v>16</v>
      </c>
      <c r="E271" s="17" t="s">
        <v>1769</v>
      </c>
      <c r="F271" s="16" t="s">
        <v>1448</v>
      </c>
      <c r="G271" s="16">
        <v>23.61</v>
      </c>
      <c r="H271" s="16"/>
      <c r="I271" s="16"/>
      <c r="J271" s="16" t="s">
        <v>1770</v>
      </c>
      <c r="K271" s="16" t="s">
        <v>1771</v>
      </c>
      <c r="L271" s="16"/>
      <c r="M271" s="16"/>
      <c r="N271" s="12"/>
      <c r="O271" s="12"/>
      <c r="P271" s="13">
        <f>IFERROR(__xludf.DUMMYFUNCTION("VALUE(SUBSTITUTE((INDEX(SPLIT(A271,"",""),1)),""."","","",1))"),43.136618)</f>
        <v>43.136618</v>
      </c>
      <c r="Q271" s="13">
        <f>IFERROR(__xludf.DUMMYFUNCTION("VALUE(SUBSTITUTE((INDEX(SPLIT(A271,"",""),2)),""."","","",1))"),131.972666)</f>
        <v>131.972666</v>
      </c>
      <c r="R271" s="14" t="b">
        <f t="shared" si="1"/>
        <v>0</v>
      </c>
      <c r="S271" s="14" t="str">
        <f t="shared" si="2"/>
        <v>43.136618,131.972666</v>
      </c>
      <c r="T271" s="12"/>
    </row>
    <row r="272">
      <c r="A272" s="7" t="s">
        <v>1772</v>
      </c>
      <c r="B272" s="8" t="s">
        <v>1773</v>
      </c>
      <c r="C272" s="8" t="s">
        <v>1774</v>
      </c>
      <c r="D272" s="8" t="s">
        <v>16</v>
      </c>
      <c r="E272" s="9" t="s">
        <v>1775</v>
      </c>
      <c r="F272" s="10" t="s">
        <v>1448</v>
      </c>
      <c r="G272" s="8">
        <v>23.61</v>
      </c>
      <c r="H272" s="8"/>
      <c r="I272" s="10"/>
      <c r="J272" s="10" t="s">
        <v>1776</v>
      </c>
      <c r="K272" s="10" t="s">
        <v>1777</v>
      </c>
      <c r="L272" s="29" t="s">
        <v>1778</v>
      </c>
      <c r="M272" s="10"/>
      <c r="N272" s="12"/>
      <c r="O272" s="12"/>
      <c r="P272" s="13">
        <f>IFERROR(__xludf.DUMMYFUNCTION("VALUE(SUBSTITUTE((INDEX(SPLIT(A272,"",""),1)),""."","","",1))"),43.786718)</f>
        <v>43.786718</v>
      </c>
      <c r="Q272" s="13">
        <f>IFERROR(__xludf.DUMMYFUNCTION("VALUE(SUBSTITUTE((INDEX(SPLIT(A272,"",""),2)),""."","","",1))"),131.974032)</f>
        <v>131.974032</v>
      </c>
      <c r="R272" s="14" t="b">
        <f t="shared" si="1"/>
        <v>0</v>
      </c>
      <c r="S272" s="14" t="str">
        <f t="shared" si="2"/>
        <v>43.786718,131.974032</v>
      </c>
      <c r="T272" s="12"/>
    </row>
    <row r="273">
      <c r="A273" s="15" t="s">
        <v>1779</v>
      </c>
      <c r="B273" s="16" t="s">
        <v>1780</v>
      </c>
      <c r="C273" s="16" t="s">
        <v>1781</v>
      </c>
      <c r="D273" s="16" t="s">
        <v>16</v>
      </c>
      <c r="E273" s="17" t="s">
        <v>1782</v>
      </c>
      <c r="F273" s="16" t="s">
        <v>1448</v>
      </c>
      <c r="G273" s="16">
        <v>23.61</v>
      </c>
      <c r="H273" s="16"/>
      <c r="I273" s="16"/>
      <c r="J273" s="16" t="s">
        <v>1783</v>
      </c>
      <c r="K273" s="16" t="s">
        <v>1784</v>
      </c>
      <c r="L273" s="16"/>
      <c r="M273" s="25" t="s">
        <v>1785</v>
      </c>
      <c r="N273" s="12"/>
      <c r="O273" s="12"/>
      <c r="P273" s="13">
        <f>IFERROR(__xludf.DUMMYFUNCTION("VALUE(SUBSTITUTE((INDEX(SPLIT(A273,"",""),1)),""."","","",1))"),43.824855)</f>
        <v>43.824855</v>
      </c>
      <c r="Q273" s="13">
        <f>IFERROR(__xludf.DUMMYFUNCTION("VALUE(SUBSTITUTE((INDEX(SPLIT(A273,"",""),2)),""."","","",1))"),131.974678)</f>
        <v>131.974678</v>
      </c>
      <c r="R273" s="14" t="b">
        <f t="shared" si="1"/>
        <v>0</v>
      </c>
      <c r="S273" s="14" t="str">
        <f t="shared" si="2"/>
        <v>43.824855,131.974678</v>
      </c>
      <c r="T273" s="12"/>
    </row>
    <row r="274">
      <c r="A274" s="7" t="s">
        <v>1786</v>
      </c>
      <c r="B274" s="8" t="s">
        <v>1787</v>
      </c>
      <c r="C274" s="8" t="s">
        <v>1788</v>
      </c>
      <c r="D274" s="8" t="s">
        <v>16</v>
      </c>
      <c r="E274" s="9" t="s">
        <v>1789</v>
      </c>
      <c r="F274" s="10" t="s">
        <v>1448</v>
      </c>
      <c r="G274" s="8">
        <v>23.61</v>
      </c>
      <c r="H274" s="8"/>
      <c r="I274" s="10"/>
      <c r="J274" s="10" t="s">
        <v>1790</v>
      </c>
      <c r="K274" s="10" t="s">
        <v>1791</v>
      </c>
      <c r="L274" s="11" t="s">
        <v>1792</v>
      </c>
      <c r="M274" s="10"/>
      <c r="N274" s="12"/>
      <c r="O274" s="12"/>
      <c r="P274" s="13">
        <f>IFERROR(__xludf.DUMMYFUNCTION("VALUE(SUBSTITUTE((INDEX(SPLIT(A274,"",""),1)),""."","","",1))"),43.317887)</f>
        <v>43.317887</v>
      </c>
      <c r="Q274" s="13">
        <f>IFERROR(__xludf.DUMMYFUNCTION("VALUE(SUBSTITUTE((INDEX(SPLIT(A274,"",""),2)),""."","","",1))"),131.977858)</f>
        <v>131.977858</v>
      </c>
      <c r="R274" s="14" t="b">
        <f t="shared" si="1"/>
        <v>0</v>
      </c>
      <c r="S274" s="14" t="str">
        <f t="shared" si="2"/>
        <v>43.317887,131.977858</v>
      </c>
      <c r="T274" s="12"/>
    </row>
    <row r="275">
      <c r="A275" s="20" t="s">
        <v>1793</v>
      </c>
      <c r="B275" s="16" t="s">
        <v>1794</v>
      </c>
      <c r="C275" s="16" t="s">
        <v>1795</v>
      </c>
      <c r="D275" s="16" t="s">
        <v>16</v>
      </c>
      <c r="E275" s="21" t="s">
        <v>1796</v>
      </c>
      <c r="F275" s="22" t="s">
        <v>1448</v>
      </c>
      <c r="G275" s="16">
        <v>23.61</v>
      </c>
      <c r="H275" s="16"/>
      <c r="I275" s="22"/>
      <c r="J275" s="22" t="s">
        <v>1797</v>
      </c>
      <c r="K275" s="22" t="s">
        <v>1798</v>
      </c>
      <c r="L275" s="23" t="s">
        <v>1799</v>
      </c>
      <c r="M275" s="22"/>
      <c r="N275" s="12"/>
      <c r="O275" s="12"/>
      <c r="P275" s="13">
        <f>IFERROR(__xludf.DUMMYFUNCTION("VALUE(SUBSTITUTE((INDEX(SPLIT(A275,"",""),1)),""."","","",1))"),43.820088)</f>
        <v>43.820088</v>
      </c>
      <c r="Q275" s="13">
        <f>IFERROR(__xludf.DUMMYFUNCTION("VALUE(SUBSTITUTE((INDEX(SPLIT(A275,"",""),2)),""."","","",1))"),131.978514)</f>
        <v>131.978514</v>
      </c>
      <c r="R275" s="14" t="b">
        <f t="shared" si="1"/>
        <v>0</v>
      </c>
      <c r="S275" s="14" t="str">
        <f t="shared" si="2"/>
        <v>43.820088,131.978514</v>
      </c>
      <c r="T275" s="12"/>
    </row>
    <row r="276">
      <c r="A276" s="7" t="s">
        <v>1800</v>
      </c>
      <c r="B276" s="8" t="s">
        <v>1801</v>
      </c>
      <c r="C276" s="8" t="s">
        <v>1802</v>
      </c>
      <c r="D276" s="8" t="s">
        <v>16</v>
      </c>
      <c r="E276" s="9" t="s">
        <v>1803</v>
      </c>
      <c r="F276" s="10" t="s">
        <v>1448</v>
      </c>
      <c r="G276" s="8">
        <v>23.61</v>
      </c>
      <c r="H276" s="8"/>
      <c r="I276" s="10"/>
      <c r="J276" s="10" t="s">
        <v>1804</v>
      </c>
      <c r="K276" s="10" t="s">
        <v>1805</v>
      </c>
      <c r="L276" s="11" t="s">
        <v>1806</v>
      </c>
      <c r="M276" s="10"/>
      <c r="N276" s="12"/>
      <c r="O276" s="12"/>
      <c r="P276" s="13">
        <f>IFERROR(__xludf.DUMMYFUNCTION("VALUE(SUBSTITUTE((INDEX(SPLIT(A276,"",""),1)),""."","","",1))"),43.31891)</f>
        <v>43.31891</v>
      </c>
      <c r="Q276" s="13">
        <f>IFERROR(__xludf.DUMMYFUNCTION("VALUE(SUBSTITUTE((INDEX(SPLIT(A276,"",""),2)),""."","","",1))"),131.994828)</f>
        <v>131.994828</v>
      </c>
      <c r="R276" s="14" t="b">
        <f t="shared" si="1"/>
        <v>0</v>
      </c>
      <c r="S276" s="14" t="str">
        <f t="shared" si="2"/>
        <v>43.31891,131.994828</v>
      </c>
      <c r="T276" s="12"/>
    </row>
    <row r="277">
      <c r="A277" s="15" t="s">
        <v>1807</v>
      </c>
      <c r="B277" s="16" t="s">
        <v>1808</v>
      </c>
      <c r="C277" s="16" t="s">
        <v>1809</v>
      </c>
      <c r="D277" s="16" t="s">
        <v>16</v>
      </c>
      <c r="E277" s="17" t="s">
        <v>1810</v>
      </c>
      <c r="F277" s="16" t="s">
        <v>1448</v>
      </c>
      <c r="G277" s="16">
        <v>23.61</v>
      </c>
      <c r="H277" s="16"/>
      <c r="I277" s="16"/>
      <c r="J277" s="16" t="s">
        <v>1811</v>
      </c>
      <c r="K277" s="16" t="s">
        <v>1812</v>
      </c>
      <c r="L277" s="16"/>
      <c r="M277" s="16"/>
      <c r="N277" s="12"/>
      <c r="O277" s="12"/>
      <c r="P277" s="13">
        <f>IFERROR(__xludf.DUMMYFUNCTION("VALUE(SUBSTITUTE((INDEX(SPLIT(A277,"",""),1)),""."","","",1))"),43.773974)</f>
        <v>43.773974</v>
      </c>
      <c r="Q277" s="13">
        <f>IFERROR(__xludf.DUMMYFUNCTION("VALUE(SUBSTITUTE((INDEX(SPLIT(A277,"",""),2)),""."","","",1))"),132.000658)</f>
        <v>132.000658</v>
      </c>
      <c r="R277" s="14" t="b">
        <f t="shared" si="1"/>
        <v>0</v>
      </c>
      <c r="S277" s="14" t="str">
        <f t="shared" si="2"/>
        <v>43.773974,132.000658</v>
      </c>
      <c r="T277" s="12"/>
    </row>
    <row r="278">
      <c r="A278" s="7" t="s">
        <v>1807</v>
      </c>
      <c r="B278" s="8" t="s">
        <v>1813</v>
      </c>
      <c r="C278" s="8" t="s">
        <v>1814</v>
      </c>
      <c r="D278" s="8" t="s">
        <v>16</v>
      </c>
      <c r="E278" s="9" t="s">
        <v>1815</v>
      </c>
      <c r="F278" s="10" t="s">
        <v>1448</v>
      </c>
      <c r="G278" s="8">
        <v>23.61</v>
      </c>
      <c r="H278" s="8"/>
      <c r="I278" s="10"/>
      <c r="J278" s="10" t="s">
        <v>1816</v>
      </c>
      <c r="K278" s="10" t="s">
        <v>1817</v>
      </c>
      <c r="L278" s="11" t="s">
        <v>1818</v>
      </c>
      <c r="M278" s="10"/>
      <c r="N278" s="12"/>
      <c r="O278" s="12"/>
      <c r="P278" s="13">
        <f>IFERROR(__xludf.DUMMYFUNCTION("VALUE(SUBSTITUTE((INDEX(SPLIT(A278,"",""),1)),""."","","",1))"),43.773974)</f>
        <v>43.773974</v>
      </c>
      <c r="Q278" s="13">
        <f>IFERROR(__xludf.DUMMYFUNCTION("VALUE(SUBSTITUTE((INDEX(SPLIT(A278,"",""),2)),""."","","",1))"),132.000658)</f>
        <v>132.000658</v>
      </c>
      <c r="R278" s="14" t="b">
        <f t="shared" si="1"/>
        <v>0</v>
      </c>
      <c r="S278" s="14" t="str">
        <f t="shared" si="2"/>
        <v>43.773974,132.000658</v>
      </c>
      <c r="T278" s="12"/>
    </row>
    <row r="279">
      <c r="A279" s="15" t="s">
        <v>1819</v>
      </c>
      <c r="B279" s="16" t="s">
        <v>1820</v>
      </c>
      <c r="C279" s="16" t="s">
        <v>1821</v>
      </c>
      <c r="D279" s="16" t="s">
        <v>16</v>
      </c>
      <c r="E279" s="17" t="s">
        <v>1822</v>
      </c>
      <c r="F279" s="16" t="s">
        <v>1448</v>
      </c>
      <c r="G279" s="16">
        <v>23.61</v>
      </c>
      <c r="H279" s="16"/>
      <c r="I279" s="16"/>
      <c r="J279" s="16" t="s">
        <v>1823</v>
      </c>
      <c r="K279" s="16" t="s">
        <v>1824</v>
      </c>
      <c r="L279" s="16"/>
      <c r="M279" s="16"/>
      <c r="N279" s="12"/>
      <c r="O279" s="12"/>
      <c r="P279" s="13">
        <f>IFERROR(__xludf.DUMMYFUNCTION("VALUE(SUBSTITUTE((INDEX(SPLIT(A279,"",""),1)),""."","","",1))"),43.364544)</f>
        <v>43.364544</v>
      </c>
      <c r="Q279" s="13">
        <f>IFERROR(__xludf.DUMMYFUNCTION("VALUE(SUBSTITUTE((INDEX(SPLIT(A279,"",""),2)),""."","","",1))"),132.000882)</f>
        <v>132.000882</v>
      </c>
      <c r="R279" s="14" t="b">
        <f t="shared" si="1"/>
        <v>0</v>
      </c>
      <c r="S279" s="14" t="str">
        <f t="shared" si="2"/>
        <v>43.364544,132.000882</v>
      </c>
      <c r="T279" s="12"/>
    </row>
    <row r="280">
      <c r="A280" s="7" t="s">
        <v>1825</v>
      </c>
      <c r="B280" s="8" t="s">
        <v>1826</v>
      </c>
      <c r="C280" s="8" t="s">
        <v>1827</v>
      </c>
      <c r="D280" s="8" t="s">
        <v>16</v>
      </c>
      <c r="E280" s="9" t="s">
        <v>1828</v>
      </c>
      <c r="F280" s="10" t="s">
        <v>1448</v>
      </c>
      <c r="G280" s="8">
        <v>23.61</v>
      </c>
      <c r="H280" s="8"/>
      <c r="I280" s="10"/>
      <c r="J280" s="10" t="s">
        <v>1829</v>
      </c>
      <c r="K280" s="10" t="s">
        <v>1830</v>
      </c>
      <c r="L280" s="11" t="s">
        <v>1831</v>
      </c>
      <c r="M280" s="10"/>
      <c r="N280" s="12"/>
      <c r="O280" s="12"/>
      <c r="P280" s="13">
        <f>IFERROR(__xludf.DUMMYFUNCTION("VALUE(SUBSTITUTE((INDEX(SPLIT(A280,"",""),1)),""."","","",1))"),43.234792)</f>
        <v>43.234792</v>
      </c>
      <c r="Q280" s="13">
        <f>IFERROR(__xludf.DUMMYFUNCTION("VALUE(SUBSTITUTE((INDEX(SPLIT(A280,"",""),2)),""."","","",1))"),132.013432)</f>
        <v>132.013432</v>
      </c>
      <c r="R280" s="14" t="b">
        <f t="shared" si="1"/>
        <v>0</v>
      </c>
      <c r="S280" s="14" t="str">
        <f t="shared" si="2"/>
        <v>43.234792,132.013432</v>
      </c>
      <c r="T280" s="12"/>
    </row>
    <row r="281">
      <c r="A281" s="15" t="s">
        <v>1832</v>
      </c>
      <c r="B281" s="16" t="s">
        <v>1833</v>
      </c>
      <c r="C281" s="16" t="s">
        <v>1834</v>
      </c>
      <c r="D281" s="16" t="s">
        <v>16</v>
      </c>
      <c r="E281" s="17" t="s">
        <v>1835</v>
      </c>
      <c r="F281" s="16" t="s">
        <v>1448</v>
      </c>
      <c r="G281" s="16">
        <v>23.61</v>
      </c>
      <c r="H281" s="16"/>
      <c r="I281" s="16"/>
      <c r="J281" s="16" t="s">
        <v>1836</v>
      </c>
      <c r="K281" s="16" t="s">
        <v>1837</v>
      </c>
      <c r="L281" s="16"/>
      <c r="M281" s="25" t="s">
        <v>1838</v>
      </c>
      <c r="N281" s="12"/>
      <c r="O281" s="12"/>
      <c r="P281" s="13">
        <f>IFERROR(__xludf.DUMMYFUNCTION("VALUE(SUBSTITUTE((INDEX(SPLIT(A281,"",""),1)),""."","","",1))"),43.231554)</f>
        <v>43.231554</v>
      </c>
      <c r="Q281" s="13">
        <f>IFERROR(__xludf.DUMMYFUNCTION("VALUE(SUBSTITUTE((INDEX(SPLIT(A281,"",""),2)),""."","","",1))"),132.029655)</f>
        <v>132.029655</v>
      </c>
      <c r="R281" s="14" t="b">
        <f t="shared" si="1"/>
        <v>0</v>
      </c>
      <c r="S281" s="14" t="str">
        <f t="shared" si="2"/>
        <v>43.231554,132.029655</v>
      </c>
      <c r="T281" s="12"/>
    </row>
    <row r="282">
      <c r="A282" s="18" t="s">
        <v>1839</v>
      </c>
      <c r="B282" s="8" t="s">
        <v>1840</v>
      </c>
      <c r="C282" s="8" t="s">
        <v>1841</v>
      </c>
      <c r="D282" s="8" t="s">
        <v>16</v>
      </c>
      <c r="E282" s="19" t="s">
        <v>1842</v>
      </c>
      <c r="F282" s="8" t="s">
        <v>1448</v>
      </c>
      <c r="G282" s="8">
        <v>23.61</v>
      </c>
      <c r="H282" s="8"/>
      <c r="I282" s="8"/>
      <c r="J282" s="8" t="s">
        <v>1843</v>
      </c>
      <c r="K282" s="8" t="s">
        <v>1844</v>
      </c>
      <c r="L282" s="8"/>
      <c r="M282" s="8"/>
      <c r="N282" s="12"/>
      <c r="O282" s="12"/>
      <c r="P282" s="13">
        <f>IFERROR(__xludf.DUMMYFUNCTION("VALUE(SUBSTITUTE((INDEX(SPLIT(A282,"",""),1)),""."","","",1))"),43.357996)</f>
        <v>43.357996</v>
      </c>
      <c r="Q282" s="13">
        <f>IFERROR(__xludf.DUMMYFUNCTION("VALUE(SUBSTITUTE((INDEX(SPLIT(A282,"",""),2)),""."","","",1))"),132.030599)</f>
        <v>132.030599</v>
      </c>
      <c r="R282" s="14" t="b">
        <f t="shared" si="1"/>
        <v>0</v>
      </c>
      <c r="S282" s="14" t="str">
        <f t="shared" si="2"/>
        <v>43.357996,132.030599</v>
      </c>
      <c r="T282" s="12"/>
    </row>
    <row r="283">
      <c r="A283" s="15" t="s">
        <v>1845</v>
      </c>
      <c r="B283" s="16" t="s">
        <v>1846</v>
      </c>
      <c r="C283" s="16" t="s">
        <v>1847</v>
      </c>
      <c r="D283" s="16" t="s">
        <v>16</v>
      </c>
      <c r="E283" s="17" t="s">
        <v>1848</v>
      </c>
      <c r="F283" s="16" t="s">
        <v>1448</v>
      </c>
      <c r="G283" s="16">
        <v>23.61</v>
      </c>
      <c r="H283" s="16"/>
      <c r="I283" s="16"/>
      <c r="J283" s="16" t="s">
        <v>1849</v>
      </c>
      <c r="K283" s="16" t="s">
        <v>1850</v>
      </c>
      <c r="L283" s="16"/>
      <c r="M283" s="16"/>
      <c r="N283" s="12"/>
      <c r="O283" s="12"/>
      <c r="P283" s="13">
        <f>IFERROR(__xludf.DUMMYFUNCTION("VALUE(SUBSTITUTE((INDEX(SPLIT(A283,"",""),1)),""."","","",1))"),43.271838)</f>
        <v>43.271838</v>
      </c>
      <c r="Q283" s="13">
        <f>IFERROR(__xludf.DUMMYFUNCTION("VALUE(SUBSTITUTE((INDEX(SPLIT(A283,"",""),2)),""."","","",1))"),132.049948)</f>
        <v>132.049948</v>
      </c>
      <c r="R283" s="14" t="b">
        <f t="shared" si="1"/>
        <v>0</v>
      </c>
      <c r="S283" s="14" t="str">
        <f t="shared" si="2"/>
        <v>43.271838,132.049948</v>
      </c>
      <c r="T283" s="12"/>
    </row>
    <row r="284">
      <c r="A284" s="18" t="s">
        <v>1851</v>
      </c>
      <c r="B284" s="8" t="s">
        <v>1852</v>
      </c>
      <c r="C284" s="8" t="s">
        <v>1853</v>
      </c>
      <c r="D284" s="8" t="s">
        <v>16</v>
      </c>
      <c r="E284" s="19" t="s">
        <v>1854</v>
      </c>
      <c r="F284" s="8" t="s">
        <v>1448</v>
      </c>
      <c r="G284" s="8">
        <v>23.61</v>
      </c>
      <c r="H284" s="8"/>
      <c r="I284" s="8"/>
      <c r="J284" s="8" t="s">
        <v>1855</v>
      </c>
      <c r="K284" s="8" t="s">
        <v>1856</v>
      </c>
      <c r="L284" s="8"/>
      <c r="M284" s="8"/>
      <c r="N284" s="12"/>
      <c r="O284" s="12"/>
      <c r="P284" s="13">
        <f>IFERROR(__xludf.DUMMYFUNCTION("VALUE(SUBSTITUTE((INDEX(SPLIT(A284,"",""),1)),""."","","",1))"),43.302058)</f>
        <v>43.302058</v>
      </c>
      <c r="Q284" s="13">
        <f>IFERROR(__xludf.DUMMYFUNCTION("VALUE(SUBSTITUTE((INDEX(SPLIT(A284,"",""),2)),""."","","",1))"),132.075514)</f>
        <v>132.075514</v>
      </c>
      <c r="R284" s="14" t="b">
        <f t="shared" si="1"/>
        <v>0</v>
      </c>
      <c r="S284" s="14" t="str">
        <f t="shared" si="2"/>
        <v>43.302058,132.075514</v>
      </c>
      <c r="T284" s="12"/>
    </row>
    <row r="285">
      <c r="A285" s="15" t="s">
        <v>1857</v>
      </c>
      <c r="B285" s="16" t="s">
        <v>1858</v>
      </c>
      <c r="C285" s="16" t="s">
        <v>1859</v>
      </c>
      <c r="D285" s="16" t="s">
        <v>16</v>
      </c>
      <c r="E285" s="17" t="s">
        <v>1860</v>
      </c>
      <c r="F285" s="16" t="s">
        <v>1448</v>
      </c>
      <c r="G285" s="16">
        <v>23.61</v>
      </c>
      <c r="H285" s="16"/>
      <c r="I285" s="16"/>
      <c r="J285" s="16" t="s">
        <v>1861</v>
      </c>
      <c r="K285" s="16" t="s">
        <v>1862</v>
      </c>
      <c r="L285" s="16"/>
      <c r="M285" s="16"/>
      <c r="N285" s="12"/>
      <c r="O285" s="12"/>
      <c r="P285" s="13">
        <f>IFERROR(__xludf.DUMMYFUNCTION("VALUE(SUBSTITUTE((INDEX(SPLIT(A285,"",""),1)),""."","","",1))"),43.318412)</f>
        <v>43.318412</v>
      </c>
      <c r="Q285" s="13">
        <f>IFERROR(__xludf.DUMMYFUNCTION("VALUE(SUBSTITUTE((INDEX(SPLIT(A285,"",""),2)),""."","","",1))"),132.082063)</f>
        <v>132.082063</v>
      </c>
      <c r="R285" s="14" t="b">
        <f t="shared" si="1"/>
        <v>0</v>
      </c>
      <c r="S285" s="14" t="str">
        <f t="shared" si="2"/>
        <v>43.318412,132.082063</v>
      </c>
      <c r="T285" s="12"/>
    </row>
    <row r="286">
      <c r="A286" s="18" t="s">
        <v>1863</v>
      </c>
      <c r="B286" s="8" t="s">
        <v>1864</v>
      </c>
      <c r="C286" s="8" t="s">
        <v>1865</v>
      </c>
      <c r="D286" s="8" t="s">
        <v>16</v>
      </c>
      <c r="E286" s="19" t="s">
        <v>1866</v>
      </c>
      <c r="F286" s="8" t="s">
        <v>1448</v>
      </c>
      <c r="G286" s="8">
        <v>23.61</v>
      </c>
      <c r="H286" s="8"/>
      <c r="I286" s="8"/>
      <c r="J286" s="8" t="s">
        <v>1867</v>
      </c>
      <c r="K286" s="8" t="s">
        <v>1868</v>
      </c>
      <c r="L286" s="8"/>
      <c r="M286" s="8"/>
      <c r="N286" s="12"/>
      <c r="O286" s="12"/>
      <c r="P286" s="13">
        <f>IFERROR(__xludf.DUMMYFUNCTION("VALUE(SUBSTITUTE((INDEX(SPLIT(A286,"",""),1)),""."","","",1))"),43.351683)</f>
        <v>43.351683</v>
      </c>
      <c r="Q286" s="13">
        <f>IFERROR(__xludf.DUMMYFUNCTION("VALUE(SUBSTITUTE((INDEX(SPLIT(A286,"",""),2)),""."","","",1))"),132.084596)</f>
        <v>132.084596</v>
      </c>
      <c r="R286" s="14" t="b">
        <f t="shared" si="1"/>
        <v>0</v>
      </c>
      <c r="S286" s="14" t="str">
        <f t="shared" si="2"/>
        <v>43.351683,132.084596</v>
      </c>
      <c r="T286" s="12"/>
    </row>
    <row r="287">
      <c r="A287" s="15" t="s">
        <v>1869</v>
      </c>
      <c r="B287" s="16" t="s">
        <v>1870</v>
      </c>
      <c r="C287" s="16" t="s">
        <v>1871</v>
      </c>
      <c r="D287" s="16" t="s">
        <v>16</v>
      </c>
      <c r="E287" s="17" t="s">
        <v>1872</v>
      </c>
      <c r="F287" s="16" t="s">
        <v>1448</v>
      </c>
      <c r="G287" s="16">
        <v>23.61</v>
      </c>
      <c r="H287" s="16"/>
      <c r="I287" s="16"/>
      <c r="J287" s="16" t="s">
        <v>1873</v>
      </c>
      <c r="K287" s="16" t="s">
        <v>1874</v>
      </c>
      <c r="L287" s="16"/>
      <c r="M287" s="16"/>
      <c r="N287" s="12"/>
      <c r="O287" s="12"/>
      <c r="P287" s="13">
        <f>IFERROR(__xludf.DUMMYFUNCTION("VALUE(SUBSTITUTE((INDEX(SPLIT(A287,"",""),1)),""."","","",1))"),43.310311)</f>
        <v>43.310311</v>
      </c>
      <c r="Q287" s="13">
        <f>IFERROR(__xludf.DUMMYFUNCTION("VALUE(SUBSTITUTE((INDEX(SPLIT(A287,"",""),2)),""."","","",1))"),132.084983)</f>
        <v>132.084983</v>
      </c>
      <c r="R287" s="14" t="b">
        <f t="shared" si="1"/>
        <v>0</v>
      </c>
      <c r="S287" s="14" t="str">
        <f t="shared" si="2"/>
        <v>43.310311,132.084983</v>
      </c>
      <c r="T287" s="12"/>
    </row>
    <row r="288">
      <c r="A288" s="7" t="s">
        <v>1875</v>
      </c>
      <c r="B288" s="8" t="s">
        <v>1876</v>
      </c>
      <c r="C288" s="8" t="s">
        <v>1877</v>
      </c>
      <c r="D288" s="8" t="s">
        <v>16</v>
      </c>
      <c r="E288" s="9" t="s">
        <v>1878</v>
      </c>
      <c r="F288" s="10" t="s">
        <v>1448</v>
      </c>
      <c r="G288" s="8">
        <v>23.61</v>
      </c>
      <c r="H288" s="8"/>
      <c r="I288" s="10"/>
      <c r="J288" s="10" t="s">
        <v>1879</v>
      </c>
      <c r="K288" s="10" t="s">
        <v>1880</v>
      </c>
      <c r="L288" s="11" t="s">
        <v>1881</v>
      </c>
      <c r="M288" s="10"/>
      <c r="N288" s="12"/>
      <c r="O288" s="12"/>
      <c r="P288" s="13">
        <f>IFERROR(__xludf.DUMMYFUNCTION("VALUE(SUBSTITUTE((INDEX(SPLIT(A288,"",""),1)),""."","","",1))"),43.335555)</f>
        <v>43.335555</v>
      </c>
      <c r="Q288" s="13">
        <f>IFERROR(__xludf.DUMMYFUNCTION("VALUE(SUBSTITUTE((INDEX(SPLIT(A288,"",""),2)),""."","","",1))"),132.113675)</f>
        <v>132.113675</v>
      </c>
      <c r="R288" s="14" t="b">
        <f t="shared" si="1"/>
        <v>0</v>
      </c>
      <c r="S288" s="14" t="str">
        <f t="shared" si="2"/>
        <v>43.335555,132.113675</v>
      </c>
      <c r="T288" s="12"/>
    </row>
    <row r="289">
      <c r="A289" s="20" t="s">
        <v>1882</v>
      </c>
      <c r="B289" s="16" t="s">
        <v>1883</v>
      </c>
      <c r="C289" s="16" t="s">
        <v>1884</v>
      </c>
      <c r="D289" s="16" t="s">
        <v>16</v>
      </c>
      <c r="E289" s="21" t="s">
        <v>1885</v>
      </c>
      <c r="F289" s="22" t="s">
        <v>1448</v>
      </c>
      <c r="G289" s="16">
        <v>23.61</v>
      </c>
      <c r="H289" s="16"/>
      <c r="I289" s="22"/>
      <c r="J289" s="22" t="s">
        <v>1886</v>
      </c>
      <c r="K289" s="22" t="s">
        <v>1887</v>
      </c>
      <c r="L289" s="23" t="s">
        <v>1888</v>
      </c>
      <c r="M289" s="22"/>
      <c r="N289" s="12"/>
      <c r="O289" s="12"/>
      <c r="P289" s="13">
        <f>IFERROR(__xludf.DUMMYFUNCTION("VALUE(SUBSTITUTE((INDEX(SPLIT(A289,"",""),1)),""."","","",1))"),43.346753)</f>
        <v>43.346753</v>
      </c>
      <c r="Q289" s="13">
        <f>IFERROR(__xludf.DUMMYFUNCTION("VALUE(SUBSTITUTE((INDEX(SPLIT(A289,"",""),2)),""."","","",1))"),132.117448)</f>
        <v>132.117448</v>
      </c>
      <c r="R289" s="14" t="b">
        <f t="shared" si="1"/>
        <v>0</v>
      </c>
      <c r="S289" s="14" t="str">
        <f t="shared" si="2"/>
        <v>43.346753,132.117448</v>
      </c>
      <c r="T289" s="12"/>
    </row>
    <row r="290">
      <c r="A290" s="7" t="s">
        <v>1889</v>
      </c>
      <c r="B290" s="8" t="s">
        <v>1890</v>
      </c>
      <c r="C290" s="8" t="s">
        <v>1891</v>
      </c>
      <c r="D290" s="8" t="s">
        <v>16</v>
      </c>
      <c r="E290" s="9" t="s">
        <v>1892</v>
      </c>
      <c r="F290" s="10" t="s">
        <v>1448</v>
      </c>
      <c r="G290" s="8">
        <v>23.61</v>
      </c>
      <c r="H290" s="8"/>
      <c r="I290" s="10"/>
      <c r="J290" s="10" t="s">
        <v>1893</v>
      </c>
      <c r="K290" s="10" t="s">
        <v>1894</v>
      </c>
      <c r="L290" s="11" t="s">
        <v>1895</v>
      </c>
      <c r="M290" s="10"/>
      <c r="N290" s="12"/>
      <c r="O290" s="12"/>
      <c r="P290" s="13">
        <f>IFERROR(__xludf.DUMMYFUNCTION("VALUE(SUBSTITUTE((INDEX(SPLIT(A290,"",""),1)),""."","","",1))"),43.359818)</f>
        <v>43.359818</v>
      </c>
      <c r="Q290" s="13">
        <f>IFERROR(__xludf.DUMMYFUNCTION("VALUE(SUBSTITUTE((INDEX(SPLIT(A290,"",""),2)),""."","","",1))"),132.203425)</f>
        <v>132.203425</v>
      </c>
      <c r="R290" s="14" t="b">
        <f t="shared" si="1"/>
        <v>0</v>
      </c>
      <c r="S290" s="14" t="str">
        <f t="shared" si="2"/>
        <v>43.359818,132.203425</v>
      </c>
      <c r="T290" s="12"/>
    </row>
    <row r="291">
      <c r="A291" s="15" t="s">
        <v>1896</v>
      </c>
      <c r="B291" s="16" t="s">
        <v>1897</v>
      </c>
      <c r="C291" s="16" t="s">
        <v>1898</v>
      </c>
      <c r="D291" s="16" t="s">
        <v>16</v>
      </c>
      <c r="E291" s="17" t="s">
        <v>1899</v>
      </c>
      <c r="F291" s="16" t="s">
        <v>1448</v>
      </c>
      <c r="G291" s="16">
        <v>23.61</v>
      </c>
      <c r="H291" s="16"/>
      <c r="I291" s="16"/>
      <c r="J291" s="16" t="s">
        <v>1900</v>
      </c>
      <c r="K291" s="16" t="s">
        <v>1901</v>
      </c>
      <c r="L291" s="16"/>
      <c r="M291" s="16"/>
      <c r="N291" s="12"/>
      <c r="O291" s="12"/>
      <c r="P291" s="13">
        <f>IFERROR(__xludf.DUMMYFUNCTION("VALUE(SUBSTITUTE((INDEX(SPLIT(A291,"",""),1)),""."","","",1))"),43.349205)</f>
        <v>43.349205</v>
      </c>
      <c r="Q291" s="13">
        <f>IFERROR(__xludf.DUMMYFUNCTION("VALUE(SUBSTITUTE((INDEX(SPLIT(A291,"",""),2)),""."","","",1))"),132.298539)</f>
        <v>132.298539</v>
      </c>
      <c r="R291" s="14" t="b">
        <f t="shared" si="1"/>
        <v>0</v>
      </c>
      <c r="S291" s="14" t="str">
        <f t="shared" si="2"/>
        <v>43.349205,132.298539</v>
      </c>
      <c r="T291" s="12"/>
    </row>
    <row r="292">
      <c r="A292" s="18" t="s">
        <v>1902</v>
      </c>
      <c r="B292" s="8" t="s">
        <v>1903</v>
      </c>
      <c r="C292" s="8" t="s">
        <v>1904</v>
      </c>
      <c r="D292" s="8" t="s">
        <v>16</v>
      </c>
      <c r="E292" s="19" t="s">
        <v>1905</v>
      </c>
      <c r="F292" s="8" t="s">
        <v>1448</v>
      </c>
      <c r="G292" s="8">
        <v>23.61</v>
      </c>
      <c r="H292" s="8"/>
      <c r="I292" s="8"/>
      <c r="J292" s="8" t="s">
        <v>1906</v>
      </c>
      <c r="K292" s="8" t="s">
        <v>1907</v>
      </c>
      <c r="L292" s="8"/>
      <c r="M292" s="8"/>
      <c r="N292" s="12"/>
      <c r="O292" s="12"/>
      <c r="P292" s="13">
        <f>IFERROR(__xludf.DUMMYFUNCTION("VALUE(SUBSTITUTE((INDEX(SPLIT(A292,"",""),1)),""."","","",1))"),43.114911)</f>
        <v>43.114911</v>
      </c>
      <c r="Q292" s="13">
        <f>IFERROR(__xludf.DUMMYFUNCTION("VALUE(SUBSTITUTE((INDEX(SPLIT(A292,"",""),2)),""."","","",1))"),132.349518)</f>
        <v>132.349518</v>
      </c>
      <c r="R292" s="14" t="b">
        <f t="shared" si="1"/>
        <v>0</v>
      </c>
      <c r="S292" s="14" t="str">
        <f t="shared" si="2"/>
        <v>43.114911,132.349518</v>
      </c>
      <c r="T292" s="12"/>
    </row>
    <row r="293">
      <c r="A293" s="20" t="s">
        <v>1908</v>
      </c>
      <c r="B293" s="16" t="s">
        <v>1909</v>
      </c>
      <c r="C293" s="16" t="s">
        <v>1910</v>
      </c>
      <c r="D293" s="16" t="s">
        <v>16</v>
      </c>
      <c r="E293" s="21" t="s">
        <v>1911</v>
      </c>
      <c r="F293" s="22" t="s">
        <v>1448</v>
      </c>
      <c r="G293" s="16">
        <v>23.61</v>
      </c>
      <c r="H293" s="16"/>
      <c r="I293" s="22"/>
      <c r="J293" s="22" t="s">
        <v>1912</v>
      </c>
      <c r="K293" s="22" t="s">
        <v>1913</v>
      </c>
      <c r="L293" s="23" t="s">
        <v>1914</v>
      </c>
      <c r="M293" s="22"/>
      <c r="N293" s="12"/>
      <c r="O293" s="12"/>
      <c r="P293" s="13">
        <f>IFERROR(__xludf.DUMMYFUNCTION("VALUE(SUBSTITUTE((INDEX(SPLIT(A293,"",""),1)),""."","","",1))"),43.110843)</f>
        <v>43.110843</v>
      </c>
      <c r="Q293" s="13">
        <f>IFERROR(__xludf.DUMMYFUNCTION("VALUE(SUBSTITUTE((INDEX(SPLIT(A293,"",""),2)),""."","","",1))"),132.354037)</f>
        <v>132.354037</v>
      </c>
      <c r="R293" s="14" t="b">
        <f t="shared" si="1"/>
        <v>0</v>
      </c>
      <c r="S293" s="14" t="str">
        <f t="shared" si="2"/>
        <v>43.110843,132.354037</v>
      </c>
      <c r="T293" s="12"/>
    </row>
    <row r="294">
      <c r="A294" s="7" t="s">
        <v>1915</v>
      </c>
      <c r="B294" s="8" t="s">
        <v>1916</v>
      </c>
      <c r="C294" s="8" t="s">
        <v>1917</v>
      </c>
      <c r="D294" s="8" t="s">
        <v>16</v>
      </c>
      <c r="E294" s="9" t="s">
        <v>1918</v>
      </c>
      <c r="F294" s="10" t="s">
        <v>1448</v>
      </c>
      <c r="G294" s="8">
        <v>23.61</v>
      </c>
      <c r="H294" s="8"/>
      <c r="I294" s="10"/>
      <c r="J294" s="10" t="s">
        <v>1919</v>
      </c>
      <c r="K294" s="10" t="s">
        <v>1920</v>
      </c>
      <c r="L294" s="11" t="s">
        <v>1921</v>
      </c>
      <c r="M294" s="10"/>
      <c r="N294" s="12"/>
      <c r="O294" s="12"/>
      <c r="P294" s="13">
        <f>IFERROR(__xludf.DUMMYFUNCTION("VALUE(SUBSTITUTE((INDEX(SPLIT(A294,"",""),1)),""."","","",1))"),43.129006)</f>
        <v>43.129006</v>
      </c>
      <c r="Q294" s="13">
        <f>IFERROR(__xludf.DUMMYFUNCTION("VALUE(SUBSTITUTE((INDEX(SPLIT(A294,"",""),2)),""."","","",1))"),132.370404)</f>
        <v>132.370404</v>
      </c>
      <c r="R294" s="14" t="b">
        <f t="shared" si="1"/>
        <v>0</v>
      </c>
      <c r="S294" s="14" t="str">
        <f t="shared" si="2"/>
        <v>43.129006,132.370404</v>
      </c>
      <c r="T294" s="12"/>
    </row>
    <row r="295">
      <c r="A295" s="15" t="s">
        <v>1922</v>
      </c>
      <c r="B295" s="16" t="s">
        <v>1923</v>
      </c>
      <c r="C295" s="16" t="s">
        <v>1924</v>
      </c>
      <c r="D295" s="16" t="s">
        <v>16</v>
      </c>
      <c r="E295" s="17" t="s">
        <v>1925</v>
      </c>
      <c r="F295" s="16" t="s">
        <v>1448</v>
      </c>
      <c r="G295" s="16">
        <v>23.61</v>
      </c>
      <c r="H295" s="16"/>
      <c r="I295" s="16"/>
      <c r="J295" s="16" t="s">
        <v>1926</v>
      </c>
      <c r="K295" s="16" t="s">
        <v>1927</v>
      </c>
      <c r="L295" s="16"/>
      <c r="M295" s="16"/>
      <c r="N295" s="12"/>
      <c r="O295" s="12"/>
      <c r="P295" s="13">
        <f>IFERROR(__xludf.DUMMYFUNCTION("VALUE(SUBSTITUTE((INDEX(SPLIT(A295,"",""),1)),""."","","",1))"),44.340838)</f>
        <v>44.340838</v>
      </c>
      <c r="Q295" s="13">
        <f>IFERROR(__xludf.DUMMYFUNCTION("VALUE(SUBSTITUTE((INDEX(SPLIT(A295,"",""),2)),""."","","",1))"),132.588776)</f>
        <v>132.588776</v>
      </c>
      <c r="R295" s="14" t="b">
        <f t="shared" si="1"/>
        <v>0</v>
      </c>
      <c r="S295" s="14" t="str">
        <f t="shared" si="2"/>
        <v>44.340838,132.588776</v>
      </c>
      <c r="T295" s="12"/>
    </row>
    <row r="296">
      <c r="A296" s="18" t="s">
        <v>1928</v>
      </c>
      <c r="B296" s="8" t="s">
        <v>1929</v>
      </c>
      <c r="C296" s="8" t="s">
        <v>1930</v>
      </c>
      <c r="D296" s="8" t="s">
        <v>16</v>
      </c>
      <c r="E296" s="19" t="s">
        <v>1931</v>
      </c>
      <c r="F296" s="8" t="s">
        <v>1448</v>
      </c>
      <c r="G296" s="8">
        <v>23.61</v>
      </c>
      <c r="H296" s="8"/>
      <c r="I296" s="8"/>
      <c r="J296" s="8" t="s">
        <v>1932</v>
      </c>
      <c r="K296" s="8" t="s">
        <v>1933</v>
      </c>
      <c r="L296" s="8"/>
      <c r="M296" s="8"/>
      <c r="N296" s="12"/>
      <c r="O296" s="12"/>
      <c r="P296" s="13">
        <f>IFERROR(__xludf.DUMMYFUNCTION("VALUE(SUBSTITUTE((INDEX(SPLIT(A296,"",""),1)),""."","","",1))"),44.579654)</f>
        <v>44.579654</v>
      </c>
      <c r="Q296" s="13">
        <f>IFERROR(__xludf.DUMMYFUNCTION("VALUE(SUBSTITUTE((INDEX(SPLIT(A296,"",""),2)),""."","","",1))"),132.788372)</f>
        <v>132.788372</v>
      </c>
      <c r="R296" s="14" t="b">
        <f t="shared" si="1"/>
        <v>0</v>
      </c>
      <c r="S296" s="14" t="str">
        <f t="shared" si="2"/>
        <v>44.579654,132.788372</v>
      </c>
      <c r="T296" s="12"/>
    </row>
    <row r="297">
      <c r="A297" s="20" t="s">
        <v>1934</v>
      </c>
      <c r="B297" s="16" t="s">
        <v>1935</v>
      </c>
      <c r="C297" s="16" t="s">
        <v>1936</v>
      </c>
      <c r="D297" s="16" t="s">
        <v>16</v>
      </c>
      <c r="E297" s="21" t="s">
        <v>1937</v>
      </c>
      <c r="F297" s="22" t="s">
        <v>1448</v>
      </c>
      <c r="G297" s="16">
        <v>23.61</v>
      </c>
      <c r="H297" s="16"/>
      <c r="I297" s="22"/>
      <c r="J297" s="22" t="s">
        <v>1938</v>
      </c>
      <c r="K297" s="22" t="s">
        <v>1939</v>
      </c>
      <c r="L297" s="23" t="s">
        <v>1940</v>
      </c>
      <c r="M297" s="22"/>
      <c r="N297" s="12"/>
      <c r="O297" s="12"/>
      <c r="P297" s="13">
        <f>IFERROR(__xludf.DUMMYFUNCTION("VALUE(SUBSTITUTE((INDEX(SPLIT(A297,"",""),1)),""."","","",1))"),44.594149)</f>
        <v>44.594149</v>
      </c>
      <c r="Q297" s="13">
        <f>IFERROR(__xludf.DUMMYFUNCTION("VALUE(SUBSTITUTE((INDEX(SPLIT(A297,"",""),2)),""."","","",1))"),132.801066)</f>
        <v>132.801066</v>
      </c>
      <c r="R297" s="14" t="b">
        <f t="shared" si="1"/>
        <v>0</v>
      </c>
      <c r="S297" s="14" t="str">
        <f t="shared" si="2"/>
        <v>44.594149,132.801066</v>
      </c>
      <c r="T297" s="12"/>
    </row>
    <row r="298">
      <c r="A298" s="7" t="s">
        <v>1941</v>
      </c>
      <c r="B298" s="8" t="s">
        <v>1942</v>
      </c>
      <c r="C298" s="8" t="s">
        <v>1943</v>
      </c>
      <c r="D298" s="8" t="s">
        <v>16</v>
      </c>
      <c r="E298" s="9" t="s">
        <v>1944</v>
      </c>
      <c r="F298" s="10" t="s">
        <v>1448</v>
      </c>
      <c r="G298" s="8">
        <v>23.61</v>
      </c>
      <c r="H298" s="8"/>
      <c r="I298" s="10"/>
      <c r="J298" s="10" t="s">
        <v>1945</v>
      </c>
      <c r="K298" s="10" t="s">
        <v>1946</v>
      </c>
      <c r="L298" s="11" t="s">
        <v>1947</v>
      </c>
      <c r="M298" s="11" t="s">
        <v>1948</v>
      </c>
      <c r="N298" s="12"/>
      <c r="O298" s="12"/>
      <c r="P298" s="13">
        <f>IFERROR(__xludf.DUMMYFUNCTION("VALUE(SUBSTITUTE((INDEX(SPLIT(A298,"",""),1)),""."","","",1))"),44.598969)</f>
        <v>44.598969</v>
      </c>
      <c r="Q298" s="13">
        <f>IFERROR(__xludf.DUMMYFUNCTION("VALUE(SUBSTITUTE((INDEX(SPLIT(A298,"",""),2)),""."","","",1))"),132.814208)</f>
        <v>132.814208</v>
      </c>
      <c r="R298" s="14" t="b">
        <f t="shared" si="1"/>
        <v>0</v>
      </c>
      <c r="S298" s="14" t="str">
        <f t="shared" si="2"/>
        <v>44.598969,132.814208</v>
      </c>
      <c r="T298" s="12"/>
    </row>
    <row r="299">
      <c r="A299" s="15" t="s">
        <v>1949</v>
      </c>
      <c r="B299" s="16" t="s">
        <v>1950</v>
      </c>
      <c r="C299" s="16" t="s">
        <v>1951</v>
      </c>
      <c r="D299" s="16" t="s">
        <v>16</v>
      </c>
      <c r="E299" s="17" t="s">
        <v>1952</v>
      </c>
      <c r="F299" s="16" t="s">
        <v>1448</v>
      </c>
      <c r="G299" s="16">
        <v>23.61</v>
      </c>
      <c r="H299" s="16"/>
      <c r="I299" s="16"/>
      <c r="J299" s="16" t="s">
        <v>1953</v>
      </c>
      <c r="K299" s="16" t="s">
        <v>1954</v>
      </c>
      <c r="L299" s="16"/>
      <c r="M299" s="16"/>
      <c r="N299" s="12"/>
      <c r="O299" s="12"/>
      <c r="P299" s="13">
        <f>IFERROR(__xludf.DUMMYFUNCTION("VALUE(SUBSTITUTE((INDEX(SPLIT(A299,"",""),1)),""."","","",1))"),44.586825)</f>
        <v>44.586825</v>
      </c>
      <c r="Q299" s="13">
        <f>IFERROR(__xludf.DUMMYFUNCTION("VALUE(SUBSTITUTE((INDEX(SPLIT(A299,"",""),2)),""."","","",1))"),132.818179)</f>
        <v>132.818179</v>
      </c>
      <c r="R299" s="14" t="b">
        <f t="shared" si="1"/>
        <v>0</v>
      </c>
      <c r="S299" s="14" t="str">
        <f t="shared" si="2"/>
        <v>44.586825,132.818179</v>
      </c>
      <c r="T299" s="12"/>
    </row>
    <row r="300">
      <c r="A300" s="18" t="s">
        <v>1955</v>
      </c>
      <c r="B300" s="8" t="s">
        <v>1956</v>
      </c>
      <c r="C300" s="8" t="s">
        <v>1957</v>
      </c>
      <c r="D300" s="8" t="s">
        <v>16</v>
      </c>
      <c r="E300" s="19" t="s">
        <v>1958</v>
      </c>
      <c r="F300" s="8" t="s">
        <v>1448</v>
      </c>
      <c r="G300" s="8">
        <v>23.61</v>
      </c>
      <c r="H300" s="8"/>
      <c r="I300" s="8"/>
      <c r="J300" s="8" t="s">
        <v>1959</v>
      </c>
      <c r="K300" s="8" t="s">
        <v>1960</v>
      </c>
      <c r="L300" s="8"/>
      <c r="M300" s="8"/>
      <c r="N300" s="12"/>
      <c r="O300" s="12"/>
      <c r="P300" s="13">
        <f>IFERROR(__xludf.DUMMYFUNCTION("VALUE(SUBSTITUTE((INDEX(SPLIT(A300,"",""),1)),""."","","",1))"),44.586125)</f>
        <v>44.586125</v>
      </c>
      <c r="Q300" s="13">
        <f>IFERROR(__xludf.DUMMYFUNCTION("VALUE(SUBSTITUTE((INDEX(SPLIT(A300,"",""),2)),""."","","",1))"),132.819436)</f>
        <v>132.819436</v>
      </c>
      <c r="R300" s="14" t="b">
        <f t="shared" si="1"/>
        <v>0</v>
      </c>
      <c r="S300" s="14" t="str">
        <f t="shared" si="2"/>
        <v>44.586125,132.819436</v>
      </c>
      <c r="T300" s="12"/>
    </row>
    <row r="301">
      <c r="A301" s="20" t="s">
        <v>1955</v>
      </c>
      <c r="B301" s="16" t="s">
        <v>1961</v>
      </c>
      <c r="C301" s="16" t="s">
        <v>1962</v>
      </c>
      <c r="D301" s="16" t="s">
        <v>16</v>
      </c>
      <c r="E301" s="21" t="s">
        <v>1963</v>
      </c>
      <c r="F301" s="22" t="s">
        <v>1448</v>
      </c>
      <c r="G301" s="16">
        <v>23.61</v>
      </c>
      <c r="H301" s="16"/>
      <c r="I301" s="22"/>
      <c r="J301" s="22" t="s">
        <v>1964</v>
      </c>
      <c r="K301" s="22" t="s">
        <v>1965</v>
      </c>
      <c r="L301" s="23" t="s">
        <v>1966</v>
      </c>
      <c r="M301" s="22"/>
      <c r="N301" s="12"/>
      <c r="O301" s="12"/>
      <c r="P301" s="13">
        <f>IFERROR(__xludf.DUMMYFUNCTION("VALUE(SUBSTITUTE((INDEX(SPLIT(A301,"",""),1)),""."","","",1))"),44.586125)</f>
        <v>44.586125</v>
      </c>
      <c r="Q301" s="13">
        <f>IFERROR(__xludf.DUMMYFUNCTION("VALUE(SUBSTITUTE((INDEX(SPLIT(A301,"",""),2)),""."","","",1))"),132.819436)</f>
        <v>132.819436</v>
      </c>
      <c r="R301" s="14" t="b">
        <f t="shared" si="1"/>
        <v>0</v>
      </c>
      <c r="S301" s="14" t="str">
        <f t="shared" si="2"/>
        <v>44.586125,132.819436</v>
      </c>
      <c r="T301" s="12"/>
    </row>
    <row r="302">
      <c r="A302" s="7" t="s">
        <v>1967</v>
      </c>
      <c r="B302" s="8" t="s">
        <v>1968</v>
      </c>
      <c r="C302" s="8" t="s">
        <v>1969</v>
      </c>
      <c r="D302" s="8" t="s">
        <v>16</v>
      </c>
      <c r="E302" s="9" t="s">
        <v>1970</v>
      </c>
      <c r="F302" s="10" t="s">
        <v>1448</v>
      </c>
      <c r="G302" s="8">
        <v>23.61</v>
      </c>
      <c r="H302" s="8"/>
      <c r="I302" s="10"/>
      <c r="J302" s="10" t="s">
        <v>1971</v>
      </c>
      <c r="K302" s="10" t="s">
        <v>1972</v>
      </c>
      <c r="L302" s="11" t="s">
        <v>1973</v>
      </c>
      <c r="M302" s="10"/>
      <c r="N302" s="12"/>
      <c r="O302" s="12"/>
      <c r="P302" s="13">
        <f>IFERROR(__xludf.DUMMYFUNCTION("VALUE(SUBSTITUTE((INDEX(SPLIT(A302,"",""),1)),""."","","",1))"),42.779194)</f>
        <v>42.779194</v>
      </c>
      <c r="Q302" s="13">
        <f>IFERROR(__xludf.DUMMYFUNCTION("VALUE(SUBSTITUTE((INDEX(SPLIT(A302,"",""),2)),""."","","",1))"),132.878662)</f>
        <v>132.878662</v>
      </c>
      <c r="R302" s="14" t="b">
        <f t="shared" si="1"/>
        <v>0</v>
      </c>
      <c r="S302" s="14" t="str">
        <f t="shared" si="2"/>
        <v>42.779194,132.878662</v>
      </c>
      <c r="T302" s="12"/>
    </row>
    <row r="303">
      <c r="A303" s="15" t="s">
        <v>1967</v>
      </c>
      <c r="B303" s="16" t="s">
        <v>1974</v>
      </c>
      <c r="C303" s="16" t="s">
        <v>1975</v>
      </c>
      <c r="D303" s="16" t="s">
        <v>16</v>
      </c>
      <c r="E303" s="17" t="s">
        <v>1976</v>
      </c>
      <c r="F303" s="16" t="s">
        <v>1448</v>
      </c>
      <c r="G303" s="16">
        <v>23.61</v>
      </c>
      <c r="H303" s="16"/>
      <c r="I303" s="16"/>
      <c r="J303" s="16" t="s">
        <v>1977</v>
      </c>
      <c r="K303" s="16" t="s">
        <v>1978</v>
      </c>
      <c r="L303" s="16"/>
      <c r="M303" s="25" t="s">
        <v>1979</v>
      </c>
      <c r="N303" s="12"/>
      <c r="O303" s="12"/>
      <c r="P303" s="13">
        <f>IFERROR(__xludf.DUMMYFUNCTION("VALUE(SUBSTITUTE((INDEX(SPLIT(A303,"",""),1)),""."","","",1))"),42.779194)</f>
        <v>42.779194</v>
      </c>
      <c r="Q303" s="13">
        <f>IFERROR(__xludf.DUMMYFUNCTION("VALUE(SUBSTITUTE((INDEX(SPLIT(A303,"",""),2)),""."","","",1))"),132.878662)</f>
        <v>132.878662</v>
      </c>
      <c r="R303" s="14" t="b">
        <f t="shared" si="1"/>
        <v>0</v>
      </c>
      <c r="S303" s="14" t="str">
        <f t="shared" si="2"/>
        <v>42.779194,132.878662</v>
      </c>
      <c r="T303" s="12"/>
    </row>
    <row r="304">
      <c r="A304" s="18" t="s">
        <v>1980</v>
      </c>
      <c r="B304" s="8" t="s">
        <v>1981</v>
      </c>
      <c r="C304" s="8" t="s">
        <v>1982</v>
      </c>
      <c r="D304" s="8" t="s">
        <v>16</v>
      </c>
      <c r="E304" s="19" t="s">
        <v>1983</v>
      </c>
      <c r="F304" s="8" t="s">
        <v>1448</v>
      </c>
      <c r="G304" s="8">
        <v>23.61</v>
      </c>
      <c r="H304" s="8"/>
      <c r="I304" s="8"/>
      <c r="J304" s="8" t="s">
        <v>1984</v>
      </c>
      <c r="K304" s="8" t="s">
        <v>1985</v>
      </c>
      <c r="L304" s="8"/>
      <c r="M304" s="8"/>
      <c r="N304" s="12"/>
      <c r="O304" s="12"/>
      <c r="P304" s="13">
        <f>IFERROR(__xludf.DUMMYFUNCTION("VALUE(SUBSTITUTE((INDEX(SPLIT(A304,"",""),1)),""."","","",1))"),42.834953)</f>
        <v>42.834953</v>
      </c>
      <c r="Q304" s="13">
        <f>IFERROR(__xludf.DUMMYFUNCTION("VALUE(SUBSTITUTE((INDEX(SPLIT(A304,"",""),2)),""."","","",1))"),132.89264)</f>
        <v>132.89264</v>
      </c>
      <c r="R304" s="14" t="b">
        <f t="shared" si="1"/>
        <v>0</v>
      </c>
      <c r="S304" s="14" t="str">
        <f t="shared" si="2"/>
        <v>42.834953,132.89264</v>
      </c>
      <c r="T304" s="12"/>
    </row>
    <row r="305">
      <c r="A305" s="15" t="s">
        <v>1986</v>
      </c>
      <c r="B305" s="16" t="s">
        <v>1987</v>
      </c>
      <c r="C305" s="16" t="s">
        <v>1988</v>
      </c>
      <c r="D305" s="16" t="s">
        <v>16</v>
      </c>
      <c r="E305" s="17" t="s">
        <v>1989</v>
      </c>
      <c r="F305" s="16" t="s">
        <v>1448</v>
      </c>
      <c r="G305" s="16">
        <v>23.61</v>
      </c>
      <c r="H305" s="16"/>
      <c r="I305" s="16"/>
      <c r="J305" s="16" t="s">
        <v>1990</v>
      </c>
      <c r="K305" s="16" t="s">
        <v>1991</v>
      </c>
      <c r="L305" s="16"/>
      <c r="M305" s="25" t="s">
        <v>1992</v>
      </c>
      <c r="N305" s="12"/>
      <c r="O305" s="12"/>
      <c r="P305" s="13">
        <f>IFERROR(__xludf.DUMMYFUNCTION("VALUE(SUBSTITUTE((INDEX(SPLIT(A305,"",""),1)),""."","","",1))"),42.834821)</f>
        <v>42.834821</v>
      </c>
      <c r="Q305" s="13">
        <f>IFERROR(__xludf.DUMMYFUNCTION("VALUE(SUBSTITUTE((INDEX(SPLIT(A305,"",""),2)),""."","","",1))"),132.893403)</f>
        <v>132.893403</v>
      </c>
      <c r="R305" s="14" t="b">
        <f t="shared" si="1"/>
        <v>0</v>
      </c>
      <c r="S305" s="14" t="str">
        <f t="shared" si="2"/>
        <v>42.834821,132.893403</v>
      </c>
      <c r="T305" s="12"/>
    </row>
    <row r="306">
      <c r="A306" s="7" t="s">
        <v>1993</v>
      </c>
      <c r="B306" s="8" t="s">
        <v>1994</v>
      </c>
      <c r="C306" s="8" t="s">
        <v>1995</v>
      </c>
      <c r="D306" s="8" t="s">
        <v>16</v>
      </c>
      <c r="E306" s="9" t="s">
        <v>1996</v>
      </c>
      <c r="F306" s="10" t="s">
        <v>1448</v>
      </c>
      <c r="G306" s="8">
        <v>23.61</v>
      </c>
      <c r="H306" s="8"/>
      <c r="I306" s="10"/>
      <c r="J306" s="10" t="s">
        <v>1997</v>
      </c>
      <c r="K306" s="10" t="s">
        <v>1998</v>
      </c>
      <c r="L306" s="11" t="s">
        <v>1999</v>
      </c>
      <c r="M306" s="11" t="s">
        <v>2000</v>
      </c>
      <c r="N306" s="12"/>
      <c r="O306" s="12"/>
      <c r="P306" s="13">
        <f>IFERROR(__xludf.DUMMYFUNCTION("VALUE(SUBSTITUTE((INDEX(SPLIT(A306,"",""),1)),""."","","",1))"),42.841174)</f>
        <v>42.841174</v>
      </c>
      <c r="Q306" s="13">
        <f>IFERROR(__xludf.DUMMYFUNCTION("VALUE(SUBSTITUTE((INDEX(SPLIT(A306,"",""),2)),""."","","",1))"),132.899144)</f>
        <v>132.899144</v>
      </c>
      <c r="R306" s="14" t="b">
        <f t="shared" si="1"/>
        <v>0</v>
      </c>
      <c r="S306" s="14" t="str">
        <f t="shared" si="2"/>
        <v>42.841174,132.899144</v>
      </c>
      <c r="T306" s="12"/>
    </row>
    <row r="307">
      <c r="A307" s="15" t="s">
        <v>2001</v>
      </c>
      <c r="B307" s="16" t="s">
        <v>2002</v>
      </c>
      <c r="C307" s="16" t="s">
        <v>2003</v>
      </c>
      <c r="D307" s="16" t="s">
        <v>16</v>
      </c>
      <c r="E307" s="17" t="s">
        <v>2004</v>
      </c>
      <c r="F307" s="16" t="s">
        <v>1448</v>
      </c>
      <c r="G307" s="16">
        <v>23.61</v>
      </c>
      <c r="H307" s="16"/>
      <c r="I307" s="16"/>
      <c r="J307" s="16" t="s">
        <v>2005</v>
      </c>
      <c r="K307" s="16" t="s">
        <v>2006</v>
      </c>
      <c r="L307" s="16"/>
      <c r="M307" s="25" t="s">
        <v>2007</v>
      </c>
      <c r="N307" s="12"/>
      <c r="O307" s="12"/>
      <c r="P307" s="13">
        <f>IFERROR(__xludf.DUMMYFUNCTION("VALUE(SUBSTITUTE((INDEX(SPLIT(A307,"",""),1)),""."","","",1))"),42.840625)</f>
        <v>42.840625</v>
      </c>
      <c r="Q307" s="13">
        <f>IFERROR(__xludf.DUMMYFUNCTION("VALUE(SUBSTITUTE((INDEX(SPLIT(A307,"",""),2)),""."","","",1))"),132.942541)</f>
        <v>132.942541</v>
      </c>
      <c r="R307" s="14" t="b">
        <f t="shared" si="1"/>
        <v>0</v>
      </c>
      <c r="S307" s="14" t="str">
        <f t="shared" si="2"/>
        <v>42.840625,132.942541</v>
      </c>
      <c r="T307" s="12"/>
    </row>
    <row r="308">
      <c r="A308" s="18" t="s">
        <v>2008</v>
      </c>
      <c r="B308" s="8" t="s">
        <v>2009</v>
      </c>
      <c r="C308" s="8" t="s">
        <v>2010</v>
      </c>
      <c r="D308" s="8" t="s">
        <v>16</v>
      </c>
      <c r="E308" s="19" t="s">
        <v>2011</v>
      </c>
      <c r="F308" s="8" t="s">
        <v>881</v>
      </c>
      <c r="G308" s="8">
        <v>23.61</v>
      </c>
      <c r="H308" s="8"/>
      <c r="I308" s="8"/>
      <c r="J308" s="8" t="s">
        <v>2012</v>
      </c>
      <c r="K308" s="8" t="s">
        <v>2013</v>
      </c>
      <c r="L308" s="8"/>
      <c r="M308" s="8"/>
      <c r="N308" s="12"/>
      <c r="O308" s="12"/>
      <c r="P308" s="13">
        <f>IFERROR(__xludf.DUMMYFUNCTION("VALUE(SUBSTITUTE((INDEX(SPLIT(A308,"",""),1)),""."","","",1))"),48.770667)</f>
        <v>48.770667</v>
      </c>
      <c r="Q308" s="13">
        <f>IFERROR(__xludf.DUMMYFUNCTION("VALUE(SUBSTITUTE((INDEX(SPLIT(A308,"",""),2)),""."","","",1))"),132.956537)</f>
        <v>132.956537</v>
      </c>
      <c r="R308" s="14" t="b">
        <f t="shared" si="1"/>
        <v>0</v>
      </c>
      <c r="S308" s="14" t="str">
        <f t="shared" si="2"/>
        <v>48.770667,132.956537</v>
      </c>
      <c r="T308" s="12"/>
    </row>
    <row r="309">
      <c r="A309" s="15" t="s">
        <v>2014</v>
      </c>
      <c r="B309" s="16" t="s">
        <v>2015</v>
      </c>
      <c r="C309" s="16" t="s">
        <v>2016</v>
      </c>
      <c r="D309" s="16" t="s">
        <v>16</v>
      </c>
      <c r="E309" s="17" t="s">
        <v>2017</v>
      </c>
      <c r="F309" s="16" t="s">
        <v>1448</v>
      </c>
      <c r="G309" s="16">
        <v>23.61</v>
      </c>
      <c r="H309" s="16"/>
      <c r="I309" s="16"/>
      <c r="J309" s="16" t="s">
        <v>2018</v>
      </c>
      <c r="K309" s="16" t="s">
        <v>2019</v>
      </c>
      <c r="L309" s="16"/>
      <c r="M309" s="16"/>
      <c r="N309" s="12"/>
      <c r="O309" s="12"/>
      <c r="P309" s="13">
        <f>IFERROR(__xludf.DUMMYFUNCTION("VALUE(SUBSTITUTE((INDEX(SPLIT(A309,"",""),1)),""."","","",1))"),42.857527)</f>
        <v>42.857527</v>
      </c>
      <c r="Q309" s="13">
        <f>IFERROR(__xludf.DUMMYFUNCTION("VALUE(SUBSTITUTE((INDEX(SPLIT(A309,"",""),2)),""."","","",1))"),132.956744)</f>
        <v>132.956744</v>
      </c>
      <c r="R309" s="14" t="b">
        <f t="shared" si="1"/>
        <v>0</v>
      </c>
      <c r="S309" s="14" t="str">
        <f t="shared" si="2"/>
        <v>42.857527,132.956744</v>
      </c>
      <c r="T309" s="12"/>
    </row>
    <row r="310">
      <c r="A310" s="7" t="s">
        <v>2020</v>
      </c>
      <c r="B310" s="8" t="s">
        <v>2021</v>
      </c>
      <c r="C310" s="8" t="s">
        <v>2022</v>
      </c>
      <c r="D310" s="8" t="s">
        <v>16</v>
      </c>
      <c r="E310" s="9" t="s">
        <v>2023</v>
      </c>
      <c r="F310" s="10" t="s">
        <v>1448</v>
      </c>
      <c r="G310" s="8">
        <v>23.61</v>
      </c>
      <c r="H310" s="8"/>
      <c r="I310" s="10"/>
      <c r="J310" s="10" t="s">
        <v>2024</v>
      </c>
      <c r="K310" s="10" t="s">
        <v>2025</v>
      </c>
      <c r="L310" s="11" t="s">
        <v>2026</v>
      </c>
      <c r="M310" s="10"/>
      <c r="N310" s="12"/>
      <c r="O310" s="12"/>
      <c r="P310" s="13">
        <f>IFERROR(__xludf.DUMMYFUNCTION("VALUE(SUBSTITUTE((INDEX(SPLIT(A310,"",""),1)),""."","","",1))"),42.85682)</f>
        <v>42.85682</v>
      </c>
      <c r="Q310" s="13">
        <f>IFERROR(__xludf.DUMMYFUNCTION("VALUE(SUBSTITUTE((INDEX(SPLIT(A310,"",""),2)),""."","","",1))"),132.974261)</f>
        <v>132.974261</v>
      </c>
      <c r="R310" s="14" t="b">
        <f t="shared" si="1"/>
        <v>0</v>
      </c>
      <c r="S310" s="14" t="str">
        <f t="shared" si="2"/>
        <v>42.85682,132.974261</v>
      </c>
      <c r="T310" s="12"/>
    </row>
    <row r="311">
      <c r="A311" s="15" t="s">
        <v>2027</v>
      </c>
      <c r="B311" s="16" t="s">
        <v>2028</v>
      </c>
      <c r="C311" s="16" t="s">
        <v>2029</v>
      </c>
      <c r="D311" s="16" t="s">
        <v>16</v>
      </c>
      <c r="E311" s="17" t="s">
        <v>2030</v>
      </c>
      <c r="F311" s="16" t="s">
        <v>881</v>
      </c>
      <c r="G311" s="16">
        <v>23.61</v>
      </c>
      <c r="H311" s="16"/>
      <c r="I311" s="16"/>
      <c r="J311" s="16" t="s">
        <v>2031</v>
      </c>
      <c r="K311" s="16" t="s">
        <v>2032</v>
      </c>
      <c r="L311" s="16"/>
      <c r="M311" s="16"/>
      <c r="N311" s="12"/>
      <c r="O311" s="12"/>
      <c r="P311" s="13">
        <f>IFERROR(__xludf.DUMMYFUNCTION("VALUE(SUBSTITUTE((INDEX(SPLIT(A311,"",""),1)),""."","","",1))"),48.68714)</f>
        <v>48.68714</v>
      </c>
      <c r="Q311" s="13">
        <f>IFERROR(__xludf.DUMMYFUNCTION("VALUE(SUBSTITUTE((INDEX(SPLIT(A311,"",""),2)),""."","","",1))"),132.981852)</f>
        <v>132.981852</v>
      </c>
      <c r="R311" s="14" t="b">
        <f t="shared" si="1"/>
        <v>0</v>
      </c>
      <c r="S311" s="14" t="str">
        <f t="shared" si="2"/>
        <v>48.68714,132.981852</v>
      </c>
      <c r="T311" s="12"/>
    </row>
    <row r="312">
      <c r="A312" s="7" t="s">
        <v>2033</v>
      </c>
      <c r="B312" s="8" t="s">
        <v>2034</v>
      </c>
      <c r="C312" s="8" t="s">
        <v>2035</v>
      </c>
      <c r="D312" s="8" t="s">
        <v>16</v>
      </c>
      <c r="E312" s="9" t="s">
        <v>2036</v>
      </c>
      <c r="F312" s="10" t="s">
        <v>1448</v>
      </c>
      <c r="G312" s="8">
        <v>23.61</v>
      </c>
      <c r="H312" s="8"/>
      <c r="I312" s="10"/>
      <c r="J312" s="10" t="s">
        <v>2037</v>
      </c>
      <c r="K312" s="10" t="s">
        <v>2038</v>
      </c>
      <c r="L312" s="11" t="s">
        <v>2039</v>
      </c>
      <c r="M312" s="10"/>
      <c r="N312" s="12"/>
      <c r="O312" s="12"/>
      <c r="P312" s="13">
        <f>IFERROR(__xludf.DUMMYFUNCTION("VALUE(SUBSTITUTE((INDEX(SPLIT(A312,"",""),1)),""."","","",1))"),42.93341)</f>
        <v>42.93341</v>
      </c>
      <c r="Q312" s="13">
        <f>IFERROR(__xludf.DUMMYFUNCTION("VALUE(SUBSTITUTE((INDEX(SPLIT(A312,"",""),2)),""."","","",1))"),133.025977)</f>
        <v>133.025977</v>
      </c>
      <c r="R312" s="14" t="b">
        <f t="shared" si="1"/>
        <v>0</v>
      </c>
      <c r="S312" s="14" t="str">
        <f t="shared" si="2"/>
        <v>42.93341,133.025977</v>
      </c>
      <c r="T312" s="12"/>
    </row>
    <row r="313">
      <c r="A313" s="15" t="s">
        <v>2040</v>
      </c>
      <c r="B313" s="16" t="s">
        <v>2041</v>
      </c>
      <c r="C313" s="16" t="s">
        <v>2042</v>
      </c>
      <c r="D313" s="16" t="s">
        <v>16</v>
      </c>
      <c r="E313" s="17" t="s">
        <v>2043</v>
      </c>
      <c r="F313" s="16" t="s">
        <v>1448</v>
      </c>
      <c r="G313" s="16">
        <v>23.61</v>
      </c>
      <c r="H313" s="16"/>
      <c r="I313" s="16"/>
      <c r="J313" s="16" t="s">
        <v>2044</v>
      </c>
      <c r="K313" s="16" t="s">
        <v>2045</v>
      </c>
      <c r="L313" s="16"/>
      <c r="M313" s="25" t="s">
        <v>2046</v>
      </c>
      <c r="N313" s="12"/>
      <c r="O313" s="12"/>
      <c r="P313" s="13">
        <f>IFERROR(__xludf.DUMMYFUNCTION("VALUE(SUBSTITUTE((INDEX(SPLIT(A313,"",""),1)),""."","","",1))"),44.16606)</f>
        <v>44.16606</v>
      </c>
      <c r="Q313" s="13">
        <f>IFERROR(__xludf.DUMMYFUNCTION("VALUE(SUBSTITUTE((INDEX(SPLIT(A313,"",""),2)),""."","","",1))"),133.282006)</f>
        <v>133.282006</v>
      </c>
      <c r="R313" s="14" t="b">
        <f t="shared" si="1"/>
        <v>0</v>
      </c>
      <c r="S313" s="14" t="str">
        <f t="shared" si="2"/>
        <v>44.16606,133.282006</v>
      </c>
      <c r="T313" s="12"/>
    </row>
    <row r="314">
      <c r="A314" s="18" t="s">
        <v>2047</v>
      </c>
      <c r="B314" s="8" t="s">
        <v>2048</v>
      </c>
      <c r="C314" s="8" t="s">
        <v>2049</v>
      </c>
      <c r="D314" s="8" t="s">
        <v>16</v>
      </c>
      <c r="E314" s="19" t="s">
        <v>2050</v>
      </c>
      <c r="F314" s="8" t="s">
        <v>911</v>
      </c>
      <c r="G314" s="8">
        <v>23.61</v>
      </c>
      <c r="H314" s="8"/>
      <c r="I314" s="8"/>
      <c r="J314" s="8" t="s">
        <v>2051</v>
      </c>
      <c r="K314" s="8" t="s">
        <v>2052</v>
      </c>
      <c r="L314" s="8"/>
      <c r="M314" s="8"/>
      <c r="N314" s="12"/>
      <c r="O314" s="12"/>
      <c r="P314" s="13">
        <f>IFERROR(__xludf.DUMMYFUNCTION("VALUE(SUBSTITUTE((INDEX(SPLIT(A314,"",""),1)),""."","","",1))"),62.697733)</f>
        <v>62.697733</v>
      </c>
      <c r="Q314" s="13">
        <f>IFERROR(__xludf.DUMMYFUNCTION("VALUE(SUBSTITUTE((INDEX(SPLIT(A314,"",""),2)),""."","","",1))"),134.60959)</f>
        <v>134.60959</v>
      </c>
      <c r="R314" s="14" t="b">
        <f t="shared" si="1"/>
        <v>0</v>
      </c>
      <c r="S314" s="14" t="str">
        <f t="shared" si="2"/>
        <v>62.697733,134.60959</v>
      </c>
      <c r="T314" s="12"/>
    </row>
    <row r="315">
      <c r="A315" s="15" t="s">
        <v>2053</v>
      </c>
      <c r="B315" s="16" t="s">
        <v>2054</v>
      </c>
      <c r="C315" s="16" t="s">
        <v>2055</v>
      </c>
      <c r="D315" s="16" t="s">
        <v>16</v>
      </c>
      <c r="E315" s="17" t="s">
        <v>2056</v>
      </c>
      <c r="F315" s="16" t="s">
        <v>2057</v>
      </c>
      <c r="G315" s="16">
        <v>23.61</v>
      </c>
      <c r="H315" s="16"/>
      <c r="I315" s="16"/>
      <c r="J315" s="16" t="s">
        <v>2058</v>
      </c>
      <c r="K315" s="16" t="s">
        <v>2059</v>
      </c>
      <c r="L315" s="16"/>
      <c r="M315" s="25" t="s">
        <v>2060</v>
      </c>
      <c r="N315" s="12"/>
      <c r="O315" s="12"/>
      <c r="P315" s="13">
        <f>IFERROR(__xludf.DUMMYFUNCTION("VALUE(SUBSTITUTE((INDEX(SPLIT(A315,"",""),1)),""."","","",1))"),48.566832)</f>
        <v>48.566832</v>
      </c>
      <c r="Q315" s="13">
        <f>IFERROR(__xludf.DUMMYFUNCTION("VALUE(SUBSTITUTE((INDEX(SPLIT(A315,"",""),2)),""."","","",1))"),135.025968)</f>
        <v>135.025968</v>
      </c>
      <c r="R315" s="14" t="b">
        <f t="shared" si="1"/>
        <v>0</v>
      </c>
      <c r="S315" s="14" t="str">
        <f t="shared" si="2"/>
        <v>48.566832,135.025968</v>
      </c>
      <c r="T315" s="12"/>
    </row>
    <row r="316">
      <c r="A316" s="18" t="s">
        <v>2061</v>
      </c>
      <c r="B316" s="8" t="s">
        <v>2062</v>
      </c>
      <c r="C316" s="8" t="s">
        <v>2063</v>
      </c>
      <c r="D316" s="8" t="s">
        <v>16</v>
      </c>
      <c r="E316" s="19" t="s">
        <v>2064</v>
      </c>
      <c r="F316" s="8" t="s">
        <v>2057</v>
      </c>
      <c r="G316" s="8">
        <v>23.61</v>
      </c>
      <c r="H316" s="8"/>
      <c r="I316" s="8"/>
      <c r="J316" s="8" t="s">
        <v>2065</v>
      </c>
      <c r="K316" s="8" t="s">
        <v>2066</v>
      </c>
      <c r="L316" s="8"/>
      <c r="M316" s="8"/>
      <c r="N316" s="12"/>
      <c r="O316" s="12"/>
      <c r="P316" s="13">
        <f>IFERROR(__xludf.DUMMYFUNCTION("VALUE(SUBSTITUTE((INDEX(SPLIT(A316,"",""),1)),""."","","",1))"),48.519536)</f>
        <v>48.519536</v>
      </c>
      <c r="Q316" s="13">
        <f>IFERROR(__xludf.DUMMYFUNCTION("VALUE(SUBSTITUTE((INDEX(SPLIT(A316,"",""),2)),""."","","",1))"),135.030451)</f>
        <v>135.030451</v>
      </c>
      <c r="R316" s="14" t="b">
        <f t="shared" si="1"/>
        <v>0</v>
      </c>
      <c r="S316" s="14" t="str">
        <f t="shared" si="2"/>
        <v>48.519536,135.030451</v>
      </c>
      <c r="T316" s="12"/>
    </row>
    <row r="317">
      <c r="A317" s="20" t="s">
        <v>2067</v>
      </c>
      <c r="B317" s="16" t="s">
        <v>2068</v>
      </c>
      <c r="C317" s="16" t="s">
        <v>2069</v>
      </c>
      <c r="D317" s="16" t="s">
        <v>16</v>
      </c>
      <c r="E317" s="21" t="s">
        <v>2070</v>
      </c>
      <c r="F317" s="22" t="s">
        <v>2057</v>
      </c>
      <c r="G317" s="16">
        <v>23.61</v>
      </c>
      <c r="H317" s="16"/>
      <c r="I317" s="22"/>
      <c r="J317" s="22" t="s">
        <v>2071</v>
      </c>
      <c r="K317" s="22" t="s">
        <v>2072</v>
      </c>
      <c r="L317" s="23" t="s">
        <v>2073</v>
      </c>
      <c r="M317" s="22"/>
      <c r="N317" s="12"/>
      <c r="O317" s="12"/>
      <c r="P317" s="13">
        <f>IFERROR(__xludf.DUMMYFUNCTION("VALUE(SUBSTITUTE((INDEX(SPLIT(A317,"",""),1)),""."","","",1))"),48.539858)</f>
        <v>48.539858</v>
      </c>
      <c r="Q317" s="13">
        <f>IFERROR(__xludf.DUMMYFUNCTION("VALUE(SUBSTITUTE((INDEX(SPLIT(A317,"",""),2)),""."","","",1))"),135.033981)</f>
        <v>135.033981</v>
      </c>
      <c r="R317" s="14" t="b">
        <f t="shared" si="1"/>
        <v>0</v>
      </c>
      <c r="S317" s="14" t="str">
        <f t="shared" si="2"/>
        <v>48.539858,135.033981</v>
      </c>
      <c r="T317" s="12"/>
    </row>
    <row r="318">
      <c r="A318" s="18" t="s">
        <v>2074</v>
      </c>
      <c r="B318" s="8" t="s">
        <v>2075</v>
      </c>
      <c r="C318" s="8" t="s">
        <v>2076</v>
      </c>
      <c r="D318" s="8" t="s">
        <v>16</v>
      </c>
      <c r="E318" s="19" t="s">
        <v>2077</v>
      </c>
      <c r="F318" s="8" t="s">
        <v>2057</v>
      </c>
      <c r="G318" s="8">
        <v>23.61</v>
      </c>
      <c r="H318" s="8"/>
      <c r="I318" s="8"/>
      <c r="J318" s="8" t="s">
        <v>2078</v>
      </c>
      <c r="K318" s="8" t="s">
        <v>2079</v>
      </c>
      <c r="L318" s="8"/>
      <c r="M318" s="24" t="s">
        <v>2080</v>
      </c>
      <c r="N318" s="12"/>
      <c r="O318" s="12"/>
      <c r="P318" s="13">
        <f>IFERROR(__xludf.DUMMYFUNCTION("VALUE(SUBSTITUTE((INDEX(SPLIT(A318,"",""),1)),""."","","",1))"),48.539011)</f>
        <v>48.539011</v>
      </c>
      <c r="Q318" s="13">
        <f>IFERROR(__xludf.DUMMYFUNCTION("VALUE(SUBSTITUTE((INDEX(SPLIT(A318,"",""),2)),""."","","",1))"),135.035454)</f>
        <v>135.035454</v>
      </c>
      <c r="R318" s="14" t="b">
        <f t="shared" si="1"/>
        <v>0</v>
      </c>
      <c r="S318" s="14" t="str">
        <f t="shared" si="2"/>
        <v>48.539011,135.035454</v>
      </c>
      <c r="T318" s="12"/>
    </row>
    <row r="319">
      <c r="A319" s="15" t="s">
        <v>2081</v>
      </c>
      <c r="B319" s="16" t="s">
        <v>2082</v>
      </c>
      <c r="C319" s="16" t="s">
        <v>2083</v>
      </c>
      <c r="D319" s="16" t="s">
        <v>16</v>
      </c>
      <c r="E319" s="17" t="s">
        <v>2084</v>
      </c>
      <c r="F319" s="16" t="s">
        <v>2057</v>
      </c>
      <c r="G319" s="16">
        <v>23.61</v>
      </c>
      <c r="H319" s="16"/>
      <c r="I319" s="16"/>
      <c r="J319" s="16" t="s">
        <v>2085</v>
      </c>
      <c r="K319" s="16" t="s">
        <v>2086</v>
      </c>
      <c r="L319" s="16"/>
      <c r="M319" s="25" t="s">
        <v>2087</v>
      </c>
      <c r="N319" s="12"/>
      <c r="O319" s="12"/>
      <c r="P319" s="13">
        <f>IFERROR(__xludf.DUMMYFUNCTION("VALUE(SUBSTITUTE((INDEX(SPLIT(A319,"",""),1)),""."","","",1))"),48.495761)</f>
        <v>48.495761</v>
      </c>
      <c r="Q319" s="13">
        <f>IFERROR(__xludf.DUMMYFUNCTION("VALUE(SUBSTITUTE((INDEX(SPLIT(A319,"",""),2)),""."","","",1))"),135.048372)</f>
        <v>135.048372</v>
      </c>
      <c r="R319" s="14" t="b">
        <f t="shared" si="1"/>
        <v>0</v>
      </c>
      <c r="S319" s="14" t="str">
        <f t="shared" si="2"/>
        <v>48.495761,135.048372</v>
      </c>
      <c r="T319" s="12"/>
    </row>
    <row r="320">
      <c r="A320" s="7" t="s">
        <v>2088</v>
      </c>
      <c r="B320" s="8" t="s">
        <v>2089</v>
      </c>
      <c r="C320" s="8" t="s">
        <v>2090</v>
      </c>
      <c r="D320" s="8" t="s">
        <v>16</v>
      </c>
      <c r="E320" s="9" t="s">
        <v>2091</v>
      </c>
      <c r="F320" s="10" t="s">
        <v>2057</v>
      </c>
      <c r="G320" s="8">
        <v>23.61</v>
      </c>
      <c r="H320" s="8"/>
      <c r="I320" s="10"/>
      <c r="J320" s="10" t="s">
        <v>2092</v>
      </c>
      <c r="K320" s="10" t="s">
        <v>2093</v>
      </c>
      <c r="L320" s="11" t="s">
        <v>2094</v>
      </c>
      <c r="M320" s="10"/>
      <c r="N320" s="12"/>
      <c r="O320" s="12"/>
      <c r="P320" s="13">
        <f>IFERROR(__xludf.DUMMYFUNCTION("VALUE(SUBSTITUTE((INDEX(SPLIT(A320,"",""),1)),""."","","",1))"),48.550421)</f>
        <v>48.550421</v>
      </c>
      <c r="Q320" s="13">
        <f>IFERROR(__xludf.DUMMYFUNCTION("VALUE(SUBSTITUTE((INDEX(SPLIT(A320,"",""),2)),""."","","",1))"),135.051417)</f>
        <v>135.051417</v>
      </c>
      <c r="R320" s="14" t="b">
        <f t="shared" si="1"/>
        <v>0</v>
      </c>
      <c r="S320" s="14" t="str">
        <f t="shared" si="2"/>
        <v>48.550421,135.051417</v>
      </c>
      <c r="T320" s="12"/>
    </row>
    <row r="321">
      <c r="A321" s="15" t="s">
        <v>2095</v>
      </c>
      <c r="B321" s="16" t="s">
        <v>2096</v>
      </c>
      <c r="C321" s="16" t="s">
        <v>2097</v>
      </c>
      <c r="D321" s="16" t="s">
        <v>16</v>
      </c>
      <c r="E321" s="17" t="s">
        <v>2098</v>
      </c>
      <c r="F321" s="16" t="s">
        <v>2057</v>
      </c>
      <c r="G321" s="16">
        <v>23.61</v>
      </c>
      <c r="H321" s="16"/>
      <c r="I321" s="16"/>
      <c r="J321" s="16" t="s">
        <v>2099</v>
      </c>
      <c r="K321" s="16" t="s">
        <v>2100</v>
      </c>
      <c r="L321" s="16"/>
      <c r="M321" s="16"/>
      <c r="N321" s="12"/>
      <c r="O321" s="12"/>
      <c r="P321" s="13">
        <f>IFERROR(__xludf.DUMMYFUNCTION("VALUE(SUBSTITUTE((INDEX(SPLIT(A321,"",""),1)),""."","","",1))"),48.581973)</f>
        <v>48.581973</v>
      </c>
      <c r="Q321" s="13">
        <f>IFERROR(__xludf.DUMMYFUNCTION("VALUE(SUBSTITUTE((INDEX(SPLIT(A321,"",""),2)),""."","","",1))"),135.053681)</f>
        <v>135.053681</v>
      </c>
      <c r="R321" s="14" t="b">
        <f t="shared" si="1"/>
        <v>0</v>
      </c>
      <c r="S321" s="14" t="str">
        <f t="shared" si="2"/>
        <v>48.581973,135.053681</v>
      </c>
      <c r="T321" s="12"/>
    </row>
    <row r="322">
      <c r="A322" s="18" t="s">
        <v>2101</v>
      </c>
      <c r="B322" s="8" t="s">
        <v>2102</v>
      </c>
      <c r="C322" s="8" t="s">
        <v>2103</v>
      </c>
      <c r="D322" s="8" t="s">
        <v>16</v>
      </c>
      <c r="E322" s="19" t="s">
        <v>2104</v>
      </c>
      <c r="F322" s="8" t="s">
        <v>2057</v>
      </c>
      <c r="G322" s="8">
        <v>23.61</v>
      </c>
      <c r="H322" s="8"/>
      <c r="I322" s="8"/>
      <c r="J322" s="8" t="s">
        <v>2105</v>
      </c>
      <c r="K322" s="8" t="s">
        <v>2106</v>
      </c>
      <c r="L322" s="8"/>
      <c r="M322" s="24" t="s">
        <v>2107</v>
      </c>
      <c r="N322" s="12"/>
      <c r="O322" s="12"/>
      <c r="P322" s="13">
        <f>IFERROR(__xludf.DUMMYFUNCTION("VALUE(SUBSTITUTE((INDEX(SPLIT(A322,"",""),1)),""."","","",1))"),48.490572)</f>
        <v>48.490572</v>
      </c>
      <c r="Q322" s="13">
        <f>IFERROR(__xludf.DUMMYFUNCTION("VALUE(SUBSTITUTE((INDEX(SPLIT(A322,"",""),2)),""."","","",1))"),135.056619)</f>
        <v>135.056619</v>
      </c>
      <c r="R322" s="14" t="b">
        <f t="shared" si="1"/>
        <v>0</v>
      </c>
      <c r="S322" s="14" t="str">
        <f t="shared" si="2"/>
        <v>48.490572,135.056619</v>
      </c>
      <c r="T322" s="12"/>
    </row>
    <row r="323">
      <c r="A323" s="15" t="s">
        <v>2108</v>
      </c>
      <c r="B323" s="16" t="s">
        <v>2109</v>
      </c>
      <c r="C323" s="16" t="s">
        <v>2110</v>
      </c>
      <c r="D323" s="16" t="s">
        <v>16</v>
      </c>
      <c r="E323" s="17" t="s">
        <v>2111</v>
      </c>
      <c r="F323" s="16" t="s">
        <v>2057</v>
      </c>
      <c r="G323" s="16">
        <v>23.61</v>
      </c>
      <c r="H323" s="16"/>
      <c r="I323" s="16"/>
      <c r="J323" s="16" t="s">
        <v>2112</v>
      </c>
      <c r="K323" s="16" t="s">
        <v>2113</v>
      </c>
      <c r="L323" s="16"/>
      <c r="M323" s="16"/>
      <c r="N323" s="12"/>
      <c r="O323" s="12"/>
      <c r="P323" s="13">
        <f>IFERROR(__xludf.DUMMYFUNCTION("VALUE(SUBSTITUTE((INDEX(SPLIT(A323,"",""),1)),""."","","",1))"),48.506668)</f>
        <v>48.506668</v>
      </c>
      <c r="Q323" s="13">
        <f>IFERROR(__xludf.DUMMYFUNCTION("VALUE(SUBSTITUTE((INDEX(SPLIT(A323,"",""),2)),""."","","",1))"),135.065305)</f>
        <v>135.065305</v>
      </c>
      <c r="R323" s="14" t="b">
        <f t="shared" si="1"/>
        <v>0</v>
      </c>
      <c r="S323" s="14" t="str">
        <f t="shared" si="2"/>
        <v>48.506668,135.065305</v>
      </c>
      <c r="T323" s="12"/>
    </row>
    <row r="324">
      <c r="A324" s="18" t="s">
        <v>2114</v>
      </c>
      <c r="B324" s="8" t="s">
        <v>2115</v>
      </c>
      <c r="C324" s="8" t="s">
        <v>2116</v>
      </c>
      <c r="D324" s="8" t="s">
        <v>16</v>
      </c>
      <c r="E324" s="19" t="s">
        <v>2117</v>
      </c>
      <c r="F324" s="8" t="s">
        <v>2057</v>
      </c>
      <c r="G324" s="8">
        <v>23.61</v>
      </c>
      <c r="H324" s="8"/>
      <c r="I324" s="8"/>
      <c r="J324" s="8" t="s">
        <v>2118</v>
      </c>
      <c r="K324" s="8" t="s">
        <v>2119</v>
      </c>
      <c r="L324" s="8"/>
      <c r="M324" s="8"/>
      <c r="N324" s="12"/>
      <c r="O324" s="12"/>
      <c r="P324" s="13">
        <f>IFERROR(__xludf.DUMMYFUNCTION("VALUE(SUBSTITUTE((INDEX(SPLIT(A324,"",""),1)),""."","","",1))"),48.474908)</f>
        <v>48.474908</v>
      </c>
      <c r="Q324" s="13">
        <f>IFERROR(__xludf.DUMMYFUNCTION("VALUE(SUBSTITUTE((INDEX(SPLIT(A324,"",""),2)),""."","","",1))"),135.068225)</f>
        <v>135.068225</v>
      </c>
      <c r="R324" s="14" t="b">
        <f t="shared" si="1"/>
        <v>0</v>
      </c>
      <c r="S324" s="14" t="str">
        <f t="shared" si="2"/>
        <v>48.474908,135.068225</v>
      </c>
      <c r="T324" s="12"/>
    </row>
    <row r="325">
      <c r="A325" s="15" t="s">
        <v>2120</v>
      </c>
      <c r="B325" s="16" t="s">
        <v>2121</v>
      </c>
      <c r="C325" s="16" t="s">
        <v>2122</v>
      </c>
      <c r="D325" s="16" t="s">
        <v>16</v>
      </c>
      <c r="E325" s="17" t="s">
        <v>2123</v>
      </c>
      <c r="F325" s="16" t="s">
        <v>2057</v>
      </c>
      <c r="G325" s="16">
        <v>23.61</v>
      </c>
      <c r="H325" s="16"/>
      <c r="I325" s="16"/>
      <c r="J325" s="16" t="s">
        <v>2124</v>
      </c>
      <c r="K325" s="16" t="s">
        <v>2125</v>
      </c>
      <c r="L325" s="16"/>
      <c r="M325" s="25" t="s">
        <v>2126</v>
      </c>
      <c r="N325" s="12"/>
      <c r="O325" s="12"/>
      <c r="P325" s="13">
        <f>IFERROR(__xludf.DUMMYFUNCTION("VALUE(SUBSTITUTE((INDEX(SPLIT(A325,"",""),1)),""."","","",1))"),48.476042)</f>
        <v>48.476042</v>
      </c>
      <c r="Q325" s="13">
        <f>IFERROR(__xludf.DUMMYFUNCTION("VALUE(SUBSTITUTE((INDEX(SPLIT(A325,"",""),2)),""."","","",1))"),135.06871)</f>
        <v>135.06871</v>
      </c>
      <c r="R325" s="14" t="b">
        <f t="shared" si="1"/>
        <v>0</v>
      </c>
      <c r="S325" s="14" t="str">
        <f t="shared" si="2"/>
        <v>48.476042,135.06871</v>
      </c>
      <c r="T325" s="12"/>
    </row>
    <row r="326">
      <c r="A326" s="18" t="s">
        <v>2127</v>
      </c>
      <c r="B326" s="8" t="s">
        <v>2128</v>
      </c>
      <c r="C326" s="8" t="s">
        <v>2129</v>
      </c>
      <c r="D326" s="8" t="s">
        <v>16</v>
      </c>
      <c r="E326" s="19" t="s">
        <v>2130</v>
      </c>
      <c r="F326" s="8" t="s">
        <v>2057</v>
      </c>
      <c r="G326" s="8">
        <v>23.61</v>
      </c>
      <c r="H326" s="8"/>
      <c r="I326" s="8"/>
      <c r="J326" s="8" t="s">
        <v>2131</v>
      </c>
      <c r="K326" s="8" t="s">
        <v>2132</v>
      </c>
      <c r="L326" s="8"/>
      <c r="M326" s="8"/>
      <c r="N326" s="12"/>
      <c r="O326" s="12"/>
      <c r="P326" s="13">
        <f>IFERROR(__xludf.DUMMYFUNCTION("VALUE(SUBSTITUTE((INDEX(SPLIT(A326,"",""),1)),""."","","",1))"),48.487843)</f>
        <v>48.487843</v>
      </c>
      <c r="Q326" s="13">
        <f>IFERROR(__xludf.DUMMYFUNCTION("VALUE(SUBSTITUTE((INDEX(SPLIT(A326,"",""),2)),""."","","",1))"),135.078888)</f>
        <v>135.078888</v>
      </c>
      <c r="R326" s="14" t="b">
        <f t="shared" si="1"/>
        <v>0</v>
      </c>
      <c r="S326" s="14" t="str">
        <f t="shared" si="2"/>
        <v>48.487843,135.078888</v>
      </c>
      <c r="T326" s="12"/>
    </row>
    <row r="327">
      <c r="A327" s="15" t="s">
        <v>2133</v>
      </c>
      <c r="B327" s="16" t="s">
        <v>2134</v>
      </c>
      <c r="C327" s="16" t="s">
        <v>2135</v>
      </c>
      <c r="D327" s="16" t="s">
        <v>16</v>
      </c>
      <c r="E327" s="17" t="s">
        <v>2136</v>
      </c>
      <c r="F327" s="16" t="s">
        <v>2057</v>
      </c>
      <c r="G327" s="16">
        <v>23.61</v>
      </c>
      <c r="H327" s="16"/>
      <c r="I327" s="16"/>
      <c r="J327" s="16" t="s">
        <v>2137</v>
      </c>
      <c r="K327" s="16" t="s">
        <v>2138</v>
      </c>
      <c r="L327" s="16"/>
      <c r="M327" s="25" t="s">
        <v>2139</v>
      </c>
      <c r="N327" s="12"/>
      <c r="O327" s="12"/>
      <c r="P327" s="13">
        <f>IFERROR(__xludf.DUMMYFUNCTION("VALUE(SUBSTITUTE((INDEX(SPLIT(A327,"",""),1)),""."","","",1))"),48.486948)</f>
        <v>48.486948</v>
      </c>
      <c r="Q327" s="13">
        <f>IFERROR(__xludf.DUMMYFUNCTION("VALUE(SUBSTITUTE((INDEX(SPLIT(A327,"",""),2)),""."","","",1))"),135.079373)</f>
        <v>135.079373</v>
      </c>
      <c r="R327" s="14" t="b">
        <f t="shared" si="1"/>
        <v>0</v>
      </c>
      <c r="S327" s="14" t="str">
        <f t="shared" si="2"/>
        <v>48.486948,135.079373</v>
      </c>
      <c r="T327" s="12"/>
    </row>
    <row r="328">
      <c r="A328" s="18" t="s">
        <v>2140</v>
      </c>
      <c r="B328" s="8" t="s">
        <v>2141</v>
      </c>
      <c r="C328" s="8" t="s">
        <v>2142</v>
      </c>
      <c r="D328" s="8" t="s">
        <v>16</v>
      </c>
      <c r="E328" s="19" t="s">
        <v>2143</v>
      </c>
      <c r="F328" s="8" t="s">
        <v>2057</v>
      </c>
      <c r="G328" s="8">
        <v>23.61</v>
      </c>
      <c r="H328" s="8"/>
      <c r="I328" s="8"/>
      <c r="J328" s="8" t="s">
        <v>2144</v>
      </c>
      <c r="K328" s="8" t="s">
        <v>2145</v>
      </c>
      <c r="L328" s="8"/>
      <c r="M328" s="24" t="s">
        <v>2080</v>
      </c>
      <c r="N328" s="12"/>
      <c r="O328" s="12"/>
      <c r="P328" s="13">
        <f>IFERROR(__xludf.DUMMYFUNCTION("VALUE(SUBSTITUTE((INDEX(SPLIT(A328,"",""),1)),""."","","",1))"),48.365687)</f>
        <v>48.365687</v>
      </c>
      <c r="Q328" s="13">
        <f>IFERROR(__xludf.DUMMYFUNCTION("VALUE(SUBSTITUTE((INDEX(SPLIT(A328,"",""),2)),""."","","",1))"),135.08505)</f>
        <v>135.08505</v>
      </c>
      <c r="R328" s="14" t="b">
        <f t="shared" si="1"/>
        <v>0</v>
      </c>
      <c r="S328" s="14" t="str">
        <f t="shared" si="2"/>
        <v>48.365687,135.08505</v>
      </c>
      <c r="T328" s="12"/>
    </row>
    <row r="329">
      <c r="A329" s="15" t="s">
        <v>2146</v>
      </c>
      <c r="B329" s="16" t="s">
        <v>2147</v>
      </c>
      <c r="C329" s="16" t="s">
        <v>2148</v>
      </c>
      <c r="D329" s="16" t="s">
        <v>16</v>
      </c>
      <c r="E329" s="17" t="s">
        <v>2149</v>
      </c>
      <c r="F329" s="16" t="s">
        <v>2057</v>
      </c>
      <c r="G329" s="16">
        <v>23.61</v>
      </c>
      <c r="H329" s="16"/>
      <c r="I329" s="16"/>
      <c r="J329" s="16" t="s">
        <v>2150</v>
      </c>
      <c r="K329" s="16" t="s">
        <v>2151</v>
      </c>
      <c r="L329" s="16"/>
      <c r="M329" s="25" t="s">
        <v>2152</v>
      </c>
      <c r="N329" s="12"/>
      <c r="O329" s="12"/>
      <c r="P329" s="13">
        <f>IFERROR(__xludf.DUMMYFUNCTION("VALUE(SUBSTITUTE((INDEX(SPLIT(A329,"",""),1)),""."","","",1))"),48.380081)</f>
        <v>48.380081</v>
      </c>
      <c r="Q329" s="13">
        <f>IFERROR(__xludf.DUMMYFUNCTION("VALUE(SUBSTITUTE((INDEX(SPLIT(A329,"",""),2)),""."","","",1))"),135.086739)</f>
        <v>135.086739</v>
      </c>
      <c r="R329" s="14" t="b">
        <f t="shared" si="1"/>
        <v>0</v>
      </c>
      <c r="S329" s="14" t="str">
        <f t="shared" si="2"/>
        <v>48.380081,135.086739</v>
      </c>
      <c r="T329" s="12"/>
    </row>
    <row r="330">
      <c r="A330" s="18" t="s">
        <v>2153</v>
      </c>
      <c r="B330" s="8" t="s">
        <v>2154</v>
      </c>
      <c r="C330" s="8" t="s">
        <v>2155</v>
      </c>
      <c r="D330" s="8" t="s">
        <v>16</v>
      </c>
      <c r="E330" s="19" t="s">
        <v>2156</v>
      </c>
      <c r="F330" s="8" t="s">
        <v>2057</v>
      </c>
      <c r="G330" s="8">
        <v>23.61</v>
      </c>
      <c r="H330" s="8"/>
      <c r="I330" s="8"/>
      <c r="J330" s="8" t="s">
        <v>2157</v>
      </c>
      <c r="K330" s="8" t="s">
        <v>2158</v>
      </c>
      <c r="L330" s="8"/>
      <c r="M330" s="8"/>
      <c r="N330" s="12"/>
      <c r="O330" s="12"/>
      <c r="P330" s="13">
        <f>IFERROR(__xludf.DUMMYFUNCTION("VALUE(SUBSTITUTE((INDEX(SPLIT(A330,"",""),1)),""."","","",1))"),48.380153)</f>
        <v>48.380153</v>
      </c>
      <c r="Q330" s="13">
        <f>IFERROR(__xludf.DUMMYFUNCTION("VALUE(SUBSTITUTE((INDEX(SPLIT(A330,"",""),2)),""."","","",1))"),135.087871)</f>
        <v>135.087871</v>
      </c>
      <c r="R330" s="14" t="b">
        <f t="shared" si="1"/>
        <v>0</v>
      </c>
      <c r="S330" s="14" t="str">
        <f t="shared" si="2"/>
        <v>48.380153,135.087871</v>
      </c>
      <c r="T330" s="12"/>
    </row>
    <row r="331">
      <c r="A331" s="15" t="s">
        <v>2159</v>
      </c>
      <c r="B331" s="16" t="s">
        <v>2160</v>
      </c>
      <c r="C331" s="16" t="s">
        <v>2161</v>
      </c>
      <c r="D331" s="16" t="s">
        <v>16</v>
      </c>
      <c r="E331" s="17" t="s">
        <v>2162</v>
      </c>
      <c r="F331" s="16" t="s">
        <v>2057</v>
      </c>
      <c r="G331" s="16">
        <v>23.61</v>
      </c>
      <c r="H331" s="16"/>
      <c r="I331" s="16"/>
      <c r="J331" s="16" t="s">
        <v>2163</v>
      </c>
      <c r="K331" s="16" t="s">
        <v>2164</v>
      </c>
      <c r="L331" s="16"/>
      <c r="M331" s="16"/>
      <c r="N331" s="12"/>
      <c r="O331" s="12"/>
      <c r="P331" s="13">
        <f>IFERROR(__xludf.DUMMYFUNCTION("VALUE(SUBSTITUTE((INDEX(SPLIT(A331,"",""),1)),""."","","",1))"),48.457272)</f>
        <v>48.457272</v>
      </c>
      <c r="Q331" s="13">
        <f>IFERROR(__xludf.DUMMYFUNCTION("VALUE(SUBSTITUTE((INDEX(SPLIT(A331,"",""),2)),""."","","",1))"),135.093324)</f>
        <v>135.093324</v>
      </c>
      <c r="R331" s="14" t="b">
        <f t="shared" si="1"/>
        <v>0</v>
      </c>
      <c r="S331" s="14" t="str">
        <f t="shared" si="2"/>
        <v>48.457272,135.093324</v>
      </c>
      <c r="T331" s="12"/>
    </row>
    <row r="332">
      <c r="A332" s="18" t="s">
        <v>2165</v>
      </c>
      <c r="B332" s="8" t="s">
        <v>2166</v>
      </c>
      <c r="C332" s="8" t="s">
        <v>2167</v>
      </c>
      <c r="D332" s="8" t="s">
        <v>16</v>
      </c>
      <c r="E332" s="19" t="s">
        <v>2168</v>
      </c>
      <c r="F332" s="8" t="s">
        <v>2057</v>
      </c>
      <c r="G332" s="8">
        <v>23.61</v>
      </c>
      <c r="H332" s="8"/>
      <c r="I332" s="8"/>
      <c r="J332" s="8" t="s">
        <v>2169</v>
      </c>
      <c r="K332" s="8" t="s">
        <v>2170</v>
      </c>
      <c r="L332" s="8"/>
      <c r="M332" s="8"/>
      <c r="N332" s="12"/>
      <c r="O332" s="12"/>
      <c r="P332" s="13">
        <f>IFERROR(__xludf.DUMMYFUNCTION("VALUE(SUBSTITUTE((INDEX(SPLIT(A332,"",""),1)),""."","","",1))"),48.374371)</f>
        <v>48.374371</v>
      </c>
      <c r="Q332" s="13">
        <f>IFERROR(__xludf.DUMMYFUNCTION("VALUE(SUBSTITUTE((INDEX(SPLIT(A332,"",""),2)),""."","","",1))"),135.100546)</f>
        <v>135.100546</v>
      </c>
      <c r="R332" s="14" t="b">
        <f t="shared" si="1"/>
        <v>0</v>
      </c>
      <c r="S332" s="14" t="str">
        <f t="shared" si="2"/>
        <v>48.374371,135.100546</v>
      </c>
      <c r="T332" s="12"/>
    </row>
    <row r="333">
      <c r="A333" s="15" t="s">
        <v>2171</v>
      </c>
      <c r="B333" s="16" t="s">
        <v>2172</v>
      </c>
      <c r="C333" s="16" t="s">
        <v>2173</v>
      </c>
      <c r="D333" s="16" t="s">
        <v>16</v>
      </c>
      <c r="E333" s="17" t="s">
        <v>2174</v>
      </c>
      <c r="F333" s="16" t="s">
        <v>2057</v>
      </c>
      <c r="G333" s="16">
        <v>23.61</v>
      </c>
      <c r="H333" s="16"/>
      <c r="I333" s="16"/>
      <c r="J333" s="16" t="s">
        <v>2175</v>
      </c>
      <c r="K333" s="16" t="s">
        <v>2176</v>
      </c>
      <c r="L333" s="16"/>
      <c r="M333" s="16"/>
      <c r="N333" s="12"/>
      <c r="O333" s="12"/>
      <c r="P333" s="13">
        <f>IFERROR(__xludf.DUMMYFUNCTION("VALUE(SUBSTITUTE((INDEX(SPLIT(A333,"",""),1)),""."","","",1))"),48.36771)</f>
        <v>48.36771</v>
      </c>
      <c r="Q333" s="13">
        <f>IFERROR(__xludf.DUMMYFUNCTION("VALUE(SUBSTITUTE((INDEX(SPLIT(A333,"",""),2)),""."","","",1))"),135.110679)</f>
        <v>135.110679</v>
      </c>
      <c r="R333" s="14" t="b">
        <f t="shared" si="1"/>
        <v>0</v>
      </c>
      <c r="S333" s="14" t="str">
        <f t="shared" si="2"/>
        <v>48.36771,135.110679</v>
      </c>
      <c r="T333" s="12"/>
    </row>
    <row r="334">
      <c r="A334" s="18" t="s">
        <v>2177</v>
      </c>
      <c r="B334" s="8" t="s">
        <v>2178</v>
      </c>
      <c r="C334" s="8" t="s">
        <v>2179</v>
      </c>
      <c r="D334" s="8" t="s">
        <v>16</v>
      </c>
      <c r="E334" s="19" t="s">
        <v>2180</v>
      </c>
      <c r="F334" s="8" t="s">
        <v>2057</v>
      </c>
      <c r="G334" s="8">
        <v>23.61</v>
      </c>
      <c r="H334" s="8"/>
      <c r="I334" s="8"/>
      <c r="J334" s="8" t="s">
        <v>2181</v>
      </c>
      <c r="K334" s="8" t="s">
        <v>2182</v>
      </c>
      <c r="L334" s="8"/>
      <c r="M334" s="24" t="s">
        <v>2183</v>
      </c>
      <c r="N334" s="12"/>
      <c r="O334" s="12"/>
      <c r="P334" s="13">
        <f>IFERROR(__xludf.DUMMYFUNCTION("VALUE(SUBSTITUTE((INDEX(SPLIT(A334,"",""),1)),""."","","",1))"),48.370535)</f>
        <v>48.370535</v>
      </c>
      <c r="Q334" s="13">
        <f>IFERROR(__xludf.DUMMYFUNCTION("VALUE(SUBSTITUTE((INDEX(SPLIT(A334,"",""),2)),""."","","",1))"),135.121297)</f>
        <v>135.121297</v>
      </c>
      <c r="R334" s="14" t="b">
        <f t="shared" si="1"/>
        <v>0</v>
      </c>
      <c r="S334" s="14" t="str">
        <f t="shared" si="2"/>
        <v>48.370535,135.121297</v>
      </c>
      <c r="T334" s="12"/>
    </row>
    <row r="335">
      <c r="A335" s="20" t="s">
        <v>2184</v>
      </c>
      <c r="B335" s="16" t="s">
        <v>2185</v>
      </c>
      <c r="C335" s="16" t="s">
        <v>2186</v>
      </c>
      <c r="D335" s="16" t="s">
        <v>16</v>
      </c>
      <c r="E335" s="21" t="s">
        <v>2187</v>
      </c>
      <c r="F335" s="22" t="s">
        <v>2057</v>
      </c>
      <c r="G335" s="16">
        <v>23.61</v>
      </c>
      <c r="H335" s="16"/>
      <c r="I335" s="22"/>
      <c r="J335" s="22" t="s">
        <v>2188</v>
      </c>
      <c r="K335" s="22" t="s">
        <v>2189</v>
      </c>
      <c r="L335" s="23" t="s">
        <v>2190</v>
      </c>
      <c r="M335" s="23" t="s">
        <v>2191</v>
      </c>
      <c r="N335" s="12"/>
      <c r="O335" s="12"/>
      <c r="P335" s="13">
        <f>IFERROR(__xludf.DUMMYFUNCTION("VALUE(SUBSTITUTE((INDEX(SPLIT(A335,"",""),1)),""."","","",1))"),48.481645)</f>
        <v>48.481645</v>
      </c>
      <c r="Q335" s="13">
        <f>IFERROR(__xludf.DUMMYFUNCTION("VALUE(SUBSTITUTE((INDEX(SPLIT(A335,"",""),2)),""."","","",1))"),135.123795)</f>
        <v>135.123795</v>
      </c>
      <c r="R335" s="14" t="b">
        <f t="shared" si="1"/>
        <v>0</v>
      </c>
      <c r="S335" s="14" t="str">
        <f t="shared" si="2"/>
        <v>48.481645,135.123795</v>
      </c>
      <c r="T335" s="12"/>
    </row>
    <row r="336">
      <c r="A336" s="18" t="s">
        <v>2184</v>
      </c>
      <c r="B336" s="8" t="s">
        <v>2192</v>
      </c>
      <c r="C336" s="8" t="s">
        <v>2193</v>
      </c>
      <c r="D336" s="8" t="s">
        <v>16</v>
      </c>
      <c r="E336" s="19" t="s">
        <v>2194</v>
      </c>
      <c r="F336" s="8" t="s">
        <v>2057</v>
      </c>
      <c r="G336" s="8">
        <v>23.61</v>
      </c>
      <c r="H336" s="8"/>
      <c r="I336" s="8"/>
      <c r="J336" s="8" t="s">
        <v>2195</v>
      </c>
      <c r="K336" s="8" t="s">
        <v>2189</v>
      </c>
      <c r="L336" s="8"/>
      <c r="M336" s="8"/>
      <c r="N336" s="12"/>
      <c r="O336" s="12"/>
      <c r="P336" s="13">
        <f>IFERROR(__xludf.DUMMYFUNCTION("VALUE(SUBSTITUTE((INDEX(SPLIT(A336,"",""),1)),""."","","",1))"),48.481645)</f>
        <v>48.481645</v>
      </c>
      <c r="Q336" s="13">
        <f>IFERROR(__xludf.DUMMYFUNCTION("VALUE(SUBSTITUTE((INDEX(SPLIT(A336,"",""),2)),""."","","",1))"),135.123795)</f>
        <v>135.123795</v>
      </c>
      <c r="R336" s="14" t="b">
        <f t="shared" si="1"/>
        <v>0</v>
      </c>
      <c r="S336" s="14" t="str">
        <f t="shared" si="2"/>
        <v>48.481645,135.123795</v>
      </c>
      <c r="T336" s="12"/>
    </row>
    <row r="337">
      <c r="A337" s="15" t="s">
        <v>2196</v>
      </c>
      <c r="B337" s="16" t="s">
        <v>2197</v>
      </c>
      <c r="C337" s="16" t="s">
        <v>2198</v>
      </c>
      <c r="D337" s="16" t="s">
        <v>16</v>
      </c>
      <c r="E337" s="17" t="s">
        <v>2199</v>
      </c>
      <c r="F337" s="16" t="s">
        <v>2057</v>
      </c>
      <c r="G337" s="16">
        <v>23.61</v>
      </c>
      <c r="H337" s="16"/>
      <c r="I337" s="16"/>
      <c r="J337" s="16" t="s">
        <v>2200</v>
      </c>
      <c r="K337" s="16" t="s">
        <v>2201</v>
      </c>
      <c r="L337" s="16"/>
      <c r="M337" s="16"/>
      <c r="N337" s="12"/>
      <c r="O337" s="12"/>
      <c r="P337" s="13">
        <f>IFERROR(__xludf.DUMMYFUNCTION("VALUE(SUBSTITUTE((INDEX(SPLIT(A337,"",""),1)),""."","","",1))"),48.460469)</f>
        <v>48.460469</v>
      </c>
      <c r="Q337" s="13">
        <f>IFERROR(__xludf.DUMMYFUNCTION("VALUE(SUBSTITUTE((INDEX(SPLIT(A337,"",""),2)),""."","","",1))"),135.12595)</f>
        <v>135.12595</v>
      </c>
      <c r="R337" s="14" t="b">
        <f t="shared" si="1"/>
        <v>0</v>
      </c>
      <c r="S337" s="14" t="str">
        <f t="shared" si="2"/>
        <v>48.460469,135.12595</v>
      </c>
      <c r="T337" s="12"/>
    </row>
    <row r="338">
      <c r="A338" s="18" t="s">
        <v>2202</v>
      </c>
      <c r="B338" s="8" t="s">
        <v>2203</v>
      </c>
      <c r="C338" s="8" t="s">
        <v>2204</v>
      </c>
      <c r="D338" s="8" t="s">
        <v>16</v>
      </c>
      <c r="E338" s="19" t="s">
        <v>2205</v>
      </c>
      <c r="F338" s="8" t="s">
        <v>2057</v>
      </c>
      <c r="G338" s="8">
        <v>23.61</v>
      </c>
      <c r="H338" s="8"/>
      <c r="I338" s="27" t="s">
        <v>2206</v>
      </c>
      <c r="J338" s="8" t="s">
        <v>2207</v>
      </c>
      <c r="K338" s="8" t="s">
        <v>2208</v>
      </c>
      <c r="L338" s="8"/>
      <c r="M338" s="8"/>
      <c r="N338" s="12"/>
      <c r="O338" s="12"/>
      <c r="P338" s="13">
        <f>IFERROR(__xludf.DUMMYFUNCTION("VALUE(SUBSTITUTE((INDEX(SPLIT(A338,"",""),1)),""."","","",1))"),48.419932)</f>
        <v>48.419932</v>
      </c>
      <c r="Q338" s="13">
        <f>IFERROR(__xludf.DUMMYFUNCTION("VALUE(SUBSTITUTE((INDEX(SPLIT(A338,"",""),2)),""."","","",1))"),135.12648)</f>
        <v>135.12648</v>
      </c>
      <c r="R338" s="14" t="b">
        <f t="shared" si="1"/>
        <v>0</v>
      </c>
      <c r="S338" s="14" t="str">
        <f t="shared" si="2"/>
        <v>48.419932,135.12648</v>
      </c>
      <c r="T338" s="12"/>
    </row>
    <row r="339">
      <c r="A339" s="15" t="s">
        <v>2202</v>
      </c>
      <c r="B339" s="16" t="s">
        <v>2209</v>
      </c>
      <c r="C339" s="16" t="s">
        <v>2210</v>
      </c>
      <c r="D339" s="16" t="s">
        <v>16</v>
      </c>
      <c r="E339" s="17" t="s">
        <v>2211</v>
      </c>
      <c r="F339" s="16" t="s">
        <v>2057</v>
      </c>
      <c r="G339" s="16">
        <v>23.61</v>
      </c>
      <c r="H339" s="16"/>
      <c r="I339" s="16"/>
      <c r="J339" s="16" t="s">
        <v>2212</v>
      </c>
      <c r="K339" s="16" t="s">
        <v>2208</v>
      </c>
      <c r="L339" s="16"/>
      <c r="M339" s="16"/>
      <c r="N339" s="12"/>
      <c r="O339" s="12"/>
      <c r="P339" s="13">
        <f>IFERROR(__xludf.DUMMYFUNCTION("VALUE(SUBSTITUTE((INDEX(SPLIT(A339,"",""),1)),""."","","",1))"),48.419932)</f>
        <v>48.419932</v>
      </c>
      <c r="Q339" s="13">
        <f>IFERROR(__xludf.DUMMYFUNCTION("VALUE(SUBSTITUTE((INDEX(SPLIT(A339,"",""),2)),""."","","",1))"),135.12648)</f>
        <v>135.12648</v>
      </c>
      <c r="R339" s="14" t="b">
        <f t="shared" si="1"/>
        <v>0</v>
      </c>
      <c r="S339" s="14" t="str">
        <f t="shared" si="2"/>
        <v>48.419932,135.12648</v>
      </c>
      <c r="T339" s="12"/>
    </row>
    <row r="340">
      <c r="A340" s="7" t="s">
        <v>2213</v>
      </c>
      <c r="B340" s="8" t="s">
        <v>2214</v>
      </c>
      <c r="C340" s="8" t="s">
        <v>2215</v>
      </c>
      <c r="D340" s="8" t="s">
        <v>16</v>
      </c>
      <c r="E340" s="9" t="s">
        <v>2216</v>
      </c>
      <c r="F340" s="10" t="s">
        <v>2057</v>
      </c>
      <c r="G340" s="8">
        <v>23.61</v>
      </c>
      <c r="H340" s="8"/>
      <c r="I340" s="10"/>
      <c r="J340" s="10" t="s">
        <v>2217</v>
      </c>
      <c r="K340" s="10" t="s">
        <v>1141</v>
      </c>
      <c r="L340" s="11" t="s">
        <v>2218</v>
      </c>
      <c r="M340" s="11" t="s">
        <v>1492</v>
      </c>
      <c r="N340" s="12"/>
      <c r="O340" s="12"/>
      <c r="P340" s="13">
        <f>IFERROR(__xludf.DUMMYFUNCTION("VALUE(SUBSTITUTE((INDEX(SPLIT(A340,"",""),1)),""."","","",1))"),48.480809)</f>
        <v>48.480809</v>
      </c>
      <c r="Q340" s="13">
        <f>IFERROR(__xludf.DUMMYFUNCTION("VALUE(SUBSTITUTE((INDEX(SPLIT(A340,"",""),2)),""."","","",1))"),135.128385)</f>
        <v>135.128385</v>
      </c>
      <c r="R340" s="14" t="b">
        <f t="shared" si="1"/>
        <v>0</v>
      </c>
      <c r="S340" s="14" t="str">
        <f t="shared" si="2"/>
        <v>48.480809,135.128385</v>
      </c>
      <c r="T340" s="12"/>
    </row>
    <row r="341">
      <c r="A341" s="15" t="s">
        <v>2219</v>
      </c>
      <c r="B341" s="16" t="s">
        <v>2220</v>
      </c>
      <c r="C341" s="16" t="s">
        <v>2221</v>
      </c>
      <c r="D341" s="16" t="s">
        <v>16</v>
      </c>
      <c r="E341" s="17" t="s">
        <v>2222</v>
      </c>
      <c r="F341" s="16" t="s">
        <v>2057</v>
      </c>
      <c r="G341" s="16">
        <v>23.61</v>
      </c>
      <c r="H341" s="16"/>
      <c r="I341" s="16"/>
      <c r="J341" s="16" t="s">
        <v>2223</v>
      </c>
      <c r="K341" s="16" t="s">
        <v>2224</v>
      </c>
      <c r="L341" s="16"/>
      <c r="M341" s="25" t="s">
        <v>2225</v>
      </c>
      <c r="N341" s="12"/>
      <c r="O341" s="12"/>
      <c r="P341" s="13">
        <f>IFERROR(__xludf.DUMMYFUNCTION("VALUE(SUBSTITUTE((INDEX(SPLIT(A341,"",""),1)),""."","","",1))"),48.398228)</f>
        <v>48.398228</v>
      </c>
      <c r="Q341" s="13">
        <f>IFERROR(__xludf.DUMMYFUNCTION("VALUE(SUBSTITUTE((INDEX(SPLIT(A341,"",""),2)),""."","","",1))"),135.139048)</f>
        <v>135.139048</v>
      </c>
      <c r="R341" s="14" t="b">
        <f t="shared" si="1"/>
        <v>0</v>
      </c>
      <c r="S341" s="14" t="str">
        <f t="shared" si="2"/>
        <v>48.398228,135.139048</v>
      </c>
      <c r="T341" s="12"/>
    </row>
    <row r="342">
      <c r="A342" s="18" t="s">
        <v>2226</v>
      </c>
      <c r="B342" s="8" t="s">
        <v>2227</v>
      </c>
      <c r="C342" s="8" t="s">
        <v>2228</v>
      </c>
      <c r="D342" s="8" t="s">
        <v>16</v>
      </c>
      <c r="E342" s="19" t="s">
        <v>2229</v>
      </c>
      <c r="F342" s="8" t="s">
        <v>2057</v>
      </c>
      <c r="G342" s="8">
        <v>23.61</v>
      </c>
      <c r="H342" s="8"/>
      <c r="I342" s="8"/>
      <c r="J342" s="8" t="s">
        <v>2230</v>
      </c>
      <c r="K342" s="8" t="s">
        <v>2231</v>
      </c>
      <c r="L342" s="8"/>
      <c r="M342" s="24" t="s">
        <v>2232</v>
      </c>
      <c r="N342" s="12"/>
      <c r="O342" s="12"/>
      <c r="P342" s="13">
        <f>IFERROR(__xludf.DUMMYFUNCTION("VALUE(SUBSTITUTE((INDEX(SPLIT(A342,"",""),1)),""."","","",1))"),48.442577)</f>
        <v>48.442577</v>
      </c>
      <c r="Q342" s="13">
        <f>IFERROR(__xludf.DUMMYFUNCTION("VALUE(SUBSTITUTE((INDEX(SPLIT(A342,"",""),2)),""."","","",1))"),135.139093)</f>
        <v>135.139093</v>
      </c>
      <c r="R342" s="14" t="b">
        <f t="shared" si="1"/>
        <v>0</v>
      </c>
      <c r="S342" s="14" t="str">
        <f t="shared" si="2"/>
        <v>48.442577,135.139093</v>
      </c>
      <c r="T342" s="12"/>
    </row>
    <row r="343">
      <c r="A343" s="15" t="s">
        <v>2233</v>
      </c>
      <c r="B343" s="16" t="s">
        <v>2234</v>
      </c>
      <c r="C343" s="16" t="s">
        <v>2235</v>
      </c>
      <c r="D343" s="16" t="s">
        <v>16</v>
      </c>
      <c r="E343" s="17" t="s">
        <v>2236</v>
      </c>
      <c r="F343" s="16" t="s">
        <v>2057</v>
      </c>
      <c r="G343" s="16">
        <v>23.61</v>
      </c>
      <c r="H343" s="16"/>
      <c r="I343" s="16"/>
      <c r="J343" s="16" t="s">
        <v>2237</v>
      </c>
      <c r="K343" s="16" t="s">
        <v>2238</v>
      </c>
      <c r="L343" s="16"/>
      <c r="M343" s="16"/>
      <c r="N343" s="12"/>
      <c r="O343" s="12"/>
      <c r="P343" s="13">
        <f>IFERROR(__xludf.DUMMYFUNCTION("VALUE(SUBSTITUTE((INDEX(SPLIT(A343,"",""),1)),""."","","",1))"),48.39468)</f>
        <v>48.39468</v>
      </c>
      <c r="Q343" s="13">
        <f>IFERROR(__xludf.DUMMYFUNCTION("VALUE(SUBSTITUTE((INDEX(SPLIT(A343,"",""),2)),""."","","",1))"),135.139874)</f>
        <v>135.139874</v>
      </c>
      <c r="R343" s="14" t="b">
        <f t="shared" si="1"/>
        <v>0</v>
      </c>
      <c r="S343" s="14" t="str">
        <f t="shared" si="2"/>
        <v>48.39468,135.139874</v>
      </c>
      <c r="T343" s="12"/>
    </row>
    <row r="344">
      <c r="A344" s="18" t="s">
        <v>2239</v>
      </c>
      <c r="B344" s="8" t="s">
        <v>2240</v>
      </c>
      <c r="C344" s="8" t="s">
        <v>2241</v>
      </c>
      <c r="D344" s="8" t="s">
        <v>16</v>
      </c>
      <c r="E344" s="19" t="s">
        <v>2242</v>
      </c>
      <c r="F344" s="8" t="s">
        <v>2057</v>
      </c>
      <c r="G344" s="8">
        <v>23.61</v>
      </c>
      <c r="H344" s="8"/>
      <c r="I344" s="8"/>
      <c r="J344" s="8" t="s">
        <v>2243</v>
      </c>
      <c r="K344" s="8" t="s">
        <v>2244</v>
      </c>
      <c r="L344" s="8"/>
      <c r="M344" s="8"/>
      <c r="N344" s="12"/>
      <c r="O344" s="12"/>
      <c r="P344" s="13">
        <f>IFERROR(__xludf.DUMMYFUNCTION("VALUE(SUBSTITUTE((INDEX(SPLIT(A344,"",""),1)),""."","","",1))"),48.449922)</f>
        <v>48.449922</v>
      </c>
      <c r="Q344" s="13">
        <f>IFERROR(__xludf.DUMMYFUNCTION("VALUE(SUBSTITUTE((INDEX(SPLIT(A344,"",""),2)),""."","","",1))"),135.141923)</f>
        <v>135.141923</v>
      </c>
      <c r="R344" s="14" t="b">
        <f t="shared" si="1"/>
        <v>0</v>
      </c>
      <c r="S344" s="14" t="str">
        <f t="shared" si="2"/>
        <v>48.449922,135.141923</v>
      </c>
      <c r="T344" s="12"/>
    </row>
    <row r="345">
      <c r="A345" s="15" t="s">
        <v>2245</v>
      </c>
      <c r="B345" s="16" t="s">
        <v>2246</v>
      </c>
      <c r="C345" s="16" t="s">
        <v>2247</v>
      </c>
      <c r="D345" s="16" t="s">
        <v>16</v>
      </c>
      <c r="E345" s="17" t="s">
        <v>2248</v>
      </c>
      <c r="F345" s="16" t="s">
        <v>2057</v>
      </c>
      <c r="G345" s="16">
        <v>23.61</v>
      </c>
      <c r="H345" s="16"/>
      <c r="I345" s="16"/>
      <c r="J345" s="16" t="s">
        <v>2249</v>
      </c>
      <c r="K345" s="16" t="s">
        <v>2250</v>
      </c>
      <c r="L345" s="16"/>
      <c r="M345" s="16"/>
      <c r="N345" s="12"/>
      <c r="O345" s="12"/>
      <c r="P345" s="13">
        <f>IFERROR(__xludf.DUMMYFUNCTION("VALUE(SUBSTITUTE((INDEX(SPLIT(A345,"",""),1)),""."","","",1))"),48.447185)</f>
        <v>48.447185</v>
      </c>
      <c r="Q345" s="13">
        <f>IFERROR(__xludf.DUMMYFUNCTION("VALUE(SUBSTITUTE((INDEX(SPLIT(A345,"",""),2)),""."","","",1))"),135.147294)</f>
        <v>135.147294</v>
      </c>
      <c r="R345" s="14" t="b">
        <f t="shared" si="1"/>
        <v>0</v>
      </c>
      <c r="S345" s="14" t="str">
        <f t="shared" si="2"/>
        <v>48.447185,135.147294</v>
      </c>
      <c r="T345" s="12"/>
    </row>
    <row r="346">
      <c r="A346" s="7" t="s">
        <v>2251</v>
      </c>
      <c r="B346" s="8" t="s">
        <v>2252</v>
      </c>
      <c r="C346" s="8" t="s">
        <v>2253</v>
      </c>
      <c r="D346" s="8" t="s">
        <v>16</v>
      </c>
      <c r="E346" s="9" t="s">
        <v>2254</v>
      </c>
      <c r="F346" s="10" t="s">
        <v>2057</v>
      </c>
      <c r="G346" s="8">
        <v>23.61</v>
      </c>
      <c r="H346" s="8"/>
      <c r="I346" s="10"/>
      <c r="J346" s="10" t="s">
        <v>2255</v>
      </c>
      <c r="K346" s="10" t="s">
        <v>2256</v>
      </c>
      <c r="L346" s="11" t="s">
        <v>2257</v>
      </c>
      <c r="M346" s="10"/>
      <c r="N346" s="12"/>
      <c r="O346" s="12"/>
      <c r="P346" s="13">
        <f>IFERROR(__xludf.DUMMYFUNCTION("VALUE(SUBSTITUTE((INDEX(SPLIT(A346,"",""),1)),""."","","",1))"),48.400232)</f>
        <v>48.400232</v>
      </c>
      <c r="Q346" s="13">
        <f>IFERROR(__xludf.DUMMYFUNCTION("VALUE(SUBSTITUTE((INDEX(SPLIT(A346,"",""),2)),""."","","",1))"),135.148831)</f>
        <v>135.148831</v>
      </c>
      <c r="R346" s="14" t="b">
        <f t="shared" si="1"/>
        <v>0</v>
      </c>
      <c r="S346" s="14" t="str">
        <f t="shared" si="2"/>
        <v>48.400232,135.148831</v>
      </c>
      <c r="T346" s="12"/>
    </row>
    <row r="347">
      <c r="A347" s="15" t="s">
        <v>2251</v>
      </c>
      <c r="B347" s="16" t="s">
        <v>2258</v>
      </c>
      <c r="C347" s="16" t="s">
        <v>2259</v>
      </c>
      <c r="D347" s="16" t="s">
        <v>16</v>
      </c>
      <c r="E347" s="17" t="s">
        <v>2260</v>
      </c>
      <c r="F347" s="16" t="s">
        <v>2057</v>
      </c>
      <c r="G347" s="16">
        <v>23.61</v>
      </c>
      <c r="H347" s="16"/>
      <c r="I347" s="16"/>
      <c r="J347" s="16" t="s">
        <v>2261</v>
      </c>
      <c r="K347" s="16" t="s">
        <v>2262</v>
      </c>
      <c r="L347" s="16"/>
      <c r="M347" s="16"/>
      <c r="N347" s="12"/>
      <c r="O347" s="12"/>
      <c r="P347" s="13">
        <f>IFERROR(__xludf.DUMMYFUNCTION("VALUE(SUBSTITUTE((INDEX(SPLIT(A347,"",""),1)),""."","","",1))"),48.400232)</f>
        <v>48.400232</v>
      </c>
      <c r="Q347" s="13">
        <f>IFERROR(__xludf.DUMMYFUNCTION("VALUE(SUBSTITUTE((INDEX(SPLIT(A347,"",""),2)),""."","","",1))"),135.148831)</f>
        <v>135.148831</v>
      </c>
      <c r="R347" s="14" t="b">
        <f t="shared" si="1"/>
        <v>0</v>
      </c>
      <c r="S347" s="14" t="str">
        <f t="shared" si="2"/>
        <v>48.400232,135.148831</v>
      </c>
      <c r="T347" s="12"/>
    </row>
    <row r="348">
      <c r="A348" s="18" t="s">
        <v>2263</v>
      </c>
      <c r="B348" s="8" t="s">
        <v>2264</v>
      </c>
      <c r="C348" s="8" t="s">
        <v>2265</v>
      </c>
      <c r="D348" s="8" t="s">
        <v>16</v>
      </c>
      <c r="E348" s="19" t="s">
        <v>2266</v>
      </c>
      <c r="F348" s="8" t="s">
        <v>2057</v>
      </c>
      <c r="G348" s="8">
        <v>23.61</v>
      </c>
      <c r="H348" s="8"/>
      <c r="I348" s="8"/>
      <c r="J348" s="8" t="s">
        <v>2267</v>
      </c>
      <c r="K348" s="8" t="s">
        <v>2268</v>
      </c>
      <c r="L348" s="8"/>
      <c r="M348" s="24" t="s">
        <v>2269</v>
      </c>
      <c r="N348" s="12"/>
      <c r="O348" s="12"/>
      <c r="P348" s="13">
        <f>IFERROR(__xludf.DUMMYFUNCTION("VALUE(SUBSTITUTE((INDEX(SPLIT(A348,"",""),1)),""."","","",1))"),48.520067)</f>
        <v>48.520067</v>
      </c>
      <c r="Q348" s="13">
        <f>IFERROR(__xludf.DUMMYFUNCTION("VALUE(SUBSTITUTE((INDEX(SPLIT(A348,"",""),2)),""."","","",1))"),135.150142)</f>
        <v>135.150142</v>
      </c>
      <c r="R348" s="14" t="b">
        <f t="shared" si="1"/>
        <v>0</v>
      </c>
      <c r="S348" s="14" t="str">
        <f t="shared" si="2"/>
        <v>48.520067,135.150142</v>
      </c>
      <c r="T348" s="12"/>
    </row>
    <row r="349">
      <c r="A349" s="20" t="s">
        <v>2270</v>
      </c>
      <c r="B349" s="16" t="s">
        <v>2271</v>
      </c>
      <c r="C349" s="16" t="s">
        <v>2272</v>
      </c>
      <c r="D349" s="16" t="s">
        <v>16</v>
      </c>
      <c r="E349" s="21" t="s">
        <v>2273</v>
      </c>
      <c r="F349" s="22" t="s">
        <v>2057</v>
      </c>
      <c r="G349" s="16">
        <v>23.61</v>
      </c>
      <c r="H349" s="16"/>
      <c r="I349" s="22"/>
      <c r="J349" s="22" t="s">
        <v>2274</v>
      </c>
      <c r="K349" s="22" t="s">
        <v>2275</v>
      </c>
      <c r="L349" s="23" t="s">
        <v>2276</v>
      </c>
      <c r="M349" s="22"/>
      <c r="N349" s="12"/>
      <c r="O349" s="12"/>
      <c r="P349" s="13">
        <f>IFERROR(__xludf.DUMMYFUNCTION("VALUE(SUBSTITUTE((INDEX(SPLIT(A349,"",""),1)),""."","","",1))"),48.45199)</f>
        <v>48.45199</v>
      </c>
      <c r="Q349" s="13">
        <f>IFERROR(__xludf.DUMMYFUNCTION("VALUE(SUBSTITUTE((INDEX(SPLIT(A349,"",""),2)),""."","","",1))"),135.15546)</f>
        <v>135.15546</v>
      </c>
      <c r="R349" s="14" t="b">
        <f t="shared" si="1"/>
        <v>0</v>
      </c>
      <c r="S349" s="14" t="str">
        <f t="shared" si="2"/>
        <v>48.45199,135.15546</v>
      </c>
      <c r="T349" s="12"/>
    </row>
    <row r="350">
      <c r="A350" s="18" t="s">
        <v>2277</v>
      </c>
      <c r="B350" s="8" t="s">
        <v>2278</v>
      </c>
      <c r="C350" s="8" t="s">
        <v>2279</v>
      </c>
      <c r="D350" s="8" t="s">
        <v>16</v>
      </c>
      <c r="E350" s="19" t="s">
        <v>2280</v>
      </c>
      <c r="F350" s="8" t="s">
        <v>2057</v>
      </c>
      <c r="G350" s="8">
        <v>23.61</v>
      </c>
      <c r="H350" s="8"/>
      <c r="I350" s="8"/>
      <c r="J350" s="8" t="s">
        <v>2281</v>
      </c>
      <c r="K350" s="8" t="s">
        <v>2282</v>
      </c>
      <c r="L350" s="8"/>
      <c r="M350" s="24" t="s">
        <v>2283</v>
      </c>
      <c r="N350" s="12"/>
      <c r="O350" s="12"/>
      <c r="P350" s="13">
        <f>IFERROR(__xludf.DUMMYFUNCTION("VALUE(SUBSTITUTE((INDEX(SPLIT(A350,"",""),1)),""."","","",1))"),48.433946)</f>
        <v>48.433946</v>
      </c>
      <c r="Q350" s="13">
        <f>IFERROR(__xludf.DUMMYFUNCTION("VALUE(SUBSTITUTE((INDEX(SPLIT(A350,"",""),2)),""."","","",1))"),135.158065)</f>
        <v>135.158065</v>
      </c>
      <c r="R350" s="14" t="b">
        <f t="shared" si="1"/>
        <v>0</v>
      </c>
      <c r="S350" s="14" t="str">
        <f t="shared" si="2"/>
        <v>48.433946,135.158065</v>
      </c>
      <c r="T350" s="12"/>
    </row>
    <row r="351">
      <c r="A351" s="20" t="s">
        <v>2284</v>
      </c>
      <c r="B351" s="16" t="s">
        <v>2285</v>
      </c>
      <c r="C351" s="16" t="s">
        <v>2286</v>
      </c>
      <c r="D351" s="16" t="s">
        <v>16</v>
      </c>
      <c r="E351" s="21" t="s">
        <v>2287</v>
      </c>
      <c r="F351" s="22" t="s">
        <v>2057</v>
      </c>
      <c r="G351" s="16">
        <v>23.61</v>
      </c>
      <c r="H351" s="16"/>
      <c r="I351" s="22"/>
      <c r="J351" s="22" t="s">
        <v>2288</v>
      </c>
      <c r="K351" s="22" t="s">
        <v>2289</v>
      </c>
      <c r="L351" s="23" t="s">
        <v>2290</v>
      </c>
      <c r="M351" s="22"/>
      <c r="N351" s="12"/>
      <c r="O351" s="12"/>
      <c r="P351" s="13">
        <f>IFERROR(__xludf.DUMMYFUNCTION("VALUE(SUBSTITUTE((INDEX(SPLIT(A351,"",""),1)),""."","","",1))"),48.39687)</f>
        <v>48.39687</v>
      </c>
      <c r="Q351" s="13">
        <f>IFERROR(__xludf.DUMMYFUNCTION("VALUE(SUBSTITUTE((INDEX(SPLIT(A351,"",""),2)),""."","","",1))"),135.160122)</f>
        <v>135.160122</v>
      </c>
      <c r="R351" s="14" t="b">
        <f t="shared" si="1"/>
        <v>0</v>
      </c>
      <c r="S351" s="14" t="str">
        <f t="shared" si="2"/>
        <v>48.39687,135.160122</v>
      </c>
      <c r="T351" s="12"/>
    </row>
    <row r="352">
      <c r="A352" s="18" t="s">
        <v>2291</v>
      </c>
      <c r="B352" s="8" t="s">
        <v>2292</v>
      </c>
      <c r="C352" s="8" t="s">
        <v>2293</v>
      </c>
      <c r="D352" s="8" t="s">
        <v>16</v>
      </c>
      <c r="E352" s="19" t="s">
        <v>2294</v>
      </c>
      <c r="F352" s="8" t="s">
        <v>2057</v>
      </c>
      <c r="G352" s="8">
        <v>23.61</v>
      </c>
      <c r="H352" s="8"/>
      <c r="I352" s="8"/>
      <c r="J352" s="8" t="s">
        <v>2295</v>
      </c>
      <c r="K352" s="8" t="s">
        <v>2296</v>
      </c>
      <c r="L352" s="8"/>
      <c r="M352" s="8"/>
      <c r="N352" s="12"/>
      <c r="O352" s="12"/>
      <c r="P352" s="13">
        <f>IFERROR(__xludf.DUMMYFUNCTION("VALUE(SUBSTITUTE((INDEX(SPLIT(A352,"",""),1)),""."","","",1))"),48.413456)</f>
        <v>48.413456</v>
      </c>
      <c r="Q352" s="13">
        <f>IFERROR(__xludf.DUMMYFUNCTION("VALUE(SUBSTITUTE((INDEX(SPLIT(A352,"",""),2)),""."","","",1))"),135.160455)</f>
        <v>135.160455</v>
      </c>
      <c r="R352" s="14" t="b">
        <f t="shared" si="1"/>
        <v>0</v>
      </c>
      <c r="S352" s="14" t="str">
        <f t="shared" si="2"/>
        <v>48.413456,135.160455</v>
      </c>
      <c r="T352" s="12"/>
    </row>
    <row r="353">
      <c r="A353" s="15" t="s">
        <v>2297</v>
      </c>
      <c r="B353" s="16" t="s">
        <v>2298</v>
      </c>
      <c r="C353" s="16" t="s">
        <v>2299</v>
      </c>
      <c r="D353" s="16" t="s">
        <v>16</v>
      </c>
      <c r="E353" s="17" t="s">
        <v>2300</v>
      </c>
      <c r="F353" s="16" t="s">
        <v>2057</v>
      </c>
      <c r="G353" s="16">
        <v>23.61</v>
      </c>
      <c r="H353" s="16"/>
      <c r="I353" s="16"/>
      <c r="J353" s="16" t="s">
        <v>2301</v>
      </c>
      <c r="K353" s="16" t="s">
        <v>2302</v>
      </c>
      <c r="L353" s="16"/>
      <c r="M353" s="16"/>
      <c r="N353" s="12"/>
      <c r="O353" s="12"/>
      <c r="P353" s="13">
        <f>IFERROR(__xludf.DUMMYFUNCTION("VALUE(SUBSTITUTE((INDEX(SPLIT(A353,"",""),1)),""."","","",1))"),48.391952)</f>
        <v>48.391952</v>
      </c>
      <c r="Q353" s="13">
        <f>IFERROR(__xludf.DUMMYFUNCTION("VALUE(SUBSTITUTE((INDEX(SPLIT(A353,"",""),2)),""."","","",1))"),135.164668)</f>
        <v>135.164668</v>
      </c>
      <c r="R353" s="14" t="b">
        <f t="shared" si="1"/>
        <v>0</v>
      </c>
      <c r="S353" s="14" t="str">
        <f t="shared" si="2"/>
        <v>48.391952,135.164668</v>
      </c>
      <c r="T353" s="12"/>
    </row>
    <row r="354">
      <c r="A354" s="18" t="s">
        <v>2303</v>
      </c>
      <c r="B354" s="8" t="s">
        <v>2304</v>
      </c>
      <c r="C354" s="8" t="s">
        <v>2305</v>
      </c>
      <c r="D354" s="8" t="s">
        <v>16</v>
      </c>
      <c r="E354" s="19" t="s">
        <v>2306</v>
      </c>
      <c r="F354" s="8" t="s">
        <v>2057</v>
      </c>
      <c r="G354" s="8">
        <v>23.61</v>
      </c>
      <c r="H354" s="8"/>
      <c r="I354" s="8"/>
      <c r="J354" s="8" t="s">
        <v>2307</v>
      </c>
      <c r="K354" s="8" t="s">
        <v>2308</v>
      </c>
      <c r="L354" s="8"/>
      <c r="M354" s="8"/>
      <c r="N354" s="12"/>
      <c r="O354" s="12"/>
      <c r="P354" s="13">
        <f>IFERROR(__xludf.DUMMYFUNCTION("VALUE(SUBSTITUTE((INDEX(SPLIT(A354,"",""),1)),""."","","",1))"),48.469478)</f>
        <v>48.469478</v>
      </c>
      <c r="Q354" s="13">
        <f>IFERROR(__xludf.DUMMYFUNCTION("VALUE(SUBSTITUTE((INDEX(SPLIT(A354,"",""),2)),""."","","",1))"),135.167408)</f>
        <v>135.167408</v>
      </c>
      <c r="R354" s="14" t="b">
        <f t="shared" si="1"/>
        <v>0</v>
      </c>
      <c r="S354" s="14" t="str">
        <f t="shared" si="2"/>
        <v>48.469478,135.167408</v>
      </c>
      <c r="T354" s="12"/>
    </row>
    <row r="355">
      <c r="A355" s="15" t="s">
        <v>2309</v>
      </c>
      <c r="B355" s="16" t="s">
        <v>2310</v>
      </c>
      <c r="C355" s="16" t="s">
        <v>2311</v>
      </c>
      <c r="D355" s="16" t="s">
        <v>16</v>
      </c>
      <c r="E355" s="17" t="s">
        <v>2312</v>
      </c>
      <c r="F355" s="16" t="s">
        <v>2057</v>
      </c>
      <c r="G355" s="16">
        <v>23.61</v>
      </c>
      <c r="H355" s="16"/>
      <c r="I355" s="16"/>
      <c r="J355" s="16" t="s">
        <v>2313</v>
      </c>
      <c r="K355" s="16" t="s">
        <v>2314</v>
      </c>
      <c r="L355" s="16"/>
      <c r="M355" s="25" t="s">
        <v>2315</v>
      </c>
      <c r="N355" s="12"/>
      <c r="O355" s="12"/>
      <c r="P355" s="13">
        <f>IFERROR(__xludf.DUMMYFUNCTION("VALUE(SUBSTITUTE((INDEX(SPLIT(A355,"",""),1)),""."","","",1))"),48.455731)</f>
        <v>48.455731</v>
      </c>
      <c r="Q355" s="13">
        <f>IFERROR(__xludf.DUMMYFUNCTION("VALUE(SUBSTITUTE((INDEX(SPLIT(A355,"",""),2)),""."","","",1))"),135.183119)</f>
        <v>135.183119</v>
      </c>
      <c r="R355" s="14" t="b">
        <f t="shared" si="1"/>
        <v>0</v>
      </c>
      <c r="S355" s="14" t="str">
        <f t="shared" si="2"/>
        <v>48.455731,135.183119</v>
      </c>
      <c r="T355" s="12"/>
    </row>
    <row r="356">
      <c r="A356" s="18" t="s">
        <v>2316</v>
      </c>
      <c r="B356" s="8" t="s">
        <v>2317</v>
      </c>
      <c r="C356" s="8" t="s">
        <v>2318</v>
      </c>
      <c r="D356" s="8" t="s">
        <v>16</v>
      </c>
      <c r="E356" s="19" t="s">
        <v>2319</v>
      </c>
      <c r="F356" s="8" t="s">
        <v>2057</v>
      </c>
      <c r="G356" s="8">
        <v>23.61</v>
      </c>
      <c r="H356" s="8"/>
      <c r="I356" s="8"/>
      <c r="J356" s="8" t="s">
        <v>2320</v>
      </c>
      <c r="K356" s="8" t="s">
        <v>2321</v>
      </c>
      <c r="L356" s="8"/>
      <c r="M356" s="24" t="s">
        <v>2322</v>
      </c>
      <c r="N356" s="12"/>
      <c r="O356" s="12"/>
      <c r="P356" s="13">
        <f>IFERROR(__xludf.DUMMYFUNCTION("VALUE(SUBSTITUTE((INDEX(SPLIT(A356,"",""),1)),""."","","",1))"),48.40473)</f>
        <v>48.40473</v>
      </c>
      <c r="Q356" s="13">
        <f>IFERROR(__xludf.DUMMYFUNCTION("VALUE(SUBSTITUTE((INDEX(SPLIT(A356,"",""),2)),""."","","",1))"),135.19433)</f>
        <v>135.19433</v>
      </c>
      <c r="R356" s="14" t="b">
        <f t="shared" si="1"/>
        <v>0</v>
      </c>
      <c r="S356" s="14" t="str">
        <f t="shared" si="2"/>
        <v>48.40473,135.19433</v>
      </c>
      <c r="T356" s="12"/>
    </row>
    <row r="357">
      <c r="A357" s="15" t="s">
        <v>2316</v>
      </c>
      <c r="B357" s="16" t="s">
        <v>2323</v>
      </c>
      <c r="C357" s="16" t="s">
        <v>2324</v>
      </c>
      <c r="D357" s="16" t="s">
        <v>16</v>
      </c>
      <c r="E357" s="17" t="s">
        <v>2325</v>
      </c>
      <c r="F357" s="16" t="s">
        <v>2057</v>
      </c>
      <c r="G357" s="16">
        <v>23.61</v>
      </c>
      <c r="H357" s="16"/>
      <c r="I357" s="16"/>
      <c r="J357" s="16" t="s">
        <v>2326</v>
      </c>
      <c r="K357" s="16" t="s">
        <v>2119</v>
      </c>
      <c r="L357" s="16"/>
      <c r="M357" s="16"/>
      <c r="N357" s="12"/>
      <c r="O357" s="12"/>
      <c r="P357" s="13">
        <f>IFERROR(__xludf.DUMMYFUNCTION("VALUE(SUBSTITUTE((INDEX(SPLIT(A357,"",""),1)),""."","","",1))"),48.40473)</f>
        <v>48.40473</v>
      </c>
      <c r="Q357" s="13">
        <f>IFERROR(__xludf.DUMMYFUNCTION("VALUE(SUBSTITUTE((INDEX(SPLIT(A357,"",""),2)),""."","","",1))"),135.19433)</f>
        <v>135.19433</v>
      </c>
      <c r="R357" s="14" t="b">
        <f t="shared" si="1"/>
        <v>0</v>
      </c>
      <c r="S357" s="14" t="str">
        <f t="shared" si="2"/>
        <v>48.40473,135.19433</v>
      </c>
      <c r="T357" s="12"/>
    </row>
    <row r="358">
      <c r="A358" s="7" t="s">
        <v>2316</v>
      </c>
      <c r="B358" s="8" t="s">
        <v>2327</v>
      </c>
      <c r="C358" s="8" t="s">
        <v>2328</v>
      </c>
      <c r="D358" s="8" t="s">
        <v>16</v>
      </c>
      <c r="E358" s="9" t="s">
        <v>2329</v>
      </c>
      <c r="F358" s="10" t="s">
        <v>2330</v>
      </c>
      <c r="G358" s="8">
        <v>23.61</v>
      </c>
      <c r="H358" s="8"/>
      <c r="I358" s="10"/>
      <c r="J358" s="10" t="s">
        <v>2331</v>
      </c>
      <c r="K358" s="10" t="s">
        <v>2332</v>
      </c>
      <c r="L358" s="11" t="s">
        <v>2333</v>
      </c>
      <c r="M358" s="10"/>
      <c r="N358" s="12"/>
      <c r="O358" s="12"/>
      <c r="P358" s="13">
        <f>IFERROR(__xludf.DUMMYFUNCTION("VALUE(SUBSTITUTE((INDEX(SPLIT(A358,"",""),1)),""."","","",1))"),48.40473)</f>
        <v>48.40473</v>
      </c>
      <c r="Q358" s="13">
        <f>IFERROR(__xludf.DUMMYFUNCTION("VALUE(SUBSTITUTE((INDEX(SPLIT(A358,"",""),2)),""."","","",1))"),135.19433)</f>
        <v>135.19433</v>
      </c>
      <c r="R358" s="14" t="b">
        <f t="shared" si="1"/>
        <v>0</v>
      </c>
      <c r="S358" s="14" t="str">
        <f t="shared" si="2"/>
        <v>48.40473,135.19433</v>
      </c>
      <c r="T358" s="12"/>
    </row>
    <row r="359">
      <c r="A359" s="15" t="s">
        <v>2334</v>
      </c>
      <c r="B359" s="16" t="s">
        <v>2335</v>
      </c>
      <c r="C359" s="16" t="s">
        <v>2336</v>
      </c>
      <c r="D359" s="16" t="s">
        <v>16</v>
      </c>
      <c r="E359" s="17" t="s">
        <v>2337</v>
      </c>
      <c r="F359" s="16" t="s">
        <v>2057</v>
      </c>
      <c r="G359" s="16">
        <v>23.61</v>
      </c>
      <c r="H359" s="16"/>
      <c r="I359" s="16"/>
      <c r="J359" s="16" t="s">
        <v>2338</v>
      </c>
      <c r="K359" s="16" t="s">
        <v>2339</v>
      </c>
      <c r="L359" s="16"/>
      <c r="M359" s="25" t="s">
        <v>2340</v>
      </c>
      <c r="N359" s="12"/>
      <c r="O359" s="12"/>
      <c r="P359" s="13">
        <f>IFERROR(__xludf.DUMMYFUNCTION("VALUE(SUBSTITUTE((INDEX(SPLIT(A359,"",""),1)),""."","","",1))"),48.490608)</f>
        <v>48.490608</v>
      </c>
      <c r="Q359" s="13">
        <f>IFERROR(__xludf.DUMMYFUNCTION("VALUE(SUBSTITUTE((INDEX(SPLIT(A359,"",""),2)),""."","","",1))"),135.225214)</f>
        <v>135.225214</v>
      </c>
      <c r="R359" s="14" t="b">
        <f t="shared" si="1"/>
        <v>0</v>
      </c>
      <c r="S359" s="14" t="str">
        <f t="shared" si="2"/>
        <v>48.490608,135.225214</v>
      </c>
      <c r="T359" s="12"/>
    </row>
    <row r="360">
      <c r="A360" s="7" t="s">
        <v>2341</v>
      </c>
      <c r="B360" s="8" t="s">
        <v>2342</v>
      </c>
      <c r="C360" s="8" t="s">
        <v>2343</v>
      </c>
      <c r="D360" s="8" t="s">
        <v>16</v>
      </c>
      <c r="E360" s="9" t="s">
        <v>2344</v>
      </c>
      <c r="F360" s="10" t="s">
        <v>911</v>
      </c>
      <c r="G360" s="8">
        <v>23.61</v>
      </c>
      <c r="H360" s="8"/>
      <c r="I360" s="10"/>
      <c r="J360" s="10" t="s">
        <v>2345</v>
      </c>
      <c r="K360" s="10" t="s">
        <v>2346</v>
      </c>
      <c r="L360" s="11" t="s">
        <v>2347</v>
      </c>
      <c r="M360" s="10"/>
      <c r="N360" s="12"/>
      <c r="O360" s="12"/>
      <c r="P360" s="13">
        <f>IFERROR(__xludf.DUMMYFUNCTION("VALUE(SUBSTITUTE((INDEX(SPLIT(A360,"",""),1)),""."","","",1))"),62.647747)</f>
        <v>62.647747</v>
      </c>
      <c r="Q360" s="13">
        <f>IFERROR(__xludf.DUMMYFUNCTION("VALUE(SUBSTITUTE((INDEX(SPLIT(A360,"",""),2)),""."","","",1))"),135.577489)</f>
        <v>135.577489</v>
      </c>
      <c r="R360" s="14" t="b">
        <f t="shared" si="1"/>
        <v>0</v>
      </c>
      <c r="S360" s="14" t="str">
        <f t="shared" si="2"/>
        <v>62.647747,135.577489</v>
      </c>
      <c r="T360" s="12"/>
    </row>
    <row r="361">
      <c r="A361" s="20" t="s">
        <v>2348</v>
      </c>
      <c r="B361" s="16" t="s">
        <v>2349</v>
      </c>
      <c r="C361" s="16" t="s">
        <v>2350</v>
      </c>
      <c r="D361" s="16" t="s">
        <v>16</v>
      </c>
      <c r="E361" s="21" t="s">
        <v>2351</v>
      </c>
      <c r="F361" s="22" t="s">
        <v>2057</v>
      </c>
      <c r="G361" s="16">
        <v>23.61</v>
      </c>
      <c r="H361" s="16"/>
      <c r="I361" s="22"/>
      <c r="J361" s="22" t="s">
        <v>2352</v>
      </c>
      <c r="K361" s="22" t="s">
        <v>2353</v>
      </c>
      <c r="L361" s="23" t="s">
        <v>2354</v>
      </c>
      <c r="M361" s="22"/>
      <c r="N361" s="12"/>
      <c r="O361" s="12"/>
      <c r="P361" s="13">
        <f>IFERROR(__xludf.DUMMYFUNCTION("VALUE(SUBSTITUTE((INDEX(SPLIT(A361,"",""),1)),""."","","",1))"),50.548761)</f>
        <v>50.548761</v>
      </c>
      <c r="Q361" s="13">
        <f>IFERROR(__xludf.DUMMYFUNCTION("VALUE(SUBSTITUTE((INDEX(SPLIT(A361,"",""),2)),""."","","",1))"),136.976489)</f>
        <v>136.976489</v>
      </c>
      <c r="R361" s="14" t="b">
        <f t="shared" si="1"/>
        <v>0</v>
      </c>
      <c r="S361" s="14" t="str">
        <f t="shared" si="2"/>
        <v>50.548761,136.976489</v>
      </c>
      <c r="T361" s="12"/>
    </row>
    <row r="362">
      <c r="A362" s="18" t="s">
        <v>2355</v>
      </c>
      <c r="B362" s="8" t="s">
        <v>2356</v>
      </c>
      <c r="C362" s="8" t="s">
        <v>2357</v>
      </c>
      <c r="D362" s="8" t="s">
        <v>16</v>
      </c>
      <c r="E362" s="19" t="s">
        <v>2358</v>
      </c>
      <c r="F362" s="8" t="s">
        <v>2057</v>
      </c>
      <c r="G362" s="8">
        <v>23.61</v>
      </c>
      <c r="H362" s="8"/>
      <c r="I362" s="8"/>
      <c r="J362" s="8" t="s">
        <v>2359</v>
      </c>
      <c r="K362" s="8" t="s">
        <v>2360</v>
      </c>
      <c r="L362" s="8"/>
      <c r="M362" s="24" t="s">
        <v>2361</v>
      </c>
      <c r="N362" s="12"/>
      <c r="O362" s="12"/>
      <c r="P362" s="13">
        <f>IFERROR(__xludf.DUMMYFUNCTION("VALUE(SUBSTITUTE((INDEX(SPLIT(A362,"",""),1)),""."","","",1))"),50.591749)</f>
        <v>50.591749</v>
      </c>
      <c r="Q362" s="13">
        <f>IFERROR(__xludf.DUMMYFUNCTION("VALUE(SUBSTITUTE((INDEX(SPLIT(A362,"",""),2)),""."","","",1))"),136.977917)</f>
        <v>136.977917</v>
      </c>
      <c r="R362" s="14" t="b">
        <f t="shared" si="1"/>
        <v>0</v>
      </c>
      <c r="S362" s="14" t="str">
        <f t="shared" si="2"/>
        <v>50.591749,136.977917</v>
      </c>
      <c r="T362" s="12"/>
    </row>
    <row r="363">
      <c r="A363" s="20" t="s">
        <v>2362</v>
      </c>
      <c r="B363" s="16" t="s">
        <v>2363</v>
      </c>
      <c r="C363" s="16" t="s">
        <v>2364</v>
      </c>
      <c r="D363" s="16" t="s">
        <v>16</v>
      </c>
      <c r="E363" s="21" t="s">
        <v>2365</v>
      </c>
      <c r="F363" s="22" t="s">
        <v>2057</v>
      </c>
      <c r="G363" s="16">
        <v>23.61</v>
      </c>
      <c r="H363" s="16"/>
      <c r="I363" s="22"/>
      <c r="J363" s="22" t="s">
        <v>2366</v>
      </c>
      <c r="K363" s="22" t="s">
        <v>2367</v>
      </c>
      <c r="L363" s="23" t="s">
        <v>2368</v>
      </c>
      <c r="M363" s="23" t="s">
        <v>2369</v>
      </c>
      <c r="N363" s="12"/>
      <c r="O363" s="12"/>
      <c r="P363" s="13">
        <f>IFERROR(__xludf.DUMMYFUNCTION("VALUE(SUBSTITUTE((INDEX(SPLIT(A363,"",""),1)),""."","","",1))"),50.577782)</f>
        <v>50.577782</v>
      </c>
      <c r="Q363" s="13">
        <f>IFERROR(__xludf.DUMMYFUNCTION("VALUE(SUBSTITUTE((INDEX(SPLIT(A363,"",""),2)),""."","","",1))"),136.986757)</f>
        <v>136.986757</v>
      </c>
      <c r="R363" s="14" t="b">
        <f t="shared" si="1"/>
        <v>0</v>
      </c>
      <c r="S363" s="14" t="str">
        <f t="shared" si="2"/>
        <v>50.577782,136.986757</v>
      </c>
      <c r="T363" s="12"/>
    </row>
    <row r="364">
      <c r="A364" s="7" t="s">
        <v>2370</v>
      </c>
      <c r="B364" s="8" t="s">
        <v>2371</v>
      </c>
      <c r="C364" s="8" t="s">
        <v>2372</v>
      </c>
      <c r="D364" s="8" t="s">
        <v>16</v>
      </c>
      <c r="E364" s="9" t="s">
        <v>2373</v>
      </c>
      <c r="F364" s="10" t="s">
        <v>2057</v>
      </c>
      <c r="G364" s="8">
        <v>23.61</v>
      </c>
      <c r="H364" s="8"/>
      <c r="I364" s="10"/>
      <c r="J364" s="10" t="s">
        <v>2374</v>
      </c>
      <c r="K364" s="10" t="s">
        <v>2375</v>
      </c>
      <c r="L364" s="11" t="s">
        <v>2376</v>
      </c>
      <c r="M364" s="10"/>
      <c r="N364" s="12"/>
      <c r="O364" s="12"/>
      <c r="P364" s="13">
        <f>IFERROR(__xludf.DUMMYFUNCTION("VALUE(SUBSTITUTE((INDEX(SPLIT(A364,"",""),1)),""."","","",1))"),50.534295)</f>
        <v>50.534295</v>
      </c>
      <c r="Q364" s="13">
        <f>IFERROR(__xludf.DUMMYFUNCTION("VALUE(SUBSTITUTE((INDEX(SPLIT(A364,"",""),2)),""."","","",1))"),136.996126)</f>
        <v>136.996126</v>
      </c>
      <c r="R364" s="14" t="b">
        <f t="shared" si="1"/>
        <v>0</v>
      </c>
      <c r="S364" s="14" t="str">
        <f t="shared" si="2"/>
        <v>50.534295,136.996126</v>
      </c>
      <c r="T364" s="12"/>
    </row>
    <row r="365">
      <c r="A365" s="15" t="s">
        <v>2377</v>
      </c>
      <c r="B365" s="16" t="s">
        <v>2378</v>
      </c>
      <c r="C365" s="16" t="s">
        <v>2379</v>
      </c>
      <c r="D365" s="16" t="s">
        <v>16</v>
      </c>
      <c r="E365" s="17" t="s">
        <v>2380</v>
      </c>
      <c r="F365" s="16" t="s">
        <v>2057</v>
      </c>
      <c r="G365" s="16">
        <v>23.61</v>
      </c>
      <c r="H365" s="16"/>
      <c r="I365" s="16"/>
      <c r="J365" s="16" t="s">
        <v>2381</v>
      </c>
      <c r="K365" s="16" t="s">
        <v>2382</v>
      </c>
      <c r="L365" s="16"/>
      <c r="M365" s="16"/>
      <c r="N365" s="12"/>
      <c r="O365" s="12"/>
      <c r="P365" s="13">
        <f>IFERROR(__xludf.DUMMYFUNCTION("VALUE(SUBSTITUTE((INDEX(SPLIT(A365,"",""),1)),""."","","",1))"),50.471211)</f>
        <v>50.471211</v>
      </c>
      <c r="Q365" s="13">
        <f>IFERROR(__xludf.DUMMYFUNCTION("VALUE(SUBSTITUTE((INDEX(SPLIT(A365,"",""),2)),""."","","",1))"),137.006771)</f>
        <v>137.006771</v>
      </c>
      <c r="R365" s="14" t="b">
        <f t="shared" si="1"/>
        <v>0</v>
      </c>
      <c r="S365" s="14" t="str">
        <f t="shared" si="2"/>
        <v>50.471211,137.006771</v>
      </c>
      <c r="T365" s="12"/>
    </row>
    <row r="366">
      <c r="A366" s="18" t="s">
        <v>2383</v>
      </c>
      <c r="B366" s="8" t="s">
        <v>2384</v>
      </c>
      <c r="C366" s="8" t="s">
        <v>2385</v>
      </c>
      <c r="D366" s="8" t="s">
        <v>16</v>
      </c>
      <c r="E366" s="19" t="s">
        <v>2386</v>
      </c>
      <c r="F366" s="8" t="s">
        <v>2057</v>
      </c>
      <c r="G366" s="8">
        <v>23.61</v>
      </c>
      <c r="H366" s="8"/>
      <c r="I366" s="8"/>
      <c r="J366" s="8" t="s">
        <v>2387</v>
      </c>
      <c r="K366" s="8" t="s">
        <v>2388</v>
      </c>
      <c r="L366" s="8"/>
      <c r="M366" s="8"/>
      <c r="N366" s="12"/>
      <c r="O366" s="12"/>
      <c r="P366" s="13">
        <f>IFERROR(__xludf.DUMMYFUNCTION("VALUE(SUBSTITUTE((INDEX(SPLIT(A366,"",""),1)),""."","","",1))"),50.581987)</f>
        <v>50.581987</v>
      </c>
      <c r="Q366" s="13">
        <f>IFERROR(__xludf.DUMMYFUNCTION("VALUE(SUBSTITUTE((INDEX(SPLIT(A366,"",""),2)),""."","","",1))"),137.058272)</f>
        <v>137.058272</v>
      </c>
      <c r="R366" s="14" t="b">
        <f t="shared" si="1"/>
        <v>0</v>
      </c>
      <c r="S366" s="14" t="str">
        <f t="shared" si="2"/>
        <v>50.581987,137.058272</v>
      </c>
      <c r="T366" s="12"/>
    </row>
    <row r="367">
      <c r="A367" s="20" t="s">
        <v>2389</v>
      </c>
      <c r="B367" s="16" t="s">
        <v>2390</v>
      </c>
      <c r="C367" s="16" t="s">
        <v>2391</v>
      </c>
      <c r="D367" s="16" t="s">
        <v>16</v>
      </c>
      <c r="E367" s="21" t="s">
        <v>2392</v>
      </c>
      <c r="F367" s="22" t="s">
        <v>2057</v>
      </c>
      <c r="G367" s="16">
        <v>23.61</v>
      </c>
      <c r="H367" s="16"/>
      <c r="I367" s="22"/>
      <c r="J367" s="22" t="s">
        <v>2393</v>
      </c>
      <c r="K367" s="22" t="s">
        <v>2394</v>
      </c>
      <c r="L367" s="23" t="s">
        <v>2395</v>
      </c>
      <c r="M367" s="23" t="s">
        <v>2396</v>
      </c>
      <c r="N367" s="12"/>
      <c r="O367" s="12"/>
      <c r="P367" s="13">
        <f>IFERROR(__xludf.DUMMYFUNCTION("VALUE(SUBSTITUTE((INDEX(SPLIT(A367,"",""),1)),""."","","",1))"),50.49404)</f>
        <v>50.49404</v>
      </c>
      <c r="Q367" s="13">
        <f>IFERROR(__xludf.DUMMYFUNCTION("VALUE(SUBSTITUTE((INDEX(SPLIT(A367,"",""),2)),""."","","",1))"),137.071288)</f>
        <v>137.071288</v>
      </c>
      <c r="R367" s="14" t="b">
        <f t="shared" si="1"/>
        <v>0</v>
      </c>
      <c r="S367" s="14" t="str">
        <f t="shared" si="2"/>
        <v>50.49404,137.071288</v>
      </c>
      <c r="T367" s="12"/>
    </row>
    <row r="368">
      <c r="A368" s="18" t="s">
        <v>2397</v>
      </c>
      <c r="B368" s="8" t="s">
        <v>2398</v>
      </c>
      <c r="C368" s="8" t="s">
        <v>2399</v>
      </c>
      <c r="D368" s="8" t="s">
        <v>16</v>
      </c>
      <c r="E368" s="19" t="s">
        <v>2400</v>
      </c>
      <c r="F368" s="8" t="s">
        <v>2057</v>
      </c>
      <c r="G368" s="8">
        <v>23.61</v>
      </c>
      <c r="H368" s="8"/>
      <c r="I368" s="8"/>
      <c r="J368" s="8" t="s">
        <v>2401</v>
      </c>
      <c r="K368" s="8" t="s">
        <v>2402</v>
      </c>
      <c r="L368" s="8"/>
      <c r="M368" s="24" t="s">
        <v>2403</v>
      </c>
      <c r="N368" s="12"/>
      <c r="O368" s="12"/>
      <c r="P368" s="13">
        <f>IFERROR(__xludf.DUMMYFUNCTION("VALUE(SUBSTITUTE((INDEX(SPLIT(A368,"",""),1)),""."","","",1))"),49.093889)</f>
        <v>49.093889</v>
      </c>
      <c r="Q368" s="13">
        <f>IFERROR(__xludf.DUMMYFUNCTION("VALUE(SUBSTITUTE((INDEX(SPLIT(A368,"",""),2)),""."","","",1))"),140.259984)</f>
        <v>140.259984</v>
      </c>
      <c r="R368" s="14" t="b">
        <f t="shared" si="1"/>
        <v>0</v>
      </c>
      <c r="S368" s="14" t="str">
        <f t="shared" si="2"/>
        <v>49.093889,140.259984</v>
      </c>
      <c r="T368" s="12"/>
    </row>
    <row r="369">
      <c r="A369" s="15" t="s">
        <v>2404</v>
      </c>
      <c r="B369" s="16" t="s">
        <v>2405</v>
      </c>
      <c r="C369" s="16" t="s">
        <v>2406</v>
      </c>
      <c r="D369" s="16" t="s">
        <v>16</v>
      </c>
      <c r="E369" s="17" t="s">
        <v>2407</v>
      </c>
      <c r="F369" s="16" t="s">
        <v>2057</v>
      </c>
      <c r="G369" s="16">
        <v>23.61</v>
      </c>
      <c r="H369" s="16"/>
      <c r="I369" s="16"/>
      <c r="J369" s="16" t="s">
        <v>2408</v>
      </c>
      <c r="K369" s="16" t="s">
        <v>2409</v>
      </c>
      <c r="L369" s="16"/>
      <c r="M369" s="16"/>
      <c r="N369" s="12"/>
      <c r="O369" s="12"/>
      <c r="P369" s="13">
        <f>IFERROR(__xludf.DUMMYFUNCTION("VALUE(SUBSTITUTE((INDEX(SPLIT(A369,"",""),1)),""."","","",1))"),48.954491)</f>
        <v>48.954491</v>
      </c>
      <c r="Q369" s="13">
        <f>IFERROR(__xludf.DUMMYFUNCTION("VALUE(SUBSTITUTE((INDEX(SPLIT(A369,"",""),2)),""."","","",1))"),140.264574)</f>
        <v>140.264574</v>
      </c>
      <c r="R369" s="14" t="b">
        <f t="shared" si="1"/>
        <v>0</v>
      </c>
      <c r="S369" s="14" t="str">
        <f t="shared" si="2"/>
        <v>48.954491,140.264574</v>
      </c>
      <c r="T369" s="12"/>
    </row>
    <row r="370">
      <c r="A370" s="18" t="s">
        <v>2410</v>
      </c>
      <c r="B370" s="8" t="s">
        <v>2411</v>
      </c>
      <c r="C370" s="8" t="s">
        <v>2412</v>
      </c>
      <c r="D370" s="8" t="s">
        <v>16</v>
      </c>
      <c r="E370" s="19" t="s">
        <v>2413</v>
      </c>
      <c r="F370" s="8" t="s">
        <v>2057</v>
      </c>
      <c r="G370" s="8">
        <v>23.61</v>
      </c>
      <c r="H370" s="8"/>
      <c r="I370" s="8"/>
      <c r="J370" s="8" t="s">
        <v>2414</v>
      </c>
      <c r="K370" s="8" t="s">
        <v>2409</v>
      </c>
      <c r="L370" s="8"/>
      <c r="M370" s="8"/>
      <c r="N370" s="12"/>
      <c r="O370" s="12"/>
      <c r="P370" s="13">
        <f>IFERROR(__xludf.DUMMYFUNCTION("VALUE(SUBSTITUTE((INDEX(SPLIT(A370,"",""),1)),""."","","",1))"),48.955728)</f>
        <v>48.955728</v>
      </c>
      <c r="Q370" s="13">
        <f>IFERROR(__xludf.DUMMYFUNCTION("VALUE(SUBSTITUTE((INDEX(SPLIT(A370,"",""),2)),""."","","",1))"),140.265706)</f>
        <v>140.265706</v>
      </c>
      <c r="R370" s="14" t="b">
        <f t="shared" si="1"/>
        <v>0</v>
      </c>
      <c r="S370" s="14" t="str">
        <f t="shared" si="2"/>
        <v>48.955728,140.265706</v>
      </c>
      <c r="T370" s="12"/>
    </row>
    <row r="371">
      <c r="A371" s="15" t="s">
        <v>2415</v>
      </c>
      <c r="B371" s="16" t="s">
        <v>2416</v>
      </c>
      <c r="C371" s="16" t="s">
        <v>2417</v>
      </c>
      <c r="D371" s="16" t="s">
        <v>16</v>
      </c>
      <c r="E371" s="17" t="s">
        <v>2418</v>
      </c>
      <c r="F371" s="16" t="s">
        <v>2057</v>
      </c>
      <c r="G371" s="16">
        <v>23.61</v>
      </c>
      <c r="H371" s="16"/>
      <c r="I371" s="16"/>
      <c r="J371" s="16" t="s">
        <v>2419</v>
      </c>
      <c r="K371" s="16" t="s">
        <v>2420</v>
      </c>
      <c r="L371" s="16"/>
      <c r="M371" s="16"/>
      <c r="N371" s="12"/>
      <c r="O371" s="12"/>
      <c r="P371" s="13">
        <f>IFERROR(__xludf.DUMMYFUNCTION("VALUE(SUBSTITUTE((INDEX(SPLIT(A371,"",""),1)),""."","","",1))"),48.970592)</f>
        <v>48.970592</v>
      </c>
      <c r="Q371" s="13">
        <f>IFERROR(__xludf.DUMMYFUNCTION("VALUE(SUBSTITUTE((INDEX(SPLIT(A371,"",""),2)),""."","","",1))"),140.2829)</f>
        <v>140.2829</v>
      </c>
      <c r="R371" s="14" t="b">
        <f t="shared" si="1"/>
        <v>0</v>
      </c>
      <c r="S371" s="14" t="str">
        <f t="shared" si="2"/>
        <v>48.970592,140.2829</v>
      </c>
      <c r="T371" s="12"/>
    </row>
    <row r="372">
      <c r="A372" s="18" t="s">
        <v>2421</v>
      </c>
      <c r="B372" s="8" t="s">
        <v>2422</v>
      </c>
      <c r="C372" s="8" t="s">
        <v>2423</v>
      </c>
      <c r="D372" s="8" t="s">
        <v>16</v>
      </c>
      <c r="E372" s="19" t="s">
        <v>2424</v>
      </c>
      <c r="F372" s="8" t="s">
        <v>2330</v>
      </c>
      <c r="G372" s="8">
        <v>23.61</v>
      </c>
      <c r="H372" s="8"/>
      <c r="I372" s="8"/>
      <c r="J372" s="8" t="s">
        <v>2425</v>
      </c>
      <c r="K372" s="8" t="s">
        <v>2426</v>
      </c>
      <c r="L372" s="8"/>
      <c r="M372" s="8"/>
      <c r="N372" s="12"/>
      <c r="O372" s="12"/>
      <c r="P372" s="13">
        <f>IFERROR(__xludf.DUMMYFUNCTION("VALUE(SUBSTITUTE((INDEX(SPLIT(A372,"",""),1)),""."","","",1))"),47.318428)</f>
        <v>47.318428</v>
      </c>
      <c r="Q372" s="13">
        <f>IFERROR(__xludf.DUMMYFUNCTION("VALUE(SUBSTITUTE((INDEX(SPLIT(A372,"",""),2)),""."","","",1))"),142.626039)</f>
        <v>142.626039</v>
      </c>
      <c r="R372" s="14" t="b">
        <f t="shared" si="1"/>
        <v>0</v>
      </c>
      <c r="S372" s="14" t="str">
        <f t="shared" si="2"/>
        <v>47.318428,142.626039</v>
      </c>
      <c r="T372" s="12"/>
    </row>
    <row r="373">
      <c r="A373" s="20" t="s">
        <v>2427</v>
      </c>
      <c r="B373" s="16" t="s">
        <v>2428</v>
      </c>
      <c r="C373" s="16" t="s">
        <v>2429</v>
      </c>
      <c r="D373" s="16" t="s">
        <v>16</v>
      </c>
      <c r="E373" s="21" t="s">
        <v>2430</v>
      </c>
      <c r="F373" s="22" t="s">
        <v>2330</v>
      </c>
      <c r="G373" s="16">
        <v>23.61</v>
      </c>
      <c r="H373" s="16"/>
      <c r="I373" s="22"/>
      <c r="J373" s="22" t="s">
        <v>2431</v>
      </c>
      <c r="K373" s="22" t="s">
        <v>2432</v>
      </c>
      <c r="L373" s="23" t="s">
        <v>2433</v>
      </c>
      <c r="M373" s="22"/>
      <c r="N373" s="12"/>
      <c r="O373" s="12"/>
      <c r="P373" s="13">
        <f>IFERROR(__xludf.DUMMYFUNCTION("VALUE(SUBSTITUTE((INDEX(SPLIT(A373,"",""),1)),""."","","",1))"),47.008059)</f>
        <v>47.008059</v>
      </c>
      <c r="Q373" s="13">
        <f>IFERROR(__xludf.DUMMYFUNCTION("VALUE(SUBSTITUTE((INDEX(SPLIT(A373,"",""),2)),""."","","",1))"),142.663786)</f>
        <v>142.663786</v>
      </c>
      <c r="R373" s="14" t="b">
        <f t="shared" si="1"/>
        <v>0</v>
      </c>
      <c r="S373" s="14" t="str">
        <f t="shared" si="2"/>
        <v>47.008059,142.663786</v>
      </c>
      <c r="T373" s="12"/>
    </row>
    <row r="374">
      <c r="A374" s="7" t="s">
        <v>2434</v>
      </c>
      <c r="B374" s="8" t="s">
        <v>2435</v>
      </c>
      <c r="C374" s="8" t="s">
        <v>2436</v>
      </c>
      <c r="D374" s="8" t="s">
        <v>16</v>
      </c>
      <c r="E374" s="9" t="s">
        <v>2437</v>
      </c>
      <c r="F374" s="10" t="s">
        <v>2330</v>
      </c>
      <c r="G374" s="8">
        <v>23.61</v>
      </c>
      <c r="H374" s="8"/>
      <c r="I374" s="10"/>
      <c r="J374" s="10" t="s">
        <v>2438</v>
      </c>
      <c r="K374" s="10" t="s">
        <v>2439</v>
      </c>
      <c r="L374" s="11" t="s">
        <v>2440</v>
      </c>
      <c r="M374" s="11" t="s">
        <v>2441</v>
      </c>
      <c r="N374" s="12"/>
      <c r="O374" s="12"/>
      <c r="P374" s="13">
        <f>IFERROR(__xludf.DUMMYFUNCTION("VALUE(SUBSTITUTE((INDEX(SPLIT(A374,"",""),1)),""."","","",1))"),46.981076)</f>
        <v>46.981076</v>
      </c>
      <c r="Q374" s="13">
        <f>IFERROR(__xludf.DUMMYFUNCTION("VALUE(SUBSTITUTE((INDEX(SPLIT(A374,"",""),2)),""."","","",1))"),142.715978)</f>
        <v>142.715978</v>
      </c>
      <c r="R374" s="14" t="b">
        <f t="shared" si="1"/>
        <v>0</v>
      </c>
      <c r="S374" s="14" t="str">
        <f t="shared" si="2"/>
        <v>46.981076,142.715978</v>
      </c>
      <c r="T374" s="12"/>
    </row>
    <row r="375">
      <c r="A375" s="15" t="s">
        <v>2442</v>
      </c>
      <c r="B375" s="16" t="s">
        <v>2443</v>
      </c>
      <c r="C375" s="16" t="s">
        <v>2444</v>
      </c>
      <c r="D375" s="16" t="s">
        <v>16</v>
      </c>
      <c r="E375" s="17" t="s">
        <v>2445</v>
      </c>
      <c r="F375" s="16" t="s">
        <v>2330</v>
      </c>
      <c r="G375" s="16">
        <v>23.61</v>
      </c>
      <c r="H375" s="16"/>
      <c r="I375" s="16"/>
      <c r="J375" s="16" t="s">
        <v>2446</v>
      </c>
      <c r="K375" s="16" t="s">
        <v>2447</v>
      </c>
      <c r="L375" s="16"/>
      <c r="M375" s="16"/>
      <c r="N375" s="12"/>
      <c r="O375" s="12"/>
      <c r="P375" s="13">
        <f>IFERROR(__xludf.DUMMYFUNCTION("VALUE(SUBSTITUTE((INDEX(SPLIT(A375,"",""),1)),""."","","",1))"),46.930584)</f>
        <v>46.930584</v>
      </c>
      <c r="Q375" s="13">
        <f>IFERROR(__xludf.DUMMYFUNCTION("VALUE(SUBSTITUTE((INDEX(SPLIT(A375,"",""),2)),""."","","",1))"),142.723227)</f>
        <v>142.723227</v>
      </c>
      <c r="R375" s="14" t="b">
        <f t="shared" si="1"/>
        <v>0</v>
      </c>
      <c r="S375" s="14" t="str">
        <f t="shared" si="2"/>
        <v>46.930584,142.723227</v>
      </c>
      <c r="T375" s="12"/>
    </row>
    <row r="376">
      <c r="A376" s="18" t="s">
        <v>2448</v>
      </c>
      <c r="B376" s="8" t="s">
        <v>2449</v>
      </c>
      <c r="C376" s="8" t="s">
        <v>2450</v>
      </c>
      <c r="D376" s="8" t="s">
        <v>16</v>
      </c>
      <c r="E376" s="19" t="s">
        <v>2451</v>
      </c>
      <c r="F376" s="8" t="s">
        <v>2330</v>
      </c>
      <c r="G376" s="8">
        <v>23.61</v>
      </c>
      <c r="H376" s="8"/>
      <c r="I376" s="8"/>
      <c r="J376" s="8" t="s">
        <v>2452</v>
      </c>
      <c r="K376" s="8" t="s">
        <v>2453</v>
      </c>
      <c r="L376" s="8"/>
      <c r="M376" s="24" t="s">
        <v>2454</v>
      </c>
      <c r="N376" s="12"/>
      <c r="O376" s="12"/>
      <c r="P376" s="13">
        <f>IFERROR(__xludf.DUMMYFUNCTION("VALUE(SUBSTITUTE((INDEX(SPLIT(A376,"",""),1)),""."","","",1))"),46.912951)</f>
        <v>46.912951</v>
      </c>
      <c r="Q376" s="13">
        <f>IFERROR(__xludf.DUMMYFUNCTION("VALUE(SUBSTITUTE((INDEX(SPLIT(A376,"",""),2)),""."","","",1))"),142.727782)</f>
        <v>142.727782</v>
      </c>
      <c r="R376" s="14" t="b">
        <f t="shared" si="1"/>
        <v>0</v>
      </c>
      <c r="S376" s="14" t="str">
        <f t="shared" si="2"/>
        <v>46.912951,142.727782</v>
      </c>
      <c r="T376" s="12"/>
    </row>
    <row r="377">
      <c r="A377" s="15" t="s">
        <v>2448</v>
      </c>
      <c r="B377" s="16" t="s">
        <v>2455</v>
      </c>
      <c r="C377" s="16" t="s">
        <v>2456</v>
      </c>
      <c r="D377" s="16" t="s">
        <v>16</v>
      </c>
      <c r="E377" s="17" t="s">
        <v>2457</v>
      </c>
      <c r="F377" s="16" t="s">
        <v>2330</v>
      </c>
      <c r="G377" s="16">
        <v>23.61</v>
      </c>
      <c r="H377" s="16"/>
      <c r="I377" s="16"/>
      <c r="J377" s="16" t="s">
        <v>2458</v>
      </c>
      <c r="K377" s="16" t="s">
        <v>2459</v>
      </c>
      <c r="L377" s="16"/>
      <c r="M377" s="16"/>
      <c r="N377" s="12"/>
      <c r="O377" s="12"/>
      <c r="P377" s="13">
        <f>IFERROR(__xludf.DUMMYFUNCTION("VALUE(SUBSTITUTE((INDEX(SPLIT(A377,"",""),1)),""."","","",1))"),46.912951)</f>
        <v>46.912951</v>
      </c>
      <c r="Q377" s="13">
        <f>IFERROR(__xludf.DUMMYFUNCTION("VALUE(SUBSTITUTE((INDEX(SPLIT(A377,"",""),2)),""."","","",1))"),142.727782)</f>
        <v>142.727782</v>
      </c>
      <c r="R377" s="14" t="b">
        <f t="shared" si="1"/>
        <v>0</v>
      </c>
      <c r="S377" s="14" t="str">
        <f t="shared" si="2"/>
        <v>46.912951,142.727782</v>
      </c>
      <c r="T377" s="12"/>
    </row>
    <row r="378">
      <c r="A378" s="18" t="s">
        <v>2460</v>
      </c>
      <c r="B378" s="8" t="s">
        <v>2461</v>
      </c>
      <c r="C378" s="8" t="s">
        <v>2462</v>
      </c>
      <c r="D378" s="8" t="s">
        <v>16</v>
      </c>
      <c r="E378" s="19" t="s">
        <v>2463</v>
      </c>
      <c r="F378" s="8" t="s">
        <v>2330</v>
      </c>
      <c r="G378" s="8">
        <v>23.61</v>
      </c>
      <c r="H378" s="8"/>
      <c r="I378" s="8"/>
      <c r="J378" s="8" t="s">
        <v>2464</v>
      </c>
      <c r="K378" s="8" t="s">
        <v>2465</v>
      </c>
      <c r="L378" s="8"/>
      <c r="M378" s="8"/>
      <c r="N378" s="12"/>
      <c r="O378" s="12"/>
      <c r="P378" s="13">
        <f>IFERROR(__xludf.DUMMYFUNCTION("VALUE(SUBSTITUTE((INDEX(SPLIT(A378,"",""),1)),""."","","",1))"),46.923279)</f>
        <v>46.923279</v>
      </c>
      <c r="Q378" s="13">
        <f>IFERROR(__xludf.DUMMYFUNCTION("VALUE(SUBSTITUTE((INDEX(SPLIT(A378,"",""),2)),""."","","",1))"),142.72842)</f>
        <v>142.72842</v>
      </c>
      <c r="R378" s="14" t="b">
        <f t="shared" si="1"/>
        <v>0</v>
      </c>
      <c r="S378" s="14" t="str">
        <f t="shared" si="2"/>
        <v>46.923279,142.72842</v>
      </c>
      <c r="T378" s="12"/>
    </row>
    <row r="379">
      <c r="A379" s="15" t="s">
        <v>2466</v>
      </c>
      <c r="B379" s="16" t="s">
        <v>2467</v>
      </c>
      <c r="C379" s="16" t="s">
        <v>2468</v>
      </c>
      <c r="D379" s="16" t="s">
        <v>16</v>
      </c>
      <c r="E379" s="17" t="s">
        <v>2469</v>
      </c>
      <c r="F379" s="16" t="s">
        <v>2330</v>
      </c>
      <c r="G379" s="16">
        <v>23.61</v>
      </c>
      <c r="H379" s="16"/>
      <c r="I379" s="16"/>
      <c r="J379" s="16" t="s">
        <v>2470</v>
      </c>
      <c r="K379" s="16" t="s">
        <v>2471</v>
      </c>
      <c r="L379" s="16"/>
      <c r="M379" s="25" t="s">
        <v>2472</v>
      </c>
      <c r="N379" s="12"/>
      <c r="O379" s="12"/>
      <c r="P379" s="13">
        <f>IFERROR(__xludf.DUMMYFUNCTION("VALUE(SUBSTITUTE((INDEX(SPLIT(A379,"",""),1)),""."","","",1))"),47.001109)</f>
        <v>47.001109</v>
      </c>
      <c r="Q379" s="13">
        <f>IFERROR(__xludf.DUMMYFUNCTION("VALUE(SUBSTITUTE((INDEX(SPLIT(A379,"",""),2)),""."","","",1))"),142.729183)</f>
        <v>142.729183</v>
      </c>
      <c r="R379" s="14" t="b">
        <f t="shared" si="1"/>
        <v>0</v>
      </c>
      <c r="S379" s="14" t="str">
        <f t="shared" si="2"/>
        <v>47.001109,142.729183</v>
      </c>
      <c r="T379" s="12"/>
    </row>
    <row r="380">
      <c r="A380" s="18" t="s">
        <v>2466</v>
      </c>
      <c r="B380" s="8" t="s">
        <v>2473</v>
      </c>
      <c r="C380" s="8" t="s">
        <v>2474</v>
      </c>
      <c r="D380" s="8" t="s">
        <v>16</v>
      </c>
      <c r="E380" s="19" t="s">
        <v>2475</v>
      </c>
      <c r="F380" s="8" t="s">
        <v>2330</v>
      </c>
      <c r="G380" s="8">
        <v>23.61</v>
      </c>
      <c r="H380" s="8"/>
      <c r="I380" s="8"/>
      <c r="J380" s="8" t="s">
        <v>2476</v>
      </c>
      <c r="K380" s="8" t="s">
        <v>2477</v>
      </c>
      <c r="L380" s="8"/>
      <c r="M380" s="8"/>
      <c r="N380" s="12"/>
      <c r="O380" s="12"/>
      <c r="P380" s="13">
        <f>IFERROR(__xludf.DUMMYFUNCTION("VALUE(SUBSTITUTE((INDEX(SPLIT(A380,"",""),1)),""."","","",1))"),47.001109)</f>
        <v>47.001109</v>
      </c>
      <c r="Q380" s="13">
        <f>IFERROR(__xludf.DUMMYFUNCTION("VALUE(SUBSTITUTE((INDEX(SPLIT(A380,"",""),2)),""."","","",1))"),142.729183)</f>
        <v>142.729183</v>
      </c>
      <c r="R380" s="14" t="b">
        <f t="shared" si="1"/>
        <v>0</v>
      </c>
      <c r="S380" s="14" t="str">
        <f t="shared" si="2"/>
        <v>47.001109,142.729183</v>
      </c>
      <c r="T380" s="12"/>
    </row>
    <row r="381">
      <c r="A381" s="20" t="s">
        <v>2478</v>
      </c>
      <c r="B381" s="16" t="s">
        <v>2479</v>
      </c>
      <c r="C381" s="16" t="s">
        <v>2480</v>
      </c>
      <c r="D381" s="16" t="s">
        <v>16</v>
      </c>
      <c r="E381" s="21" t="s">
        <v>2481</v>
      </c>
      <c r="F381" s="22" t="s">
        <v>2330</v>
      </c>
      <c r="G381" s="16">
        <v>23.61</v>
      </c>
      <c r="H381" s="16"/>
      <c r="I381" s="22"/>
      <c r="J381" s="22" t="s">
        <v>2482</v>
      </c>
      <c r="K381" s="22" t="s">
        <v>2483</v>
      </c>
      <c r="L381" s="23" t="s">
        <v>2484</v>
      </c>
      <c r="M381" s="22"/>
      <c r="N381" s="12"/>
      <c r="O381" s="12"/>
      <c r="P381" s="13">
        <f>IFERROR(__xludf.DUMMYFUNCTION("VALUE(SUBSTITUTE((INDEX(SPLIT(A381,"",""),1)),""."","","",1))"),46.957039)</f>
        <v>46.957039</v>
      </c>
      <c r="Q381" s="13">
        <f>IFERROR(__xludf.DUMMYFUNCTION("VALUE(SUBSTITUTE((INDEX(SPLIT(A381,"",""),2)),""."","","",1))"),142.729336)</f>
        <v>142.729336</v>
      </c>
      <c r="R381" s="14" t="b">
        <f t="shared" si="1"/>
        <v>0</v>
      </c>
      <c r="S381" s="14" t="str">
        <f t="shared" si="2"/>
        <v>46.957039,142.729336</v>
      </c>
      <c r="T381" s="12"/>
    </row>
    <row r="382">
      <c r="A382" s="18" t="s">
        <v>2485</v>
      </c>
      <c r="B382" s="8" t="s">
        <v>2486</v>
      </c>
      <c r="C382" s="8" t="s">
        <v>2487</v>
      </c>
      <c r="D382" s="8" t="s">
        <v>16</v>
      </c>
      <c r="E382" s="19" t="s">
        <v>2488</v>
      </c>
      <c r="F382" s="8" t="s">
        <v>2330</v>
      </c>
      <c r="G382" s="8">
        <v>23.61</v>
      </c>
      <c r="H382" s="8"/>
      <c r="I382" s="8"/>
      <c r="J382" s="8" t="s">
        <v>2489</v>
      </c>
      <c r="K382" s="8" t="s">
        <v>2490</v>
      </c>
      <c r="L382" s="8"/>
      <c r="M382" s="8"/>
      <c r="N382" s="12"/>
      <c r="O382" s="12"/>
      <c r="P382" s="13">
        <f>IFERROR(__xludf.DUMMYFUNCTION("VALUE(SUBSTITUTE((INDEX(SPLIT(A382,"",""),1)),""."","","",1))"),46.955483)</f>
        <v>46.955483</v>
      </c>
      <c r="Q382" s="13">
        <f>IFERROR(__xludf.DUMMYFUNCTION("VALUE(SUBSTITUTE((INDEX(SPLIT(A382,"",""),2)),""."","","",1))"),142.7316)</f>
        <v>142.7316</v>
      </c>
      <c r="R382" s="14" t="b">
        <f t="shared" si="1"/>
        <v>0</v>
      </c>
      <c r="S382" s="14" t="str">
        <f t="shared" si="2"/>
        <v>46.955483,142.7316</v>
      </c>
      <c r="T382" s="12"/>
    </row>
    <row r="383">
      <c r="A383" s="20" t="s">
        <v>2485</v>
      </c>
      <c r="B383" s="16" t="s">
        <v>2491</v>
      </c>
      <c r="C383" s="16" t="s">
        <v>2492</v>
      </c>
      <c r="D383" s="16" t="s">
        <v>16</v>
      </c>
      <c r="E383" s="21" t="s">
        <v>2493</v>
      </c>
      <c r="F383" s="22" t="s">
        <v>2330</v>
      </c>
      <c r="G383" s="16">
        <v>23.61</v>
      </c>
      <c r="H383" s="16"/>
      <c r="I383" s="22"/>
      <c r="J383" s="22" t="s">
        <v>2494</v>
      </c>
      <c r="K383" s="22" t="s">
        <v>2495</v>
      </c>
      <c r="L383" s="23" t="s">
        <v>2496</v>
      </c>
      <c r="M383" s="23" t="s">
        <v>2497</v>
      </c>
      <c r="N383" s="12"/>
      <c r="O383" s="12"/>
      <c r="P383" s="13">
        <f>IFERROR(__xludf.DUMMYFUNCTION("VALUE(SUBSTITUTE((INDEX(SPLIT(A383,"",""),1)),""."","","",1))"),46.955483)</f>
        <v>46.955483</v>
      </c>
      <c r="Q383" s="13">
        <f>IFERROR(__xludf.DUMMYFUNCTION("VALUE(SUBSTITUTE((INDEX(SPLIT(A383,"",""),2)),""."","","",1))"),142.7316)</f>
        <v>142.7316</v>
      </c>
      <c r="R383" s="14" t="b">
        <f t="shared" si="1"/>
        <v>0</v>
      </c>
      <c r="S383" s="14" t="str">
        <f t="shared" si="2"/>
        <v>46.955483,142.7316</v>
      </c>
      <c r="T383" s="12"/>
    </row>
    <row r="384">
      <c r="A384" s="7" t="s">
        <v>2498</v>
      </c>
      <c r="B384" s="8" t="s">
        <v>2499</v>
      </c>
      <c r="C384" s="8" t="s">
        <v>2499</v>
      </c>
      <c r="D384" s="8" t="s">
        <v>16</v>
      </c>
      <c r="E384" s="9" t="s">
        <v>2500</v>
      </c>
      <c r="F384" s="10" t="s">
        <v>2330</v>
      </c>
      <c r="G384" s="8">
        <v>23.61</v>
      </c>
      <c r="H384" s="8"/>
      <c r="I384" s="10"/>
      <c r="J384" s="10" t="s">
        <v>2501</v>
      </c>
      <c r="K384" s="10" t="s">
        <v>2502</v>
      </c>
      <c r="L384" s="11" t="s">
        <v>2503</v>
      </c>
      <c r="M384" s="10"/>
      <c r="N384" s="12"/>
      <c r="O384" s="12"/>
      <c r="P384" s="13">
        <f>IFERROR(__xludf.DUMMYFUNCTION("VALUE(SUBSTITUTE((INDEX(SPLIT(A384,"",""),1)),""."","","",1))"),47.056359)</f>
        <v>47.056359</v>
      </c>
      <c r="Q384" s="13">
        <f>IFERROR(__xludf.DUMMYFUNCTION("VALUE(SUBSTITUTE((INDEX(SPLIT(A384,"",""),2)),""."","","",1))"),142.736001)</f>
        <v>142.736001</v>
      </c>
      <c r="R384" s="14" t="b">
        <f t="shared" si="1"/>
        <v>0</v>
      </c>
      <c r="S384" s="14" t="str">
        <f t="shared" si="2"/>
        <v>47.056359,142.736001</v>
      </c>
      <c r="T384" s="12"/>
    </row>
    <row r="385">
      <c r="A385" s="15" t="s">
        <v>2504</v>
      </c>
      <c r="B385" s="16" t="s">
        <v>2505</v>
      </c>
      <c r="C385" s="16" t="s">
        <v>2506</v>
      </c>
      <c r="D385" s="16" t="s">
        <v>16</v>
      </c>
      <c r="E385" s="17" t="s">
        <v>2507</v>
      </c>
      <c r="F385" s="16" t="s">
        <v>2330</v>
      </c>
      <c r="G385" s="16">
        <v>23.61</v>
      </c>
      <c r="H385" s="16"/>
      <c r="I385" s="16"/>
      <c r="J385" s="16" t="s">
        <v>2508</v>
      </c>
      <c r="K385" s="16" t="s">
        <v>2509</v>
      </c>
      <c r="L385" s="16"/>
      <c r="M385" s="16"/>
      <c r="N385" s="12"/>
      <c r="O385" s="12"/>
      <c r="P385" s="13">
        <f>IFERROR(__xludf.DUMMYFUNCTION("VALUE(SUBSTITUTE((INDEX(SPLIT(A385,"",""),1)),""."","","",1))"),46.965643)</f>
        <v>46.965643</v>
      </c>
      <c r="Q385" s="13">
        <f>IFERROR(__xludf.DUMMYFUNCTION("VALUE(SUBSTITUTE((INDEX(SPLIT(A385,"",""),2)),""."","","",1))"),142.736361)</f>
        <v>142.736361</v>
      </c>
      <c r="R385" s="14" t="b">
        <f t="shared" si="1"/>
        <v>0</v>
      </c>
      <c r="S385" s="14" t="str">
        <f t="shared" si="2"/>
        <v>46.965643,142.736361</v>
      </c>
      <c r="T385" s="12"/>
    </row>
    <row r="386">
      <c r="A386" s="18" t="s">
        <v>2510</v>
      </c>
      <c r="B386" s="8" t="s">
        <v>2511</v>
      </c>
      <c r="C386" s="8" t="s">
        <v>2512</v>
      </c>
      <c r="D386" s="8" t="s">
        <v>16</v>
      </c>
      <c r="E386" s="19" t="s">
        <v>2513</v>
      </c>
      <c r="F386" s="8" t="s">
        <v>2330</v>
      </c>
      <c r="G386" s="8">
        <v>23.61</v>
      </c>
      <c r="H386" s="8"/>
      <c r="I386" s="8"/>
      <c r="J386" s="8" t="s">
        <v>2514</v>
      </c>
      <c r="K386" s="8" t="s">
        <v>2515</v>
      </c>
      <c r="L386" s="8"/>
      <c r="M386" s="8"/>
      <c r="N386" s="12"/>
      <c r="O386" s="12"/>
      <c r="P386" s="13">
        <f>IFERROR(__xludf.DUMMYFUNCTION("VALUE(SUBSTITUTE((INDEX(SPLIT(A386,"",""),1)),""."","","",1))"),47.055764)</f>
        <v>47.055764</v>
      </c>
      <c r="Q386" s="13">
        <f>IFERROR(__xludf.DUMMYFUNCTION("VALUE(SUBSTITUTE((INDEX(SPLIT(A386,"",""),2)),""."","","",1))"),142.738903)</f>
        <v>142.738903</v>
      </c>
      <c r="R386" s="14" t="b">
        <f t="shared" si="1"/>
        <v>0</v>
      </c>
      <c r="S386" s="14" t="str">
        <f t="shared" si="2"/>
        <v>47.055764,142.738903</v>
      </c>
      <c r="T386" s="12"/>
    </row>
    <row r="387">
      <c r="A387" s="15" t="s">
        <v>2516</v>
      </c>
      <c r="B387" s="16" t="s">
        <v>2517</v>
      </c>
      <c r="C387" s="16" t="s">
        <v>2518</v>
      </c>
      <c r="D387" s="16" t="s">
        <v>16</v>
      </c>
      <c r="E387" s="17" t="s">
        <v>2519</v>
      </c>
      <c r="F387" s="16" t="s">
        <v>2330</v>
      </c>
      <c r="G387" s="16">
        <v>23.61</v>
      </c>
      <c r="H387" s="16"/>
      <c r="I387" s="16"/>
      <c r="J387" s="16" t="s">
        <v>2520</v>
      </c>
      <c r="K387" s="16" t="s">
        <v>2471</v>
      </c>
      <c r="L387" s="16"/>
      <c r="M387" s="16"/>
      <c r="N387" s="12"/>
      <c r="O387" s="12"/>
      <c r="P387" s="13">
        <f>IFERROR(__xludf.DUMMYFUNCTION("VALUE(SUBSTITUTE((INDEX(SPLIT(A387,"",""),1)),""."","","",1))"),46.960299)</f>
        <v>46.960299</v>
      </c>
      <c r="Q387" s="13">
        <f>IFERROR(__xludf.DUMMYFUNCTION("VALUE(SUBSTITUTE((INDEX(SPLIT(A387,"",""),2)),""."","","",1))"),142.73902)</f>
        <v>142.73902</v>
      </c>
      <c r="R387" s="14" t="b">
        <f t="shared" si="1"/>
        <v>0</v>
      </c>
      <c r="S387" s="14" t="str">
        <f t="shared" si="2"/>
        <v>46.960299,142.73902</v>
      </c>
      <c r="T387" s="12"/>
    </row>
    <row r="388">
      <c r="A388" s="7" t="s">
        <v>2521</v>
      </c>
      <c r="B388" s="8" t="s">
        <v>2522</v>
      </c>
      <c r="C388" s="8" t="s">
        <v>2523</v>
      </c>
      <c r="D388" s="8" t="s">
        <v>16</v>
      </c>
      <c r="E388" s="9" t="s">
        <v>2524</v>
      </c>
      <c r="F388" s="10" t="s">
        <v>2330</v>
      </c>
      <c r="G388" s="8">
        <v>23.61</v>
      </c>
      <c r="H388" s="8"/>
      <c r="I388" s="10"/>
      <c r="J388" s="10" t="s">
        <v>2525</v>
      </c>
      <c r="K388" s="10" t="s">
        <v>2526</v>
      </c>
      <c r="L388" s="11" t="s">
        <v>2527</v>
      </c>
      <c r="M388" s="11" t="s">
        <v>2528</v>
      </c>
      <c r="N388" s="12"/>
      <c r="O388" s="12"/>
      <c r="P388" s="13">
        <f>IFERROR(__xludf.DUMMYFUNCTION("VALUE(SUBSTITUTE((INDEX(SPLIT(A388,"",""),1)),""."","","",1))"),46.999855)</f>
        <v>46.999855</v>
      </c>
      <c r="Q388" s="13">
        <f>IFERROR(__xludf.DUMMYFUNCTION("VALUE(SUBSTITUTE((INDEX(SPLIT(A388,"",""),2)),""."","","",1))"),142.73919)</f>
        <v>142.73919</v>
      </c>
      <c r="R388" s="14" t="b">
        <f t="shared" si="1"/>
        <v>0</v>
      </c>
      <c r="S388" s="14" t="str">
        <f t="shared" si="2"/>
        <v>46.999855,142.73919</v>
      </c>
      <c r="T388" s="12"/>
    </row>
    <row r="389">
      <c r="A389" s="15" t="s">
        <v>2529</v>
      </c>
      <c r="B389" s="16" t="s">
        <v>2530</v>
      </c>
      <c r="C389" s="16" t="s">
        <v>2531</v>
      </c>
      <c r="D389" s="16" t="s">
        <v>16</v>
      </c>
      <c r="E389" s="17" t="s">
        <v>2532</v>
      </c>
      <c r="F389" s="16" t="s">
        <v>2330</v>
      </c>
      <c r="G389" s="16">
        <v>23.61</v>
      </c>
      <c r="H389" s="16"/>
      <c r="I389" s="16"/>
      <c r="J389" s="16" t="s">
        <v>2533</v>
      </c>
      <c r="K389" s="16" t="s">
        <v>2534</v>
      </c>
      <c r="L389" s="16"/>
      <c r="M389" s="16"/>
      <c r="N389" s="12"/>
      <c r="O389" s="12"/>
      <c r="P389" s="13">
        <f>IFERROR(__xludf.DUMMYFUNCTION("VALUE(SUBSTITUTE((INDEX(SPLIT(A389,"",""),1)),""."","","",1))"),46.936387)</f>
        <v>46.936387</v>
      </c>
      <c r="Q389" s="13">
        <f>IFERROR(__xludf.DUMMYFUNCTION("VALUE(SUBSTITUTE((INDEX(SPLIT(A389,"",""),2)),""."","","",1))"),142.747599)</f>
        <v>142.747599</v>
      </c>
      <c r="R389" s="14" t="b">
        <f t="shared" si="1"/>
        <v>0</v>
      </c>
      <c r="S389" s="14" t="str">
        <f t="shared" si="2"/>
        <v>46.936387,142.747599</v>
      </c>
      <c r="T389" s="12"/>
    </row>
    <row r="390">
      <c r="A390" s="7" t="s">
        <v>2535</v>
      </c>
      <c r="B390" s="8" t="s">
        <v>2536</v>
      </c>
      <c r="C390" s="8" t="s">
        <v>2537</v>
      </c>
      <c r="D390" s="8" t="s">
        <v>16</v>
      </c>
      <c r="E390" s="9" t="s">
        <v>2538</v>
      </c>
      <c r="F390" s="10" t="s">
        <v>2330</v>
      </c>
      <c r="G390" s="8">
        <v>23.61</v>
      </c>
      <c r="H390" s="8"/>
      <c r="I390" s="10"/>
      <c r="J390" s="10" t="s">
        <v>2539</v>
      </c>
      <c r="K390" s="10" t="s">
        <v>2540</v>
      </c>
      <c r="L390" s="11" t="s">
        <v>2541</v>
      </c>
      <c r="M390" s="10"/>
      <c r="N390" s="12"/>
      <c r="O390" s="12"/>
      <c r="P390" s="13">
        <f>IFERROR(__xludf.DUMMYFUNCTION("VALUE(SUBSTITUTE((INDEX(SPLIT(A390,"",""),1)),""."","","",1))"),46.955544)</f>
        <v>46.955544</v>
      </c>
      <c r="Q390" s="13">
        <f>IFERROR(__xludf.DUMMYFUNCTION("VALUE(SUBSTITUTE((INDEX(SPLIT(A390,"",""),2)),""."","","",1))"),142.749934)</f>
        <v>142.749934</v>
      </c>
      <c r="R390" s="14" t="b">
        <f t="shared" si="1"/>
        <v>0</v>
      </c>
      <c r="S390" s="14" t="str">
        <f t="shared" si="2"/>
        <v>46.955544,142.749934</v>
      </c>
      <c r="T390" s="12"/>
    </row>
    <row r="391">
      <c r="A391" s="15" t="s">
        <v>2542</v>
      </c>
      <c r="B391" s="16" t="s">
        <v>2543</v>
      </c>
      <c r="C391" s="16" t="s">
        <v>2544</v>
      </c>
      <c r="D391" s="16" t="s">
        <v>16</v>
      </c>
      <c r="E391" s="17" t="s">
        <v>2545</v>
      </c>
      <c r="F391" s="16" t="s">
        <v>2330</v>
      </c>
      <c r="G391" s="16">
        <v>23.61</v>
      </c>
      <c r="H391" s="16"/>
      <c r="I391" s="16"/>
      <c r="J391" s="16" t="s">
        <v>2546</v>
      </c>
      <c r="K391" s="16" t="s">
        <v>2547</v>
      </c>
      <c r="L391" s="16"/>
      <c r="M391" s="16"/>
      <c r="N391" s="12"/>
      <c r="O391" s="12"/>
      <c r="P391" s="13">
        <f>IFERROR(__xludf.DUMMYFUNCTION("VALUE(SUBSTITUTE((INDEX(SPLIT(A391,"",""),1)),""."","","",1))"),46.643252)</f>
        <v>46.643252</v>
      </c>
      <c r="Q391" s="13">
        <f>IFERROR(__xludf.DUMMYFUNCTION("VALUE(SUBSTITUTE((INDEX(SPLIT(A391,"",""),2)),""."","","",1))"),142.773389)</f>
        <v>142.773389</v>
      </c>
      <c r="R391" s="14" t="b">
        <f t="shared" si="1"/>
        <v>0</v>
      </c>
      <c r="S391" s="14" t="str">
        <f t="shared" si="2"/>
        <v>46.643252,142.773389</v>
      </c>
      <c r="T391" s="12"/>
    </row>
    <row r="392">
      <c r="A392" s="18" t="s">
        <v>2548</v>
      </c>
      <c r="B392" s="8" t="s">
        <v>2549</v>
      </c>
      <c r="C392" s="8" t="s">
        <v>2550</v>
      </c>
      <c r="D392" s="8" t="s">
        <v>16</v>
      </c>
      <c r="E392" s="19" t="s">
        <v>2551</v>
      </c>
      <c r="F392" s="8" t="s">
        <v>2330</v>
      </c>
      <c r="G392" s="8">
        <v>23.61</v>
      </c>
      <c r="H392" s="8"/>
      <c r="I392" s="8"/>
      <c r="J392" s="8" t="s">
        <v>2552</v>
      </c>
      <c r="K392" s="8" t="s">
        <v>2553</v>
      </c>
      <c r="L392" s="8"/>
      <c r="M392" s="8"/>
      <c r="N392" s="12"/>
      <c r="O392" s="12"/>
      <c r="P392" s="13">
        <f>IFERROR(__xludf.DUMMYFUNCTION("VALUE(SUBSTITUTE((INDEX(SPLIT(A392,"",""),1)),""."","","",1))"),46.629652)</f>
        <v>46.629652</v>
      </c>
      <c r="Q392" s="13">
        <f>IFERROR(__xludf.DUMMYFUNCTION("VALUE(SUBSTITUTE((INDEX(SPLIT(A392,"",""),2)),""."","","",1))"),142.794428)</f>
        <v>142.794428</v>
      </c>
      <c r="R392" s="14" t="b">
        <f t="shared" si="1"/>
        <v>0</v>
      </c>
      <c r="S392" s="14" t="str">
        <f t="shared" si="2"/>
        <v>46.629652,142.794428</v>
      </c>
      <c r="T392" s="12"/>
    </row>
    <row r="393">
      <c r="A393" s="15" t="s">
        <v>2554</v>
      </c>
      <c r="B393" s="16" t="s">
        <v>2555</v>
      </c>
      <c r="C393" s="16" t="s">
        <v>2556</v>
      </c>
      <c r="D393" s="16" t="s">
        <v>16</v>
      </c>
      <c r="E393" s="17" t="s">
        <v>2557</v>
      </c>
      <c r="F393" s="16" t="s">
        <v>2558</v>
      </c>
      <c r="G393" s="16">
        <v>23.61</v>
      </c>
      <c r="H393" s="16"/>
      <c r="I393" s="16"/>
      <c r="J393" s="16" t="s">
        <v>2559</v>
      </c>
      <c r="K393" s="16" t="s">
        <v>2560</v>
      </c>
      <c r="L393" s="16"/>
      <c r="M393" s="16"/>
      <c r="N393" s="12"/>
      <c r="O393" s="12"/>
      <c r="P393" s="13">
        <f>IFERROR(__xludf.DUMMYFUNCTION("VALUE(SUBSTITUTE((INDEX(SPLIT(A393,"",""),1)),""."","","",1))"),53.145835)</f>
        <v>53.145835</v>
      </c>
      <c r="Q393" s="13">
        <f>IFERROR(__xludf.DUMMYFUNCTION("VALUE(SUBSTITUTE((INDEX(SPLIT(A393,"",""),2)),""."","","",1))"),158.352808)</f>
        <v>158.352808</v>
      </c>
      <c r="R393" s="14" t="b">
        <f t="shared" si="1"/>
        <v>0</v>
      </c>
      <c r="S393" s="14" t="str">
        <f t="shared" si="2"/>
        <v>53.145835,158.352808</v>
      </c>
      <c r="T393" s="12"/>
    </row>
    <row r="394">
      <c r="A394" s="7" t="s">
        <v>2561</v>
      </c>
      <c r="B394" s="8" t="s">
        <v>2562</v>
      </c>
      <c r="C394" s="8" t="s">
        <v>2563</v>
      </c>
      <c r="D394" s="8" t="s">
        <v>16</v>
      </c>
      <c r="E394" s="9" t="s">
        <v>2564</v>
      </c>
      <c r="F394" s="10" t="s">
        <v>2558</v>
      </c>
      <c r="G394" s="8">
        <v>23.61</v>
      </c>
      <c r="H394" s="8"/>
      <c r="I394" s="10"/>
      <c r="J394" s="10" t="s">
        <v>2565</v>
      </c>
      <c r="K394" s="10" t="s">
        <v>2566</v>
      </c>
      <c r="L394" s="11" t="s">
        <v>2567</v>
      </c>
      <c r="M394" s="10"/>
      <c r="N394" s="12"/>
      <c r="O394" s="12"/>
      <c r="P394" s="13">
        <f>IFERROR(__xludf.DUMMYFUNCTION("VALUE(SUBSTITUTE((INDEX(SPLIT(A394,"",""),1)),""."","","",1))"),53.19584)</f>
        <v>53.19584</v>
      </c>
      <c r="Q394" s="13">
        <f>IFERROR(__xludf.DUMMYFUNCTION("VALUE(SUBSTITUTE((INDEX(SPLIT(A394,"",""),2)),""."","","",1))"),158.37223)</f>
        <v>158.37223</v>
      </c>
      <c r="R394" s="14" t="b">
        <f t="shared" si="1"/>
        <v>0</v>
      </c>
      <c r="S394" s="14" t="str">
        <f t="shared" si="2"/>
        <v>53.19584,158.37223</v>
      </c>
      <c r="T394" s="12"/>
    </row>
    <row r="395">
      <c r="A395" s="20" t="s">
        <v>2568</v>
      </c>
      <c r="B395" s="16" t="s">
        <v>2569</v>
      </c>
      <c r="C395" s="16" t="s">
        <v>2570</v>
      </c>
      <c r="D395" s="16" t="s">
        <v>16</v>
      </c>
      <c r="E395" s="21" t="s">
        <v>2571</v>
      </c>
      <c r="F395" s="22" t="s">
        <v>2558</v>
      </c>
      <c r="G395" s="16">
        <v>23.61</v>
      </c>
      <c r="H395" s="16"/>
      <c r="I395" s="22"/>
      <c r="J395" s="22" t="s">
        <v>2572</v>
      </c>
      <c r="K395" s="22" t="s">
        <v>2573</v>
      </c>
      <c r="L395" s="23" t="s">
        <v>2574</v>
      </c>
      <c r="M395" s="22"/>
      <c r="N395" s="12"/>
      <c r="O395" s="12"/>
      <c r="P395" s="13">
        <f>IFERROR(__xludf.DUMMYFUNCTION("VALUE(SUBSTITUTE((INDEX(SPLIT(A395,"",""),1)),""."","","",1))"),53.177473)</f>
        <v>53.177473</v>
      </c>
      <c r="Q395" s="13">
        <f>IFERROR(__xludf.DUMMYFUNCTION("VALUE(SUBSTITUTE((INDEX(SPLIT(A395,"",""),2)),""."","","",1))"),158.402162)</f>
        <v>158.402162</v>
      </c>
      <c r="R395" s="14" t="b">
        <f t="shared" si="1"/>
        <v>0</v>
      </c>
      <c r="S395" s="14" t="str">
        <f t="shared" si="2"/>
        <v>53.177473,158.402162</v>
      </c>
      <c r="T395" s="12"/>
    </row>
    <row r="396">
      <c r="A396" s="18" t="s">
        <v>2575</v>
      </c>
      <c r="B396" s="8" t="s">
        <v>2576</v>
      </c>
      <c r="C396" s="8" t="s">
        <v>2577</v>
      </c>
      <c r="D396" s="8" t="s">
        <v>16</v>
      </c>
      <c r="E396" s="19" t="s">
        <v>2578</v>
      </c>
      <c r="F396" s="8" t="s">
        <v>2558</v>
      </c>
      <c r="G396" s="8">
        <v>23.61</v>
      </c>
      <c r="H396" s="8"/>
      <c r="I396" s="8"/>
      <c r="J396" s="8" t="s">
        <v>2579</v>
      </c>
      <c r="K396" s="8" t="s">
        <v>2580</v>
      </c>
      <c r="L396" s="8"/>
      <c r="M396" s="24" t="s">
        <v>2581</v>
      </c>
      <c r="N396" s="12"/>
      <c r="O396" s="12"/>
      <c r="P396" s="13">
        <f>IFERROR(__xludf.DUMMYFUNCTION("VALUE(SUBSTITUTE((INDEX(SPLIT(A396,"",""),1)),""."","","",1))"),53.123301)</f>
        <v>53.123301</v>
      </c>
      <c r="Q396" s="13">
        <f>IFERROR(__xludf.DUMMYFUNCTION("VALUE(SUBSTITUTE((INDEX(SPLIT(A396,"",""),2)),""."","","",1))"),158.512349)</f>
        <v>158.512349</v>
      </c>
      <c r="R396" s="14" t="b">
        <f t="shared" si="1"/>
        <v>0</v>
      </c>
      <c r="S396" s="14" t="str">
        <f t="shared" si="2"/>
        <v>53.123301,158.512349</v>
      </c>
      <c r="T396" s="12"/>
    </row>
    <row r="397">
      <c r="A397" s="20" t="s">
        <v>2575</v>
      </c>
      <c r="B397" s="16" t="s">
        <v>2582</v>
      </c>
      <c r="C397" s="16" t="s">
        <v>2583</v>
      </c>
      <c r="D397" s="16" t="s">
        <v>16</v>
      </c>
      <c r="E397" s="21" t="s">
        <v>2584</v>
      </c>
      <c r="F397" s="22" t="s">
        <v>2558</v>
      </c>
      <c r="G397" s="16">
        <v>23.61</v>
      </c>
      <c r="H397" s="16"/>
      <c r="I397" s="22"/>
      <c r="J397" s="22" t="s">
        <v>2585</v>
      </c>
      <c r="K397" s="22" t="s">
        <v>2586</v>
      </c>
      <c r="L397" s="23" t="s">
        <v>2587</v>
      </c>
      <c r="M397" s="22"/>
      <c r="N397" s="12"/>
      <c r="O397" s="12"/>
      <c r="P397" s="13">
        <f>IFERROR(__xludf.DUMMYFUNCTION("VALUE(SUBSTITUTE((INDEX(SPLIT(A397,"",""),1)),""."","","",1))"),53.123301)</f>
        <v>53.123301</v>
      </c>
      <c r="Q397" s="13">
        <f>IFERROR(__xludf.DUMMYFUNCTION("VALUE(SUBSTITUTE((INDEX(SPLIT(A397,"",""),2)),""."","","",1))"),158.512349)</f>
        <v>158.512349</v>
      </c>
      <c r="R397" s="14" t="b">
        <f t="shared" si="1"/>
        <v>0</v>
      </c>
      <c r="S397" s="14" t="str">
        <f t="shared" si="2"/>
        <v>53.123301,158.512349</v>
      </c>
      <c r="T397" s="12"/>
    </row>
    <row r="398">
      <c r="A398" s="7" t="s">
        <v>2588</v>
      </c>
      <c r="B398" s="8" t="s">
        <v>2589</v>
      </c>
      <c r="C398" s="8" t="s">
        <v>2590</v>
      </c>
      <c r="D398" s="8" t="s">
        <v>16</v>
      </c>
      <c r="E398" s="9" t="s">
        <v>2591</v>
      </c>
      <c r="F398" s="10" t="s">
        <v>2558</v>
      </c>
      <c r="G398" s="8">
        <v>23.61</v>
      </c>
      <c r="H398" s="8"/>
      <c r="I398" s="10"/>
      <c r="J398" s="10" t="s">
        <v>2592</v>
      </c>
      <c r="K398" s="10" t="s">
        <v>2593</v>
      </c>
      <c r="L398" s="29" t="s">
        <v>2594</v>
      </c>
      <c r="M398" s="10"/>
      <c r="N398" s="12"/>
      <c r="O398" s="12"/>
      <c r="P398" s="13">
        <f>IFERROR(__xludf.DUMMYFUNCTION("VALUE(SUBSTITUTE((INDEX(SPLIT(A398,"",""),1)),""."","","",1))"),53.123118)</f>
        <v>53.123118</v>
      </c>
      <c r="Q398" s="13">
        <f>IFERROR(__xludf.DUMMYFUNCTION("VALUE(SUBSTITUTE((INDEX(SPLIT(A398,"",""),2)),""."","","",1))"),158.519383)</f>
        <v>158.519383</v>
      </c>
      <c r="R398" s="14" t="b">
        <f t="shared" si="1"/>
        <v>0</v>
      </c>
      <c r="S398" s="14" t="str">
        <f t="shared" si="2"/>
        <v>53.123118,158.519383</v>
      </c>
      <c r="T398" s="12"/>
    </row>
    <row r="399">
      <c r="A399" s="20" t="s">
        <v>2595</v>
      </c>
      <c r="B399" s="16" t="s">
        <v>2596</v>
      </c>
      <c r="C399" s="16" t="s">
        <v>2597</v>
      </c>
      <c r="D399" s="16" t="s">
        <v>16</v>
      </c>
      <c r="E399" s="21" t="s">
        <v>2598</v>
      </c>
      <c r="F399" s="22" t="s">
        <v>2558</v>
      </c>
      <c r="G399" s="16">
        <v>23.61</v>
      </c>
      <c r="H399" s="16"/>
      <c r="I399" s="22"/>
      <c r="J399" s="22" t="s">
        <v>2599</v>
      </c>
      <c r="K399" s="22" t="s">
        <v>2600</v>
      </c>
      <c r="L399" s="23" t="s">
        <v>2601</v>
      </c>
      <c r="M399" s="22"/>
      <c r="N399" s="12"/>
      <c r="O399" s="12"/>
      <c r="P399" s="13">
        <f>IFERROR(__xludf.DUMMYFUNCTION("VALUE(SUBSTITUTE((INDEX(SPLIT(A399,"",""),1)),""."","","",1))"),53.066356)</f>
        <v>53.066356</v>
      </c>
      <c r="Q399" s="13">
        <f>IFERROR(__xludf.DUMMYFUNCTION("VALUE(SUBSTITUTE((INDEX(SPLIT(A399,"",""),2)),""."","","",1))"),158.594886)</f>
        <v>158.594886</v>
      </c>
      <c r="R399" s="14" t="b">
        <f t="shared" si="1"/>
        <v>0</v>
      </c>
      <c r="S399" s="14" t="str">
        <f t="shared" si="2"/>
        <v>53.066356,158.594886</v>
      </c>
      <c r="T399" s="12"/>
    </row>
    <row r="400">
      <c r="A400" s="18" t="s">
        <v>2602</v>
      </c>
      <c r="B400" s="8" t="s">
        <v>2603</v>
      </c>
      <c r="C400" s="8" t="s">
        <v>2604</v>
      </c>
      <c r="D400" s="8" t="s">
        <v>16</v>
      </c>
      <c r="E400" s="19" t="s">
        <v>2605</v>
      </c>
      <c r="F400" s="8" t="s">
        <v>2558</v>
      </c>
      <c r="G400" s="8">
        <v>23.61</v>
      </c>
      <c r="H400" s="8"/>
      <c r="I400" s="8"/>
      <c r="J400" s="8" t="s">
        <v>2606</v>
      </c>
      <c r="K400" s="8" t="s">
        <v>2607</v>
      </c>
      <c r="L400" s="8"/>
      <c r="M400" s="8"/>
      <c r="N400" s="12"/>
      <c r="O400" s="12"/>
      <c r="P400" s="13">
        <f>IFERROR(__xludf.DUMMYFUNCTION("VALUE(SUBSTITUTE((INDEX(SPLIT(A400,"",""),1)),""."","","",1))"),53.065788)</f>
        <v>53.065788</v>
      </c>
      <c r="Q400" s="13">
        <f>IFERROR(__xludf.DUMMYFUNCTION("VALUE(SUBSTITUTE((INDEX(SPLIT(A400,"",""),2)),""."","","",1))"),158.595587)</f>
        <v>158.595587</v>
      </c>
      <c r="R400" s="14" t="b">
        <f t="shared" si="1"/>
        <v>0</v>
      </c>
      <c r="S400" s="14" t="str">
        <f t="shared" si="2"/>
        <v>53.065788,158.595587</v>
      </c>
      <c r="T400" s="12"/>
    </row>
    <row r="401">
      <c r="A401" s="15" t="s">
        <v>2608</v>
      </c>
      <c r="B401" s="16" t="s">
        <v>2609</v>
      </c>
      <c r="C401" s="16" t="s">
        <v>2610</v>
      </c>
      <c r="D401" s="16" t="s">
        <v>16</v>
      </c>
      <c r="E401" s="17" t="s">
        <v>2611</v>
      </c>
      <c r="F401" s="16" t="s">
        <v>2558</v>
      </c>
      <c r="G401" s="16">
        <v>23.61</v>
      </c>
      <c r="H401" s="16"/>
      <c r="I401" s="16"/>
      <c r="J401" s="16" t="s">
        <v>2612</v>
      </c>
      <c r="K401" s="16" t="s">
        <v>2613</v>
      </c>
      <c r="L401" s="16"/>
      <c r="M401" s="25" t="s">
        <v>2614</v>
      </c>
      <c r="N401" s="12"/>
      <c r="O401" s="12"/>
      <c r="P401" s="13">
        <f>IFERROR(__xludf.DUMMYFUNCTION("VALUE(SUBSTITUTE((INDEX(SPLIT(A401,"",""),1)),""."","","",1))"),53.018647)</f>
        <v>53.018647</v>
      </c>
      <c r="Q401" s="13">
        <f>IFERROR(__xludf.DUMMYFUNCTION("VALUE(SUBSTITUTE((INDEX(SPLIT(A401,"",""),2)),""."","","",1))"),158.646989)</f>
        <v>158.646989</v>
      </c>
      <c r="R401" s="14" t="b">
        <f t="shared" si="1"/>
        <v>0</v>
      </c>
      <c r="S401" s="14" t="str">
        <f t="shared" si="2"/>
        <v>53.018647,158.646989</v>
      </c>
      <c r="T401" s="12"/>
    </row>
    <row r="402">
      <c r="A402" s="7" t="s">
        <v>2615</v>
      </c>
      <c r="B402" s="8" t="s">
        <v>2616</v>
      </c>
      <c r="C402" s="8" t="s">
        <v>2617</v>
      </c>
      <c r="D402" s="8" t="s">
        <v>16</v>
      </c>
      <c r="E402" s="9" t="s">
        <v>2618</v>
      </c>
      <c r="F402" s="10" t="s">
        <v>2558</v>
      </c>
      <c r="G402" s="8">
        <v>23.61</v>
      </c>
      <c r="H402" s="8"/>
      <c r="I402" s="10"/>
      <c r="J402" s="10" t="s">
        <v>2619</v>
      </c>
      <c r="K402" s="10" t="s">
        <v>2620</v>
      </c>
      <c r="L402" s="11" t="s">
        <v>2621</v>
      </c>
      <c r="M402" s="10"/>
      <c r="N402" s="12"/>
      <c r="O402" s="12"/>
      <c r="P402" s="13">
        <f>IFERROR(__xludf.DUMMYFUNCTION("VALUE(SUBSTITUTE((INDEX(SPLIT(A402,"",""),1)),""."","","",1))"),53.062914)</f>
        <v>53.062914</v>
      </c>
      <c r="Q402" s="13">
        <f>IFERROR(__xludf.DUMMYFUNCTION("VALUE(SUBSTITUTE((INDEX(SPLIT(A402,"",""),2)),""."","","",1))"),158.65475)</f>
        <v>158.65475</v>
      </c>
      <c r="R402" s="14" t="b">
        <f t="shared" si="1"/>
        <v>0</v>
      </c>
      <c r="S402" s="14" t="str">
        <f t="shared" si="2"/>
        <v>53.062914,158.65475</v>
      </c>
      <c r="T402" s="12"/>
    </row>
    <row r="403">
      <c r="A403" s="20" t="s">
        <v>2622</v>
      </c>
      <c r="B403" s="16" t="s">
        <v>2623</v>
      </c>
      <c r="C403" s="16" t="s">
        <v>2624</v>
      </c>
      <c r="D403" s="16" t="s">
        <v>16</v>
      </c>
      <c r="E403" s="21" t="s">
        <v>2625</v>
      </c>
      <c r="F403" s="22" t="s">
        <v>2558</v>
      </c>
      <c r="G403" s="16">
        <v>23.61</v>
      </c>
      <c r="H403" s="16"/>
      <c r="I403" s="22"/>
      <c r="J403" s="22" t="s">
        <v>2626</v>
      </c>
      <c r="K403" s="22" t="s">
        <v>2627</v>
      </c>
      <c r="L403" s="23" t="s">
        <v>2628</v>
      </c>
      <c r="M403" s="22"/>
      <c r="N403" s="12"/>
      <c r="O403" s="12"/>
      <c r="P403" s="13">
        <f>IFERROR(__xludf.DUMMYFUNCTION("VALUE(SUBSTITUTE((INDEX(SPLIT(A403,"",""),1)),""."","","",1))"),53.055841)</f>
        <v>53.055841</v>
      </c>
      <c r="Q403" s="13">
        <f>IFERROR(__xludf.DUMMYFUNCTION("VALUE(SUBSTITUTE((INDEX(SPLIT(A403,"",""),2)),""."","","",1))"),158.664012)</f>
        <v>158.664012</v>
      </c>
      <c r="R403" s="14" t="b">
        <f t="shared" si="1"/>
        <v>0</v>
      </c>
      <c r="S403" s="14" t="str">
        <f t="shared" si="2"/>
        <v>53.055841,158.664012</v>
      </c>
      <c r="T403" s="12"/>
    </row>
    <row r="404">
      <c r="A404" s="7" t="s">
        <v>2629</v>
      </c>
      <c r="B404" s="8" t="s">
        <v>2630</v>
      </c>
      <c r="C404" s="8" t="s">
        <v>2631</v>
      </c>
      <c r="D404" s="8" t="s">
        <v>16</v>
      </c>
      <c r="E404" s="9" t="s">
        <v>2632</v>
      </c>
      <c r="F404" s="10" t="s">
        <v>2558</v>
      </c>
      <c r="G404" s="8">
        <v>23.61</v>
      </c>
      <c r="H404" s="8"/>
      <c r="I404" s="10"/>
      <c r="J404" s="10" t="s">
        <v>2633</v>
      </c>
      <c r="K404" s="10" t="s">
        <v>2634</v>
      </c>
      <c r="L404" s="11" t="s">
        <v>2635</v>
      </c>
      <c r="M404" s="10"/>
      <c r="N404" s="12"/>
      <c r="O404" s="12"/>
      <c r="P404" s="13">
        <f>IFERROR(__xludf.DUMMYFUNCTION("VALUE(SUBSTITUTE((INDEX(SPLIT(A404,"",""),1)),""."","","",1))"),53.029832)</f>
        <v>53.029832</v>
      </c>
      <c r="Q404" s="13">
        <f>IFERROR(__xludf.DUMMYFUNCTION("VALUE(SUBSTITUTE((INDEX(SPLIT(A404,"",""),2)),""."","","",1))"),158.679625)</f>
        <v>158.679625</v>
      </c>
      <c r="R404" s="14" t="b">
        <f t="shared" si="1"/>
        <v>0</v>
      </c>
      <c r="S404" s="14" t="str">
        <f t="shared" si="2"/>
        <v>53.029832,158.679625</v>
      </c>
      <c r="T404" s="12"/>
    </row>
    <row r="405">
      <c r="A405" s="20" t="s">
        <v>2636</v>
      </c>
      <c r="B405" s="16" t="s">
        <v>2637</v>
      </c>
      <c r="C405" s="16" t="s">
        <v>2638</v>
      </c>
      <c r="D405" s="16" t="s">
        <v>16</v>
      </c>
      <c r="E405" s="21" t="s">
        <v>2639</v>
      </c>
      <c r="F405" s="22" t="s">
        <v>2640</v>
      </c>
      <c r="G405" s="16">
        <v>23.61</v>
      </c>
      <c r="H405" s="16"/>
      <c r="I405" s="22"/>
      <c r="J405" s="22" t="s">
        <v>2641</v>
      </c>
      <c r="K405" s="22" t="s">
        <v>2642</v>
      </c>
      <c r="L405" s="23" t="s">
        <v>2643</v>
      </c>
      <c r="M405" s="23" t="s">
        <v>2644</v>
      </c>
      <c r="N405" s="12"/>
      <c r="O405" s="12"/>
      <c r="P405" s="13">
        <f>IFERROR(__xludf.DUMMYFUNCTION("VALUE(SUBSTITUTE((INDEX(SPLIT(A405,"",""),1)),""."","","",1))"),54.654329)</f>
        <v>54.654329</v>
      </c>
      <c r="Q405" s="13">
        <f>IFERROR(__xludf.DUMMYFUNCTION("VALUE(SUBSTITUTE((INDEX(SPLIT(A405,"",""),2)),""."","","",1))"),19.90867)</f>
        <v>19.90867</v>
      </c>
      <c r="R405" s="14" t="b">
        <f t="shared" si="1"/>
        <v>0</v>
      </c>
      <c r="S405" s="14" t="str">
        <f t="shared" si="2"/>
        <v>54.654329,19.90867</v>
      </c>
      <c r="T405" s="12"/>
    </row>
    <row r="406">
      <c r="A406" s="18" t="s">
        <v>2645</v>
      </c>
      <c r="B406" s="8" t="s">
        <v>2646</v>
      </c>
      <c r="C406" s="8" t="s">
        <v>2647</v>
      </c>
      <c r="D406" s="8" t="s">
        <v>16</v>
      </c>
      <c r="E406" s="19" t="s">
        <v>2648</v>
      </c>
      <c r="F406" s="8" t="s">
        <v>2640</v>
      </c>
      <c r="G406" s="8">
        <v>23.61</v>
      </c>
      <c r="H406" s="8"/>
      <c r="I406" s="8"/>
      <c r="J406" s="8" t="s">
        <v>2649</v>
      </c>
      <c r="K406" s="8" t="s">
        <v>2650</v>
      </c>
      <c r="L406" s="8"/>
      <c r="M406" s="8"/>
      <c r="N406" s="12"/>
      <c r="O406" s="12"/>
      <c r="P406" s="13">
        <f>IFERROR(__xludf.DUMMYFUNCTION("VALUE(SUBSTITUTE((INDEX(SPLIT(A406,"",""),1)),""."","","",1))"),54.656391)</f>
        <v>54.656391</v>
      </c>
      <c r="Q406" s="13">
        <f>IFERROR(__xludf.DUMMYFUNCTION("VALUE(SUBSTITUTE((INDEX(SPLIT(A406,"",""),2)),""."","","",1))"),19.913144)</f>
        <v>19.913144</v>
      </c>
      <c r="R406" s="14" t="b">
        <f t="shared" si="1"/>
        <v>0</v>
      </c>
      <c r="S406" s="14" t="str">
        <f t="shared" si="2"/>
        <v>54.656391,19.913144</v>
      </c>
      <c r="T406" s="12"/>
    </row>
    <row r="407">
      <c r="A407" s="15" t="s">
        <v>2651</v>
      </c>
      <c r="B407" s="16" t="s">
        <v>2652</v>
      </c>
      <c r="C407" s="16" t="s">
        <v>2653</v>
      </c>
      <c r="D407" s="16" t="s">
        <v>16</v>
      </c>
      <c r="E407" s="17" t="s">
        <v>2654</v>
      </c>
      <c r="F407" s="16" t="s">
        <v>2640</v>
      </c>
      <c r="G407" s="16">
        <v>23.61</v>
      </c>
      <c r="H407" s="16"/>
      <c r="I407" s="16"/>
      <c r="J407" s="16" t="s">
        <v>2655</v>
      </c>
      <c r="K407" s="16" t="s">
        <v>2656</v>
      </c>
      <c r="L407" s="16"/>
      <c r="M407" s="16"/>
      <c r="N407" s="12"/>
      <c r="O407" s="12"/>
      <c r="P407" s="13">
        <f>IFERROR(__xludf.DUMMYFUNCTION("VALUE(SUBSTITUTE((INDEX(SPLIT(A407,"",""),1)),""."","","",1))"),54.463602)</f>
        <v>54.463602</v>
      </c>
      <c r="Q407" s="13">
        <f>IFERROR(__xludf.DUMMYFUNCTION("VALUE(SUBSTITUTE((INDEX(SPLIT(A407,"",""),2)),""."","","",1))"),19.943686)</f>
        <v>19.943686</v>
      </c>
      <c r="R407" s="14" t="b">
        <f t="shared" si="1"/>
        <v>0</v>
      </c>
      <c r="S407" s="14" t="str">
        <f t="shared" si="2"/>
        <v>54.463602,19.943686</v>
      </c>
      <c r="T407" s="12"/>
    </row>
    <row r="408">
      <c r="A408" s="7" t="s">
        <v>2657</v>
      </c>
      <c r="B408" s="8" t="s">
        <v>2658</v>
      </c>
      <c r="C408" s="8" t="s">
        <v>2659</v>
      </c>
      <c r="D408" s="8" t="s">
        <v>16</v>
      </c>
      <c r="E408" s="9" t="s">
        <v>2660</v>
      </c>
      <c r="F408" s="10" t="s">
        <v>2640</v>
      </c>
      <c r="G408" s="8">
        <v>23.61</v>
      </c>
      <c r="H408" s="8"/>
      <c r="I408" s="10"/>
      <c r="J408" s="10" t="s">
        <v>2661</v>
      </c>
      <c r="K408" s="10" t="s">
        <v>2662</v>
      </c>
      <c r="L408" s="11" t="s">
        <v>2663</v>
      </c>
      <c r="M408" s="10"/>
      <c r="N408" s="12"/>
      <c r="O408" s="12"/>
      <c r="P408" s="13">
        <f>IFERROR(__xludf.DUMMYFUNCTION("VALUE(SUBSTITUTE((INDEX(SPLIT(A408,"",""),1)),""."","","",1))"),54.939341)</f>
        <v>54.939341</v>
      </c>
      <c r="Q408" s="13">
        <f>IFERROR(__xludf.DUMMYFUNCTION("VALUE(SUBSTITUTE((INDEX(SPLIT(A408,"",""),2)),""."","","",1))"),20.160162)</f>
        <v>20.160162</v>
      </c>
      <c r="R408" s="14" t="b">
        <f t="shared" si="1"/>
        <v>0</v>
      </c>
      <c r="S408" s="14" t="str">
        <f t="shared" si="2"/>
        <v>54.939341,20.160162</v>
      </c>
      <c r="T408" s="12"/>
    </row>
    <row r="409">
      <c r="A409" s="20" t="s">
        <v>2664</v>
      </c>
      <c r="B409" s="16" t="s">
        <v>2665</v>
      </c>
      <c r="C409" s="16" t="s">
        <v>2666</v>
      </c>
      <c r="D409" s="16" t="s">
        <v>16</v>
      </c>
      <c r="E409" s="21" t="s">
        <v>2667</v>
      </c>
      <c r="F409" s="22" t="s">
        <v>2640</v>
      </c>
      <c r="G409" s="16">
        <v>23.61</v>
      </c>
      <c r="H409" s="16"/>
      <c r="I409" s="22"/>
      <c r="J409" s="22" t="s">
        <v>2668</v>
      </c>
      <c r="K409" s="22" t="s">
        <v>2669</v>
      </c>
      <c r="L409" s="23" t="s">
        <v>2670</v>
      </c>
      <c r="M409" s="23" t="s">
        <v>2671</v>
      </c>
      <c r="N409" s="12"/>
      <c r="O409" s="12"/>
      <c r="P409" s="13">
        <f>IFERROR(__xludf.DUMMYFUNCTION("VALUE(SUBSTITUTE((INDEX(SPLIT(A409,"",""),1)),""."","","",1))"),54.931831)</f>
        <v>54.931831</v>
      </c>
      <c r="Q409" s="13">
        <f>IFERROR(__xludf.DUMMYFUNCTION("VALUE(SUBSTITUTE((INDEX(SPLIT(A409,"",""),2)),""."","","",1))"),20.16539)</f>
        <v>20.16539</v>
      </c>
      <c r="R409" s="14" t="b">
        <f t="shared" si="1"/>
        <v>0</v>
      </c>
      <c r="S409" s="14" t="str">
        <f t="shared" si="2"/>
        <v>54.931831,20.16539</v>
      </c>
      <c r="T409" s="12"/>
    </row>
    <row r="410">
      <c r="A410" s="18" t="s">
        <v>2672</v>
      </c>
      <c r="B410" s="8" t="s">
        <v>866</v>
      </c>
      <c r="C410" s="8" t="s">
        <v>867</v>
      </c>
      <c r="D410" s="8" t="s">
        <v>16</v>
      </c>
      <c r="E410" s="19" t="s">
        <v>2673</v>
      </c>
      <c r="F410" s="8" t="s">
        <v>2640</v>
      </c>
      <c r="G410" s="8">
        <v>23.61</v>
      </c>
      <c r="H410" s="8"/>
      <c r="I410" s="8"/>
      <c r="J410" s="8" t="s">
        <v>2674</v>
      </c>
      <c r="K410" s="8" t="s">
        <v>2675</v>
      </c>
      <c r="L410" s="8"/>
      <c r="M410" s="24" t="s">
        <v>2676</v>
      </c>
      <c r="N410" s="12"/>
      <c r="O410" s="12"/>
      <c r="P410" s="13">
        <f>IFERROR(__xludf.DUMMYFUNCTION("VALUE(SUBSTITUTE((INDEX(SPLIT(A410,"",""),1)),""."","","",1))"),54.600004)</f>
        <v>54.600004</v>
      </c>
      <c r="Q410" s="13">
        <f>IFERROR(__xludf.DUMMYFUNCTION("VALUE(SUBSTITUTE((INDEX(SPLIT(A410,"",""),2)),""."","","",1))"),20.207225)</f>
        <v>20.207225</v>
      </c>
      <c r="R410" s="14" t="b">
        <f t="shared" si="1"/>
        <v>0</v>
      </c>
      <c r="S410" s="14" t="str">
        <f t="shared" si="2"/>
        <v>54.600004,20.207225</v>
      </c>
      <c r="T410" s="12"/>
    </row>
    <row r="411">
      <c r="A411" s="20" t="s">
        <v>2677</v>
      </c>
      <c r="B411" s="16" t="s">
        <v>2678</v>
      </c>
      <c r="C411" s="16" t="s">
        <v>2679</v>
      </c>
      <c r="D411" s="16" t="s">
        <v>16</v>
      </c>
      <c r="E411" s="21" t="s">
        <v>2680</v>
      </c>
      <c r="F411" s="22" t="s">
        <v>2640</v>
      </c>
      <c r="G411" s="16">
        <v>23.61</v>
      </c>
      <c r="H411" s="16"/>
      <c r="I411" s="22"/>
      <c r="J411" s="22" t="s">
        <v>2681</v>
      </c>
      <c r="K411" s="22" t="s">
        <v>2682</v>
      </c>
      <c r="L411" s="23" t="s">
        <v>2683</v>
      </c>
      <c r="M411" s="22"/>
      <c r="N411" s="12"/>
      <c r="O411" s="12"/>
      <c r="P411" s="13">
        <f>IFERROR(__xludf.DUMMYFUNCTION("VALUE(SUBSTITUTE((INDEX(SPLIT(A411,"",""),1)),""."","","",1))"),54.891432)</f>
        <v>54.891432</v>
      </c>
      <c r="Q411" s="13">
        <f>IFERROR(__xludf.DUMMYFUNCTION("VALUE(SUBSTITUTE((INDEX(SPLIT(A411,"",""),2)),""."","","",1))"),20.280626)</f>
        <v>20.280626</v>
      </c>
      <c r="R411" s="14" t="b">
        <f t="shared" si="1"/>
        <v>0</v>
      </c>
      <c r="S411" s="14" t="str">
        <f t="shared" si="2"/>
        <v>54.891432,20.280626</v>
      </c>
      <c r="T411" s="12"/>
    </row>
    <row r="412">
      <c r="A412" s="18" t="s">
        <v>2684</v>
      </c>
      <c r="B412" s="8" t="s">
        <v>2685</v>
      </c>
      <c r="C412" s="8" t="s">
        <v>2686</v>
      </c>
      <c r="D412" s="8" t="s">
        <v>16</v>
      </c>
      <c r="E412" s="19" t="s">
        <v>2687</v>
      </c>
      <c r="F412" s="8" t="s">
        <v>2640</v>
      </c>
      <c r="G412" s="8">
        <v>23.61</v>
      </c>
      <c r="H412" s="8"/>
      <c r="I412" s="8"/>
      <c r="J412" s="8" t="s">
        <v>2688</v>
      </c>
      <c r="K412" s="8" t="s">
        <v>2689</v>
      </c>
      <c r="L412" s="8"/>
      <c r="M412" s="8"/>
      <c r="N412" s="12"/>
      <c r="O412" s="12"/>
      <c r="P412" s="13">
        <f>IFERROR(__xludf.DUMMYFUNCTION("VALUE(SUBSTITUTE((INDEX(SPLIT(A412,"",""),1)),""."","","",1))"),54.724271)</f>
        <v>54.724271</v>
      </c>
      <c r="Q412" s="13">
        <f>IFERROR(__xludf.DUMMYFUNCTION("VALUE(SUBSTITUTE((INDEX(SPLIT(A412,"",""),2)),""."","","",1))"),20.332306)</f>
        <v>20.332306</v>
      </c>
      <c r="R412" s="14" t="b">
        <f t="shared" si="1"/>
        <v>0</v>
      </c>
      <c r="S412" s="14" t="str">
        <f t="shared" si="2"/>
        <v>54.724271,20.332306</v>
      </c>
      <c r="T412" s="12"/>
    </row>
    <row r="413">
      <c r="A413" s="20" t="s">
        <v>2690</v>
      </c>
      <c r="B413" s="16" t="s">
        <v>2691</v>
      </c>
      <c r="C413" s="16" t="s">
        <v>2692</v>
      </c>
      <c r="D413" s="16" t="s">
        <v>16</v>
      </c>
      <c r="E413" s="21" t="s">
        <v>2693</v>
      </c>
      <c r="F413" s="22" t="s">
        <v>2640</v>
      </c>
      <c r="G413" s="16">
        <v>23.61</v>
      </c>
      <c r="H413" s="16"/>
      <c r="I413" s="22"/>
      <c r="J413" s="22" t="s">
        <v>2694</v>
      </c>
      <c r="K413" s="22" t="s">
        <v>2695</v>
      </c>
      <c r="L413" s="23" t="s">
        <v>2696</v>
      </c>
      <c r="M413" s="23" t="s">
        <v>2697</v>
      </c>
      <c r="N413" s="12"/>
      <c r="O413" s="12"/>
      <c r="P413" s="13">
        <f>IFERROR(__xludf.DUMMYFUNCTION("VALUE(SUBSTITUTE((INDEX(SPLIT(A413,"",""),1)),""."","","",1))"),54.648599)</f>
        <v>54.648599</v>
      </c>
      <c r="Q413" s="13">
        <f>IFERROR(__xludf.DUMMYFUNCTION("VALUE(SUBSTITUTE((INDEX(SPLIT(A413,"",""),2)),""."","","",1))"),20.340463)</f>
        <v>20.340463</v>
      </c>
      <c r="R413" s="14" t="b">
        <f t="shared" si="1"/>
        <v>0</v>
      </c>
      <c r="S413" s="14" t="str">
        <f t="shared" si="2"/>
        <v>54.648599,20.340463</v>
      </c>
      <c r="T413" s="12"/>
    </row>
    <row r="414">
      <c r="A414" s="18" t="s">
        <v>2690</v>
      </c>
      <c r="B414" s="8" t="s">
        <v>2698</v>
      </c>
      <c r="C414" s="8" t="s">
        <v>2699</v>
      </c>
      <c r="D414" s="8" t="s">
        <v>16</v>
      </c>
      <c r="E414" s="19" t="s">
        <v>2700</v>
      </c>
      <c r="F414" s="8" t="s">
        <v>2640</v>
      </c>
      <c r="G414" s="8">
        <v>23.61</v>
      </c>
      <c r="H414" s="8"/>
      <c r="I414" s="8"/>
      <c r="J414" s="8" t="s">
        <v>2701</v>
      </c>
      <c r="K414" s="8" t="s">
        <v>2695</v>
      </c>
      <c r="L414" s="8"/>
      <c r="M414" s="24" t="s">
        <v>2702</v>
      </c>
      <c r="N414" s="12"/>
      <c r="O414" s="12"/>
      <c r="P414" s="13">
        <f>IFERROR(__xludf.DUMMYFUNCTION("VALUE(SUBSTITUTE((INDEX(SPLIT(A414,"",""),1)),""."","","",1))"),54.648599)</f>
        <v>54.648599</v>
      </c>
      <c r="Q414" s="13">
        <f>IFERROR(__xludf.DUMMYFUNCTION("VALUE(SUBSTITUTE((INDEX(SPLIT(A414,"",""),2)),""."","","",1))"),20.340463)</f>
        <v>20.340463</v>
      </c>
      <c r="R414" s="14" t="b">
        <f t="shared" si="1"/>
        <v>0</v>
      </c>
      <c r="S414" s="14" t="str">
        <f t="shared" si="2"/>
        <v>54.648599,20.340463</v>
      </c>
      <c r="T414" s="12"/>
    </row>
    <row r="415">
      <c r="A415" s="20" t="s">
        <v>2690</v>
      </c>
      <c r="B415" s="16" t="s">
        <v>2703</v>
      </c>
      <c r="C415" s="16" t="s">
        <v>2704</v>
      </c>
      <c r="D415" s="16" t="s">
        <v>16</v>
      </c>
      <c r="E415" s="21" t="s">
        <v>2705</v>
      </c>
      <c r="F415" s="22" t="s">
        <v>2640</v>
      </c>
      <c r="G415" s="16">
        <v>23.61</v>
      </c>
      <c r="H415" s="16"/>
      <c r="I415" s="22"/>
      <c r="J415" s="22" t="s">
        <v>2706</v>
      </c>
      <c r="K415" s="22" t="s">
        <v>2707</v>
      </c>
      <c r="L415" s="23" t="s">
        <v>2708</v>
      </c>
      <c r="M415" s="22"/>
      <c r="N415" s="12"/>
      <c r="O415" s="12"/>
      <c r="P415" s="13">
        <f>IFERROR(__xludf.DUMMYFUNCTION("VALUE(SUBSTITUTE((INDEX(SPLIT(A415,"",""),1)),""."","","",1))"),54.648599)</f>
        <v>54.648599</v>
      </c>
      <c r="Q415" s="13">
        <f>IFERROR(__xludf.DUMMYFUNCTION("VALUE(SUBSTITUTE((INDEX(SPLIT(A415,"",""),2)),""."","","",1))"),20.340463)</f>
        <v>20.340463</v>
      </c>
      <c r="R415" s="14" t="b">
        <f t="shared" si="1"/>
        <v>0</v>
      </c>
      <c r="S415" s="14" t="str">
        <f t="shared" si="2"/>
        <v>54.648599,20.340463</v>
      </c>
      <c r="T415" s="12"/>
    </row>
    <row r="416">
      <c r="A416" s="18" t="s">
        <v>2709</v>
      </c>
      <c r="B416" s="8" t="s">
        <v>2710</v>
      </c>
      <c r="C416" s="8" t="s">
        <v>2711</v>
      </c>
      <c r="D416" s="8" t="s">
        <v>16</v>
      </c>
      <c r="E416" s="19" t="s">
        <v>2712</v>
      </c>
      <c r="F416" s="8" t="s">
        <v>2640</v>
      </c>
      <c r="G416" s="8">
        <v>23.61</v>
      </c>
      <c r="H416" s="8"/>
      <c r="I416" s="8"/>
      <c r="J416" s="8" t="s">
        <v>2713</v>
      </c>
      <c r="K416" s="8" t="s">
        <v>2714</v>
      </c>
      <c r="L416" s="8"/>
      <c r="M416" s="24" t="s">
        <v>2715</v>
      </c>
      <c r="N416" s="12"/>
      <c r="O416" s="12"/>
      <c r="P416" s="13">
        <f>IFERROR(__xludf.DUMMYFUNCTION("VALUE(SUBSTITUTE((INDEX(SPLIT(A416,"",""),1)),""."","","",1))"),54.714178)</f>
        <v>54.714178</v>
      </c>
      <c r="Q416" s="13">
        <f>IFERROR(__xludf.DUMMYFUNCTION("VALUE(SUBSTITUTE((INDEX(SPLIT(A416,"",""),2)),""."","","",1))"),20.440464)</f>
        <v>20.440464</v>
      </c>
      <c r="R416" s="14" t="b">
        <f t="shared" si="1"/>
        <v>0</v>
      </c>
      <c r="S416" s="14" t="str">
        <f t="shared" si="2"/>
        <v>54.714178,20.440464</v>
      </c>
      <c r="T416" s="12"/>
    </row>
    <row r="417">
      <c r="A417" s="15" t="s">
        <v>2716</v>
      </c>
      <c r="B417" s="16" t="s">
        <v>2717</v>
      </c>
      <c r="C417" s="16" t="s">
        <v>2718</v>
      </c>
      <c r="D417" s="16" t="s">
        <v>16</v>
      </c>
      <c r="E417" s="17" t="s">
        <v>2719</v>
      </c>
      <c r="F417" s="16" t="s">
        <v>2640</v>
      </c>
      <c r="G417" s="16">
        <v>23.61</v>
      </c>
      <c r="H417" s="16"/>
      <c r="I417" s="16"/>
      <c r="J417" s="16" t="s">
        <v>2720</v>
      </c>
      <c r="K417" s="16" t="s">
        <v>2721</v>
      </c>
      <c r="L417" s="16"/>
      <c r="M417" s="16"/>
      <c r="N417" s="12"/>
      <c r="O417" s="12"/>
      <c r="P417" s="13">
        <f>IFERROR(__xludf.DUMMYFUNCTION("VALUE(SUBSTITUTE((INDEX(SPLIT(A417,"",""),1)),""."","","",1))"),54.770666)</f>
        <v>54.770666</v>
      </c>
      <c r="Q417" s="13">
        <f>IFERROR(__xludf.DUMMYFUNCTION("VALUE(SUBSTITUTE((INDEX(SPLIT(A417,"",""),2)),""."","","",1))"),20.444138)</f>
        <v>20.444138</v>
      </c>
      <c r="R417" s="14" t="b">
        <f t="shared" si="1"/>
        <v>0</v>
      </c>
      <c r="S417" s="14" t="str">
        <f t="shared" si="2"/>
        <v>54.770666,20.444138</v>
      </c>
      <c r="T417" s="12"/>
    </row>
    <row r="418">
      <c r="A418" s="7" t="s">
        <v>2722</v>
      </c>
      <c r="B418" s="8" t="s">
        <v>957</v>
      </c>
      <c r="C418" s="8" t="s">
        <v>958</v>
      </c>
      <c r="D418" s="8" t="s">
        <v>16</v>
      </c>
      <c r="E418" s="9" t="s">
        <v>2723</v>
      </c>
      <c r="F418" s="10" t="s">
        <v>2640</v>
      </c>
      <c r="G418" s="8">
        <v>23.61</v>
      </c>
      <c r="H418" s="8"/>
      <c r="I418" s="10"/>
      <c r="J418" s="10" t="s">
        <v>2724</v>
      </c>
      <c r="K418" s="10" t="s">
        <v>2725</v>
      </c>
      <c r="L418" s="11" t="s">
        <v>2726</v>
      </c>
      <c r="M418" s="10"/>
      <c r="N418" s="12"/>
      <c r="O418" s="12"/>
      <c r="P418" s="13">
        <f>IFERROR(__xludf.DUMMYFUNCTION("VALUE(SUBSTITUTE((INDEX(SPLIT(A418,"",""),1)),""."","","",1))"),54.766874)</f>
        <v>54.766874</v>
      </c>
      <c r="Q418" s="13">
        <f>IFERROR(__xludf.DUMMYFUNCTION("VALUE(SUBSTITUTE((INDEX(SPLIT(A418,"",""),2)),""."","","",1))"),20.44588)</f>
        <v>20.44588</v>
      </c>
      <c r="R418" s="14" t="b">
        <f t="shared" si="1"/>
        <v>0</v>
      </c>
      <c r="S418" s="14" t="str">
        <f t="shared" si="2"/>
        <v>54.766874,20.44588</v>
      </c>
      <c r="T418" s="12"/>
    </row>
    <row r="419">
      <c r="A419" s="15" t="s">
        <v>2727</v>
      </c>
      <c r="B419" s="16" t="s">
        <v>2728</v>
      </c>
      <c r="C419" s="16" t="s">
        <v>2729</v>
      </c>
      <c r="D419" s="16" t="s">
        <v>16</v>
      </c>
      <c r="E419" s="17" t="s">
        <v>2730</v>
      </c>
      <c r="F419" s="16" t="s">
        <v>2640</v>
      </c>
      <c r="G419" s="16">
        <v>23.61</v>
      </c>
      <c r="H419" s="16"/>
      <c r="I419" s="16"/>
      <c r="J419" s="16" t="s">
        <v>2731</v>
      </c>
      <c r="K419" s="16" t="s">
        <v>2732</v>
      </c>
      <c r="L419" s="16"/>
      <c r="M419" s="16"/>
      <c r="N419" s="12"/>
      <c r="O419" s="12"/>
      <c r="P419" s="13">
        <f>IFERROR(__xludf.DUMMYFUNCTION("VALUE(SUBSTITUTE((INDEX(SPLIT(A419,"",""),1)),""."","","",1))"),54.721468)</f>
        <v>54.721468</v>
      </c>
      <c r="Q419" s="13">
        <f>IFERROR(__xludf.DUMMYFUNCTION("VALUE(SUBSTITUTE((INDEX(SPLIT(A419,"",""),2)),""."","","",1))"),20.452196)</f>
        <v>20.452196</v>
      </c>
      <c r="R419" s="14" t="b">
        <f t="shared" si="1"/>
        <v>0</v>
      </c>
      <c r="S419" s="14" t="str">
        <f t="shared" si="2"/>
        <v>54.721468,20.452196</v>
      </c>
      <c r="T419" s="12"/>
    </row>
    <row r="420">
      <c r="A420" s="7" t="s">
        <v>2733</v>
      </c>
      <c r="B420" s="8" t="s">
        <v>2734</v>
      </c>
      <c r="C420" s="8" t="s">
        <v>2735</v>
      </c>
      <c r="D420" s="8" t="s">
        <v>16</v>
      </c>
      <c r="E420" s="9" t="s">
        <v>2736</v>
      </c>
      <c r="F420" s="10" t="s">
        <v>2640</v>
      </c>
      <c r="G420" s="8">
        <v>23.61</v>
      </c>
      <c r="H420" s="8"/>
      <c r="I420" s="10"/>
      <c r="J420" s="10" t="s">
        <v>2737</v>
      </c>
      <c r="K420" s="10" t="s">
        <v>2738</v>
      </c>
      <c r="L420" s="11" t="s">
        <v>2739</v>
      </c>
      <c r="M420" s="10"/>
      <c r="N420" s="12"/>
      <c r="O420" s="12"/>
      <c r="P420" s="13">
        <f>IFERROR(__xludf.DUMMYFUNCTION("VALUE(SUBSTITUTE((INDEX(SPLIT(A420,"",""),1)),""."","","",1))"),54.726985)</f>
        <v>54.726985</v>
      </c>
      <c r="Q420" s="13">
        <f>IFERROR(__xludf.DUMMYFUNCTION("VALUE(SUBSTITUTE((INDEX(SPLIT(A420,"",""),2)),""."","","",1))"),20.457873)</f>
        <v>20.457873</v>
      </c>
      <c r="R420" s="14" t="b">
        <f t="shared" si="1"/>
        <v>0</v>
      </c>
      <c r="S420" s="14" t="str">
        <f t="shared" si="2"/>
        <v>54.726985,20.457873</v>
      </c>
      <c r="T420" s="12"/>
    </row>
    <row r="421">
      <c r="A421" s="15" t="s">
        <v>2740</v>
      </c>
      <c r="B421" s="16" t="s">
        <v>2741</v>
      </c>
      <c r="C421" s="16" t="s">
        <v>2742</v>
      </c>
      <c r="D421" s="16" t="s">
        <v>16</v>
      </c>
      <c r="E421" s="17" t="s">
        <v>2743</v>
      </c>
      <c r="F421" s="16" t="s">
        <v>2640</v>
      </c>
      <c r="G421" s="16">
        <v>23.61</v>
      </c>
      <c r="H421" s="16"/>
      <c r="I421" s="16"/>
      <c r="J421" s="16" t="s">
        <v>2744</v>
      </c>
      <c r="K421" s="16" t="s">
        <v>2745</v>
      </c>
      <c r="L421" s="16"/>
      <c r="M421" s="25" t="s">
        <v>2746</v>
      </c>
      <c r="N421" s="12"/>
      <c r="O421" s="12"/>
      <c r="P421" s="13">
        <f>IFERROR(__xludf.DUMMYFUNCTION("VALUE(SUBSTITUTE((INDEX(SPLIT(A421,"",""),1)),""."","","",1))"),54.731898)</f>
        <v>54.731898</v>
      </c>
      <c r="Q421" s="13">
        <f>IFERROR(__xludf.DUMMYFUNCTION("VALUE(SUBSTITUTE((INDEX(SPLIT(A421,"",""),2)),""."","","",1))"),20.459032)</f>
        <v>20.459032</v>
      </c>
      <c r="R421" s="14" t="b">
        <f t="shared" si="1"/>
        <v>0</v>
      </c>
      <c r="S421" s="14" t="str">
        <f t="shared" si="2"/>
        <v>54.731898,20.459032</v>
      </c>
      <c r="T421" s="12"/>
    </row>
    <row r="422">
      <c r="A422" s="7" t="s">
        <v>2747</v>
      </c>
      <c r="B422" s="8" t="s">
        <v>2748</v>
      </c>
      <c r="C422" s="8" t="s">
        <v>2749</v>
      </c>
      <c r="D422" s="8" t="s">
        <v>16</v>
      </c>
      <c r="E422" s="9" t="s">
        <v>2750</v>
      </c>
      <c r="F422" s="10" t="s">
        <v>2640</v>
      </c>
      <c r="G422" s="8">
        <v>23.61</v>
      </c>
      <c r="H422" s="8"/>
      <c r="I422" s="10"/>
      <c r="J422" s="10" t="s">
        <v>2751</v>
      </c>
      <c r="K422" s="10" t="s">
        <v>2752</v>
      </c>
      <c r="L422" s="11" t="s">
        <v>2753</v>
      </c>
      <c r="M422" s="11" t="s">
        <v>2754</v>
      </c>
      <c r="N422" s="12"/>
      <c r="O422" s="12"/>
      <c r="P422" s="13">
        <f>IFERROR(__xludf.DUMMYFUNCTION("VALUE(SUBSTITUTE((INDEX(SPLIT(A422,"",""),1)),""."","","",1))"),54.757446)</f>
        <v>54.757446</v>
      </c>
      <c r="Q422" s="13">
        <f>IFERROR(__xludf.DUMMYFUNCTION("VALUE(SUBSTITUTE((INDEX(SPLIT(A422,"",""),2)),""."","","",1))"),20.46179)</f>
        <v>20.46179</v>
      </c>
      <c r="R422" s="14" t="b">
        <f t="shared" si="1"/>
        <v>0</v>
      </c>
      <c r="S422" s="14" t="str">
        <f t="shared" si="2"/>
        <v>54.757446,20.46179</v>
      </c>
      <c r="T422" s="12"/>
    </row>
    <row r="423">
      <c r="A423" s="15" t="s">
        <v>2755</v>
      </c>
      <c r="B423" s="16" t="s">
        <v>2756</v>
      </c>
      <c r="C423" s="16" t="s">
        <v>2757</v>
      </c>
      <c r="D423" s="16" t="s">
        <v>16</v>
      </c>
      <c r="E423" s="17" t="s">
        <v>2758</v>
      </c>
      <c r="F423" s="16" t="s">
        <v>2640</v>
      </c>
      <c r="G423" s="16">
        <v>23.61</v>
      </c>
      <c r="H423" s="16"/>
      <c r="I423" s="16"/>
      <c r="J423" s="16" t="s">
        <v>2759</v>
      </c>
      <c r="K423" s="16" t="s">
        <v>2760</v>
      </c>
      <c r="L423" s="16"/>
      <c r="M423" s="16"/>
      <c r="N423" s="12"/>
      <c r="O423" s="12"/>
      <c r="P423" s="13">
        <f>IFERROR(__xludf.DUMMYFUNCTION("VALUE(SUBSTITUTE((INDEX(SPLIT(A423,"",""),1)),""."","","",1))"),54.688878)</f>
        <v>54.688878</v>
      </c>
      <c r="Q423" s="13">
        <f>IFERROR(__xludf.DUMMYFUNCTION("VALUE(SUBSTITUTE((INDEX(SPLIT(A423,"",""),2)),""."","","",1))"),20.463514)</f>
        <v>20.463514</v>
      </c>
      <c r="R423" s="14" t="b">
        <f t="shared" si="1"/>
        <v>0</v>
      </c>
      <c r="S423" s="14" t="str">
        <f t="shared" si="2"/>
        <v>54.688878,20.463514</v>
      </c>
      <c r="T423" s="12"/>
    </row>
    <row r="424">
      <c r="A424" s="7" t="s">
        <v>2755</v>
      </c>
      <c r="B424" s="8" t="s">
        <v>89</v>
      </c>
      <c r="C424" s="8" t="s">
        <v>90</v>
      </c>
      <c r="D424" s="8" t="s">
        <v>16</v>
      </c>
      <c r="E424" s="9" t="s">
        <v>2761</v>
      </c>
      <c r="F424" s="10" t="s">
        <v>2640</v>
      </c>
      <c r="G424" s="8">
        <v>23.61</v>
      </c>
      <c r="H424" s="8"/>
      <c r="I424" s="10"/>
      <c r="J424" s="10" t="s">
        <v>2762</v>
      </c>
      <c r="K424" s="10" t="s">
        <v>2689</v>
      </c>
      <c r="L424" s="11" t="s">
        <v>2763</v>
      </c>
      <c r="M424" s="10"/>
      <c r="N424" s="12"/>
      <c r="O424" s="12"/>
      <c r="P424" s="13">
        <f>IFERROR(__xludf.DUMMYFUNCTION("VALUE(SUBSTITUTE((INDEX(SPLIT(A424,"",""),1)),""."","","",1))"),54.688878)</f>
        <v>54.688878</v>
      </c>
      <c r="Q424" s="13">
        <f>IFERROR(__xludf.DUMMYFUNCTION("VALUE(SUBSTITUTE((INDEX(SPLIT(A424,"",""),2)),""."","","",1))"),20.463514)</f>
        <v>20.463514</v>
      </c>
      <c r="R424" s="14" t="b">
        <f t="shared" si="1"/>
        <v>0</v>
      </c>
      <c r="S424" s="14" t="str">
        <f t="shared" si="2"/>
        <v>54.688878,20.463514</v>
      </c>
      <c r="T424" s="12"/>
    </row>
    <row r="425">
      <c r="A425" s="15" t="s">
        <v>2764</v>
      </c>
      <c r="B425" s="16" t="s">
        <v>2765</v>
      </c>
      <c r="C425" s="16" t="s">
        <v>2766</v>
      </c>
      <c r="D425" s="16" t="s">
        <v>16</v>
      </c>
      <c r="E425" s="17" t="s">
        <v>2767</v>
      </c>
      <c r="F425" s="16" t="s">
        <v>2640</v>
      </c>
      <c r="G425" s="16">
        <v>23.61</v>
      </c>
      <c r="H425" s="16"/>
      <c r="I425" s="16"/>
      <c r="J425" s="16" t="s">
        <v>2768</v>
      </c>
      <c r="K425" s="16" t="s">
        <v>2769</v>
      </c>
      <c r="L425" s="16"/>
      <c r="M425" s="16"/>
      <c r="N425" s="12"/>
      <c r="O425" s="12"/>
      <c r="P425" s="13">
        <f>IFERROR(__xludf.DUMMYFUNCTION("VALUE(SUBSTITUTE((INDEX(SPLIT(A425,"",""),1)),""."","","",1))"),54.670587)</f>
        <v>54.670587</v>
      </c>
      <c r="Q425" s="13">
        <f>IFERROR(__xludf.DUMMYFUNCTION("VALUE(SUBSTITUTE((INDEX(SPLIT(A425,"",""),2)),""."","","",1))"),20.466389)</f>
        <v>20.466389</v>
      </c>
      <c r="R425" s="14" t="b">
        <f t="shared" si="1"/>
        <v>0</v>
      </c>
      <c r="S425" s="14" t="str">
        <f t="shared" si="2"/>
        <v>54.670587,20.466389</v>
      </c>
      <c r="T425" s="12"/>
    </row>
    <row r="426">
      <c r="A426" s="7" t="s">
        <v>2770</v>
      </c>
      <c r="B426" s="8" t="s">
        <v>2771</v>
      </c>
      <c r="C426" s="8" t="s">
        <v>2772</v>
      </c>
      <c r="D426" s="8" t="s">
        <v>16</v>
      </c>
      <c r="E426" s="9" t="s">
        <v>2773</v>
      </c>
      <c r="F426" s="10" t="s">
        <v>2640</v>
      </c>
      <c r="G426" s="8">
        <v>23.61</v>
      </c>
      <c r="H426" s="8"/>
      <c r="I426" s="10"/>
      <c r="J426" s="10" t="s">
        <v>2774</v>
      </c>
      <c r="K426" s="10" t="s">
        <v>2775</v>
      </c>
      <c r="L426" s="11" t="s">
        <v>2776</v>
      </c>
      <c r="M426" s="10"/>
      <c r="N426" s="12"/>
      <c r="O426" s="12"/>
      <c r="P426" s="13">
        <f>IFERROR(__xludf.DUMMYFUNCTION("VALUE(SUBSTITUTE((INDEX(SPLIT(A426,"",""),1)),""."","","",1))"),54.738022)</f>
        <v>54.738022</v>
      </c>
      <c r="Q426" s="13">
        <f>IFERROR(__xludf.DUMMYFUNCTION("VALUE(SUBSTITUTE((INDEX(SPLIT(A426,"",""),2)),""."","","",1))"),20.468716)</f>
        <v>20.468716</v>
      </c>
      <c r="R426" s="14" t="b">
        <f t="shared" si="1"/>
        <v>0</v>
      </c>
      <c r="S426" s="14" t="str">
        <f t="shared" si="2"/>
        <v>54.738022,20.468716</v>
      </c>
      <c r="T426" s="12"/>
    </row>
    <row r="427">
      <c r="A427" s="15" t="s">
        <v>2777</v>
      </c>
      <c r="B427" s="16" t="s">
        <v>2778</v>
      </c>
      <c r="C427" s="16" t="s">
        <v>2779</v>
      </c>
      <c r="D427" s="16" t="s">
        <v>16</v>
      </c>
      <c r="E427" s="17" t="s">
        <v>2780</v>
      </c>
      <c r="F427" s="16" t="s">
        <v>2640</v>
      </c>
      <c r="G427" s="16">
        <v>23.61</v>
      </c>
      <c r="H427" s="16"/>
      <c r="I427" s="16"/>
      <c r="J427" s="16" t="s">
        <v>2781</v>
      </c>
      <c r="K427" s="16" t="s">
        <v>2782</v>
      </c>
      <c r="L427" s="16"/>
      <c r="M427" s="16"/>
      <c r="N427" s="12"/>
      <c r="O427" s="12"/>
      <c r="P427" s="13">
        <f>IFERROR(__xludf.DUMMYFUNCTION("VALUE(SUBSTITUTE((INDEX(SPLIT(A427,"",""),1)),""."","","",1))"),54.718515)</f>
        <v>54.718515</v>
      </c>
      <c r="Q427" s="13">
        <f>IFERROR(__xludf.DUMMYFUNCTION("VALUE(SUBSTITUTE((INDEX(SPLIT(A427,"",""),2)),""."","","",1))"),20.470261)</f>
        <v>20.470261</v>
      </c>
      <c r="R427" s="14" t="b">
        <f t="shared" si="1"/>
        <v>0</v>
      </c>
      <c r="S427" s="14" t="str">
        <f t="shared" si="2"/>
        <v>54.718515,20.470261</v>
      </c>
      <c r="T427" s="12"/>
    </row>
    <row r="428">
      <c r="A428" s="18" t="s">
        <v>2783</v>
      </c>
      <c r="B428" s="8" t="s">
        <v>2784</v>
      </c>
      <c r="C428" s="8" t="s">
        <v>2785</v>
      </c>
      <c r="D428" s="8" t="s">
        <v>16</v>
      </c>
      <c r="E428" s="19" t="s">
        <v>2786</v>
      </c>
      <c r="F428" s="8" t="s">
        <v>2640</v>
      </c>
      <c r="G428" s="8">
        <v>23.61</v>
      </c>
      <c r="H428" s="8"/>
      <c r="I428" s="8"/>
      <c r="J428" s="8" t="s">
        <v>2787</v>
      </c>
      <c r="K428" s="8" t="s">
        <v>2788</v>
      </c>
      <c r="L428" s="8"/>
      <c r="M428" s="24" t="s">
        <v>2789</v>
      </c>
      <c r="N428" s="12"/>
      <c r="O428" s="12"/>
      <c r="P428" s="13">
        <f>IFERROR(__xludf.DUMMYFUNCTION("VALUE(SUBSTITUTE((INDEX(SPLIT(A428,"",""),1)),""."","","",1))"),54.732241)</f>
        <v>54.732241</v>
      </c>
      <c r="Q428" s="13">
        <f>IFERROR(__xludf.DUMMYFUNCTION("VALUE(SUBSTITUTE((INDEX(SPLIT(A428,"",""),2)),""."","","",1))"),20.472938)</f>
        <v>20.472938</v>
      </c>
      <c r="R428" s="14" t="b">
        <f t="shared" si="1"/>
        <v>0</v>
      </c>
      <c r="S428" s="14" t="str">
        <f t="shared" si="2"/>
        <v>54.732241,20.472938</v>
      </c>
      <c r="T428" s="12"/>
    </row>
    <row r="429">
      <c r="A429" s="15" t="s">
        <v>2790</v>
      </c>
      <c r="B429" s="16" t="s">
        <v>2791</v>
      </c>
      <c r="C429" s="16" t="s">
        <v>2792</v>
      </c>
      <c r="D429" s="16" t="s">
        <v>16</v>
      </c>
      <c r="E429" s="17" t="s">
        <v>2793</v>
      </c>
      <c r="F429" s="16" t="s">
        <v>2640</v>
      </c>
      <c r="G429" s="16">
        <v>23.61</v>
      </c>
      <c r="H429" s="16"/>
      <c r="I429" s="16"/>
      <c r="J429" s="16" t="s">
        <v>2794</v>
      </c>
      <c r="K429" s="16" t="s">
        <v>2795</v>
      </c>
      <c r="L429" s="16"/>
      <c r="M429" s="16"/>
      <c r="N429" s="12"/>
      <c r="O429" s="12"/>
      <c r="P429" s="13">
        <f>IFERROR(__xludf.DUMMYFUNCTION("VALUE(SUBSTITUTE((INDEX(SPLIT(A429,"",""),1)),""."","","",1))"),54.956358)</f>
        <v>54.956358</v>
      </c>
      <c r="Q429" s="13">
        <f>IFERROR(__xludf.DUMMYFUNCTION("VALUE(SUBSTITUTE((INDEX(SPLIT(A429,"",""),2)),""."","","",1))"),20.477456)</f>
        <v>20.477456</v>
      </c>
      <c r="R429" s="14" t="b">
        <f t="shared" si="1"/>
        <v>0</v>
      </c>
      <c r="S429" s="14" t="str">
        <f t="shared" si="2"/>
        <v>54.956358,20.477456</v>
      </c>
      <c r="T429" s="12"/>
    </row>
    <row r="430">
      <c r="A430" s="18" t="s">
        <v>2796</v>
      </c>
      <c r="B430" s="8" t="s">
        <v>2797</v>
      </c>
      <c r="C430" s="8" t="s">
        <v>2798</v>
      </c>
      <c r="D430" s="8" t="s">
        <v>16</v>
      </c>
      <c r="E430" s="19" t="s">
        <v>2799</v>
      </c>
      <c r="F430" s="8" t="s">
        <v>2640</v>
      </c>
      <c r="G430" s="8">
        <v>23.61</v>
      </c>
      <c r="H430" s="8"/>
      <c r="I430" s="8"/>
      <c r="J430" s="8" t="s">
        <v>2800</v>
      </c>
      <c r="K430" s="8" t="s">
        <v>2801</v>
      </c>
      <c r="L430" s="8"/>
      <c r="M430" s="8"/>
      <c r="N430" s="12"/>
      <c r="O430" s="12"/>
      <c r="P430" s="13">
        <f>IFERROR(__xludf.DUMMYFUNCTION("VALUE(SUBSTITUTE((INDEX(SPLIT(A430,"",""),1)),""."","","",1))"),54.658068)</f>
        <v>54.658068</v>
      </c>
      <c r="Q430" s="13">
        <f>IFERROR(__xludf.DUMMYFUNCTION("VALUE(SUBSTITUTE((INDEX(SPLIT(A430,"",""),2)),""."","","",1))"),20.487616)</f>
        <v>20.487616</v>
      </c>
      <c r="R430" s="14" t="b">
        <f t="shared" si="1"/>
        <v>0</v>
      </c>
      <c r="S430" s="14" t="str">
        <f t="shared" si="2"/>
        <v>54.658068,20.487616</v>
      </c>
      <c r="T430" s="12"/>
    </row>
    <row r="431">
      <c r="A431" s="20" t="s">
        <v>2802</v>
      </c>
      <c r="B431" s="16" t="s">
        <v>2803</v>
      </c>
      <c r="C431" s="16" t="s">
        <v>2804</v>
      </c>
      <c r="D431" s="16" t="s">
        <v>16</v>
      </c>
      <c r="E431" s="21" t="s">
        <v>2805</v>
      </c>
      <c r="F431" s="22" t="s">
        <v>2640</v>
      </c>
      <c r="G431" s="16">
        <v>23.61</v>
      </c>
      <c r="H431" s="16"/>
      <c r="I431" s="22"/>
      <c r="J431" s="22" t="s">
        <v>2806</v>
      </c>
      <c r="K431" s="22" t="s">
        <v>2807</v>
      </c>
      <c r="L431" s="23" t="s">
        <v>2808</v>
      </c>
      <c r="M431" s="23" t="s">
        <v>2809</v>
      </c>
      <c r="N431" s="12"/>
      <c r="O431" s="12"/>
      <c r="P431" s="13">
        <f>IFERROR(__xludf.DUMMYFUNCTION("VALUE(SUBSTITUTE((INDEX(SPLIT(A431,"",""),1)),""."","","",1))"),54.729595)</f>
        <v>54.729595</v>
      </c>
      <c r="Q431" s="13">
        <f>IFERROR(__xludf.DUMMYFUNCTION("VALUE(SUBSTITUTE((INDEX(SPLIT(A431,"",""),2)),""."","","",1))"),20.49014)</f>
        <v>20.49014</v>
      </c>
      <c r="R431" s="14" t="b">
        <f t="shared" si="1"/>
        <v>0</v>
      </c>
      <c r="S431" s="14" t="str">
        <f t="shared" si="2"/>
        <v>54.729595,20.49014</v>
      </c>
      <c r="T431" s="12"/>
    </row>
    <row r="432">
      <c r="A432" s="18" t="s">
        <v>2810</v>
      </c>
      <c r="B432" s="8" t="s">
        <v>2811</v>
      </c>
      <c r="C432" s="8" t="s">
        <v>2812</v>
      </c>
      <c r="D432" s="8" t="s">
        <v>16</v>
      </c>
      <c r="E432" s="19" t="s">
        <v>2813</v>
      </c>
      <c r="F432" s="8" t="s">
        <v>2640</v>
      </c>
      <c r="G432" s="8">
        <v>23.61</v>
      </c>
      <c r="H432" s="8"/>
      <c r="I432" s="8"/>
      <c r="J432" s="8" t="s">
        <v>2814</v>
      </c>
      <c r="K432" s="8" t="s">
        <v>2815</v>
      </c>
      <c r="L432" s="8"/>
      <c r="M432" s="8"/>
      <c r="N432" s="12"/>
      <c r="O432" s="12"/>
      <c r="P432" s="13">
        <f>IFERROR(__xludf.DUMMYFUNCTION("VALUE(SUBSTITUTE((INDEX(SPLIT(A432,"",""),1)),""."","","",1))"),54.726309)</f>
        <v>54.726309</v>
      </c>
      <c r="Q432" s="13">
        <f>IFERROR(__xludf.DUMMYFUNCTION("VALUE(SUBSTITUTE((INDEX(SPLIT(A432,"",""),2)),""."","","",1))"),20.490949)</f>
        <v>20.490949</v>
      </c>
      <c r="R432" s="14" t="b">
        <f t="shared" si="1"/>
        <v>0</v>
      </c>
      <c r="S432" s="14" t="str">
        <f t="shared" si="2"/>
        <v>54.726309,20.490949</v>
      </c>
      <c r="T432" s="12"/>
    </row>
    <row r="433">
      <c r="A433" s="15" t="s">
        <v>2816</v>
      </c>
      <c r="B433" s="16" t="s">
        <v>2817</v>
      </c>
      <c r="C433" s="16" t="s">
        <v>2818</v>
      </c>
      <c r="D433" s="16" t="s">
        <v>16</v>
      </c>
      <c r="E433" s="17" t="s">
        <v>2819</v>
      </c>
      <c r="F433" s="16" t="s">
        <v>2640</v>
      </c>
      <c r="G433" s="16">
        <v>23.61</v>
      </c>
      <c r="H433" s="16"/>
      <c r="I433" s="16"/>
      <c r="J433" s="16" t="s">
        <v>2820</v>
      </c>
      <c r="K433" s="16" t="s">
        <v>2821</v>
      </c>
      <c r="L433" s="16"/>
      <c r="M433" s="16"/>
      <c r="N433" s="12"/>
      <c r="O433" s="12"/>
      <c r="P433" s="13">
        <f>IFERROR(__xludf.DUMMYFUNCTION("VALUE(SUBSTITUTE((INDEX(SPLIT(A433,"",""),1)),""."","","",1))"),54.70186)</f>
        <v>54.70186</v>
      </c>
      <c r="Q433" s="13">
        <f>IFERROR(__xludf.DUMMYFUNCTION("VALUE(SUBSTITUTE((INDEX(SPLIT(A433,"",""),2)),""."","","",1))"),20.492341)</f>
        <v>20.492341</v>
      </c>
      <c r="R433" s="14" t="b">
        <f t="shared" si="1"/>
        <v>0</v>
      </c>
      <c r="S433" s="14" t="str">
        <f t="shared" si="2"/>
        <v>54.70186,20.492341</v>
      </c>
      <c r="T433" s="12"/>
    </row>
    <row r="434">
      <c r="A434" s="7" t="s">
        <v>2822</v>
      </c>
      <c r="B434" s="8" t="s">
        <v>2823</v>
      </c>
      <c r="C434" s="8" t="s">
        <v>2824</v>
      </c>
      <c r="D434" s="8" t="s">
        <v>16</v>
      </c>
      <c r="E434" s="9" t="s">
        <v>2825</v>
      </c>
      <c r="F434" s="10" t="s">
        <v>2640</v>
      </c>
      <c r="G434" s="8">
        <v>23.61</v>
      </c>
      <c r="H434" s="8"/>
      <c r="I434" s="10"/>
      <c r="J434" s="10" t="s">
        <v>2826</v>
      </c>
      <c r="K434" s="10" t="s">
        <v>2827</v>
      </c>
      <c r="L434" s="11" t="s">
        <v>2828</v>
      </c>
      <c r="M434" s="10"/>
      <c r="N434" s="12"/>
      <c r="O434" s="12"/>
      <c r="P434" s="13">
        <f>IFERROR(__xludf.DUMMYFUNCTION("VALUE(SUBSTITUTE((INDEX(SPLIT(A434,"",""),1)),""."","","",1))"),54.899752)</f>
        <v>54.899752</v>
      </c>
      <c r="Q434" s="13">
        <f>IFERROR(__xludf.DUMMYFUNCTION("VALUE(SUBSTITUTE((INDEX(SPLIT(A434,"",""),2)),""."","","",1))"),20.495414)</f>
        <v>20.495414</v>
      </c>
      <c r="R434" s="14" t="b">
        <f t="shared" si="1"/>
        <v>0</v>
      </c>
      <c r="S434" s="14" t="str">
        <f t="shared" si="2"/>
        <v>54.899752,20.495414</v>
      </c>
      <c r="T434" s="12"/>
    </row>
    <row r="435">
      <c r="A435" s="15" t="s">
        <v>2829</v>
      </c>
      <c r="B435" s="16" t="s">
        <v>2830</v>
      </c>
      <c r="C435" s="16" t="s">
        <v>2831</v>
      </c>
      <c r="D435" s="16" t="s">
        <v>16</v>
      </c>
      <c r="E435" s="17" t="s">
        <v>2832</v>
      </c>
      <c r="F435" s="16" t="s">
        <v>2640</v>
      </c>
      <c r="G435" s="16">
        <v>23.61</v>
      </c>
      <c r="H435" s="16"/>
      <c r="I435" s="16"/>
      <c r="J435" s="16" t="s">
        <v>2833</v>
      </c>
      <c r="K435" s="16" t="s">
        <v>2834</v>
      </c>
      <c r="L435" s="16"/>
      <c r="M435" s="16"/>
      <c r="N435" s="12"/>
      <c r="O435" s="12"/>
      <c r="P435" s="13">
        <f>IFERROR(__xludf.DUMMYFUNCTION("VALUE(SUBSTITUTE((INDEX(SPLIT(A435,"",""),1)),""."","","",1))"),54.699519)</f>
        <v>54.699519</v>
      </c>
      <c r="Q435" s="13">
        <f>IFERROR(__xludf.DUMMYFUNCTION("VALUE(SUBSTITUTE((INDEX(SPLIT(A435,"",""),2)),""."","","",1))"),20.500336)</f>
        <v>20.500336</v>
      </c>
      <c r="R435" s="14" t="b">
        <f t="shared" si="1"/>
        <v>0</v>
      </c>
      <c r="S435" s="14" t="str">
        <f t="shared" si="2"/>
        <v>54.699519,20.500336</v>
      </c>
      <c r="T435" s="12"/>
    </row>
    <row r="436">
      <c r="A436" s="7" t="s">
        <v>2835</v>
      </c>
      <c r="B436" s="8" t="s">
        <v>2836</v>
      </c>
      <c r="C436" s="8" t="s">
        <v>2837</v>
      </c>
      <c r="D436" s="8" t="s">
        <v>16</v>
      </c>
      <c r="E436" s="9" t="s">
        <v>2838</v>
      </c>
      <c r="F436" s="10" t="s">
        <v>2640</v>
      </c>
      <c r="G436" s="8">
        <v>23.61</v>
      </c>
      <c r="H436" s="8"/>
      <c r="I436" s="10"/>
      <c r="J436" s="10" t="s">
        <v>2839</v>
      </c>
      <c r="K436" s="10" t="s">
        <v>2840</v>
      </c>
      <c r="L436" s="11" t="s">
        <v>2841</v>
      </c>
      <c r="M436" s="10"/>
      <c r="N436" s="12"/>
      <c r="O436" s="12"/>
      <c r="P436" s="13">
        <f>IFERROR(__xludf.DUMMYFUNCTION("VALUE(SUBSTITUTE((INDEX(SPLIT(A436,"",""),1)),""."","","",1))"),54.668067)</f>
        <v>54.668067</v>
      </c>
      <c r="Q436" s="13">
        <f>IFERROR(__xludf.DUMMYFUNCTION("VALUE(SUBSTITUTE((INDEX(SPLIT(A436,"",""),2)),""."","","",1))"),20.500714)</f>
        <v>20.500714</v>
      </c>
      <c r="R436" s="14" t="b">
        <f t="shared" si="1"/>
        <v>0</v>
      </c>
      <c r="S436" s="14" t="str">
        <f t="shared" si="2"/>
        <v>54.668067,20.500714</v>
      </c>
      <c r="T436" s="12"/>
    </row>
    <row r="437">
      <c r="A437" s="20" t="s">
        <v>2842</v>
      </c>
      <c r="B437" s="16" t="s">
        <v>2843</v>
      </c>
      <c r="C437" s="16" t="s">
        <v>2844</v>
      </c>
      <c r="D437" s="16" t="s">
        <v>16</v>
      </c>
      <c r="E437" s="21" t="s">
        <v>2845</v>
      </c>
      <c r="F437" s="22" t="s">
        <v>2640</v>
      </c>
      <c r="G437" s="16">
        <v>23.61</v>
      </c>
      <c r="H437" s="16"/>
      <c r="I437" s="22"/>
      <c r="J437" s="22" t="s">
        <v>2846</v>
      </c>
      <c r="K437" s="22" t="s">
        <v>2847</v>
      </c>
      <c r="L437" s="23" t="s">
        <v>2848</v>
      </c>
      <c r="M437" s="22"/>
      <c r="N437" s="12"/>
      <c r="O437" s="12"/>
      <c r="P437" s="13">
        <f>IFERROR(__xludf.DUMMYFUNCTION("VALUE(SUBSTITUTE((INDEX(SPLIT(A437,"",""),1)),""."","","",1))"),54.702323)</f>
        <v>54.702323</v>
      </c>
      <c r="Q437" s="13">
        <f>IFERROR(__xludf.DUMMYFUNCTION("VALUE(SUBSTITUTE((INDEX(SPLIT(A437,"",""),2)),""."","","",1))"),20.502735)</f>
        <v>20.502735</v>
      </c>
      <c r="R437" s="14" t="b">
        <f t="shared" si="1"/>
        <v>0</v>
      </c>
      <c r="S437" s="14" t="str">
        <f t="shared" si="2"/>
        <v>54.702323,20.502735</v>
      </c>
      <c r="T437" s="12"/>
    </row>
    <row r="438">
      <c r="A438" s="18" t="s">
        <v>2849</v>
      </c>
      <c r="B438" s="8" t="s">
        <v>2850</v>
      </c>
      <c r="C438" s="8" t="s">
        <v>2851</v>
      </c>
      <c r="D438" s="8" t="s">
        <v>16</v>
      </c>
      <c r="E438" s="19" t="s">
        <v>2852</v>
      </c>
      <c r="F438" s="8" t="s">
        <v>2640</v>
      </c>
      <c r="G438" s="8">
        <v>23.61</v>
      </c>
      <c r="H438" s="8"/>
      <c r="I438" s="8"/>
      <c r="J438" s="8" t="s">
        <v>2853</v>
      </c>
      <c r="K438" s="8" t="s">
        <v>2854</v>
      </c>
      <c r="L438" s="8"/>
      <c r="M438" s="8"/>
      <c r="N438" s="12"/>
      <c r="O438" s="12"/>
      <c r="P438" s="13">
        <f>IFERROR(__xludf.DUMMYFUNCTION("VALUE(SUBSTITUTE((INDEX(SPLIT(A438,"",""),1)),""."","","",1))"),54.73838)</f>
        <v>54.73838</v>
      </c>
      <c r="Q438" s="13">
        <f>IFERROR(__xludf.DUMMYFUNCTION("VALUE(SUBSTITUTE((INDEX(SPLIT(A438,"",""),2)),""."","","",1))"),20.503561)</f>
        <v>20.503561</v>
      </c>
      <c r="R438" s="14" t="b">
        <f t="shared" si="1"/>
        <v>0</v>
      </c>
      <c r="S438" s="14" t="str">
        <f t="shared" si="2"/>
        <v>54.73838,20.503561</v>
      </c>
      <c r="T438" s="12"/>
    </row>
    <row r="439">
      <c r="A439" s="15" t="s">
        <v>2855</v>
      </c>
      <c r="B439" s="16" t="s">
        <v>2856</v>
      </c>
      <c r="C439" s="16" t="s">
        <v>2857</v>
      </c>
      <c r="D439" s="16" t="s">
        <v>16</v>
      </c>
      <c r="E439" s="17" t="s">
        <v>2858</v>
      </c>
      <c r="F439" s="16" t="s">
        <v>2640</v>
      </c>
      <c r="G439" s="16">
        <v>23.61</v>
      </c>
      <c r="H439" s="16"/>
      <c r="I439" s="16"/>
      <c r="J439" s="16" t="s">
        <v>2859</v>
      </c>
      <c r="K439" s="16" t="s">
        <v>2860</v>
      </c>
      <c r="L439" s="16"/>
      <c r="M439" s="25" t="s">
        <v>2861</v>
      </c>
      <c r="N439" s="12"/>
      <c r="O439" s="12"/>
      <c r="P439" s="13">
        <f>IFERROR(__xludf.DUMMYFUNCTION("VALUE(SUBSTITUTE((INDEX(SPLIT(A439,"",""),1)),""."","","",1))"),54.7184)</f>
        <v>54.7184</v>
      </c>
      <c r="Q439" s="13">
        <f>IFERROR(__xludf.DUMMYFUNCTION("VALUE(SUBSTITUTE((INDEX(SPLIT(A439,"",""),2)),""."","","",1))"),20.503606)</f>
        <v>20.503606</v>
      </c>
      <c r="R439" s="14" t="b">
        <f t="shared" si="1"/>
        <v>0</v>
      </c>
      <c r="S439" s="14" t="str">
        <f t="shared" si="2"/>
        <v>54.7184,20.503606</v>
      </c>
      <c r="T439" s="12"/>
    </row>
    <row r="440">
      <c r="A440" s="18" t="s">
        <v>2862</v>
      </c>
      <c r="B440" s="8" t="s">
        <v>2863</v>
      </c>
      <c r="C440" s="8" t="s">
        <v>2864</v>
      </c>
      <c r="D440" s="8" t="s">
        <v>16</v>
      </c>
      <c r="E440" s="19" t="s">
        <v>2865</v>
      </c>
      <c r="F440" s="8" t="s">
        <v>2640</v>
      </c>
      <c r="G440" s="8">
        <v>23.61</v>
      </c>
      <c r="H440" s="8"/>
      <c r="I440" s="8"/>
      <c r="J440" s="8" t="s">
        <v>2866</v>
      </c>
      <c r="K440" s="8" t="s">
        <v>2867</v>
      </c>
      <c r="L440" s="8"/>
      <c r="M440" s="8"/>
      <c r="N440" s="12"/>
      <c r="O440" s="12"/>
      <c r="P440" s="13">
        <f>IFERROR(__xludf.DUMMYFUNCTION("VALUE(SUBSTITUTE((INDEX(SPLIT(A440,"",""),1)),""."","","",1))"),54.764329)</f>
        <v>54.764329</v>
      </c>
      <c r="Q440" s="13">
        <f>IFERROR(__xludf.DUMMYFUNCTION("VALUE(SUBSTITUTE((INDEX(SPLIT(A440,"",""),2)),""."","","",1))"),20.503696)</f>
        <v>20.503696</v>
      </c>
      <c r="R440" s="14" t="b">
        <f t="shared" si="1"/>
        <v>0</v>
      </c>
      <c r="S440" s="14" t="str">
        <f t="shared" si="2"/>
        <v>54.764329,20.503696</v>
      </c>
      <c r="T440" s="12"/>
    </row>
    <row r="441">
      <c r="A441" s="20" t="s">
        <v>2868</v>
      </c>
      <c r="B441" s="16" t="s">
        <v>2869</v>
      </c>
      <c r="C441" s="16" t="s">
        <v>2870</v>
      </c>
      <c r="D441" s="16" t="s">
        <v>16</v>
      </c>
      <c r="E441" s="21" t="s">
        <v>2871</v>
      </c>
      <c r="F441" s="22" t="s">
        <v>2640</v>
      </c>
      <c r="G441" s="16">
        <v>23.61</v>
      </c>
      <c r="H441" s="16"/>
      <c r="I441" s="22"/>
      <c r="J441" s="22" t="s">
        <v>2872</v>
      </c>
      <c r="K441" s="22" t="s">
        <v>2873</v>
      </c>
      <c r="L441" s="23" t="s">
        <v>2874</v>
      </c>
      <c r="M441" s="22"/>
      <c r="N441" s="12"/>
      <c r="O441" s="12"/>
      <c r="P441" s="13">
        <f>IFERROR(__xludf.DUMMYFUNCTION("VALUE(SUBSTITUTE((INDEX(SPLIT(A441,"",""),1)),""."","","",1))"),54.678749)</f>
        <v>54.678749</v>
      </c>
      <c r="Q441" s="13">
        <f>IFERROR(__xludf.DUMMYFUNCTION("VALUE(SUBSTITUTE((INDEX(SPLIT(A441,"",""),2)),""."","","",1))"),20.508619)</f>
        <v>20.508619</v>
      </c>
      <c r="R441" s="14" t="b">
        <f t="shared" si="1"/>
        <v>0</v>
      </c>
      <c r="S441" s="14" t="str">
        <f t="shared" si="2"/>
        <v>54.678749,20.508619</v>
      </c>
      <c r="T441" s="12"/>
    </row>
    <row r="442">
      <c r="A442" s="18" t="s">
        <v>2875</v>
      </c>
      <c r="B442" s="8" t="s">
        <v>2876</v>
      </c>
      <c r="C442" s="8" t="s">
        <v>2877</v>
      </c>
      <c r="D442" s="8" t="s">
        <v>16</v>
      </c>
      <c r="E442" s="19" t="s">
        <v>2878</v>
      </c>
      <c r="F442" s="8" t="s">
        <v>2640</v>
      </c>
      <c r="G442" s="8">
        <v>23.61</v>
      </c>
      <c r="H442" s="8"/>
      <c r="I442" s="8"/>
      <c r="J442" s="8" t="s">
        <v>2879</v>
      </c>
      <c r="K442" s="8" t="s">
        <v>2880</v>
      </c>
      <c r="L442" s="8"/>
      <c r="M442" s="8"/>
      <c r="N442" s="12"/>
      <c r="O442" s="12"/>
      <c r="P442" s="13">
        <f>IFERROR(__xludf.DUMMYFUNCTION("VALUE(SUBSTITUTE((INDEX(SPLIT(A442,"",""),1)),""."","","",1))"),54.710162)</f>
        <v>54.710162</v>
      </c>
      <c r="Q442" s="13">
        <f>IFERROR(__xludf.DUMMYFUNCTION("VALUE(SUBSTITUTE((INDEX(SPLIT(A442,"",""),2)),""."","","",1))"),20.510137)</f>
        <v>20.510137</v>
      </c>
      <c r="R442" s="14" t="b">
        <f t="shared" si="1"/>
        <v>0</v>
      </c>
      <c r="S442" s="14" t="str">
        <f t="shared" si="2"/>
        <v>54.710162,20.510137</v>
      </c>
      <c r="T442" s="12"/>
    </row>
    <row r="443">
      <c r="A443" s="20" t="s">
        <v>2875</v>
      </c>
      <c r="B443" s="16" t="s">
        <v>2881</v>
      </c>
      <c r="C443" s="16" t="s">
        <v>2882</v>
      </c>
      <c r="D443" s="16" t="s">
        <v>16</v>
      </c>
      <c r="E443" s="21" t="s">
        <v>2883</v>
      </c>
      <c r="F443" s="22" t="s">
        <v>2640</v>
      </c>
      <c r="G443" s="16">
        <v>23.61</v>
      </c>
      <c r="H443" s="16"/>
      <c r="I443" s="22"/>
      <c r="J443" s="22" t="s">
        <v>2884</v>
      </c>
      <c r="K443" s="22" t="s">
        <v>2885</v>
      </c>
      <c r="L443" s="23" t="s">
        <v>2886</v>
      </c>
      <c r="M443" s="22"/>
      <c r="N443" s="12"/>
      <c r="O443" s="12"/>
      <c r="P443" s="13">
        <f>IFERROR(__xludf.DUMMYFUNCTION("VALUE(SUBSTITUTE((INDEX(SPLIT(A443,"",""),1)),""."","","",1))"),54.710162)</f>
        <v>54.710162</v>
      </c>
      <c r="Q443" s="13">
        <f>IFERROR(__xludf.DUMMYFUNCTION("VALUE(SUBSTITUTE((INDEX(SPLIT(A443,"",""),2)),""."","","",1))"),20.510137)</f>
        <v>20.510137</v>
      </c>
      <c r="R443" s="14" t="b">
        <f t="shared" si="1"/>
        <v>0</v>
      </c>
      <c r="S443" s="14" t="str">
        <f t="shared" si="2"/>
        <v>54.710162,20.510137</v>
      </c>
      <c r="T443" s="12"/>
    </row>
    <row r="444">
      <c r="A444" s="7" t="s">
        <v>2887</v>
      </c>
      <c r="B444" s="8" t="s">
        <v>2888</v>
      </c>
      <c r="C444" s="8" t="s">
        <v>2889</v>
      </c>
      <c r="D444" s="8" t="s">
        <v>16</v>
      </c>
      <c r="E444" s="9" t="s">
        <v>2890</v>
      </c>
      <c r="F444" s="10" t="s">
        <v>2640</v>
      </c>
      <c r="G444" s="8">
        <v>23.61</v>
      </c>
      <c r="H444" s="8"/>
      <c r="I444" s="10"/>
      <c r="J444" s="10" t="s">
        <v>2891</v>
      </c>
      <c r="K444" s="10" t="s">
        <v>2892</v>
      </c>
      <c r="L444" s="11" t="s">
        <v>2893</v>
      </c>
      <c r="M444" s="10"/>
      <c r="N444" s="12"/>
      <c r="O444" s="12"/>
      <c r="P444" s="13">
        <f>IFERROR(__xludf.DUMMYFUNCTION("VALUE(SUBSTITUTE((INDEX(SPLIT(A444,"",""),1)),""."","","",1))"),54.67093)</f>
        <v>54.67093</v>
      </c>
      <c r="Q444" s="13">
        <f>IFERROR(__xludf.DUMMYFUNCTION("VALUE(SUBSTITUTE((INDEX(SPLIT(A444,"",""),2)),""."","","",1))"),20.511143)</f>
        <v>20.511143</v>
      </c>
      <c r="R444" s="14" t="b">
        <f t="shared" si="1"/>
        <v>0</v>
      </c>
      <c r="S444" s="14" t="str">
        <f t="shared" si="2"/>
        <v>54.67093,20.511143</v>
      </c>
      <c r="T444" s="12"/>
    </row>
    <row r="445">
      <c r="A445" s="15" t="s">
        <v>2894</v>
      </c>
      <c r="B445" s="16" t="s">
        <v>2895</v>
      </c>
      <c r="C445" s="16" t="s">
        <v>2896</v>
      </c>
      <c r="D445" s="16" t="s">
        <v>16</v>
      </c>
      <c r="E445" s="17" t="s">
        <v>2897</v>
      </c>
      <c r="F445" s="16" t="s">
        <v>2640</v>
      </c>
      <c r="G445" s="16">
        <v>23.61</v>
      </c>
      <c r="H445" s="16"/>
      <c r="I445" s="16"/>
      <c r="J445" s="16" t="s">
        <v>2898</v>
      </c>
      <c r="K445" s="16" t="s">
        <v>2899</v>
      </c>
      <c r="L445" s="16"/>
      <c r="M445" s="16"/>
      <c r="N445" s="12"/>
      <c r="O445" s="12"/>
      <c r="P445" s="13">
        <f>IFERROR(__xludf.DUMMYFUNCTION("VALUE(SUBSTITUTE((INDEX(SPLIT(A445,"",""),1)),""."","","",1))"),54.699867)</f>
        <v>54.699867</v>
      </c>
      <c r="Q445" s="13">
        <f>IFERROR(__xludf.DUMMYFUNCTION("VALUE(SUBSTITUTE((INDEX(SPLIT(A445,"",""),2)),""."","","",1))"),20.511943)</f>
        <v>20.511943</v>
      </c>
      <c r="R445" s="14" t="b">
        <f t="shared" si="1"/>
        <v>0</v>
      </c>
      <c r="S445" s="14" t="str">
        <f t="shared" si="2"/>
        <v>54.699867,20.511943</v>
      </c>
      <c r="T445" s="12"/>
    </row>
    <row r="446">
      <c r="A446" s="7" t="s">
        <v>2900</v>
      </c>
      <c r="B446" s="8" t="s">
        <v>2901</v>
      </c>
      <c r="C446" s="8" t="s">
        <v>2902</v>
      </c>
      <c r="D446" s="8" t="s">
        <v>16</v>
      </c>
      <c r="E446" s="9" t="s">
        <v>2903</v>
      </c>
      <c r="F446" s="10" t="s">
        <v>2640</v>
      </c>
      <c r="G446" s="8">
        <v>23.61</v>
      </c>
      <c r="H446" s="8"/>
      <c r="I446" s="10"/>
      <c r="J446" s="10" t="s">
        <v>2904</v>
      </c>
      <c r="K446" s="10" t="s">
        <v>2905</v>
      </c>
      <c r="L446" s="11" t="s">
        <v>2906</v>
      </c>
      <c r="M446" s="10"/>
      <c r="N446" s="12"/>
      <c r="O446" s="12"/>
      <c r="P446" s="13">
        <f>IFERROR(__xludf.DUMMYFUNCTION("VALUE(SUBSTITUTE((INDEX(SPLIT(A446,"",""),1)),""."","","",1))"),54.702235)</f>
        <v>54.702235</v>
      </c>
      <c r="Q446" s="13">
        <f>IFERROR(__xludf.DUMMYFUNCTION("VALUE(SUBSTITUTE((INDEX(SPLIT(A446,"",""),2)),""."","","",1))"),20.515715)</f>
        <v>20.515715</v>
      </c>
      <c r="R446" s="14" t="b">
        <f t="shared" si="1"/>
        <v>0</v>
      </c>
      <c r="S446" s="14" t="str">
        <f t="shared" si="2"/>
        <v>54.702235,20.515715</v>
      </c>
      <c r="T446" s="12"/>
    </row>
    <row r="447">
      <c r="A447" s="15" t="s">
        <v>2907</v>
      </c>
      <c r="B447" s="16" t="s">
        <v>2908</v>
      </c>
      <c r="C447" s="16" t="s">
        <v>2909</v>
      </c>
      <c r="D447" s="16" t="s">
        <v>16</v>
      </c>
      <c r="E447" s="17" t="s">
        <v>2910</v>
      </c>
      <c r="F447" s="16" t="s">
        <v>2640</v>
      </c>
      <c r="G447" s="16">
        <v>23.61</v>
      </c>
      <c r="H447" s="16"/>
      <c r="I447" s="16"/>
      <c r="J447" s="16" t="s">
        <v>2911</v>
      </c>
      <c r="K447" s="16" t="s">
        <v>2912</v>
      </c>
      <c r="L447" s="16"/>
      <c r="M447" s="16"/>
      <c r="N447" s="12"/>
      <c r="O447" s="12"/>
      <c r="P447" s="13">
        <f>IFERROR(__xludf.DUMMYFUNCTION("VALUE(SUBSTITUTE((INDEX(SPLIT(A447,"",""),1)),""."","","",1))"),54.68613)</f>
        <v>54.68613</v>
      </c>
      <c r="Q447" s="13">
        <f>IFERROR(__xludf.DUMMYFUNCTION("VALUE(SUBSTITUTE((INDEX(SPLIT(A447,"",""),2)),""."","","",1))"),20.517288)</f>
        <v>20.517288</v>
      </c>
      <c r="R447" s="14" t="b">
        <f t="shared" si="1"/>
        <v>0</v>
      </c>
      <c r="S447" s="14" t="str">
        <f t="shared" si="2"/>
        <v>54.68613,20.517288</v>
      </c>
      <c r="T447" s="12"/>
    </row>
    <row r="448">
      <c r="A448" s="7" t="s">
        <v>2913</v>
      </c>
      <c r="B448" s="8" t="s">
        <v>2914</v>
      </c>
      <c r="C448" s="8" t="s">
        <v>2915</v>
      </c>
      <c r="D448" s="8" t="s">
        <v>16</v>
      </c>
      <c r="E448" s="9" t="s">
        <v>2916</v>
      </c>
      <c r="F448" s="10" t="s">
        <v>2640</v>
      </c>
      <c r="G448" s="8">
        <v>23.61</v>
      </c>
      <c r="H448" s="8"/>
      <c r="I448" s="10"/>
      <c r="J448" s="10" t="s">
        <v>2917</v>
      </c>
      <c r="K448" s="10" t="s">
        <v>2918</v>
      </c>
      <c r="L448" s="29" t="s">
        <v>2919</v>
      </c>
      <c r="M448" s="10"/>
      <c r="N448" s="12"/>
      <c r="O448" s="12"/>
      <c r="P448" s="13">
        <f>IFERROR(__xludf.DUMMYFUNCTION("VALUE(SUBSTITUTE((INDEX(SPLIT(A448,"",""),1)),""."","","",1))"),54.697604)</f>
        <v>54.697604</v>
      </c>
      <c r="Q448" s="13">
        <f>IFERROR(__xludf.DUMMYFUNCTION("VALUE(SUBSTITUTE((INDEX(SPLIT(A448,"",""),2)),""."","","",1))"),20.519812)</f>
        <v>20.519812</v>
      </c>
      <c r="R448" s="14" t="b">
        <f t="shared" si="1"/>
        <v>0</v>
      </c>
      <c r="S448" s="14" t="str">
        <f t="shared" si="2"/>
        <v>54.697604,20.519812</v>
      </c>
      <c r="T448" s="12"/>
    </row>
    <row r="449">
      <c r="A449" s="20" t="s">
        <v>2920</v>
      </c>
      <c r="B449" s="16" t="s">
        <v>2921</v>
      </c>
      <c r="C449" s="16" t="s">
        <v>2922</v>
      </c>
      <c r="D449" s="16" t="s">
        <v>16</v>
      </c>
      <c r="E449" s="21" t="s">
        <v>2923</v>
      </c>
      <c r="F449" s="22" t="s">
        <v>2640</v>
      </c>
      <c r="G449" s="16">
        <v>23.61</v>
      </c>
      <c r="H449" s="16"/>
      <c r="I449" s="22"/>
      <c r="J449" s="22" t="s">
        <v>2924</v>
      </c>
      <c r="K449" s="22" t="s">
        <v>2925</v>
      </c>
      <c r="L449" s="23" t="s">
        <v>2926</v>
      </c>
      <c r="M449" s="22"/>
      <c r="N449" s="12"/>
      <c r="O449" s="12"/>
      <c r="P449" s="13">
        <f>IFERROR(__xludf.DUMMYFUNCTION("VALUE(SUBSTITUTE((INDEX(SPLIT(A449,"",""),1)),""."","","",1))"),54.713397)</f>
        <v>54.713397</v>
      </c>
      <c r="Q449" s="13">
        <f>IFERROR(__xludf.DUMMYFUNCTION("VALUE(SUBSTITUTE((INDEX(SPLIT(A449,"",""),2)),""."","","",1))"),20.521429)</f>
        <v>20.521429</v>
      </c>
      <c r="R449" s="14" t="b">
        <f t="shared" si="1"/>
        <v>0</v>
      </c>
      <c r="S449" s="14" t="str">
        <f t="shared" si="2"/>
        <v>54.713397,20.521429</v>
      </c>
      <c r="T449" s="12"/>
    </row>
    <row r="450">
      <c r="A450" s="7" t="s">
        <v>2927</v>
      </c>
      <c r="B450" s="8" t="s">
        <v>2928</v>
      </c>
      <c r="C450" s="8" t="s">
        <v>2929</v>
      </c>
      <c r="D450" s="8" t="s">
        <v>16</v>
      </c>
      <c r="E450" s="9" t="s">
        <v>2930</v>
      </c>
      <c r="F450" s="10" t="s">
        <v>2640</v>
      </c>
      <c r="G450" s="8">
        <v>23.61</v>
      </c>
      <c r="H450" s="8"/>
      <c r="I450" s="10"/>
      <c r="J450" s="10" t="s">
        <v>2931</v>
      </c>
      <c r="K450" s="10" t="s">
        <v>2932</v>
      </c>
      <c r="L450" s="11" t="s">
        <v>2933</v>
      </c>
      <c r="M450" s="10"/>
      <c r="N450" s="12"/>
      <c r="O450" s="12"/>
      <c r="P450" s="13">
        <f>IFERROR(__xludf.DUMMYFUNCTION("VALUE(SUBSTITUTE((INDEX(SPLIT(A450,"",""),1)),""."","","",1))"),54.688508)</f>
        <v>54.688508</v>
      </c>
      <c r="Q450" s="13">
        <f>IFERROR(__xludf.DUMMYFUNCTION("VALUE(SUBSTITUTE((INDEX(SPLIT(A450,"",""),2)),""."","","",1))"),20.526028)</f>
        <v>20.526028</v>
      </c>
      <c r="R450" s="14" t="b">
        <f t="shared" si="1"/>
        <v>0</v>
      </c>
      <c r="S450" s="14" t="str">
        <f t="shared" si="2"/>
        <v>54.688508,20.526028</v>
      </c>
      <c r="T450" s="12"/>
    </row>
    <row r="451">
      <c r="A451" s="15" t="s">
        <v>2934</v>
      </c>
      <c r="B451" s="16" t="s">
        <v>2935</v>
      </c>
      <c r="C451" s="16" t="s">
        <v>2936</v>
      </c>
      <c r="D451" s="16" t="s">
        <v>16</v>
      </c>
      <c r="E451" s="17" t="s">
        <v>2937</v>
      </c>
      <c r="F451" s="16" t="s">
        <v>2640</v>
      </c>
      <c r="G451" s="16">
        <v>23.61</v>
      </c>
      <c r="H451" s="16"/>
      <c r="I451" s="16"/>
      <c r="J451" s="16" t="s">
        <v>2938</v>
      </c>
      <c r="K451" s="16" t="s">
        <v>2939</v>
      </c>
      <c r="L451" s="16"/>
      <c r="M451" s="16"/>
      <c r="N451" s="12"/>
      <c r="O451" s="12"/>
      <c r="P451" s="13">
        <f>IFERROR(__xludf.DUMMYFUNCTION("VALUE(SUBSTITUTE((INDEX(SPLIT(A451,"",""),1)),""."","","",1))"),54.717584)</f>
        <v>54.717584</v>
      </c>
      <c r="Q451" s="13">
        <f>IFERROR(__xludf.DUMMYFUNCTION("VALUE(SUBSTITUTE((INDEX(SPLIT(A451,"",""),2)),""."","","",1))"),20.527052)</f>
        <v>20.527052</v>
      </c>
      <c r="R451" s="14" t="b">
        <f t="shared" si="1"/>
        <v>0</v>
      </c>
      <c r="S451" s="14" t="str">
        <f t="shared" si="2"/>
        <v>54.717584,20.527052</v>
      </c>
      <c r="T451" s="12"/>
    </row>
    <row r="452">
      <c r="A452" s="18" t="s">
        <v>2940</v>
      </c>
      <c r="B452" s="8" t="s">
        <v>2941</v>
      </c>
      <c r="C452" s="8" t="s">
        <v>2942</v>
      </c>
      <c r="D452" s="8" t="s">
        <v>16</v>
      </c>
      <c r="E452" s="19" t="s">
        <v>2943</v>
      </c>
      <c r="F452" s="8" t="s">
        <v>2640</v>
      </c>
      <c r="G452" s="8">
        <v>23.61</v>
      </c>
      <c r="H452" s="8"/>
      <c r="I452" s="8"/>
      <c r="J452" s="8" t="s">
        <v>2944</v>
      </c>
      <c r="K452" s="8" t="s">
        <v>2945</v>
      </c>
      <c r="L452" s="8"/>
      <c r="M452" s="8"/>
      <c r="N452" s="12"/>
      <c r="O452" s="12"/>
      <c r="P452" s="13">
        <f>IFERROR(__xludf.DUMMYFUNCTION("VALUE(SUBSTITUTE((INDEX(SPLIT(A452,"",""),1)),""."","","",1))"),54.729132)</f>
        <v>54.729132</v>
      </c>
      <c r="Q452" s="13">
        <f>IFERROR(__xludf.DUMMYFUNCTION("VALUE(SUBSTITUTE((INDEX(SPLIT(A452,"",""),2)),""."","","",1))"),20.534481)</f>
        <v>20.534481</v>
      </c>
      <c r="R452" s="14" t="b">
        <f t="shared" si="1"/>
        <v>0</v>
      </c>
      <c r="S452" s="14" t="str">
        <f t="shared" si="2"/>
        <v>54.729132,20.534481</v>
      </c>
      <c r="T452" s="12"/>
    </row>
    <row r="453">
      <c r="A453" s="20" t="s">
        <v>2946</v>
      </c>
      <c r="B453" s="16" t="s">
        <v>2947</v>
      </c>
      <c r="C453" s="16" t="s">
        <v>2948</v>
      </c>
      <c r="D453" s="16" t="s">
        <v>16</v>
      </c>
      <c r="E453" s="21" t="s">
        <v>2949</v>
      </c>
      <c r="F453" s="22" t="s">
        <v>2640</v>
      </c>
      <c r="G453" s="16">
        <v>23.61</v>
      </c>
      <c r="H453" s="16"/>
      <c r="I453" s="22"/>
      <c r="J453" s="22" t="s">
        <v>2950</v>
      </c>
      <c r="K453" s="22" t="s">
        <v>2951</v>
      </c>
      <c r="L453" s="23" t="s">
        <v>2952</v>
      </c>
      <c r="M453" s="22"/>
      <c r="N453" s="12"/>
      <c r="O453" s="12"/>
      <c r="P453" s="13">
        <f>IFERROR(__xludf.DUMMYFUNCTION("VALUE(SUBSTITUTE((INDEX(SPLIT(A453,"",""),1)),""."","","",1))"),54.747771)</f>
        <v>54.747771</v>
      </c>
      <c r="Q453" s="13">
        <f>IFERROR(__xludf.DUMMYFUNCTION("VALUE(SUBSTITUTE((INDEX(SPLIT(A453,"",""),2)),""."","","",1))"),20.535739)</f>
        <v>20.535739</v>
      </c>
      <c r="R453" s="14" t="b">
        <f t="shared" si="1"/>
        <v>0</v>
      </c>
      <c r="S453" s="14" t="str">
        <f t="shared" si="2"/>
        <v>54.747771,20.535739</v>
      </c>
      <c r="T453" s="12"/>
    </row>
    <row r="454">
      <c r="A454" s="7" t="s">
        <v>2953</v>
      </c>
      <c r="B454" s="8" t="s">
        <v>2954</v>
      </c>
      <c r="C454" s="8" t="s">
        <v>2955</v>
      </c>
      <c r="D454" s="8" t="s">
        <v>16</v>
      </c>
      <c r="E454" s="9" t="s">
        <v>2956</v>
      </c>
      <c r="F454" s="10" t="s">
        <v>2640</v>
      </c>
      <c r="G454" s="8">
        <v>23.61</v>
      </c>
      <c r="H454" s="8"/>
      <c r="I454" s="10"/>
      <c r="J454" s="10" t="s">
        <v>2957</v>
      </c>
      <c r="K454" s="10" t="s">
        <v>2958</v>
      </c>
      <c r="L454" s="11" t="s">
        <v>2959</v>
      </c>
      <c r="M454" s="10"/>
      <c r="N454" s="12"/>
      <c r="O454" s="12"/>
      <c r="P454" s="13">
        <f>IFERROR(__xludf.DUMMYFUNCTION("VALUE(SUBSTITUTE((INDEX(SPLIT(A454,"",""),1)),""."","","",1))"),54.746249)</f>
        <v>54.746249</v>
      </c>
      <c r="Q454" s="13">
        <f>IFERROR(__xludf.DUMMYFUNCTION("VALUE(SUBSTITUTE((INDEX(SPLIT(A454,"",""),2)),""."","","",1))"),20.537347)</f>
        <v>20.537347</v>
      </c>
      <c r="R454" s="14" t="b">
        <f t="shared" si="1"/>
        <v>0</v>
      </c>
      <c r="S454" s="14" t="str">
        <f t="shared" si="2"/>
        <v>54.746249,20.537347</v>
      </c>
      <c r="T454" s="12"/>
    </row>
    <row r="455">
      <c r="A455" s="20" t="s">
        <v>2960</v>
      </c>
      <c r="B455" s="16" t="s">
        <v>2961</v>
      </c>
      <c r="C455" s="16" t="s">
        <v>2962</v>
      </c>
      <c r="D455" s="16" t="s">
        <v>16</v>
      </c>
      <c r="E455" s="21" t="s">
        <v>2963</v>
      </c>
      <c r="F455" s="22" t="s">
        <v>2640</v>
      </c>
      <c r="G455" s="16">
        <v>23.61</v>
      </c>
      <c r="H455" s="16"/>
      <c r="I455" s="22"/>
      <c r="J455" s="22" t="s">
        <v>2964</v>
      </c>
      <c r="K455" s="22" t="s">
        <v>2965</v>
      </c>
      <c r="L455" s="23" t="s">
        <v>2966</v>
      </c>
      <c r="M455" s="22"/>
      <c r="N455" s="12"/>
      <c r="O455" s="12"/>
      <c r="P455" s="13">
        <f>IFERROR(__xludf.DUMMYFUNCTION("VALUE(SUBSTITUTE((INDEX(SPLIT(A455,"",""),1)),""."","","",1))"),54.711177)</f>
        <v>54.711177</v>
      </c>
      <c r="Q455" s="13">
        <f>IFERROR(__xludf.DUMMYFUNCTION("VALUE(SUBSTITUTE((INDEX(SPLIT(A455,"",""),2)),""."","","",1))"),20.537859)</f>
        <v>20.537859</v>
      </c>
      <c r="R455" s="14" t="b">
        <f t="shared" si="1"/>
        <v>0</v>
      </c>
      <c r="S455" s="14" t="str">
        <f t="shared" si="2"/>
        <v>54.711177,20.537859</v>
      </c>
      <c r="T455" s="12"/>
    </row>
    <row r="456">
      <c r="A456" s="7" t="s">
        <v>2960</v>
      </c>
      <c r="B456" s="8" t="s">
        <v>2967</v>
      </c>
      <c r="C456" s="8" t="s">
        <v>2968</v>
      </c>
      <c r="D456" s="8" t="s">
        <v>16</v>
      </c>
      <c r="E456" s="9" t="s">
        <v>2969</v>
      </c>
      <c r="F456" s="10" t="s">
        <v>2640</v>
      </c>
      <c r="G456" s="8">
        <v>23.61</v>
      </c>
      <c r="H456" s="8"/>
      <c r="I456" s="10"/>
      <c r="J456" s="10" t="s">
        <v>2964</v>
      </c>
      <c r="K456" s="10" t="s">
        <v>2965</v>
      </c>
      <c r="L456" s="11" t="s">
        <v>2970</v>
      </c>
      <c r="M456" s="10"/>
      <c r="N456" s="12"/>
      <c r="O456" s="12"/>
      <c r="P456" s="13">
        <f>IFERROR(__xludf.DUMMYFUNCTION("VALUE(SUBSTITUTE((INDEX(SPLIT(A456,"",""),1)),""."","","",1))"),54.711177)</f>
        <v>54.711177</v>
      </c>
      <c r="Q456" s="13">
        <f>IFERROR(__xludf.DUMMYFUNCTION("VALUE(SUBSTITUTE((INDEX(SPLIT(A456,"",""),2)),""."","","",1))"),20.537859)</f>
        <v>20.537859</v>
      </c>
      <c r="R456" s="14" t="b">
        <f t="shared" si="1"/>
        <v>0</v>
      </c>
      <c r="S456" s="14" t="str">
        <f t="shared" si="2"/>
        <v>54.711177,20.537859</v>
      </c>
      <c r="T456" s="12"/>
    </row>
    <row r="457">
      <c r="A457" s="15" t="s">
        <v>2971</v>
      </c>
      <c r="B457" s="16" t="s">
        <v>2972</v>
      </c>
      <c r="C457" s="16" t="s">
        <v>2973</v>
      </c>
      <c r="D457" s="16" t="s">
        <v>16</v>
      </c>
      <c r="E457" s="17" t="s">
        <v>2974</v>
      </c>
      <c r="F457" s="16" t="s">
        <v>2640</v>
      </c>
      <c r="G457" s="16">
        <v>23.61</v>
      </c>
      <c r="H457" s="16"/>
      <c r="I457" s="16"/>
      <c r="J457" s="16" t="s">
        <v>2975</v>
      </c>
      <c r="K457" s="16" t="s">
        <v>2976</v>
      </c>
      <c r="L457" s="16"/>
      <c r="M457" s="25" t="s">
        <v>2977</v>
      </c>
      <c r="N457" s="12"/>
      <c r="O457" s="12"/>
      <c r="P457" s="13">
        <f>IFERROR(__xludf.DUMMYFUNCTION("VALUE(SUBSTITUTE((INDEX(SPLIT(A457,"",""),1)),""."","","",1))"),54.712196)</f>
        <v>54.712196</v>
      </c>
      <c r="Q457" s="13">
        <f>IFERROR(__xludf.DUMMYFUNCTION("VALUE(SUBSTITUTE((INDEX(SPLIT(A457,"",""),2)),""."","","",1))"),20.546465)</f>
        <v>20.546465</v>
      </c>
      <c r="R457" s="14" t="b">
        <f t="shared" si="1"/>
        <v>0</v>
      </c>
      <c r="S457" s="14" t="str">
        <f t="shared" si="2"/>
        <v>54.712196,20.546465</v>
      </c>
      <c r="T457" s="12"/>
    </row>
    <row r="458">
      <c r="A458" s="18" t="s">
        <v>2978</v>
      </c>
      <c r="B458" s="8" t="s">
        <v>2979</v>
      </c>
      <c r="C458" s="8" t="s">
        <v>2980</v>
      </c>
      <c r="D458" s="8" t="s">
        <v>16</v>
      </c>
      <c r="E458" s="19" t="s">
        <v>2981</v>
      </c>
      <c r="F458" s="8" t="s">
        <v>2640</v>
      </c>
      <c r="G458" s="8">
        <v>23.61</v>
      </c>
      <c r="H458" s="8"/>
      <c r="I458" s="8"/>
      <c r="J458" s="8" t="s">
        <v>2982</v>
      </c>
      <c r="K458" s="8" t="s">
        <v>2983</v>
      </c>
      <c r="L458" s="8"/>
      <c r="M458" s="24" t="s">
        <v>2984</v>
      </c>
      <c r="N458" s="12"/>
      <c r="O458" s="12"/>
      <c r="P458" s="13">
        <f>IFERROR(__xludf.DUMMYFUNCTION("VALUE(SUBSTITUTE((INDEX(SPLIT(A458,"",""),1)),""."","","",1))"),54.724505)</f>
        <v>54.724505</v>
      </c>
      <c r="Q458" s="13">
        <f>IFERROR(__xludf.DUMMYFUNCTION("VALUE(SUBSTITUTE((INDEX(SPLIT(A458,"",""),2)),""."","","",1))"),20.551612)</f>
        <v>20.551612</v>
      </c>
      <c r="R458" s="14" t="b">
        <f t="shared" si="1"/>
        <v>0</v>
      </c>
      <c r="S458" s="14" t="str">
        <f t="shared" si="2"/>
        <v>54.724505,20.551612</v>
      </c>
      <c r="T458" s="12"/>
    </row>
    <row r="459">
      <c r="A459" s="20" t="s">
        <v>2985</v>
      </c>
      <c r="B459" s="16" t="s">
        <v>2986</v>
      </c>
      <c r="C459" s="16" t="s">
        <v>2987</v>
      </c>
      <c r="D459" s="16" t="s">
        <v>16</v>
      </c>
      <c r="E459" s="21" t="s">
        <v>2988</v>
      </c>
      <c r="F459" s="22" t="s">
        <v>2640</v>
      </c>
      <c r="G459" s="16">
        <v>23.61</v>
      </c>
      <c r="H459" s="16"/>
      <c r="I459" s="22"/>
      <c r="J459" s="22" t="s">
        <v>2989</v>
      </c>
      <c r="K459" s="22" t="s">
        <v>2990</v>
      </c>
      <c r="L459" s="23" t="s">
        <v>2991</v>
      </c>
      <c r="M459" s="22"/>
      <c r="N459" s="12"/>
      <c r="O459" s="12"/>
      <c r="P459" s="13">
        <f>IFERROR(__xludf.DUMMYFUNCTION("VALUE(SUBSTITUTE((INDEX(SPLIT(A459,"",""),1)),""."","","",1))"),54.70456)</f>
        <v>54.70456</v>
      </c>
      <c r="Q459" s="13">
        <f>IFERROR(__xludf.DUMMYFUNCTION("VALUE(SUBSTITUTE((INDEX(SPLIT(A459,"",""),2)),""."","","",1))"),20.553984)</f>
        <v>20.553984</v>
      </c>
      <c r="R459" s="14" t="b">
        <f t="shared" si="1"/>
        <v>0</v>
      </c>
      <c r="S459" s="14" t="str">
        <f t="shared" si="2"/>
        <v>54.70456,20.553984</v>
      </c>
      <c r="T459" s="12"/>
    </row>
    <row r="460">
      <c r="A460" s="18" t="s">
        <v>2992</v>
      </c>
      <c r="B460" s="8" t="s">
        <v>2993</v>
      </c>
      <c r="C460" s="8" t="s">
        <v>2994</v>
      </c>
      <c r="D460" s="8" t="s">
        <v>16</v>
      </c>
      <c r="E460" s="19" t="s">
        <v>2995</v>
      </c>
      <c r="F460" s="8" t="s">
        <v>2640</v>
      </c>
      <c r="G460" s="8">
        <v>23.61</v>
      </c>
      <c r="H460" s="8"/>
      <c r="I460" s="8"/>
      <c r="J460" s="8" t="s">
        <v>2996</v>
      </c>
      <c r="K460" s="8" t="s">
        <v>2997</v>
      </c>
      <c r="L460" s="8"/>
      <c r="M460" s="8"/>
      <c r="N460" s="12"/>
      <c r="O460" s="12"/>
      <c r="P460" s="13">
        <f>IFERROR(__xludf.DUMMYFUNCTION("VALUE(SUBSTITUTE((INDEX(SPLIT(A460,"",""),1)),""."","","",1))"),54.755155)</f>
        <v>54.755155</v>
      </c>
      <c r="Q460" s="13">
        <f>IFERROR(__xludf.DUMMYFUNCTION("VALUE(SUBSTITUTE((INDEX(SPLIT(A460,"",""),2)),""."","","",1))"),20.555628)</f>
        <v>20.555628</v>
      </c>
      <c r="R460" s="14" t="b">
        <f t="shared" si="1"/>
        <v>0</v>
      </c>
      <c r="S460" s="14" t="str">
        <f t="shared" si="2"/>
        <v>54.755155,20.555628</v>
      </c>
      <c r="T460" s="12"/>
    </row>
    <row r="461">
      <c r="A461" s="15" t="s">
        <v>2998</v>
      </c>
      <c r="B461" s="16" t="s">
        <v>2999</v>
      </c>
      <c r="C461" s="16" t="s">
        <v>3000</v>
      </c>
      <c r="D461" s="16" t="s">
        <v>16</v>
      </c>
      <c r="E461" s="17" t="s">
        <v>3001</v>
      </c>
      <c r="F461" s="16" t="s">
        <v>2640</v>
      </c>
      <c r="G461" s="16">
        <v>23.61</v>
      </c>
      <c r="H461" s="16"/>
      <c r="I461" s="16"/>
      <c r="J461" s="16" t="s">
        <v>3002</v>
      </c>
      <c r="K461" s="16" t="s">
        <v>3003</v>
      </c>
      <c r="L461" s="16"/>
      <c r="M461" s="16"/>
      <c r="N461" s="12"/>
      <c r="O461" s="12"/>
      <c r="P461" s="13">
        <f>IFERROR(__xludf.DUMMYFUNCTION("VALUE(SUBSTITUTE((INDEX(SPLIT(A461,"",""),1)),""."","","",1))"),54.758345)</f>
        <v>54.758345</v>
      </c>
      <c r="Q461" s="13">
        <f>IFERROR(__xludf.DUMMYFUNCTION("VALUE(SUBSTITUTE((INDEX(SPLIT(A461,"",""),2)),""."","","",1))"),20.562967)</f>
        <v>20.562967</v>
      </c>
      <c r="R461" s="14" t="b">
        <f t="shared" si="1"/>
        <v>0</v>
      </c>
      <c r="S461" s="14" t="str">
        <f t="shared" si="2"/>
        <v>54.758345,20.562967</v>
      </c>
      <c r="T461" s="12"/>
    </row>
    <row r="462">
      <c r="A462" s="7" t="s">
        <v>3004</v>
      </c>
      <c r="B462" s="8" t="s">
        <v>969</v>
      </c>
      <c r="C462" s="8" t="s">
        <v>970</v>
      </c>
      <c r="D462" s="8" t="s">
        <v>16</v>
      </c>
      <c r="E462" s="9" t="s">
        <v>3005</v>
      </c>
      <c r="F462" s="10" t="s">
        <v>2640</v>
      </c>
      <c r="G462" s="8">
        <v>23.61</v>
      </c>
      <c r="H462" s="8"/>
      <c r="I462" s="10"/>
      <c r="J462" s="10" t="s">
        <v>3006</v>
      </c>
      <c r="K462" s="10" t="s">
        <v>2675</v>
      </c>
      <c r="L462" s="11" t="s">
        <v>3007</v>
      </c>
      <c r="M462" s="10"/>
      <c r="N462" s="12"/>
      <c r="O462" s="12"/>
      <c r="P462" s="13">
        <f>IFERROR(__xludf.DUMMYFUNCTION("VALUE(SUBSTITUTE((INDEX(SPLIT(A462,"",""),1)),""."","","",1))"),54.748275)</f>
        <v>54.748275</v>
      </c>
      <c r="Q462" s="13">
        <f>IFERROR(__xludf.DUMMYFUNCTION("VALUE(SUBSTITUTE((INDEX(SPLIT(A462,"",""),2)),""."","","",1))"),20.566587)</f>
        <v>20.566587</v>
      </c>
      <c r="R462" s="14" t="b">
        <f t="shared" si="1"/>
        <v>0</v>
      </c>
      <c r="S462" s="14" t="str">
        <f t="shared" si="2"/>
        <v>54.748275,20.566587</v>
      </c>
      <c r="T462" s="12"/>
    </row>
    <row r="463">
      <c r="A463" s="20" t="s">
        <v>3008</v>
      </c>
      <c r="B463" s="16" t="s">
        <v>3009</v>
      </c>
      <c r="C463" s="16" t="s">
        <v>3010</v>
      </c>
      <c r="D463" s="16" t="s">
        <v>16</v>
      </c>
      <c r="E463" s="21" t="s">
        <v>3011</v>
      </c>
      <c r="F463" s="22" t="s">
        <v>2640</v>
      </c>
      <c r="G463" s="16">
        <v>23.61</v>
      </c>
      <c r="H463" s="16"/>
      <c r="I463" s="22"/>
      <c r="J463" s="22" t="s">
        <v>3012</v>
      </c>
      <c r="K463" s="22" t="s">
        <v>3013</v>
      </c>
      <c r="L463" s="23" t="s">
        <v>3014</v>
      </c>
      <c r="M463" s="23" t="s">
        <v>2789</v>
      </c>
      <c r="N463" s="12"/>
      <c r="O463" s="12"/>
      <c r="P463" s="13">
        <f>IFERROR(__xludf.DUMMYFUNCTION("VALUE(SUBSTITUTE((INDEX(SPLIT(A463,"",""),1)),""."","","",1))"),54.582105)</f>
        <v>54.582105</v>
      </c>
      <c r="Q463" s="13">
        <f>IFERROR(__xludf.DUMMYFUNCTION("VALUE(SUBSTITUTE((INDEX(SPLIT(A463,"",""),2)),""."","","",1))"),20.57177)</f>
        <v>20.57177</v>
      </c>
      <c r="R463" s="14" t="b">
        <f t="shared" si="1"/>
        <v>0</v>
      </c>
      <c r="S463" s="14" t="str">
        <f t="shared" si="2"/>
        <v>54.582105,20.57177</v>
      </c>
      <c r="T463" s="12"/>
    </row>
    <row r="464">
      <c r="A464" s="18" t="s">
        <v>3015</v>
      </c>
      <c r="B464" s="8" t="s">
        <v>3016</v>
      </c>
      <c r="C464" s="8" t="s">
        <v>3017</v>
      </c>
      <c r="D464" s="8" t="s">
        <v>16</v>
      </c>
      <c r="E464" s="19" t="s">
        <v>3018</v>
      </c>
      <c r="F464" s="8" t="s">
        <v>2640</v>
      </c>
      <c r="G464" s="8">
        <v>23.61</v>
      </c>
      <c r="H464" s="8"/>
      <c r="I464" s="8"/>
      <c r="J464" s="8" t="s">
        <v>3019</v>
      </c>
      <c r="K464" s="8" t="s">
        <v>3020</v>
      </c>
      <c r="L464" s="8"/>
      <c r="M464" s="8"/>
      <c r="N464" s="12"/>
      <c r="O464" s="12"/>
      <c r="P464" s="13">
        <f>IFERROR(__xludf.DUMMYFUNCTION("VALUE(SUBSTITUTE((INDEX(SPLIT(A464,"",""),1)),""."","","",1))"),54.708737)</f>
        <v>54.708737</v>
      </c>
      <c r="Q464" s="13">
        <f>IFERROR(__xludf.DUMMYFUNCTION("VALUE(SUBSTITUTE((INDEX(SPLIT(A464,"",""),2)),""."","","",1))"),20.571842)</f>
        <v>20.571842</v>
      </c>
      <c r="R464" s="14" t="b">
        <f t="shared" si="1"/>
        <v>0</v>
      </c>
      <c r="S464" s="14" t="str">
        <f t="shared" si="2"/>
        <v>54.708737,20.571842</v>
      </c>
      <c r="T464" s="12"/>
    </row>
    <row r="465">
      <c r="A465" s="15" t="s">
        <v>3021</v>
      </c>
      <c r="B465" s="16" t="s">
        <v>3022</v>
      </c>
      <c r="C465" s="16" t="s">
        <v>3023</v>
      </c>
      <c r="D465" s="16" t="s">
        <v>16</v>
      </c>
      <c r="E465" s="17" t="s">
        <v>3024</v>
      </c>
      <c r="F465" s="16" t="s">
        <v>2640</v>
      </c>
      <c r="G465" s="16">
        <v>23.61</v>
      </c>
      <c r="H465" s="16"/>
      <c r="I465" s="16"/>
      <c r="J465" s="16" t="s">
        <v>3025</v>
      </c>
      <c r="K465" s="16" t="s">
        <v>3026</v>
      </c>
      <c r="L465" s="16"/>
      <c r="M465" s="16"/>
      <c r="N465" s="12"/>
      <c r="O465" s="12"/>
      <c r="P465" s="13">
        <f>IFERROR(__xludf.DUMMYFUNCTION("VALUE(SUBSTITUTE((INDEX(SPLIT(A465,"",""),1)),""."","","",1))"),54.731955)</f>
        <v>54.731955</v>
      </c>
      <c r="Q465" s="13">
        <f>IFERROR(__xludf.DUMMYFUNCTION("VALUE(SUBSTITUTE((INDEX(SPLIT(A465,"",""),2)),""."","","",1))"),20.592818)</f>
        <v>20.592818</v>
      </c>
      <c r="R465" s="14" t="b">
        <f t="shared" si="1"/>
        <v>0</v>
      </c>
      <c r="S465" s="14" t="str">
        <f t="shared" si="2"/>
        <v>54.731955,20.592818</v>
      </c>
      <c r="T465" s="12"/>
    </row>
    <row r="466">
      <c r="A466" s="18" t="s">
        <v>3027</v>
      </c>
      <c r="B466" s="8" t="s">
        <v>3028</v>
      </c>
      <c r="C466" s="8" t="s">
        <v>3029</v>
      </c>
      <c r="D466" s="8" t="s">
        <v>16</v>
      </c>
      <c r="E466" s="19" t="s">
        <v>3030</v>
      </c>
      <c r="F466" s="8" t="s">
        <v>2640</v>
      </c>
      <c r="G466" s="8">
        <v>23.61</v>
      </c>
      <c r="H466" s="8"/>
      <c r="I466" s="8"/>
      <c r="J466" s="8" t="s">
        <v>3031</v>
      </c>
      <c r="K466" s="8" t="s">
        <v>3032</v>
      </c>
      <c r="L466" s="8"/>
      <c r="M466" s="8"/>
      <c r="N466" s="12"/>
      <c r="O466" s="12"/>
      <c r="P466" s="13">
        <f>IFERROR(__xludf.DUMMYFUNCTION("VALUE(SUBSTITUTE((INDEX(SPLIT(A466,"",""),1)),""."","","",1))"),54.744445)</f>
        <v>54.744445</v>
      </c>
      <c r="Q466" s="13">
        <f>IFERROR(__xludf.DUMMYFUNCTION("VALUE(SUBSTITUTE((INDEX(SPLIT(A466,"",""),2)),""."","","",1))"),20.594246)</f>
        <v>20.594246</v>
      </c>
      <c r="R466" s="14" t="b">
        <f t="shared" si="1"/>
        <v>0</v>
      </c>
      <c r="S466" s="14" t="str">
        <f t="shared" si="2"/>
        <v>54.744445,20.594246</v>
      </c>
      <c r="T466" s="12"/>
    </row>
    <row r="467">
      <c r="A467" s="15" t="s">
        <v>3033</v>
      </c>
      <c r="B467" s="16" t="s">
        <v>3034</v>
      </c>
      <c r="C467" s="16" t="s">
        <v>3035</v>
      </c>
      <c r="D467" s="16" t="s">
        <v>16</v>
      </c>
      <c r="E467" s="17" t="s">
        <v>3036</v>
      </c>
      <c r="F467" s="16" t="s">
        <v>2640</v>
      </c>
      <c r="G467" s="16">
        <v>23.61</v>
      </c>
      <c r="H467" s="16"/>
      <c r="I467" s="16"/>
      <c r="J467" s="16" t="s">
        <v>3037</v>
      </c>
      <c r="K467" s="16" t="s">
        <v>3038</v>
      </c>
      <c r="L467" s="16"/>
      <c r="M467" s="16"/>
      <c r="N467" s="12"/>
      <c r="O467" s="12"/>
      <c r="P467" s="13">
        <f>IFERROR(__xludf.DUMMYFUNCTION("VALUE(SUBSTITUTE((INDEX(SPLIT(A467,"",""),1)),""."","","",1))"),54.769721)</f>
        <v>54.769721</v>
      </c>
      <c r="Q467" s="13">
        <f>IFERROR(__xludf.DUMMYFUNCTION("VALUE(SUBSTITUTE((INDEX(SPLIT(A467,"",""),2)),""."","","",1))"),20.602026)</f>
        <v>20.602026</v>
      </c>
      <c r="R467" s="14" t="b">
        <f t="shared" si="1"/>
        <v>0</v>
      </c>
      <c r="S467" s="14" t="str">
        <f t="shared" si="2"/>
        <v>54.769721,20.602026</v>
      </c>
      <c r="T467" s="12"/>
    </row>
    <row r="468">
      <c r="A468" s="7" t="s">
        <v>3039</v>
      </c>
      <c r="B468" s="8" t="s">
        <v>3040</v>
      </c>
      <c r="C468" s="8" t="s">
        <v>3041</v>
      </c>
      <c r="D468" s="8" t="s">
        <v>16</v>
      </c>
      <c r="E468" s="9" t="s">
        <v>3042</v>
      </c>
      <c r="F468" s="10" t="s">
        <v>2640</v>
      </c>
      <c r="G468" s="8">
        <v>23.61</v>
      </c>
      <c r="H468" s="8"/>
      <c r="I468" s="10"/>
      <c r="J468" s="10" t="s">
        <v>3043</v>
      </c>
      <c r="K468" s="10" t="s">
        <v>3044</v>
      </c>
      <c r="L468" s="11" t="s">
        <v>3045</v>
      </c>
      <c r="M468" s="11" t="s">
        <v>3046</v>
      </c>
      <c r="N468" s="12"/>
      <c r="O468" s="12"/>
      <c r="P468" s="13">
        <f>IFERROR(__xludf.DUMMYFUNCTION("VALUE(SUBSTITUTE((INDEX(SPLIT(A468,"",""),1)),""."","","",1))"),54.750801)</f>
        <v>54.750801</v>
      </c>
      <c r="Q468" s="13">
        <f>IFERROR(__xludf.DUMMYFUNCTION("VALUE(SUBSTITUTE((INDEX(SPLIT(A468,"",""),2)),""."","","",1))"),20.612958)</f>
        <v>20.612958</v>
      </c>
      <c r="R468" s="14" t="b">
        <f t="shared" si="1"/>
        <v>0</v>
      </c>
      <c r="S468" s="14" t="str">
        <f t="shared" si="2"/>
        <v>54.750801,20.612958</v>
      </c>
      <c r="T468" s="12"/>
    </row>
    <row r="469">
      <c r="A469" s="15" t="s">
        <v>3039</v>
      </c>
      <c r="B469" s="16" t="s">
        <v>3047</v>
      </c>
      <c r="C469" s="16" t="s">
        <v>3048</v>
      </c>
      <c r="D469" s="16" t="s">
        <v>16</v>
      </c>
      <c r="E469" s="17" t="s">
        <v>3049</v>
      </c>
      <c r="F469" s="16" t="s">
        <v>2640</v>
      </c>
      <c r="G469" s="16">
        <v>23.61</v>
      </c>
      <c r="H469" s="16"/>
      <c r="I469" s="16"/>
      <c r="J469" s="16" t="s">
        <v>3043</v>
      </c>
      <c r="K469" s="16" t="s">
        <v>3044</v>
      </c>
      <c r="L469" s="16"/>
      <c r="M469" s="16"/>
      <c r="N469" s="12"/>
      <c r="O469" s="12"/>
      <c r="P469" s="13">
        <f>IFERROR(__xludf.DUMMYFUNCTION("VALUE(SUBSTITUTE((INDEX(SPLIT(A469,"",""),1)),""."","","",1))"),54.750801)</f>
        <v>54.750801</v>
      </c>
      <c r="Q469" s="13">
        <f>IFERROR(__xludf.DUMMYFUNCTION("VALUE(SUBSTITUTE((INDEX(SPLIT(A469,"",""),2)),""."","","",1))"),20.612958)</f>
        <v>20.612958</v>
      </c>
      <c r="R469" s="14" t="b">
        <f t="shared" si="1"/>
        <v>0</v>
      </c>
      <c r="S469" s="14" t="str">
        <f t="shared" si="2"/>
        <v>54.750801,20.612958</v>
      </c>
      <c r="T469" s="12"/>
    </row>
    <row r="470">
      <c r="A470" s="7" t="s">
        <v>3050</v>
      </c>
      <c r="B470" s="8" t="s">
        <v>3051</v>
      </c>
      <c r="C470" s="8" t="s">
        <v>3052</v>
      </c>
      <c r="D470" s="8" t="s">
        <v>16</v>
      </c>
      <c r="E470" s="9" t="s">
        <v>3053</v>
      </c>
      <c r="F470" s="10" t="s">
        <v>2640</v>
      </c>
      <c r="G470" s="8">
        <v>23.61</v>
      </c>
      <c r="H470" s="8"/>
      <c r="I470" s="10"/>
      <c r="J470" s="10" t="s">
        <v>3054</v>
      </c>
      <c r="K470" s="10" t="s">
        <v>3055</v>
      </c>
      <c r="L470" s="11" t="s">
        <v>3056</v>
      </c>
      <c r="M470" s="10"/>
      <c r="N470" s="12"/>
      <c r="O470" s="12"/>
      <c r="P470" s="13">
        <f>IFERROR(__xludf.DUMMYFUNCTION("VALUE(SUBSTITUTE((INDEX(SPLIT(A470,"",""),1)),""."","","",1))"),54.794544)</f>
        <v>54.794544</v>
      </c>
      <c r="Q470" s="13">
        <f>IFERROR(__xludf.DUMMYFUNCTION("VALUE(SUBSTITUTE((INDEX(SPLIT(A470,"",""),2)),""."","","",1))"),20.625049)</f>
        <v>20.625049</v>
      </c>
      <c r="R470" s="14" t="b">
        <f t="shared" si="1"/>
        <v>0</v>
      </c>
      <c r="S470" s="14" t="str">
        <f t="shared" si="2"/>
        <v>54.794544,20.625049</v>
      </c>
      <c r="T470" s="12"/>
    </row>
    <row r="471">
      <c r="A471" s="20" t="s">
        <v>3050</v>
      </c>
      <c r="B471" s="16" t="s">
        <v>3057</v>
      </c>
      <c r="C471" s="16" t="s">
        <v>3058</v>
      </c>
      <c r="D471" s="16" t="s">
        <v>16</v>
      </c>
      <c r="E471" s="21" t="s">
        <v>3059</v>
      </c>
      <c r="F471" s="22" t="s">
        <v>2640</v>
      </c>
      <c r="G471" s="16">
        <v>23.61</v>
      </c>
      <c r="H471" s="16"/>
      <c r="I471" s="22"/>
      <c r="J471" s="22" t="s">
        <v>3060</v>
      </c>
      <c r="K471" s="22" t="s">
        <v>3061</v>
      </c>
      <c r="L471" s="23" t="s">
        <v>3056</v>
      </c>
      <c r="M471" s="23" t="s">
        <v>3062</v>
      </c>
      <c r="N471" s="12"/>
      <c r="O471" s="12"/>
      <c r="P471" s="13">
        <f>IFERROR(__xludf.DUMMYFUNCTION("VALUE(SUBSTITUTE((INDEX(SPLIT(A471,"",""),1)),""."","","",1))"),54.794544)</f>
        <v>54.794544</v>
      </c>
      <c r="Q471" s="13">
        <f>IFERROR(__xludf.DUMMYFUNCTION("VALUE(SUBSTITUTE((INDEX(SPLIT(A471,"",""),2)),""."","","",1))"),20.625049)</f>
        <v>20.625049</v>
      </c>
      <c r="R471" s="14" t="b">
        <f t="shared" si="1"/>
        <v>0</v>
      </c>
      <c r="S471" s="14" t="str">
        <f t="shared" si="2"/>
        <v>54.794544,20.625049</v>
      </c>
      <c r="T471" s="12"/>
    </row>
    <row r="472">
      <c r="A472" s="7" t="s">
        <v>3063</v>
      </c>
      <c r="B472" s="8" t="s">
        <v>3064</v>
      </c>
      <c r="C472" s="8" t="s">
        <v>3065</v>
      </c>
      <c r="D472" s="8" t="s">
        <v>16</v>
      </c>
      <c r="E472" s="9" t="s">
        <v>3066</v>
      </c>
      <c r="F472" s="10" t="s">
        <v>2640</v>
      </c>
      <c r="G472" s="8">
        <v>23.61</v>
      </c>
      <c r="H472" s="8"/>
      <c r="I472" s="10"/>
      <c r="J472" s="10" t="s">
        <v>3067</v>
      </c>
      <c r="K472" s="10" t="s">
        <v>3068</v>
      </c>
      <c r="L472" s="11" t="s">
        <v>3069</v>
      </c>
      <c r="M472" s="10"/>
      <c r="N472" s="12"/>
      <c r="O472" s="12"/>
      <c r="P472" s="13">
        <f>IFERROR(__xludf.DUMMYFUNCTION("VALUE(SUBSTITUTE((INDEX(SPLIT(A472,"",""),1)),""."","","",1))"),54.807923)</f>
        <v>54.807923</v>
      </c>
      <c r="Q472" s="13">
        <f>IFERROR(__xludf.DUMMYFUNCTION("VALUE(SUBSTITUTE((INDEX(SPLIT(A472,"",""),2)),""."","","",1))"),20.63573)</f>
        <v>20.63573</v>
      </c>
      <c r="R472" s="14" t="b">
        <f t="shared" si="1"/>
        <v>0</v>
      </c>
      <c r="S472" s="14" t="str">
        <f t="shared" si="2"/>
        <v>54.807923,20.63573</v>
      </c>
      <c r="T472" s="12"/>
    </row>
    <row r="473">
      <c r="A473" s="15" t="s">
        <v>3070</v>
      </c>
      <c r="B473" s="16" t="s">
        <v>3071</v>
      </c>
      <c r="C473" s="16" t="s">
        <v>3072</v>
      </c>
      <c r="D473" s="16" t="s">
        <v>16</v>
      </c>
      <c r="E473" s="17" t="s">
        <v>3073</v>
      </c>
      <c r="F473" s="16" t="s">
        <v>2640</v>
      </c>
      <c r="G473" s="16">
        <v>23.61</v>
      </c>
      <c r="H473" s="16"/>
      <c r="I473" s="16"/>
      <c r="J473" s="16" t="s">
        <v>3074</v>
      </c>
      <c r="K473" s="16" t="s">
        <v>3075</v>
      </c>
      <c r="L473" s="16"/>
      <c r="M473" s="16"/>
      <c r="N473" s="12"/>
      <c r="O473" s="12"/>
      <c r="P473" s="13">
        <f>IFERROR(__xludf.DUMMYFUNCTION("VALUE(SUBSTITUTE((INDEX(SPLIT(A473,"",""),1)),""."","","",1))"),54.658553)</f>
        <v>54.658553</v>
      </c>
      <c r="Q473" s="13">
        <f>IFERROR(__xludf.DUMMYFUNCTION("VALUE(SUBSTITUTE((INDEX(SPLIT(A473,"",""),2)),""."","","",1))"),20.635874)</f>
        <v>20.635874</v>
      </c>
      <c r="R473" s="14" t="b">
        <f t="shared" si="1"/>
        <v>0</v>
      </c>
      <c r="S473" s="14" t="str">
        <f t="shared" si="2"/>
        <v>54.658553,20.635874</v>
      </c>
      <c r="T473" s="12"/>
    </row>
    <row r="474">
      <c r="A474" s="7" t="s">
        <v>3076</v>
      </c>
      <c r="B474" s="8" t="s">
        <v>3077</v>
      </c>
      <c r="C474" s="8" t="s">
        <v>3078</v>
      </c>
      <c r="D474" s="8" t="s">
        <v>16</v>
      </c>
      <c r="E474" s="9" t="s">
        <v>3079</v>
      </c>
      <c r="F474" s="10" t="s">
        <v>2640</v>
      </c>
      <c r="G474" s="8">
        <v>23.61</v>
      </c>
      <c r="H474" s="8"/>
      <c r="I474" s="10"/>
      <c r="J474" s="10" t="s">
        <v>3080</v>
      </c>
      <c r="K474" s="10" t="s">
        <v>3081</v>
      </c>
      <c r="L474" s="11" t="s">
        <v>3082</v>
      </c>
      <c r="M474" s="10"/>
      <c r="N474" s="12"/>
      <c r="O474" s="12"/>
      <c r="P474" s="13">
        <f>IFERROR(__xludf.DUMMYFUNCTION("VALUE(SUBSTITUTE((INDEX(SPLIT(A474,"",""),1)),""."","","",1))"),54.544854)</f>
        <v>54.544854</v>
      </c>
      <c r="Q474" s="13">
        <f>IFERROR(__xludf.DUMMYFUNCTION("VALUE(SUBSTITUTE((INDEX(SPLIT(A474,"",""),2)),""."","","",1))"),20.722795)</f>
        <v>20.722795</v>
      </c>
      <c r="R474" s="14" t="b">
        <f t="shared" si="1"/>
        <v>0</v>
      </c>
      <c r="S474" s="14" t="str">
        <f t="shared" si="2"/>
        <v>54.544854,20.722795</v>
      </c>
      <c r="T474" s="12"/>
    </row>
    <row r="475">
      <c r="A475" s="20" t="s">
        <v>3083</v>
      </c>
      <c r="B475" s="16" t="s">
        <v>3084</v>
      </c>
      <c r="C475" s="16" t="s">
        <v>3085</v>
      </c>
      <c r="D475" s="16" t="s">
        <v>16</v>
      </c>
      <c r="E475" s="21" t="s">
        <v>3086</v>
      </c>
      <c r="F475" s="22" t="s">
        <v>2640</v>
      </c>
      <c r="G475" s="16">
        <v>23.61</v>
      </c>
      <c r="H475" s="16"/>
      <c r="I475" s="22"/>
      <c r="J475" s="22" t="s">
        <v>3087</v>
      </c>
      <c r="K475" s="22" t="s">
        <v>3088</v>
      </c>
      <c r="L475" s="23" t="s">
        <v>3089</v>
      </c>
      <c r="M475" s="22"/>
      <c r="N475" s="12"/>
      <c r="O475" s="12"/>
      <c r="P475" s="13">
        <f>IFERROR(__xludf.DUMMYFUNCTION("VALUE(SUBSTITUTE((INDEX(SPLIT(A475,"",""),1)),""."","","",1))"),54.701855)</f>
        <v>54.701855</v>
      </c>
      <c r="Q475" s="13">
        <f>IFERROR(__xludf.DUMMYFUNCTION("VALUE(SUBSTITUTE((INDEX(SPLIT(A475,"",""),2)),""."","","",1))"),20.806464)</f>
        <v>20.806464</v>
      </c>
      <c r="R475" s="14" t="b">
        <f t="shared" si="1"/>
        <v>0</v>
      </c>
      <c r="S475" s="14" t="str">
        <f t="shared" si="2"/>
        <v>54.701855,20.806464</v>
      </c>
      <c r="T475" s="12"/>
    </row>
    <row r="476">
      <c r="A476" s="18" t="s">
        <v>3090</v>
      </c>
      <c r="B476" s="8" t="s">
        <v>3091</v>
      </c>
      <c r="C476" s="8" t="s">
        <v>3092</v>
      </c>
      <c r="D476" s="8" t="s">
        <v>16</v>
      </c>
      <c r="E476" s="19" t="s">
        <v>3093</v>
      </c>
      <c r="F476" s="8" t="s">
        <v>2640</v>
      </c>
      <c r="G476" s="8">
        <v>23.61</v>
      </c>
      <c r="H476" s="8"/>
      <c r="I476" s="8"/>
      <c r="J476" s="8" t="s">
        <v>3094</v>
      </c>
      <c r="K476" s="8" t="s">
        <v>3095</v>
      </c>
      <c r="L476" s="8"/>
      <c r="M476" s="8"/>
      <c r="N476" s="12"/>
      <c r="O476" s="12"/>
      <c r="P476" s="13">
        <f>IFERROR(__xludf.DUMMYFUNCTION("VALUE(SUBSTITUTE((INDEX(SPLIT(A476,"",""),1)),""."","","",1))"),54.698213)</f>
        <v>54.698213</v>
      </c>
      <c r="Q476" s="13">
        <f>IFERROR(__xludf.DUMMYFUNCTION("VALUE(SUBSTITUTE((INDEX(SPLIT(A476,"",""),2)),""."","","",1))"),20.824233)</f>
        <v>20.824233</v>
      </c>
      <c r="R476" s="14" t="b">
        <f t="shared" si="1"/>
        <v>0</v>
      </c>
      <c r="S476" s="14" t="str">
        <f t="shared" si="2"/>
        <v>54.698213,20.824233</v>
      </c>
      <c r="T476" s="12"/>
    </row>
    <row r="477">
      <c r="A477" s="20" t="s">
        <v>3096</v>
      </c>
      <c r="B477" s="16" t="s">
        <v>3097</v>
      </c>
      <c r="C477" s="16" t="s">
        <v>3098</v>
      </c>
      <c r="D477" s="16" t="s">
        <v>16</v>
      </c>
      <c r="E477" s="21" t="s">
        <v>3099</v>
      </c>
      <c r="F477" s="22" t="s">
        <v>2640</v>
      </c>
      <c r="G477" s="16">
        <v>23.61</v>
      </c>
      <c r="H477" s="16"/>
      <c r="I477" s="22"/>
      <c r="J477" s="22" t="s">
        <v>3100</v>
      </c>
      <c r="K477" s="22" t="s">
        <v>3101</v>
      </c>
      <c r="L477" s="23" t="s">
        <v>3102</v>
      </c>
      <c r="M477" s="22"/>
      <c r="N477" s="12"/>
      <c r="O477" s="12"/>
      <c r="P477" s="13">
        <f>IFERROR(__xludf.DUMMYFUNCTION("VALUE(SUBSTITUTE((INDEX(SPLIT(A477,"",""),1)),""."","","",1))"),54.755358)</f>
        <v>54.755358</v>
      </c>
      <c r="Q477" s="13">
        <f>IFERROR(__xludf.DUMMYFUNCTION("VALUE(SUBSTITUTE((INDEX(SPLIT(A477,"",""),2)),""."","","",1))"),21.050887)</f>
        <v>21.050887</v>
      </c>
      <c r="R477" s="14" t="b">
        <f t="shared" si="1"/>
        <v>0</v>
      </c>
      <c r="S477" s="14" t="str">
        <f t="shared" si="2"/>
        <v>54.755358,21.050887</v>
      </c>
      <c r="T477" s="12"/>
    </row>
    <row r="478">
      <c r="A478" s="7" t="s">
        <v>3103</v>
      </c>
      <c r="B478" s="8" t="s">
        <v>3104</v>
      </c>
      <c r="C478" s="8" t="s">
        <v>3105</v>
      </c>
      <c r="D478" s="8" t="s">
        <v>16</v>
      </c>
      <c r="E478" s="9" t="s">
        <v>3106</v>
      </c>
      <c r="F478" s="10" t="s">
        <v>2640</v>
      </c>
      <c r="G478" s="8">
        <v>23.61</v>
      </c>
      <c r="H478" s="8"/>
      <c r="I478" s="10"/>
      <c r="J478" s="10" t="s">
        <v>3107</v>
      </c>
      <c r="K478" s="10" t="s">
        <v>3108</v>
      </c>
      <c r="L478" s="11" t="s">
        <v>3109</v>
      </c>
      <c r="M478" s="11" t="s">
        <v>3110</v>
      </c>
      <c r="N478" s="12"/>
      <c r="O478" s="12"/>
      <c r="P478" s="13">
        <f>IFERROR(__xludf.DUMMYFUNCTION("VALUE(SUBSTITUTE((INDEX(SPLIT(A478,"",""),1)),""."","","",1))"),54.679129)</f>
        <v>54.679129</v>
      </c>
      <c r="Q478" s="13">
        <f>IFERROR(__xludf.DUMMYFUNCTION("VALUE(SUBSTITUTE((INDEX(SPLIT(A478,"",""),2)),""."","","",1))"),21.093512)</f>
        <v>21.093512</v>
      </c>
      <c r="R478" s="14" t="b">
        <f t="shared" si="1"/>
        <v>0</v>
      </c>
      <c r="S478" s="14" t="str">
        <f t="shared" si="2"/>
        <v>54.679129,21.093512</v>
      </c>
      <c r="T478" s="12"/>
    </row>
    <row r="479">
      <c r="A479" s="15" t="s">
        <v>3111</v>
      </c>
      <c r="B479" s="16" t="s">
        <v>3112</v>
      </c>
      <c r="C479" s="16" t="s">
        <v>3113</v>
      </c>
      <c r="D479" s="16" t="s">
        <v>16</v>
      </c>
      <c r="E479" s="17" t="s">
        <v>3114</v>
      </c>
      <c r="F479" s="16" t="s">
        <v>2640</v>
      </c>
      <c r="G479" s="16">
        <v>23.61</v>
      </c>
      <c r="H479" s="16"/>
      <c r="I479" s="16"/>
      <c r="J479" s="16" t="s">
        <v>3115</v>
      </c>
      <c r="K479" s="16" t="s">
        <v>3116</v>
      </c>
      <c r="L479" s="16"/>
      <c r="M479" s="16"/>
      <c r="N479" s="12"/>
      <c r="O479" s="12"/>
      <c r="P479" s="13">
        <f>IFERROR(__xludf.DUMMYFUNCTION("VALUE(SUBSTITUTE((INDEX(SPLIT(A479,"",""),1)),""."","","",1))"),54.72034)</f>
        <v>54.72034</v>
      </c>
      <c r="Q479" s="13">
        <f>IFERROR(__xludf.DUMMYFUNCTION("VALUE(SUBSTITUTE((INDEX(SPLIT(A479,"",""),2)),""."","","",1))"),21.444825)</f>
        <v>21.444825</v>
      </c>
      <c r="R479" s="14" t="b">
        <f t="shared" si="1"/>
        <v>0</v>
      </c>
      <c r="S479" s="14" t="str">
        <f t="shared" si="2"/>
        <v>54.72034,21.444825</v>
      </c>
      <c r="T479" s="12"/>
    </row>
    <row r="480">
      <c r="A480" s="7" t="s">
        <v>3117</v>
      </c>
      <c r="B480" s="8" t="s">
        <v>3118</v>
      </c>
      <c r="C480" s="8" t="s">
        <v>3119</v>
      </c>
      <c r="D480" s="8" t="s">
        <v>16</v>
      </c>
      <c r="E480" s="9" t="s">
        <v>3120</v>
      </c>
      <c r="F480" s="10" t="s">
        <v>2640</v>
      </c>
      <c r="G480" s="8">
        <v>23.61</v>
      </c>
      <c r="H480" s="8"/>
      <c r="I480" s="10"/>
      <c r="J480" s="10" t="s">
        <v>3121</v>
      </c>
      <c r="K480" s="10" t="s">
        <v>3122</v>
      </c>
      <c r="L480" s="11" t="s">
        <v>3123</v>
      </c>
      <c r="M480" s="11" t="s">
        <v>3124</v>
      </c>
      <c r="N480" s="12"/>
      <c r="O480" s="12"/>
      <c r="P480" s="13">
        <f>IFERROR(__xludf.DUMMYFUNCTION("VALUE(SUBSTITUTE((INDEX(SPLIT(A480,"",""),1)),""."","","",1))"),54.622362)</f>
        <v>54.622362</v>
      </c>
      <c r="Q480" s="13">
        <f>IFERROR(__xludf.DUMMYFUNCTION("VALUE(SUBSTITUTE((INDEX(SPLIT(A480,"",""),2)),""."","","",1))"),21.786634)</f>
        <v>21.786634</v>
      </c>
      <c r="R480" s="14" t="b">
        <f t="shared" si="1"/>
        <v>0</v>
      </c>
      <c r="S480" s="14" t="str">
        <f t="shared" si="2"/>
        <v>54.622362,21.786634</v>
      </c>
      <c r="T480" s="12"/>
    </row>
    <row r="481">
      <c r="A481" s="20" t="s">
        <v>3125</v>
      </c>
      <c r="B481" s="16" t="s">
        <v>3126</v>
      </c>
      <c r="C481" s="16" t="s">
        <v>3127</v>
      </c>
      <c r="D481" s="16" t="s">
        <v>16</v>
      </c>
      <c r="E481" s="21" t="s">
        <v>3128</v>
      </c>
      <c r="F481" s="22" t="s">
        <v>2640</v>
      </c>
      <c r="G481" s="16">
        <v>23.61</v>
      </c>
      <c r="H481" s="16"/>
      <c r="I481" s="22"/>
      <c r="J481" s="22" t="s">
        <v>3129</v>
      </c>
      <c r="K481" s="22" t="s">
        <v>3130</v>
      </c>
      <c r="L481" s="23" t="s">
        <v>3123</v>
      </c>
      <c r="M481" s="22"/>
      <c r="N481" s="12"/>
      <c r="O481" s="12"/>
      <c r="P481" s="13">
        <f>IFERROR(__xludf.DUMMYFUNCTION("VALUE(SUBSTITUTE((INDEX(SPLIT(A481,"",""),1)),""."","","",1))"),54.645567)</f>
        <v>54.645567</v>
      </c>
      <c r="Q481" s="13">
        <f>IFERROR(__xludf.DUMMYFUNCTION("VALUE(SUBSTITUTE((INDEX(SPLIT(A481,"",""),2)),""."","","",1))"),21.810862)</f>
        <v>21.810862</v>
      </c>
      <c r="R481" s="14" t="b">
        <f t="shared" si="1"/>
        <v>0</v>
      </c>
      <c r="S481" s="14" t="str">
        <f t="shared" si="2"/>
        <v>54.645567,21.810862</v>
      </c>
      <c r="T481" s="12"/>
    </row>
    <row r="482">
      <c r="A482" s="18" t="s">
        <v>3131</v>
      </c>
      <c r="B482" s="8" t="s">
        <v>3132</v>
      </c>
      <c r="C482" s="8" t="s">
        <v>3133</v>
      </c>
      <c r="D482" s="8" t="s">
        <v>16</v>
      </c>
      <c r="E482" s="19" t="s">
        <v>3134</v>
      </c>
      <c r="F482" s="8" t="s">
        <v>2640</v>
      </c>
      <c r="G482" s="8">
        <v>23.61</v>
      </c>
      <c r="H482" s="8"/>
      <c r="I482" s="8"/>
      <c r="J482" s="8" t="s">
        <v>3135</v>
      </c>
      <c r="K482" s="8" t="s">
        <v>3136</v>
      </c>
      <c r="L482" s="8"/>
      <c r="M482" s="8"/>
      <c r="N482" s="12"/>
      <c r="O482" s="12"/>
      <c r="P482" s="13">
        <f>IFERROR(__xludf.DUMMYFUNCTION("VALUE(SUBSTITUTE((INDEX(SPLIT(A482,"",""),1)),""."","","",1))"),55.081993)</f>
        <v>55.081993</v>
      </c>
      <c r="Q482" s="13">
        <f>IFERROR(__xludf.DUMMYFUNCTION("VALUE(SUBSTITUTE((INDEX(SPLIT(A482,"",""),2)),""."","","",1))"),21.899112)</f>
        <v>21.899112</v>
      </c>
      <c r="R482" s="14" t="b">
        <f t="shared" si="1"/>
        <v>0</v>
      </c>
      <c r="S482" s="14" t="str">
        <f t="shared" si="2"/>
        <v>55.081993,21.899112</v>
      </c>
      <c r="T482" s="12"/>
    </row>
    <row r="483">
      <c r="A483" s="20" t="s">
        <v>3137</v>
      </c>
      <c r="B483" s="16" t="s">
        <v>3138</v>
      </c>
      <c r="C483" s="16" t="s">
        <v>3139</v>
      </c>
      <c r="D483" s="16" t="s">
        <v>16</v>
      </c>
      <c r="E483" s="21" t="s">
        <v>3140</v>
      </c>
      <c r="F483" s="22" t="s">
        <v>2640</v>
      </c>
      <c r="G483" s="16">
        <v>23.61</v>
      </c>
      <c r="H483" s="16"/>
      <c r="I483" s="22"/>
      <c r="J483" s="22" t="s">
        <v>3141</v>
      </c>
      <c r="K483" s="22" t="s">
        <v>3142</v>
      </c>
      <c r="L483" s="23" t="s">
        <v>3143</v>
      </c>
      <c r="M483" s="22"/>
      <c r="N483" s="12"/>
      <c r="O483" s="12"/>
      <c r="P483" s="13">
        <f>IFERROR(__xludf.DUMMYFUNCTION("VALUE(SUBSTITUTE((INDEX(SPLIT(A483,"",""),1)),""."","","",1))"),54.592185)</f>
        <v>54.592185</v>
      </c>
      <c r="Q483" s="13">
        <f>IFERROR(__xludf.DUMMYFUNCTION("VALUE(SUBSTITUTE((INDEX(SPLIT(A483,"",""),2)),""."","","",1))"),22.264349)</f>
        <v>22.264349</v>
      </c>
      <c r="R483" s="14" t="b">
        <f t="shared" si="1"/>
        <v>0</v>
      </c>
      <c r="S483" s="14" t="str">
        <f t="shared" si="2"/>
        <v>54.592185,22.264349</v>
      </c>
      <c r="T483" s="12"/>
    </row>
    <row r="484">
      <c r="A484" s="18" t="s">
        <v>3144</v>
      </c>
      <c r="B484" s="8" t="s">
        <v>3145</v>
      </c>
      <c r="C484" s="8" t="s">
        <v>3146</v>
      </c>
      <c r="D484" s="8" t="s">
        <v>16</v>
      </c>
      <c r="E484" s="19" t="s">
        <v>3147</v>
      </c>
      <c r="F484" s="8" t="s">
        <v>3148</v>
      </c>
      <c r="G484" s="8">
        <v>23.61</v>
      </c>
      <c r="H484" s="8"/>
      <c r="I484" s="8"/>
      <c r="J484" s="8" t="s">
        <v>3149</v>
      </c>
      <c r="K484" s="8" t="s">
        <v>3150</v>
      </c>
      <c r="L484" s="8"/>
      <c r="M484" s="8"/>
      <c r="N484" s="12"/>
      <c r="O484" s="12"/>
      <c r="P484" s="13">
        <f>IFERROR(__xludf.DUMMYFUNCTION("VALUE(SUBSTITUTE((INDEX(SPLIT(A484,"",""),1)),""."","","",1))"),58.744654)</f>
        <v>58.744654</v>
      </c>
      <c r="Q484" s="13">
        <f>IFERROR(__xludf.DUMMYFUNCTION("VALUE(SUBSTITUTE((INDEX(SPLIT(A484,"",""),2)),""."","","",1))"),27.819728)</f>
        <v>27.819728</v>
      </c>
      <c r="R484" s="14" t="b">
        <f t="shared" si="1"/>
        <v>0</v>
      </c>
      <c r="S484" s="14" t="str">
        <f t="shared" si="2"/>
        <v>58.744654,27.819728</v>
      </c>
      <c r="T484" s="12"/>
    </row>
    <row r="485">
      <c r="A485" s="20" t="s">
        <v>3151</v>
      </c>
      <c r="B485" s="16" t="s">
        <v>3152</v>
      </c>
      <c r="C485" s="16" t="s">
        <v>3153</v>
      </c>
      <c r="D485" s="16" t="s">
        <v>16</v>
      </c>
      <c r="E485" s="21" t="s">
        <v>3154</v>
      </c>
      <c r="F485" s="22" t="s">
        <v>3148</v>
      </c>
      <c r="G485" s="16">
        <v>23.61</v>
      </c>
      <c r="H485" s="16"/>
      <c r="I485" s="22"/>
      <c r="J485" s="22" t="s">
        <v>3155</v>
      </c>
      <c r="K485" s="22" t="s">
        <v>3156</v>
      </c>
      <c r="L485" s="23" t="s">
        <v>3157</v>
      </c>
      <c r="M485" s="22"/>
      <c r="N485" s="12"/>
      <c r="O485" s="12"/>
      <c r="P485" s="13">
        <f>IFERROR(__xludf.DUMMYFUNCTION("VALUE(SUBSTITUTE((INDEX(SPLIT(A485,"",""),1)),""."","","",1))"),57.805399)</f>
        <v>57.805399</v>
      </c>
      <c r="Q485" s="13">
        <f>IFERROR(__xludf.DUMMYFUNCTION("VALUE(SUBSTITUTE((INDEX(SPLIT(A485,"",""),2)),""."","","",1))"),28.141379)</f>
        <v>28.141379</v>
      </c>
      <c r="R485" s="14" t="b">
        <f t="shared" si="1"/>
        <v>0</v>
      </c>
      <c r="S485" s="14" t="str">
        <f t="shared" si="2"/>
        <v>57.805399,28.141379</v>
      </c>
      <c r="T485" s="12"/>
    </row>
    <row r="486">
      <c r="A486" s="18" t="s">
        <v>3158</v>
      </c>
      <c r="B486" s="8" t="s">
        <v>3159</v>
      </c>
      <c r="C486" s="8" t="s">
        <v>3160</v>
      </c>
      <c r="D486" s="8" t="s">
        <v>16</v>
      </c>
      <c r="E486" s="19" t="s">
        <v>3161</v>
      </c>
      <c r="F486" s="8" t="s">
        <v>3162</v>
      </c>
      <c r="G486" s="8">
        <v>23.61</v>
      </c>
      <c r="H486" s="8"/>
      <c r="I486" s="8"/>
      <c r="J486" s="8" t="s">
        <v>3163</v>
      </c>
      <c r="K486" s="8" t="s">
        <v>3164</v>
      </c>
      <c r="L486" s="8"/>
      <c r="M486" s="24" t="s">
        <v>3165</v>
      </c>
      <c r="N486" s="12"/>
      <c r="O486" s="12"/>
      <c r="P486" s="13">
        <f>IFERROR(__xludf.DUMMYFUNCTION("VALUE(SUBSTITUTE((INDEX(SPLIT(A486,"",""),1)),""."","","",1))"),59.377068)</f>
        <v>59.377068</v>
      </c>
      <c r="Q486" s="13">
        <f>IFERROR(__xludf.DUMMYFUNCTION("VALUE(SUBSTITUTE((INDEX(SPLIT(A486,"",""),2)),""."","","",1))"),28.225641)</f>
        <v>28.225641</v>
      </c>
      <c r="R486" s="14" t="b">
        <f t="shared" si="1"/>
        <v>0</v>
      </c>
      <c r="S486" s="14" t="str">
        <f t="shared" si="2"/>
        <v>59.377068,28.225641</v>
      </c>
      <c r="T486" s="12"/>
    </row>
    <row r="487">
      <c r="A487" s="20" t="s">
        <v>3158</v>
      </c>
      <c r="B487" s="16" t="s">
        <v>3166</v>
      </c>
      <c r="C487" s="16" t="s">
        <v>3167</v>
      </c>
      <c r="D487" s="16" t="s">
        <v>16</v>
      </c>
      <c r="E487" s="21" t="s">
        <v>3168</v>
      </c>
      <c r="F487" s="22" t="s">
        <v>3169</v>
      </c>
      <c r="G487" s="16">
        <v>23.61</v>
      </c>
      <c r="H487" s="16"/>
      <c r="I487" s="22"/>
      <c r="J487" s="22" t="s">
        <v>3170</v>
      </c>
      <c r="K487" s="22" t="s">
        <v>3171</v>
      </c>
      <c r="L487" s="23" t="s">
        <v>3172</v>
      </c>
      <c r="M487" s="22"/>
      <c r="N487" s="12"/>
      <c r="O487" s="12"/>
      <c r="P487" s="13">
        <f>IFERROR(__xludf.DUMMYFUNCTION("VALUE(SUBSTITUTE((INDEX(SPLIT(A487,"",""),1)),""."","","",1))"),59.377068)</f>
        <v>59.377068</v>
      </c>
      <c r="Q487" s="13">
        <f>IFERROR(__xludf.DUMMYFUNCTION("VALUE(SUBSTITUTE((INDEX(SPLIT(A487,"",""),2)),""."","","",1))"),28.225641)</f>
        <v>28.225641</v>
      </c>
      <c r="R487" s="14" t="b">
        <f t="shared" si="1"/>
        <v>0</v>
      </c>
      <c r="S487" s="14" t="str">
        <f t="shared" si="2"/>
        <v>59.377068,28.225641</v>
      </c>
      <c r="T487" s="12"/>
    </row>
    <row r="488">
      <c r="A488" s="18" t="s">
        <v>3173</v>
      </c>
      <c r="B488" s="8" t="s">
        <v>3174</v>
      </c>
      <c r="C488" s="8" t="s">
        <v>3175</v>
      </c>
      <c r="D488" s="8" t="s">
        <v>16</v>
      </c>
      <c r="E488" s="19" t="s">
        <v>3176</v>
      </c>
      <c r="F488" s="8" t="s">
        <v>3148</v>
      </c>
      <c r="G488" s="8">
        <v>23.61</v>
      </c>
      <c r="H488" s="8"/>
      <c r="I488" s="8"/>
      <c r="J488" s="8" t="s">
        <v>3177</v>
      </c>
      <c r="K488" s="8" t="s">
        <v>3178</v>
      </c>
      <c r="L488" s="8"/>
      <c r="M488" s="8"/>
      <c r="N488" s="12"/>
      <c r="O488" s="12"/>
      <c r="P488" s="13">
        <f>IFERROR(__xludf.DUMMYFUNCTION("VALUE(SUBSTITUTE((INDEX(SPLIT(A488,"",""),1)),""."","","",1))"),57.830733)</f>
        <v>57.830733</v>
      </c>
      <c r="Q488" s="13">
        <f>IFERROR(__xludf.DUMMYFUNCTION("VALUE(SUBSTITUTE((INDEX(SPLIT(A488,"",""),2)),""."","","",1))"),28.246653)</f>
        <v>28.246653</v>
      </c>
      <c r="R488" s="14" t="b">
        <f t="shared" si="1"/>
        <v>0</v>
      </c>
      <c r="S488" s="14" t="str">
        <f t="shared" si="2"/>
        <v>57.830733,28.246653</v>
      </c>
      <c r="T488" s="12"/>
    </row>
    <row r="489">
      <c r="A489" s="20" t="s">
        <v>3179</v>
      </c>
      <c r="B489" s="16" t="s">
        <v>3180</v>
      </c>
      <c r="C489" s="16" t="s">
        <v>3181</v>
      </c>
      <c r="D489" s="16" t="s">
        <v>16</v>
      </c>
      <c r="E489" s="21" t="s">
        <v>3182</v>
      </c>
      <c r="F489" s="22" t="s">
        <v>3148</v>
      </c>
      <c r="G489" s="16">
        <v>23.61</v>
      </c>
      <c r="H489" s="16"/>
      <c r="I489" s="22"/>
      <c r="J489" s="22" t="s">
        <v>3183</v>
      </c>
      <c r="K489" s="22" t="s">
        <v>3184</v>
      </c>
      <c r="L489" s="23" t="s">
        <v>3185</v>
      </c>
      <c r="M489" s="23" t="s">
        <v>3186</v>
      </c>
      <c r="N489" s="12"/>
      <c r="O489" s="12"/>
      <c r="P489" s="13">
        <f>IFERROR(__xludf.DUMMYFUNCTION("VALUE(SUBSTITUTE((INDEX(SPLIT(A489,"",""),1)),""."","","",1))"),57.830393)</f>
        <v>57.830393</v>
      </c>
      <c r="Q489" s="13">
        <f>IFERROR(__xludf.DUMMYFUNCTION("VALUE(SUBSTITUTE((INDEX(SPLIT(A489,"",""),2)),""."","","",1))"),28.298081)</f>
        <v>28.298081</v>
      </c>
      <c r="R489" s="14" t="b">
        <f t="shared" si="1"/>
        <v>0</v>
      </c>
      <c r="S489" s="14" t="str">
        <f t="shared" si="2"/>
        <v>57.830393,28.298081</v>
      </c>
      <c r="T489" s="12"/>
    </row>
    <row r="490">
      <c r="A490" s="18" t="s">
        <v>3179</v>
      </c>
      <c r="B490" s="8" t="s">
        <v>3187</v>
      </c>
      <c r="C490" s="8" t="s">
        <v>3188</v>
      </c>
      <c r="D490" s="8" t="s">
        <v>16</v>
      </c>
      <c r="E490" s="19" t="s">
        <v>3189</v>
      </c>
      <c r="F490" s="8" t="s">
        <v>3148</v>
      </c>
      <c r="G490" s="8">
        <v>23.61</v>
      </c>
      <c r="H490" s="8"/>
      <c r="I490" s="8"/>
      <c r="J490" s="8" t="s">
        <v>3190</v>
      </c>
      <c r="K490" s="8" t="s">
        <v>3191</v>
      </c>
      <c r="L490" s="8"/>
      <c r="M490" s="24" t="s">
        <v>3192</v>
      </c>
      <c r="N490" s="12"/>
      <c r="O490" s="12"/>
      <c r="P490" s="13">
        <f>IFERROR(__xludf.DUMMYFUNCTION("VALUE(SUBSTITUTE((INDEX(SPLIT(A490,"",""),1)),""."","","",1))"),57.830393)</f>
        <v>57.830393</v>
      </c>
      <c r="Q490" s="13">
        <f>IFERROR(__xludf.DUMMYFUNCTION("VALUE(SUBSTITUTE((INDEX(SPLIT(A490,"",""),2)),""."","","",1))"),28.298081)</f>
        <v>28.298081</v>
      </c>
      <c r="R490" s="14" t="b">
        <f t="shared" si="1"/>
        <v>0</v>
      </c>
      <c r="S490" s="14" t="str">
        <f t="shared" si="2"/>
        <v>57.830393,28.298081</v>
      </c>
      <c r="T490" s="12"/>
    </row>
    <row r="491">
      <c r="A491" s="20" t="s">
        <v>3193</v>
      </c>
      <c r="B491" s="16" t="s">
        <v>3194</v>
      </c>
      <c r="C491" s="16" t="s">
        <v>3195</v>
      </c>
      <c r="D491" s="16" t="s">
        <v>16</v>
      </c>
      <c r="E491" s="21" t="s">
        <v>3196</v>
      </c>
      <c r="F491" s="22" t="s">
        <v>3148</v>
      </c>
      <c r="G491" s="16">
        <v>23.61</v>
      </c>
      <c r="H491" s="16"/>
      <c r="I491" s="22"/>
      <c r="J491" s="22" t="s">
        <v>3197</v>
      </c>
      <c r="K491" s="22" t="s">
        <v>3198</v>
      </c>
      <c r="L491" s="23" t="s">
        <v>3199</v>
      </c>
      <c r="M491" s="22"/>
      <c r="N491" s="12"/>
      <c r="O491" s="12"/>
      <c r="P491" s="13">
        <f>IFERROR(__xludf.DUMMYFUNCTION("VALUE(SUBSTITUTE((INDEX(SPLIT(A491,"",""),1)),""."","","",1))"),57.817198)</f>
        <v>57.817198</v>
      </c>
      <c r="Q491" s="13">
        <f>IFERROR(__xludf.DUMMYFUNCTION("VALUE(SUBSTITUTE((INDEX(SPLIT(A491,"",""),2)),""."","","",1))"),28.299752)</f>
        <v>28.299752</v>
      </c>
      <c r="R491" s="14" t="b">
        <f t="shared" si="1"/>
        <v>0</v>
      </c>
      <c r="S491" s="14" t="str">
        <f t="shared" si="2"/>
        <v>57.817198,28.299752</v>
      </c>
      <c r="T491" s="12"/>
    </row>
    <row r="492">
      <c r="A492" s="7" t="s">
        <v>3200</v>
      </c>
      <c r="B492" s="8" t="s">
        <v>3201</v>
      </c>
      <c r="C492" s="8" t="s">
        <v>3202</v>
      </c>
      <c r="D492" s="8" t="s">
        <v>16</v>
      </c>
      <c r="E492" s="9" t="s">
        <v>3203</v>
      </c>
      <c r="F492" s="10" t="s">
        <v>3148</v>
      </c>
      <c r="G492" s="8">
        <v>23.61</v>
      </c>
      <c r="H492" s="8"/>
      <c r="I492" s="10"/>
      <c r="J492" s="10" t="s">
        <v>3204</v>
      </c>
      <c r="K492" s="10" t="s">
        <v>3205</v>
      </c>
      <c r="L492" s="11" t="s">
        <v>3206</v>
      </c>
      <c r="M492" s="10"/>
      <c r="N492" s="12"/>
      <c r="O492" s="12"/>
      <c r="P492" s="13">
        <f>IFERROR(__xludf.DUMMYFUNCTION("VALUE(SUBSTITUTE((INDEX(SPLIT(A492,"",""),1)),""."","","",1))"),57.82041)</f>
        <v>57.82041</v>
      </c>
      <c r="Q492" s="13">
        <f>IFERROR(__xludf.DUMMYFUNCTION("VALUE(SUBSTITUTE((INDEX(SPLIT(A492,"",""),2)),""."","","",1))"),28.309867)</f>
        <v>28.309867</v>
      </c>
      <c r="R492" s="14" t="b">
        <f t="shared" si="1"/>
        <v>0</v>
      </c>
      <c r="S492" s="14" t="str">
        <f t="shared" si="2"/>
        <v>57.82041,28.309867</v>
      </c>
      <c r="T492" s="12"/>
    </row>
    <row r="493">
      <c r="A493" s="15" t="s">
        <v>3207</v>
      </c>
      <c r="B493" s="16" t="s">
        <v>3208</v>
      </c>
      <c r="C493" s="16" t="s">
        <v>3209</v>
      </c>
      <c r="D493" s="16" t="s">
        <v>16</v>
      </c>
      <c r="E493" s="17" t="s">
        <v>3210</v>
      </c>
      <c r="F493" s="16" t="s">
        <v>3148</v>
      </c>
      <c r="G493" s="16">
        <v>23.61</v>
      </c>
      <c r="H493" s="16"/>
      <c r="I493" s="16"/>
      <c r="J493" s="16" t="s">
        <v>3211</v>
      </c>
      <c r="K493" s="16" t="s">
        <v>3212</v>
      </c>
      <c r="L493" s="16"/>
      <c r="M493" s="16"/>
      <c r="N493" s="12"/>
      <c r="O493" s="12"/>
      <c r="P493" s="13">
        <f>IFERROR(__xludf.DUMMYFUNCTION("VALUE(SUBSTITUTE((INDEX(SPLIT(A493,"",""),1)),""."","","",1))"),57.835846)</f>
        <v>57.835846</v>
      </c>
      <c r="Q493" s="13">
        <f>IFERROR(__xludf.DUMMYFUNCTION("VALUE(SUBSTITUTE((INDEX(SPLIT(A493,"",""),2)),""."","","",1))"),28.311682)</f>
        <v>28.311682</v>
      </c>
      <c r="R493" s="14" t="b">
        <f t="shared" si="1"/>
        <v>0</v>
      </c>
      <c r="S493" s="14" t="str">
        <f t="shared" si="2"/>
        <v>57.835846,28.311682</v>
      </c>
      <c r="T493" s="12"/>
    </row>
    <row r="494">
      <c r="A494" s="7" t="s">
        <v>3213</v>
      </c>
      <c r="B494" s="8" t="s">
        <v>3214</v>
      </c>
      <c r="C494" s="8" t="s">
        <v>3215</v>
      </c>
      <c r="D494" s="8" t="s">
        <v>16</v>
      </c>
      <c r="E494" s="9" t="s">
        <v>3216</v>
      </c>
      <c r="F494" s="10" t="s">
        <v>3148</v>
      </c>
      <c r="G494" s="8">
        <v>23.61</v>
      </c>
      <c r="H494" s="8"/>
      <c r="I494" s="10"/>
      <c r="J494" s="10" t="s">
        <v>3217</v>
      </c>
      <c r="K494" s="10" t="s">
        <v>3218</v>
      </c>
      <c r="L494" s="11" t="s">
        <v>3219</v>
      </c>
      <c r="M494" s="10"/>
      <c r="N494" s="12"/>
      <c r="O494" s="12"/>
      <c r="P494" s="13">
        <f>IFERROR(__xludf.DUMMYFUNCTION("VALUE(SUBSTITUTE((INDEX(SPLIT(A494,"",""),1)),""."","","",1))"),57.818842)</f>
        <v>57.818842</v>
      </c>
      <c r="Q494" s="13">
        <f>IFERROR(__xludf.DUMMYFUNCTION("VALUE(SUBSTITUTE((INDEX(SPLIT(A494,"",""),2)),""."","","",1))"),28.322147)</f>
        <v>28.322147</v>
      </c>
      <c r="R494" s="14" t="b">
        <f t="shared" si="1"/>
        <v>0</v>
      </c>
      <c r="S494" s="14" t="str">
        <f t="shared" si="2"/>
        <v>57.818842,28.322147</v>
      </c>
      <c r="T494" s="12"/>
    </row>
    <row r="495">
      <c r="A495" s="15" t="s">
        <v>3220</v>
      </c>
      <c r="B495" s="16" t="s">
        <v>3180</v>
      </c>
      <c r="C495" s="16" t="s">
        <v>3181</v>
      </c>
      <c r="D495" s="16" t="s">
        <v>16</v>
      </c>
      <c r="E495" s="17" t="s">
        <v>3221</v>
      </c>
      <c r="F495" s="16" t="s">
        <v>3148</v>
      </c>
      <c r="G495" s="16">
        <v>23.61</v>
      </c>
      <c r="H495" s="16"/>
      <c r="I495" s="16"/>
      <c r="J495" s="16" t="s">
        <v>3222</v>
      </c>
      <c r="K495" s="16" t="s">
        <v>3223</v>
      </c>
      <c r="L495" s="16"/>
      <c r="M495" s="25" t="s">
        <v>3224</v>
      </c>
      <c r="N495" s="12"/>
      <c r="O495" s="12"/>
      <c r="P495" s="13">
        <f>IFERROR(__xludf.DUMMYFUNCTION("VALUE(SUBSTITUTE((INDEX(SPLIT(A495,"",""),1)),""."","","",1))"),57.807135)</f>
        <v>57.807135</v>
      </c>
      <c r="Q495" s="13">
        <f>IFERROR(__xludf.DUMMYFUNCTION("VALUE(SUBSTITUTE((INDEX(SPLIT(A495,"",""),2)),""."","","",1))"),28.347084)</f>
        <v>28.347084</v>
      </c>
      <c r="R495" s="14" t="b">
        <f t="shared" si="1"/>
        <v>0</v>
      </c>
      <c r="S495" s="14" t="str">
        <f t="shared" si="2"/>
        <v>57.807135,28.347084</v>
      </c>
      <c r="T495" s="12"/>
    </row>
    <row r="496">
      <c r="A496" s="18" t="s">
        <v>3225</v>
      </c>
      <c r="B496" s="8" t="s">
        <v>3226</v>
      </c>
      <c r="C496" s="8" t="s">
        <v>3227</v>
      </c>
      <c r="D496" s="8" t="s">
        <v>16</v>
      </c>
      <c r="E496" s="19" t="s">
        <v>3228</v>
      </c>
      <c r="F496" s="8" t="s">
        <v>3148</v>
      </c>
      <c r="G496" s="8">
        <v>23.61</v>
      </c>
      <c r="H496" s="8"/>
      <c r="I496" s="8"/>
      <c r="J496" s="8" t="s">
        <v>3229</v>
      </c>
      <c r="K496" s="8" t="s">
        <v>3230</v>
      </c>
      <c r="L496" s="8"/>
      <c r="M496" s="8"/>
      <c r="N496" s="12"/>
      <c r="O496" s="12"/>
      <c r="P496" s="13">
        <f>IFERROR(__xludf.DUMMYFUNCTION("VALUE(SUBSTITUTE((INDEX(SPLIT(A496,"",""),1)),""."","","",1))"),57.802948)</f>
        <v>57.802948</v>
      </c>
      <c r="Q496" s="13">
        <f>IFERROR(__xludf.DUMMYFUNCTION("VALUE(SUBSTITUTE((INDEX(SPLIT(A496,"",""),2)),""."","","",1))"),28.348297)</f>
        <v>28.348297</v>
      </c>
      <c r="R496" s="14" t="b">
        <f t="shared" si="1"/>
        <v>0</v>
      </c>
      <c r="S496" s="14" t="str">
        <f t="shared" si="2"/>
        <v>57.802948,28.348297</v>
      </c>
      <c r="T496" s="12"/>
    </row>
    <row r="497">
      <c r="A497" s="20" t="s">
        <v>3231</v>
      </c>
      <c r="B497" s="16" t="s">
        <v>3232</v>
      </c>
      <c r="C497" s="16" t="s">
        <v>3233</v>
      </c>
      <c r="D497" s="16" t="s">
        <v>16</v>
      </c>
      <c r="E497" s="21" t="s">
        <v>3234</v>
      </c>
      <c r="F497" s="22" t="s">
        <v>3148</v>
      </c>
      <c r="G497" s="16">
        <v>23.61</v>
      </c>
      <c r="H497" s="16"/>
      <c r="I497" s="22"/>
      <c r="J497" s="22" t="s">
        <v>3235</v>
      </c>
      <c r="K497" s="22" t="s">
        <v>3236</v>
      </c>
      <c r="L497" s="23" t="s">
        <v>3237</v>
      </c>
      <c r="M497" s="23" t="s">
        <v>3238</v>
      </c>
      <c r="N497" s="12"/>
      <c r="O497" s="12"/>
      <c r="P497" s="13">
        <f>IFERROR(__xludf.DUMMYFUNCTION("VALUE(SUBSTITUTE((INDEX(SPLIT(A497,"",""),1)),""."","","",1))"),57.802474)</f>
        <v>57.802474</v>
      </c>
      <c r="Q497" s="13">
        <f>IFERROR(__xludf.DUMMYFUNCTION("VALUE(SUBSTITUTE((INDEX(SPLIT(A497,"",""),2)),""."","","",1))"),28.357433)</f>
        <v>28.357433</v>
      </c>
      <c r="R497" s="14" t="b">
        <f t="shared" si="1"/>
        <v>0</v>
      </c>
      <c r="S497" s="14" t="str">
        <f t="shared" si="2"/>
        <v>57.802474,28.357433</v>
      </c>
      <c r="T497" s="12"/>
    </row>
    <row r="498">
      <c r="A498" s="18" t="s">
        <v>3239</v>
      </c>
      <c r="B498" s="8" t="s">
        <v>3240</v>
      </c>
      <c r="C498" s="8" t="s">
        <v>3241</v>
      </c>
      <c r="D498" s="8" t="s">
        <v>16</v>
      </c>
      <c r="E498" s="19" t="s">
        <v>3242</v>
      </c>
      <c r="F498" s="8" t="s">
        <v>3148</v>
      </c>
      <c r="G498" s="8">
        <v>23.61</v>
      </c>
      <c r="H498" s="8"/>
      <c r="I498" s="8"/>
      <c r="J498" s="8" t="s">
        <v>3243</v>
      </c>
      <c r="K498" s="8" t="s">
        <v>3244</v>
      </c>
      <c r="L498" s="8"/>
      <c r="M498" s="8"/>
      <c r="N498" s="12"/>
      <c r="O498" s="12"/>
      <c r="P498" s="13">
        <f>IFERROR(__xludf.DUMMYFUNCTION("VALUE(SUBSTITUTE((INDEX(SPLIT(A498,"",""),1)),""."","","",1))"),57.827743)</f>
        <v>57.827743</v>
      </c>
      <c r="Q498" s="13">
        <f>IFERROR(__xludf.DUMMYFUNCTION("VALUE(SUBSTITUTE((INDEX(SPLIT(A498,"",""),2)),""."","","",1))"),28.380053)</f>
        <v>28.380053</v>
      </c>
      <c r="R498" s="14" t="b">
        <f t="shared" si="1"/>
        <v>0</v>
      </c>
      <c r="S498" s="14" t="str">
        <f t="shared" si="2"/>
        <v>57.827743,28.380053</v>
      </c>
      <c r="T498" s="12"/>
    </row>
    <row r="499">
      <c r="A499" s="20" t="s">
        <v>3245</v>
      </c>
      <c r="B499" s="16" t="s">
        <v>3246</v>
      </c>
      <c r="C499" s="16" t="s">
        <v>3247</v>
      </c>
      <c r="D499" s="16" t="s">
        <v>16</v>
      </c>
      <c r="E499" s="21" t="s">
        <v>3248</v>
      </c>
      <c r="F499" s="22" t="s">
        <v>3148</v>
      </c>
      <c r="G499" s="16">
        <v>23.61</v>
      </c>
      <c r="H499" s="16"/>
      <c r="I499" s="22"/>
      <c r="J499" s="22" t="s">
        <v>3249</v>
      </c>
      <c r="K499" s="22" t="s">
        <v>3250</v>
      </c>
      <c r="L499" s="23" t="s">
        <v>3251</v>
      </c>
      <c r="M499" s="23" t="s">
        <v>3252</v>
      </c>
      <c r="N499" s="12"/>
      <c r="O499" s="12"/>
      <c r="P499" s="13">
        <f>IFERROR(__xludf.DUMMYFUNCTION("VALUE(SUBSTITUTE((INDEX(SPLIT(A499,"",""),1)),""."","","",1))"),57.828524)</f>
        <v>57.828524</v>
      </c>
      <c r="Q499" s="13">
        <f>IFERROR(__xludf.DUMMYFUNCTION("VALUE(SUBSTITUTE((INDEX(SPLIT(A499,"",""),2)),""."","","",1))"),28.409778)</f>
        <v>28.409778</v>
      </c>
      <c r="R499" s="14" t="b">
        <f t="shared" si="1"/>
        <v>0</v>
      </c>
      <c r="S499" s="14" t="str">
        <f t="shared" si="2"/>
        <v>57.828524,28.409778</v>
      </c>
      <c r="T499" s="12"/>
    </row>
    <row r="500">
      <c r="A500" s="7" t="s">
        <v>3253</v>
      </c>
      <c r="B500" s="8" t="s">
        <v>3254</v>
      </c>
      <c r="C500" s="8" t="s">
        <v>3255</v>
      </c>
      <c r="D500" s="8" t="s">
        <v>16</v>
      </c>
      <c r="E500" s="9" t="s">
        <v>3256</v>
      </c>
      <c r="F500" s="10" t="s">
        <v>3148</v>
      </c>
      <c r="G500" s="8">
        <v>23.61</v>
      </c>
      <c r="H500" s="8"/>
      <c r="I500" s="10"/>
      <c r="J500" s="10" t="s">
        <v>3257</v>
      </c>
      <c r="K500" s="10" t="s">
        <v>3258</v>
      </c>
      <c r="L500" s="11" t="s">
        <v>3259</v>
      </c>
      <c r="M500" s="10"/>
      <c r="N500" s="12"/>
      <c r="O500" s="12"/>
      <c r="P500" s="13">
        <f>IFERROR(__xludf.DUMMYFUNCTION("VALUE(SUBSTITUTE((INDEX(SPLIT(A500,"",""),1)),""."","","",1))"),57.805466)</f>
        <v>57.805466</v>
      </c>
      <c r="Q500" s="13">
        <f>IFERROR(__xludf.DUMMYFUNCTION("VALUE(SUBSTITUTE((INDEX(SPLIT(A500,"",""),2)),""."","","",1))"),28.421195)</f>
        <v>28.421195</v>
      </c>
      <c r="R500" s="14" t="b">
        <f t="shared" si="1"/>
        <v>0</v>
      </c>
      <c r="S500" s="14" t="str">
        <f t="shared" si="2"/>
        <v>57.805466,28.421195</v>
      </c>
      <c r="T500" s="12"/>
    </row>
    <row r="501">
      <c r="A501" s="15" t="s">
        <v>3260</v>
      </c>
      <c r="B501" s="16" t="s">
        <v>3261</v>
      </c>
      <c r="C501" s="16" t="s">
        <v>3262</v>
      </c>
      <c r="D501" s="16" t="s">
        <v>16</v>
      </c>
      <c r="E501" s="17" t="s">
        <v>3263</v>
      </c>
      <c r="F501" s="16" t="s">
        <v>3162</v>
      </c>
      <c r="G501" s="16">
        <v>23.61</v>
      </c>
      <c r="H501" s="16"/>
      <c r="I501" s="16"/>
      <c r="J501" s="16" t="s">
        <v>3264</v>
      </c>
      <c r="K501" s="16" t="s">
        <v>3265</v>
      </c>
      <c r="L501" s="16"/>
      <c r="M501" s="16"/>
      <c r="N501" s="12"/>
      <c r="O501" s="12"/>
      <c r="P501" s="13">
        <f>IFERROR(__xludf.DUMMYFUNCTION("VALUE(SUBSTITUTE((INDEX(SPLIT(A501,"",""),1)),""."","","",1))"),59.372905)</f>
        <v>59.372905</v>
      </c>
      <c r="Q501" s="13">
        <f>IFERROR(__xludf.DUMMYFUNCTION("VALUE(SUBSTITUTE((INDEX(SPLIT(A501,"",""),2)),""."","","",1))"),28.629371)</f>
        <v>28.629371</v>
      </c>
      <c r="R501" s="14" t="b">
        <f t="shared" si="1"/>
        <v>0</v>
      </c>
      <c r="S501" s="14" t="str">
        <f t="shared" si="2"/>
        <v>59.372905,28.629371</v>
      </c>
      <c r="T501" s="12"/>
    </row>
    <row r="502">
      <c r="A502" s="18" t="s">
        <v>3266</v>
      </c>
      <c r="B502" s="8" t="s">
        <v>3267</v>
      </c>
      <c r="C502" s="8" t="s">
        <v>3268</v>
      </c>
      <c r="D502" s="8" t="s">
        <v>16</v>
      </c>
      <c r="E502" s="19" t="s">
        <v>3269</v>
      </c>
      <c r="F502" s="8" t="s">
        <v>3162</v>
      </c>
      <c r="G502" s="8">
        <v>23.61</v>
      </c>
      <c r="H502" s="8"/>
      <c r="I502" s="8"/>
      <c r="J502" s="8" t="s">
        <v>3270</v>
      </c>
      <c r="K502" s="8" t="s">
        <v>3271</v>
      </c>
      <c r="L502" s="8"/>
      <c r="M502" s="8"/>
      <c r="N502" s="12"/>
      <c r="O502" s="12"/>
      <c r="P502" s="13">
        <f>IFERROR(__xludf.DUMMYFUNCTION("VALUE(SUBSTITUTE((INDEX(SPLIT(A502,"",""),1)),""."","","",1))"),59.357558)</f>
        <v>59.357558</v>
      </c>
      <c r="Q502" s="13">
        <f>IFERROR(__xludf.DUMMYFUNCTION("VALUE(SUBSTITUTE((INDEX(SPLIT(A502,"",""),2)),""."","","",1))"),28.633207)</f>
        <v>28.633207</v>
      </c>
      <c r="R502" s="14" t="b">
        <f t="shared" si="1"/>
        <v>0</v>
      </c>
      <c r="S502" s="14" t="str">
        <f t="shared" si="2"/>
        <v>59.357558,28.633207</v>
      </c>
      <c r="T502" s="12"/>
    </row>
    <row r="503">
      <c r="A503" s="20" t="s">
        <v>3272</v>
      </c>
      <c r="B503" s="16" t="s">
        <v>3273</v>
      </c>
      <c r="C503" s="16" t="s">
        <v>3274</v>
      </c>
      <c r="D503" s="16" t="s">
        <v>16</v>
      </c>
      <c r="E503" s="21" t="s">
        <v>3275</v>
      </c>
      <c r="F503" s="22" t="s">
        <v>3162</v>
      </c>
      <c r="G503" s="16">
        <v>23.61</v>
      </c>
      <c r="H503" s="16"/>
      <c r="I503" s="22"/>
      <c r="J503" s="22" t="s">
        <v>3276</v>
      </c>
      <c r="K503" s="22" t="s">
        <v>3277</v>
      </c>
      <c r="L503" s="23" t="s">
        <v>3278</v>
      </c>
      <c r="M503" s="22"/>
      <c r="N503" s="12"/>
      <c r="O503" s="12"/>
      <c r="P503" s="13">
        <f>IFERROR(__xludf.DUMMYFUNCTION("VALUE(SUBSTITUTE((INDEX(SPLIT(A503,"",""),1)),""."","","",1))"),60.730271)</f>
        <v>60.730271</v>
      </c>
      <c r="Q503" s="13">
        <f>IFERROR(__xludf.DUMMYFUNCTION("VALUE(SUBSTITUTE((INDEX(SPLIT(A503,"",""),2)),""."","","",1))"),28.68857)</f>
        <v>28.68857</v>
      </c>
      <c r="R503" s="14" t="b">
        <f t="shared" si="1"/>
        <v>0</v>
      </c>
      <c r="S503" s="14" t="str">
        <f t="shared" si="2"/>
        <v>60.730271,28.68857</v>
      </c>
      <c r="T503" s="12"/>
    </row>
    <row r="504">
      <c r="A504" s="18" t="s">
        <v>3279</v>
      </c>
      <c r="B504" s="8" t="s">
        <v>3280</v>
      </c>
      <c r="C504" s="8" t="s">
        <v>3281</v>
      </c>
      <c r="D504" s="8" t="s">
        <v>16</v>
      </c>
      <c r="E504" s="19" t="s">
        <v>3282</v>
      </c>
      <c r="F504" s="8" t="s">
        <v>3162</v>
      </c>
      <c r="G504" s="8">
        <v>23.61</v>
      </c>
      <c r="H504" s="8"/>
      <c r="I504" s="8"/>
      <c r="J504" s="8" t="s">
        <v>3283</v>
      </c>
      <c r="K504" s="8" t="s">
        <v>3284</v>
      </c>
      <c r="L504" s="8"/>
      <c r="M504" s="8"/>
      <c r="N504" s="12"/>
      <c r="O504" s="12"/>
      <c r="P504" s="13">
        <f>IFERROR(__xludf.DUMMYFUNCTION("VALUE(SUBSTITUTE((INDEX(SPLIT(A504,"",""),1)),""."","","",1))"),60.713832)</f>
        <v>60.713832</v>
      </c>
      <c r="Q504" s="13">
        <f>IFERROR(__xludf.DUMMYFUNCTION("VALUE(SUBSTITUTE((INDEX(SPLIT(A504,"",""),2)),""."","","",1))"),28.731105)</f>
        <v>28.731105</v>
      </c>
      <c r="R504" s="14" t="b">
        <f t="shared" si="1"/>
        <v>0</v>
      </c>
      <c r="S504" s="14" t="str">
        <f t="shared" si="2"/>
        <v>60.713832,28.731105</v>
      </c>
      <c r="T504" s="12"/>
    </row>
    <row r="505">
      <c r="A505" s="20" t="s">
        <v>3285</v>
      </c>
      <c r="B505" s="16" t="s">
        <v>3286</v>
      </c>
      <c r="C505" s="16" t="s">
        <v>3287</v>
      </c>
      <c r="D505" s="16" t="s">
        <v>16</v>
      </c>
      <c r="E505" s="21" t="s">
        <v>3288</v>
      </c>
      <c r="F505" s="22" t="s">
        <v>3162</v>
      </c>
      <c r="G505" s="16">
        <v>23.61</v>
      </c>
      <c r="H505" s="16"/>
      <c r="I505" s="22"/>
      <c r="J505" s="22" t="s">
        <v>3289</v>
      </c>
      <c r="K505" s="22" t="s">
        <v>3290</v>
      </c>
      <c r="L505" s="23" t="s">
        <v>3291</v>
      </c>
      <c r="M505" s="22"/>
      <c r="N505" s="12"/>
      <c r="O505" s="12"/>
      <c r="P505" s="13">
        <f>IFERROR(__xludf.DUMMYFUNCTION("VALUE(SUBSTITUTE((INDEX(SPLIT(A505,"",""),1)),""."","","",1))"),60.714695)</f>
        <v>60.714695</v>
      </c>
      <c r="Q505" s="13">
        <f>IFERROR(__xludf.DUMMYFUNCTION("VALUE(SUBSTITUTE((INDEX(SPLIT(A505,"",""),2)),""."","","",1))"),28.787915)</f>
        <v>28.787915</v>
      </c>
      <c r="R505" s="14" t="b">
        <f t="shared" si="1"/>
        <v>0</v>
      </c>
      <c r="S505" s="14" t="str">
        <f t="shared" si="2"/>
        <v>60.714695,28.787915</v>
      </c>
      <c r="T505" s="12"/>
    </row>
    <row r="506">
      <c r="A506" s="7" t="s">
        <v>3292</v>
      </c>
      <c r="B506" s="8" t="s">
        <v>3293</v>
      </c>
      <c r="C506" s="8" t="s">
        <v>3294</v>
      </c>
      <c r="D506" s="8" t="s">
        <v>16</v>
      </c>
      <c r="E506" s="9" t="s">
        <v>3295</v>
      </c>
      <c r="F506" s="10" t="s">
        <v>3162</v>
      </c>
      <c r="G506" s="8">
        <v>23.61</v>
      </c>
      <c r="H506" s="8"/>
      <c r="I506" s="10"/>
      <c r="J506" s="10" t="s">
        <v>3296</v>
      </c>
      <c r="K506" s="10" t="s">
        <v>3297</v>
      </c>
      <c r="L506" s="11" t="s">
        <v>3298</v>
      </c>
      <c r="M506" s="10"/>
      <c r="N506" s="12"/>
      <c r="O506" s="12"/>
      <c r="P506" s="13">
        <f>IFERROR(__xludf.DUMMYFUNCTION("VALUE(SUBSTITUTE((INDEX(SPLIT(A506,"",""),1)),""."","","",1))"),60.673062)</f>
        <v>60.673062</v>
      </c>
      <c r="Q506" s="13">
        <f>IFERROR(__xludf.DUMMYFUNCTION("VALUE(SUBSTITUTE((INDEX(SPLIT(A506,"",""),2)),""."","","",1))"),28.893521)</f>
        <v>28.893521</v>
      </c>
      <c r="R506" s="14" t="b">
        <f t="shared" si="1"/>
        <v>0</v>
      </c>
      <c r="S506" s="14" t="str">
        <f t="shared" si="2"/>
        <v>60.673062,28.893521</v>
      </c>
      <c r="T506" s="12"/>
    </row>
    <row r="507">
      <c r="A507" s="15" t="s">
        <v>3292</v>
      </c>
      <c r="B507" s="16" t="s">
        <v>3299</v>
      </c>
      <c r="C507" s="16" t="s">
        <v>3300</v>
      </c>
      <c r="D507" s="16" t="s">
        <v>16</v>
      </c>
      <c r="E507" s="17" t="s">
        <v>3301</v>
      </c>
      <c r="F507" s="16" t="s">
        <v>3169</v>
      </c>
      <c r="G507" s="16">
        <v>23.61</v>
      </c>
      <c r="H507" s="16"/>
      <c r="I507" s="16"/>
      <c r="J507" s="16" t="s">
        <v>3302</v>
      </c>
      <c r="K507" s="16" t="s">
        <v>3297</v>
      </c>
      <c r="L507" s="16"/>
      <c r="M507" s="16"/>
      <c r="N507" s="12"/>
      <c r="O507" s="12"/>
      <c r="P507" s="13">
        <f>IFERROR(__xludf.DUMMYFUNCTION("VALUE(SUBSTITUTE((INDEX(SPLIT(A507,"",""),1)),""."","","",1))"),60.673062)</f>
        <v>60.673062</v>
      </c>
      <c r="Q507" s="13">
        <f>IFERROR(__xludf.DUMMYFUNCTION("VALUE(SUBSTITUTE((INDEX(SPLIT(A507,"",""),2)),""."","","",1))"),28.893521)</f>
        <v>28.893521</v>
      </c>
      <c r="R507" s="14" t="b">
        <f t="shared" si="1"/>
        <v>0</v>
      </c>
      <c r="S507" s="14" t="str">
        <f t="shared" si="2"/>
        <v>60.673062,28.893521</v>
      </c>
      <c r="T507" s="12"/>
    </row>
    <row r="508">
      <c r="A508" s="18" t="s">
        <v>3303</v>
      </c>
      <c r="B508" s="8" t="s">
        <v>3304</v>
      </c>
      <c r="C508" s="8" t="s">
        <v>3305</v>
      </c>
      <c r="D508" s="8" t="s">
        <v>16</v>
      </c>
      <c r="E508" s="19" t="s">
        <v>3306</v>
      </c>
      <c r="F508" s="8" t="s">
        <v>3162</v>
      </c>
      <c r="G508" s="8">
        <v>23.61</v>
      </c>
      <c r="H508" s="8"/>
      <c r="I508" s="8"/>
      <c r="J508" s="8" t="s">
        <v>3307</v>
      </c>
      <c r="K508" s="8" t="s">
        <v>3308</v>
      </c>
      <c r="L508" s="8"/>
      <c r="M508" s="8"/>
      <c r="N508" s="12"/>
      <c r="O508" s="12"/>
      <c r="P508" s="13">
        <f>IFERROR(__xludf.DUMMYFUNCTION("VALUE(SUBSTITUTE((INDEX(SPLIT(A508,"",""),1)),""."","","",1))"),59.132582)</f>
        <v>59.132582</v>
      </c>
      <c r="Q508" s="13">
        <f>IFERROR(__xludf.DUMMYFUNCTION("VALUE(SUBSTITUTE((INDEX(SPLIT(A508,"",""),2)),""."","","",1))"),29.019051)</f>
        <v>29.019051</v>
      </c>
      <c r="R508" s="14" t="b">
        <f t="shared" si="1"/>
        <v>0</v>
      </c>
      <c r="S508" s="14" t="str">
        <f t="shared" si="2"/>
        <v>59.132582,29.019051</v>
      </c>
      <c r="T508" s="12"/>
    </row>
    <row r="509">
      <c r="A509" s="20" t="s">
        <v>3309</v>
      </c>
      <c r="B509" s="16" t="s">
        <v>3310</v>
      </c>
      <c r="C509" s="16" t="s">
        <v>3311</v>
      </c>
      <c r="D509" s="16" t="s">
        <v>16</v>
      </c>
      <c r="E509" s="21" t="s">
        <v>3312</v>
      </c>
      <c r="F509" s="22" t="s">
        <v>3162</v>
      </c>
      <c r="G509" s="16">
        <v>23.61</v>
      </c>
      <c r="H509" s="16"/>
      <c r="I509" s="22"/>
      <c r="J509" s="22" t="s">
        <v>3313</v>
      </c>
      <c r="K509" s="22" t="s">
        <v>3314</v>
      </c>
      <c r="L509" s="23" t="s">
        <v>3315</v>
      </c>
      <c r="M509" s="22"/>
      <c r="N509" s="12"/>
      <c r="O509" s="12"/>
      <c r="P509" s="13">
        <f>IFERROR(__xludf.DUMMYFUNCTION("VALUE(SUBSTITUTE((INDEX(SPLIT(A509,"",""),1)),""."","","",1))"),59.904225)</f>
        <v>59.904225</v>
      </c>
      <c r="Q509" s="13">
        <f>IFERROR(__xludf.DUMMYFUNCTION("VALUE(SUBSTITUTE((INDEX(SPLIT(A509,"",""),2)),""."","","",1))"),29.09221)</f>
        <v>29.09221</v>
      </c>
      <c r="R509" s="14" t="b">
        <f t="shared" si="1"/>
        <v>0</v>
      </c>
      <c r="S509" s="14" t="str">
        <f t="shared" si="2"/>
        <v>59.904225,29.09221</v>
      </c>
      <c r="T509" s="12"/>
    </row>
    <row r="510">
      <c r="A510" s="18" t="s">
        <v>3316</v>
      </c>
      <c r="B510" s="8" t="s">
        <v>3317</v>
      </c>
      <c r="C510" s="8" t="s">
        <v>3318</v>
      </c>
      <c r="D510" s="8" t="s">
        <v>16</v>
      </c>
      <c r="E510" s="19" t="s">
        <v>3319</v>
      </c>
      <c r="F510" s="8" t="s">
        <v>3162</v>
      </c>
      <c r="G510" s="8">
        <v>23.61</v>
      </c>
      <c r="H510" s="8"/>
      <c r="I510" s="8"/>
      <c r="J510" s="8" t="s">
        <v>3320</v>
      </c>
      <c r="K510" s="8" t="s">
        <v>3321</v>
      </c>
      <c r="L510" s="8"/>
      <c r="M510" s="8"/>
      <c r="N510" s="12"/>
      <c r="O510" s="12"/>
      <c r="P510" s="13">
        <f>IFERROR(__xludf.DUMMYFUNCTION("VALUE(SUBSTITUTE((INDEX(SPLIT(A510,"",""),1)),""."","","",1))"),59.455119)</f>
        <v>59.455119</v>
      </c>
      <c r="Q510" s="13">
        <f>IFERROR(__xludf.DUMMYFUNCTION("VALUE(SUBSTITUTE((INDEX(SPLIT(A510,"",""),2)),""."","","",1))"),29.489355)</f>
        <v>29.489355</v>
      </c>
      <c r="R510" s="14" t="b">
        <f t="shared" si="1"/>
        <v>0</v>
      </c>
      <c r="S510" s="14" t="str">
        <f t="shared" si="2"/>
        <v>59.455119,29.489355</v>
      </c>
      <c r="T510" s="12"/>
    </row>
    <row r="511">
      <c r="A511" s="20" t="s">
        <v>3322</v>
      </c>
      <c r="B511" s="16" t="s">
        <v>3323</v>
      </c>
      <c r="C511" s="16" t="s">
        <v>3324</v>
      </c>
      <c r="D511" s="16" t="s">
        <v>16</v>
      </c>
      <c r="E511" s="21" t="s">
        <v>3325</v>
      </c>
      <c r="F511" s="22" t="s">
        <v>3162</v>
      </c>
      <c r="G511" s="16">
        <v>23.61</v>
      </c>
      <c r="H511" s="16"/>
      <c r="I511" s="22"/>
      <c r="J511" s="22" t="s">
        <v>3326</v>
      </c>
      <c r="K511" s="22" t="s">
        <v>3327</v>
      </c>
      <c r="L511" s="23" t="s">
        <v>3328</v>
      </c>
      <c r="M511" s="22"/>
      <c r="N511" s="12"/>
      <c r="O511" s="12"/>
      <c r="P511" s="13">
        <f>IFERROR(__xludf.DUMMYFUNCTION("VALUE(SUBSTITUTE((INDEX(SPLIT(A511,"",""),1)),""."","","",1))"),59.945274)</f>
        <v>59.945274</v>
      </c>
      <c r="Q511" s="13">
        <f>IFERROR(__xludf.DUMMYFUNCTION("VALUE(SUBSTITUTE((INDEX(SPLIT(A511,"",""),2)),""."","","",1))"),29.576806)</f>
        <v>29.576806</v>
      </c>
      <c r="R511" s="14" t="b">
        <f t="shared" si="1"/>
        <v>0</v>
      </c>
      <c r="S511" s="14" t="str">
        <f t="shared" si="2"/>
        <v>59.945274,29.576806</v>
      </c>
      <c r="T511" s="12"/>
    </row>
    <row r="512">
      <c r="A512" s="18" t="s">
        <v>3329</v>
      </c>
      <c r="B512" s="8" t="s">
        <v>3330</v>
      </c>
      <c r="C512" s="8" t="s">
        <v>3331</v>
      </c>
      <c r="D512" s="8" t="s">
        <v>16</v>
      </c>
      <c r="E512" s="19" t="s">
        <v>3332</v>
      </c>
      <c r="F512" s="8" t="s">
        <v>3169</v>
      </c>
      <c r="G512" s="8">
        <v>23.61</v>
      </c>
      <c r="H512" s="8"/>
      <c r="I512" s="8"/>
      <c r="J512" s="8" t="s">
        <v>3333</v>
      </c>
      <c r="K512" s="8" t="s">
        <v>3334</v>
      </c>
      <c r="L512" s="8"/>
      <c r="M512" s="24" t="s">
        <v>3335</v>
      </c>
      <c r="N512" s="12"/>
      <c r="O512" s="12"/>
      <c r="P512" s="13">
        <f>IFERROR(__xludf.DUMMYFUNCTION("VALUE(SUBSTITUTE((INDEX(SPLIT(A512,"",""),1)),""."","","",1))"),60.237832)</f>
        <v>60.237832</v>
      </c>
      <c r="Q512" s="13">
        <f>IFERROR(__xludf.DUMMYFUNCTION("VALUE(SUBSTITUTE((INDEX(SPLIT(A512,"",""),2)),""."","","",1))"),29.68331)</f>
        <v>29.68331</v>
      </c>
      <c r="R512" s="14" t="b">
        <f t="shared" si="1"/>
        <v>0</v>
      </c>
      <c r="S512" s="14" t="str">
        <f t="shared" si="2"/>
        <v>60.237832,29.68331</v>
      </c>
      <c r="T512" s="12"/>
    </row>
    <row r="513">
      <c r="A513" s="15" t="s">
        <v>3336</v>
      </c>
      <c r="B513" s="16" t="s">
        <v>3337</v>
      </c>
      <c r="C513" s="16" t="s">
        <v>3338</v>
      </c>
      <c r="D513" s="16" t="s">
        <v>16</v>
      </c>
      <c r="E513" s="17" t="s">
        <v>3339</v>
      </c>
      <c r="F513" s="16" t="s">
        <v>3340</v>
      </c>
      <c r="G513" s="16">
        <v>23.61</v>
      </c>
      <c r="H513" s="16"/>
      <c r="I513" s="16"/>
      <c r="J513" s="16" t="s">
        <v>3341</v>
      </c>
      <c r="K513" s="16" t="s">
        <v>3342</v>
      </c>
      <c r="L513" s="16"/>
      <c r="M513" s="16"/>
      <c r="N513" s="12"/>
      <c r="O513" s="12"/>
      <c r="P513" s="13">
        <f>IFERROR(__xludf.DUMMYFUNCTION("VALUE(SUBSTITUTE((INDEX(SPLIT(A513,"",""),1)),""."","","",1))"),61.234077)</f>
        <v>61.234077</v>
      </c>
      <c r="Q513" s="13">
        <f>IFERROR(__xludf.DUMMYFUNCTION("VALUE(SUBSTITUTE((INDEX(SPLIT(A513,"",""),2)),""."","","",1))"),29.699372)</f>
        <v>29.699372</v>
      </c>
      <c r="R513" s="14" t="b">
        <f t="shared" si="1"/>
        <v>0</v>
      </c>
      <c r="S513" s="14" t="str">
        <f t="shared" si="2"/>
        <v>61.234077,29.699372</v>
      </c>
      <c r="T513" s="12"/>
    </row>
    <row r="514">
      <c r="A514" s="7" t="s">
        <v>3343</v>
      </c>
      <c r="B514" s="8" t="s">
        <v>3344</v>
      </c>
      <c r="C514" s="8" t="s">
        <v>3345</v>
      </c>
      <c r="D514" s="8" t="s">
        <v>16</v>
      </c>
      <c r="E514" s="9" t="s">
        <v>3346</v>
      </c>
      <c r="F514" s="10" t="s">
        <v>3169</v>
      </c>
      <c r="G514" s="8">
        <v>23.61</v>
      </c>
      <c r="H514" s="8"/>
      <c r="I514" s="10"/>
      <c r="J514" s="10" t="s">
        <v>3347</v>
      </c>
      <c r="K514" s="10" t="s">
        <v>3348</v>
      </c>
      <c r="L514" s="11" t="s">
        <v>3349</v>
      </c>
      <c r="M514" s="10"/>
      <c r="N514" s="12"/>
      <c r="O514" s="12"/>
      <c r="P514" s="13">
        <f>IFERROR(__xludf.DUMMYFUNCTION("VALUE(SUBSTITUTE((INDEX(SPLIT(A514,"",""),1)),""."","","",1))"),59.899631)</f>
        <v>59.899631</v>
      </c>
      <c r="Q514" s="13">
        <f>IFERROR(__xludf.DUMMYFUNCTION("VALUE(SUBSTITUTE((INDEX(SPLIT(A514,"",""),2)),""."","","",1))"),29.703891)</f>
        <v>29.703891</v>
      </c>
      <c r="R514" s="14" t="b">
        <f t="shared" si="1"/>
        <v>0</v>
      </c>
      <c r="S514" s="14" t="str">
        <f t="shared" si="2"/>
        <v>59.899631,29.703891</v>
      </c>
      <c r="T514" s="12"/>
    </row>
    <row r="515">
      <c r="A515" s="20" t="s">
        <v>3350</v>
      </c>
      <c r="B515" s="16" t="s">
        <v>3351</v>
      </c>
      <c r="C515" s="16" t="s">
        <v>3352</v>
      </c>
      <c r="D515" s="16" t="s">
        <v>16</v>
      </c>
      <c r="E515" s="21" t="s">
        <v>3353</v>
      </c>
      <c r="F515" s="22" t="s">
        <v>3169</v>
      </c>
      <c r="G515" s="16">
        <v>23.61</v>
      </c>
      <c r="H515" s="16"/>
      <c r="I515" s="22"/>
      <c r="J515" s="22" t="s">
        <v>3354</v>
      </c>
      <c r="K515" s="22" t="s">
        <v>3355</v>
      </c>
      <c r="L515" s="23" t="s">
        <v>3356</v>
      </c>
      <c r="M515" s="22"/>
      <c r="N515" s="12"/>
      <c r="O515" s="12"/>
      <c r="P515" s="13">
        <f>IFERROR(__xludf.DUMMYFUNCTION("VALUE(SUBSTITUTE((INDEX(SPLIT(A515,"",""),1)),""."","","",1))"),59.997811)</f>
        <v>59.997811</v>
      </c>
      <c r="Q515" s="13">
        <f>IFERROR(__xludf.DUMMYFUNCTION("VALUE(SUBSTITUTE((INDEX(SPLIT(A515,"",""),2)),""."","","",1))"),29.770708)</f>
        <v>29.770708</v>
      </c>
      <c r="R515" s="14" t="b">
        <f t="shared" si="1"/>
        <v>0</v>
      </c>
      <c r="S515" s="14" t="str">
        <f t="shared" si="2"/>
        <v>59.997811,29.770708</v>
      </c>
      <c r="T515" s="12"/>
    </row>
    <row r="516">
      <c r="A516" s="7" t="s">
        <v>3357</v>
      </c>
      <c r="B516" s="8" t="s">
        <v>3358</v>
      </c>
      <c r="C516" s="8" t="s">
        <v>3359</v>
      </c>
      <c r="D516" s="8" t="s">
        <v>16</v>
      </c>
      <c r="E516" s="9" t="s">
        <v>3360</v>
      </c>
      <c r="F516" s="10" t="s">
        <v>3169</v>
      </c>
      <c r="G516" s="8">
        <v>23.61</v>
      </c>
      <c r="H516" s="8"/>
      <c r="I516" s="10"/>
      <c r="J516" s="10" t="s">
        <v>3361</v>
      </c>
      <c r="K516" s="10" t="s">
        <v>3362</v>
      </c>
      <c r="L516" s="11" t="s">
        <v>3363</v>
      </c>
      <c r="M516" s="11" t="s">
        <v>3364</v>
      </c>
      <c r="N516" s="12"/>
      <c r="O516" s="12"/>
      <c r="P516" s="13">
        <f>IFERROR(__xludf.DUMMYFUNCTION("VALUE(SUBSTITUTE((INDEX(SPLIT(A516,"",""),1)),""."","","",1))"),59.916257)</f>
        <v>59.916257</v>
      </c>
      <c r="Q516" s="13">
        <f>IFERROR(__xludf.DUMMYFUNCTION("VALUE(SUBSTITUTE((INDEX(SPLIT(A516,"",""),2)),""."","","",1))"),29.770806)</f>
        <v>29.770806</v>
      </c>
      <c r="R516" s="14" t="b">
        <f t="shared" si="1"/>
        <v>0</v>
      </c>
      <c r="S516" s="14" t="str">
        <f t="shared" si="2"/>
        <v>59.916257,29.770806</v>
      </c>
      <c r="T516" s="12"/>
    </row>
    <row r="517">
      <c r="A517" s="20" t="s">
        <v>3365</v>
      </c>
      <c r="B517" s="16" t="s">
        <v>3366</v>
      </c>
      <c r="C517" s="16" t="s">
        <v>3367</v>
      </c>
      <c r="D517" s="16" t="s">
        <v>16</v>
      </c>
      <c r="E517" s="21" t="s">
        <v>3368</v>
      </c>
      <c r="F517" s="22" t="s">
        <v>3169</v>
      </c>
      <c r="G517" s="16">
        <v>23.61</v>
      </c>
      <c r="H517" s="16"/>
      <c r="I517" s="22"/>
      <c r="J517" s="22" t="s">
        <v>3369</v>
      </c>
      <c r="K517" s="22" t="s">
        <v>3370</v>
      </c>
      <c r="L517" s="23" t="s">
        <v>3371</v>
      </c>
      <c r="M517" s="23" t="s">
        <v>3372</v>
      </c>
      <c r="N517" s="12"/>
      <c r="O517" s="12"/>
      <c r="P517" s="13">
        <f>IFERROR(__xludf.DUMMYFUNCTION("VALUE(SUBSTITUTE((INDEX(SPLIT(A517,"",""),1)),""."","","",1))"),59.873487)</f>
        <v>59.873487</v>
      </c>
      <c r="Q517" s="13">
        <f>IFERROR(__xludf.DUMMYFUNCTION("VALUE(SUBSTITUTE((INDEX(SPLIT(A517,"",""),2)),""."","","",1))"),29.86071)</f>
        <v>29.86071</v>
      </c>
      <c r="R517" s="14" t="b">
        <f t="shared" si="1"/>
        <v>0</v>
      </c>
      <c r="S517" s="14" t="str">
        <f t="shared" si="2"/>
        <v>59.873487,29.86071</v>
      </c>
      <c r="T517" s="12"/>
    </row>
    <row r="518">
      <c r="A518" s="18" t="s">
        <v>3373</v>
      </c>
      <c r="B518" s="8" t="s">
        <v>3374</v>
      </c>
      <c r="C518" s="8" t="s">
        <v>3375</v>
      </c>
      <c r="D518" s="8" t="s">
        <v>16</v>
      </c>
      <c r="E518" s="19" t="s">
        <v>3376</v>
      </c>
      <c r="F518" s="8" t="s">
        <v>3169</v>
      </c>
      <c r="G518" s="8">
        <v>23.61</v>
      </c>
      <c r="H518" s="8"/>
      <c r="I518" s="8"/>
      <c r="J518" s="8" t="s">
        <v>3377</v>
      </c>
      <c r="K518" s="8" t="s">
        <v>3378</v>
      </c>
      <c r="L518" s="8"/>
      <c r="M518" s="8"/>
      <c r="N518" s="12"/>
      <c r="O518" s="12"/>
      <c r="P518" s="13">
        <f>IFERROR(__xludf.DUMMYFUNCTION("VALUE(SUBSTITUTE((INDEX(SPLIT(A518,"",""),1)),""."","","",1))"),59.875275)</f>
        <v>59.875275</v>
      </c>
      <c r="Q518" s="13">
        <f>IFERROR(__xludf.DUMMYFUNCTION("VALUE(SUBSTITUTE((INDEX(SPLIT(A518,"",""),2)),""."","","",1))"),29.88748)</f>
        <v>29.88748</v>
      </c>
      <c r="R518" s="14" t="b">
        <f t="shared" si="1"/>
        <v>0</v>
      </c>
      <c r="S518" s="14" t="str">
        <f t="shared" si="2"/>
        <v>59.875275,29.88748</v>
      </c>
      <c r="T518" s="12"/>
    </row>
    <row r="519">
      <c r="A519" s="20" t="s">
        <v>3379</v>
      </c>
      <c r="B519" s="16" t="s">
        <v>3380</v>
      </c>
      <c r="C519" s="16" t="s">
        <v>3381</v>
      </c>
      <c r="D519" s="16" t="s">
        <v>16</v>
      </c>
      <c r="E519" s="21" t="s">
        <v>3382</v>
      </c>
      <c r="F519" s="22" t="s">
        <v>3162</v>
      </c>
      <c r="G519" s="16">
        <v>23.61</v>
      </c>
      <c r="H519" s="16"/>
      <c r="I519" s="22"/>
      <c r="J519" s="22" t="s">
        <v>3383</v>
      </c>
      <c r="K519" s="22" t="s">
        <v>3384</v>
      </c>
      <c r="L519" s="23" t="s">
        <v>3385</v>
      </c>
      <c r="M519" s="22"/>
      <c r="N519" s="12"/>
      <c r="O519" s="12"/>
      <c r="P519" s="13">
        <f>IFERROR(__xludf.DUMMYFUNCTION("VALUE(SUBSTITUTE((INDEX(SPLIT(A519,"",""),1)),""."","","",1))"),58.859289)</f>
        <v>58.859289</v>
      </c>
      <c r="Q519" s="13">
        <f>IFERROR(__xludf.DUMMYFUNCTION("VALUE(SUBSTITUTE((INDEX(SPLIT(A519,"",""),2)),""."","","",1))"),29.912228)</f>
        <v>29.912228</v>
      </c>
      <c r="R519" s="14" t="b">
        <f t="shared" si="1"/>
        <v>0</v>
      </c>
      <c r="S519" s="14" t="str">
        <f t="shared" si="2"/>
        <v>58.859289,29.912228</v>
      </c>
      <c r="T519" s="12"/>
    </row>
    <row r="520">
      <c r="A520" s="18" t="s">
        <v>3386</v>
      </c>
      <c r="B520" s="8" t="s">
        <v>3387</v>
      </c>
      <c r="C520" s="8" t="s">
        <v>3388</v>
      </c>
      <c r="D520" s="8" t="s">
        <v>16</v>
      </c>
      <c r="E520" s="19" t="s">
        <v>3389</v>
      </c>
      <c r="F520" s="8" t="s">
        <v>3162</v>
      </c>
      <c r="G520" s="8">
        <v>23.61</v>
      </c>
      <c r="H520" s="8"/>
      <c r="I520" s="8"/>
      <c r="J520" s="8" t="s">
        <v>3390</v>
      </c>
      <c r="K520" s="8" t="s">
        <v>3391</v>
      </c>
      <c r="L520" s="8"/>
      <c r="M520" s="24" t="s">
        <v>3392</v>
      </c>
      <c r="N520" s="12"/>
      <c r="O520" s="12"/>
      <c r="P520" s="13">
        <f>IFERROR(__xludf.DUMMYFUNCTION("VALUE(SUBSTITUTE((INDEX(SPLIT(A520,"",""),1)),""."","","",1))"),59.783683)</f>
        <v>59.783683</v>
      </c>
      <c r="Q520" s="13">
        <f>IFERROR(__xludf.DUMMYFUNCTION("VALUE(SUBSTITUTE((INDEX(SPLIT(A520,"",""),2)),""."","","",1))"),29.912722)</f>
        <v>29.912722</v>
      </c>
      <c r="R520" s="14" t="b">
        <f t="shared" si="1"/>
        <v>0</v>
      </c>
      <c r="S520" s="14" t="str">
        <f t="shared" si="2"/>
        <v>59.783683,29.912722</v>
      </c>
      <c r="T520" s="12"/>
    </row>
    <row r="521">
      <c r="A521" s="20" t="s">
        <v>3393</v>
      </c>
      <c r="B521" s="16" t="s">
        <v>3394</v>
      </c>
      <c r="C521" s="16" t="s">
        <v>3395</v>
      </c>
      <c r="D521" s="16" t="s">
        <v>16</v>
      </c>
      <c r="E521" s="21" t="s">
        <v>3396</v>
      </c>
      <c r="F521" s="22" t="s">
        <v>3162</v>
      </c>
      <c r="G521" s="16">
        <v>23.61</v>
      </c>
      <c r="H521" s="16"/>
      <c r="I521" s="22"/>
      <c r="J521" s="22" t="s">
        <v>3397</v>
      </c>
      <c r="K521" s="22" t="s">
        <v>3398</v>
      </c>
      <c r="L521" s="23" t="s">
        <v>3399</v>
      </c>
      <c r="M521" s="23" t="s">
        <v>3400</v>
      </c>
      <c r="N521" s="12"/>
      <c r="O521" s="12"/>
      <c r="P521" s="13">
        <f>IFERROR(__xludf.DUMMYFUNCTION("VALUE(SUBSTITUTE((INDEX(SPLIT(A521,"",""),1)),""."","","",1))"),59.7923)</f>
        <v>59.7923</v>
      </c>
      <c r="Q521" s="13">
        <f>IFERROR(__xludf.DUMMYFUNCTION("VALUE(SUBSTITUTE((INDEX(SPLIT(A521,"",""),2)),""."","","",1))"),29.938621)</f>
        <v>29.938621</v>
      </c>
      <c r="R521" s="14" t="b">
        <f t="shared" si="1"/>
        <v>0</v>
      </c>
      <c r="S521" s="14" t="str">
        <f t="shared" si="2"/>
        <v>59.7923,29.938621</v>
      </c>
      <c r="T521" s="12"/>
    </row>
    <row r="522">
      <c r="A522" s="7" t="s">
        <v>3401</v>
      </c>
      <c r="B522" s="8" t="s">
        <v>3402</v>
      </c>
      <c r="C522" s="8" t="s">
        <v>3403</v>
      </c>
      <c r="D522" s="8" t="s">
        <v>16</v>
      </c>
      <c r="E522" s="9" t="s">
        <v>3404</v>
      </c>
      <c r="F522" s="10" t="s">
        <v>3162</v>
      </c>
      <c r="G522" s="8">
        <v>23.61</v>
      </c>
      <c r="H522" s="8"/>
      <c r="I522" s="10"/>
      <c r="J522" s="10" t="s">
        <v>3405</v>
      </c>
      <c r="K522" s="10" t="s">
        <v>3406</v>
      </c>
      <c r="L522" s="11" t="s">
        <v>3407</v>
      </c>
      <c r="M522" s="11" t="s">
        <v>3408</v>
      </c>
      <c r="N522" s="12"/>
      <c r="O522" s="12"/>
      <c r="P522" s="13">
        <f>IFERROR(__xludf.DUMMYFUNCTION("VALUE(SUBSTITUTE((INDEX(SPLIT(A522,"",""),1)),""."","","",1))"),59.328329)</f>
        <v>59.328329</v>
      </c>
      <c r="Q522" s="13">
        <f>IFERROR(__xludf.DUMMYFUNCTION("VALUE(SUBSTITUTE((INDEX(SPLIT(A522,"",""),2)),""."","","",1))"),29.944523)</f>
        <v>29.944523</v>
      </c>
      <c r="R522" s="14" t="b">
        <f t="shared" si="1"/>
        <v>0</v>
      </c>
      <c r="S522" s="14" t="str">
        <f t="shared" si="2"/>
        <v>59.328329,29.944523</v>
      </c>
      <c r="T522" s="12"/>
    </row>
    <row r="523">
      <c r="A523" s="15" t="s">
        <v>3409</v>
      </c>
      <c r="B523" s="16" t="s">
        <v>3410</v>
      </c>
      <c r="C523" s="16" t="s">
        <v>3411</v>
      </c>
      <c r="D523" s="16" t="s">
        <v>16</v>
      </c>
      <c r="E523" s="17" t="s">
        <v>3412</v>
      </c>
      <c r="F523" s="16" t="s">
        <v>3162</v>
      </c>
      <c r="G523" s="16">
        <v>23.61</v>
      </c>
      <c r="H523" s="16"/>
      <c r="I523" s="16"/>
      <c r="J523" s="16" t="s">
        <v>3413</v>
      </c>
      <c r="K523" s="16" t="s">
        <v>3414</v>
      </c>
      <c r="L523" s="16"/>
      <c r="M523" s="16"/>
      <c r="N523" s="12"/>
      <c r="O523" s="12"/>
      <c r="P523" s="13">
        <f>IFERROR(__xludf.DUMMYFUNCTION("VALUE(SUBSTITUTE((INDEX(SPLIT(A523,"",""),1)),""."","","",1))"),59.782198)</f>
        <v>59.782198</v>
      </c>
      <c r="Q523" s="13">
        <f>IFERROR(__xludf.DUMMYFUNCTION("VALUE(SUBSTITUTE((INDEX(SPLIT(A523,"",""),2)),""."","","",1))"),29.950433)</f>
        <v>29.950433</v>
      </c>
      <c r="R523" s="14" t="b">
        <f t="shared" si="1"/>
        <v>0</v>
      </c>
      <c r="S523" s="14" t="str">
        <f t="shared" si="2"/>
        <v>59.782198,29.950433</v>
      </c>
      <c r="T523" s="12"/>
    </row>
    <row r="524">
      <c r="A524" s="18" t="s">
        <v>3415</v>
      </c>
      <c r="B524" s="8" t="s">
        <v>3416</v>
      </c>
      <c r="C524" s="8" t="s">
        <v>3417</v>
      </c>
      <c r="D524" s="8" t="s">
        <v>16</v>
      </c>
      <c r="E524" s="19" t="s">
        <v>3418</v>
      </c>
      <c r="F524" s="8" t="s">
        <v>3169</v>
      </c>
      <c r="G524" s="8">
        <v>23.61</v>
      </c>
      <c r="H524" s="8"/>
      <c r="I524" s="8"/>
      <c r="J524" s="8" t="s">
        <v>3419</v>
      </c>
      <c r="K524" s="8" t="s">
        <v>3420</v>
      </c>
      <c r="L524" s="8"/>
      <c r="M524" s="8"/>
      <c r="N524" s="12"/>
      <c r="O524" s="12"/>
      <c r="P524" s="13">
        <f>IFERROR(__xludf.DUMMYFUNCTION("VALUE(SUBSTITUTE((INDEX(SPLIT(A524,"",""),1)),""."","","",1))"),59.851905)</f>
        <v>59.851905</v>
      </c>
      <c r="Q524" s="13">
        <f>IFERROR(__xludf.DUMMYFUNCTION("VALUE(SUBSTITUTE((INDEX(SPLIT(A524,"",""),2)),""."","","",1))"),29.953317)</f>
        <v>29.953317</v>
      </c>
      <c r="R524" s="14" t="b">
        <f t="shared" si="1"/>
        <v>0</v>
      </c>
      <c r="S524" s="14" t="str">
        <f t="shared" si="2"/>
        <v>59.851905,29.953317</v>
      </c>
      <c r="T524" s="12"/>
    </row>
    <row r="525">
      <c r="A525" s="15" t="s">
        <v>3421</v>
      </c>
      <c r="B525" s="16" t="s">
        <v>3422</v>
      </c>
      <c r="C525" s="16" t="s">
        <v>3423</v>
      </c>
      <c r="D525" s="16" t="s">
        <v>16</v>
      </c>
      <c r="E525" s="17" t="s">
        <v>3424</v>
      </c>
      <c r="F525" s="16" t="s">
        <v>3169</v>
      </c>
      <c r="G525" s="16">
        <v>23.61</v>
      </c>
      <c r="H525" s="16"/>
      <c r="I525" s="16"/>
      <c r="J525" s="16" t="s">
        <v>3425</v>
      </c>
      <c r="K525" s="16" t="s">
        <v>3426</v>
      </c>
      <c r="L525" s="16"/>
      <c r="M525" s="25" t="s">
        <v>3427</v>
      </c>
      <c r="N525" s="12"/>
      <c r="O525" s="12"/>
      <c r="P525" s="13">
        <f>IFERROR(__xludf.DUMMYFUNCTION("VALUE(SUBSTITUTE((INDEX(SPLIT(A525,"",""),1)),""."","","",1))"),59.850441)</f>
        <v>59.850441</v>
      </c>
      <c r="Q525" s="13">
        <f>IFERROR(__xludf.DUMMYFUNCTION("VALUE(SUBSTITUTE((INDEX(SPLIT(A525,"",""),2)),""."","","",1))"),29.964492)</f>
        <v>29.964492</v>
      </c>
      <c r="R525" s="14" t="b">
        <f t="shared" si="1"/>
        <v>0</v>
      </c>
      <c r="S525" s="14" t="str">
        <f t="shared" si="2"/>
        <v>59.850441,29.964492</v>
      </c>
      <c r="T525" s="12"/>
    </row>
    <row r="526">
      <c r="A526" s="7" t="s">
        <v>3428</v>
      </c>
      <c r="B526" s="8" t="s">
        <v>3429</v>
      </c>
      <c r="C526" s="8" t="s">
        <v>3430</v>
      </c>
      <c r="D526" s="8" t="s">
        <v>16</v>
      </c>
      <c r="E526" s="9" t="s">
        <v>3431</v>
      </c>
      <c r="F526" s="10" t="s">
        <v>3169</v>
      </c>
      <c r="G526" s="8">
        <v>23.61</v>
      </c>
      <c r="H526" s="8"/>
      <c r="I526" s="10"/>
      <c r="J526" s="10" t="s">
        <v>3432</v>
      </c>
      <c r="K526" s="10" t="s">
        <v>3433</v>
      </c>
      <c r="L526" s="11" t="s">
        <v>3434</v>
      </c>
      <c r="M526" s="10"/>
      <c r="N526" s="12"/>
      <c r="O526" s="12"/>
      <c r="P526" s="13">
        <f>IFERROR(__xludf.DUMMYFUNCTION("VALUE(SUBSTITUTE((INDEX(SPLIT(A526,"",""),1)),""."","","",1))"),60.086883)</f>
        <v>60.086883</v>
      </c>
      <c r="Q526" s="13">
        <f>IFERROR(__xludf.DUMMYFUNCTION("VALUE(SUBSTITUTE((INDEX(SPLIT(A526,"",""),2)),""."","","",1))"),29.972918)</f>
        <v>29.972918</v>
      </c>
      <c r="R526" s="14" t="b">
        <f t="shared" si="1"/>
        <v>0</v>
      </c>
      <c r="S526" s="14" t="str">
        <f t="shared" si="2"/>
        <v>60.086883,29.972918</v>
      </c>
      <c r="T526" s="12"/>
    </row>
    <row r="527">
      <c r="A527" s="20" t="s">
        <v>3435</v>
      </c>
      <c r="B527" s="16" t="s">
        <v>3436</v>
      </c>
      <c r="C527" s="16" t="s">
        <v>3437</v>
      </c>
      <c r="D527" s="16" t="s">
        <v>16</v>
      </c>
      <c r="E527" s="21" t="s">
        <v>3438</v>
      </c>
      <c r="F527" s="22" t="s">
        <v>3162</v>
      </c>
      <c r="G527" s="16">
        <v>23.61</v>
      </c>
      <c r="H527" s="16"/>
      <c r="I527" s="22"/>
      <c r="J527" s="22" t="s">
        <v>3439</v>
      </c>
      <c r="K527" s="22" t="s">
        <v>3440</v>
      </c>
      <c r="L527" s="23" t="s">
        <v>3441</v>
      </c>
      <c r="M527" s="22"/>
      <c r="N527" s="12"/>
      <c r="O527" s="12"/>
      <c r="P527" s="13">
        <f>IFERROR(__xludf.DUMMYFUNCTION("VALUE(SUBSTITUTE((INDEX(SPLIT(A527,"",""),1)),""."","","",1))"),59.81398)</f>
        <v>59.81398</v>
      </c>
      <c r="Q527" s="13">
        <f>IFERROR(__xludf.DUMMYFUNCTION("VALUE(SUBSTITUTE((INDEX(SPLIT(A527,"",""),2)),""."","","",1))"),29.974149)</f>
        <v>29.974149</v>
      </c>
      <c r="R527" s="14" t="b">
        <f t="shared" si="1"/>
        <v>0</v>
      </c>
      <c r="S527" s="14" t="str">
        <f t="shared" si="2"/>
        <v>59.81398,29.974149</v>
      </c>
      <c r="T527" s="12"/>
    </row>
    <row r="528">
      <c r="A528" s="7" t="s">
        <v>3442</v>
      </c>
      <c r="B528" s="8" t="s">
        <v>89</v>
      </c>
      <c r="C528" s="8" t="s">
        <v>90</v>
      </c>
      <c r="D528" s="8" t="s">
        <v>16</v>
      </c>
      <c r="E528" s="9" t="s">
        <v>3443</v>
      </c>
      <c r="F528" s="10" t="s">
        <v>3169</v>
      </c>
      <c r="G528" s="8">
        <v>23.61</v>
      </c>
      <c r="H528" s="8"/>
      <c r="I528" s="10"/>
      <c r="J528" s="10" t="s">
        <v>3444</v>
      </c>
      <c r="K528" s="10" t="s">
        <v>3445</v>
      </c>
      <c r="L528" s="11" t="s">
        <v>3446</v>
      </c>
      <c r="M528" s="10"/>
      <c r="N528" s="12"/>
      <c r="O528" s="12"/>
      <c r="P528" s="13">
        <f>IFERROR(__xludf.DUMMYFUNCTION("VALUE(SUBSTITUTE((INDEX(SPLIT(A528,"",""),1)),""."","","",1))"),60.044001)</f>
        <v>60.044001</v>
      </c>
      <c r="Q528" s="13">
        <f>IFERROR(__xludf.DUMMYFUNCTION("VALUE(SUBSTITUTE((INDEX(SPLIT(A528,"",""),2)),""."","","",1))"),29.980761)</f>
        <v>29.980761</v>
      </c>
      <c r="R528" s="14" t="b">
        <f t="shared" si="1"/>
        <v>0</v>
      </c>
      <c r="S528" s="14" t="str">
        <f t="shared" si="2"/>
        <v>60.044001,29.980761</v>
      </c>
      <c r="T528" s="12"/>
    </row>
    <row r="529">
      <c r="A529" s="15" t="s">
        <v>3447</v>
      </c>
      <c r="B529" s="16" t="s">
        <v>3448</v>
      </c>
      <c r="C529" s="16" t="s">
        <v>3449</v>
      </c>
      <c r="D529" s="16" t="s">
        <v>16</v>
      </c>
      <c r="E529" s="17" t="s">
        <v>3450</v>
      </c>
      <c r="F529" s="16" t="s">
        <v>3169</v>
      </c>
      <c r="G529" s="16">
        <v>23.61</v>
      </c>
      <c r="H529" s="16"/>
      <c r="I529" s="16"/>
      <c r="J529" s="16" t="s">
        <v>3451</v>
      </c>
      <c r="K529" s="16" t="s">
        <v>3452</v>
      </c>
      <c r="L529" s="16"/>
      <c r="M529" s="16"/>
      <c r="N529" s="12"/>
      <c r="O529" s="12"/>
      <c r="P529" s="13">
        <f>IFERROR(__xludf.DUMMYFUNCTION("VALUE(SUBSTITUTE((INDEX(SPLIT(A529,"",""),1)),""."","","",1))"),60.061012)</f>
        <v>60.061012</v>
      </c>
      <c r="Q529" s="13">
        <f>IFERROR(__xludf.DUMMYFUNCTION("VALUE(SUBSTITUTE((INDEX(SPLIT(A529,"",""),2)),""."","","",1))"),29.990489)</f>
        <v>29.990489</v>
      </c>
      <c r="R529" s="14" t="b">
        <f t="shared" si="1"/>
        <v>0</v>
      </c>
      <c r="S529" s="14" t="str">
        <f t="shared" si="2"/>
        <v>60.061012,29.990489</v>
      </c>
      <c r="T529" s="12"/>
    </row>
    <row r="530">
      <c r="A530" s="18" t="s">
        <v>3453</v>
      </c>
      <c r="B530" s="8" t="s">
        <v>3454</v>
      </c>
      <c r="C530" s="8" t="s">
        <v>3455</v>
      </c>
      <c r="D530" s="8" t="s">
        <v>16</v>
      </c>
      <c r="E530" s="19" t="s">
        <v>3456</v>
      </c>
      <c r="F530" s="8" t="s">
        <v>3162</v>
      </c>
      <c r="G530" s="8">
        <v>23.61</v>
      </c>
      <c r="H530" s="8"/>
      <c r="I530" s="8"/>
      <c r="J530" s="8" t="s">
        <v>3457</v>
      </c>
      <c r="K530" s="8" t="s">
        <v>3458</v>
      </c>
      <c r="L530" s="8"/>
      <c r="M530" s="24" t="s">
        <v>3459</v>
      </c>
      <c r="N530" s="12"/>
      <c r="O530" s="12"/>
      <c r="P530" s="13">
        <f>IFERROR(__xludf.DUMMYFUNCTION("VALUE(SUBSTITUTE((INDEX(SPLIT(A530,"",""),1)),""."","","",1))"),59.512333)</f>
        <v>59.512333</v>
      </c>
      <c r="Q530" s="13">
        <f>IFERROR(__xludf.DUMMYFUNCTION("VALUE(SUBSTITUTE((INDEX(SPLIT(A530,"",""),2)),""."","","",1))"),30.00161)</f>
        <v>30.00161</v>
      </c>
      <c r="R530" s="14" t="b">
        <f t="shared" si="1"/>
        <v>0</v>
      </c>
      <c r="S530" s="14" t="str">
        <f t="shared" si="2"/>
        <v>59.512333,30.00161</v>
      </c>
      <c r="T530" s="12"/>
    </row>
    <row r="531">
      <c r="A531" s="15" t="s">
        <v>3460</v>
      </c>
      <c r="B531" s="16" t="s">
        <v>3461</v>
      </c>
      <c r="C531" s="16" t="s">
        <v>3462</v>
      </c>
      <c r="D531" s="16" t="s">
        <v>16</v>
      </c>
      <c r="E531" s="17" t="s">
        <v>3463</v>
      </c>
      <c r="F531" s="16" t="s">
        <v>3169</v>
      </c>
      <c r="G531" s="16">
        <v>23.61</v>
      </c>
      <c r="H531" s="16"/>
      <c r="I531" s="16"/>
      <c r="J531" s="16" t="s">
        <v>3464</v>
      </c>
      <c r="K531" s="16" t="s">
        <v>3465</v>
      </c>
      <c r="L531" s="16"/>
      <c r="M531" s="25" t="s">
        <v>3466</v>
      </c>
      <c r="N531" s="12"/>
      <c r="O531" s="12"/>
      <c r="P531" s="13">
        <f>IFERROR(__xludf.DUMMYFUNCTION("VALUE(SUBSTITUTE((INDEX(SPLIT(A531,"",""),1)),""."","","",1))"),60.134759)</f>
        <v>60.134759</v>
      </c>
      <c r="Q531" s="13">
        <f>IFERROR(__xludf.DUMMYFUNCTION("VALUE(SUBSTITUTE((INDEX(SPLIT(A531,"",""),2)),""."","","",1))"),30.016379)</f>
        <v>30.016379</v>
      </c>
      <c r="R531" s="14" t="b">
        <f t="shared" si="1"/>
        <v>0</v>
      </c>
      <c r="S531" s="14" t="str">
        <f t="shared" si="2"/>
        <v>60.134759,30.016379</v>
      </c>
      <c r="T531" s="12"/>
    </row>
    <row r="532">
      <c r="A532" s="18" t="s">
        <v>3467</v>
      </c>
      <c r="B532" s="8" t="s">
        <v>3468</v>
      </c>
      <c r="C532" s="8" t="s">
        <v>3469</v>
      </c>
      <c r="D532" s="8" t="s">
        <v>16</v>
      </c>
      <c r="E532" s="19" t="s">
        <v>3470</v>
      </c>
      <c r="F532" s="8" t="s">
        <v>3169</v>
      </c>
      <c r="G532" s="8">
        <v>23.61</v>
      </c>
      <c r="H532" s="8"/>
      <c r="I532" s="8"/>
      <c r="J532" s="8" t="s">
        <v>3471</v>
      </c>
      <c r="K532" s="8" t="s">
        <v>3472</v>
      </c>
      <c r="L532" s="8"/>
      <c r="M532" s="8"/>
      <c r="N532" s="12"/>
      <c r="O532" s="12"/>
      <c r="P532" s="13">
        <f>IFERROR(__xludf.DUMMYFUNCTION("VALUE(SUBSTITUTE((INDEX(SPLIT(A532,"",""),1)),""."","","",1))"),59.840731)</f>
        <v>59.840731</v>
      </c>
      <c r="Q532" s="13">
        <f>IFERROR(__xludf.DUMMYFUNCTION("VALUE(SUBSTITUTE((INDEX(SPLIT(A532,"",""),2)),""."","","",1))"),30.025847)</f>
        <v>30.025847</v>
      </c>
      <c r="R532" s="14" t="b">
        <f t="shared" si="1"/>
        <v>0</v>
      </c>
      <c r="S532" s="14" t="str">
        <f t="shared" si="2"/>
        <v>59.840731,30.025847</v>
      </c>
      <c r="T532" s="12"/>
    </row>
    <row r="533">
      <c r="A533" s="15" t="s">
        <v>3473</v>
      </c>
      <c r="B533" s="16" t="s">
        <v>3474</v>
      </c>
      <c r="C533" s="16" t="s">
        <v>3475</v>
      </c>
      <c r="D533" s="16" t="s">
        <v>16</v>
      </c>
      <c r="E533" s="17" t="s">
        <v>3476</v>
      </c>
      <c r="F533" s="16" t="s">
        <v>3162</v>
      </c>
      <c r="G533" s="16">
        <v>23.61</v>
      </c>
      <c r="H533" s="16"/>
      <c r="I533" s="16"/>
      <c r="J533" s="16" t="s">
        <v>3477</v>
      </c>
      <c r="K533" s="16" t="s">
        <v>3478</v>
      </c>
      <c r="L533" s="16"/>
      <c r="M533" s="16"/>
      <c r="N533" s="12"/>
      <c r="O533" s="12"/>
      <c r="P533" s="13">
        <f>IFERROR(__xludf.DUMMYFUNCTION("VALUE(SUBSTITUTE((INDEX(SPLIT(A533,"",""),1)),""."","","",1))"),59.6836)</f>
        <v>59.6836</v>
      </c>
      <c r="Q533" s="13">
        <f>IFERROR(__xludf.DUMMYFUNCTION("VALUE(SUBSTITUTE((INDEX(SPLIT(A533,"",""),2)),""."","","",1))"),30.064268)</f>
        <v>30.064268</v>
      </c>
      <c r="R533" s="14" t="b">
        <f t="shared" si="1"/>
        <v>0</v>
      </c>
      <c r="S533" s="14" t="str">
        <f t="shared" si="2"/>
        <v>59.6836,30.064268</v>
      </c>
      <c r="T533" s="12"/>
    </row>
    <row r="534">
      <c r="A534" s="7" t="s">
        <v>3479</v>
      </c>
      <c r="B534" s="8" t="s">
        <v>3480</v>
      </c>
      <c r="C534" s="8" t="s">
        <v>3481</v>
      </c>
      <c r="D534" s="8" t="s">
        <v>16</v>
      </c>
      <c r="E534" s="9" t="s">
        <v>3482</v>
      </c>
      <c r="F534" s="10" t="s">
        <v>3169</v>
      </c>
      <c r="G534" s="8">
        <v>23.61</v>
      </c>
      <c r="H534" s="8"/>
      <c r="I534" s="10"/>
      <c r="J534" s="10" t="s">
        <v>3483</v>
      </c>
      <c r="K534" s="10" t="s">
        <v>3484</v>
      </c>
      <c r="L534" s="11" t="s">
        <v>3485</v>
      </c>
      <c r="M534" s="10"/>
      <c r="N534" s="12"/>
      <c r="O534" s="12"/>
      <c r="P534" s="13">
        <f>IFERROR(__xludf.DUMMYFUNCTION("VALUE(SUBSTITUTE((INDEX(SPLIT(A534,"",""),1)),""."","","",1))"),59.733745)</f>
        <v>59.733745</v>
      </c>
      <c r="Q534" s="13">
        <f>IFERROR(__xludf.DUMMYFUNCTION("VALUE(SUBSTITUTE((INDEX(SPLIT(A534,"",""),2)),""."","","",1))"),30.086205)</f>
        <v>30.086205</v>
      </c>
      <c r="R534" s="14" t="b">
        <f t="shared" si="1"/>
        <v>0</v>
      </c>
      <c r="S534" s="14" t="str">
        <f t="shared" si="2"/>
        <v>59.733745,30.086205</v>
      </c>
      <c r="T534" s="12"/>
    </row>
    <row r="535">
      <c r="A535" s="15" t="s">
        <v>3486</v>
      </c>
      <c r="B535" s="16" t="s">
        <v>3487</v>
      </c>
      <c r="C535" s="16" t="s">
        <v>3488</v>
      </c>
      <c r="D535" s="16" t="s">
        <v>16</v>
      </c>
      <c r="E535" s="17" t="s">
        <v>3489</v>
      </c>
      <c r="F535" s="16" t="s">
        <v>3169</v>
      </c>
      <c r="G535" s="16">
        <v>23.61</v>
      </c>
      <c r="H535" s="16"/>
      <c r="I535" s="16"/>
      <c r="J535" s="16" t="s">
        <v>3490</v>
      </c>
      <c r="K535" s="16" t="s">
        <v>3491</v>
      </c>
      <c r="L535" s="16"/>
      <c r="M535" s="16"/>
      <c r="N535" s="12"/>
      <c r="O535" s="12"/>
      <c r="P535" s="13">
        <f>IFERROR(__xludf.DUMMYFUNCTION("VALUE(SUBSTITUTE((INDEX(SPLIT(A535,"",""),1)),""."","","",1))"),59.736013)</f>
        <v>59.736013</v>
      </c>
      <c r="Q535" s="13">
        <f>IFERROR(__xludf.DUMMYFUNCTION("VALUE(SUBSTITUTE((INDEX(SPLIT(A535,"",""),2)),""."","","",1))"),30.08775)</f>
        <v>30.08775</v>
      </c>
      <c r="R535" s="14" t="b">
        <f t="shared" si="1"/>
        <v>0</v>
      </c>
      <c r="S535" s="14" t="str">
        <f t="shared" si="2"/>
        <v>59.736013,30.08775</v>
      </c>
      <c r="T535" s="12"/>
    </row>
    <row r="536">
      <c r="A536" s="7" t="s">
        <v>3492</v>
      </c>
      <c r="B536" s="8" t="s">
        <v>3493</v>
      </c>
      <c r="C536" s="8" t="s">
        <v>3494</v>
      </c>
      <c r="D536" s="8" t="s">
        <v>16</v>
      </c>
      <c r="E536" s="9" t="s">
        <v>3495</v>
      </c>
      <c r="F536" s="10" t="s">
        <v>3162</v>
      </c>
      <c r="G536" s="8">
        <v>23.61</v>
      </c>
      <c r="H536" s="8"/>
      <c r="I536" s="10"/>
      <c r="J536" s="10" t="s">
        <v>3496</v>
      </c>
      <c r="K536" s="10" t="s">
        <v>3497</v>
      </c>
      <c r="L536" s="11" t="s">
        <v>3498</v>
      </c>
      <c r="M536" s="11" t="s">
        <v>3499</v>
      </c>
      <c r="N536" s="12"/>
      <c r="O536" s="12"/>
      <c r="P536" s="13">
        <f>IFERROR(__xludf.DUMMYFUNCTION("VALUE(SUBSTITUTE((INDEX(SPLIT(A536,"",""),1)),""."","","",1))"),59.556626)</f>
        <v>59.556626</v>
      </c>
      <c r="Q536" s="13">
        <f>IFERROR(__xludf.DUMMYFUNCTION("VALUE(SUBSTITUTE((INDEX(SPLIT(A536,"",""),2)),""."","","",1))"),30.109256)</f>
        <v>30.109256</v>
      </c>
      <c r="R536" s="14" t="b">
        <f t="shared" si="1"/>
        <v>0</v>
      </c>
      <c r="S536" s="14" t="str">
        <f t="shared" si="2"/>
        <v>59.556626,30.109256</v>
      </c>
      <c r="T536" s="12"/>
    </row>
    <row r="537">
      <c r="A537" s="15" t="s">
        <v>3500</v>
      </c>
      <c r="B537" s="16" t="s">
        <v>3501</v>
      </c>
      <c r="C537" s="16" t="s">
        <v>3502</v>
      </c>
      <c r="D537" s="16" t="s">
        <v>16</v>
      </c>
      <c r="E537" s="17" t="s">
        <v>3503</v>
      </c>
      <c r="F537" s="16" t="s">
        <v>3169</v>
      </c>
      <c r="G537" s="16">
        <v>23.61</v>
      </c>
      <c r="H537" s="16"/>
      <c r="I537" s="16"/>
      <c r="J537" s="16" t="s">
        <v>3504</v>
      </c>
      <c r="K537" s="16" t="s">
        <v>3505</v>
      </c>
      <c r="L537" s="16"/>
      <c r="M537" s="25" t="s">
        <v>3506</v>
      </c>
      <c r="N537" s="12"/>
      <c r="O537" s="12"/>
      <c r="P537" s="13">
        <f>IFERROR(__xludf.DUMMYFUNCTION("VALUE(SUBSTITUTE((INDEX(SPLIT(A537,"",""),1)),""."","","",1))"),59.85271)</f>
        <v>59.85271</v>
      </c>
      <c r="Q537" s="13">
        <f>IFERROR(__xludf.DUMMYFUNCTION("VALUE(SUBSTITUTE((INDEX(SPLIT(A537,"",""),2)),""."","","",1))"),30.119254)</f>
        <v>30.119254</v>
      </c>
      <c r="R537" s="14" t="b">
        <f t="shared" si="1"/>
        <v>0</v>
      </c>
      <c r="S537" s="14" t="str">
        <f t="shared" si="2"/>
        <v>59.85271,30.119254</v>
      </c>
      <c r="T537" s="12"/>
    </row>
    <row r="538">
      <c r="A538" s="18" t="s">
        <v>3507</v>
      </c>
      <c r="B538" s="8" t="s">
        <v>3508</v>
      </c>
      <c r="C538" s="8" t="s">
        <v>3509</v>
      </c>
      <c r="D538" s="8" t="s">
        <v>16</v>
      </c>
      <c r="E538" s="19" t="s">
        <v>3510</v>
      </c>
      <c r="F538" s="8" t="s">
        <v>3162</v>
      </c>
      <c r="G538" s="8">
        <v>23.61</v>
      </c>
      <c r="H538" s="8"/>
      <c r="I538" s="8"/>
      <c r="J538" s="8" t="s">
        <v>3511</v>
      </c>
      <c r="K538" s="8" t="s">
        <v>3512</v>
      </c>
      <c r="L538" s="8"/>
      <c r="M538" s="8"/>
      <c r="N538" s="12"/>
      <c r="O538" s="12"/>
      <c r="P538" s="13">
        <f>IFERROR(__xludf.DUMMYFUNCTION("VALUE(SUBSTITUTE((INDEX(SPLIT(A538,"",""),1)),""."","","",1))"),59.563802)</f>
        <v>59.563802</v>
      </c>
      <c r="Q538" s="13">
        <f>IFERROR(__xludf.DUMMYFUNCTION("VALUE(SUBSTITUTE((INDEX(SPLIT(A538,"",""),2)),""."","","",1))"),30.12017)</f>
        <v>30.12017</v>
      </c>
      <c r="R538" s="14" t="b">
        <f t="shared" si="1"/>
        <v>0</v>
      </c>
      <c r="S538" s="14" t="str">
        <f t="shared" si="2"/>
        <v>59.563802,30.12017</v>
      </c>
      <c r="T538" s="12"/>
    </row>
    <row r="539">
      <c r="A539" s="15" t="s">
        <v>3513</v>
      </c>
      <c r="B539" s="16" t="s">
        <v>3514</v>
      </c>
      <c r="C539" s="16" t="s">
        <v>3515</v>
      </c>
      <c r="D539" s="16" t="s">
        <v>16</v>
      </c>
      <c r="E539" s="17" t="s">
        <v>3516</v>
      </c>
      <c r="F539" s="16" t="s">
        <v>3169</v>
      </c>
      <c r="G539" s="16">
        <v>23.61</v>
      </c>
      <c r="H539" s="16"/>
      <c r="I539" s="16"/>
      <c r="J539" s="16" t="s">
        <v>3517</v>
      </c>
      <c r="K539" s="16" t="s">
        <v>3518</v>
      </c>
      <c r="L539" s="16"/>
      <c r="M539" s="16"/>
      <c r="N539" s="12"/>
      <c r="O539" s="12"/>
      <c r="P539" s="13">
        <f>IFERROR(__xludf.DUMMYFUNCTION("VALUE(SUBSTITUTE((INDEX(SPLIT(A539,"",""),1)),""."","","",1))"),59.840017)</f>
        <v>59.840017</v>
      </c>
      <c r="Q539" s="13">
        <f>IFERROR(__xludf.DUMMYFUNCTION("VALUE(SUBSTITUTE((INDEX(SPLIT(A539,"",""),2)),""."","","",1))"),30.120925)</f>
        <v>30.120925</v>
      </c>
      <c r="R539" s="14" t="b">
        <f t="shared" si="1"/>
        <v>0</v>
      </c>
      <c r="S539" s="14" t="str">
        <f t="shared" si="2"/>
        <v>59.840017,30.120925</v>
      </c>
      <c r="T539" s="12"/>
    </row>
    <row r="540">
      <c r="A540" s="7" t="s">
        <v>3519</v>
      </c>
      <c r="B540" s="8" t="s">
        <v>3520</v>
      </c>
      <c r="C540" s="8" t="s">
        <v>3521</v>
      </c>
      <c r="D540" s="8" t="s">
        <v>16</v>
      </c>
      <c r="E540" s="9" t="s">
        <v>3522</v>
      </c>
      <c r="F540" s="10" t="s">
        <v>3169</v>
      </c>
      <c r="G540" s="8">
        <v>23.61</v>
      </c>
      <c r="H540" s="8"/>
      <c r="I540" s="10"/>
      <c r="J540" s="10" t="s">
        <v>3523</v>
      </c>
      <c r="K540" s="10" t="s">
        <v>3524</v>
      </c>
      <c r="L540" s="11" t="s">
        <v>3525</v>
      </c>
      <c r="M540" s="10"/>
      <c r="N540" s="12"/>
      <c r="O540" s="12"/>
      <c r="P540" s="13">
        <f>IFERROR(__xludf.DUMMYFUNCTION("VALUE(SUBSTITUTE((INDEX(SPLIT(A540,"",""),1)),""."","","",1))"),60.006867)</f>
        <v>60.006867</v>
      </c>
      <c r="Q540" s="13">
        <f>IFERROR(__xludf.DUMMYFUNCTION("VALUE(SUBSTITUTE((INDEX(SPLIT(A540,"",""),2)),""."","","",1))"),30.121095)</f>
        <v>30.121095</v>
      </c>
      <c r="R540" s="14" t="b">
        <f t="shared" si="1"/>
        <v>0</v>
      </c>
      <c r="S540" s="14" t="str">
        <f t="shared" si="2"/>
        <v>60.006867,30.121095</v>
      </c>
      <c r="T540" s="12"/>
    </row>
    <row r="541">
      <c r="A541" s="15" t="s">
        <v>3526</v>
      </c>
      <c r="B541" s="16" t="s">
        <v>3527</v>
      </c>
      <c r="C541" s="16" t="s">
        <v>3528</v>
      </c>
      <c r="D541" s="16" t="s">
        <v>16</v>
      </c>
      <c r="E541" s="17" t="s">
        <v>3529</v>
      </c>
      <c r="F541" s="16" t="s">
        <v>3169</v>
      </c>
      <c r="G541" s="16">
        <v>23.61</v>
      </c>
      <c r="H541" s="16"/>
      <c r="I541" s="16"/>
      <c r="J541" s="16" t="s">
        <v>3530</v>
      </c>
      <c r="K541" s="16" t="s">
        <v>3531</v>
      </c>
      <c r="L541" s="16"/>
      <c r="M541" s="16"/>
      <c r="N541" s="12"/>
      <c r="O541" s="12"/>
      <c r="P541" s="13">
        <f>IFERROR(__xludf.DUMMYFUNCTION("VALUE(SUBSTITUTE((INDEX(SPLIT(A541,"",""),1)),""."","","",1))"),59.83612)</f>
        <v>59.83612</v>
      </c>
      <c r="Q541" s="13">
        <f>IFERROR(__xludf.DUMMYFUNCTION("VALUE(SUBSTITUTE((INDEX(SPLIT(A541,"",""),2)),""."","","",1))"),30.136115)</f>
        <v>30.136115</v>
      </c>
      <c r="R541" s="14" t="b">
        <f t="shared" si="1"/>
        <v>0</v>
      </c>
      <c r="S541" s="14" t="str">
        <f t="shared" si="2"/>
        <v>59.83612,30.136115</v>
      </c>
      <c r="T541" s="12"/>
    </row>
    <row r="542">
      <c r="A542" s="7" t="s">
        <v>3532</v>
      </c>
      <c r="B542" s="8" t="s">
        <v>3533</v>
      </c>
      <c r="C542" s="8" t="s">
        <v>3534</v>
      </c>
      <c r="D542" s="8" t="s">
        <v>16</v>
      </c>
      <c r="E542" s="9" t="s">
        <v>3535</v>
      </c>
      <c r="F542" s="10" t="s">
        <v>3162</v>
      </c>
      <c r="G542" s="8">
        <v>23.61</v>
      </c>
      <c r="H542" s="8"/>
      <c r="I542" s="10"/>
      <c r="J542" s="10" t="s">
        <v>3536</v>
      </c>
      <c r="K542" s="10" t="s">
        <v>3537</v>
      </c>
      <c r="L542" s="11" t="s">
        <v>3538</v>
      </c>
      <c r="M542" s="11" t="s">
        <v>3539</v>
      </c>
      <c r="N542" s="12"/>
      <c r="O542" s="12"/>
      <c r="P542" s="13">
        <f>IFERROR(__xludf.DUMMYFUNCTION("VALUE(SUBSTITUTE((INDEX(SPLIT(A542,"",""),1)),""."","","",1))"),59.571049)</f>
        <v>59.571049</v>
      </c>
      <c r="Q542" s="13">
        <f>IFERROR(__xludf.DUMMYFUNCTION("VALUE(SUBSTITUTE((INDEX(SPLIT(A542,"",""),2)),""."","","",1))"),30.139044)</f>
        <v>30.139044</v>
      </c>
      <c r="R542" s="14" t="b">
        <f t="shared" si="1"/>
        <v>0</v>
      </c>
      <c r="S542" s="14" t="str">
        <f t="shared" si="2"/>
        <v>59.571049,30.139044</v>
      </c>
      <c r="T542" s="12"/>
    </row>
    <row r="543">
      <c r="A543" s="15" t="s">
        <v>3540</v>
      </c>
      <c r="B543" s="16" t="s">
        <v>3541</v>
      </c>
      <c r="C543" s="16" t="s">
        <v>3542</v>
      </c>
      <c r="D543" s="16" t="s">
        <v>16</v>
      </c>
      <c r="E543" s="17" t="s">
        <v>3543</v>
      </c>
      <c r="F543" s="16" t="s">
        <v>3169</v>
      </c>
      <c r="G543" s="16">
        <v>23.61</v>
      </c>
      <c r="H543" s="16"/>
      <c r="I543" s="16"/>
      <c r="J543" s="16" t="s">
        <v>3544</v>
      </c>
      <c r="K543" s="16" t="s">
        <v>3545</v>
      </c>
      <c r="L543" s="16"/>
      <c r="M543" s="16"/>
      <c r="N543" s="12"/>
      <c r="O543" s="12"/>
      <c r="P543" s="13">
        <f>IFERROR(__xludf.DUMMYFUNCTION("VALUE(SUBSTITUTE((INDEX(SPLIT(A543,"",""),1)),""."","","",1))"),59.803694)</f>
        <v>59.803694</v>
      </c>
      <c r="Q543" s="13">
        <f>IFERROR(__xludf.DUMMYFUNCTION("VALUE(SUBSTITUTE((INDEX(SPLIT(A543,"",""),2)),""."","","",1))"),30.14482)</f>
        <v>30.14482</v>
      </c>
      <c r="R543" s="14" t="b">
        <f t="shared" si="1"/>
        <v>0</v>
      </c>
      <c r="S543" s="14" t="str">
        <f t="shared" si="2"/>
        <v>59.803694,30.14482</v>
      </c>
      <c r="T543" s="12"/>
    </row>
    <row r="544">
      <c r="A544" s="18" t="s">
        <v>3546</v>
      </c>
      <c r="B544" s="8" t="s">
        <v>3547</v>
      </c>
      <c r="C544" s="8" t="s">
        <v>3548</v>
      </c>
      <c r="D544" s="8" t="s">
        <v>16</v>
      </c>
      <c r="E544" s="19" t="s">
        <v>3549</v>
      </c>
      <c r="F544" s="8" t="s">
        <v>3169</v>
      </c>
      <c r="G544" s="8">
        <v>23.61</v>
      </c>
      <c r="H544" s="8"/>
      <c r="I544" s="8"/>
      <c r="J544" s="8" t="s">
        <v>3550</v>
      </c>
      <c r="K544" s="8" t="s">
        <v>3551</v>
      </c>
      <c r="L544" s="8"/>
      <c r="M544" s="8"/>
      <c r="N544" s="12"/>
      <c r="O544" s="12"/>
      <c r="P544" s="13">
        <f>IFERROR(__xludf.DUMMYFUNCTION("VALUE(SUBSTITUTE((INDEX(SPLIT(A544,"",""),1)),""."","","",1))"),59.851815)</f>
        <v>59.851815</v>
      </c>
      <c r="Q544" s="13">
        <f>IFERROR(__xludf.DUMMYFUNCTION("VALUE(SUBSTITUTE((INDEX(SPLIT(A544,"",""),2)),""."","","",1))"),30.146212)</f>
        <v>30.146212</v>
      </c>
      <c r="R544" s="14" t="b">
        <f t="shared" si="1"/>
        <v>0</v>
      </c>
      <c r="S544" s="14" t="str">
        <f t="shared" si="2"/>
        <v>59.851815,30.146212</v>
      </c>
      <c r="T544" s="12"/>
    </row>
    <row r="545">
      <c r="A545" s="20" t="s">
        <v>3552</v>
      </c>
      <c r="B545" s="16" t="s">
        <v>2881</v>
      </c>
      <c r="C545" s="16" t="s">
        <v>2882</v>
      </c>
      <c r="D545" s="16" t="s">
        <v>16</v>
      </c>
      <c r="E545" s="21" t="s">
        <v>3553</v>
      </c>
      <c r="F545" s="22" t="s">
        <v>3162</v>
      </c>
      <c r="G545" s="16">
        <v>23.61</v>
      </c>
      <c r="H545" s="16"/>
      <c r="I545" s="22"/>
      <c r="J545" s="22" t="s">
        <v>3554</v>
      </c>
      <c r="K545" s="22" t="s">
        <v>3555</v>
      </c>
      <c r="L545" s="23" t="s">
        <v>3556</v>
      </c>
      <c r="M545" s="22"/>
      <c r="N545" s="12"/>
      <c r="O545" s="12"/>
      <c r="P545" s="13">
        <f>IFERROR(__xludf.DUMMYFUNCTION("VALUE(SUBSTITUTE((INDEX(SPLIT(A545,"",""),1)),""."","","",1))"),61.038907)</f>
        <v>61.038907</v>
      </c>
      <c r="Q545" s="13">
        <f>IFERROR(__xludf.DUMMYFUNCTION("VALUE(SUBSTITUTE((INDEX(SPLIT(A545,"",""),2)),""."","","",1))"),30.147012)</f>
        <v>30.147012</v>
      </c>
      <c r="R545" s="14" t="b">
        <f t="shared" si="1"/>
        <v>0</v>
      </c>
      <c r="S545" s="14" t="str">
        <f t="shared" si="2"/>
        <v>61.038907,30.147012</v>
      </c>
      <c r="T545" s="12"/>
    </row>
    <row r="546">
      <c r="A546" s="7" t="s">
        <v>3557</v>
      </c>
      <c r="B546" s="8" t="s">
        <v>3558</v>
      </c>
      <c r="C546" s="8" t="s">
        <v>3559</v>
      </c>
      <c r="D546" s="8" t="s">
        <v>16</v>
      </c>
      <c r="E546" s="9" t="s">
        <v>3560</v>
      </c>
      <c r="F546" s="10" t="s">
        <v>3169</v>
      </c>
      <c r="G546" s="8">
        <v>23.61</v>
      </c>
      <c r="H546" s="8"/>
      <c r="I546" s="10"/>
      <c r="J546" s="10" t="s">
        <v>3561</v>
      </c>
      <c r="K546" s="10" t="s">
        <v>3562</v>
      </c>
      <c r="L546" s="11" t="s">
        <v>3563</v>
      </c>
      <c r="M546" s="10"/>
      <c r="N546" s="12"/>
      <c r="O546" s="12"/>
      <c r="P546" s="13">
        <f>IFERROR(__xludf.DUMMYFUNCTION("VALUE(SUBSTITUTE((INDEX(SPLIT(A546,"",""),1)),""."","","",1))"),59.812238)</f>
        <v>59.812238</v>
      </c>
      <c r="Q546" s="13">
        <f>IFERROR(__xludf.DUMMYFUNCTION("VALUE(SUBSTITUTE((INDEX(SPLIT(A546,"",""),2)),""."","","",1))"),30.164457)</f>
        <v>30.164457</v>
      </c>
      <c r="R546" s="14" t="b">
        <f t="shared" si="1"/>
        <v>0</v>
      </c>
      <c r="S546" s="14" t="str">
        <f t="shared" si="2"/>
        <v>59.812238,30.164457</v>
      </c>
      <c r="T546" s="12"/>
    </row>
    <row r="547">
      <c r="A547" s="20" t="s">
        <v>3564</v>
      </c>
      <c r="B547" s="16" t="s">
        <v>3565</v>
      </c>
      <c r="C547" s="16" t="s">
        <v>3566</v>
      </c>
      <c r="D547" s="16" t="s">
        <v>16</v>
      </c>
      <c r="E547" s="21" t="s">
        <v>3567</v>
      </c>
      <c r="F547" s="22" t="s">
        <v>3169</v>
      </c>
      <c r="G547" s="16">
        <v>23.61</v>
      </c>
      <c r="H547" s="16"/>
      <c r="I547" s="28" t="s">
        <v>3568</v>
      </c>
      <c r="J547" s="22" t="s">
        <v>3569</v>
      </c>
      <c r="K547" s="22" t="s">
        <v>3570</v>
      </c>
      <c r="L547" s="23" t="s">
        <v>3571</v>
      </c>
      <c r="M547" s="23" t="s">
        <v>3572</v>
      </c>
      <c r="N547" s="12"/>
      <c r="O547" s="12"/>
      <c r="P547" s="13">
        <f>IFERROR(__xludf.DUMMYFUNCTION("VALUE(SUBSTITUTE((INDEX(SPLIT(A547,"",""),1)),""."","","",1))"),59.614118)</f>
        <v>59.614118</v>
      </c>
      <c r="Q547" s="13">
        <f>IFERROR(__xludf.DUMMYFUNCTION("VALUE(SUBSTITUTE((INDEX(SPLIT(A547,"",""),2)),""."","","",1))"),30.168167)</f>
        <v>30.168167</v>
      </c>
      <c r="R547" s="14" t="b">
        <f t="shared" si="1"/>
        <v>0</v>
      </c>
      <c r="S547" s="14" t="str">
        <f t="shared" si="2"/>
        <v>59.614118,30.168167</v>
      </c>
      <c r="T547" s="12"/>
    </row>
    <row r="548">
      <c r="A548" s="18" t="s">
        <v>3573</v>
      </c>
      <c r="B548" s="8" t="s">
        <v>3574</v>
      </c>
      <c r="C548" s="8" t="s">
        <v>3575</v>
      </c>
      <c r="D548" s="8" t="s">
        <v>16</v>
      </c>
      <c r="E548" s="19" t="s">
        <v>3576</v>
      </c>
      <c r="F548" s="8" t="s">
        <v>3162</v>
      </c>
      <c r="G548" s="8">
        <v>23.61</v>
      </c>
      <c r="H548" s="8"/>
      <c r="I548" s="8"/>
      <c r="J548" s="8" t="s">
        <v>3577</v>
      </c>
      <c r="K548" s="8" t="s">
        <v>3578</v>
      </c>
      <c r="L548" s="8"/>
      <c r="M548" s="8"/>
      <c r="N548" s="12"/>
      <c r="O548" s="12"/>
      <c r="P548" s="13">
        <f>IFERROR(__xludf.DUMMYFUNCTION("VALUE(SUBSTITUTE((INDEX(SPLIT(A548,"",""),1)),""."","","",1))"),59.612447)</f>
        <v>59.612447</v>
      </c>
      <c r="Q548" s="13">
        <f>IFERROR(__xludf.DUMMYFUNCTION("VALUE(SUBSTITUTE((INDEX(SPLIT(A548,"",""),2)),""."","","",1))"),30.176198)</f>
        <v>30.176198</v>
      </c>
      <c r="R548" s="14" t="b">
        <f t="shared" si="1"/>
        <v>0</v>
      </c>
      <c r="S548" s="14" t="str">
        <f t="shared" si="2"/>
        <v>59.612447,30.176198</v>
      </c>
      <c r="T548" s="12"/>
    </row>
    <row r="549">
      <c r="A549" s="20" t="s">
        <v>3579</v>
      </c>
      <c r="B549" s="16" t="s">
        <v>3580</v>
      </c>
      <c r="C549" s="16" t="s">
        <v>3581</v>
      </c>
      <c r="D549" s="16" t="s">
        <v>16</v>
      </c>
      <c r="E549" s="21" t="s">
        <v>3582</v>
      </c>
      <c r="F549" s="22" t="s">
        <v>3169</v>
      </c>
      <c r="G549" s="16">
        <v>23.61</v>
      </c>
      <c r="H549" s="16"/>
      <c r="I549" s="22"/>
      <c r="J549" s="22" t="s">
        <v>3583</v>
      </c>
      <c r="K549" s="22" t="s">
        <v>3584</v>
      </c>
      <c r="L549" s="23" t="s">
        <v>3585</v>
      </c>
      <c r="M549" s="22"/>
      <c r="N549" s="12"/>
      <c r="O549" s="12"/>
      <c r="P549" s="13">
        <f>IFERROR(__xludf.DUMMYFUNCTION("VALUE(SUBSTITUTE((INDEX(SPLIT(A549,"",""),1)),""."","","",1))"),59.852579)</f>
        <v>59.852579</v>
      </c>
      <c r="Q549" s="13">
        <f>IFERROR(__xludf.DUMMYFUNCTION("VALUE(SUBSTITUTE((INDEX(SPLIT(A549,"",""),2)),""."","","",1))"),30.186088)</f>
        <v>30.186088</v>
      </c>
      <c r="R549" s="14" t="b">
        <f t="shared" si="1"/>
        <v>0</v>
      </c>
      <c r="S549" s="14" t="str">
        <f t="shared" si="2"/>
        <v>59.852579,30.186088</v>
      </c>
      <c r="T549" s="12"/>
    </row>
    <row r="550">
      <c r="A550" s="7" t="s">
        <v>3586</v>
      </c>
      <c r="B550" s="8" t="s">
        <v>3587</v>
      </c>
      <c r="C550" s="8" t="s">
        <v>3588</v>
      </c>
      <c r="D550" s="8" t="s">
        <v>16</v>
      </c>
      <c r="E550" s="9" t="s">
        <v>3589</v>
      </c>
      <c r="F550" s="10" t="s">
        <v>3169</v>
      </c>
      <c r="G550" s="8">
        <v>23.61</v>
      </c>
      <c r="H550" s="8"/>
      <c r="I550" s="10"/>
      <c r="J550" s="10" t="s">
        <v>3590</v>
      </c>
      <c r="K550" s="10" t="s">
        <v>3591</v>
      </c>
      <c r="L550" s="11" t="s">
        <v>3592</v>
      </c>
      <c r="M550" s="10"/>
      <c r="N550" s="12"/>
      <c r="O550" s="12"/>
      <c r="P550" s="13">
        <f>IFERROR(__xludf.DUMMYFUNCTION("VALUE(SUBSTITUTE((INDEX(SPLIT(A550,"",""),1)),""."","","",1))"),59.857653)</f>
        <v>59.857653</v>
      </c>
      <c r="Q550" s="13">
        <f>IFERROR(__xludf.DUMMYFUNCTION("VALUE(SUBSTITUTE((INDEX(SPLIT(A550,"",""),2)),""."","","",1))"),30.199213)</f>
        <v>30.199213</v>
      </c>
      <c r="R550" s="14" t="b">
        <f t="shared" si="1"/>
        <v>0</v>
      </c>
      <c r="S550" s="14" t="str">
        <f t="shared" si="2"/>
        <v>59.857653,30.199213</v>
      </c>
      <c r="T550" s="12"/>
    </row>
    <row r="551">
      <c r="A551" s="20" t="s">
        <v>3593</v>
      </c>
      <c r="B551" s="16" t="s">
        <v>3594</v>
      </c>
      <c r="C551" s="16" t="s">
        <v>3595</v>
      </c>
      <c r="D551" s="16" t="s">
        <v>16</v>
      </c>
      <c r="E551" s="21" t="s">
        <v>3596</v>
      </c>
      <c r="F551" s="22" t="s">
        <v>3162</v>
      </c>
      <c r="G551" s="16">
        <v>23.61</v>
      </c>
      <c r="H551" s="16"/>
      <c r="I551" s="22"/>
      <c r="J551" s="22" t="s">
        <v>3597</v>
      </c>
      <c r="K551" s="22" t="s">
        <v>3598</v>
      </c>
      <c r="L551" s="23" t="s">
        <v>3599</v>
      </c>
      <c r="M551" s="22"/>
      <c r="N551" s="12"/>
      <c r="O551" s="12"/>
      <c r="P551" s="13">
        <f>IFERROR(__xludf.DUMMYFUNCTION("VALUE(SUBSTITUTE((INDEX(SPLIT(A551,"",""),1)),""."","","",1))"),60.118664)</f>
        <v>60.118664</v>
      </c>
      <c r="Q551" s="13">
        <f>IFERROR(__xludf.DUMMYFUNCTION("VALUE(SUBSTITUTE((INDEX(SPLIT(A551,"",""),2)),""."","","",1))"),30.205546)</f>
        <v>30.205546</v>
      </c>
      <c r="R551" s="14" t="b">
        <f t="shared" si="1"/>
        <v>0</v>
      </c>
      <c r="S551" s="14" t="str">
        <f t="shared" si="2"/>
        <v>60.118664,30.205546</v>
      </c>
      <c r="T551" s="12"/>
    </row>
    <row r="552">
      <c r="A552" s="18" t="s">
        <v>3593</v>
      </c>
      <c r="B552" s="8" t="s">
        <v>3600</v>
      </c>
      <c r="C552" s="8" t="s">
        <v>3601</v>
      </c>
      <c r="D552" s="8" t="s">
        <v>16</v>
      </c>
      <c r="E552" s="19" t="s">
        <v>3602</v>
      </c>
      <c r="F552" s="8" t="s">
        <v>3162</v>
      </c>
      <c r="G552" s="8">
        <v>23.61</v>
      </c>
      <c r="H552" s="8"/>
      <c r="I552" s="8"/>
      <c r="J552" s="8" t="s">
        <v>3603</v>
      </c>
      <c r="K552" s="8" t="s">
        <v>3604</v>
      </c>
      <c r="L552" s="8"/>
      <c r="M552" s="8"/>
      <c r="N552" s="12"/>
      <c r="O552" s="12"/>
      <c r="P552" s="13">
        <f>IFERROR(__xludf.DUMMYFUNCTION("VALUE(SUBSTITUTE((INDEX(SPLIT(A552,"",""),1)),""."","","",1))"),60.118664)</f>
        <v>60.118664</v>
      </c>
      <c r="Q552" s="13">
        <f>IFERROR(__xludf.DUMMYFUNCTION("VALUE(SUBSTITUTE((INDEX(SPLIT(A552,"",""),2)),""."","","",1))"),30.205546)</f>
        <v>30.205546</v>
      </c>
      <c r="R552" s="14" t="b">
        <f t="shared" si="1"/>
        <v>0</v>
      </c>
      <c r="S552" s="14" t="str">
        <f t="shared" si="2"/>
        <v>60.118664,30.205546</v>
      </c>
      <c r="T552" s="12"/>
    </row>
    <row r="553">
      <c r="A553" s="15" t="s">
        <v>3605</v>
      </c>
      <c r="B553" s="16" t="s">
        <v>3606</v>
      </c>
      <c r="C553" s="16" t="s">
        <v>3607</v>
      </c>
      <c r="D553" s="16" t="s">
        <v>16</v>
      </c>
      <c r="E553" s="17" t="s">
        <v>3608</v>
      </c>
      <c r="F553" s="16" t="s">
        <v>3162</v>
      </c>
      <c r="G553" s="16">
        <v>23.61</v>
      </c>
      <c r="H553" s="16"/>
      <c r="I553" s="16"/>
      <c r="J553" s="16" t="s">
        <v>3609</v>
      </c>
      <c r="K553" s="16" t="s">
        <v>3610</v>
      </c>
      <c r="L553" s="16"/>
      <c r="M553" s="16"/>
      <c r="N553" s="12"/>
      <c r="O553" s="12"/>
      <c r="P553" s="13">
        <f>IFERROR(__xludf.DUMMYFUNCTION("VALUE(SUBSTITUTE((INDEX(SPLIT(A553,"",""),1)),""."","","",1))"),60.134445)</f>
        <v>60.134445</v>
      </c>
      <c r="Q553" s="13">
        <f>IFERROR(__xludf.DUMMYFUNCTION("VALUE(SUBSTITUTE((INDEX(SPLIT(A553,"",""),2)),""."","","",1))"),30.208825)</f>
        <v>30.208825</v>
      </c>
      <c r="R553" s="14" t="b">
        <f t="shared" si="1"/>
        <v>0</v>
      </c>
      <c r="S553" s="14" t="str">
        <f t="shared" si="2"/>
        <v>60.134445,30.208825</v>
      </c>
      <c r="T553" s="12"/>
    </row>
    <row r="554">
      <c r="A554" s="18" t="s">
        <v>3611</v>
      </c>
      <c r="B554" s="8" t="s">
        <v>3612</v>
      </c>
      <c r="C554" s="8" t="s">
        <v>3613</v>
      </c>
      <c r="D554" s="8" t="s">
        <v>16</v>
      </c>
      <c r="E554" s="19" t="s">
        <v>3614</v>
      </c>
      <c r="F554" s="8" t="s">
        <v>3162</v>
      </c>
      <c r="G554" s="8">
        <v>23.61</v>
      </c>
      <c r="H554" s="8"/>
      <c r="I554" s="8"/>
      <c r="J554" s="8" t="s">
        <v>3615</v>
      </c>
      <c r="K554" s="8" t="s">
        <v>3616</v>
      </c>
      <c r="L554" s="8"/>
      <c r="M554" s="24" t="s">
        <v>3617</v>
      </c>
      <c r="N554" s="12"/>
      <c r="O554" s="12"/>
      <c r="P554" s="13">
        <f>IFERROR(__xludf.DUMMYFUNCTION("VALUE(SUBSTITUTE((INDEX(SPLIT(A554,"",""),1)),""."","","",1))"),60.148704)</f>
        <v>60.148704</v>
      </c>
      <c r="Q554" s="13">
        <f>IFERROR(__xludf.DUMMYFUNCTION("VALUE(SUBSTITUTE((INDEX(SPLIT(A554,"",""),2)),""."","","",1))"),30.212777)</f>
        <v>30.212777</v>
      </c>
      <c r="R554" s="14" t="b">
        <f t="shared" si="1"/>
        <v>0</v>
      </c>
      <c r="S554" s="14" t="str">
        <f t="shared" si="2"/>
        <v>60.148704,30.212777</v>
      </c>
      <c r="T554" s="12"/>
    </row>
    <row r="555">
      <c r="A555" s="20" t="s">
        <v>3618</v>
      </c>
      <c r="B555" s="16" t="s">
        <v>3619</v>
      </c>
      <c r="C555" s="16" t="s">
        <v>3620</v>
      </c>
      <c r="D555" s="16" t="s">
        <v>16</v>
      </c>
      <c r="E555" s="21" t="s">
        <v>3621</v>
      </c>
      <c r="F555" s="22" t="s">
        <v>3169</v>
      </c>
      <c r="G555" s="16">
        <v>23.61</v>
      </c>
      <c r="H555" s="16"/>
      <c r="I555" s="22"/>
      <c r="J555" s="22" t="s">
        <v>3622</v>
      </c>
      <c r="K555" s="22" t="s">
        <v>3623</v>
      </c>
      <c r="L555" s="23" t="s">
        <v>3624</v>
      </c>
      <c r="M555" s="22"/>
      <c r="N555" s="12"/>
      <c r="O555" s="12"/>
      <c r="P555" s="13">
        <f>IFERROR(__xludf.DUMMYFUNCTION("VALUE(SUBSTITUTE((INDEX(SPLIT(A555,"",""),1)),""."","","",1))"),60.072808)</f>
        <v>60.072808</v>
      </c>
      <c r="Q555" s="13">
        <f>IFERROR(__xludf.DUMMYFUNCTION("VALUE(SUBSTITUTE((INDEX(SPLIT(A555,"",""),2)),""."","","",1))"),30.22274)</f>
        <v>30.22274</v>
      </c>
      <c r="R555" s="14" t="b">
        <f t="shared" si="1"/>
        <v>0</v>
      </c>
      <c r="S555" s="14" t="str">
        <f t="shared" si="2"/>
        <v>60.072808,30.22274</v>
      </c>
      <c r="T555" s="12"/>
    </row>
    <row r="556">
      <c r="A556" s="18" t="s">
        <v>3625</v>
      </c>
      <c r="B556" s="8" t="s">
        <v>3626</v>
      </c>
      <c r="C556" s="8" t="s">
        <v>3627</v>
      </c>
      <c r="D556" s="8" t="s">
        <v>16</v>
      </c>
      <c r="E556" s="19" t="s">
        <v>3628</v>
      </c>
      <c r="F556" s="8" t="s">
        <v>3162</v>
      </c>
      <c r="G556" s="8">
        <v>23.61</v>
      </c>
      <c r="H556" s="8"/>
      <c r="I556" s="8"/>
      <c r="J556" s="8" t="s">
        <v>3629</v>
      </c>
      <c r="K556" s="8" t="s">
        <v>3630</v>
      </c>
      <c r="L556" s="8"/>
      <c r="M556" s="8"/>
      <c r="N556" s="12"/>
      <c r="O556" s="12"/>
      <c r="P556" s="13">
        <f>IFERROR(__xludf.DUMMYFUNCTION("VALUE(SUBSTITUTE((INDEX(SPLIT(A556,"",""),1)),""."","","",1))"),59.662726)</f>
        <v>59.662726</v>
      </c>
      <c r="Q556" s="13">
        <f>IFERROR(__xludf.DUMMYFUNCTION("VALUE(SUBSTITUTE((INDEX(SPLIT(A556,"",""),2)),""."","","",1))"),30.22539)</f>
        <v>30.22539</v>
      </c>
      <c r="R556" s="14" t="b">
        <f t="shared" si="1"/>
        <v>0</v>
      </c>
      <c r="S556" s="14" t="str">
        <f t="shared" si="2"/>
        <v>59.662726,30.22539</v>
      </c>
      <c r="T556" s="12"/>
    </row>
    <row r="557">
      <c r="A557" s="15" t="s">
        <v>3631</v>
      </c>
      <c r="B557" s="16" t="s">
        <v>3632</v>
      </c>
      <c r="C557" s="16" t="s">
        <v>3633</v>
      </c>
      <c r="D557" s="16" t="s">
        <v>16</v>
      </c>
      <c r="E557" s="17" t="s">
        <v>3634</v>
      </c>
      <c r="F557" s="16" t="s">
        <v>3162</v>
      </c>
      <c r="G557" s="16">
        <v>23.61</v>
      </c>
      <c r="H557" s="16"/>
      <c r="I557" s="16"/>
      <c r="J557" s="16" t="s">
        <v>3635</v>
      </c>
      <c r="K557" s="16" t="s">
        <v>3636</v>
      </c>
      <c r="L557" s="16"/>
      <c r="M557" s="16"/>
      <c r="N557" s="12"/>
      <c r="O557" s="12"/>
      <c r="P557" s="13">
        <f>IFERROR(__xludf.DUMMYFUNCTION("VALUE(SUBSTITUTE((INDEX(SPLIT(A557,"",""),1)),""."","","",1))"),60.140449)</f>
        <v>60.140449</v>
      </c>
      <c r="Q557" s="13">
        <f>IFERROR(__xludf.DUMMYFUNCTION("VALUE(SUBSTITUTE((INDEX(SPLIT(A557,"",""),2)),""."","","",1))"),30.234256)</f>
        <v>30.234256</v>
      </c>
      <c r="R557" s="14" t="b">
        <f t="shared" si="1"/>
        <v>0</v>
      </c>
      <c r="S557" s="14" t="str">
        <f t="shared" si="2"/>
        <v>60.140449,30.234256</v>
      </c>
      <c r="T557" s="12"/>
    </row>
    <row r="558">
      <c r="A558" s="7" t="s">
        <v>3637</v>
      </c>
      <c r="B558" s="8" t="s">
        <v>3638</v>
      </c>
      <c r="C558" s="8" t="s">
        <v>3639</v>
      </c>
      <c r="D558" s="8" t="s">
        <v>16</v>
      </c>
      <c r="E558" s="9" t="s">
        <v>3640</v>
      </c>
      <c r="F558" s="10" t="s">
        <v>3169</v>
      </c>
      <c r="G558" s="8">
        <v>23.61</v>
      </c>
      <c r="H558" s="8"/>
      <c r="I558" s="10"/>
      <c r="J558" s="10" t="s">
        <v>3641</v>
      </c>
      <c r="K558" s="10" t="s">
        <v>3642</v>
      </c>
      <c r="L558" s="11" t="s">
        <v>3643</v>
      </c>
      <c r="M558" s="10"/>
      <c r="N558" s="12"/>
      <c r="O558" s="12"/>
      <c r="P558" s="13">
        <f>IFERROR(__xludf.DUMMYFUNCTION("VALUE(SUBSTITUTE((INDEX(SPLIT(A558,"",""),1)),""."","","",1))"),59.986979)</f>
        <v>59.986979</v>
      </c>
      <c r="Q558" s="13">
        <f>IFERROR(__xludf.DUMMYFUNCTION("VALUE(SUBSTITUTE((INDEX(SPLIT(A558,"",""),2)),""."","","",1))"),30.23608)</f>
        <v>30.23608</v>
      </c>
      <c r="R558" s="14" t="b">
        <f t="shared" si="1"/>
        <v>0</v>
      </c>
      <c r="S558" s="14" t="str">
        <f t="shared" si="2"/>
        <v>59.986979,30.23608</v>
      </c>
      <c r="T558" s="12"/>
    </row>
    <row r="559">
      <c r="A559" s="15" t="s">
        <v>3644</v>
      </c>
      <c r="B559" s="16" t="s">
        <v>3645</v>
      </c>
      <c r="C559" s="16" t="s">
        <v>3646</v>
      </c>
      <c r="D559" s="16" t="s">
        <v>16</v>
      </c>
      <c r="E559" s="17" t="s">
        <v>3647</v>
      </c>
      <c r="F559" s="16" t="s">
        <v>3169</v>
      </c>
      <c r="G559" s="16">
        <v>23.61</v>
      </c>
      <c r="H559" s="16"/>
      <c r="I559" s="16"/>
      <c r="J559" s="16" t="s">
        <v>3648</v>
      </c>
      <c r="K559" s="16" t="s">
        <v>3649</v>
      </c>
      <c r="L559" s="16"/>
      <c r="M559" s="25" t="s">
        <v>3650</v>
      </c>
      <c r="N559" s="12"/>
      <c r="O559" s="12"/>
      <c r="P559" s="13">
        <f>IFERROR(__xludf.DUMMYFUNCTION("VALUE(SUBSTITUTE((INDEX(SPLIT(A559,"",""),1)),""."","","",1))"),59.945562)</f>
        <v>59.945562</v>
      </c>
      <c r="Q559" s="13">
        <f>IFERROR(__xludf.DUMMYFUNCTION("VALUE(SUBSTITUTE((INDEX(SPLIT(A559,"",""),2)),""."","","",1))"),30.240239)</f>
        <v>30.240239</v>
      </c>
      <c r="R559" s="14" t="b">
        <f t="shared" si="1"/>
        <v>0</v>
      </c>
      <c r="S559" s="14" t="str">
        <f t="shared" si="2"/>
        <v>59.945562,30.240239</v>
      </c>
      <c r="T559" s="12"/>
    </row>
    <row r="560">
      <c r="A560" s="18" t="s">
        <v>3644</v>
      </c>
      <c r="B560" s="8" t="s">
        <v>3651</v>
      </c>
      <c r="C560" s="8" t="s">
        <v>3652</v>
      </c>
      <c r="D560" s="8" t="s">
        <v>16</v>
      </c>
      <c r="E560" s="19" t="s">
        <v>3653</v>
      </c>
      <c r="F560" s="8" t="s">
        <v>3169</v>
      </c>
      <c r="G560" s="8">
        <v>23.61</v>
      </c>
      <c r="H560" s="8"/>
      <c r="I560" s="8"/>
      <c r="J560" s="8" t="s">
        <v>3654</v>
      </c>
      <c r="K560" s="8" t="s">
        <v>3655</v>
      </c>
      <c r="L560" s="8"/>
      <c r="M560" s="24" t="s">
        <v>3650</v>
      </c>
      <c r="N560" s="12"/>
      <c r="O560" s="12"/>
      <c r="P560" s="13">
        <f>IFERROR(__xludf.DUMMYFUNCTION("VALUE(SUBSTITUTE((INDEX(SPLIT(A560,"",""),1)),""."","","",1))"),59.945562)</f>
        <v>59.945562</v>
      </c>
      <c r="Q560" s="13">
        <f>IFERROR(__xludf.DUMMYFUNCTION("VALUE(SUBSTITUTE((INDEX(SPLIT(A560,"",""),2)),""."","","",1))"),30.240239)</f>
        <v>30.240239</v>
      </c>
      <c r="R560" s="14" t="b">
        <f t="shared" si="1"/>
        <v>0</v>
      </c>
      <c r="S560" s="14" t="str">
        <f t="shared" si="2"/>
        <v>59.945562,30.240239</v>
      </c>
      <c r="T560" s="12"/>
    </row>
    <row r="561">
      <c r="A561" s="20" t="s">
        <v>3656</v>
      </c>
      <c r="B561" s="16" t="s">
        <v>3657</v>
      </c>
      <c r="C561" s="16" t="s">
        <v>3658</v>
      </c>
      <c r="D561" s="16" t="s">
        <v>16</v>
      </c>
      <c r="E561" s="21" t="s">
        <v>3659</v>
      </c>
      <c r="F561" s="22" t="s">
        <v>3169</v>
      </c>
      <c r="G561" s="16">
        <v>23.61</v>
      </c>
      <c r="H561" s="16"/>
      <c r="I561" s="22"/>
      <c r="J561" s="22" t="s">
        <v>3660</v>
      </c>
      <c r="K561" s="22" t="s">
        <v>3661</v>
      </c>
      <c r="L561" s="23" t="s">
        <v>3662</v>
      </c>
      <c r="M561" s="22"/>
      <c r="N561" s="12"/>
      <c r="O561" s="12"/>
      <c r="P561" s="13">
        <f>IFERROR(__xludf.DUMMYFUNCTION("VALUE(SUBSTITUTE((INDEX(SPLIT(A561,"",""),1)),""."","","",1))"),59.86827)</f>
        <v>59.86827</v>
      </c>
      <c r="Q561" s="13">
        <f>IFERROR(__xludf.DUMMYFUNCTION("VALUE(SUBSTITUTE((INDEX(SPLIT(A561,"",""),2)),""."","","",1))"),30.24173)</f>
        <v>30.24173</v>
      </c>
      <c r="R561" s="14" t="b">
        <f t="shared" si="1"/>
        <v>0</v>
      </c>
      <c r="S561" s="14" t="str">
        <f t="shared" si="2"/>
        <v>59.86827,30.24173</v>
      </c>
      <c r="T561" s="12"/>
    </row>
    <row r="562">
      <c r="A562" s="18" t="s">
        <v>3663</v>
      </c>
      <c r="B562" s="8" t="s">
        <v>3664</v>
      </c>
      <c r="C562" s="8" t="s">
        <v>3665</v>
      </c>
      <c r="D562" s="8" t="s">
        <v>16</v>
      </c>
      <c r="E562" s="19" t="s">
        <v>3666</v>
      </c>
      <c r="F562" s="8" t="s">
        <v>3169</v>
      </c>
      <c r="G562" s="8">
        <v>23.61</v>
      </c>
      <c r="H562" s="8"/>
      <c r="I562" s="8"/>
      <c r="J562" s="8" t="s">
        <v>3667</v>
      </c>
      <c r="K562" s="8" t="s">
        <v>3668</v>
      </c>
      <c r="L562" s="8"/>
      <c r="M562" s="24" t="s">
        <v>3669</v>
      </c>
      <c r="N562" s="12"/>
      <c r="O562" s="12"/>
      <c r="P562" s="13">
        <f>IFERROR(__xludf.DUMMYFUNCTION("VALUE(SUBSTITUTE((INDEX(SPLIT(A562,"",""),1)),""."","","",1))"),59.939528)</f>
        <v>59.939528</v>
      </c>
      <c r="Q562" s="13">
        <f>IFERROR(__xludf.DUMMYFUNCTION("VALUE(SUBSTITUTE((INDEX(SPLIT(A562,"",""),2)),""."","","",1))"),30.24332)</f>
        <v>30.24332</v>
      </c>
      <c r="R562" s="14" t="b">
        <f t="shared" si="1"/>
        <v>0</v>
      </c>
      <c r="S562" s="14" t="str">
        <f t="shared" si="2"/>
        <v>59.939528,30.24332</v>
      </c>
      <c r="T562" s="12"/>
    </row>
    <row r="563">
      <c r="A563" s="15" t="s">
        <v>3670</v>
      </c>
      <c r="B563" s="16" t="s">
        <v>3671</v>
      </c>
      <c r="C563" s="16" t="s">
        <v>3672</v>
      </c>
      <c r="D563" s="16" t="s">
        <v>16</v>
      </c>
      <c r="E563" s="17" t="s">
        <v>3673</v>
      </c>
      <c r="F563" s="16" t="s">
        <v>3162</v>
      </c>
      <c r="G563" s="16">
        <v>23.61</v>
      </c>
      <c r="H563" s="16"/>
      <c r="I563" s="16"/>
      <c r="J563" s="16" t="s">
        <v>3674</v>
      </c>
      <c r="K563" s="16" t="s">
        <v>3675</v>
      </c>
      <c r="L563" s="16"/>
      <c r="M563" s="16"/>
      <c r="N563" s="12"/>
      <c r="O563" s="12"/>
      <c r="P563" s="13">
        <f>IFERROR(__xludf.DUMMYFUNCTION("VALUE(SUBSTITUTE((INDEX(SPLIT(A563,"",""),1)),""."","","",1))"),59.723679)</f>
        <v>59.723679</v>
      </c>
      <c r="Q563" s="13">
        <f>IFERROR(__xludf.DUMMYFUNCTION("VALUE(SUBSTITUTE((INDEX(SPLIT(A563,"",""),2)),""."","","",1))"),30.248701)</f>
        <v>30.248701</v>
      </c>
      <c r="R563" s="14" t="b">
        <f t="shared" si="1"/>
        <v>0</v>
      </c>
      <c r="S563" s="14" t="str">
        <f t="shared" si="2"/>
        <v>59.723679,30.248701</v>
      </c>
      <c r="T563" s="12"/>
    </row>
    <row r="564">
      <c r="A564" s="18" t="s">
        <v>3676</v>
      </c>
      <c r="B564" s="8" t="s">
        <v>3677</v>
      </c>
      <c r="C564" s="8" t="s">
        <v>3678</v>
      </c>
      <c r="D564" s="8" t="s">
        <v>16</v>
      </c>
      <c r="E564" s="19" t="s">
        <v>3679</v>
      </c>
      <c r="F564" s="8" t="s">
        <v>3169</v>
      </c>
      <c r="G564" s="8">
        <v>23.61</v>
      </c>
      <c r="H564" s="8"/>
      <c r="I564" s="8"/>
      <c r="J564" s="8" t="s">
        <v>3680</v>
      </c>
      <c r="K564" s="8" t="s">
        <v>3681</v>
      </c>
      <c r="L564" s="8"/>
      <c r="M564" s="24" t="s">
        <v>3682</v>
      </c>
      <c r="N564" s="12"/>
      <c r="O564" s="12"/>
      <c r="P564" s="13">
        <f>IFERROR(__xludf.DUMMYFUNCTION("VALUE(SUBSTITUTE((INDEX(SPLIT(A564,"",""),1)),""."","","",1))"),59.868469)</f>
        <v>59.868469</v>
      </c>
      <c r="Q564" s="13">
        <f>IFERROR(__xludf.DUMMYFUNCTION("VALUE(SUBSTITUTE((INDEX(SPLIT(A564,"",""),2)),""."","","",1))"),30.25004)</f>
        <v>30.25004</v>
      </c>
      <c r="R564" s="14" t="b">
        <f t="shared" si="1"/>
        <v>0</v>
      </c>
      <c r="S564" s="14" t="str">
        <f t="shared" si="2"/>
        <v>59.868469,30.25004</v>
      </c>
      <c r="T564" s="12"/>
    </row>
    <row r="565">
      <c r="A565" s="20" t="s">
        <v>3683</v>
      </c>
      <c r="B565" s="16" t="s">
        <v>3684</v>
      </c>
      <c r="C565" s="16" t="s">
        <v>3685</v>
      </c>
      <c r="D565" s="16" t="s">
        <v>16</v>
      </c>
      <c r="E565" s="21" t="s">
        <v>3686</v>
      </c>
      <c r="F565" s="22" t="s">
        <v>3169</v>
      </c>
      <c r="G565" s="16">
        <v>23.61</v>
      </c>
      <c r="H565" s="16"/>
      <c r="I565" s="28" t="s">
        <v>3687</v>
      </c>
      <c r="J565" s="22" t="s">
        <v>3688</v>
      </c>
      <c r="K565" s="22" t="s">
        <v>3689</v>
      </c>
      <c r="L565" s="23" t="s">
        <v>3690</v>
      </c>
      <c r="M565" s="22"/>
      <c r="N565" s="12"/>
      <c r="O565" s="12"/>
      <c r="P565" s="13">
        <f>IFERROR(__xludf.DUMMYFUNCTION("VALUE(SUBSTITUTE((INDEX(SPLIT(A565,"",""),1)),""."","","",1))"),60.007398)</f>
        <v>60.007398</v>
      </c>
      <c r="Q565" s="13">
        <f>IFERROR(__xludf.DUMMYFUNCTION("VALUE(SUBSTITUTE((INDEX(SPLIT(A565,"",""),2)),""."","","",1))"),30.250722)</f>
        <v>30.250722</v>
      </c>
      <c r="R565" s="14" t="b">
        <f t="shared" si="1"/>
        <v>0</v>
      </c>
      <c r="S565" s="14" t="str">
        <f t="shared" si="2"/>
        <v>60.007398,30.250722</v>
      </c>
      <c r="T565" s="12"/>
    </row>
    <row r="566">
      <c r="A566" s="18" t="s">
        <v>3691</v>
      </c>
      <c r="B566" s="8" t="s">
        <v>3692</v>
      </c>
      <c r="C566" s="8" t="s">
        <v>3693</v>
      </c>
      <c r="D566" s="8" t="s">
        <v>16</v>
      </c>
      <c r="E566" s="19" t="s">
        <v>3694</v>
      </c>
      <c r="F566" s="8" t="s">
        <v>3169</v>
      </c>
      <c r="G566" s="8">
        <v>23.61</v>
      </c>
      <c r="H566" s="8"/>
      <c r="I566" s="8"/>
      <c r="J566" s="8" t="s">
        <v>3695</v>
      </c>
      <c r="K566" s="8" t="s">
        <v>3696</v>
      </c>
      <c r="L566" s="8"/>
      <c r="M566" s="8"/>
      <c r="N566" s="12"/>
      <c r="O566" s="12"/>
      <c r="P566" s="13">
        <f>IFERROR(__xludf.DUMMYFUNCTION("VALUE(SUBSTITUTE((INDEX(SPLIT(A566,"",""),1)),""."","","",1))"),59.963426)</f>
        <v>59.963426</v>
      </c>
      <c r="Q566" s="13">
        <f>IFERROR(__xludf.DUMMYFUNCTION("VALUE(SUBSTITUTE((INDEX(SPLIT(A566,"",""),2)),""."","","",1))"),30.251944)</f>
        <v>30.251944</v>
      </c>
      <c r="R566" s="14" t="b">
        <f t="shared" si="1"/>
        <v>0</v>
      </c>
      <c r="S566" s="14" t="str">
        <f t="shared" si="2"/>
        <v>59.963426,30.251944</v>
      </c>
      <c r="T566" s="12"/>
    </row>
    <row r="567">
      <c r="A567" s="15" t="s">
        <v>3697</v>
      </c>
      <c r="B567" s="16" t="s">
        <v>3698</v>
      </c>
      <c r="C567" s="16" t="s">
        <v>3699</v>
      </c>
      <c r="D567" s="16" t="s">
        <v>16</v>
      </c>
      <c r="E567" s="17" t="s">
        <v>3700</v>
      </c>
      <c r="F567" s="16" t="s">
        <v>3169</v>
      </c>
      <c r="G567" s="16">
        <v>23.61</v>
      </c>
      <c r="H567" s="16"/>
      <c r="I567" s="16"/>
      <c r="J567" s="16" t="s">
        <v>3701</v>
      </c>
      <c r="K567" s="16" t="s">
        <v>3702</v>
      </c>
      <c r="L567" s="16"/>
      <c r="M567" s="16"/>
      <c r="N567" s="12"/>
      <c r="O567" s="12"/>
      <c r="P567" s="13">
        <f>IFERROR(__xludf.DUMMYFUNCTION("VALUE(SUBSTITUTE((INDEX(SPLIT(A567,"",""),1)),""."","","",1))"),59.865664)</f>
        <v>59.865664</v>
      </c>
      <c r="Q567" s="13">
        <f>IFERROR(__xludf.DUMMYFUNCTION("VALUE(SUBSTITUTE((INDEX(SPLIT(A567,"",""),2)),""."","","",1))"),30.252231)</f>
        <v>30.252231</v>
      </c>
      <c r="R567" s="14" t="b">
        <f t="shared" si="1"/>
        <v>0</v>
      </c>
      <c r="S567" s="14" t="str">
        <f t="shared" si="2"/>
        <v>59.865664,30.252231</v>
      </c>
      <c r="T567" s="12"/>
    </row>
    <row r="568">
      <c r="A568" s="18" t="s">
        <v>3703</v>
      </c>
      <c r="B568" s="8" t="s">
        <v>3704</v>
      </c>
      <c r="C568" s="8" t="s">
        <v>3705</v>
      </c>
      <c r="D568" s="8" t="s">
        <v>16</v>
      </c>
      <c r="E568" s="19" t="s">
        <v>3706</v>
      </c>
      <c r="F568" s="8" t="s">
        <v>3169</v>
      </c>
      <c r="G568" s="8">
        <v>23.61</v>
      </c>
      <c r="H568" s="8"/>
      <c r="I568" s="8"/>
      <c r="J568" s="8" t="s">
        <v>3707</v>
      </c>
      <c r="K568" s="8" t="s">
        <v>3708</v>
      </c>
      <c r="L568" s="8"/>
      <c r="M568" s="24" t="s">
        <v>3709</v>
      </c>
      <c r="N568" s="12"/>
      <c r="O568" s="12"/>
      <c r="P568" s="13">
        <f>IFERROR(__xludf.DUMMYFUNCTION("VALUE(SUBSTITUTE((INDEX(SPLIT(A568,"",""),1)),""."","","",1))"),60.078818)</f>
        <v>60.078818</v>
      </c>
      <c r="Q568" s="13">
        <f>IFERROR(__xludf.DUMMYFUNCTION("VALUE(SUBSTITUTE((INDEX(SPLIT(A568,"",""),2)),""."","","",1))"),30.253453)</f>
        <v>30.253453</v>
      </c>
      <c r="R568" s="14" t="b">
        <f t="shared" si="1"/>
        <v>0</v>
      </c>
      <c r="S568" s="14" t="str">
        <f t="shared" si="2"/>
        <v>60.078818,30.253453</v>
      </c>
      <c r="T568" s="12"/>
    </row>
    <row r="569">
      <c r="A569" s="20" t="s">
        <v>3710</v>
      </c>
      <c r="B569" s="16" t="s">
        <v>3711</v>
      </c>
      <c r="C569" s="16" t="s">
        <v>3712</v>
      </c>
      <c r="D569" s="16" t="s">
        <v>16</v>
      </c>
      <c r="E569" s="21" t="s">
        <v>3713</v>
      </c>
      <c r="F569" s="22" t="s">
        <v>3169</v>
      </c>
      <c r="G569" s="16">
        <v>23.61</v>
      </c>
      <c r="H569" s="16"/>
      <c r="I569" s="28" t="s">
        <v>3714</v>
      </c>
      <c r="J569" s="22" t="s">
        <v>3715</v>
      </c>
      <c r="K569" s="22" t="s">
        <v>3716</v>
      </c>
      <c r="L569" s="23" t="s">
        <v>3717</v>
      </c>
      <c r="M569" s="23" t="s">
        <v>3718</v>
      </c>
      <c r="N569" s="12"/>
      <c r="O569" s="12"/>
      <c r="P569" s="13">
        <f>IFERROR(__xludf.DUMMYFUNCTION("VALUE(SUBSTITUTE((INDEX(SPLIT(A569,"",""),1)),""."","","",1))"),59.947306)</f>
        <v>59.947306</v>
      </c>
      <c r="Q569" s="13">
        <f>IFERROR(__xludf.DUMMYFUNCTION("VALUE(SUBSTITUTE((INDEX(SPLIT(A569,"",""),2)),""."","","",1))"),30.255079)</f>
        <v>30.255079</v>
      </c>
      <c r="R569" s="14" t="b">
        <f t="shared" si="1"/>
        <v>0</v>
      </c>
      <c r="S569" s="14" t="str">
        <f t="shared" si="2"/>
        <v>59.947306,30.255079</v>
      </c>
      <c r="T569" s="12"/>
    </row>
    <row r="570">
      <c r="A570" s="7" t="s">
        <v>3719</v>
      </c>
      <c r="B570" s="8" t="s">
        <v>3720</v>
      </c>
      <c r="C570" s="8" t="s">
        <v>3721</v>
      </c>
      <c r="D570" s="8" t="s">
        <v>16</v>
      </c>
      <c r="E570" s="9" t="s">
        <v>3722</v>
      </c>
      <c r="F570" s="10" t="s">
        <v>3169</v>
      </c>
      <c r="G570" s="8">
        <v>23.61</v>
      </c>
      <c r="H570" s="8"/>
      <c r="I570" s="10"/>
      <c r="J570" s="10" t="s">
        <v>3723</v>
      </c>
      <c r="K570" s="10" t="s">
        <v>3724</v>
      </c>
      <c r="L570" s="11" t="s">
        <v>3725</v>
      </c>
      <c r="M570" s="11" t="s">
        <v>3726</v>
      </c>
      <c r="N570" s="12"/>
      <c r="O570" s="12"/>
      <c r="P570" s="13">
        <f>IFERROR(__xludf.DUMMYFUNCTION("VALUE(SUBSTITUTE((INDEX(SPLIT(A570,"",""),1)),""."","","",1))"),59.933063)</f>
        <v>59.933063</v>
      </c>
      <c r="Q570" s="13">
        <f>IFERROR(__xludf.DUMMYFUNCTION("VALUE(SUBSTITUTE((INDEX(SPLIT(A570,"",""),2)),""."","","",1))"),30.256795)</f>
        <v>30.256795</v>
      </c>
      <c r="R570" s="14" t="b">
        <f t="shared" si="1"/>
        <v>0</v>
      </c>
      <c r="S570" s="14" t="str">
        <f t="shared" si="2"/>
        <v>59.933063,30.256795</v>
      </c>
      <c r="T570" s="12"/>
    </row>
    <row r="571">
      <c r="A571" s="20" t="s">
        <v>3719</v>
      </c>
      <c r="B571" s="16" t="s">
        <v>3727</v>
      </c>
      <c r="C571" s="16" t="s">
        <v>3728</v>
      </c>
      <c r="D571" s="16" t="s">
        <v>16</v>
      </c>
      <c r="E571" s="21" t="s">
        <v>3729</v>
      </c>
      <c r="F571" s="22" t="s">
        <v>3169</v>
      </c>
      <c r="G571" s="16">
        <v>23.61</v>
      </c>
      <c r="H571" s="16"/>
      <c r="I571" s="22"/>
      <c r="J571" s="22" t="s">
        <v>3730</v>
      </c>
      <c r="K571" s="22" t="s">
        <v>3731</v>
      </c>
      <c r="L571" s="30" t="s">
        <v>3732</v>
      </c>
      <c r="M571" s="22"/>
      <c r="N571" s="12"/>
      <c r="O571" s="12"/>
      <c r="P571" s="13">
        <f>IFERROR(__xludf.DUMMYFUNCTION("VALUE(SUBSTITUTE((INDEX(SPLIT(A571,"",""),1)),""."","","",1))"),59.933063)</f>
        <v>59.933063</v>
      </c>
      <c r="Q571" s="13">
        <f>IFERROR(__xludf.DUMMYFUNCTION("VALUE(SUBSTITUTE((INDEX(SPLIT(A571,"",""),2)),""."","","",1))"),30.256795)</f>
        <v>30.256795</v>
      </c>
      <c r="R571" s="14" t="b">
        <f t="shared" si="1"/>
        <v>0</v>
      </c>
      <c r="S571" s="14" t="str">
        <f t="shared" si="2"/>
        <v>59.933063,30.256795</v>
      </c>
      <c r="T571" s="12"/>
    </row>
    <row r="572">
      <c r="A572" s="7" t="s">
        <v>3719</v>
      </c>
      <c r="B572" s="8" t="s">
        <v>3733</v>
      </c>
      <c r="C572" s="8" t="s">
        <v>3734</v>
      </c>
      <c r="D572" s="8" t="s">
        <v>16</v>
      </c>
      <c r="E572" s="9" t="s">
        <v>3735</v>
      </c>
      <c r="F572" s="10" t="s">
        <v>3169</v>
      </c>
      <c r="G572" s="8">
        <v>23.61</v>
      </c>
      <c r="H572" s="8"/>
      <c r="I572" s="10"/>
      <c r="J572" s="10" t="s">
        <v>3736</v>
      </c>
      <c r="K572" s="10" t="s">
        <v>3731</v>
      </c>
      <c r="L572" s="11" t="s">
        <v>3737</v>
      </c>
      <c r="M572" s="10"/>
      <c r="N572" s="12"/>
      <c r="O572" s="12"/>
      <c r="P572" s="13">
        <f>IFERROR(__xludf.DUMMYFUNCTION("VALUE(SUBSTITUTE((INDEX(SPLIT(A572,"",""),1)),""."","","",1))"),59.933063)</f>
        <v>59.933063</v>
      </c>
      <c r="Q572" s="13">
        <f>IFERROR(__xludf.DUMMYFUNCTION("VALUE(SUBSTITUTE((INDEX(SPLIT(A572,"",""),2)),""."","","",1))"),30.256795)</f>
        <v>30.256795</v>
      </c>
      <c r="R572" s="14" t="b">
        <f t="shared" si="1"/>
        <v>0</v>
      </c>
      <c r="S572" s="14" t="str">
        <f t="shared" si="2"/>
        <v>59.933063,30.256795</v>
      </c>
      <c r="T572" s="12"/>
    </row>
    <row r="573">
      <c r="A573" s="15" t="s">
        <v>3738</v>
      </c>
      <c r="B573" s="16" t="s">
        <v>3739</v>
      </c>
      <c r="C573" s="16" t="s">
        <v>3740</v>
      </c>
      <c r="D573" s="16" t="s">
        <v>16</v>
      </c>
      <c r="E573" s="17" t="s">
        <v>3741</v>
      </c>
      <c r="F573" s="16" t="s">
        <v>3169</v>
      </c>
      <c r="G573" s="16">
        <v>23.61</v>
      </c>
      <c r="H573" s="16"/>
      <c r="I573" s="16"/>
      <c r="J573" s="16" t="s">
        <v>3742</v>
      </c>
      <c r="K573" s="16" t="s">
        <v>3743</v>
      </c>
      <c r="L573" s="16"/>
      <c r="M573" s="16"/>
      <c r="N573" s="12"/>
      <c r="O573" s="12"/>
      <c r="P573" s="13">
        <f>IFERROR(__xludf.DUMMYFUNCTION("VALUE(SUBSTITUTE((INDEX(SPLIT(A573,"",""),1)),""."","","",1))"),59.984467)</f>
        <v>59.984467</v>
      </c>
      <c r="Q573" s="13">
        <f>IFERROR(__xludf.DUMMYFUNCTION("VALUE(SUBSTITUTE((INDEX(SPLIT(A573,"",""),2)),""."","","",1))"),30.257532)</f>
        <v>30.257532</v>
      </c>
      <c r="R573" s="14" t="b">
        <f t="shared" si="1"/>
        <v>0</v>
      </c>
      <c r="S573" s="14" t="str">
        <f t="shared" si="2"/>
        <v>59.984467,30.257532</v>
      </c>
      <c r="T573" s="12"/>
    </row>
    <row r="574">
      <c r="A574" s="7" t="s">
        <v>3738</v>
      </c>
      <c r="B574" s="8" t="s">
        <v>3744</v>
      </c>
      <c r="C574" s="8" t="s">
        <v>3745</v>
      </c>
      <c r="D574" s="8" t="s">
        <v>16</v>
      </c>
      <c r="E574" s="9" t="s">
        <v>3746</v>
      </c>
      <c r="F574" s="10" t="s">
        <v>3169</v>
      </c>
      <c r="G574" s="8">
        <v>23.61</v>
      </c>
      <c r="H574" s="8"/>
      <c r="I574" s="10"/>
      <c r="J574" s="10" t="s">
        <v>3747</v>
      </c>
      <c r="K574" s="10" t="s">
        <v>3743</v>
      </c>
      <c r="L574" s="11" t="s">
        <v>3748</v>
      </c>
      <c r="M574" s="10"/>
      <c r="N574" s="12"/>
      <c r="O574" s="12"/>
      <c r="P574" s="13">
        <f>IFERROR(__xludf.DUMMYFUNCTION("VALUE(SUBSTITUTE((INDEX(SPLIT(A574,"",""),1)),""."","","",1))"),59.984467)</f>
        <v>59.984467</v>
      </c>
      <c r="Q574" s="13">
        <f>IFERROR(__xludf.DUMMYFUNCTION("VALUE(SUBSTITUTE((INDEX(SPLIT(A574,"",""),2)),""."","","",1))"),30.257532)</f>
        <v>30.257532</v>
      </c>
      <c r="R574" s="14" t="b">
        <f t="shared" si="1"/>
        <v>0</v>
      </c>
      <c r="S574" s="14" t="str">
        <f t="shared" si="2"/>
        <v>59.984467,30.257532</v>
      </c>
      <c r="T574" s="12"/>
    </row>
    <row r="575">
      <c r="A575" s="20" t="s">
        <v>3749</v>
      </c>
      <c r="B575" s="16" t="s">
        <v>3750</v>
      </c>
      <c r="C575" s="16" t="s">
        <v>3751</v>
      </c>
      <c r="D575" s="16" t="s">
        <v>16</v>
      </c>
      <c r="E575" s="21" t="s">
        <v>3752</v>
      </c>
      <c r="F575" s="22" t="s">
        <v>3169</v>
      </c>
      <c r="G575" s="16">
        <v>23.61</v>
      </c>
      <c r="H575" s="16"/>
      <c r="I575" s="22"/>
      <c r="J575" s="22" t="s">
        <v>3753</v>
      </c>
      <c r="K575" s="22" t="s">
        <v>3754</v>
      </c>
      <c r="L575" s="23" t="s">
        <v>3755</v>
      </c>
      <c r="M575" s="22"/>
      <c r="N575" s="12"/>
      <c r="O575" s="12"/>
      <c r="P575" s="13">
        <f>IFERROR(__xludf.DUMMYFUNCTION("VALUE(SUBSTITUTE((INDEX(SPLIT(A575,"",""),1)),""."","","",1))"),59.878432)</f>
        <v>59.878432</v>
      </c>
      <c r="Q575" s="13">
        <f>IFERROR(__xludf.DUMMYFUNCTION("VALUE(SUBSTITUTE((INDEX(SPLIT(A575,"",""),2)),""."","","",1))"),30.25834)</f>
        <v>30.25834</v>
      </c>
      <c r="R575" s="14" t="b">
        <f t="shared" si="1"/>
        <v>0</v>
      </c>
      <c r="S575" s="14" t="str">
        <f t="shared" si="2"/>
        <v>59.878432,30.25834</v>
      </c>
      <c r="T575" s="12"/>
    </row>
    <row r="576">
      <c r="A576" s="18" t="s">
        <v>3756</v>
      </c>
      <c r="B576" s="8" t="s">
        <v>3757</v>
      </c>
      <c r="C576" s="8" t="s">
        <v>3758</v>
      </c>
      <c r="D576" s="8" t="s">
        <v>16</v>
      </c>
      <c r="E576" s="19" t="s">
        <v>3759</v>
      </c>
      <c r="F576" s="8" t="s">
        <v>3760</v>
      </c>
      <c r="G576" s="8">
        <v>23.61</v>
      </c>
      <c r="H576" s="8"/>
      <c r="I576" s="8"/>
      <c r="J576" s="8" t="s">
        <v>3761</v>
      </c>
      <c r="K576" s="8" t="s">
        <v>3762</v>
      </c>
      <c r="L576" s="8"/>
      <c r="M576" s="24" t="s">
        <v>3763</v>
      </c>
      <c r="N576" s="12"/>
      <c r="O576" s="12"/>
      <c r="P576" s="13">
        <f>IFERROR(__xludf.DUMMYFUNCTION("VALUE(SUBSTITUTE((INDEX(SPLIT(A576,"",""),1)),""."","","",1))"),60.008716)</f>
        <v>60.008716</v>
      </c>
      <c r="Q576" s="13">
        <f>IFERROR(__xludf.DUMMYFUNCTION("VALUE(SUBSTITUTE((INDEX(SPLIT(A576,"",""),2)),""."","","",1))"),30.258385)</f>
        <v>30.258385</v>
      </c>
      <c r="R576" s="14" t="b">
        <f t="shared" si="1"/>
        <v>0</v>
      </c>
      <c r="S576" s="14" t="str">
        <f t="shared" si="2"/>
        <v>60.008716,30.258385</v>
      </c>
      <c r="T576" s="12"/>
    </row>
    <row r="577">
      <c r="A577" s="15" t="s">
        <v>3764</v>
      </c>
      <c r="B577" s="16" t="s">
        <v>3765</v>
      </c>
      <c r="C577" s="16" t="s">
        <v>3766</v>
      </c>
      <c r="D577" s="16" t="s">
        <v>16</v>
      </c>
      <c r="E577" s="17" t="s">
        <v>3767</v>
      </c>
      <c r="F577" s="16" t="s">
        <v>3169</v>
      </c>
      <c r="G577" s="16">
        <v>23.61</v>
      </c>
      <c r="H577" s="16"/>
      <c r="I577" s="16"/>
      <c r="J577" s="16" t="s">
        <v>3768</v>
      </c>
      <c r="K577" s="16" t="s">
        <v>3769</v>
      </c>
      <c r="L577" s="16"/>
      <c r="M577" s="25" t="s">
        <v>3770</v>
      </c>
      <c r="N577" s="12"/>
      <c r="O577" s="12"/>
      <c r="P577" s="13">
        <f>IFERROR(__xludf.DUMMYFUNCTION("VALUE(SUBSTITUTE((INDEX(SPLIT(A577,"",""),1)),""."","","",1))"),59.949925)</f>
        <v>59.949925</v>
      </c>
      <c r="Q577" s="13">
        <f>IFERROR(__xludf.DUMMYFUNCTION("VALUE(SUBSTITUTE((INDEX(SPLIT(A577,"",""),2)),""."","","",1))"),30.259382)</f>
        <v>30.259382</v>
      </c>
      <c r="R577" s="14" t="b">
        <f t="shared" si="1"/>
        <v>0</v>
      </c>
      <c r="S577" s="14" t="str">
        <f t="shared" si="2"/>
        <v>59.949925,30.259382</v>
      </c>
      <c r="T577" s="12"/>
    </row>
    <row r="578">
      <c r="A578" s="18" t="s">
        <v>3771</v>
      </c>
      <c r="B578" s="8" t="s">
        <v>3772</v>
      </c>
      <c r="C578" s="8" t="s">
        <v>3773</v>
      </c>
      <c r="D578" s="8" t="s">
        <v>16</v>
      </c>
      <c r="E578" s="19" t="s">
        <v>3774</v>
      </c>
      <c r="F578" s="8" t="s">
        <v>3169</v>
      </c>
      <c r="G578" s="8">
        <v>23.61</v>
      </c>
      <c r="H578" s="8"/>
      <c r="I578" s="8"/>
      <c r="J578" s="8" t="s">
        <v>3775</v>
      </c>
      <c r="K578" s="8" t="s">
        <v>3776</v>
      </c>
      <c r="L578" s="8"/>
      <c r="M578" s="8"/>
      <c r="N578" s="12"/>
      <c r="O578" s="12"/>
      <c r="P578" s="13">
        <f>IFERROR(__xludf.DUMMYFUNCTION("VALUE(SUBSTITUTE((INDEX(SPLIT(A578,"",""),1)),""."","","",1))"),59.928834)</f>
        <v>59.928834</v>
      </c>
      <c r="Q578" s="13">
        <f>IFERROR(__xludf.DUMMYFUNCTION("VALUE(SUBSTITUTE((INDEX(SPLIT(A578,"",""),2)),""."","","",1))"),30.260523)</f>
        <v>30.260523</v>
      </c>
      <c r="R578" s="14" t="b">
        <f t="shared" si="1"/>
        <v>0</v>
      </c>
      <c r="S578" s="14" t="str">
        <f t="shared" si="2"/>
        <v>59.928834,30.260523</v>
      </c>
      <c r="T578" s="12"/>
    </row>
    <row r="579">
      <c r="A579" s="15" t="s">
        <v>3777</v>
      </c>
      <c r="B579" s="16" t="s">
        <v>3778</v>
      </c>
      <c r="C579" s="16" t="s">
        <v>3779</v>
      </c>
      <c r="D579" s="16" t="s">
        <v>16</v>
      </c>
      <c r="E579" s="17" t="s">
        <v>3780</v>
      </c>
      <c r="F579" s="16" t="s">
        <v>3169</v>
      </c>
      <c r="G579" s="16">
        <v>23.61</v>
      </c>
      <c r="H579" s="16"/>
      <c r="I579" s="16"/>
      <c r="J579" s="16" t="s">
        <v>3781</v>
      </c>
      <c r="K579" s="16" t="s">
        <v>3782</v>
      </c>
      <c r="L579" s="16"/>
      <c r="M579" s="16"/>
      <c r="N579" s="12"/>
      <c r="O579" s="12"/>
      <c r="P579" s="13">
        <f>IFERROR(__xludf.DUMMYFUNCTION("VALUE(SUBSTITUTE((INDEX(SPLIT(A579,"",""),1)),""."","","",1))"),59.855778)</f>
        <v>59.855778</v>
      </c>
      <c r="Q579" s="13">
        <f>IFERROR(__xludf.DUMMYFUNCTION("VALUE(SUBSTITUTE((INDEX(SPLIT(A579,"",""),2)),""."","","",1))"),30.26311)</f>
        <v>30.26311</v>
      </c>
      <c r="R579" s="14" t="b">
        <f t="shared" si="1"/>
        <v>0</v>
      </c>
      <c r="S579" s="14" t="str">
        <f t="shared" si="2"/>
        <v>59.855778,30.26311</v>
      </c>
      <c r="T579" s="12"/>
    </row>
    <row r="580">
      <c r="A580" s="18" t="s">
        <v>3783</v>
      </c>
      <c r="B580" s="8" t="s">
        <v>3784</v>
      </c>
      <c r="C580" s="8" t="s">
        <v>3785</v>
      </c>
      <c r="D580" s="8" t="s">
        <v>16</v>
      </c>
      <c r="E580" s="19" t="s">
        <v>3786</v>
      </c>
      <c r="F580" s="8" t="s">
        <v>3169</v>
      </c>
      <c r="G580" s="8">
        <v>23.61</v>
      </c>
      <c r="H580" s="8"/>
      <c r="I580" s="8"/>
      <c r="J580" s="8" t="s">
        <v>3787</v>
      </c>
      <c r="K580" s="8" t="s">
        <v>3788</v>
      </c>
      <c r="L580" s="8"/>
      <c r="M580" s="8"/>
      <c r="N580" s="12"/>
      <c r="O580" s="12"/>
      <c r="P580" s="13">
        <f>IFERROR(__xludf.DUMMYFUNCTION("VALUE(SUBSTITUTE((INDEX(SPLIT(A580,"",""),1)),""."","","",1))"),59.666139)</f>
        <v>59.666139</v>
      </c>
      <c r="Q580" s="13">
        <f>IFERROR(__xludf.DUMMYFUNCTION("VALUE(SUBSTITUTE((INDEX(SPLIT(A580,"",""),2)),""."","","",1))"),30.263972)</f>
        <v>30.263972</v>
      </c>
      <c r="R580" s="14" t="b">
        <f t="shared" si="1"/>
        <v>0</v>
      </c>
      <c r="S580" s="14" t="str">
        <f t="shared" si="2"/>
        <v>59.666139,30.263972</v>
      </c>
      <c r="T580" s="12"/>
    </row>
    <row r="581">
      <c r="A581" s="15" t="s">
        <v>3783</v>
      </c>
      <c r="B581" s="16" t="s">
        <v>3789</v>
      </c>
      <c r="C581" s="16" t="s">
        <v>3790</v>
      </c>
      <c r="D581" s="16" t="s">
        <v>16</v>
      </c>
      <c r="E581" s="17" t="s">
        <v>3791</v>
      </c>
      <c r="F581" s="16" t="s">
        <v>3169</v>
      </c>
      <c r="G581" s="16">
        <v>23.61</v>
      </c>
      <c r="H581" s="16"/>
      <c r="I581" s="16"/>
      <c r="J581" s="16" t="s">
        <v>3792</v>
      </c>
      <c r="K581" s="16" t="s">
        <v>3793</v>
      </c>
      <c r="L581" s="16"/>
      <c r="M581" s="16"/>
      <c r="N581" s="12"/>
      <c r="O581" s="12"/>
      <c r="P581" s="13">
        <f>IFERROR(__xludf.DUMMYFUNCTION("VALUE(SUBSTITUTE((INDEX(SPLIT(A581,"",""),1)),""."","","",1))"),59.666139)</f>
        <v>59.666139</v>
      </c>
      <c r="Q581" s="13">
        <f>IFERROR(__xludf.DUMMYFUNCTION("VALUE(SUBSTITUTE((INDEX(SPLIT(A581,"",""),2)),""."","","",1))"),30.263972)</f>
        <v>30.263972</v>
      </c>
      <c r="R581" s="14" t="b">
        <f t="shared" si="1"/>
        <v>0</v>
      </c>
      <c r="S581" s="14" t="str">
        <f t="shared" si="2"/>
        <v>59.666139,30.263972</v>
      </c>
      <c r="T581" s="12"/>
    </row>
    <row r="582">
      <c r="A582" s="18" t="s">
        <v>3783</v>
      </c>
      <c r="B582" s="8" t="s">
        <v>3794</v>
      </c>
      <c r="C582" s="8" t="s">
        <v>3795</v>
      </c>
      <c r="D582" s="8" t="s">
        <v>16</v>
      </c>
      <c r="E582" s="19" t="s">
        <v>3796</v>
      </c>
      <c r="F582" s="8" t="s">
        <v>3169</v>
      </c>
      <c r="G582" s="8">
        <v>23.61</v>
      </c>
      <c r="H582" s="8"/>
      <c r="I582" s="8"/>
      <c r="J582" s="8" t="s">
        <v>3797</v>
      </c>
      <c r="K582" s="8" t="s">
        <v>3798</v>
      </c>
      <c r="L582" s="8"/>
      <c r="M582" s="24" t="s">
        <v>3799</v>
      </c>
      <c r="N582" s="12"/>
      <c r="O582" s="12"/>
      <c r="P582" s="13">
        <f>IFERROR(__xludf.DUMMYFUNCTION("VALUE(SUBSTITUTE((INDEX(SPLIT(A582,"",""),1)),""."","","",1))"),59.666139)</f>
        <v>59.666139</v>
      </c>
      <c r="Q582" s="13">
        <f>IFERROR(__xludf.DUMMYFUNCTION("VALUE(SUBSTITUTE((INDEX(SPLIT(A582,"",""),2)),""."","","",1))"),30.263972)</f>
        <v>30.263972</v>
      </c>
      <c r="R582" s="14" t="b">
        <f t="shared" si="1"/>
        <v>0</v>
      </c>
      <c r="S582" s="14" t="str">
        <f t="shared" si="2"/>
        <v>59.666139,30.263972</v>
      </c>
      <c r="T582" s="12"/>
    </row>
    <row r="583">
      <c r="A583" s="15" t="s">
        <v>3783</v>
      </c>
      <c r="B583" s="16" t="s">
        <v>3800</v>
      </c>
      <c r="C583" s="16" t="s">
        <v>3801</v>
      </c>
      <c r="D583" s="16" t="s">
        <v>16</v>
      </c>
      <c r="E583" s="17" t="s">
        <v>3802</v>
      </c>
      <c r="F583" s="16" t="s">
        <v>3169</v>
      </c>
      <c r="G583" s="16">
        <v>23.61</v>
      </c>
      <c r="H583" s="16"/>
      <c r="I583" s="16"/>
      <c r="J583" s="16" t="s">
        <v>3803</v>
      </c>
      <c r="K583" s="16" t="s">
        <v>3804</v>
      </c>
      <c r="L583" s="16"/>
      <c r="M583" s="25" t="s">
        <v>3805</v>
      </c>
      <c r="N583" s="12"/>
      <c r="O583" s="12"/>
      <c r="P583" s="13">
        <f>IFERROR(__xludf.DUMMYFUNCTION("VALUE(SUBSTITUTE((INDEX(SPLIT(A583,"",""),1)),""."","","",1))"),59.666139)</f>
        <v>59.666139</v>
      </c>
      <c r="Q583" s="13">
        <f>IFERROR(__xludf.DUMMYFUNCTION("VALUE(SUBSTITUTE((INDEX(SPLIT(A583,"",""),2)),""."","","",1))"),30.263972)</f>
        <v>30.263972</v>
      </c>
      <c r="R583" s="14" t="b">
        <f t="shared" si="1"/>
        <v>0</v>
      </c>
      <c r="S583" s="14" t="str">
        <f t="shared" si="2"/>
        <v>59.666139,30.263972</v>
      </c>
      <c r="T583" s="12"/>
    </row>
    <row r="584">
      <c r="A584" s="18" t="s">
        <v>3806</v>
      </c>
      <c r="B584" s="8" t="s">
        <v>3807</v>
      </c>
      <c r="C584" s="8" t="s">
        <v>3808</v>
      </c>
      <c r="D584" s="8" t="s">
        <v>16</v>
      </c>
      <c r="E584" s="19" t="s">
        <v>3809</v>
      </c>
      <c r="F584" s="8" t="s">
        <v>3169</v>
      </c>
      <c r="G584" s="8">
        <v>23.61</v>
      </c>
      <c r="H584" s="8"/>
      <c r="I584" s="8"/>
      <c r="J584" s="8" t="s">
        <v>3810</v>
      </c>
      <c r="K584" s="8" t="s">
        <v>3811</v>
      </c>
      <c r="L584" s="8"/>
      <c r="M584" s="24" t="s">
        <v>3812</v>
      </c>
      <c r="N584" s="12"/>
      <c r="O584" s="12"/>
      <c r="P584" s="13">
        <f>IFERROR(__xludf.DUMMYFUNCTION("VALUE(SUBSTITUTE((INDEX(SPLIT(A584,"",""),1)),""."","","",1))"),60.00832)</f>
        <v>60.00832</v>
      </c>
      <c r="Q584" s="13">
        <f>IFERROR(__xludf.DUMMYFUNCTION("VALUE(SUBSTITUTE((INDEX(SPLIT(A584,"",""),2)),""."","","",1))"),30.264458)</f>
        <v>30.264458</v>
      </c>
      <c r="R584" s="14" t="b">
        <f t="shared" si="1"/>
        <v>0</v>
      </c>
      <c r="S584" s="14" t="str">
        <f t="shared" si="2"/>
        <v>60.00832,30.264458</v>
      </c>
      <c r="T584" s="12"/>
    </row>
    <row r="585">
      <c r="A585" s="15" t="s">
        <v>3813</v>
      </c>
      <c r="B585" s="16" t="s">
        <v>3814</v>
      </c>
      <c r="C585" s="16" t="s">
        <v>3815</v>
      </c>
      <c r="D585" s="16" t="s">
        <v>16</v>
      </c>
      <c r="E585" s="17" t="s">
        <v>3816</v>
      </c>
      <c r="F585" s="16" t="s">
        <v>3169</v>
      </c>
      <c r="G585" s="16">
        <v>23.61</v>
      </c>
      <c r="H585" s="16"/>
      <c r="I585" s="16"/>
      <c r="J585" s="16" t="s">
        <v>3817</v>
      </c>
      <c r="K585" s="16" t="s">
        <v>3818</v>
      </c>
      <c r="L585" s="16"/>
      <c r="M585" s="16"/>
      <c r="N585" s="12"/>
      <c r="O585" s="12"/>
      <c r="P585" s="13">
        <f>IFERROR(__xludf.DUMMYFUNCTION("VALUE(SUBSTITUTE((INDEX(SPLIT(A585,"",""),1)),""."","","",1))"),59.8552)</f>
        <v>59.8552</v>
      </c>
      <c r="Q585" s="13">
        <f>IFERROR(__xludf.DUMMYFUNCTION("VALUE(SUBSTITUTE((INDEX(SPLIT(A585,"",""),2)),""."","","",1))"),30.265086)</f>
        <v>30.265086</v>
      </c>
      <c r="R585" s="14" t="b">
        <f t="shared" si="1"/>
        <v>0</v>
      </c>
      <c r="S585" s="14" t="str">
        <f t="shared" si="2"/>
        <v>59.8552,30.265086</v>
      </c>
      <c r="T585" s="12"/>
    </row>
    <row r="586">
      <c r="A586" s="7" t="s">
        <v>3819</v>
      </c>
      <c r="B586" s="8" t="s">
        <v>3820</v>
      </c>
      <c r="C586" s="8" t="s">
        <v>3821</v>
      </c>
      <c r="D586" s="8" t="s">
        <v>16</v>
      </c>
      <c r="E586" s="9" t="s">
        <v>3822</v>
      </c>
      <c r="F586" s="10" t="s">
        <v>3169</v>
      </c>
      <c r="G586" s="8">
        <v>23.61</v>
      </c>
      <c r="H586" s="8"/>
      <c r="I586" s="10"/>
      <c r="J586" s="10" t="s">
        <v>3823</v>
      </c>
      <c r="K586" s="10" t="s">
        <v>3824</v>
      </c>
      <c r="L586" s="11" t="s">
        <v>3825</v>
      </c>
      <c r="M586" s="10"/>
      <c r="N586" s="12"/>
      <c r="O586" s="12"/>
      <c r="P586" s="13">
        <f>IFERROR(__xludf.DUMMYFUNCTION("VALUE(SUBSTITUTE((INDEX(SPLIT(A586,"",""),1)),""."","","",1))"),60.082862)</f>
        <v>60.082862</v>
      </c>
      <c r="Q586" s="13">
        <f>IFERROR(__xludf.DUMMYFUNCTION("VALUE(SUBSTITUTE((INDEX(SPLIT(A586,"",""),2)),""."","","",1))"),30.265239)</f>
        <v>30.265239</v>
      </c>
      <c r="R586" s="14" t="b">
        <f t="shared" si="1"/>
        <v>0</v>
      </c>
      <c r="S586" s="14" t="str">
        <f t="shared" si="2"/>
        <v>60.082862,30.265239</v>
      </c>
      <c r="T586" s="12"/>
    </row>
    <row r="587">
      <c r="A587" s="20" t="s">
        <v>3826</v>
      </c>
      <c r="B587" s="16" t="s">
        <v>3827</v>
      </c>
      <c r="C587" s="16" t="s">
        <v>3828</v>
      </c>
      <c r="D587" s="16" t="s">
        <v>16</v>
      </c>
      <c r="E587" s="21" t="s">
        <v>3829</v>
      </c>
      <c r="F587" s="22" t="s">
        <v>3169</v>
      </c>
      <c r="G587" s="16">
        <v>23.61</v>
      </c>
      <c r="H587" s="16"/>
      <c r="I587" s="22"/>
      <c r="J587" s="22" t="s">
        <v>3830</v>
      </c>
      <c r="K587" s="22" t="s">
        <v>3831</v>
      </c>
      <c r="L587" s="23" t="s">
        <v>3832</v>
      </c>
      <c r="M587" s="22"/>
      <c r="N587" s="12"/>
      <c r="O587" s="12"/>
      <c r="P587" s="13">
        <f>IFERROR(__xludf.DUMMYFUNCTION("VALUE(SUBSTITUTE((INDEX(SPLIT(A587,"",""),1)),""."","","",1))"),59.868076)</f>
        <v>59.868076</v>
      </c>
      <c r="Q587" s="13">
        <f>IFERROR(__xludf.DUMMYFUNCTION("VALUE(SUBSTITUTE((INDEX(SPLIT(A587,"",""),2)),""."","","",1))"),30.266802)</f>
        <v>30.266802</v>
      </c>
      <c r="R587" s="14" t="b">
        <f t="shared" si="1"/>
        <v>0</v>
      </c>
      <c r="S587" s="14" t="str">
        <f t="shared" si="2"/>
        <v>59.868076,30.266802</v>
      </c>
      <c r="T587" s="12"/>
    </row>
    <row r="588">
      <c r="A588" s="18" t="s">
        <v>3833</v>
      </c>
      <c r="B588" s="8" t="s">
        <v>3834</v>
      </c>
      <c r="C588" s="8" t="s">
        <v>3835</v>
      </c>
      <c r="D588" s="8" t="s">
        <v>16</v>
      </c>
      <c r="E588" s="19" t="s">
        <v>3836</v>
      </c>
      <c r="F588" s="8" t="s">
        <v>3169</v>
      </c>
      <c r="G588" s="8">
        <v>23.61</v>
      </c>
      <c r="H588" s="8"/>
      <c r="I588" s="8"/>
      <c r="J588" s="8" t="s">
        <v>3837</v>
      </c>
      <c r="K588" s="8" t="s">
        <v>3838</v>
      </c>
      <c r="L588" s="8"/>
      <c r="M588" s="8"/>
      <c r="N588" s="12"/>
      <c r="O588" s="12"/>
      <c r="P588" s="13">
        <f>IFERROR(__xludf.DUMMYFUNCTION("VALUE(SUBSTITUTE((INDEX(SPLIT(A588,"",""),1)),""."","","",1))"),59.892739)</f>
        <v>59.892739</v>
      </c>
      <c r="Q588" s="13">
        <f>IFERROR(__xludf.DUMMYFUNCTION("VALUE(SUBSTITUTE((INDEX(SPLIT(A588,"",""),2)),""."","","",1))"),30.266991)</f>
        <v>30.266991</v>
      </c>
      <c r="R588" s="14" t="b">
        <f t="shared" si="1"/>
        <v>0</v>
      </c>
      <c r="S588" s="14" t="str">
        <f t="shared" si="2"/>
        <v>59.892739,30.266991</v>
      </c>
      <c r="T588" s="12"/>
    </row>
    <row r="589">
      <c r="A589" s="15" t="s">
        <v>3839</v>
      </c>
      <c r="B589" s="16" t="s">
        <v>3840</v>
      </c>
      <c r="C589" s="16" t="s">
        <v>3841</v>
      </c>
      <c r="D589" s="16" t="s">
        <v>16</v>
      </c>
      <c r="E589" s="17" t="s">
        <v>3842</v>
      </c>
      <c r="F589" s="16" t="s">
        <v>3169</v>
      </c>
      <c r="G589" s="16">
        <v>23.61</v>
      </c>
      <c r="H589" s="16"/>
      <c r="I589" s="16"/>
      <c r="J589" s="16" t="s">
        <v>3843</v>
      </c>
      <c r="K589" s="16" t="s">
        <v>3844</v>
      </c>
      <c r="L589" s="16"/>
      <c r="M589" s="16"/>
      <c r="N589" s="12"/>
      <c r="O589" s="12"/>
      <c r="P589" s="13">
        <f>IFERROR(__xludf.DUMMYFUNCTION("VALUE(SUBSTITUTE((INDEX(SPLIT(A589,"",""),1)),""."","","",1))"),59.879818)</f>
        <v>59.879818</v>
      </c>
      <c r="Q589" s="13">
        <f>IFERROR(__xludf.DUMMYFUNCTION("VALUE(SUBSTITUTE((INDEX(SPLIT(A589,"",""),2)),""."","","",1))"),30.267377)</f>
        <v>30.267377</v>
      </c>
      <c r="R589" s="14" t="b">
        <f t="shared" si="1"/>
        <v>0</v>
      </c>
      <c r="S589" s="14" t="str">
        <f t="shared" si="2"/>
        <v>59.879818,30.267377</v>
      </c>
      <c r="T589" s="12"/>
    </row>
    <row r="590">
      <c r="A590" s="18" t="s">
        <v>3845</v>
      </c>
      <c r="B590" s="8" t="s">
        <v>3846</v>
      </c>
      <c r="C590" s="8" t="s">
        <v>3847</v>
      </c>
      <c r="D590" s="8" t="s">
        <v>16</v>
      </c>
      <c r="E590" s="19" t="s">
        <v>3848</v>
      </c>
      <c r="F590" s="8" t="s">
        <v>3169</v>
      </c>
      <c r="G590" s="8">
        <v>23.61</v>
      </c>
      <c r="H590" s="8"/>
      <c r="I590" s="8"/>
      <c r="J590" s="8" t="s">
        <v>3849</v>
      </c>
      <c r="K590" s="8" t="s">
        <v>3850</v>
      </c>
      <c r="L590" s="8"/>
      <c r="M590" s="24" t="s">
        <v>3851</v>
      </c>
      <c r="N590" s="12"/>
      <c r="O590" s="12"/>
      <c r="P590" s="13">
        <f>IFERROR(__xludf.DUMMYFUNCTION("VALUE(SUBSTITUTE((INDEX(SPLIT(A590,"",""),1)),""."","","",1))"),59.947991)</f>
        <v>59.947991</v>
      </c>
      <c r="Q590" s="13">
        <f>IFERROR(__xludf.DUMMYFUNCTION("VALUE(SUBSTITUTE((INDEX(SPLIT(A590,"",""),2)),""."","","",1))"),30.268051)</f>
        <v>30.268051</v>
      </c>
      <c r="R590" s="14" t="b">
        <f t="shared" si="1"/>
        <v>0</v>
      </c>
      <c r="S590" s="14" t="str">
        <f t="shared" si="2"/>
        <v>59.947991,30.268051</v>
      </c>
      <c r="T590" s="12"/>
    </row>
    <row r="591">
      <c r="A591" s="20" t="s">
        <v>3852</v>
      </c>
      <c r="B591" s="16" t="s">
        <v>3853</v>
      </c>
      <c r="C591" s="16" t="s">
        <v>3854</v>
      </c>
      <c r="D591" s="16" t="s">
        <v>16</v>
      </c>
      <c r="E591" s="21" t="s">
        <v>3855</v>
      </c>
      <c r="F591" s="22" t="s">
        <v>3169</v>
      </c>
      <c r="G591" s="16">
        <v>23.61</v>
      </c>
      <c r="H591" s="16"/>
      <c r="I591" s="22"/>
      <c r="J591" s="22" t="s">
        <v>3856</v>
      </c>
      <c r="K591" s="22" t="s">
        <v>3857</v>
      </c>
      <c r="L591" s="23" t="s">
        <v>3858</v>
      </c>
      <c r="M591" s="22"/>
      <c r="N591" s="12"/>
      <c r="O591" s="12"/>
      <c r="P591" s="13">
        <f>IFERROR(__xludf.DUMMYFUNCTION("VALUE(SUBSTITUTE((INDEX(SPLIT(A591,"",""),1)),""."","","",1))"),60.032227)</f>
        <v>60.032227</v>
      </c>
      <c r="Q591" s="13">
        <f>IFERROR(__xludf.DUMMYFUNCTION("VALUE(SUBSTITUTE((INDEX(SPLIT(A591,"",""),2)),""."","","",1))"),30.26815)</f>
        <v>30.26815</v>
      </c>
      <c r="R591" s="14" t="b">
        <f t="shared" si="1"/>
        <v>0</v>
      </c>
      <c r="S591" s="14" t="str">
        <f t="shared" si="2"/>
        <v>60.032227,30.26815</v>
      </c>
      <c r="T591" s="12"/>
    </row>
    <row r="592">
      <c r="A592" s="7" t="s">
        <v>3859</v>
      </c>
      <c r="B592" s="8" t="s">
        <v>3860</v>
      </c>
      <c r="C592" s="8" t="s">
        <v>3861</v>
      </c>
      <c r="D592" s="8" t="s">
        <v>16</v>
      </c>
      <c r="E592" s="9" t="s">
        <v>3862</v>
      </c>
      <c r="F592" s="10" t="s">
        <v>3169</v>
      </c>
      <c r="G592" s="8">
        <v>23.61</v>
      </c>
      <c r="H592" s="8"/>
      <c r="I592" s="10"/>
      <c r="J592" s="10" t="s">
        <v>3863</v>
      </c>
      <c r="K592" s="10" t="s">
        <v>3864</v>
      </c>
      <c r="L592" s="11" t="s">
        <v>3865</v>
      </c>
      <c r="M592" s="10"/>
      <c r="N592" s="12"/>
      <c r="O592" s="12"/>
      <c r="P592" s="13">
        <f>IFERROR(__xludf.DUMMYFUNCTION("VALUE(SUBSTITUTE((INDEX(SPLIT(A592,"",""),1)),""."","","",1))"),59.878793)</f>
        <v>59.878793</v>
      </c>
      <c r="Q592" s="13">
        <f>IFERROR(__xludf.DUMMYFUNCTION("VALUE(SUBSTITUTE((INDEX(SPLIT(A592,"",""),2)),""."","","",1))"),30.268401)</f>
        <v>30.268401</v>
      </c>
      <c r="R592" s="14" t="b">
        <f t="shared" si="1"/>
        <v>0</v>
      </c>
      <c r="S592" s="14" t="str">
        <f t="shared" si="2"/>
        <v>59.878793,30.268401</v>
      </c>
      <c r="T592" s="12"/>
    </row>
    <row r="593">
      <c r="A593" s="15" t="s">
        <v>3866</v>
      </c>
      <c r="B593" s="16" t="s">
        <v>3867</v>
      </c>
      <c r="C593" s="16" t="s">
        <v>3868</v>
      </c>
      <c r="D593" s="16" t="s">
        <v>16</v>
      </c>
      <c r="E593" s="17" t="s">
        <v>3869</v>
      </c>
      <c r="F593" s="16" t="s">
        <v>3169</v>
      </c>
      <c r="G593" s="16">
        <v>23.61</v>
      </c>
      <c r="H593" s="16"/>
      <c r="I593" s="16"/>
      <c r="J593" s="16" t="s">
        <v>3870</v>
      </c>
      <c r="K593" s="16" t="s">
        <v>3871</v>
      </c>
      <c r="L593" s="16"/>
      <c r="M593" s="25" t="s">
        <v>3872</v>
      </c>
      <c r="N593" s="12"/>
      <c r="O593" s="12"/>
      <c r="P593" s="13">
        <f>IFERROR(__xludf.DUMMYFUNCTION("VALUE(SUBSTITUTE((INDEX(SPLIT(A593,"",""),1)),""."","","",1))"),60.006003)</f>
        <v>60.006003</v>
      </c>
      <c r="Q593" s="13">
        <f>IFERROR(__xludf.DUMMYFUNCTION("VALUE(SUBSTITUTE((INDEX(SPLIT(A593,"",""),2)),""."","","",1))"),30.26876)</f>
        <v>30.26876</v>
      </c>
      <c r="R593" s="14" t="b">
        <f t="shared" si="1"/>
        <v>0</v>
      </c>
      <c r="S593" s="14" t="str">
        <f t="shared" si="2"/>
        <v>60.006003,30.26876</v>
      </c>
      <c r="T593" s="12"/>
    </row>
    <row r="594">
      <c r="A594" s="18" t="s">
        <v>3873</v>
      </c>
      <c r="B594" s="8" t="s">
        <v>3874</v>
      </c>
      <c r="C594" s="8" t="s">
        <v>3875</v>
      </c>
      <c r="D594" s="8" t="s">
        <v>16</v>
      </c>
      <c r="E594" s="19" t="s">
        <v>3876</v>
      </c>
      <c r="F594" s="8" t="s">
        <v>3169</v>
      </c>
      <c r="G594" s="8">
        <v>23.61</v>
      </c>
      <c r="H594" s="8"/>
      <c r="I594" s="8"/>
      <c r="J594" s="8" t="s">
        <v>3877</v>
      </c>
      <c r="K594" s="8" t="s">
        <v>3878</v>
      </c>
      <c r="L594" s="8"/>
      <c r="M594" s="8"/>
      <c r="N594" s="12"/>
      <c r="O594" s="12"/>
      <c r="P594" s="13">
        <f>IFERROR(__xludf.DUMMYFUNCTION("VALUE(SUBSTITUTE((INDEX(SPLIT(A594,"",""),1)),""."","","",1))"),59.905921)</f>
        <v>59.905921</v>
      </c>
      <c r="Q594" s="13">
        <f>IFERROR(__xludf.DUMMYFUNCTION("VALUE(SUBSTITUTE((INDEX(SPLIT(A594,"",""),2)),""."","","",1))"),30.268904)</f>
        <v>30.268904</v>
      </c>
      <c r="R594" s="14" t="b">
        <f t="shared" si="1"/>
        <v>0</v>
      </c>
      <c r="S594" s="14" t="str">
        <f t="shared" si="2"/>
        <v>59.905921,30.268904</v>
      </c>
      <c r="T594" s="12"/>
    </row>
    <row r="595">
      <c r="A595" s="20" t="s">
        <v>3879</v>
      </c>
      <c r="B595" s="16" t="s">
        <v>3880</v>
      </c>
      <c r="C595" s="16" t="s">
        <v>3881</v>
      </c>
      <c r="D595" s="16" t="s">
        <v>16</v>
      </c>
      <c r="E595" s="21" t="s">
        <v>3882</v>
      </c>
      <c r="F595" s="22" t="s">
        <v>3883</v>
      </c>
      <c r="G595" s="16">
        <v>23.61</v>
      </c>
      <c r="H595" s="16"/>
      <c r="I595" s="22"/>
      <c r="J595" s="22" t="s">
        <v>3884</v>
      </c>
      <c r="K595" s="22" t="s">
        <v>3885</v>
      </c>
      <c r="L595" s="23" t="s">
        <v>3886</v>
      </c>
      <c r="M595" s="23" t="s">
        <v>3887</v>
      </c>
      <c r="N595" s="12"/>
      <c r="O595" s="12"/>
      <c r="P595" s="13">
        <f>IFERROR(__xludf.DUMMYFUNCTION("VALUE(SUBSTITUTE((INDEX(SPLIT(A595,"",""),1)),""."","","",1))"),59.941876)</f>
        <v>59.941876</v>
      </c>
      <c r="Q595" s="13">
        <f>IFERROR(__xludf.DUMMYFUNCTION("VALUE(SUBSTITUTE((INDEX(SPLIT(A595,"",""),2)),""."","","",1))"),30.26947)</f>
        <v>30.26947</v>
      </c>
      <c r="R595" s="14" t="b">
        <f t="shared" si="1"/>
        <v>0</v>
      </c>
      <c r="S595" s="14" t="str">
        <f t="shared" si="2"/>
        <v>59.941876,30.26947</v>
      </c>
      <c r="T595" s="12"/>
    </row>
    <row r="596">
      <c r="A596" s="18" t="s">
        <v>3888</v>
      </c>
      <c r="B596" s="8" t="s">
        <v>3889</v>
      </c>
      <c r="C596" s="8" t="s">
        <v>3890</v>
      </c>
      <c r="D596" s="8" t="s">
        <v>16</v>
      </c>
      <c r="E596" s="19" t="s">
        <v>3891</v>
      </c>
      <c r="F596" s="8" t="s">
        <v>3169</v>
      </c>
      <c r="G596" s="8">
        <v>23.61</v>
      </c>
      <c r="H596" s="8"/>
      <c r="I596" s="8"/>
      <c r="J596" s="8" t="s">
        <v>3892</v>
      </c>
      <c r="K596" s="8" t="s">
        <v>3893</v>
      </c>
      <c r="L596" s="8"/>
      <c r="M596" s="8"/>
      <c r="N596" s="12"/>
      <c r="O596" s="12"/>
      <c r="P596" s="13">
        <f>IFERROR(__xludf.DUMMYFUNCTION("VALUE(SUBSTITUTE((INDEX(SPLIT(A596,"",""),1)),""."","","",1))"),59.877804)</f>
        <v>59.877804</v>
      </c>
      <c r="Q596" s="13">
        <f>IFERROR(__xludf.DUMMYFUNCTION("VALUE(SUBSTITUTE((INDEX(SPLIT(A596,"",""),2)),""."","","",1))"),30.270189)</f>
        <v>30.270189</v>
      </c>
      <c r="R596" s="14" t="b">
        <f t="shared" si="1"/>
        <v>0</v>
      </c>
      <c r="S596" s="14" t="str">
        <f t="shared" si="2"/>
        <v>59.877804,30.270189</v>
      </c>
      <c r="T596" s="12"/>
    </row>
    <row r="597">
      <c r="A597" s="15" t="s">
        <v>3894</v>
      </c>
      <c r="B597" s="16" t="s">
        <v>3895</v>
      </c>
      <c r="C597" s="16" t="s">
        <v>3896</v>
      </c>
      <c r="D597" s="16" t="s">
        <v>16</v>
      </c>
      <c r="E597" s="17" t="s">
        <v>3897</v>
      </c>
      <c r="F597" s="16" t="s">
        <v>3169</v>
      </c>
      <c r="G597" s="16">
        <v>23.61</v>
      </c>
      <c r="H597" s="16"/>
      <c r="I597" s="16"/>
      <c r="J597" s="16" t="s">
        <v>3898</v>
      </c>
      <c r="K597" s="16" t="s">
        <v>3899</v>
      </c>
      <c r="L597" s="16"/>
      <c r="M597" s="16"/>
      <c r="N597" s="12"/>
      <c r="O597" s="12"/>
      <c r="P597" s="13">
        <f>IFERROR(__xludf.DUMMYFUNCTION("VALUE(SUBSTITUTE((INDEX(SPLIT(A597,"",""),1)),""."","","",1))"),59.881114)</f>
        <v>59.881114</v>
      </c>
      <c r="Q597" s="13">
        <f>IFERROR(__xludf.DUMMYFUNCTION("VALUE(SUBSTITUTE((INDEX(SPLIT(A597,"",""),2)),""."","","",1))"),30.272596)</f>
        <v>30.272596</v>
      </c>
      <c r="R597" s="14" t="b">
        <f t="shared" si="1"/>
        <v>0</v>
      </c>
      <c r="S597" s="14" t="str">
        <f t="shared" si="2"/>
        <v>59.881114,30.272596</v>
      </c>
      <c r="T597" s="12"/>
    </row>
    <row r="598">
      <c r="A598" s="18" t="s">
        <v>3900</v>
      </c>
      <c r="B598" s="8" t="s">
        <v>3901</v>
      </c>
      <c r="C598" s="8" t="s">
        <v>3902</v>
      </c>
      <c r="D598" s="8" t="s">
        <v>16</v>
      </c>
      <c r="E598" s="19" t="s">
        <v>3903</v>
      </c>
      <c r="F598" s="8" t="s">
        <v>3169</v>
      </c>
      <c r="G598" s="8">
        <v>23.61</v>
      </c>
      <c r="H598" s="8"/>
      <c r="I598" s="8"/>
      <c r="J598" s="8" t="s">
        <v>3904</v>
      </c>
      <c r="K598" s="8" t="s">
        <v>3905</v>
      </c>
      <c r="L598" s="8"/>
      <c r="M598" s="8"/>
      <c r="N598" s="12"/>
      <c r="O598" s="12"/>
      <c r="P598" s="13">
        <f>IFERROR(__xludf.DUMMYFUNCTION("VALUE(SUBSTITUTE((INDEX(SPLIT(A598,"",""),1)),""."","","",1))"),59.902668)</f>
        <v>59.902668</v>
      </c>
      <c r="Q598" s="13">
        <f>IFERROR(__xludf.DUMMYFUNCTION("VALUE(SUBSTITUTE((INDEX(SPLIT(A598,"",""),2)),""."","","",1))"),30.274465)</f>
        <v>30.274465</v>
      </c>
      <c r="R598" s="14" t="b">
        <f t="shared" si="1"/>
        <v>0</v>
      </c>
      <c r="S598" s="14" t="str">
        <f t="shared" si="2"/>
        <v>59.902668,30.274465</v>
      </c>
      <c r="T598" s="12"/>
    </row>
    <row r="599">
      <c r="A599" s="20" t="s">
        <v>3906</v>
      </c>
      <c r="B599" s="16" t="s">
        <v>3907</v>
      </c>
      <c r="C599" s="16" t="s">
        <v>3908</v>
      </c>
      <c r="D599" s="16" t="s">
        <v>16</v>
      </c>
      <c r="E599" s="21" t="s">
        <v>3909</v>
      </c>
      <c r="F599" s="22" t="s">
        <v>3169</v>
      </c>
      <c r="G599" s="16">
        <v>23.61</v>
      </c>
      <c r="H599" s="16"/>
      <c r="I599" s="22"/>
      <c r="J599" s="22" t="s">
        <v>3910</v>
      </c>
      <c r="K599" s="22" t="s">
        <v>3911</v>
      </c>
      <c r="L599" s="23" t="s">
        <v>3912</v>
      </c>
      <c r="M599" s="22"/>
      <c r="N599" s="12"/>
      <c r="O599" s="12"/>
      <c r="P599" s="13">
        <f>IFERROR(__xludf.DUMMYFUNCTION("VALUE(SUBSTITUTE((INDEX(SPLIT(A599,"",""),1)),""."","","",1))"),60.027211)</f>
        <v>60.027211</v>
      </c>
      <c r="Q599" s="13">
        <f>IFERROR(__xludf.DUMMYFUNCTION("VALUE(SUBSTITUTE((INDEX(SPLIT(A599,"",""),2)),""."","","",1))"),30.275776)</f>
        <v>30.275776</v>
      </c>
      <c r="R599" s="14" t="b">
        <f t="shared" si="1"/>
        <v>0</v>
      </c>
      <c r="S599" s="14" t="str">
        <f t="shared" si="2"/>
        <v>60.027211,30.275776</v>
      </c>
      <c r="T599" s="12"/>
    </row>
    <row r="600">
      <c r="A600" s="18" t="s">
        <v>3906</v>
      </c>
      <c r="B600" s="8" t="s">
        <v>3913</v>
      </c>
      <c r="C600" s="8" t="s">
        <v>3914</v>
      </c>
      <c r="D600" s="8" t="s">
        <v>16</v>
      </c>
      <c r="E600" s="19" t="s">
        <v>3915</v>
      </c>
      <c r="F600" s="8" t="s">
        <v>3169</v>
      </c>
      <c r="G600" s="8">
        <v>23.61</v>
      </c>
      <c r="H600" s="8"/>
      <c r="I600" s="8"/>
      <c r="J600" s="8" t="s">
        <v>3916</v>
      </c>
      <c r="K600" s="8" t="s">
        <v>3917</v>
      </c>
      <c r="L600" s="8"/>
      <c r="M600" s="8"/>
      <c r="N600" s="12"/>
      <c r="O600" s="12"/>
      <c r="P600" s="13">
        <f>IFERROR(__xludf.DUMMYFUNCTION("VALUE(SUBSTITUTE((INDEX(SPLIT(A600,"",""),1)),""."","","",1))"),60.027211)</f>
        <v>60.027211</v>
      </c>
      <c r="Q600" s="13">
        <f>IFERROR(__xludf.DUMMYFUNCTION("VALUE(SUBSTITUTE((INDEX(SPLIT(A600,"",""),2)),""."","","",1))"),30.275776)</f>
        <v>30.275776</v>
      </c>
      <c r="R600" s="14" t="b">
        <f t="shared" si="1"/>
        <v>0</v>
      </c>
      <c r="S600" s="14" t="str">
        <f t="shared" si="2"/>
        <v>60.027211,30.275776</v>
      </c>
      <c r="T600" s="12"/>
    </row>
    <row r="601">
      <c r="A601" s="20" t="s">
        <v>3918</v>
      </c>
      <c r="B601" s="16" t="s">
        <v>3919</v>
      </c>
      <c r="C601" s="16" t="s">
        <v>3920</v>
      </c>
      <c r="D601" s="16" t="s">
        <v>16</v>
      </c>
      <c r="E601" s="21" t="s">
        <v>3921</v>
      </c>
      <c r="F601" s="22" t="s">
        <v>3169</v>
      </c>
      <c r="G601" s="16">
        <v>23.61</v>
      </c>
      <c r="H601" s="16"/>
      <c r="I601" s="22"/>
      <c r="J601" s="22" t="s">
        <v>3922</v>
      </c>
      <c r="K601" s="22" t="s">
        <v>3923</v>
      </c>
      <c r="L601" s="23" t="s">
        <v>3924</v>
      </c>
      <c r="M601" s="23" t="s">
        <v>3925</v>
      </c>
      <c r="N601" s="12"/>
      <c r="O601" s="12"/>
      <c r="P601" s="13">
        <f>IFERROR(__xludf.DUMMYFUNCTION("VALUE(SUBSTITUTE((INDEX(SPLIT(A601,"",""),1)),""."","","",1))"),60.02508)</f>
        <v>60.02508</v>
      </c>
      <c r="Q601" s="13">
        <f>IFERROR(__xludf.DUMMYFUNCTION("VALUE(SUBSTITUTE((INDEX(SPLIT(A601,"",""),2)),""."","","",1))"),30.27663)</f>
        <v>30.27663</v>
      </c>
      <c r="R601" s="14" t="b">
        <f t="shared" si="1"/>
        <v>0</v>
      </c>
      <c r="S601" s="14" t="str">
        <f t="shared" si="2"/>
        <v>60.02508,30.27663</v>
      </c>
      <c r="T601" s="12"/>
    </row>
    <row r="602">
      <c r="A602" s="7" t="s">
        <v>3918</v>
      </c>
      <c r="B602" s="8" t="s">
        <v>3926</v>
      </c>
      <c r="C602" s="8" t="s">
        <v>3927</v>
      </c>
      <c r="D602" s="8" t="s">
        <v>16</v>
      </c>
      <c r="E602" s="9" t="s">
        <v>3928</v>
      </c>
      <c r="F602" s="10" t="s">
        <v>3169</v>
      </c>
      <c r="G602" s="8">
        <v>23.61</v>
      </c>
      <c r="H602" s="8"/>
      <c r="I602" s="10"/>
      <c r="J602" s="10" t="s">
        <v>3929</v>
      </c>
      <c r="K602" s="10" t="s">
        <v>3930</v>
      </c>
      <c r="L602" s="11" t="s">
        <v>3931</v>
      </c>
      <c r="M602" s="11" t="s">
        <v>3925</v>
      </c>
      <c r="N602" s="12"/>
      <c r="O602" s="12"/>
      <c r="P602" s="13">
        <f>IFERROR(__xludf.DUMMYFUNCTION("VALUE(SUBSTITUTE((INDEX(SPLIT(A602,"",""),1)),""."","","",1))"),60.02508)</f>
        <v>60.02508</v>
      </c>
      <c r="Q602" s="13">
        <f>IFERROR(__xludf.DUMMYFUNCTION("VALUE(SUBSTITUTE((INDEX(SPLIT(A602,"",""),2)),""."","","",1))"),30.27663)</f>
        <v>30.27663</v>
      </c>
      <c r="R602" s="14" t="b">
        <f t="shared" si="1"/>
        <v>0</v>
      </c>
      <c r="S602" s="14" t="str">
        <f t="shared" si="2"/>
        <v>60.02508,30.27663</v>
      </c>
      <c r="T602" s="12"/>
    </row>
    <row r="603">
      <c r="A603" s="15" t="s">
        <v>3932</v>
      </c>
      <c r="B603" s="16" t="s">
        <v>3933</v>
      </c>
      <c r="C603" s="16" t="s">
        <v>3934</v>
      </c>
      <c r="D603" s="16" t="s">
        <v>16</v>
      </c>
      <c r="E603" s="17" t="s">
        <v>3935</v>
      </c>
      <c r="F603" s="16" t="s">
        <v>3169</v>
      </c>
      <c r="G603" s="16">
        <v>23.61</v>
      </c>
      <c r="H603" s="16"/>
      <c r="I603" s="16"/>
      <c r="J603" s="16" t="s">
        <v>3936</v>
      </c>
      <c r="K603" s="16" t="s">
        <v>3937</v>
      </c>
      <c r="L603" s="16"/>
      <c r="M603" s="16"/>
      <c r="N603" s="12"/>
      <c r="O603" s="12"/>
      <c r="P603" s="13">
        <f>IFERROR(__xludf.DUMMYFUNCTION("VALUE(SUBSTITUTE((INDEX(SPLIT(A603,"",""),1)),""."","","",1))"),59.903241)</f>
        <v>59.903241</v>
      </c>
      <c r="Q603" s="13">
        <f>IFERROR(__xludf.DUMMYFUNCTION("VALUE(SUBSTITUTE((INDEX(SPLIT(A603,"",""),2)),""."","","",1))"),30.276639)</f>
        <v>30.276639</v>
      </c>
      <c r="R603" s="14" t="b">
        <f t="shared" si="1"/>
        <v>0</v>
      </c>
      <c r="S603" s="14" t="str">
        <f t="shared" si="2"/>
        <v>59.903241,30.276639</v>
      </c>
      <c r="T603" s="12"/>
    </row>
    <row r="604">
      <c r="A604" s="18" t="s">
        <v>3938</v>
      </c>
      <c r="B604" s="8" t="s">
        <v>3939</v>
      </c>
      <c r="C604" s="8" t="s">
        <v>3940</v>
      </c>
      <c r="D604" s="8" t="s">
        <v>16</v>
      </c>
      <c r="E604" s="19" t="s">
        <v>3941</v>
      </c>
      <c r="F604" s="8" t="s">
        <v>3169</v>
      </c>
      <c r="G604" s="8">
        <v>23.61</v>
      </c>
      <c r="H604" s="8"/>
      <c r="I604" s="8"/>
      <c r="J604" s="8" t="s">
        <v>3942</v>
      </c>
      <c r="K604" s="8" t="s">
        <v>3943</v>
      </c>
      <c r="L604" s="8"/>
      <c r="M604" s="8"/>
      <c r="N604" s="12"/>
      <c r="O604" s="12"/>
      <c r="P604" s="13">
        <f>IFERROR(__xludf.DUMMYFUNCTION("VALUE(SUBSTITUTE((INDEX(SPLIT(A604,"",""),1)),""."","","",1))"),59.910438)</f>
        <v>59.910438</v>
      </c>
      <c r="Q604" s="13">
        <f>IFERROR(__xludf.DUMMYFUNCTION("VALUE(SUBSTITUTE((INDEX(SPLIT(A604,"",""),2)),""."","","",1))"),30.277941)</f>
        <v>30.277941</v>
      </c>
      <c r="R604" s="14" t="b">
        <f t="shared" si="1"/>
        <v>0</v>
      </c>
      <c r="S604" s="14" t="str">
        <f t="shared" si="2"/>
        <v>59.910438,30.277941</v>
      </c>
      <c r="T604" s="12"/>
    </row>
    <row r="605">
      <c r="A605" s="20" t="s">
        <v>3944</v>
      </c>
      <c r="B605" s="16" t="s">
        <v>3945</v>
      </c>
      <c r="C605" s="16" t="s">
        <v>3946</v>
      </c>
      <c r="D605" s="16" t="s">
        <v>16</v>
      </c>
      <c r="E605" s="21" t="s">
        <v>3947</v>
      </c>
      <c r="F605" s="22" t="s">
        <v>3169</v>
      </c>
      <c r="G605" s="16">
        <v>23.61</v>
      </c>
      <c r="H605" s="16"/>
      <c r="I605" s="22"/>
      <c r="J605" s="22" t="s">
        <v>3948</v>
      </c>
      <c r="K605" s="22" t="s">
        <v>3949</v>
      </c>
      <c r="L605" s="23" t="s">
        <v>3950</v>
      </c>
      <c r="M605" s="22"/>
      <c r="N605" s="12"/>
      <c r="O605" s="12"/>
      <c r="P605" s="13">
        <f>IFERROR(__xludf.DUMMYFUNCTION("VALUE(SUBSTITUTE((INDEX(SPLIT(A605,"",""),1)),""."","","",1))"),59.871301)</f>
        <v>59.871301</v>
      </c>
      <c r="Q605" s="13">
        <f>IFERROR(__xludf.DUMMYFUNCTION("VALUE(SUBSTITUTE((INDEX(SPLIT(A605,"",""),2)),""."","","",1))"),30.278202)</f>
        <v>30.278202</v>
      </c>
      <c r="R605" s="14" t="b">
        <f t="shared" si="1"/>
        <v>0</v>
      </c>
      <c r="S605" s="14" t="str">
        <f t="shared" si="2"/>
        <v>59.871301,30.278202</v>
      </c>
      <c r="T605" s="12"/>
    </row>
    <row r="606">
      <c r="A606" s="18" t="s">
        <v>3951</v>
      </c>
      <c r="B606" s="8" t="s">
        <v>3952</v>
      </c>
      <c r="C606" s="8" t="s">
        <v>3953</v>
      </c>
      <c r="D606" s="8" t="s">
        <v>16</v>
      </c>
      <c r="E606" s="19" t="s">
        <v>3954</v>
      </c>
      <c r="F606" s="8" t="s">
        <v>3169</v>
      </c>
      <c r="G606" s="8">
        <v>23.61</v>
      </c>
      <c r="H606" s="8"/>
      <c r="I606" s="8"/>
      <c r="J606" s="8" t="s">
        <v>3955</v>
      </c>
      <c r="K606" s="8" t="s">
        <v>3956</v>
      </c>
      <c r="L606" s="8"/>
      <c r="M606" s="8"/>
      <c r="N606" s="12"/>
      <c r="O606" s="12"/>
      <c r="P606" s="13">
        <f>IFERROR(__xludf.DUMMYFUNCTION("VALUE(SUBSTITUTE((INDEX(SPLIT(A606,"",""),1)),""."","","",1))"),59.889038)</f>
        <v>59.889038</v>
      </c>
      <c r="Q606" s="13">
        <f>IFERROR(__xludf.DUMMYFUNCTION("VALUE(SUBSTITUTE((INDEX(SPLIT(A606,"",""),2)),""."","","",1))"),30.278274)</f>
        <v>30.278274</v>
      </c>
      <c r="R606" s="14" t="b">
        <f t="shared" si="1"/>
        <v>0</v>
      </c>
      <c r="S606" s="14" t="str">
        <f t="shared" si="2"/>
        <v>59.889038,30.278274</v>
      </c>
      <c r="T606" s="12"/>
    </row>
    <row r="607">
      <c r="A607" s="15" t="s">
        <v>3957</v>
      </c>
      <c r="B607" s="16" t="s">
        <v>3958</v>
      </c>
      <c r="C607" s="16" t="s">
        <v>3959</v>
      </c>
      <c r="D607" s="16" t="s">
        <v>16</v>
      </c>
      <c r="E607" s="17" t="s">
        <v>3960</v>
      </c>
      <c r="F607" s="16" t="s">
        <v>3169</v>
      </c>
      <c r="G607" s="16">
        <v>23.61</v>
      </c>
      <c r="H607" s="16"/>
      <c r="I607" s="16"/>
      <c r="J607" s="16" t="s">
        <v>3961</v>
      </c>
      <c r="K607" s="16" t="s">
        <v>3962</v>
      </c>
      <c r="L607" s="16"/>
      <c r="M607" s="16"/>
      <c r="N607" s="12"/>
      <c r="O607" s="12"/>
      <c r="P607" s="13">
        <f>IFERROR(__xludf.DUMMYFUNCTION("VALUE(SUBSTITUTE((INDEX(SPLIT(A607,"",""),1)),""."","","",1))"),59.896323)</f>
        <v>59.896323</v>
      </c>
      <c r="Q607" s="13">
        <f>IFERROR(__xludf.DUMMYFUNCTION("VALUE(SUBSTITUTE((INDEX(SPLIT(A607,"",""),2)),""."","","",1))"),30.278813)</f>
        <v>30.278813</v>
      </c>
      <c r="R607" s="14" t="b">
        <f t="shared" si="1"/>
        <v>0</v>
      </c>
      <c r="S607" s="14" t="str">
        <f t="shared" si="2"/>
        <v>59.896323,30.278813</v>
      </c>
      <c r="T607" s="12"/>
    </row>
    <row r="608">
      <c r="A608" s="7" t="s">
        <v>3963</v>
      </c>
      <c r="B608" s="8" t="s">
        <v>3964</v>
      </c>
      <c r="C608" s="8" t="s">
        <v>3965</v>
      </c>
      <c r="D608" s="8" t="s">
        <v>16</v>
      </c>
      <c r="E608" s="9" t="s">
        <v>3966</v>
      </c>
      <c r="F608" s="10" t="s">
        <v>3169</v>
      </c>
      <c r="G608" s="8">
        <v>23.61</v>
      </c>
      <c r="H608" s="8"/>
      <c r="I608" s="10"/>
      <c r="J608" s="10" t="s">
        <v>3967</v>
      </c>
      <c r="K608" s="10" t="s">
        <v>3968</v>
      </c>
      <c r="L608" s="11" t="s">
        <v>3969</v>
      </c>
      <c r="M608" s="11" t="s">
        <v>3970</v>
      </c>
      <c r="N608" s="12"/>
      <c r="O608" s="12"/>
      <c r="P608" s="13">
        <f>IFERROR(__xludf.DUMMYFUNCTION("VALUE(SUBSTITUTE((INDEX(SPLIT(A608,"",""),1)),""."","","",1))"),59.904414)</f>
        <v>59.904414</v>
      </c>
      <c r="Q608" s="13">
        <f>IFERROR(__xludf.DUMMYFUNCTION("VALUE(SUBSTITUTE((INDEX(SPLIT(A608,"",""),2)),""."","","",1))"),30.279891)</f>
        <v>30.279891</v>
      </c>
      <c r="R608" s="14" t="b">
        <f t="shared" si="1"/>
        <v>0</v>
      </c>
      <c r="S608" s="14" t="str">
        <f t="shared" si="2"/>
        <v>59.904414,30.279891</v>
      </c>
      <c r="T608" s="12"/>
    </row>
    <row r="609">
      <c r="A609" s="20" t="s">
        <v>3971</v>
      </c>
      <c r="B609" s="16" t="s">
        <v>3972</v>
      </c>
      <c r="C609" s="16" t="s">
        <v>3973</v>
      </c>
      <c r="D609" s="16" t="s">
        <v>16</v>
      </c>
      <c r="E609" s="21" t="s">
        <v>3974</v>
      </c>
      <c r="F609" s="22" t="s">
        <v>3169</v>
      </c>
      <c r="G609" s="16">
        <v>23.61</v>
      </c>
      <c r="H609" s="16"/>
      <c r="I609" s="22"/>
      <c r="J609" s="22" t="s">
        <v>3975</v>
      </c>
      <c r="K609" s="22" t="s">
        <v>3976</v>
      </c>
      <c r="L609" s="23" t="s">
        <v>3977</v>
      </c>
      <c r="M609" s="22"/>
      <c r="N609" s="12"/>
      <c r="O609" s="12"/>
      <c r="P609" s="13">
        <f>IFERROR(__xludf.DUMMYFUNCTION("VALUE(SUBSTITUTE((INDEX(SPLIT(A609,"",""),1)),""."","","",1))"),59.844728)</f>
        <v>59.844728</v>
      </c>
      <c r="Q609" s="13">
        <f>IFERROR(__xludf.DUMMYFUNCTION("VALUE(SUBSTITUTE((INDEX(SPLIT(A609,"",""),2)),""."","","",1))"),30.280079)</f>
        <v>30.280079</v>
      </c>
      <c r="R609" s="14" t="b">
        <f t="shared" si="1"/>
        <v>0</v>
      </c>
      <c r="S609" s="14" t="str">
        <f t="shared" si="2"/>
        <v>59.844728,30.280079</v>
      </c>
      <c r="T609" s="12"/>
    </row>
    <row r="610">
      <c r="A610" s="7" t="s">
        <v>3978</v>
      </c>
      <c r="B610" s="8" t="s">
        <v>3979</v>
      </c>
      <c r="C610" s="8" t="s">
        <v>3980</v>
      </c>
      <c r="D610" s="8" t="s">
        <v>16</v>
      </c>
      <c r="E610" s="9" t="s">
        <v>3981</v>
      </c>
      <c r="F610" s="10" t="s">
        <v>3169</v>
      </c>
      <c r="G610" s="8">
        <v>23.61</v>
      </c>
      <c r="H610" s="8"/>
      <c r="I610" s="10"/>
      <c r="J610" s="10" t="s">
        <v>3982</v>
      </c>
      <c r="K610" s="10" t="s">
        <v>3983</v>
      </c>
      <c r="L610" s="11" t="s">
        <v>3984</v>
      </c>
      <c r="M610" s="10"/>
      <c r="N610" s="12"/>
      <c r="O610" s="12"/>
      <c r="P610" s="13">
        <f>IFERROR(__xludf.DUMMYFUNCTION("VALUE(SUBSTITUTE((INDEX(SPLIT(A610,"",""),1)),""."","","",1))"),59.945729)</f>
        <v>59.945729</v>
      </c>
      <c r="Q610" s="13">
        <f>IFERROR(__xludf.DUMMYFUNCTION("VALUE(SUBSTITUTE((INDEX(SPLIT(A610,"",""),2)),""."","","",1))"),30.280106)</f>
        <v>30.280106</v>
      </c>
      <c r="R610" s="14" t="b">
        <f t="shared" si="1"/>
        <v>0</v>
      </c>
      <c r="S610" s="14" t="str">
        <f t="shared" si="2"/>
        <v>59.945729,30.280106</v>
      </c>
      <c r="T610" s="12"/>
    </row>
    <row r="611">
      <c r="A611" s="15" t="s">
        <v>3978</v>
      </c>
      <c r="B611" s="16" t="s">
        <v>3985</v>
      </c>
      <c r="C611" s="16" t="s">
        <v>3986</v>
      </c>
      <c r="D611" s="16" t="s">
        <v>16</v>
      </c>
      <c r="E611" s="17" t="s">
        <v>3987</v>
      </c>
      <c r="F611" s="16" t="s">
        <v>3169</v>
      </c>
      <c r="G611" s="16">
        <v>23.61</v>
      </c>
      <c r="H611" s="16"/>
      <c r="I611" s="16"/>
      <c r="J611" s="16" t="s">
        <v>3988</v>
      </c>
      <c r="K611" s="16" t="s">
        <v>3989</v>
      </c>
      <c r="L611" s="16"/>
      <c r="M611" s="16"/>
      <c r="N611" s="12"/>
      <c r="O611" s="12"/>
      <c r="P611" s="13">
        <f>IFERROR(__xludf.DUMMYFUNCTION("VALUE(SUBSTITUTE((INDEX(SPLIT(A611,"",""),1)),""."","","",1))"),59.945729)</f>
        <v>59.945729</v>
      </c>
      <c r="Q611" s="13">
        <f>IFERROR(__xludf.DUMMYFUNCTION("VALUE(SUBSTITUTE((INDEX(SPLIT(A611,"",""),2)),""."","","",1))"),30.280106)</f>
        <v>30.280106</v>
      </c>
      <c r="R611" s="14" t="b">
        <f t="shared" si="1"/>
        <v>0</v>
      </c>
      <c r="S611" s="14" t="str">
        <f t="shared" si="2"/>
        <v>59.945729,30.280106</v>
      </c>
      <c r="T611" s="12"/>
    </row>
    <row r="612">
      <c r="A612" s="18" t="s">
        <v>3990</v>
      </c>
      <c r="B612" s="8" t="s">
        <v>3991</v>
      </c>
      <c r="C612" s="8" t="s">
        <v>3992</v>
      </c>
      <c r="D612" s="8" t="s">
        <v>16</v>
      </c>
      <c r="E612" s="19" t="s">
        <v>3993</v>
      </c>
      <c r="F612" s="8" t="s">
        <v>3169</v>
      </c>
      <c r="G612" s="8">
        <v>23.61</v>
      </c>
      <c r="H612" s="8"/>
      <c r="I612" s="8"/>
      <c r="J612" s="8" t="s">
        <v>3994</v>
      </c>
      <c r="K612" s="8" t="s">
        <v>3995</v>
      </c>
      <c r="L612" s="8"/>
      <c r="M612" s="8"/>
      <c r="N612" s="12"/>
      <c r="O612" s="12"/>
      <c r="P612" s="13">
        <f>IFERROR(__xludf.DUMMYFUNCTION("VALUE(SUBSTITUTE((INDEX(SPLIT(A612,"",""),1)),""."","","",1))"),59.901946)</f>
        <v>59.901946</v>
      </c>
      <c r="Q612" s="13">
        <f>IFERROR(__xludf.DUMMYFUNCTION("VALUE(SUBSTITUTE((INDEX(SPLIT(A612,"",""),2)),""."","","",1))"),30.28255)</f>
        <v>30.28255</v>
      </c>
      <c r="R612" s="14" t="b">
        <f t="shared" si="1"/>
        <v>0</v>
      </c>
      <c r="S612" s="14" t="str">
        <f t="shared" si="2"/>
        <v>59.901946,30.28255</v>
      </c>
      <c r="T612" s="12"/>
    </row>
    <row r="613">
      <c r="A613" s="15" t="s">
        <v>3996</v>
      </c>
      <c r="B613" s="16" t="s">
        <v>3997</v>
      </c>
      <c r="C613" s="16" t="s">
        <v>3998</v>
      </c>
      <c r="D613" s="16" t="s">
        <v>16</v>
      </c>
      <c r="E613" s="17" t="s">
        <v>3999</v>
      </c>
      <c r="F613" s="16" t="s">
        <v>3169</v>
      </c>
      <c r="G613" s="16">
        <v>23.61</v>
      </c>
      <c r="H613" s="16"/>
      <c r="I613" s="16"/>
      <c r="J613" s="16" t="s">
        <v>4000</v>
      </c>
      <c r="K613" s="16" t="s">
        <v>4001</v>
      </c>
      <c r="L613" s="16"/>
      <c r="M613" s="16"/>
      <c r="N613" s="12"/>
      <c r="O613" s="12"/>
      <c r="P613" s="13">
        <f>IFERROR(__xludf.DUMMYFUNCTION("VALUE(SUBSTITUTE((INDEX(SPLIT(A613,"",""),1)),""."","","",1))"),59.861756)</f>
        <v>59.861756</v>
      </c>
      <c r="Q613" s="13">
        <f>IFERROR(__xludf.DUMMYFUNCTION("VALUE(SUBSTITUTE((INDEX(SPLIT(A613,"",""),2)),""."","","",1))"),30.285002)</f>
        <v>30.285002</v>
      </c>
      <c r="R613" s="14" t="b">
        <f t="shared" si="1"/>
        <v>0</v>
      </c>
      <c r="S613" s="14" t="str">
        <f t="shared" si="2"/>
        <v>59.861756,30.285002</v>
      </c>
      <c r="T613" s="12"/>
    </row>
    <row r="614">
      <c r="A614" s="7" t="s">
        <v>4002</v>
      </c>
      <c r="B614" s="8" t="s">
        <v>4003</v>
      </c>
      <c r="C614" s="8" t="s">
        <v>4004</v>
      </c>
      <c r="D614" s="8" t="s">
        <v>16</v>
      </c>
      <c r="E614" s="9" t="s">
        <v>4005</v>
      </c>
      <c r="F614" s="10" t="s">
        <v>3169</v>
      </c>
      <c r="G614" s="8">
        <v>23.61</v>
      </c>
      <c r="H614" s="8"/>
      <c r="I614" s="10"/>
      <c r="J614" s="10" t="s">
        <v>4006</v>
      </c>
      <c r="K614" s="10" t="s">
        <v>4007</v>
      </c>
      <c r="L614" s="11" t="s">
        <v>4008</v>
      </c>
      <c r="M614" s="10"/>
      <c r="N614" s="12"/>
      <c r="O614" s="12"/>
      <c r="P614" s="13">
        <f>IFERROR(__xludf.DUMMYFUNCTION("VALUE(SUBSTITUTE((INDEX(SPLIT(A614,"",""),1)),""."","","",1))"),59.853559)</f>
        <v>59.853559</v>
      </c>
      <c r="Q614" s="13">
        <f>IFERROR(__xludf.DUMMYFUNCTION("VALUE(SUBSTITUTE((INDEX(SPLIT(A614,"",""),2)),""."","","",1))"),30.286161)</f>
        <v>30.286161</v>
      </c>
      <c r="R614" s="14" t="b">
        <f t="shared" si="1"/>
        <v>0</v>
      </c>
      <c r="S614" s="14" t="str">
        <f t="shared" si="2"/>
        <v>59.853559,30.286161</v>
      </c>
      <c r="T614" s="12"/>
    </row>
    <row r="615">
      <c r="A615" s="15" t="s">
        <v>4009</v>
      </c>
      <c r="B615" s="16" t="s">
        <v>4010</v>
      </c>
      <c r="C615" s="16" t="s">
        <v>4011</v>
      </c>
      <c r="D615" s="16" t="s">
        <v>16</v>
      </c>
      <c r="E615" s="17" t="s">
        <v>4012</v>
      </c>
      <c r="F615" s="16" t="s">
        <v>3169</v>
      </c>
      <c r="G615" s="16">
        <v>23.61</v>
      </c>
      <c r="H615" s="16"/>
      <c r="I615" s="16"/>
      <c r="J615" s="16" t="s">
        <v>4013</v>
      </c>
      <c r="K615" s="16" t="s">
        <v>4014</v>
      </c>
      <c r="L615" s="16"/>
      <c r="M615" s="16"/>
      <c r="N615" s="12"/>
      <c r="O615" s="12"/>
      <c r="P615" s="13">
        <f>IFERROR(__xludf.DUMMYFUNCTION("VALUE(SUBSTITUTE((INDEX(SPLIT(A615,"",""),1)),""."","","",1))"),59.919703)</f>
        <v>59.919703</v>
      </c>
      <c r="Q615" s="13">
        <f>IFERROR(__xludf.DUMMYFUNCTION("VALUE(SUBSTITUTE((INDEX(SPLIT(A615,"",""),2)),""."","","",1))"),30.286251)</f>
        <v>30.286251</v>
      </c>
      <c r="R615" s="14" t="b">
        <f t="shared" si="1"/>
        <v>0</v>
      </c>
      <c r="S615" s="14" t="str">
        <f t="shared" si="2"/>
        <v>59.919703,30.286251</v>
      </c>
      <c r="T615" s="12"/>
    </row>
    <row r="616">
      <c r="A616" s="18" t="s">
        <v>4015</v>
      </c>
      <c r="B616" s="8" t="s">
        <v>4016</v>
      </c>
      <c r="C616" s="8" t="s">
        <v>4017</v>
      </c>
      <c r="D616" s="8" t="s">
        <v>16</v>
      </c>
      <c r="E616" s="19" t="s">
        <v>4018</v>
      </c>
      <c r="F616" s="8" t="s">
        <v>3169</v>
      </c>
      <c r="G616" s="8">
        <v>23.61</v>
      </c>
      <c r="H616" s="8"/>
      <c r="I616" s="8"/>
      <c r="J616" s="8" t="s">
        <v>4019</v>
      </c>
      <c r="K616" s="8" t="s">
        <v>4020</v>
      </c>
      <c r="L616" s="8"/>
      <c r="M616" s="8"/>
      <c r="N616" s="12"/>
      <c r="O616" s="12"/>
      <c r="P616" s="13">
        <f>IFERROR(__xludf.DUMMYFUNCTION("VALUE(SUBSTITUTE((INDEX(SPLIT(A616,"",""),1)),""."","","",1))"),59.90958)</f>
        <v>59.90958</v>
      </c>
      <c r="Q616" s="13">
        <f>IFERROR(__xludf.DUMMYFUNCTION("VALUE(SUBSTITUTE((INDEX(SPLIT(A616,"",""),2)),""."","","",1))"),30.287176)</f>
        <v>30.287176</v>
      </c>
      <c r="R616" s="14" t="b">
        <f t="shared" si="1"/>
        <v>0</v>
      </c>
      <c r="S616" s="14" t="str">
        <f t="shared" si="2"/>
        <v>59.90958,30.287176</v>
      </c>
      <c r="T616" s="12"/>
    </row>
    <row r="617">
      <c r="A617" s="15" t="s">
        <v>4021</v>
      </c>
      <c r="B617" s="16" t="s">
        <v>4022</v>
      </c>
      <c r="C617" s="16" t="s">
        <v>4023</v>
      </c>
      <c r="D617" s="16" t="s">
        <v>16</v>
      </c>
      <c r="E617" s="17" t="s">
        <v>4024</v>
      </c>
      <c r="F617" s="16" t="s">
        <v>3169</v>
      </c>
      <c r="G617" s="16">
        <v>23.61</v>
      </c>
      <c r="H617" s="16"/>
      <c r="I617" s="16"/>
      <c r="J617" s="16" t="s">
        <v>4025</v>
      </c>
      <c r="K617" s="16" t="s">
        <v>4026</v>
      </c>
      <c r="L617" s="16"/>
      <c r="M617" s="16"/>
      <c r="N617" s="12"/>
      <c r="O617" s="12"/>
      <c r="P617" s="13">
        <f>IFERROR(__xludf.DUMMYFUNCTION("VALUE(SUBSTITUTE((INDEX(SPLIT(A617,"",""),1)),""."","","",1))"),59.859876)</f>
        <v>59.859876</v>
      </c>
      <c r="Q617" s="13">
        <f>IFERROR(__xludf.DUMMYFUNCTION("VALUE(SUBSTITUTE((INDEX(SPLIT(A617,"",""),2)),""."","","",1))"),30.28793)</f>
        <v>30.28793</v>
      </c>
      <c r="R617" s="14" t="b">
        <f t="shared" si="1"/>
        <v>0</v>
      </c>
      <c r="S617" s="14" t="str">
        <f t="shared" si="2"/>
        <v>59.859876,30.28793</v>
      </c>
      <c r="T617" s="12"/>
    </row>
    <row r="618">
      <c r="A618" s="7" t="s">
        <v>4027</v>
      </c>
      <c r="B618" s="8" t="s">
        <v>4028</v>
      </c>
      <c r="C618" s="8" t="s">
        <v>4029</v>
      </c>
      <c r="D618" s="8" t="s">
        <v>16</v>
      </c>
      <c r="E618" s="9" t="s">
        <v>4030</v>
      </c>
      <c r="F618" s="10" t="s">
        <v>3169</v>
      </c>
      <c r="G618" s="8">
        <v>23.61</v>
      </c>
      <c r="H618" s="8"/>
      <c r="I618" s="10"/>
      <c r="J618" s="10" t="s">
        <v>4031</v>
      </c>
      <c r="K618" s="10" t="s">
        <v>4032</v>
      </c>
      <c r="L618" s="11" t="s">
        <v>4033</v>
      </c>
      <c r="M618" s="10"/>
      <c r="N618" s="12"/>
      <c r="O618" s="12"/>
      <c r="P618" s="13">
        <f>IFERROR(__xludf.DUMMYFUNCTION("VALUE(SUBSTITUTE((INDEX(SPLIT(A618,"",""),1)),""."","","",1))"),59.905768)</f>
        <v>59.905768</v>
      </c>
      <c r="Q618" s="13">
        <f>IFERROR(__xludf.DUMMYFUNCTION("VALUE(SUBSTITUTE((INDEX(SPLIT(A618,"",""),2)),""."","","",1))"),30.288514)</f>
        <v>30.288514</v>
      </c>
      <c r="R618" s="14" t="b">
        <f t="shared" si="1"/>
        <v>0</v>
      </c>
      <c r="S618" s="14" t="str">
        <f t="shared" si="2"/>
        <v>59.905768,30.288514</v>
      </c>
      <c r="T618" s="12"/>
    </row>
    <row r="619">
      <c r="A619" s="15" t="s">
        <v>4027</v>
      </c>
      <c r="B619" s="16" t="s">
        <v>4034</v>
      </c>
      <c r="C619" s="16" t="s">
        <v>4035</v>
      </c>
      <c r="D619" s="16" t="s">
        <v>16</v>
      </c>
      <c r="E619" s="17" t="s">
        <v>4036</v>
      </c>
      <c r="F619" s="16" t="s">
        <v>3169</v>
      </c>
      <c r="G619" s="16">
        <v>23.61</v>
      </c>
      <c r="H619" s="16"/>
      <c r="I619" s="16"/>
      <c r="J619" s="16" t="s">
        <v>4037</v>
      </c>
      <c r="K619" s="16" t="s">
        <v>4038</v>
      </c>
      <c r="L619" s="16"/>
      <c r="M619" s="25" t="s">
        <v>4039</v>
      </c>
      <c r="N619" s="12"/>
      <c r="O619" s="12"/>
      <c r="P619" s="13">
        <f>IFERROR(__xludf.DUMMYFUNCTION("VALUE(SUBSTITUTE((INDEX(SPLIT(A619,"",""),1)),""."","","",1))"),59.905768)</f>
        <v>59.905768</v>
      </c>
      <c r="Q619" s="13">
        <f>IFERROR(__xludf.DUMMYFUNCTION("VALUE(SUBSTITUTE((INDEX(SPLIT(A619,"",""),2)),""."","","",1))"),30.288514)</f>
        <v>30.288514</v>
      </c>
      <c r="R619" s="14" t="b">
        <f t="shared" si="1"/>
        <v>0</v>
      </c>
      <c r="S619" s="14" t="str">
        <f t="shared" si="2"/>
        <v>59.905768,30.288514</v>
      </c>
      <c r="T619" s="12"/>
    </row>
    <row r="620">
      <c r="A620" s="18" t="s">
        <v>4040</v>
      </c>
      <c r="B620" s="8" t="s">
        <v>4041</v>
      </c>
      <c r="C620" s="8" t="s">
        <v>4042</v>
      </c>
      <c r="D620" s="8" t="s">
        <v>16</v>
      </c>
      <c r="E620" s="19" t="s">
        <v>4043</v>
      </c>
      <c r="F620" s="8" t="s">
        <v>3169</v>
      </c>
      <c r="G620" s="8">
        <v>23.61</v>
      </c>
      <c r="H620" s="8"/>
      <c r="I620" s="8"/>
      <c r="J620" s="8" t="s">
        <v>4044</v>
      </c>
      <c r="K620" s="8" t="s">
        <v>4045</v>
      </c>
      <c r="L620" s="8"/>
      <c r="M620" s="8"/>
      <c r="N620" s="12"/>
      <c r="O620" s="12"/>
      <c r="P620" s="13">
        <f>IFERROR(__xludf.DUMMYFUNCTION("VALUE(SUBSTITUTE((INDEX(SPLIT(A620,"",""),1)),""."","","",1))"),59.901549)</f>
        <v>59.901549</v>
      </c>
      <c r="Q620" s="13">
        <f>IFERROR(__xludf.DUMMYFUNCTION("VALUE(SUBSTITUTE((INDEX(SPLIT(A620,"",""),2)),""."","","",1))"),30.289107)</f>
        <v>30.289107</v>
      </c>
      <c r="R620" s="14" t="b">
        <f t="shared" si="1"/>
        <v>0</v>
      </c>
      <c r="S620" s="14" t="str">
        <f t="shared" si="2"/>
        <v>59.901549,30.289107</v>
      </c>
      <c r="T620" s="12"/>
    </row>
    <row r="621">
      <c r="A621" s="20" t="s">
        <v>4046</v>
      </c>
      <c r="B621" s="16" t="s">
        <v>4047</v>
      </c>
      <c r="C621" s="16" t="s">
        <v>4048</v>
      </c>
      <c r="D621" s="16" t="s">
        <v>16</v>
      </c>
      <c r="E621" s="21" t="s">
        <v>4049</v>
      </c>
      <c r="F621" s="22" t="s">
        <v>3169</v>
      </c>
      <c r="G621" s="16">
        <v>23.61</v>
      </c>
      <c r="H621" s="16"/>
      <c r="I621" s="22"/>
      <c r="J621" s="22" t="s">
        <v>4050</v>
      </c>
      <c r="K621" s="22" t="s">
        <v>4051</v>
      </c>
      <c r="L621" s="23" t="s">
        <v>4052</v>
      </c>
      <c r="M621" s="22"/>
      <c r="N621" s="12"/>
      <c r="O621" s="12"/>
      <c r="P621" s="13">
        <f>IFERROR(__xludf.DUMMYFUNCTION("VALUE(SUBSTITUTE((INDEX(SPLIT(A621,"",""),1)),""."","","",1))"),59.918774)</f>
        <v>59.918774</v>
      </c>
      <c r="Q621" s="13">
        <f>IFERROR(__xludf.DUMMYFUNCTION("VALUE(SUBSTITUTE((INDEX(SPLIT(A621,"",""),2)),""."","","",1))"),30.291766)</f>
        <v>30.291766</v>
      </c>
      <c r="R621" s="14" t="b">
        <f t="shared" si="1"/>
        <v>0</v>
      </c>
      <c r="S621" s="14" t="str">
        <f t="shared" si="2"/>
        <v>59.918774,30.291766</v>
      </c>
      <c r="T621" s="12"/>
    </row>
    <row r="622">
      <c r="A622" s="18" t="s">
        <v>4053</v>
      </c>
      <c r="B622" s="8" t="s">
        <v>4054</v>
      </c>
      <c r="C622" s="8" t="s">
        <v>4055</v>
      </c>
      <c r="D622" s="8" t="s">
        <v>16</v>
      </c>
      <c r="E622" s="19" t="s">
        <v>4056</v>
      </c>
      <c r="F622" s="8" t="s">
        <v>3169</v>
      </c>
      <c r="G622" s="8">
        <v>23.61</v>
      </c>
      <c r="H622" s="8"/>
      <c r="I622" s="8"/>
      <c r="J622" s="8" t="s">
        <v>4057</v>
      </c>
      <c r="K622" s="8" t="s">
        <v>4058</v>
      </c>
      <c r="L622" s="8"/>
      <c r="M622" s="8"/>
      <c r="N622" s="12"/>
      <c r="O622" s="12"/>
      <c r="P622" s="13">
        <f>IFERROR(__xludf.DUMMYFUNCTION("VALUE(SUBSTITUTE((INDEX(SPLIT(A622,"",""),1)),""."","","",1))"),59.898503)</f>
        <v>59.898503</v>
      </c>
      <c r="Q622" s="13">
        <f>IFERROR(__xludf.DUMMYFUNCTION("VALUE(SUBSTITUTE((INDEX(SPLIT(A622,"",""),2)),""."","","",1))"),30.293249)</f>
        <v>30.293249</v>
      </c>
      <c r="R622" s="14" t="b">
        <f t="shared" si="1"/>
        <v>0</v>
      </c>
      <c r="S622" s="14" t="str">
        <f t="shared" si="2"/>
        <v>59.898503,30.293249</v>
      </c>
      <c r="T622" s="12"/>
    </row>
    <row r="623">
      <c r="A623" s="15" t="s">
        <v>4059</v>
      </c>
      <c r="B623" s="16" t="s">
        <v>4060</v>
      </c>
      <c r="C623" s="16" t="s">
        <v>4061</v>
      </c>
      <c r="D623" s="16" t="s">
        <v>16</v>
      </c>
      <c r="E623" s="17" t="s">
        <v>4062</v>
      </c>
      <c r="F623" s="16" t="s">
        <v>3169</v>
      </c>
      <c r="G623" s="16">
        <v>23.61</v>
      </c>
      <c r="H623" s="16"/>
      <c r="I623" s="16"/>
      <c r="J623" s="16" t="s">
        <v>4063</v>
      </c>
      <c r="K623" s="16" t="s">
        <v>4064</v>
      </c>
      <c r="L623" s="16"/>
      <c r="M623" s="25" t="s">
        <v>4065</v>
      </c>
      <c r="N623" s="12"/>
      <c r="O623" s="12"/>
      <c r="P623" s="13">
        <f>IFERROR(__xludf.DUMMYFUNCTION("VALUE(SUBSTITUTE((INDEX(SPLIT(A623,"",""),1)),""."","","",1))"),59.899604)</f>
        <v>59.899604</v>
      </c>
      <c r="Q623" s="13">
        <f>IFERROR(__xludf.DUMMYFUNCTION("VALUE(SUBSTITUTE((INDEX(SPLIT(A623,"",""),2)),""."","","",1))"),30.293509)</f>
        <v>30.293509</v>
      </c>
      <c r="R623" s="14" t="b">
        <f t="shared" si="1"/>
        <v>0</v>
      </c>
      <c r="S623" s="14" t="str">
        <f t="shared" si="2"/>
        <v>59.899604,30.293509</v>
      </c>
      <c r="T623" s="12"/>
    </row>
    <row r="624">
      <c r="A624" s="7" t="s">
        <v>4066</v>
      </c>
      <c r="B624" s="8" t="s">
        <v>3744</v>
      </c>
      <c r="C624" s="8" t="s">
        <v>3745</v>
      </c>
      <c r="D624" s="8" t="s">
        <v>16</v>
      </c>
      <c r="E624" s="9" t="s">
        <v>4067</v>
      </c>
      <c r="F624" s="10" t="s">
        <v>3169</v>
      </c>
      <c r="G624" s="8">
        <v>23.61</v>
      </c>
      <c r="H624" s="8"/>
      <c r="I624" s="31" t="s">
        <v>4068</v>
      </c>
      <c r="J624" s="10" t="s">
        <v>4069</v>
      </c>
      <c r="K624" s="10" t="s">
        <v>4070</v>
      </c>
      <c r="L624" s="11" t="s">
        <v>4071</v>
      </c>
      <c r="M624" s="10"/>
      <c r="N624" s="12"/>
      <c r="O624" s="12"/>
      <c r="P624" s="13">
        <f>IFERROR(__xludf.DUMMYFUNCTION("VALUE(SUBSTITUTE((INDEX(SPLIT(A624,"",""),1)),""."","","",1))"),59.887959)</f>
        <v>59.887959</v>
      </c>
      <c r="Q624" s="13">
        <f>IFERROR(__xludf.DUMMYFUNCTION("VALUE(SUBSTITUTE((INDEX(SPLIT(A624,"",""),2)),""."","","",1))"),30.298782)</f>
        <v>30.298782</v>
      </c>
      <c r="R624" s="14" t="b">
        <f t="shared" si="1"/>
        <v>0</v>
      </c>
      <c r="S624" s="14" t="str">
        <f t="shared" si="2"/>
        <v>59.887959,30.298782</v>
      </c>
      <c r="T624" s="12"/>
    </row>
    <row r="625">
      <c r="A625" s="20" t="s">
        <v>4072</v>
      </c>
      <c r="B625" s="16" t="s">
        <v>4073</v>
      </c>
      <c r="C625" s="16" t="s">
        <v>4074</v>
      </c>
      <c r="D625" s="16" t="s">
        <v>16</v>
      </c>
      <c r="E625" s="21" t="s">
        <v>4075</v>
      </c>
      <c r="F625" s="22" t="s">
        <v>3169</v>
      </c>
      <c r="G625" s="16">
        <v>23.61</v>
      </c>
      <c r="H625" s="16"/>
      <c r="I625" s="22"/>
      <c r="J625" s="22" t="s">
        <v>4076</v>
      </c>
      <c r="K625" s="22" t="s">
        <v>4077</v>
      </c>
      <c r="L625" s="23" t="s">
        <v>4078</v>
      </c>
      <c r="M625" s="22"/>
      <c r="N625" s="12"/>
      <c r="O625" s="12"/>
      <c r="P625" s="13">
        <f>IFERROR(__xludf.DUMMYFUNCTION("VALUE(SUBSTITUTE((INDEX(SPLIT(A625,"",""),1)),""."","","",1))"),59.990732)</f>
        <v>59.990732</v>
      </c>
      <c r="Q625" s="13">
        <f>IFERROR(__xludf.DUMMYFUNCTION("VALUE(SUBSTITUTE((INDEX(SPLIT(A625,"",""),2)),""."","","",1))"),30.300219)</f>
        <v>30.300219</v>
      </c>
      <c r="R625" s="14" t="b">
        <f t="shared" si="1"/>
        <v>0</v>
      </c>
      <c r="S625" s="14" t="str">
        <f t="shared" si="2"/>
        <v>59.990732,30.300219</v>
      </c>
      <c r="T625" s="12"/>
    </row>
    <row r="626">
      <c r="A626" s="18" t="s">
        <v>4079</v>
      </c>
      <c r="B626" s="8" t="s">
        <v>4080</v>
      </c>
      <c r="C626" s="8" t="s">
        <v>4081</v>
      </c>
      <c r="D626" s="8" t="s">
        <v>16</v>
      </c>
      <c r="E626" s="19" t="s">
        <v>4082</v>
      </c>
      <c r="F626" s="8" t="s">
        <v>3169</v>
      </c>
      <c r="G626" s="8">
        <v>23.61</v>
      </c>
      <c r="H626" s="8"/>
      <c r="I626" s="8"/>
      <c r="J626" s="8" t="s">
        <v>4083</v>
      </c>
      <c r="K626" s="8" t="s">
        <v>4084</v>
      </c>
      <c r="L626" s="8"/>
      <c r="M626" s="8"/>
      <c r="N626" s="12"/>
      <c r="O626" s="12"/>
      <c r="P626" s="13">
        <f>IFERROR(__xludf.DUMMYFUNCTION("VALUE(SUBSTITUTE((INDEX(SPLIT(A626,"",""),1)),""."","","",1))"),59.903756)</f>
        <v>59.903756</v>
      </c>
      <c r="Q626" s="13">
        <f>IFERROR(__xludf.DUMMYFUNCTION("VALUE(SUBSTITUTE((INDEX(SPLIT(A626,"",""),2)),""."","","",1))"),30.300678)</f>
        <v>30.300678</v>
      </c>
      <c r="R626" s="14" t="b">
        <f t="shared" si="1"/>
        <v>0</v>
      </c>
      <c r="S626" s="14" t="str">
        <f t="shared" si="2"/>
        <v>59.903756,30.300678</v>
      </c>
      <c r="T626" s="12"/>
    </row>
    <row r="627">
      <c r="A627" s="20" t="s">
        <v>4079</v>
      </c>
      <c r="B627" s="16" t="s">
        <v>4085</v>
      </c>
      <c r="C627" s="16" t="s">
        <v>4086</v>
      </c>
      <c r="D627" s="16" t="s">
        <v>16</v>
      </c>
      <c r="E627" s="21" t="s">
        <v>4087</v>
      </c>
      <c r="F627" s="22" t="s">
        <v>3169</v>
      </c>
      <c r="G627" s="16">
        <v>23.61</v>
      </c>
      <c r="H627" s="16"/>
      <c r="I627" s="22"/>
      <c r="J627" s="22" t="s">
        <v>4088</v>
      </c>
      <c r="K627" s="22" t="s">
        <v>4089</v>
      </c>
      <c r="L627" s="23" t="s">
        <v>4090</v>
      </c>
      <c r="M627" s="22"/>
      <c r="N627" s="12"/>
      <c r="O627" s="12"/>
      <c r="P627" s="13">
        <f>IFERROR(__xludf.DUMMYFUNCTION("VALUE(SUBSTITUTE((INDEX(SPLIT(A627,"",""),1)),""."","","",1))"),59.903756)</f>
        <v>59.903756</v>
      </c>
      <c r="Q627" s="13">
        <f>IFERROR(__xludf.DUMMYFUNCTION("VALUE(SUBSTITUTE((INDEX(SPLIT(A627,"",""),2)),""."","","",1))"),30.300678)</f>
        <v>30.300678</v>
      </c>
      <c r="R627" s="14" t="b">
        <f t="shared" si="1"/>
        <v>0</v>
      </c>
      <c r="S627" s="14" t="str">
        <f t="shared" si="2"/>
        <v>59.903756,30.300678</v>
      </c>
      <c r="T627" s="12"/>
    </row>
    <row r="628">
      <c r="A628" s="18" t="s">
        <v>4091</v>
      </c>
      <c r="B628" s="8" t="s">
        <v>4092</v>
      </c>
      <c r="C628" s="8" t="s">
        <v>4093</v>
      </c>
      <c r="D628" s="8" t="s">
        <v>16</v>
      </c>
      <c r="E628" s="19" t="s">
        <v>4094</v>
      </c>
      <c r="F628" s="8" t="s">
        <v>3169</v>
      </c>
      <c r="G628" s="8">
        <v>23.61</v>
      </c>
      <c r="H628" s="8"/>
      <c r="I628" s="8"/>
      <c r="J628" s="8" t="s">
        <v>4095</v>
      </c>
      <c r="K628" s="8" t="s">
        <v>4096</v>
      </c>
      <c r="L628" s="8"/>
      <c r="M628" s="24" t="s">
        <v>4097</v>
      </c>
      <c r="N628" s="12"/>
      <c r="O628" s="12"/>
      <c r="P628" s="13">
        <f>IFERROR(__xludf.DUMMYFUNCTION("VALUE(SUBSTITUTE((INDEX(SPLIT(A628,"",""),1)),""."","","",1))"),59.898945)</f>
        <v>59.898945</v>
      </c>
      <c r="Q628" s="13">
        <f>IFERROR(__xludf.DUMMYFUNCTION("VALUE(SUBSTITUTE((INDEX(SPLIT(A628,"",""),2)),""."","","",1))"),30.301019)</f>
        <v>30.301019</v>
      </c>
      <c r="R628" s="14" t="b">
        <f t="shared" si="1"/>
        <v>0</v>
      </c>
      <c r="S628" s="14" t="str">
        <f t="shared" si="2"/>
        <v>59.898945,30.301019</v>
      </c>
      <c r="T628" s="12"/>
    </row>
    <row r="629">
      <c r="A629" s="15" t="s">
        <v>4098</v>
      </c>
      <c r="B629" s="16" t="s">
        <v>4099</v>
      </c>
      <c r="C629" s="16" t="s">
        <v>4100</v>
      </c>
      <c r="D629" s="16" t="s">
        <v>16</v>
      </c>
      <c r="E629" s="17" t="s">
        <v>4101</v>
      </c>
      <c r="F629" s="16" t="s">
        <v>3162</v>
      </c>
      <c r="G629" s="16">
        <v>23.61</v>
      </c>
      <c r="H629" s="16"/>
      <c r="I629" s="16"/>
      <c r="J629" s="16" t="s">
        <v>4102</v>
      </c>
      <c r="K629" s="16" t="s">
        <v>4103</v>
      </c>
      <c r="L629" s="16"/>
      <c r="M629" s="16"/>
      <c r="N629" s="12"/>
      <c r="O629" s="12"/>
      <c r="P629" s="13">
        <f>IFERROR(__xludf.DUMMYFUNCTION("VALUE(SUBSTITUTE((INDEX(SPLIT(A629,"",""),1)),""."","","",1))"),60.212161)</f>
        <v>60.212161</v>
      </c>
      <c r="Q629" s="13">
        <f>IFERROR(__xludf.DUMMYFUNCTION("VALUE(SUBSTITUTE((INDEX(SPLIT(A629,"",""),2)),""."","","",1))"),30.304289)</f>
        <v>30.304289</v>
      </c>
      <c r="R629" s="14" t="b">
        <f t="shared" si="1"/>
        <v>0</v>
      </c>
      <c r="S629" s="14" t="str">
        <f t="shared" si="2"/>
        <v>60.212161,30.304289</v>
      </c>
      <c r="T629" s="12"/>
    </row>
    <row r="630">
      <c r="A630" s="7" t="s">
        <v>4104</v>
      </c>
      <c r="B630" s="8" t="s">
        <v>4105</v>
      </c>
      <c r="C630" s="8" t="s">
        <v>4106</v>
      </c>
      <c r="D630" s="8" t="s">
        <v>16</v>
      </c>
      <c r="E630" s="9" t="s">
        <v>4107</v>
      </c>
      <c r="F630" s="10" t="s">
        <v>3169</v>
      </c>
      <c r="G630" s="8">
        <v>23.61</v>
      </c>
      <c r="H630" s="8"/>
      <c r="I630" s="10"/>
      <c r="J630" s="10" t="s">
        <v>4108</v>
      </c>
      <c r="K630" s="10" t="s">
        <v>4109</v>
      </c>
      <c r="L630" s="11" t="s">
        <v>4110</v>
      </c>
      <c r="M630" s="10"/>
      <c r="N630" s="12"/>
      <c r="O630" s="12"/>
      <c r="P630" s="13">
        <f>IFERROR(__xludf.DUMMYFUNCTION("VALUE(SUBSTITUTE((INDEX(SPLIT(A630,"",""),1)),""."","","",1))"),59.994387)</f>
        <v>59.994387</v>
      </c>
      <c r="Q630" s="13">
        <f>IFERROR(__xludf.DUMMYFUNCTION("VALUE(SUBSTITUTE((INDEX(SPLIT(A630,"",""),2)),""."","","",1))"),30.30481)</f>
        <v>30.30481</v>
      </c>
      <c r="R630" s="14" t="b">
        <f t="shared" si="1"/>
        <v>0</v>
      </c>
      <c r="S630" s="14" t="str">
        <f t="shared" si="2"/>
        <v>59.994387,30.30481</v>
      </c>
      <c r="T630" s="12"/>
    </row>
    <row r="631">
      <c r="A631" s="20" t="s">
        <v>4111</v>
      </c>
      <c r="B631" s="16" t="s">
        <v>4112</v>
      </c>
      <c r="C631" s="16" t="s">
        <v>4113</v>
      </c>
      <c r="D631" s="16" t="s">
        <v>16</v>
      </c>
      <c r="E631" s="21" t="s">
        <v>4114</v>
      </c>
      <c r="F631" s="22" t="s">
        <v>3169</v>
      </c>
      <c r="G631" s="16">
        <v>23.61</v>
      </c>
      <c r="H631" s="16"/>
      <c r="I631" s="22"/>
      <c r="J631" s="22" t="s">
        <v>4115</v>
      </c>
      <c r="K631" s="22" t="s">
        <v>4116</v>
      </c>
      <c r="L631" s="23" t="s">
        <v>4117</v>
      </c>
      <c r="M631" s="22"/>
      <c r="N631" s="12"/>
      <c r="O631" s="12"/>
      <c r="P631" s="13">
        <f>IFERROR(__xludf.DUMMYFUNCTION("VALUE(SUBSTITUTE((INDEX(SPLIT(A631,"",""),1)),""."","","",1))"),59.902912)</f>
        <v>59.902912</v>
      </c>
      <c r="Q631" s="13">
        <f>IFERROR(__xludf.DUMMYFUNCTION("VALUE(SUBSTITUTE((INDEX(SPLIT(A631,"",""),2)),""."","","",1))"),30.30552)</f>
        <v>30.30552</v>
      </c>
      <c r="R631" s="14" t="b">
        <f t="shared" si="1"/>
        <v>0</v>
      </c>
      <c r="S631" s="14" t="str">
        <f t="shared" si="2"/>
        <v>59.902912,30.30552</v>
      </c>
      <c r="T631" s="12"/>
    </row>
    <row r="632">
      <c r="A632" s="18" t="s">
        <v>4118</v>
      </c>
      <c r="B632" s="8" t="s">
        <v>4119</v>
      </c>
      <c r="C632" s="8" t="s">
        <v>4120</v>
      </c>
      <c r="D632" s="8" t="s">
        <v>16</v>
      </c>
      <c r="E632" s="19" t="s">
        <v>4121</v>
      </c>
      <c r="F632" s="8" t="s">
        <v>3169</v>
      </c>
      <c r="G632" s="8">
        <v>23.61</v>
      </c>
      <c r="H632" s="8"/>
      <c r="I632" s="8"/>
      <c r="J632" s="8" t="s">
        <v>4122</v>
      </c>
      <c r="K632" s="8" t="s">
        <v>4123</v>
      </c>
      <c r="L632" s="8"/>
      <c r="M632" s="8"/>
      <c r="N632" s="12"/>
      <c r="O632" s="12"/>
      <c r="P632" s="13">
        <f>IFERROR(__xludf.DUMMYFUNCTION("VALUE(SUBSTITUTE((INDEX(SPLIT(A632,"",""),1)),""."","","",1))"),59.888383)</f>
        <v>59.888383</v>
      </c>
      <c r="Q632" s="13">
        <f>IFERROR(__xludf.DUMMYFUNCTION("VALUE(SUBSTITUTE((INDEX(SPLIT(A632,"",""),2)),""."","","",1))"),30.313775)</f>
        <v>30.313775</v>
      </c>
      <c r="R632" s="14" t="b">
        <f t="shared" si="1"/>
        <v>0</v>
      </c>
      <c r="S632" s="14" t="str">
        <f t="shared" si="2"/>
        <v>59.888383,30.313775</v>
      </c>
      <c r="T632" s="12"/>
    </row>
    <row r="633">
      <c r="A633" s="15" t="s">
        <v>4124</v>
      </c>
      <c r="B633" s="16" t="s">
        <v>3834</v>
      </c>
      <c r="C633" s="16" t="s">
        <v>3835</v>
      </c>
      <c r="D633" s="16" t="s">
        <v>16</v>
      </c>
      <c r="E633" s="17" t="s">
        <v>4125</v>
      </c>
      <c r="F633" s="16" t="s">
        <v>3169</v>
      </c>
      <c r="G633" s="16">
        <v>23.61</v>
      </c>
      <c r="H633" s="16"/>
      <c r="I633" s="16"/>
      <c r="J633" s="16" t="s">
        <v>4126</v>
      </c>
      <c r="K633" s="16" t="s">
        <v>4127</v>
      </c>
      <c r="L633" s="16"/>
      <c r="M633" s="16"/>
      <c r="N633" s="12"/>
      <c r="O633" s="12"/>
      <c r="P633" s="13">
        <f>IFERROR(__xludf.DUMMYFUNCTION("VALUE(SUBSTITUTE((INDEX(SPLIT(A633,"",""),1)),""."","","",1))"),59.935556)</f>
        <v>59.935556</v>
      </c>
      <c r="Q633" s="13">
        <f>IFERROR(__xludf.DUMMYFUNCTION("VALUE(SUBSTITUTE((INDEX(SPLIT(A633,"",""),2)),""."","","",1))"),30.31479)</f>
        <v>30.31479</v>
      </c>
      <c r="R633" s="14" t="b">
        <f t="shared" si="1"/>
        <v>0</v>
      </c>
      <c r="S633" s="14" t="str">
        <f t="shared" si="2"/>
        <v>59.935556,30.31479</v>
      </c>
      <c r="T633" s="12"/>
    </row>
    <row r="634">
      <c r="A634" s="7" t="s">
        <v>4128</v>
      </c>
      <c r="B634" s="8" t="s">
        <v>4129</v>
      </c>
      <c r="C634" s="8" t="s">
        <v>4130</v>
      </c>
      <c r="D634" s="8" t="s">
        <v>16</v>
      </c>
      <c r="E634" s="9" t="s">
        <v>4131</v>
      </c>
      <c r="F634" s="10" t="s">
        <v>3169</v>
      </c>
      <c r="G634" s="8">
        <v>23.61</v>
      </c>
      <c r="H634" s="8"/>
      <c r="I634" s="10"/>
      <c r="J634" s="10" t="s">
        <v>4132</v>
      </c>
      <c r="K634" s="10" t="s">
        <v>4133</v>
      </c>
      <c r="L634" s="11" t="s">
        <v>4134</v>
      </c>
      <c r="M634" s="10"/>
      <c r="N634" s="12"/>
      <c r="O634" s="12"/>
      <c r="P634" s="13">
        <f>IFERROR(__xludf.DUMMYFUNCTION("VALUE(SUBSTITUTE((INDEX(SPLIT(A634,"",""),1)),""."","","",1))"),59.938793)</f>
        <v>59.938793</v>
      </c>
      <c r="Q634" s="13">
        <f>IFERROR(__xludf.DUMMYFUNCTION("VALUE(SUBSTITUTE((INDEX(SPLIT(A634,"",""),2)),""."","","",1))"),30.314844)</f>
        <v>30.314844</v>
      </c>
      <c r="R634" s="14" t="b">
        <f t="shared" si="1"/>
        <v>0</v>
      </c>
      <c r="S634" s="14" t="str">
        <f t="shared" si="2"/>
        <v>59.938793,30.314844</v>
      </c>
      <c r="T634" s="12"/>
    </row>
    <row r="635">
      <c r="A635" s="20" t="s">
        <v>4128</v>
      </c>
      <c r="B635" s="16" t="s">
        <v>4135</v>
      </c>
      <c r="C635" s="16" t="s">
        <v>4136</v>
      </c>
      <c r="D635" s="16" t="s">
        <v>16</v>
      </c>
      <c r="E635" s="21" t="s">
        <v>4137</v>
      </c>
      <c r="F635" s="22" t="s">
        <v>3169</v>
      </c>
      <c r="G635" s="16">
        <v>23.61</v>
      </c>
      <c r="H635" s="16"/>
      <c r="I635" s="22"/>
      <c r="J635" s="22" t="s">
        <v>4138</v>
      </c>
      <c r="K635" s="22" t="s">
        <v>4139</v>
      </c>
      <c r="L635" s="23" t="s">
        <v>4140</v>
      </c>
      <c r="M635" s="23" t="s">
        <v>4141</v>
      </c>
      <c r="N635" s="12"/>
      <c r="O635" s="12"/>
      <c r="P635" s="13">
        <f>IFERROR(__xludf.DUMMYFUNCTION("VALUE(SUBSTITUTE((INDEX(SPLIT(A635,"",""),1)),""."","","",1))"),59.938793)</f>
        <v>59.938793</v>
      </c>
      <c r="Q635" s="13">
        <f>IFERROR(__xludf.DUMMYFUNCTION("VALUE(SUBSTITUTE((INDEX(SPLIT(A635,"",""),2)),""."","","",1))"),30.314844)</f>
        <v>30.314844</v>
      </c>
      <c r="R635" s="14" t="b">
        <f t="shared" si="1"/>
        <v>0</v>
      </c>
      <c r="S635" s="14" t="str">
        <f t="shared" si="2"/>
        <v>59.938793,30.314844</v>
      </c>
      <c r="T635" s="12"/>
    </row>
    <row r="636">
      <c r="A636" s="7" t="s">
        <v>4128</v>
      </c>
      <c r="B636" s="8" t="s">
        <v>4142</v>
      </c>
      <c r="C636" s="8" t="s">
        <v>4143</v>
      </c>
      <c r="D636" s="8" t="s">
        <v>16</v>
      </c>
      <c r="E636" s="9" t="s">
        <v>4144</v>
      </c>
      <c r="F636" s="10" t="s">
        <v>3169</v>
      </c>
      <c r="G636" s="8">
        <v>23.61</v>
      </c>
      <c r="H636" s="8"/>
      <c r="I636" s="10"/>
      <c r="J636" s="10" t="s">
        <v>4145</v>
      </c>
      <c r="K636" s="10" t="s">
        <v>4146</v>
      </c>
      <c r="L636" s="11" t="s">
        <v>4147</v>
      </c>
      <c r="M636" s="10"/>
      <c r="N636" s="12"/>
      <c r="O636" s="12"/>
      <c r="P636" s="13">
        <f>IFERROR(__xludf.DUMMYFUNCTION("VALUE(SUBSTITUTE((INDEX(SPLIT(A636,"",""),1)),""."","","",1))"),59.938793)</f>
        <v>59.938793</v>
      </c>
      <c r="Q636" s="13">
        <f>IFERROR(__xludf.DUMMYFUNCTION("VALUE(SUBSTITUTE((INDEX(SPLIT(A636,"",""),2)),""."","","",1))"),30.314844)</f>
        <v>30.314844</v>
      </c>
      <c r="R636" s="14" t="b">
        <f t="shared" si="1"/>
        <v>0</v>
      </c>
      <c r="S636" s="14" t="str">
        <f t="shared" si="2"/>
        <v>59.938793,30.314844</v>
      </c>
      <c r="T636" s="12"/>
    </row>
    <row r="637">
      <c r="A637" s="15" t="s">
        <v>4128</v>
      </c>
      <c r="B637" s="16" t="s">
        <v>4148</v>
      </c>
      <c r="C637" s="16" t="s">
        <v>4149</v>
      </c>
      <c r="D637" s="16" t="s">
        <v>16</v>
      </c>
      <c r="E637" s="17" t="s">
        <v>4150</v>
      </c>
      <c r="F637" s="16" t="s">
        <v>3169</v>
      </c>
      <c r="G637" s="16">
        <v>23.61</v>
      </c>
      <c r="H637" s="16"/>
      <c r="I637" s="16"/>
      <c r="J637" s="16" t="s">
        <v>4151</v>
      </c>
      <c r="K637" s="16" t="s">
        <v>4152</v>
      </c>
      <c r="L637" s="16"/>
      <c r="M637" s="16"/>
      <c r="N637" s="12"/>
      <c r="O637" s="12"/>
      <c r="P637" s="13">
        <f>IFERROR(__xludf.DUMMYFUNCTION("VALUE(SUBSTITUTE((INDEX(SPLIT(A637,"",""),1)),""."","","",1))"),59.938793)</f>
        <v>59.938793</v>
      </c>
      <c r="Q637" s="13">
        <f>IFERROR(__xludf.DUMMYFUNCTION("VALUE(SUBSTITUTE((INDEX(SPLIT(A637,"",""),2)),""."","","",1))"),30.314844)</f>
        <v>30.314844</v>
      </c>
      <c r="R637" s="14" t="b">
        <f t="shared" si="1"/>
        <v>0</v>
      </c>
      <c r="S637" s="14" t="str">
        <f t="shared" si="2"/>
        <v>59.938793,30.314844</v>
      </c>
      <c r="T637" s="12"/>
    </row>
    <row r="638">
      <c r="A638" s="7" t="s">
        <v>4128</v>
      </c>
      <c r="B638" s="8" t="s">
        <v>4153</v>
      </c>
      <c r="C638" s="8" t="s">
        <v>4154</v>
      </c>
      <c r="D638" s="8" t="s">
        <v>16</v>
      </c>
      <c r="E638" s="9" t="s">
        <v>4155</v>
      </c>
      <c r="F638" s="10" t="s">
        <v>3169</v>
      </c>
      <c r="G638" s="8">
        <v>23.61</v>
      </c>
      <c r="H638" s="8"/>
      <c r="I638" s="10"/>
      <c r="J638" s="10" t="s">
        <v>4156</v>
      </c>
      <c r="K638" s="10" t="s">
        <v>4157</v>
      </c>
      <c r="L638" s="11" t="s">
        <v>4158</v>
      </c>
      <c r="M638" s="10"/>
      <c r="N638" s="12"/>
      <c r="O638" s="12"/>
      <c r="P638" s="13">
        <f>IFERROR(__xludf.DUMMYFUNCTION("VALUE(SUBSTITUTE((INDEX(SPLIT(A638,"",""),1)),""."","","",1))"),59.938793)</f>
        <v>59.938793</v>
      </c>
      <c r="Q638" s="13">
        <f>IFERROR(__xludf.DUMMYFUNCTION("VALUE(SUBSTITUTE((INDEX(SPLIT(A638,"",""),2)),""."","","",1))"),30.314844)</f>
        <v>30.314844</v>
      </c>
      <c r="R638" s="14" t="b">
        <f t="shared" si="1"/>
        <v>0</v>
      </c>
      <c r="S638" s="14" t="str">
        <f t="shared" si="2"/>
        <v>59.938793,30.314844</v>
      </c>
      <c r="T638" s="12"/>
    </row>
    <row r="639">
      <c r="A639" s="15" t="s">
        <v>4128</v>
      </c>
      <c r="B639" s="16" t="s">
        <v>4159</v>
      </c>
      <c r="C639" s="16" t="s">
        <v>4160</v>
      </c>
      <c r="D639" s="16" t="s">
        <v>16</v>
      </c>
      <c r="E639" s="17" t="s">
        <v>4161</v>
      </c>
      <c r="F639" s="16" t="s">
        <v>3169</v>
      </c>
      <c r="G639" s="16">
        <v>23.61</v>
      </c>
      <c r="H639" s="16"/>
      <c r="I639" s="16"/>
      <c r="J639" s="16" t="s">
        <v>4162</v>
      </c>
      <c r="K639" s="16" t="s">
        <v>4163</v>
      </c>
      <c r="L639" s="16"/>
      <c r="M639" s="16"/>
      <c r="N639" s="12"/>
      <c r="O639" s="12"/>
      <c r="P639" s="13">
        <f>IFERROR(__xludf.DUMMYFUNCTION("VALUE(SUBSTITUTE((INDEX(SPLIT(A639,"",""),1)),""."","","",1))"),59.938793)</f>
        <v>59.938793</v>
      </c>
      <c r="Q639" s="13">
        <f>IFERROR(__xludf.DUMMYFUNCTION("VALUE(SUBSTITUTE((INDEX(SPLIT(A639,"",""),2)),""."","","",1))"),30.314844)</f>
        <v>30.314844</v>
      </c>
      <c r="R639" s="14" t="b">
        <f t="shared" si="1"/>
        <v>0</v>
      </c>
      <c r="S639" s="14" t="str">
        <f t="shared" si="2"/>
        <v>59.938793,30.314844</v>
      </c>
      <c r="T639" s="12"/>
    </row>
    <row r="640">
      <c r="A640" s="18" t="s">
        <v>4164</v>
      </c>
      <c r="B640" s="8" t="s">
        <v>4165</v>
      </c>
      <c r="C640" s="8" t="s">
        <v>4166</v>
      </c>
      <c r="D640" s="8" t="s">
        <v>16</v>
      </c>
      <c r="E640" s="19" t="s">
        <v>4167</v>
      </c>
      <c r="F640" s="8" t="s">
        <v>3169</v>
      </c>
      <c r="G640" s="8">
        <v>23.61</v>
      </c>
      <c r="H640" s="8"/>
      <c r="I640" s="8"/>
      <c r="J640" s="8" t="s">
        <v>4168</v>
      </c>
      <c r="K640" s="8" t="s">
        <v>4169</v>
      </c>
      <c r="L640" s="8"/>
      <c r="M640" s="8"/>
      <c r="N640" s="12"/>
      <c r="O640" s="12"/>
      <c r="P640" s="13">
        <f>IFERROR(__xludf.DUMMYFUNCTION("VALUE(SUBSTITUTE((INDEX(SPLIT(A640,"",""),1)),""."","","",1))"),59.984679)</f>
        <v>59.984679</v>
      </c>
      <c r="Q640" s="13">
        <f>IFERROR(__xludf.DUMMYFUNCTION("VALUE(SUBSTITUTE((INDEX(SPLIT(A640,"",""),2)),""."","","",1))"),30.316569)</f>
        <v>30.316569</v>
      </c>
      <c r="R640" s="14" t="b">
        <f t="shared" si="1"/>
        <v>0</v>
      </c>
      <c r="S640" s="14" t="str">
        <f t="shared" si="2"/>
        <v>59.984679,30.316569</v>
      </c>
      <c r="T640" s="12"/>
    </row>
    <row r="641">
      <c r="A641" s="20" t="s">
        <v>4170</v>
      </c>
      <c r="B641" s="16" t="s">
        <v>4171</v>
      </c>
      <c r="C641" s="16" t="s">
        <v>4172</v>
      </c>
      <c r="D641" s="16" t="s">
        <v>16</v>
      </c>
      <c r="E641" s="21" t="s">
        <v>4173</v>
      </c>
      <c r="F641" s="22" t="s">
        <v>3169</v>
      </c>
      <c r="G641" s="16">
        <v>23.61</v>
      </c>
      <c r="H641" s="16"/>
      <c r="I641" s="22"/>
      <c r="J641" s="22" t="s">
        <v>4174</v>
      </c>
      <c r="K641" s="22" t="s">
        <v>4175</v>
      </c>
      <c r="L641" s="23" t="s">
        <v>4176</v>
      </c>
      <c r="M641" s="23" t="s">
        <v>4177</v>
      </c>
      <c r="N641" s="12"/>
      <c r="O641" s="12"/>
      <c r="P641" s="13">
        <f>IFERROR(__xludf.DUMMYFUNCTION("VALUE(SUBSTITUTE((INDEX(SPLIT(A641,"",""),1)),""."","","",1))"),60.01611)</f>
        <v>60.01611</v>
      </c>
      <c r="Q641" s="13">
        <f>IFERROR(__xludf.DUMMYFUNCTION("VALUE(SUBSTITUTE((INDEX(SPLIT(A641,"",""),2)),""."","","",1))"),30.318743)</f>
        <v>30.318743</v>
      </c>
      <c r="R641" s="14" t="b">
        <f t="shared" si="1"/>
        <v>0</v>
      </c>
      <c r="S641" s="14" t="str">
        <f t="shared" si="2"/>
        <v>60.01611,30.318743</v>
      </c>
      <c r="T641" s="12"/>
    </row>
    <row r="642">
      <c r="A642" s="7" t="s">
        <v>4178</v>
      </c>
      <c r="B642" s="8" t="s">
        <v>4179</v>
      </c>
      <c r="C642" s="8" t="s">
        <v>4180</v>
      </c>
      <c r="D642" s="8" t="s">
        <v>16</v>
      </c>
      <c r="E642" s="9" t="s">
        <v>4181</v>
      </c>
      <c r="F642" s="10" t="s">
        <v>3169</v>
      </c>
      <c r="G642" s="8">
        <v>23.61</v>
      </c>
      <c r="H642" s="8"/>
      <c r="I642" s="10"/>
      <c r="J642" s="10" t="s">
        <v>4182</v>
      </c>
      <c r="K642" s="10" t="s">
        <v>4183</v>
      </c>
      <c r="L642" s="11" t="s">
        <v>4184</v>
      </c>
      <c r="M642" s="10"/>
      <c r="N642" s="12"/>
      <c r="O642" s="12"/>
      <c r="P642" s="13">
        <f>IFERROR(__xludf.DUMMYFUNCTION("VALUE(SUBSTITUTE((INDEX(SPLIT(A642,"",""),1)),""."","","",1))"),59.855304)</f>
        <v>59.855304</v>
      </c>
      <c r="Q642" s="13">
        <f>IFERROR(__xludf.DUMMYFUNCTION("VALUE(SUBSTITUTE((INDEX(SPLIT(A642,"",""),2)),""."","","",1))"),30.319848)</f>
        <v>30.319848</v>
      </c>
      <c r="R642" s="14" t="b">
        <f t="shared" si="1"/>
        <v>0</v>
      </c>
      <c r="S642" s="14" t="str">
        <f t="shared" si="2"/>
        <v>59.855304,30.319848</v>
      </c>
      <c r="T642" s="12"/>
    </row>
    <row r="643">
      <c r="A643" s="20" t="s">
        <v>4185</v>
      </c>
      <c r="B643" s="16" t="s">
        <v>4186</v>
      </c>
      <c r="C643" s="16" t="s">
        <v>4187</v>
      </c>
      <c r="D643" s="16" t="s">
        <v>16</v>
      </c>
      <c r="E643" s="21" t="s">
        <v>4188</v>
      </c>
      <c r="F643" s="22" t="s">
        <v>3169</v>
      </c>
      <c r="G643" s="16">
        <v>23.61</v>
      </c>
      <c r="H643" s="16"/>
      <c r="I643" s="22"/>
      <c r="J643" s="22" t="s">
        <v>4189</v>
      </c>
      <c r="K643" s="22" t="s">
        <v>4190</v>
      </c>
      <c r="L643" s="23" t="s">
        <v>4191</v>
      </c>
      <c r="M643" s="22"/>
      <c r="N643" s="12"/>
      <c r="O643" s="12"/>
      <c r="P643" s="13">
        <f>IFERROR(__xludf.DUMMYFUNCTION("VALUE(SUBSTITUTE((INDEX(SPLIT(A643,"",""),1)),""."","","",1))"),60.043287)</f>
        <v>60.043287</v>
      </c>
      <c r="Q643" s="13">
        <f>IFERROR(__xludf.DUMMYFUNCTION("VALUE(SUBSTITUTE((INDEX(SPLIT(A643,"",""),2)),""."","","",1))"),30.320189)</f>
        <v>30.320189</v>
      </c>
      <c r="R643" s="14" t="b">
        <f t="shared" si="1"/>
        <v>0</v>
      </c>
      <c r="S643" s="14" t="str">
        <f t="shared" si="2"/>
        <v>60.043287,30.320189</v>
      </c>
      <c r="T643" s="12"/>
    </row>
    <row r="644">
      <c r="A644" s="18" t="s">
        <v>4192</v>
      </c>
      <c r="B644" s="8" t="s">
        <v>4193</v>
      </c>
      <c r="C644" s="8" t="s">
        <v>4194</v>
      </c>
      <c r="D644" s="8" t="s">
        <v>16</v>
      </c>
      <c r="E644" s="19" t="s">
        <v>4195</v>
      </c>
      <c r="F644" s="8" t="s">
        <v>3162</v>
      </c>
      <c r="G644" s="8">
        <v>23.61</v>
      </c>
      <c r="H644" s="8"/>
      <c r="I644" s="8"/>
      <c r="J644" s="8" t="s">
        <v>4196</v>
      </c>
      <c r="K644" s="8" t="s">
        <v>4197</v>
      </c>
      <c r="L644" s="8"/>
      <c r="M644" s="8"/>
      <c r="N644" s="12"/>
      <c r="O644" s="12"/>
      <c r="P644" s="13">
        <f>IFERROR(__xludf.DUMMYFUNCTION("VALUE(SUBSTITUTE((INDEX(SPLIT(A644,"",""),1)),""."","","",1))"),60.181352)</f>
        <v>60.181352</v>
      </c>
      <c r="Q644" s="13">
        <f>IFERROR(__xludf.DUMMYFUNCTION("VALUE(SUBSTITUTE((INDEX(SPLIT(A644,"",""),2)),""."","","",1))"),30.321033)</f>
        <v>30.321033</v>
      </c>
      <c r="R644" s="14" t="b">
        <f t="shared" si="1"/>
        <v>0</v>
      </c>
      <c r="S644" s="14" t="str">
        <f t="shared" si="2"/>
        <v>60.181352,30.321033</v>
      </c>
      <c r="T644" s="12"/>
    </row>
    <row r="645">
      <c r="A645" s="15" t="s">
        <v>4198</v>
      </c>
      <c r="B645" s="16" t="s">
        <v>4199</v>
      </c>
      <c r="C645" s="16" t="s">
        <v>4200</v>
      </c>
      <c r="D645" s="16" t="s">
        <v>16</v>
      </c>
      <c r="E645" s="17" t="s">
        <v>4201</v>
      </c>
      <c r="F645" s="16" t="s">
        <v>3169</v>
      </c>
      <c r="G645" s="16">
        <v>23.61</v>
      </c>
      <c r="H645" s="16"/>
      <c r="I645" s="16"/>
      <c r="J645" s="16" t="s">
        <v>4202</v>
      </c>
      <c r="K645" s="16" t="s">
        <v>4203</v>
      </c>
      <c r="L645" s="16"/>
      <c r="M645" s="16"/>
      <c r="N645" s="12"/>
      <c r="O645" s="12"/>
      <c r="P645" s="13">
        <f>IFERROR(__xludf.DUMMYFUNCTION("VALUE(SUBSTITUTE((INDEX(SPLIT(A645,"",""),1)),""."","","",1))"),59.892378)</f>
        <v>59.892378</v>
      </c>
      <c r="Q645" s="13">
        <f>IFERROR(__xludf.DUMMYFUNCTION("VALUE(SUBSTITUTE((INDEX(SPLIT(A645,"",""),2)),""."","","",1))"),30.32265)</f>
        <v>30.32265</v>
      </c>
      <c r="R645" s="14" t="b">
        <f t="shared" si="1"/>
        <v>0</v>
      </c>
      <c r="S645" s="14" t="str">
        <f t="shared" si="2"/>
        <v>59.892378,30.32265</v>
      </c>
      <c r="T645" s="12"/>
    </row>
    <row r="646">
      <c r="A646" s="18" t="s">
        <v>4204</v>
      </c>
      <c r="B646" s="8" t="s">
        <v>4205</v>
      </c>
      <c r="C646" s="8" t="s">
        <v>4206</v>
      </c>
      <c r="D646" s="8" t="s">
        <v>16</v>
      </c>
      <c r="E646" s="19" t="s">
        <v>4207</v>
      </c>
      <c r="F646" s="8" t="s">
        <v>3169</v>
      </c>
      <c r="G646" s="8">
        <v>23.61</v>
      </c>
      <c r="H646" s="8"/>
      <c r="I646" s="8"/>
      <c r="J646" s="8" t="s">
        <v>4208</v>
      </c>
      <c r="K646" s="8" t="s">
        <v>4209</v>
      </c>
      <c r="L646" s="8"/>
      <c r="M646" s="8"/>
      <c r="N646" s="12"/>
      <c r="O646" s="12"/>
      <c r="P646" s="13">
        <f>IFERROR(__xludf.DUMMYFUNCTION("VALUE(SUBSTITUTE((INDEX(SPLIT(A646,"",""),1)),""."","","",1))"),59.88893)</f>
        <v>59.88893</v>
      </c>
      <c r="Q646" s="13">
        <f>IFERROR(__xludf.DUMMYFUNCTION("VALUE(SUBSTITUTE((INDEX(SPLIT(A646,"",""),2)),""."","","",1))"),30.322857)</f>
        <v>30.322857</v>
      </c>
      <c r="R646" s="14" t="b">
        <f t="shared" si="1"/>
        <v>0</v>
      </c>
      <c r="S646" s="14" t="str">
        <f t="shared" si="2"/>
        <v>59.88893,30.322857</v>
      </c>
      <c r="T646" s="12"/>
    </row>
    <row r="647">
      <c r="A647" s="20" t="s">
        <v>4210</v>
      </c>
      <c r="B647" s="16" t="s">
        <v>4211</v>
      </c>
      <c r="C647" s="16" t="s">
        <v>4212</v>
      </c>
      <c r="D647" s="16" t="s">
        <v>16</v>
      </c>
      <c r="E647" s="21" t="s">
        <v>4213</v>
      </c>
      <c r="F647" s="22" t="s">
        <v>3169</v>
      </c>
      <c r="G647" s="16">
        <v>23.61</v>
      </c>
      <c r="H647" s="16"/>
      <c r="I647" s="22"/>
      <c r="J647" s="22" t="s">
        <v>4214</v>
      </c>
      <c r="K647" s="22" t="s">
        <v>4215</v>
      </c>
      <c r="L647" s="23" t="s">
        <v>4216</v>
      </c>
      <c r="M647" s="23" t="s">
        <v>4217</v>
      </c>
      <c r="N647" s="12"/>
      <c r="O647" s="12"/>
      <c r="P647" s="13">
        <f>IFERROR(__xludf.DUMMYFUNCTION("VALUE(SUBSTITUTE((INDEX(SPLIT(A647,"",""),1)),""."","","",1))"),60.081628)</f>
        <v>60.081628</v>
      </c>
      <c r="Q647" s="13">
        <f>IFERROR(__xludf.DUMMYFUNCTION("VALUE(SUBSTITUTE((INDEX(SPLIT(A647,"",""),2)),""."","","",1))"),30.323126)</f>
        <v>30.323126</v>
      </c>
      <c r="R647" s="14" t="b">
        <f t="shared" si="1"/>
        <v>0</v>
      </c>
      <c r="S647" s="14" t="str">
        <f t="shared" si="2"/>
        <v>60.081628,30.323126</v>
      </c>
      <c r="T647" s="12"/>
    </row>
    <row r="648">
      <c r="A648" s="18" t="s">
        <v>4218</v>
      </c>
      <c r="B648" s="8" t="s">
        <v>4219</v>
      </c>
      <c r="C648" s="8" t="s">
        <v>4220</v>
      </c>
      <c r="D648" s="8" t="s">
        <v>16</v>
      </c>
      <c r="E648" s="19" t="s">
        <v>4221</v>
      </c>
      <c r="F648" s="8" t="s">
        <v>3169</v>
      </c>
      <c r="G648" s="8">
        <v>23.61</v>
      </c>
      <c r="H648" s="8"/>
      <c r="I648" s="8"/>
      <c r="J648" s="8" t="s">
        <v>4222</v>
      </c>
      <c r="K648" s="8" t="s">
        <v>4223</v>
      </c>
      <c r="L648" s="8"/>
      <c r="M648" s="24" t="s">
        <v>4224</v>
      </c>
      <c r="N648" s="12"/>
      <c r="O648" s="12"/>
      <c r="P648" s="13">
        <f>IFERROR(__xludf.DUMMYFUNCTION("VALUE(SUBSTITUTE((INDEX(SPLIT(A648,"",""),1)),""."","","",1))"),59.963557)</f>
        <v>59.963557</v>
      </c>
      <c r="Q648" s="13">
        <f>IFERROR(__xludf.DUMMYFUNCTION("VALUE(SUBSTITUTE((INDEX(SPLIT(A648,"",""),2)),""."","","",1))"),30.324097)</f>
        <v>30.324097</v>
      </c>
      <c r="R648" s="14" t="b">
        <f t="shared" si="1"/>
        <v>0</v>
      </c>
      <c r="S648" s="14" t="str">
        <f t="shared" si="2"/>
        <v>59.963557,30.324097</v>
      </c>
      <c r="T648" s="12"/>
    </row>
    <row r="649">
      <c r="A649" s="15" t="s">
        <v>4225</v>
      </c>
      <c r="B649" s="16" t="s">
        <v>4226</v>
      </c>
      <c r="C649" s="16" t="s">
        <v>4227</v>
      </c>
      <c r="D649" s="16" t="s">
        <v>16</v>
      </c>
      <c r="E649" s="17" t="s">
        <v>4228</v>
      </c>
      <c r="F649" s="16" t="s">
        <v>3169</v>
      </c>
      <c r="G649" s="16">
        <v>23.61</v>
      </c>
      <c r="H649" s="16"/>
      <c r="I649" s="16"/>
      <c r="J649" s="16" t="s">
        <v>4229</v>
      </c>
      <c r="K649" s="16" t="s">
        <v>4230</v>
      </c>
      <c r="L649" s="16"/>
      <c r="M649" s="16"/>
      <c r="N649" s="12"/>
      <c r="O649" s="12"/>
      <c r="P649" s="13">
        <f>IFERROR(__xludf.DUMMYFUNCTION("VALUE(SUBSTITUTE((INDEX(SPLIT(A649,"",""),1)),""."","","",1))"),60.011203)</f>
        <v>60.011203</v>
      </c>
      <c r="Q649" s="13">
        <f>IFERROR(__xludf.DUMMYFUNCTION("VALUE(SUBSTITUTE((INDEX(SPLIT(A649,"",""),2)),""."","","",1))"),30.325022)</f>
        <v>30.325022</v>
      </c>
      <c r="R649" s="14" t="b">
        <f t="shared" si="1"/>
        <v>0</v>
      </c>
      <c r="S649" s="14" t="str">
        <f t="shared" si="2"/>
        <v>60.011203,30.325022</v>
      </c>
      <c r="T649" s="12"/>
    </row>
    <row r="650">
      <c r="A650" s="7" t="s">
        <v>4231</v>
      </c>
      <c r="B650" s="8" t="s">
        <v>4232</v>
      </c>
      <c r="C650" s="8" t="s">
        <v>4233</v>
      </c>
      <c r="D650" s="8" t="s">
        <v>16</v>
      </c>
      <c r="E650" s="9" t="s">
        <v>4234</v>
      </c>
      <c r="F650" s="10" t="s">
        <v>3169</v>
      </c>
      <c r="G650" s="8">
        <v>23.61</v>
      </c>
      <c r="H650" s="8"/>
      <c r="I650" s="10"/>
      <c r="J650" s="10" t="s">
        <v>4235</v>
      </c>
      <c r="K650" s="10" t="s">
        <v>4236</v>
      </c>
      <c r="L650" s="11" t="s">
        <v>4237</v>
      </c>
      <c r="M650" s="10"/>
      <c r="N650" s="12"/>
      <c r="O650" s="12"/>
      <c r="P650" s="13">
        <f>IFERROR(__xludf.DUMMYFUNCTION("VALUE(SUBSTITUTE((INDEX(SPLIT(A650,"",""),1)),""."","","",1))"),59.959674)</f>
        <v>59.959674</v>
      </c>
      <c r="Q650" s="13">
        <f>IFERROR(__xludf.DUMMYFUNCTION("VALUE(SUBSTITUTE((INDEX(SPLIT(A650,"",""),2)),""."","","",1))"),30.325696)</f>
        <v>30.325696</v>
      </c>
      <c r="R650" s="14" t="b">
        <f t="shared" si="1"/>
        <v>0</v>
      </c>
      <c r="S650" s="14" t="str">
        <f t="shared" si="2"/>
        <v>59.959674,30.325696</v>
      </c>
      <c r="T650" s="12"/>
    </row>
    <row r="651">
      <c r="A651" s="20" t="s">
        <v>4238</v>
      </c>
      <c r="B651" s="16" t="s">
        <v>4239</v>
      </c>
      <c r="C651" s="16" t="s">
        <v>4240</v>
      </c>
      <c r="D651" s="16" t="s">
        <v>16</v>
      </c>
      <c r="E651" s="21" t="s">
        <v>4241</v>
      </c>
      <c r="F651" s="22" t="s">
        <v>3169</v>
      </c>
      <c r="G651" s="16">
        <v>23.61</v>
      </c>
      <c r="H651" s="16"/>
      <c r="I651" s="22"/>
      <c r="J651" s="22" t="s">
        <v>4242</v>
      </c>
      <c r="K651" s="22" t="s">
        <v>4243</v>
      </c>
      <c r="L651" s="23" t="s">
        <v>4244</v>
      </c>
      <c r="M651" s="22"/>
      <c r="N651" s="12"/>
      <c r="O651" s="12"/>
      <c r="P651" s="13">
        <f>IFERROR(__xludf.DUMMYFUNCTION("VALUE(SUBSTITUTE((INDEX(SPLIT(A651,"",""),1)),""."","","",1))"),59.892843)</f>
        <v>59.892843</v>
      </c>
      <c r="Q651" s="13">
        <f>IFERROR(__xludf.DUMMYFUNCTION("VALUE(SUBSTITUTE((INDEX(SPLIT(A651,"",""),2)),""."","","",1))"),30.325803)</f>
        <v>30.325803</v>
      </c>
      <c r="R651" s="14" t="b">
        <f t="shared" si="1"/>
        <v>0</v>
      </c>
      <c r="S651" s="14" t="str">
        <f t="shared" si="2"/>
        <v>59.892843,30.325803</v>
      </c>
      <c r="T651" s="12"/>
    </row>
    <row r="652">
      <c r="A652" s="7" t="s">
        <v>4245</v>
      </c>
      <c r="B652" s="8" t="s">
        <v>4246</v>
      </c>
      <c r="C652" s="8" t="s">
        <v>4247</v>
      </c>
      <c r="D652" s="8" t="s">
        <v>16</v>
      </c>
      <c r="E652" s="9" t="s">
        <v>4248</v>
      </c>
      <c r="F652" s="10" t="s">
        <v>3169</v>
      </c>
      <c r="G652" s="8">
        <v>23.61</v>
      </c>
      <c r="H652" s="8"/>
      <c r="I652" s="10"/>
      <c r="J652" s="10" t="s">
        <v>4249</v>
      </c>
      <c r="K652" s="10" t="s">
        <v>4250</v>
      </c>
      <c r="L652" s="11" t="s">
        <v>4251</v>
      </c>
      <c r="M652" s="11" t="s">
        <v>4252</v>
      </c>
      <c r="N652" s="12"/>
      <c r="O652" s="12"/>
      <c r="P652" s="13">
        <f>IFERROR(__xludf.DUMMYFUNCTION("VALUE(SUBSTITUTE((INDEX(SPLIT(A652,"",""),1)),""."","","",1))"),60.046836)</f>
        <v>60.046836</v>
      </c>
      <c r="Q652" s="13">
        <f>IFERROR(__xludf.DUMMYFUNCTION("VALUE(SUBSTITUTE((INDEX(SPLIT(A652,"",""),2)),""."","","",1))"),30.32654)</f>
        <v>30.32654</v>
      </c>
      <c r="R652" s="14" t="b">
        <f t="shared" si="1"/>
        <v>0</v>
      </c>
      <c r="S652" s="14" t="str">
        <f t="shared" si="2"/>
        <v>60.046836,30.32654</v>
      </c>
      <c r="T652" s="12"/>
    </row>
    <row r="653">
      <c r="A653" s="15" t="s">
        <v>4245</v>
      </c>
      <c r="B653" s="16" t="s">
        <v>4253</v>
      </c>
      <c r="C653" s="16" t="s">
        <v>4254</v>
      </c>
      <c r="D653" s="16" t="s">
        <v>16</v>
      </c>
      <c r="E653" s="17" t="s">
        <v>4255</v>
      </c>
      <c r="F653" s="16" t="s">
        <v>3169</v>
      </c>
      <c r="G653" s="16">
        <v>23.61</v>
      </c>
      <c r="H653" s="16"/>
      <c r="I653" s="16"/>
      <c r="J653" s="16" t="s">
        <v>4256</v>
      </c>
      <c r="K653" s="16" t="s">
        <v>4257</v>
      </c>
      <c r="L653" s="16"/>
      <c r="M653" s="25" t="s">
        <v>4258</v>
      </c>
      <c r="N653" s="12"/>
      <c r="O653" s="12"/>
      <c r="P653" s="13">
        <f>IFERROR(__xludf.DUMMYFUNCTION("VALUE(SUBSTITUTE((INDEX(SPLIT(A653,"",""),1)),""."","","",1))"),60.046836)</f>
        <v>60.046836</v>
      </c>
      <c r="Q653" s="13">
        <f>IFERROR(__xludf.DUMMYFUNCTION("VALUE(SUBSTITUTE((INDEX(SPLIT(A653,"",""),2)),""."","","",1))"),30.32654)</f>
        <v>30.32654</v>
      </c>
      <c r="R653" s="14" t="b">
        <f t="shared" si="1"/>
        <v>0</v>
      </c>
      <c r="S653" s="14" t="str">
        <f t="shared" si="2"/>
        <v>60.046836,30.32654</v>
      </c>
      <c r="T653" s="12"/>
    </row>
    <row r="654">
      <c r="A654" s="18" t="s">
        <v>4259</v>
      </c>
      <c r="B654" s="8" t="s">
        <v>4260</v>
      </c>
      <c r="C654" s="8" t="s">
        <v>4261</v>
      </c>
      <c r="D654" s="8" t="s">
        <v>16</v>
      </c>
      <c r="E654" s="19" t="s">
        <v>4262</v>
      </c>
      <c r="F654" s="8" t="s">
        <v>4263</v>
      </c>
      <c r="G654" s="8">
        <v>23.61</v>
      </c>
      <c r="H654" s="8"/>
      <c r="I654" s="8"/>
      <c r="J654" s="8" t="s">
        <v>4264</v>
      </c>
      <c r="K654" s="8" t="s">
        <v>4265</v>
      </c>
      <c r="L654" s="8"/>
      <c r="M654" s="8"/>
      <c r="N654" s="12"/>
      <c r="O654" s="12"/>
      <c r="P654" s="13">
        <f>IFERROR(__xludf.DUMMYFUNCTION("VALUE(SUBSTITUTE((INDEX(SPLIT(A654,"",""),1)),""."","","",1))"),59.916816)</f>
        <v>59.916816</v>
      </c>
      <c r="Q654" s="13">
        <f>IFERROR(__xludf.DUMMYFUNCTION("VALUE(SUBSTITUTE((INDEX(SPLIT(A654,"",""),2)),""."","","",1))"),30.327088)</f>
        <v>30.327088</v>
      </c>
      <c r="R654" s="14" t="b">
        <f t="shared" si="1"/>
        <v>0</v>
      </c>
      <c r="S654" s="14" t="str">
        <f t="shared" si="2"/>
        <v>59.916816,30.327088</v>
      </c>
      <c r="T654" s="12"/>
    </row>
    <row r="655">
      <c r="A655" s="20" t="s">
        <v>4266</v>
      </c>
      <c r="B655" s="16" t="s">
        <v>4267</v>
      </c>
      <c r="C655" s="16" t="s">
        <v>4268</v>
      </c>
      <c r="D655" s="16" t="s">
        <v>16</v>
      </c>
      <c r="E655" s="21" t="s">
        <v>4269</v>
      </c>
      <c r="F655" s="22" t="s">
        <v>3169</v>
      </c>
      <c r="G655" s="16">
        <v>23.61</v>
      </c>
      <c r="H655" s="16"/>
      <c r="I655" s="22"/>
      <c r="J655" s="22" t="s">
        <v>4270</v>
      </c>
      <c r="K655" s="22" t="s">
        <v>4271</v>
      </c>
      <c r="L655" s="23" t="s">
        <v>4272</v>
      </c>
      <c r="M655" s="22"/>
      <c r="N655" s="12"/>
      <c r="O655" s="12"/>
      <c r="P655" s="13">
        <f>IFERROR(__xludf.DUMMYFUNCTION("VALUE(SUBSTITUTE((INDEX(SPLIT(A655,"",""),1)),""."","","",1))"),60.00083)</f>
        <v>60.00083</v>
      </c>
      <c r="Q655" s="13">
        <f>IFERROR(__xludf.DUMMYFUNCTION("VALUE(SUBSTITUTE((INDEX(SPLIT(A655,"",""),2)),""."","","",1))"),30.328094)</f>
        <v>30.328094</v>
      </c>
      <c r="R655" s="14" t="b">
        <f t="shared" si="1"/>
        <v>0</v>
      </c>
      <c r="S655" s="14" t="str">
        <f t="shared" si="2"/>
        <v>60.00083,30.328094</v>
      </c>
      <c r="T655" s="12"/>
    </row>
    <row r="656">
      <c r="A656" s="7" t="s">
        <v>4273</v>
      </c>
      <c r="B656" s="8" t="s">
        <v>4274</v>
      </c>
      <c r="C656" s="8" t="s">
        <v>4275</v>
      </c>
      <c r="D656" s="8" t="s">
        <v>16</v>
      </c>
      <c r="E656" s="9" t="s">
        <v>4276</v>
      </c>
      <c r="F656" s="10" t="s">
        <v>3169</v>
      </c>
      <c r="G656" s="8">
        <v>23.61</v>
      </c>
      <c r="H656" s="8"/>
      <c r="I656" s="10"/>
      <c r="J656" s="10" t="s">
        <v>4277</v>
      </c>
      <c r="K656" s="10" t="s">
        <v>4278</v>
      </c>
      <c r="L656" s="29" t="s">
        <v>4279</v>
      </c>
      <c r="M656" s="10"/>
      <c r="N656" s="12"/>
      <c r="O656" s="12"/>
      <c r="P656" s="13">
        <f>IFERROR(__xludf.DUMMYFUNCTION("VALUE(SUBSTITUTE((INDEX(SPLIT(A656,"",""),1)),""."","","",1))"),60.00289)</f>
        <v>60.00289</v>
      </c>
      <c r="Q656" s="13">
        <f>IFERROR(__xludf.DUMMYFUNCTION("VALUE(SUBSTITUTE((INDEX(SPLIT(A656,"",""),2)),""."","","",1))"),30.328831)</f>
        <v>30.328831</v>
      </c>
      <c r="R656" s="14" t="b">
        <f t="shared" si="1"/>
        <v>0</v>
      </c>
      <c r="S656" s="14" t="str">
        <f t="shared" si="2"/>
        <v>60.00289,30.328831</v>
      </c>
      <c r="T656" s="12"/>
    </row>
    <row r="657">
      <c r="A657" s="15" t="s">
        <v>4280</v>
      </c>
      <c r="B657" s="16" t="s">
        <v>4281</v>
      </c>
      <c r="C657" s="16" t="s">
        <v>4282</v>
      </c>
      <c r="D657" s="16" t="s">
        <v>16</v>
      </c>
      <c r="E657" s="17" t="s">
        <v>4283</v>
      </c>
      <c r="F657" s="16" t="s">
        <v>3169</v>
      </c>
      <c r="G657" s="16">
        <v>23.61</v>
      </c>
      <c r="H657" s="16"/>
      <c r="I657" s="16"/>
      <c r="J657" s="16" t="s">
        <v>4284</v>
      </c>
      <c r="K657" s="16" t="s">
        <v>4285</v>
      </c>
      <c r="L657" s="16"/>
      <c r="M657" s="16"/>
      <c r="N657" s="12"/>
      <c r="O657" s="12"/>
      <c r="P657" s="13">
        <f>IFERROR(__xludf.DUMMYFUNCTION("VALUE(SUBSTITUTE((INDEX(SPLIT(A657,"",""),1)),""."","","",1))"),59.95776)</f>
        <v>59.95776</v>
      </c>
      <c r="Q657" s="13">
        <f>IFERROR(__xludf.DUMMYFUNCTION("VALUE(SUBSTITUTE((INDEX(SPLIT(A657,"",""),2)),""."","","",1))"),30.32946)</f>
        <v>30.32946</v>
      </c>
      <c r="R657" s="14" t="b">
        <f t="shared" si="1"/>
        <v>0</v>
      </c>
      <c r="S657" s="14" t="str">
        <f t="shared" si="2"/>
        <v>59.95776,30.32946</v>
      </c>
      <c r="T657" s="12"/>
    </row>
    <row r="658">
      <c r="A658" s="18" t="s">
        <v>4286</v>
      </c>
      <c r="B658" s="8" t="s">
        <v>4287</v>
      </c>
      <c r="C658" s="8" t="s">
        <v>4288</v>
      </c>
      <c r="D658" s="8" t="s">
        <v>16</v>
      </c>
      <c r="E658" s="19" t="s">
        <v>4289</v>
      </c>
      <c r="F658" s="8" t="s">
        <v>3169</v>
      </c>
      <c r="G658" s="8">
        <v>23.61</v>
      </c>
      <c r="H658" s="8"/>
      <c r="I658" s="8"/>
      <c r="J658" s="8" t="s">
        <v>4290</v>
      </c>
      <c r="K658" s="8" t="s">
        <v>4291</v>
      </c>
      <c r="L658" s="8"/>
      <c r="M658" s="8"/>
      <c r="N658" s="12"/>
      <c r="O658" s="12"/>
      <c r="P658" s="13">
        <f>IFERROR(__xludf.DUMMYFUNCTION("VALUE(SUBSTITUTE((INDEX(SPLIT(A658,"",""),1)),""."","","",1))"),59.831272)</f>
        <v>59.831272</v>
      </c>
      <c r="Q658" s="13">
        <f>IFERROR(__xludf.DUMMYFUNCTION("VALUE(SUBSTITUTE((INDEX(SPLIT(A658,"",""),2)),""."","","",1))"),30.3299)</f>
        <v>30.3299</v>
      </c>
      <c r="R658" s="14" t="b">
        <f t="shared" si="1"/>
        <v>0</v>
      </c>
      <c r="S658" s="14" t="str">
        <f t="shared" si="2"/>
        <v>59.831272,30.3299</v>
      </c>
      <c r="T658" s="12"/>
    </row>
    <row r="659">
      <c r="A659" s="15" t="s">
        <v>4292</v>
      </c>
      <c r="B659" s="16" t="s">
        <v>4293</v>
      </c>
      <c r="C659" s="16" t="s">
        <v>4294</v>
      </c>
      <c r="D659" s="16" t="s">
        <v>16</v>
      </c>
      <c r="E659" s="17" t="s">
        <v>4295</v>
      </c>
      <c r="F659" s="16" t="s">
        <v>3162</v>
      </c>
      <c r="G659" s="16">
        <v>23.61</v>
      </c>
      <c r="H659" s="16"/>
      <c r="I659" s="16"/>
      <c r="J659" s="16" t="s">
        <v>4296</v>
      </c>
      <c r="K659" s="16" t="s">
        <v>4297</v>
      </c>
      <c r="L659" s="16"/>
      <c r="M659" s="16"/>
      <c r="N659" s="12"/>
      <c r="O659" s="12"/>
      <c r="P659" s="13">
        <f>IFERROR(__xludf.DUMMYFUNCTION("VALUE(SUBSTITUTE((INDEX(SPLIT(A659,"",""),1)),""."","","",1))"),60.185231)</f>
        <v>60.185231</v>
      </c>
      <c r="Q659" s="13">
        <f>IFERROR(__xludf.DUMMYFUNCTION("VALUE(SUBSTITUTE((INDEX(SPLIT(A659,"",""),2)),""."","","",1))"),30.330304)</f>
        <v>30.330304</v>
      </c>
      <c r="R659" s="14" t="b">
        <f t="shared" si="1"/>
        <v>0</v>
      </c>
      <c r="S659" s="14" t="str">
        <f t="shared" si="2"/>
        <v>60.185231,30.330304</v>
      </c>
      <c r="T659" s="12"/>
    </row>
    <row r="660">
      <c r="A660" s="7" t="s">
        <v>4298</v>
      </c>
      <c r="B660" s="8" t="s">
        <v>4299</v>
      </c>
      <c r="C660" s="8" t="s">
        <v>4300</v>
      </c>
      <c r="D660" s="8" t="s">
        <v>16</v>
      </c>
      <c r="E660" s="9" t="s">
        <v>4301</v>
      </c>
      <c r="F660" s="10" t="s">
        <v>3169</v>
      </c>
      <c r="G660" s="8">
        <v>23.61</v>
      </c>
      <c r="H660" s="8"/>
      <c r="I660" s="10"/>
      <c r="J660" s="10" t="s">
        <v>4302</v>
      </c>
      <c r="K660" s="10" t="s">
        <v>4303</v>
      </c>
      <c r="L660" s="11" t="s">
        <v>4304</v>
      </c>
      <c r="M660" s="10"/>
      <c r="N660" s="12"/>
      <c r="O660" s="12"/>
      <c r="P660" s="13">
        <f>IFERROR(__xludf.DUMMYFUNCTION("VALUE(SUBSTITUTE((INDEX(SPLIT(A660,"",""),1)),""."","","",1))"),59.878455)</f>
        <v>59.878455</v>
      </c>
      <c r="Q660" s="13">
        <f>IFERROR(__xludf.DUMMYFUNCTION("VALUE(SUBSTITUTE((INDEX(SPLIT(A660,"",""),2)),""."","","",1))"),30.33184)</f>
        <v>30.33184</v>
      </c>
      <c r="R660" s="14" t="b">
        <f t="shared" si="1"/>
        <v>0</v>
      </c>
      <c r="S660" s="14" t="str">
        <f t="shared" si="2"/>
        <v>59.878455,30.33184</v>
      </c>
      <c r="T660" s="12"/>
    </row>
    <row r="661">
      <c r="A661" s="15" t="s">
        <v>4305</v>
      </c>
      <c r="B661" s="16" t="s">
        <v>4306</v>
      </c>
      <c r="C661" s="16" t="s">
        <v>4307</v>
      </c>
      <c r="D661" s="16" t="s">
        <v>16</v>
      </c>
      <c r="E661" s="17" t="s">
        <v>4308</v>
      </c>
      <c r="F661" s="16" t="s">
        <v>3169</v>
      </c>
      <c r="G661" s="16">
        <v>23.61</v>
      </c>
      <c r="H661" s="16"/>
      <c r="I661" s="16"/>
      <c r="J661" s="16" t="s">
        <v>4309</v>
      </c>
      <c r="K661" s="16" t="s">
        <v>4310</v>
      </c>
      <c r="L661" s="16"/>
      <c r="M661" s="16"/>
      <c r="N661" s="12"/>
      <c r="O661" s="12"/>
      <c r="P661" s="13">
        <f>IFERROR(__xludf.DUMMYFUNCTION("VALUE(SUBSTITUTE((INDEX(SPLIT(A661,"",""),1)),""."","","",1))"),59.825095)</f>
        <v>59.825095</v>
      </c>
      <c r="Q661" s="13">
        <f>IFERROR(__xludf.DUMMYFUNCTION("VALUE(SUBSTITUTE((INDEX(SPLIT(A661,"",""),2)),""."","","",1))"),30.33308)</f>
        <v>30.33308</v>
      </c>
      <c r="R661" s="14" t="b">
        <f t="shared" si="1"/>
        <v>0</v>
      </c>
      <c r="S661" s="14" t="str">
        <f t="shared" si="2"/>
        <v>59.825095,30.33308</v>
      </c>
      <c r="T661" s="12"/>
    </row>
    <row r="662">
      <c r="A662" s="18" t="s">
        <v>4311</v>
      </c>
      <c r="B662" s="8" t="s">
        <v>4312</v>
      </c>
      <c r="C662" s="8" t="s">
        <v>4313</v>
      </c>
      <c r="D662" s="8" t="s">
        <v>16</v>
      </c>
      <c r="E662" s="19" t="s">
        <v>4314</v>
      </c>
      <c r="F662" s="8" t="s">
        <v>3169</v>
      </c>
      <c r="G662" s="8">
        <v>23.61</v>
      </c>
      <c r="H662" s="8"/>
      <c r="I662" s="8"/>
      <c r="J662" s="8" t="s">
        <v>4315</v>
      </c>
      <c r="K662" s="8" t="s">
        <v>4316</v>
      </c>
      <c r="L662" s="8"/>
      <c r="M662" s="8"/>
      <c r="N662" s="12"/>
      <c r="O662" s="12"/>
      <c r="P662" s="13">
        <f>IFERROR(__xludf.DUMMYFUNCTION("VALUE(SUBSTITUTE((INDEX(SPLIT(A662,"",""),1)),""."","","",1))"),60.042114)</f>
        <v>60.042114</v>
      </c>
      <c r="Q662" s="13">
        <f>IFERROR(__xludf.DUMMYFUNCTION("VALUE(SUBSTITUTE((INDEX(SPLIT(A662,"",""),2)),""."","","",1))"),30.333448)</f>
        <v>30.333448</v>
      </c>
      <c r="R662" s="14" t="b">
        <f t="shared" si="1"/>
        <v>0</v>
      </c>
      <c r="S662" s="14" t="str">
        <f t="shared" si="2"/>
        <v>60.042114,30.333448</v>
      </c>
      <c r="T662" s="12"/>
    </row>
    <row r="663">
      <c r="A663" s="15" t="s">
        <v>4317</v>
      </c>
      <c r="B663" s="16" t="s">
        <v>4318</v>
      </c>
      <c r="C663" s="16" t="s">
        <v>4319</v>
      </c>
      <c r="D663" s="16" t="s">
        <v>16</v>
      </c>
      <c r="E663" s="17" t="s">
        <v>4320</v>
      </c>
      <c r="F663" s="16" t="s">
        <v>3169</v>
      </c>
      <c r="G663" s="16">
        <v>23.61</v>
      </c>
      <c r="H663" s="16"/>
      <c r="I663" s="16"/>
      <c r="J663" s="16" t="s">
        <v>4321</v>
      </c>
      <c r="K663" s="16" t="s">
        <v>4322</v>
      </c>
      <c r="L663" s="16"/>
      <c r="M663" s="16"/>
      <c r="N663" s="12"/>
      <c r="O663" s="12"/>
      <c r="P663" s="13">
        <f>IFERROR(__xludf.DUMMYFUNCTION("VALUE(SUBSTITUTE((INDEX(SPLIT(A663,"",""),1)),""."","","",1))"),59.836753)</f>
        <v>59.836753</v>
      </c>
      <c r="Q663" s="13">
        <f>IFERROR(__xludf.DUMMYFUNCTION("VALUE(SUBSTITUTE((INDEX(SPLIT(A663,"",""),2)),""."","","",1))"),30.33449)</f>
        <v>30.33449</v>
      </c>
      <c r="R663" s="14" t="b">
        <f t="shared" si="1"/>
        <v>0</v>
      </c>
      <c r="S663" s="14" t="str">
        <f t="shared" si="2"/>
        <v>59.836753,30.33449</v>
      </c>
      <c r="T663" s="12"/>
    </row>
    <row r="664">
      <c r="A664" s="7" t="s">
        <v>4323</v>
      </c>
      <c r="B664" s="8" t="s">
        <v>4324</v>
      </c>
      <c r="C664" s="8" t="s">
        <v>4325</v>
      </c>
      <c r="D664" s="8" t="s">
        <v>16</v>
      </c>
      <c r="E664" s="9" t="s">
        <v>4326</v>
      </c>
      <c r="F664" s="10" t="s">
        <v>4327</v>
      </c>
      <c r="G664" s="8">
        <v>23.61</v>
      </c>
      <c r="H664" s="8"/>
      <c r="I664" s="10"/>
      <c r="J664" s="10" t="s">
        <v>4328</v>
      </c>
      <c r="K664" s="10" t="s">
        <v>4329</v>
      </c>
      <c r="L664" s="11" t="s">
        <v>4330</v>
      </c>
      <c r="M664" s="10"/>
      <c r="N664" s="12"/>
      <c r="O664" s="12"/>
      <c r="P664" s="13">
        <f>IFERROR(__xludf.DUMMYFUNCTION("VALUE(SUBSTITUTE((INDEX(SPLIT(A664,"",""),1)),""."","","",1))"),59.888383)</f>
        <v>59.888383</v>
      </c>
      <c r="Q664" s="13">
        <f>IFERROR(__xludf.DUMMYFUNCTION("VALUE(SUBSTITUTE((INDEX(SPLIT(A664,"",""),2)),""."","","",1))"),30.338074)</f>
        <v>30.338074</v>
      </c>
      <c r="R664" s="14" t="b">
        <f t="shared" si="1"/>
        <v>0</v>
      </c>
      <c r="S664" s="14" t="str">
        <f t="shared" si="2"/>
        <v>59.888383,30.338074</v>
      </c>
      <c r="T664" s="12"/>
    </row>
    <row r="665">
      <c r="A665" s="15" t="s">
        <v>4331</v>
      </c>
      <c r="B665" s="16" t="s">
        <v>4332</v>
      </c>
      <c r="C665" s="16" t="s">
        <v>4333</v>
      </c>
      <c r="D665" s="16" t="s">
        <v>16</v>
      </c>
      <c r="E665" s="17" t="s">
        <v>4334</v>
      </c>
      <c r="F665" s="16" t="s">
        <v>3169</v>
      </c>
      <c r="G665" s="16">
        <v>23.61</v>
      </c>
      <c r="H665" s="16"/>
      <c r="I665" s="16"/>
      <c r="J665" s="16" t="s">
        <v>4335</v>
      </c>
      <c r="K665" s="16" t="s">
        <v>4336</v>
      </c>
      <c r="L665" s="16"/>
      <c r="M665" s="16"/>
      <c r="N665" s="12"/>
      <c r="O665" s="12"/>
      <c r="P665" s="13">
        <f>IFERROR(__xludf.DUMMYFUNCTION("VALUE(SUBSTITUTE((INDEX(SPLIT(A665,"",""),1)),""."","","",1))"),59.963886)</f>
        <v>59.963886</v>
      </c>
      <c r="Q665" s="13">
        <f>IFERROR(__xludf.DUMMYFUNCTION("VALUE(SUBSTITUTE((INDEX(SPLIT(A665,"",""),2)),""."","","",1))"),30.338353)</f>
        <v>30.338353</v>
      </c>
      <c r="R665" s="14" t="b">
        <f t="shared" si="1"/>
        <v>0</v>
      </c>
      <c r="S665" s="14" t="str">
        <f t="shared" si="2"/>
        <v>59.963886,30.338353</v>
      </c>
      <c r="T665" s="12"/>
    </row>
    <row r="666">
      <c r="A666" s="7" t="s">
        <v>4337</v>
      </c>
      <c r="B666" s="8" t="s">
        <v>2310</v>
      </c>
      <c r="C666" s="8" t="s">
        <v>2311</v>
      </c>
      <c r="D666" s="8" t="s">
        <v>16</v>
      </c>
      <c r="E666" s="9" t="s">
        <v>4338</v>
      </c>
      <c r="F666" s="10" t="s">
        <v>3169</v>
      </c>
      <c r="G666" s="8">
        <v>23.61</v>
      </c>
      <c r="H666" s="8"/>
      <c r="I666" s="10"/>
      <c r="J666" s="10" t="s">
        <v>4339</v>
      </c>
      <c r="K666" s="10" t="s">
        <v>4340</v>
      </c>
      <c r="L666" s="11" t="s">
        <v>4341</v>
      </c>
      <c r="M666" s="10"/>
      <c r="N666" s="12"/>
      <c r="O666" s="12"/>
      <c r="P666" s="13">
        <f>IFERROR(__xludf.DUMMYFUNCTION("VALUE(SUBSTITUTE((INDEX(SPLIT(A666,"",""),1)),""."","","",1))"),59.970605)</f>
        <v>59.970605</v>
      </c>
      <c r="Q666" s="13">
        <f>IFERROR(__xludf.DUMMYFUNCTION("VALUE(SUBSTITUTE((INDEX(SPLIT(A666,"",""),2)),""."","","",1))"),30.339943)</f>
        <v>30.339943</v>
      </c>
      <c r="R666" s="14" t="b">
        <f t="shared" si="1"/>
        <v>0</v>
      </c>
      <c r="S666" s="14" t="str">
        <f t="shared" si="2"/>
        <v>59.970605,30.339943</v>
      </c>
      <c r="T666" s="12"/>
    </row>
    <row r="667">
      <c r="A667" s="15" t="s">
        <v>4342</v>
      </c>
      <c r="B667" s="16" t="s">
        <v>4343</v>
      </c>
      <c r="C667" s="16" t="s">
        <v>4344</v>
      </c>
      <c r="D667" s="16" t="s">
        <v>16</v>
      </c>
      <c r="E667" s="17" t="s">
        <v>4345</v>
      </c>
      <c r="F667" s="16" t="s">
        <v>3169</v>
      </c>
      <c r="G667" s="16">
        <v>23.61</v>
      </c>
      <c r="H667" s="16"/>
      <c r="I667" s="16"/>
      <c r="J667" s="16" t="s">
        <v>4346</v>
      </c>
      <c r="K667" s="16" t="s">
        <v>4347</v>
      </c>
      <c r="L667" s="16"/>
      <c r="M667" s="16"/>
      <c r="N667" s="12"/>
      <c r="O667" s="12"/>
      <c r="P667" s="13">
        <f>IFERROR(__xludf.DUMMYFUNCTION("VALUE(SUBSTITUTE((INDEX(SPLIT(A667,"",""),1)),""."","","",1))"),60.079895)</f>
        <v>60.079895</v>
      </c>
      <c r="Q667" s="13">
        <f>IFERROR(__xludf.DUMMYFUNCTION("VALUE(SUBSTITUTE((INDEX(SPLIT(A667,"",""),2)),""."","","",1))"),30.341713)</f>
        <v>30.341713</v>
      </c>
      <c r="R667" s="14" t="b">
        <f t="shared" si="1"/>
        <v>0</v>
      </c>
      <c r="S667" s="14" t="str">
        <f t="shared" si="2"/>
        <v>60.079895,30.341713</v>
      </c>
      <c r="T667" s="12"/>
    </row>
    <row r="668">
      <c r="A668" s="18" t="s">
        <v>4348</v>
      </c>
      <c r="B668" s="8" t="s">
        <v>4349</v>
      </c>
      <c r="C668" s="8" t="s">
        <v>4350</v>
      </c>
      <c r="D668" s="8" t="s">
        <v>16</v>
      </c>
      <c r="E668" s="19" t="s">
        <v>4351</v>
      </c>
      <c r="F668" s="8" t="s">
        <v>3169</v>
      </c>
      <c r="G668" s="8">
        <v>23.61</v>
      </c>
      <c r="H668" s="8"/>
      <c r="I668" s="8"/>
      <c r="J668" s="8" t="s">
        <v>4352</v>
      </c>
      <c r="K668" s="8" t="s">
        <v>4353</v>
      </c>
      <c r="L668" s="8"/>
      <c r="M668" s="24" t="s">
        <v>4354</v>
      </c>
      <c r="N668" s="12"/>
      <c r="O668" s="12"/>
      <c r="P668" s="13">
        <f>IFERROR(__xludf.DUMMYFUNCTION("VALUE(SUBSTITUTE((INDEX(SPLIT(A668,"",""),1)),""."","","",1))"),60.073292)</f>
        <v>60.073292</v>
      </c>
      <c r="Q668" s="13">
        <f>IFERROR(__xludf.DUMMYFUNCTION("VALUE(SUBSTITUTE((INDEX(SPLIT(A668,"",""),2)),""."","","",1))"),30.341784)</f>
        <v>30.341784</v>
      </c>
      <c r="R668" s="14" t="b">
        <f t="shared" si="1"/>
        <v>0</v>
      </c>
      <c r="S668" s="14" t="str">
        <f t="shared" si="2"/>
        <v>60.073292,30.341784</v>
      </c>
      <c r="T668" s="12"/>
    </row>
    <row r="669">
      <c r="A669" s="15" t="s">
        <v>4355</v>
      </c>
      <c r="B669" s="16" t="s">
        <v>4356</v>
      </c>
      <c r="C669" s="16" t="s">
        <v>4357</v>
      </c>
      <c r="D669" s="16" t="s">
        <v>16</v>
      </c>
      <c r="E669" s="17" t="s">
        <v>4358</v>
      </c>
      <c r="F669" s="16" t="s">
        <v>3169</v>
      </c>
      <c r="G669" s="16">
        <v>23.61</v>
      </c>
      <c r="H669" s="16"/>
      <c r="I669" s="16"/>
      <c r="J669" s="16" t="s">
        <v>4359</v>
      </c>
      <c r="K669" s="16" t="s">
        <v>4360</v>
      </c>
      <c r="L669" s="16"/>
      <c r="M669" s="16"/>
      <c r="N669" s="12"/>
      <c r="O669" s="12"/>
      <c r="P669" s="13">
        <f>IFERROR(__xludf.DUMMYFUNCTION("VALUE(SUBSTITUTE((INDEX(SPLIT(A669,"",""),1)),""."","","",1))"),59.845935)</f>
        <v>59.845935</v>
      </c>
      <c r="Q669" s="13">
        <f>IFERROR(__xludf.DUMMYFUNCTION("VALUE(SUBSTITUTE((INDEX(SPLIT(A669,"",""),2)),""."","","",1))"),30.342557)</f>
        <v>30.342557</v>
      </c>
      <c r="R669" s="14" t="b">
        <f t="shared" si="1"/>
        <v>0</v>
      </c>
      <c r="S669" s="14" t="str">
        <f t="shared" si="2"/>
        <v>59.845935,30.342557</v>
      </c>
      <c r="T669" s="12"/>
    </row>
    <row r="670">
      <c r="A670" s="18" t="s">
        <v>4361</v>
      </c>
      <c r="B670" s="8" t="s">
        <v>4362</v>
      </c>
      <c r="C670" s="8" t="s">
        <v>4363</v>
      </c>
      <c r="D670" s="8" t="s">
        <v>16</v>
      </c>
      <c r="E670" s="19" t="s">
        <v>4364</v>
      </c>
      <c r="F670" s="8" t="s">
        <v>3169</v>
      </c>
      <c r="G670" s="8">
        <v>23.61</v>
      </c>
      <c r="H670" s="8"/>
      <c r="I670" s="8"/>
      <c r="J670" s="8" t="s">
        <v>4365</v>
      </c>
      <c r="K670" s="8" t="s">
        <v>4366</v>
      </c>
      <c r="L670" s="8"/>
      <c r="M670" s="8"/>
      <c r="N670" s="12"/>
      <c r="O670" s="12"/>
      <c r="P670" s="13">
        <f>IFERROR(__xludf.DUMMYFUNCTION("VALUE(SUBSTITUTE((INDEX(SPLIT(A670,"",""),1)),""."","","",1))"),59.970763)</f>
        <v>59.970763</v>
      </c>
      <c r="Q670" s="13">
        <f>IFERROR(__xludf.DUMMYFUNCTION("VALUE(SUBSTITUTE((INDEX(SPLIT(A670,"",""),2)),""."","","",1))"),30.343976)</f>
        <v>30.343976</v>
      </c>
      <c r="R670" s="14" t="b">
        <f t="shared" si="1"/>
        <v>0</v>
      </c>
      <c r="S670" s="14" t="str">
        <f t="shared" si="2"/>
        <v>59.970763,30.343976</v>
      </c>
      <c r="T670" s="12"/>
    </row>
    <row r="671">
      <c r="A671" s="20" t="s">
        <v>4367</v>
      </c>
      <c r="B671" s="16" t="s">
        <v>4368</v>
      </c>
      <c r="C671" s="16" t="s">
        <v>4369</v>
      </c>
      <c r="D671" s="16" t="s">
        <v>16</v>
      </c>
      <c r="E671" s="21" t="s">
        <v>4370</v>
      </c>
      <c r="F671" s="22" t="s">
        <v>3169</v>
      </c>
      <c r="G671" s="16">
        <v>23.61</v>
      </c>
      <c r="H671" s="16"/>
      <c r="I671" s="22"/>
      <c r="J671" s="22" t="s">
        <v>4371</v>
      </c>
      <c r="K671" s="22" t="s">
        <v>4372</v>
      </c>
      <c r="L671" s="23" t="s">
        <v>4373</v>
      </c>
      <c r="M671" s="23" t="s">
        <v>2139</v>
      </c>
      <c r="N671" s="12"/>
      <c r="O671" s="12"/>
      <c r="P671" s="13">
        <f>IFERROR(__xludf.DUMMYFUNCTION("VALUE(SUBSTITUTE((INDEX(SPLIT(A671,"",""),1)),""."","","",1))"),60.050273)</f>
        <v>60.050273</v>
      </c>
      <c r="Q671" s="13">
        <f>IFERROR(__xludf.DUMMYFUNCTION("VALUE(SUBSTITUTE((INDEX(SPLIT(A671,"",""),2)),""."","","",1))"),30.344542)</f>
        <v>30.344542</v>
      </c>
      <c r="R671" s="14" t="b">
        <f t="shared" si="1"/>
        <v>0</v>
      </c>
      <c r="S671" s="14" t="str">
        <f t="shared" si="2"/>
        <v>60.050273,30.344542</v>
      </c>
      <c r="T671" s="12"/>
    </row>
    <row r="672">
      <c r="A672" s="7" t="s">
        <v>4374</v>
      </c>
      <c r="B672" s="8" t="s">
        <v>4375</v>
      </c>
      <c r="C672" s="8" t="s">
        <v>4376</v>
      </c>
      <c r="D672" s="8" t="s">
        <v>16</v>
      </c>
      <c r="E672" s="9" t="s">
        <v>4377</v>
      </c>
      <c r="F672" s="10" t="s">
        <v>3169</v>
      </c>
      <c r="G672" s="8">
        <v>23.61</v>
      </c>
      <c r="H672" s="8"/>
      <c r="I672" s="10"/>
      <c r="J672" s="10" t="s">
        <v>4378</v>
      </c>
      <c r="K672" s="10" t="s">
        <v>4379</v>
      </c>
      <c r="L672" s="11" t="s">
        <v>4380</v>
      </c>
      <c r="M672" s="10"/>
      <c r="N672" s="12"/>
      <c r="O672" s="12"/>
      <c r="P672" s="13">
        <f>IFERROR(__xludf.DUMMYFUNCTION("VALUE(SUBSTITUTE((INDEX(SPLIT(A672,"",""),1)),""."","","",1))"),59.917966)</f>
        <v>59.917966</v>
      </c>
      <c r="Q672" s="13">
        <f>IFERROR(__xludf.DUMMYFUNCTION("VALUE(SUBSTITUTE((INDEX(SPLIT(A672,"",""),2)),""."","","",1))"),30.346366)</f>
        <v>30.346366</v>
      </c>
      <c r="R672" s="14" t="b">
        <f t="shared" si="1"/>
        <v>0</v>
      </c>
      <c r="S672" s="14" t="str">
        <f t="shared" si="2"/>
        <v>59.917966,30.346366</v>
      </c>
      <c r="T672" s="12"/>
    </row>
    <row r="673">
      <c r="A673" s="15" t="s">
        <v>4381</v>
      </c>
      <c r="B673" s="16" t="s">
        <v>4382</v>
      </c>
      <c r="C673" s="16" t="s">
        <v>4383</v>
      </c>
      <c r="D673" s="16" t="s">
        <v>16</v>
      </c>
      <c r="E673" s="17" t="s">
        <v>4384</v>
      </c>
      <c r="F673" s="16" t="s">
        <v>3169</v>
      </c>
      <c r="G673" s="16">
        <v>23.61</v>
      </c>
      <c r="H673" s="16"/>
      <c r="I673" s="16"/>
      <c r="J673" s="16" t="s">
        <v>4385</v>
      </c>
      <c r="K673" s="16" t="s">
        <v>4386</v>
      </c>
      <c r="L673" s="16"/>
      <c r="M673" s="16"/>
      <c r="N673" s="12"/>
      <c r="O673" s="12"/>
      <c r="P673" s="13">
        <f>IFERROR(__xludf.DUMMYFUNCTION("VALUE(SUBSTITUTE((INDEX(SPLIT(A673,"",""),1)),""."","","",1))"),59.970853)</f>
        <v>59.970853</v>
      </c>
      <c r="Q673" s="13">
        <f>IFERROR(__xludf.DUMMYFUNCTION("VALUE(SUBSTITUTE((INDEX(SPLIT(A673,"",""),2)),""."","","",1))"),30.346438)</f>
        <v>30.346438</v>
      </c>
      <c r="R673" s="14" t="b">
        <f t="shared" si="1"/>
        <v>0</v>
      </c>
      <c r="S673" s="14" t="str">
        <f t="shared" si="2"/>
        <v>59.970853,30.346438</v>
      </c>
      <c r="T673" s="12"/>
    </row>
    <row r="674">
      <c r="A674" s="18" t="s">
        <v>4387</v>
      </c>
      <c r="B674" s="8" t="s">
        <v>4388</v>
      </c>
      <c r="C674" s="8" t="s">
        <v>4389</v>
      </c>
      <c r="D674" s="8" t="s">
        <v>16</v>
      </c>
      <c r="E674" s="19" t="s">
        <v>4390</v>
      </c>
      <c r="F674" s="8" t="s">
        <v>3169</v>
      </c>
      <c r="G674" s="8">
        <v>23.61</v>
      </c>
      <c r="H674" s="8"/>
      <c r="I674" s="8"/>
      <c r="J674" s="8" t="s">
        <v>4391</v>
      </c>
      <c r="K674" s="8" t="s">
        <v>4392</v>
      </c>
      <c r="L674" s="8"/>
      <c r="M674" s="8"/>
      <c r="N674" s="12"/>
      <c r="O674" s="12"/>
      <c r="P674" s="13">
        <f>IFERROR(__xludf.DUMMYFUNCTION("VALUE(SUBSTITUTE((INDEX(SPLIT(A674,"",""),1)),""."","","",1))"),59.912481)</f>
        <v>59.912481</v>
      </c>
      <c r="Q674" s="13">
        <f>IFERROR(__xludf.DUMMYFUNCTION("VALUE(SUBSTITUTE((INDEX(SPLIT(A674,"",""),2)),""."","","",1))"),30.346456)</f>
        <v>30.346456</v>
      </c>
      <c r="R674" s="14" t="b">
        <f t="shared" si="1"/>
        <v>0</v>
      </c>
      <c r="S674" s="14" t="str">
        <f t="shared" si="2"/>
        <v>59.912481,30.346456</v>
      </c>
      <c r="T674" s="12"/>
    </row>
    <row r="675">
      <c r="A675" s="15" t="s">
        <v>4393</v>
      </c>
      <c r="B675" s="16" t="s">
        <v>4394</v>
      </c>
      <c r="C675" s="16" t="s">
        <v>4395</v>
      </c>
      <c r="D675" s="16" t="s">
        <v>16</v>
      </c>
      <c r="E675" s="17" t="s">
        <v>4396</v>
      </c>
      <c r="F675" s="16" t="s">
        <v>3169</v>
      </c>
      <c r="G675" s="16">
        <v>23.61</v>
      </c>
      <c r="H675" s="16"/>
      <c r="I675" s="16"/>
      <c r="J675" s="16" t="s">
        <v>4397</v>
      </c>
      <c r="K675" s="16" t="s">
        <v>4398</v>
      </c>
      <c r="L675" s="16"/>
      <c r="M675" s="16"/>
      <c r="N675" s="12"/>
      <c r="O675" s="12"/>
      <c r="P675" s="13">
        <f>IFERROR(__xludf.DUMMYFUNCTION("VALUE(SUBSTITUTE((INDEX(SPLIT(A675,"",""),1)),""."","","",1))"),59.967106)</f>
        <v>59.967106</v>
      </c>
      <c r="Q675" s="13">
        <f>IFERROR(__xludf.DUMMYFUNCTION("VALUE(SUBSTITUTE((INDEX(SPLIT(A675,"",""),2)),""."","","",1))"),30.347363)</f>
        <v>30.347363</v>
      </c>
      <c r="R675" s="14" t="b">
        <f t="shared" si="1"/>
        <v>0</v>
      </c>
      <c r="S675" s="14" t="str">
        <f t="shared" si="2"/>
        <v>59.967106,30.347363</v>
      </c>
      <c r="T675" s="12"/>
    </row>
    <row r="676">
      <c r="A676" s="18" t="s">
        <v>4399</v>
      </c>
      <c r="B676" s="8" t="s">
        <v>4400</v>
      </c>
      <c r="C676" s="8" t="s">
        <v>4401</v>
      </c>
      <c r="D676" s="8" t="s">
        <v>16</v>
      </c>
      <c r="E676" s="19" t="s">
        <v>4402</v>
      </c>
      <c r="F676" s="8" t="s">
        <v>3169</v>
      </c>
      <c r="G676" s="8">
        <v>23.61</v>
      </c>
      <c r="H676" s="8"/>
      <c r="I676" s="8"/>
      <c r="J676" s="8" t="s">
        <v>4403</v>
      </c>
      <c r="K676" s="8" t="s">
        <v>4404</v>
      </c>
      <c r="L676" s="8"/>
      <c r="M676" s="8"/>
      <c r="N676" s="12"/>
      <c r="O676" s="12"/>
      <c r="P676" s="13">
        <f>IFERROR(__xludf.DUMMYFUNCTION("VALUE(SUBSTITUTE((INDEX(SPLIT(A676,"",""),1)),""."","","",1))"),59.837323)</f>
        <v>59.837323</v>
      </c>
      <c r="Q676" s="13">
        <f>IFERROR(__xludf.DUMMYFUNCTION("VALUE(SUBSTITUTE((INDEX(SPLIT(A676,"",""),2)),""."","","",1))"),30.347893)</f>
        <v>30.347893</v>
      </c>
      <c r="R676" s="14" t="b">
        <f t="shared" si="1"/>
        <v>0</v>
      </c>
      <c r="S676" s="14" t="str">
        <f t="shared" si="2"/>
        <v>59.837323,30.347893</v>
      </c>
      <c r="T676" s="12"/>
    </row>
    <row r="677">
      <c r="A677" s="15" t="s">
        <v>4405</v>
      </c>
      <c r="B677" s="16" t="s">
        <v>4406</v>
      </c>
      <c r="C677" s="16" t="s">
        <v>4407</v>
      </c>
      <c r="D677" s="16" t="s">
        <v>16</v>
      </c>
      <c r="E677" s="17" t="s">
        <v>4408</v>
      </c>
      <c r="F677" s="16" t="s">
        <v>3169</v>
      </c>
      <c r="G677" s="16">
        <v>23.61</v>
      </c>
      <c r="H677" s="16"/>
      <c r="I677" s="16"/>
      <c r="J677" s="16" t="s">
        <v>4409</v>
      </c>
      <c r="K677" s="16" t="s">
        <v>4410</v>
      </c>
      <c r="L677" s="16"/>
      <c r="M677" s="16"/>
      <c r="N677" s="12"/>
      <c r="O677" s="12"/>
      <c r="P677" s="13">
        <f>IFERROR(__xludf.DUMMYFUNCTION("VALUE(SUBSTITUTE((INDEX(SPLIT(A677,"",""),1)),""."","","",1))"),60.042815)</f>
        <v>60.042815</v>
      </c>
      <c r="Q677" s="13">
        <f>IFERROR(__xludf.DUMMYFUNCTION("VALUE(SUBSTITUTE((INDEX(SPLIT(A677,"",""),2)),""."","","",1))"),30.348306)</f>
        <v>30.348306</v>
      </c>
      <c r="R677" s="14" t="b">
        <f t="shared" si="1"/>
        <v>0</v>
      </c>
      <c r="S677" s="14" t="str">
        <f t="shared" si="2"/>
        <v>60.042815,30.348306</v>
      </c>
      <c r="T677" s="12"/>
    </row>
    <row r="678">
      <c r="A678" s="18" t="s">
        <v>4411</v>
      </c>
      <c r="B678" s="8" t="s">
        <v>4412</v>
      </c>
      <c r="C678" s="8" t="s">
        <v>4413</v>
      </c>
      <c r="D678" s="8" t="s">
        <v>16</v>
      </c>
      <c r="E678" s="19" t="s">
        <v>4414</v>
      </c>
      <c r="F678" s="8" t="s">
        <v>3169</v>
      </c>
      <c r="G678" s="8">
        <v>23.61</v>
      </c>
      <c r="H678" s="8"/>
      <c r="I678" s="8"/>
      <c r="J678" s="8" t="s">
        <v>4415</v>
      </c>
      <c r="K678" s="8" t="s">
        <v>4416</v>
      </c>
      <c r="L678" s="8"/>
      <c r="M678" s="8"/>
      <c r="N678" s="12"/>
      <c r="O678" s="12"/>
      <c r="P678" s="13">
        <f>IFERROR(__xludf.DUMMYFUNCTION("VALUE(SUBSTITUTE((INDEX(SPLIT(A678,"",""),1)),""."","","",1))"),59.924929)</f>
        <v>59.924929</v>
      </c>
      <c r="Q678" s="13">
        <f>IFERROR(__xludf.DUMMYFUNCTION("VALUE(SUBSTITUTE((INDEX(SPLIT(A678,"",""),2)),""."","","",1))"),30.348477)</f>
        <v>30.348477</v>
      </c>
      <c r="R678" s="14" t="b">
        <f t="shared" si="1"/>
        <v>0</v>
      </c>
      <c r="S678" s="14" t="str">
        <f t="shared" si="2"/>
        <v>59.924929,30.348477</v>
      </c>
      <c r="T678" s="12"/>
    </row>
    <row r="679">
      <c r="A679" s="20" t="s">
        <v>4417</v>
      </c>
      <c r="B679" s="16" t="s">
        <v>4418</v>
      </c>
      <c r="C679" s="16" t="s">
        <v>4419</v>
      </c>
      <c r="D679" s="16" t="s">
        <v>16</v>
      </c>
      <c r="E679" s="21" t="s">
        <v>4420</v>
      </c>
      <c r="F679" s="22" t="s">
        <v>3162</v>
      </c>
      <c r="G679" s="16">
        <v>23.61</v>
      </c>
      <c r="H679" s="16"/>
      <c r="I679" s="22"/>
      <c r="J679" s="22" t="s">
        <v>4421</v>
      </c>
      <c r="K679" s="22" t="s">
        <v>4422</v>
      </c>
      <c r="L679" s="23" t="s">
        <v>4423</v>
      </c>
      <c r="M679" s="22"/>
      <c r="N679" s="12"/>
      <c r="O679" s="12"/>
      <c r="P679" s="13">
        <f>IFERROR(__xludf.DUMMYFUNCTION("VALUE(SUBSTITUTE((INDEX(SPLIT(A679,"",""),1)),""."","","",1))"),60.008234)</f>
        <v>60.008234</v>
      </c>
      <c r="Q679" s="13">
        <f>IFERROR(__xludf.DUMMYFUNCTION("VALUE(SUBSTITUTE((INDEX(SPLIT(A679,"",""),2)),""."","","",1))"),30.34951)</f>
        <v>30.34951</v>
      </c>
      <c r="R679" s="14" t="b">
        <f t="shared" si="1"/>
        <v>0</v>
      </c>
      <c r="S679" s="14" t="str">
        <f t="shared" si="2"/>
        <v>60.008234,30.34951</v>
      </c>
      <c r="T679" s="12"/>
    </row>
    <row r="680">
      <c r="A680" s="7" t="s">
        <v>4424</v>
      </c>
      <c r="B680" s="8" t="s">
        <v>4425</v>
      </c>
      <c r="C680" s="8" t="s">
        <v>4426</v>
      </c>
      <c r="D680" s="8" t="s">
        <v>16</v>
      </c>
      <c r="E680" s="9" t="s">
        <v>4427</v>
      </c>
      <c r="F680" s="10" t="s">
        <v>3169</v>
      </c>
      <c r="G680" s="8">
        <v>23.61</v>
      </c>
      <c r="H680" s="8"/>
      <c r="I680" s="10"/>
      <c r="J680" s="10" t="s">
        <v>4428</v>
      </c>
      <c r="K680" s="10" t="s">
        <v>4429</v>
      </c>
      <c r="L680" s="11" t="s">
        <v>4430</v>
      </c>
      <c r="M680" s="10"/>
      <c r="N680" s="12"/>
      <c r="O680" s="12"/>
      <c r="P680" s="13">
        <f>IFERROR(__xludf.DUMMYFUNCTION("VALUE(SUBSTITUTE((INDEX(SPLIT(A680,"",""),1)),""."","","",1))"),60.04862)</f>
        <v>60.04862</v>
      </c>
      <c r="Q680" s="13">
        <f>IFERROR(__xludf.DUMMYFUNCTION("VALUE(SUBSTITUTE((INDEX(SPLIT(A680,"",""),2)),""."","","",1))"),30.353148)</f>
        <v>30.353148</v>
      </c>
      <c r="R680" s="14" t="b">
        <f t="shared" si="1"/>
        <v>0</v>
      </c>
      <c r="S680" s="14" t="str">
        <f t="shared" si="2"/>
        <v>60.04862,30.353148</v>
      </c>
      <c r="T680" s="12"/>
    </row>
    <row r="681">
      <c r="A681" s="20" t="s">
        <v>4431</v>
      </c>
      <c r="B681" s="16" t="s">
        <v>4432</v>
      </c>
      <c r="C681" s="16" t="s">
        <v>4433</v>
      </c>
      <c r="D681" s="16" t="s">
        <v>16</v>
      </c>
      <c r="E681" s="21" t="s">
        <v>4434</v>
      </c>
      <c r="F681" s="22" t="s">
        <v>3169</v>
      </c>
      <c r="G681" s="16">
        <v>23.61</v>
      </c>
      <c r="H681" s="16"/>
      <c r="I681" s="22"/>
      <c r="J681" s="22" t="s">
        <v>4435</v>
      </c>
      <c r="K681" s="22" t="s">
        <v>4436</v>
      </c>
      <c r="L681" s="23" t="s">
        <v>4437</v>
      </c>
      <c r="M681" s="22"/>
      <c r="N681" s="12"/>
      <c r="O681" s="12"/>
      <c r="P681" s="13">
        <f>IFERROR(__xludf.DUMMYFUNCTION("VALUE(SUBSTITUTE((INDEX(SPLIT(A681,"",""),1)),""."","","",1))"),59.962471)</f>
        <v>59.962471</v>
      </c>
      <c r="Q681" s="13">
        <f>IFERROR(__xludf.DUMMYFUNCTION("VALUE(SUBSTITUTE((INDEX(SPLIT(A681,"",""),2)),""."","","",1))"),30.354109)</f>
        <v>30.354109</v>
      </c>
      <c r="R681" s="14" t="b">
        <f t="shared" si="1"/>
        <v>0</v>
      </c>
      <c r="S681" s="14" t="str">
        <f t="shared" si="2"/>
        <v>59.962471,30.354109</v>
      </c>
      <c r="T681" s="12"/>
    </row>
    <row r="682">
      <c r="A682" s="18" t="s">
        <v>4438</v>
      </c>
      <c r="B682" s="8" t="s">
        <v>4439</v>
      </c>
      <c r="C682" s="8" t="s">
        <v>4440</v>
      </c>
      <c r="D682" s="8" t="s">
        <v>16</v>
      </c>
      <c r="E682" s="19" t="s">
        <v>4441</v>
      </c>
      <c r="F682" s="8" t="s">
        <v>3169</v>
      </c>
      <c r="G682" s="8">
        <v>23.61</v>
      </c>
      <c r="H682" s="8"/>
      <c r="I682" s="8"/>
      <c r="J682" s="8" t="s">
        <v>4442</v>
      </c>
      <c r="K682" s="8" t="s">
        <v>4443</v>
      </c>
      <c r="L682" s="8"/>
      <c r="M682" s="8"/>
      <c r="N682" s="12"/>
      <c r="O682" s="12"/>
      <c r="P682" s="13">
        <f>IFERROR(__xludf.DUMMYFUNCTION("VALUE(SUBSTITUTE((INDEX(SPLIT(A682,"",""),1)),""."","","",1))"),60.072062)</f>
        <v>60.072062</v>
      </c>
      <c r="Q682" s="13">
        <f>IFERROR(__xludf.DUMMYFUNCTION("VALUE(SUBSTITUTE((INDEX(SPLIT(A682,"",""),2)),""."","","",1))"),30.356391)</f>
        <v>30.356391</v>
      </c>
      <c r="R682" s="14" t="b">
        <f t="shared" si="1"/>
        <v>0</v>
      </c>
      <c r="S682" s="14" t="str">
        <f t="shared" si="2"/>
        <v>60.072062,30.356391</v>
      </c>
      <c r="T682" s="12"/>
    </row>
    <row r="683">
      <c r="A683" s="15" t="s">
        <v>4444</v>
      </c>
      <c r="B683" s="16" t="s">
        <v>4445</v>
      </c>
      <c r="C683" s="16" t="s">
        <v>4446</v>
      </c>
      <c r="D683" s="16" t="s">
        <v>16</v>
      </c>
      <c r="E683" s="17" t="s">
        <v>4447</v>
      </c>
      <c r="F683" s="16" t="s">
        <v>3169</v>
      </c>
      <c r="G683" s="16">
        <v>23.61</v>
      </c>
      <c r="H683" s="16"/>
      <c r="I683" s="16"/>
      <c r="J683" s="16" t="s">
        <v>4448</v>
      </c>
      <c r="K683" s="16" t="s">
        <v>4449</v>
      </c>
      <c r="L683" s="16"/>
      <c r="M683" s="16"/>
      <c r="N683" s="12"/>
      <c r="O683" s="12"/>
      <c r="P683" s="13">
        <f>IFERROR(__xludf.DUMMYFUNCTION("VALUE(SUBSTITUTE((INDEX(SPLIT(A683,"",""),1)),""."","","",1))"),60.07371)</f>
        <v>60.07371</v>
      </c>
      <c r="Q683" s="13">
        <f>IFERROR(__xludf.DUMMYFUNCTION("VALUE(SUBSTITUTE((INDEX(SPLIT(A683,"",""),2)),""."","","",1))"),30.357173)</f>
        <v>30.357173</v>
      </c>
      <c r="R683" s="14" t="b">
        <f t="shared" si="1"/>
        <v>0</v>
      </c>
      <c r="S683" s="14" t="str">
        <f t="shared" si="2"/>
        <v>60.07371,30.357173</v>
      </c>
      <c r="T683" s="12"/>
    </row>
    <row r="684">
      <c r="A684" s="7" t="s">
        <v>4450</v>
      </c>
      <c r="B684" s="8" t="s">
        <v>4451</v>
      </c>
      <c r="C684" s="8" t="s">
        <v>4452</v>
      </c>
      <c r="D684" s="8" t="s">
        <v>16</v>
      </c>
      <c r="E684" s="9" t="s">
        <v>4453</v>
      </c>
      <c r="F684" s="10" t="s">
        <v>3169</v>
      </c>
      <c r="G684" s="8">
        <v>23.61</v>
      </c>
      <c r="H684" s="8"/>
      <c r="I684" s="10"/>
      <c r="J684" s="10" t="s">
        <v>4454</v>
      </c>
      <c r="K684" s="10" t="s">
        <v>4455</v>
      </c>
      <c r="L684" s="11" t="s">
        <v>4456</v>
      </c>
      <c r="M684" s="10"/>
      <c r="N684" s="12"/>
      <c r="O684" s="12"/>
      <c r="P684" s="13">
        <f>IFERROR(__xludf.DUMMYFUNCTION("VALUE(SUBSTITUTE((INDEX(SPLIT(A684,"",""),1)),""."","","",1))"),59.821245)</f>
        <v>59.821245</v>
      </c>
      <c r="Q684" s="13">
        <f>IFERROR(__xludf.DUMMYFUNCTION("VALUE(SUBSTITUTE((INDEX(SPLIT(A684,"",""),2)),""."","","",1))"),30.360173)</f>
        <v>30.360173</v>
      </c>
      <c r="R684" s="14" t="b">
        <f t="shared" si="1"/>
        <v>0</v>
      </c>
      <c r="S684" s="14" t="str">
        <f t="shared" si="2"/>
        <v>59.821245,30.360173</v>
      </c>
      <c r="T684" s="12"/>
    </row>
    <row r="685">
      <c r="A685" s="20" t="s">
        <v>4450</v>
      </c>
      <c r="B685" s="16" t="s">
        <v>4457</v>
      </c>
      <c r="C685" s="16" t="s">
        <v>4458</v>
      </c>
      <c r="D685" s="16" t="s">
        <v>16</v>
      </c>
      <c r="E685" s="21" t="s">
        <v>4459</v>
      </c>
      <c r="F685" s="22" t="s">
        <v>3169</v>
      </c>
      <c r="G685" s="16">
        <v>23.61</v>
      </c>
      <c r="H685" s="16"/>
      <c r="I685" s="22"/>
      <c r="J685" s="22" t="s">
        <v>4460</v>
      </c>
      <c r="K685" s="22" t="s">
        <v>4461</v>
      </c>
      <c r="L685" s="23" t="s">
        <v>4462</v>
      </c>
      <c r="M685" s="22"/>
      <c r="N685" s="12"/>
      <c r="O685" s="12"/>
      <c r="P685" s="13">
        <f>IFERROR(__xludf.DUMMYFUNCTION("VALUE(SUBSTITUTE((INDEX(SPLIT(A685,"",""),1)),""."","","",1))"),59.821245)</f>
        <v>59.821245</v>
      </c>
      <c r="Q685" s="13">
        <f>IFERROR(__xludf.DUMMYFUNCTION("VALUE(SUBSTITUTE((INDEX(SPLIT(A685,"",""),2)),""."","","",1))"),30.360173)</f>
        <v>30.360173</v>
      </c>
      <c r="R685" s="14" t="b">
        <f t="shared" si="1"/>
        <v>0</v>
      </c>
      <c r="S685" s="14" t="str">
        <f t="shared" si="2"/>
        <v>59.821245,30.360173</v>
      </c>
      <c r="T685" s="12"/>
    </row>
    <row r="686">
      <c r="A686" s="7" t="s">
        <v>4463</v>
      </c>
      <c r="B686" s="8" t="s">
        <v>4464</v>
      </c>
      <c r="C686" s="8" t="s">
        <v>4465</v>
      </c>
      <c r="D686" s="8" t="s">
        <v>16</v>
      </c>
      <c r="E686" s="9" t="s">
        <v>4466</v>
      </c>
      <c r="F686" s="10" t="s">
        <v>3169</v>
      </c>
      <c r="G686" s="8">
        <v>23.61</v>
      </c>
      <c r="H686" s="8"/>
      <c r="I686" s="10"/>
      <c r="J686" s="10" t="s">
        <v>4467</v>
      </c>
      <c r="K686" s="10" t="s">
        <v>4468</v>
      </c>
      <c r="L686" s="11" t="s">
        <v>4469</v>
      </c>
      <c r="M686" s="11" t="s">
        <v>4470</v>
      </c>
      <c r="N686" s="12"/>
      <c r="O686" s="12"/>
      <c r="P686" s="13">
        <f>IFERROR(__xludf.DUMMYFUNCTION("VALUE(SUBSTITUTE((INDEX(SPLIT(A686,"",""),1)),""."","","",1))"),59.731577)</f>
        <v>59.731577</v>
      </c>
      <c r="Q686" s="13">
        <f>IFERROR(__xludf.DUMMYFUNCTION("VALUE(SUBSTITUTE((INDEX(SPLIT(A686,"",""),2)),""."","","",1))"),30.368617)</f>
        <v>30.368617</v>
      </c>
      <c r="R686" s="14" t="b">
        <f t="shared" si="1"/>
        <v>0</v>
      </c>
      <c r="S686" s="14" t="str">
        <f t="shared" si="2"/>
        <v>59.731577,30.368617</v>
      </c>
      <c r="T686" s="12"/>
    </row>
    <row r="687">
      <c r="A687" s="15" t="s">
        <v>4471</v>
      </c>
      <c r="B687" s="16" t="s">
        <v>4472</v>
      </c>
      <c r="C687" s="16" t="s">
        <v>4473</v>
      </c>
      <c r="D687" s="16" t="s">
        <v>16</v>
      </c>
      <c r="E687" s="17" t="s">
        <v>4474</v>
      </c>
      <c r="F687" s="16" t="s">
        <v>3169</v>
      </c>
      <c r="G687" s="16">
        <v>23.61</v>
      </c>
      <c r="H687" s="16"/>
      <c r="I687" s="16"/>
      <c r="J687" s="16" t="s">
        <v>4475</v>
      </c>
      <c r="K687" s="16" t="s">
        <v>4476</v>
      </c>
      <c r="L687" s="16"/>
      <c r="M687" s="16"/>
      <c r="N687" s="12"/>
      <c r="O687" s="12"/>
      <c r="P687" s="13">
        <f>IFERROR(__xludf.DUMMYFUNCTION("VALUE(SUBSTITUTE((INDEX(SPLIT(A687,"",""),1)),""."","","",1))"),60.0727)</f>
        <v>60.0727</v>
      </c>
      <c r="Q687" s="13">
        <f>IFERROR(__xludf.DUMMYFUNCTION("VALUE(SUBSTITUTE((INDEX(SPLIT(A687,"",""),2)),""."","","",1))"),30.373199)</f>
        <v>30.373199</v>
      </c>
      <c r="R687" s="14" t="b">
        <f t="shared" si="1"/>
        <v>0</v>
      </c>
      <c r="S687" s="14" t="str">
        <f t="shared" si="2"/>
        <v>60.0727,30.373199</v>
      </c>
      <c r="T687" s="12"/>
    </row>
    <row r="688">
      <c r="A688" s="18" t="s">
        <v>4477</v>
      </c>
      <c r="B688" s="8" t="s">
        <v>4478</v>
      </c>
      <c r="C688" s="8" t="s">
        <v>4479</v>
      </c>
      <c r="D688" s="8" t="s">
        <v>16</v>
      </c>
      <c r="E688" s="19" t="s">
        <v>4480</v>
      </c>
      <c r="F688" s="8" t="s">
        <v>3169</v>
      </c>
      <c r="G688" s="8">
        <v>23.61</v>
      </c>
      <c r="H688" s="8"/>
      <c r="I688" s="8"/>
      <c r="J688" s="8" t="s">
        <v>4481</v>
      </c>
      <c r="K688" s="8" t="s">
        <v>4482</v>
      </c>
      <c r="L688" s="8"/>
      <c r="M688" s="8"/>
      <c r="N688" s="12"/>
      <c r="O688" s="12"/>
      <c r="P688" s="13">
        <f>IFERROR(__xludf.DUMMYFUNCTION("VALUE(SUBSTITUTE((INDEX(SPLIT(A688,"",""),1)),""."","","",1))"),59.807138)</f>
        <v>59.807138</v>
      </c>
      <c r="Q688" s="13">
        <f>IFERROR(__xludf.DUMMYFUNCTION("VALUE(SUBSTITUTE((INDEX(SPLIT(A688,"",""),2)),""."","","",1))"),30.374088)</f>
        <v>30.374088</v>
      </c>
      <c r="R688" s="14" t="b">
        <f t="shared" si="1"/>
        <v>0</v>
      </c>
      <c r="S688" s="14" t="str">
        <f t="shared" si="2"/>
        <v>59.807138,30.374088</v>
      </c>
      <c r="T688" s="12"/>
    </row>
    <row r="689">
      <c r="A689" s="15" t="s">
        <v>4483</v>
      </c>
      <c r="B689" s="16" t="s">
        <v>4484</v>
      </c>
      <c r="C689" s="16" t="s">
        <v>4485</v>
      </c>
      <c r="D689" s="16" t="s">
        <v>16</v>
      </c>
      <c r="E689" s="17" t="s">
        <v>4486</v>
      </c>
      <c r="F689" s="16" t="s">
        <v>3169</v>
      </c>
      <c r="G689" s="16">
        <v>23.61</v>
      </c>
      <c r="H689" s="16"/>
      <c r="I689" s="16"/>
      <c r="J689" s="16" t="s">
        <v>4487</v>
      </c>
      <c r="K689" s="16" t="s">
        <v>4488</v>
      </c>
      <c r="L689" s="16"/>
      <c r="M689" s="16"/>
      <c r="N689" s="12"/>
      <c r="O689" s="12"/>
      <c r="P689" s="13">
        <f>IFERROR(__xludf.DUMMYFUNCTION("VALUE(SUBSTITUTE((INDEX(SPLIT(A689,"",""),1)),""."","","",1))"),59.935759)</f>
        <v>59.935759</v>
      </c>
      <c r="Q689" s="13">
        <f>IFERROR(__xludf.DUMMYFUNCTION("VALUE(SUBSTITUTE((INDEX(SPLIT(A689,"",""),2)),""."","","",1))"),30.374519)</f>
        <v>30.374519</v>
      </c>
      <c r="R689" s="14" t="b">
        <f t="shared" si="1"/>
        <v>0</v>
      </c>
      <c r="S689" s="14" t="str">
        <f t="shared" si="2"/>
        <v>59.935759,30.374519</v>
      </c>
      <c r="T689" s="12"/>
    </row>
    <row r="690">
      <c r="A690" s="7" t="s">
        <v>4489</v>
      </c>
      <c r="B690" s="8" t="s">
        <v>4490</v>
      </c>
      <c r="C690" s="8" t="s">
        <v>4491</v>
      </c>
      <c r="D690" s="8" t="s">
        <v>16</v>
      </c>
      <c r="E690" s="9" t="s">
        <v>4492</v>
      </c>
      <c r="F690" s="10" t="s">
        <v>3169</v>
      </c>
      <c r="G690" s="8">
        <v>23.61</v>
      </c>
      <c r="H690" s="8"/>
      <c r="I690" s="10"/>
      <c r="J690" s="10" t="s">
        <v>4493</v>
      </c>
      <c r="K690" s="10" t="s">
        <v>4494</v>
      </c>
      <c r="L690" s="11" t="s">
        <v>4495</v>
      </c>
      <c r="M690" s="11" t="s">
        <v>3682</v>
      </c>
      <c r="N690" s="12"/>
      <c r="O690" s="12"/>
      <c r="P690" s="13">
        <f>IFERROR(__xludf.DUMMYFUNCTION("VALUE(SUBSTITUTE((INDEX(SPLIT(A690,"",""),1)),""."","","",1))"),59.917222)</f>
        <v>59.917222</v>
      </c>
      <c r="Q690" s="13">
        <f>IFERROR(__xludf.DUMMYFUNCTION("VALUE(SUBSTITUTE((INDEX(SPLIT(A690,"",""),2)),""."","","",1))"),30.374986)</f>
        <v>30.374986</v>
      </c>
      <c r="R690" s="14" t="b">
        <f t="shared" si="1"/>
        <v>0</v>
      </c>
      <c r="S690" s="14" t="str">
        <f t="shared" si="2"/>
        <v>59.917222,30.374986</v>
      </c>
      <c r="T690" s="12"/>
    </row>
    <row r="691">
      <c r="A691" s="20" t="s">
        <v>4496</v>
      </c>
      <c r="B691" s="16" t="s">
        <v>4497</v>
      </c>
      <c r="C691" s="16" t="s">
        <v>4498</v>
      </c>
      <c r="D691" s="16" t="s">
        <v>16</v>
      </c>
      <c r="E691" s="21" t="s">
        <v>4499</v>
      </c>
      <c r="F691" s="22" t="s">
        <v>3169</v>
      </c>
      <c r="G691" s="16">
        <v>23.61</v>
      </c>
      <c r="H691" s="16"/>
      <c r="I691" s="22"/>
      <c r="J691" s="22" t="s">
        <v>4500</v>
      </c>
      <c r="K691" s="22" t="s">
        <v>4501</v>
      </c>
      <c r="L691" s="23" t="s">
        <v>4502</v>
      </c>
      <c r="M691" s="23" t="s">
        <v>4503</v>
      </c>
      <c r="N691" s="12"/>
      <c r="O691" s="12"/>
      <c r="P691" s="13">
        <f>IFERROR(__xludf.DUMMYFUNCTION("VALUE(SUBSTITUTE((INDEX(SPLIT(A691,"",""),1)),""."","","",1))"),59.981073)</f>
        <v>59.981073</v>
      </c>
      <c r="Q691" s="13">
        <f>IFERROR(__xludf.DUMMYFUNCTION("VALUE(SUBSTITUTE((INDEX(SPLIT(A691,"",""),2)),""."","","",1))"),30.378813)</f>
        <v>30.378813</v>
      </c>
      <c r="R691" s="14" t="b">
        <f t="shared" si="1"/>
        <v>0</v>
      </c>
      <c r="S691" s="14" t="str">
        <f t="shared" si="2"/>
        <v>59.981073,30.378813</v>
      </c>
      <c r="T691" s="12"/>
    </row>
    <row r="692">
      <c r="A692" s="18" t="s">
        <v>4504</v>
      </c>
      <c r="B692" s="8" t="s">
        <v>4505</v>
      </c>
      <c r="C692" s="8" t="s">
        <v>3835</v>
      </c>
      <c r="D692" s="8" t="s">
        <v>16</v>
      </c>
      <c r="E692" s="19" t="s">
        <v>4506</v>
      </c>
      <c r="F692" s="8" t="s">
        <v>3169</v>
      </c>
      <c r="G692" s="8">
        <v>23.61</v>
      </c>
      <c r="H692" s="8"/>
      <c r="I692" s="8"/>
      <c r="J692" s="8" t="s">
        <v>4507</v>
      </c>
      <c r="K692" s="8" t="s">
        <v>4508</v>
      </c>
      <c r="L692" s="8"/>
      <c r="M692" s="24" t="s">
        <v>4509</v>
      </c>
      <c r="N692" s="12"/>
      <c r="O692" s="12"/>
      <c r="P692" s="13">
        <f>IFERROR(__xludf.DUMMYFUNCTION("VALUE(SUBSTITUTE((INDEX(SPLIT(A692,"",""),1)),""."","","",1))"),59.965331)</f>
        <v>59.965331</v>
      </c>
      <c r="Q692" s="13">
        <f>IFERROR(__xludf.DUMMYFUNCTION("VALUE(SUBSTITUTE((INDEX(SPLIT(A692,"",""),2)),""."","","",1))"),30.383287)</f>
        <v>30.383287</v>
      </c>
      <c r="R692" s="14" t="b">
        <f t="shared" si="1"/>
        <v>0</v>
      </c>
      <c r="S692" s="14" t="str">
        <f t="shared" si="2"/>
        <v>59.965331,30.383287</v>
      </c>
      <c r="T692" s="12"/>
    </row>
    <row r="693">
      <c r="A693" s="20" t="s">
        <v>4510</v>
      </c>
      <c r="B693" s="16" t="s">
        <v>4511</v>
      </c>
      <c r="C693" s="16" t="s">
        <v>4512</v>
      </c>
      <c r="D693" s="16" t="s">
        <v>16</v>
      </c>
      <c r="E693" s="21" t="s">
        <v>4513</v>
      </c>
      <c r="F693" s="22" t="s">
        <v>3169</v>
      </c>
      <c r="G693" s="16">
        <v>23.61</v>
      </c>
      <c r="H693" s="16"/>
      <c r="I693" s="22"/>
      <c r="J693" s="22" t="s">
        <v>4514</v>
      </c>
      <c r="K693" s="22" t="s">
        <v>4515</v>
      </c>
      <c r="L693" s="23" t="s">
        <v>4516</v>
      </c>
      <c r="M693" s="22"/>
      <c r="N693" s="12"/>
      <c r="O693" s="12"/>
      <c r="P693" s="13">
        <f>IFERROR(__xludf.DUMMYFUNCTION("VALUE(SUBSTITUTE((INDEX(SPLIT(A693,"",""),1)),""."","","",1))"),59.889742)</f>
        <v>59.889742</v>
      </c>
      <c r="Q693" s="13">
        <f>IFERROR(__xludf.DUMMYFUNCTION("VALUE(SUBSTITUTE((INDEX(SPLIT(A693,"",""),2)),""."","","",1))"),30.383924)</f>
        <v>30.383924</v>
      </c>
      <c r="R693" s="14" t="b">
        <f t="shared" si="1"/>
        <v>0</v>
      </c>
      <c r="S693" s="14" t="str">
        <f t="shared" si="2"/>
        <v>59.889742,30.383924</v>
      </c>
      <c r="T693" s="12"/>
    </row>
    <row r="694">
      <c r="A694" s="7" t="s">
        <v>4517</v>
      </c>
      <c r="B694" s="8" t="s">
        <v>2979</v>
      </c>
      <c r="C694" s="8" t="s">
        <v>2980</v>
      </c>
      <c r="D694" s="8" t="s">
        <v>16</v>
      </c>
      <c r="E694" s="9" t="s">
        <v>4518</v>
      </c>
      <c r="F694" s="10" t="s">
        <v>3169</v>
      </c>
      <c r="G694" s="8">
        <v>23.61</v>
      </c>
      <c r="H694" s="8"/>
      <c r="I694" s="10"/>
      <c r="J694" s="10" t="s">
        <v>4519</v>
      </c>
      <c r="K694" s="10" t="s">
        <v>4520</v>
      </c>
      <c r="L694" s="11" t="s">
        <v>4521</v>
      </c>
      <c r="M694" s="10"/>
      <c r="N694" s="12"/>
      <c r="O694" s="12"/>
      <c r="P694" s="13">
        <f>IFERROR(__xludf.DUMMYFUNCTION("VALUE(SUBSTITUTE((INDEX(SPLIT(A694,"",""),1)),""."","","",1))"),59.873803)</f>
        <v>59.873803</v>
      </c>
      <c r="Q694" s="13">
        <f>IFERROR(__xludf.DUMMYFUNCTION("VALUE(SUBSTITUTE((INDEX(SPLIT(A694,"",""),2)),""."","","",1))"),30.384508)</f>
        <v>30.384508</v>
      </c>
      <c r="R694" s="14" t="b">
        <f t="shared" si="1"/>
        <v>0</v>
      </c>
      <c r="S694" s="14" t="str">
        <f t="shared" si="2"/>
        <v>59.873803,30.384508</v>
      </c>
      <c r="T694" s="12"/>
    </row>
    <row r="695">
      <c r="A695" s="20" t="s">
        <v>4522</v>
      </c>
      <c r="B695" s="16" t="s">
        <v>4523</v>
      </c>
      <c r="C695" s="16" t="s">
        <v>4524</v>
      </c>
      <c r="D695" s="16" t="s">
        <v>16</v>
      </c>
      <c r="E695" s="21" t="s">
        <v>4525</v>
      </c>
      <c r="F695" s="22" t="s">
        <v>3169</v>
      </c>
      <c r="G695" s="16">
        <v>23.61</v>
      </c>
      <c r="H695" s="16"/>
      <c r="I695" s="22"/>
      <c r="J695" s="22" t="s">
        <v>4526</v>
      </c>
      <c r="K695" s="22" t="s">
        <v>4527</v>
      </c>
      <c r="L695" s="23" t="s">
        <v>4528</v>
      </c>
      <c r="M695" s="23" t="s">
        <v>4529</v>
      </c>
      <c r="N695" s="12"/>
      <c r="O695" s="12"/>
      <c r="P695" s="13">
        <f>IFERROR(__xludf.DUMMYFUNCTION("VALUE(SUBSTITUTE((INDEX(SPLIT(A695,"",""),1)),""."","","",1))"),59.82978)</f>
        <v>59.82978</v>
      </c>
      <c r="Q695" s="13">
        <f>IFERROR(__xludf.DUMMYFUNCTION("VALUE(SUBSTITUTE((INDEX(SPLIT(A695,"",""),2)),""."","","",1))"),30.385604)</f>
        <v>30.385604</v>
      </c>
      <c r="R695" s="14" t="b">
        <f t="shared" si="1"/>
        <v>0</v>
      </c>
      <c r="S695" s="14" t="str">
        <f t="shared" si="2"/>
        <v>59.82978,30.385604</v>
      </c>
      <c r="T695" s="12"/>
    </row>
    <row r="696">
      <c r="A696" s="7" t="s">
        <v>4530</v>
      </c>
      <c r="B696" s="8" t="s">
        <v>4531</v>
      </c>
      <c r="C696" s="8" t="s">
        <v>4532</v>
      </c>
      <c r="D696" s="8" t="s">
        <v>16</v>
      </c>
      <c r="E696" s="9" t="s">
        <v>4533</v>
      </c>
      <c r="F696" s="10" t="s">
        <v>3169</v>
      </c>
      <c r="G696" s="8">
        <v>23.61</v>
      </c>
      <c r="H696" s="8"/>
      <c r="I696" s="10"/>
      <c r="J696" s="10" t="s">
        <v>4534</v>
      </c>
      <c r="K696" s="10" t="s">
        <v>4535</v>
      </c>
      <c r="L696" s="11" t="s">
        <v>4536</v>
      </c>
      <c r="M696" s="10"/>
      <c r="N696" s="12"/>
      <c r="O696" s="12"/>
      <c r="P696" s="13">
        <f>IFERROR(__xludf.DUMMYFUNCTION("VALUE(SUBSTITUTE((INDEX(SPLIT(A696,"",""),1)),""."","","",1))"),60.015035)</f>
        <v>60.015035</v>
      </c>
      <c r="Q696" s="13">
        <f>IFERROR(__xludf.DUMMYFUNCTION("VALUE(SUBSTITUTE((INDEX(SPLIT(A696,"",""),2)),""."","","",1))"),30.386431)</f>
        <v>30.386431</v>
      </c>
      <c r="R696" s="14" t="b">
        <f t="shared" si="1"/>
        <v>0</v>
      </c>
      <c r="S696" s="14" t="str">
        <f t="shared" si="2"/>
        <v>60.015035,30.386431</v>
      </c>
      <c r="T696" s="12"/>
    </row>
    <row r="697">
      <c r="A697" s="15" t="s">
        <v>4537</v>
      </c>
      <c r="B697" s="16" t="s">
        <v>4538</v>
      </c>
      <c r="C697" s="16" t="s">
        <v>4539</v>
      </c>
      <c r="D697" s="16" t="s">
        <v>16</v>
      </c>
      <c r="E697" s="17" t="s">
        <v>4540</v>
      </c>
      <c r="F697" s="16" t="s">
        <v>3169</v>
      </c>
      <c r="G697" s="16">
        <v>23.61</v>
      </c>
      <c r="H697" s="16"/>
      <c r="I697" s="16"/>
      <c r="J697" s="16" t="s">
        <v>4541</v>
      </c>
      <c r="K697" s="16" t="s">
        <v>4542</v>
      </c>
      <c r="L697" s="16"/>
      <c r="M697" s="25" t="s">
        <v>4543</v>
      </c>
      <c r="N697" s="12"/>
      <c r="O697" s="12"/>
      <c r="P697" s="13">
        <f>IFERROR(__xludf.DUMMYFUNCTION("VALUE(SUBSTITUTE((INDEX(SPLIT(A697,"",""),1)),""."","","",1))"),59.967079)</f>
        <v>59.967079</v>
      </c>
      <c r="Q697" s="13">
        <f>IFERROR(__xludf.DUMMYFUNCTION("VALUE(SUBSTITUTE((INDEX(SPLIT(A697,"",""),2)),""."","","",1))"),30.38812)</f>
        <v>30.38812</v>
      </c>
      <c r="R697" s="14" t="b">
        <f t="shared" si="1"/>
        <v>0</v>
      </c>
      <c r="S697" s="14" t="str">
        <f t="shared" si="2"/>
        <v>59.967079,30.38812</v>
      </c>
      <c r="T697" s="12"/>
    </row>
    <row r="698">
      <c r="A698" s="18" t="s">
        <v>4544</v>
      </c>
      <c r="B698" s="8" t="s">
        <v>4545</v>
      </c>
      <c r="C698" s="8" t="s">
        <v>4546</v>
      </c>
      <c r="D698" s="8" t="s">
        <v>16</v>
      </c>
      <c r="E698" s="19" t="s">
        <v>4547</v>
      </c>
      <c r="F698" s="8" t="s">
        <v>3169</v>
      </c>
      <c r="G698" s="8">
        <v>23.61</v>
      </c>
      <c r="H698" s="8"/>
      <c r="I698" s="8"/>
      <c r="J698" s="8" t="s">
        <v>4548</v>
      </c>
      <c r="K698" s="8" t="s">
        <v>4549</v>
      </c>
      <c r="L698" s="8"/>
      <c r="M698" s="8"/>
      <c r="N698" s="12"/>
      <c r="O698" s="12"/>
      <c r="P698" s="13">
        <f>IFERROR(__xludf.DUMMYFUNCTION("VALUE(SUBSTITUTE((INDEX(SPLIT(A698,"",""),1)),""."","","",1))"),59.910149)</f>
        <v>59.910149</v>
      </c>
      <c r="Q698" s="13">
        <f>IFERROR(__xludf.DUMMYFUNCTION("VALUE(SUBSTITUTE((INDEX(SPLIT(A698,"",""),2)),""."","","",1))"),30.388623)</f>
        <v>30.388623</v>
      </c>
      <c r="R698" s="14" t="b">
        <f t="shared" si="1"/>
        <v>0</v>
      </c>
      <c r="S698" s="14" t="str">
        <f t="shared" si="2"/>
        <v>59.910149,30.388623</v>
      </c>
      <c r="T698" s="12"/>
    </row>
    <row r="699">
      <c r="A699" s="20" t="s">
        <v>4550</v>
      </c>
      <c r="B699" s="16" t="s">
        <v>4551</v>
      </c>
      <c r="C699" s="16" t="s">
        <v>4552</v>
      </c>
      <c r="D699" s="16" t="s">
        <v>16</v>
      </c>
      <c r="E699" s="21" t="s">
        <v>4553</v>
      </c>
      <c r="F699" s="22" t="s">
        <v>3169</v>
      </c>
      <c r="G699" s="16">
        <v>23.61</v>
      </c>
      <c r="H699" s="16"/>
      <c r="I699" s="22"/>
      <c r="J699" s="22" t="s">
        <v>4554</v>
      </c>
      <c r="K699" s="22" t="s">
        <v>4555</v>
      </c>
      <c r="L699" s="23" t="s">
        <v>4556</v>
      </c>
      <c r="M699" s="22"/>
      <c r="N699" s="12"/>
      <c r="O699" s="12"/>
      <c r="P699" s="13">
        <f>IFERROR(__xludf.DUMMYFUNCTION("VALUE(SUBSTITUTE((INDEX(SPLIT(A699,"",""),1)),""."","","",1))"),59.884307)</f>
        <v>59.884307</v>
      </c>
      <c r="Q699" s="13">
        <f>IFERROR(__xludf.DUMMYFUNCTION("VALUE(SUBSTITUTE((INDEX(SPLIT(A699,"",""),2)),""."","","",1))"),30.38935)</f>
        <v>30.38935</v>
      </c>
      <c r="R699" s="14" t="b">
        <f t="shared" si="1"/>
        <v>0</v>
      </c>
      <c r="S699" s="14" t="str">
        <f t="shared" si="2"/>
        <v>59.884307,30.38935</v>
      </c>
      <c r="T699" s="12"/>
    </row>
    <row r="700">
      <c r="A700" s="18" t="s">
        <v>4557</v>
      </c>
      <c r="B700" s="8" t="s">
        <v>4558</v>
      </c>
      <c r="C700" s="8" t="s">
        <v>4559</v>
      </c>
      <c r="D700" s="8" t="s">
        <v>16</v>
      </c>
      <c r="E700" s="19" t="s">
        <v>4560</v>
      </c>
      <c r="F700" s="8" t="s">
        <v>3169</v>
      </c>
      <c r="G700" s="8">
        <v>23.61</v>
      </c>
      <c r="H700" s="8"/>
      <c r="I700" s="8"/>
      <c r="J700" s="8" t="s">
        <v>4561</v>
      </c>
      <c r="K700" s="8" t="s">
        <v>4562</v>
      </c>
      <c r="L700" s="8"/>
      <c r="M700" s="24" t="s">
        <v>4563</v>
      </c>
      <c r="N700" s="12"/>
      <c r="O700" s="12"/>
      <c r="P700" s="13">
        <f>IFERROR(__xludf.DUMMYFUNCTION("VALUE(SUBSTITUTE((INDEX(SPLIT(A700,"",""),1)),""."","","",1))"),59.91526)</f>
        <v>59.91526</v>
      </c>
      <c r="Q700" s="13">
        <f>IFERROR(__xludf.DUMMYFUNCTION("VALUE(SUBSTITUTE((INDEX(SPLIT(A700,"",""),2)),""."","","",1))"),30.389368)</f>
        <v>30.389368</v>
      </c>
      <c r="R700" s="14" t="b">
        <f t="shared" si="1"/>
        <v>0</v>
      </c>
      <c r="S700" s="14" t="str">
        <f t="shared" si="2"/>
        <v>59.91526,30.389368</v>
      </c>
      <c r="T700" s="12"/>
    </row>
    <row r="701">
      <c r="A701" s="20" t="s">
        <v>4564</v>
      </c>
      <c r="B701" s="16" t="s">
        <v>110</v>
      </c>
      <c r="C701" s="16" t="s">
        <v>111</v>
      </c>
      <c r="D701" s="16" t="s">
        <v>16</v>
      </c>
      <c r="E701" s="21" t="s">
        <v>4565</v>
      </c>
      <c r="F701" s="22" t="s">
        <v>3169</v>
      </c>
      <c r="G701" s="16">
        <v>23.61</v>
      </c>
      <c r="H701" s="16"/>
      <c r="I701" s="28" t="s">
        <v>4566</v>
      </c>
      <c r="J701" s="22" t="s">
        <v>4567</v>
      </c>
      <c r="K701" s="22" t="s">
        <v>3850</v>
      </c>
      <c r="L701" s="23" t="s">
        <v>4568</v>
      </c>
      <c r="M701" s="22"/>
      <c r="N701" s="12"/>
      <c r="O701" s="12"/>
      <c r="P701" s="13">
        <f>IFERROR(__xludf.DUMMYFUNCTION("VALUE(SUBSTITUTE((INDEX(SPLIT(A701,"",""),1)),""."","","",1))"),59.97577)</f>
        <v>59.97577</v>
      </c>
      <c r="Q701" s="13">
        <f>IFERROR(__xludf.DUMMYFUNCTION("VALUE(SUBSTITUTE((INDEX(SPLIT(A701,"",""),2)),""."","","",1))"),30.392036)</f>
        <v>30.392036</v>
      </c>
      <c r="R701" s="14" t="b">
        <f t="shared" si="1"/>
        <v>0</v>
      </c>
      <c r="S701" s="14" t="str">
        <f t="shared" si="2"/>
        <v>59.97577,30.392036</v>
      </c>
      <c r="T701" s="12"/>
    </row>
    <row r="702">
      <c r="A702" s="7" t="s">
        <v>4569</v>
      </c>
      <c r="B702" s="8" t="s">
        <v>4570</v>
      </c>
      <c r="C702" s="8" t="s">
        <v>4571</v>
      </c>
      <c r="D702" s="8" t="s">
        <v>16</v>
      </c>
      <c r="E702" s="9" t="s">
        <v>4572</v>
      </c>
      <c r="F702" s="10" t="s">
        <v>3169</v>
      </c>
      <c r="G702" s="8">
        <v>23.61</v>
      </c>
      <c r="H702" s="8"/>
      <c r="I702" s="10"/>
      <c r="J702" s="10" t="s">
        <v>4573</v>
      </c>
      <c r="K702" s="10" t="s">
        <v>4574</v>
      </c>
      <c r="L702" s="29" t="s">
        <v>4575</v>
      </c>
      <c r="M702" s="10"/>
      <c r="N702" s="12"/>
      <c r="O702" s="12"/>
      <c r="P702" s="13">
        <f>IFERROR(__xludf.DUMMYFUNCTION("VALUE(SUBSTITUTE((INDEX(SPLIT(A702,"",""),1)),""."","","",1))"),59.88246)</f>
        <v>59.88246</v>
      </c>
      <c r="Q702" s="13">
        <f>IFERROR(__xludf.DUMMYFUNCTION("VALUE(SUBSTITUTE((INDEX(SPLIT(A702,"",""),2)),""."","","",1))"),30.392387)</f>
        <v>30.392387</v>
      </c>
      <c r="R702" s="14" t="b">
        <f t="shared" si="1"/>
        <v>0</v>
      </c>
      <c r="S702" s="14" t="str">
        <f t="shared" si="2"/>
        <v>59.88246,30.392387</v>
      </c>
      <c r="T702" s="12"/>
    </row>
    <row r="703">
      <c r="A703" s="20" t="s">
        <v>4576</v>
      </c>
      <c r="B703" s="16" t="s">
        <v>4577</v>
      </c>
      <c r="C703" s="16" t="s">
        <v>4578</v>
      </c>
      <c r="D703" s="16" t="s">
        <v>16</v>
      </c>
      <c r="E703" s="21" t="s">
        <v>4579</v>
      </c>
      <c r="F703" s="22" t="s">
        <v>3169</v>
      </c>
      <c r="G703" s="16">
        <v>23.61</v>
      </c>
      <c r="H703" s="16"/>
      <c r="I703" s="22"/>
      <c r="J703" s="22" t="s">
        <v>4580</v>
      </c>
      <c r="K703" s="22" t="s">
        <v>4581</v>
      </c>
      <c r="L703" s="23" t="s">
        <v>4582</v>
      </c>
      <c r="M703" s="22"/>
      <c r="N703" s="12"/>
      <c r="O703" s="12"/>
      <c r="P703" s="13">
        <f>IFERROR(__xludf.DUMMYFUNCTION("VALUE(SUBSTITUTE((INDEX(SPLIT(A703,"",""),1)),""."","","",1))"),59.943895)</f>
        <v>59.943895</v>
      </c>
      <c r="Q703" s="13">
        <f>IFERROR(__xludf.DUMMYFUNCTION("VALUE(SUBSTITUTE((INDEX(SPLIT(A703,"",""),2)),""."","","",1))"),30.39342)</f>
        <v>30.39342</v>
      </c>
      <c r="R703" s="14" t="b">
        <f t="shared" si="1"/>
        <v>0</v>
      </c>
      <c r="S703" s="14" t="str">
        <f t="shared" si="2"/>
        <v>59.943895,30.39342</v>
      </c>
      <c r="T703" s="12"/>
    </row>
    <row r="704">
      <c r="A704" s="7" t="s">
        <v>4583</v>
      </c>
      <c r="B704" s="8" t="s">
        <v>4584</v>
      </c>
      <c r="C704" s="8" t="s">
        <v>4585</v>
      </c>
      <c r="D704" s="8" t="s">
        <v>16</v>
      </c>
      <c r="E704" s="9" t="s">
        <v>4586</v>
      </c>
      <c r="F704" s="10" t="s">
        <v>3169</v>
      </c>
      <c r="G704" s="8">
        <v>23.61</v>
      </c>
      <c r="H704" s="8"/>
      <c r="I704" s="10"/>
      <c r="J704" s="10" t="s">
        <v>4587</v>
      </c>
      <c r="K704" s="10" t="s">
        <v>4588</v>
      </c>
      <c r="L704" s="11" t="s">
        <v>4589</v>
      </c>
      <c r="M704" s="11" t="s">
        <v>4590</v>
      </c>
      <c r="N704" s="12"/>
      <c r="O704" s="12"/>
      <c r="P704" s="13">
        <f>IFERROR(__xludf.DUMMYFUNCTION("VALUE(SUBSTITUTE((INDEX(SPLIT(A704,"",""),1)),""."","","",1))"),59.88115)</f>
        <v>59.88115</v>
      </c>
      <c r="Q704" s="13">
        <f>IFERROR(__xludf.DUMMYFUNCTION("VALUE(SUBSTITUTE((INDEX(SPLIT(A704,"",""),2)),""."","","",1))"),30.397579)</f>
        <v>30.397579</v>
      </c>
      <c r="R704" s="14" t="b">
        <f t="shared" si="1"/>
        <v>0</v>
      </c>
      <c r="S704" s="14" t="str">
        <f t="shared" si="2"/>
        <v>59.88115,30.397579</v>
      </c>
      <c r="T704" s="12"/>
    </row>
    <row r="705">
      <c r="A705" s="20" t="s">
        <v>4591</v>
      </c>
      <c r="B705" s="16" t="s">
        <v>4592</v>
      </c>
      <c r="C705" s="16" t="s">
        <v>4593</v>
      </c>
      <c r="D705" s="16" t="s">
        <v>16</v>
      </c>
      <c r="E705" s="21" t="s">
        <v>4594</v>
      </c>
      <c r="F705" s="22" t="s">
        <v>3169</v>
      </c>
      <c r="G705" s="16">
        <v>23.61</v>
      </c>
      <c r="H705" s="16"/>
      <c r="I705" s="22"/>
      <c r="J705" s="22" t="s">
        <v>4595</v>
      </c>
      <c r="K705" s="22" t="s">
        <v>4596</v>
      </c>
      <c r="L705" s="23" t="s">
        <v>4597</v>
      </c>
      <c r="M705" s="22"/>
      <c r="N705" s="12"/>
      <c r="O705" s="12"/>
      <c r="P705" s="13">
        <f>IFERROR(__xludf.DUMMYFUNCTION("VALUE(SUBSTITUTE((INDEX(SPLIT(A705,"",""),1)),""."","","",1))"),59.914322)</f>
        <v>59.914322</v>
      </c>
      <c r="Q705" s="13">
        <f>IFERROR(__xludf.DUMMYFUNCTION("VALUE(SUBSTITUTE((INDEX(SPLIT(A705,"",""),2)),""."","","",1))"),30.397857)</f>
        <v>30.397857</v>
      </c>
      <c r="R705" s="14" t="b">
        <f t="shared" si="1"/>
        <v>0</v>
      </c>
      <c r="S705" s="14" t="str">
        <f t="shared" si="2"/>
        <v>59.914322,30.397857</v>
      </c>
      <c r="T705" s="12"/>
    </row>
    <row r="706">
      <c r="A706" s="18" t="s">
        <v>4598</v>
      </c>
      <c r="B706" s="8" t="s">
        <v>4599</v>
      </c>
      <c r="C706" s="8" t="s">
        <v>4600</v>
      </c>
      <c r="D706" s="8" t="s">
        <v>16</v>
      </c>
      <c r="E706" s="19" t="s">
        <v>4601</v>
      </c>
      <c r="F706" s="8" t="s">
        <v>3169</v>
      </c>
      <c r="G706" s="8">
        <v>23.61</v>
      </c>
      <c r="H706" s="8"/>
      <c r="I706" s="8"/>
      <c r="J706" s="8" t="s">
        <v>4602</v>
      </c>
      <c r="K706" s="8" t="s">
        <v>4603</v>
      </c>
      <c r="L706" s="8"/>
      <c r="M706" s="8"/>
      <c r="N706" s="12"/>
      <c r="O706" s="12"/>
      <c r="P706" s="13">
        <f>IFERROR(__xludf.DUMMYFUNCTION("VALUE(SUBSTITUTE((INDEX(SPLIT(A706,"",""),1)),""."","","",1))"),59.978692)</f>
        <v>59.978692</v>
      </c>
      <c r="Q706" s="13">
        <f>IFERROR(__xludf.DUMMYFUNCTION("VALUE(SUBSTITUTE((INDEX(SPLIT(A706,"",""),2)),""."","","",1))"),30.398585)</f>
        <v>30.398585</v>
      </c>
      <c r="R706" s="14" t="b">
        <f t="shared" si="1"/>
        <v>0</v>
      </c>
      <c r="S706" s="14" t="str">
        <f t="shared" si="2"/>
        <v>59.978692,30.398585</v>
      </c>
      <c r="T706" s="12"/>
    </row>
    <row r="707">
      <c r="A707" s="15" t="s">
        <v>4604</v>
      </c>
      <c r="B707" s="16" t="s">
        <v>4605</v>
      </c>
      <c r="C707" s="16" t="s">
        <v>4606</v>
      </c>
      <c r="D707" s="16" t="s">
        <v>16</v>
      </c>
      <c r="E707" s="17" t="s">
        <v>4607</v>
      </c>
      <c r="F707" s="16" t="s">
        <v>3169</v>
      </c>
      <c r="G707" s="16">
        <v>23.61</v>
      </c>
      <c r="H707" s="16"/>
      <c r="I707" s="16"/>
      <c r="J707" s="16" t="s">
        <v>4608</v>
      </c>
      <c r="K707" s="16" t="s">
        <v>4203</v>
      </c>
      <c r="L707" s="16"/>
      <c r="M707" s="16"/>
      <c r="N707" s="12"/>
      <c r="O707" s="12"/>
      <c r="P707" s="13">
        <f>IFERROR(__xludf.DUMMYFUNCTION("VALUE(SUBSTITUTE((INDEX(SPLIT(A707,"",""),1)),""."","","",1))"),59.900137)</f>
        <v>59.900137</v>
      </c>
      <c r="Q707" s="13">
        <f>IFERROR(__xludf.DUMMYFUNCTION("VALUE(SUBSTITUTE((INDEX(SPLIT(A707,"",""),2)),""."","","",1))"),30.401954)</f>
        <v>30.401954</v>
      </c>
      <c r="R707" s="14" t="b">
        <f t="shared" si="1"/>
        <v>0</v>
      </c>
      <c r="S707" s="14" t="str">
        <f t="shared" si="2"/>
        <v>59.900137,30.401954</v>
      </c>
      <c r="T707" s="12"/>
    </row>
    <row r="708">
      <c r="A708" s="18" t="s">
        <v>4609</v>
      </c>
      <c r="B708" s="8" t="s">
        <v>4610</v>
      </c>
      <c r="C708" s="8" t="s">
        <v>4611</v>
      </c>
      <c r="D708" s="8" t="s">
        <v>16</v>
      </c>
      <c r="E708" s="19" t="s">
        <v>4612</v>
      </c>
      <c r="F708" s="8" t="s">
        <v>3169</v>
      </c>
      <c r="G708" s="8">
        <v>23.61</v>
      </c>
      <c r="H708" s="8"/>
      <c r="I708" s="8"/>
      <c r="J708" s="8" t="s">
        <v>4613</v>
      </c>
      <c r="K708" s="8" t="s">
        <v>4614</v>
      </c>
      <c r="L708" s="8"/>
      <c r="M708" s="8"/>
      <c r="N708" s="12"/>
      <c r="O708" s="12"/>
      <c r="P708" s="13">
        <f>IFERROR(__xludf.DUMMYFUNCTION("VALUE(SUBSTITUTE((INDEX(SPLIT(A708,"",""),1)),""."","","",1))"),59.719814)</f>
        <v>59.719814</v>
      </c>
      <c r="Q708" s="13">
        <f>IFERROR(__xludf.DUMMYFUNCTION("VALUE(SUBSTITUTE((INDEX(SPLIT(A708,"",""),2)),""."","","",1))"),30.402511)</f>
        <v>30.402511</v>
      </c>
      <c r="R708" s="14" t="b">
        <f t="shared" si="1"/>
        <v>0</v>
      </c>
      <c r="S708" s="14" t="str">
        <f t="shared" si="2"/>
        <v>59.719814,30.402511</v>
      </c>
      <c r="T708" s="12"/>
    </row>
    <row r="709">
      <c r="A709" s="15" t="s">
        <v>4615</v>
      </c>
      <c r="B709" s="16" t="s">
        <v>4616</v>
      </c>
      <c r="C709" s="16" t="s">
        <v>4617</v>
      </c>
      <c r="D709" s="16" t="s">
        <v>16</v>
      </c>
      <c r="E709" s="17" t="s">
        <v>4618</v>
      </c>
      <c r="F709" s="16" t="s">
        <v>3169</v>
      </c>
      <c r="G709" s="16">
        <v>23.61</v>
      </c>
      <c r="H709" s="16"/>
      <c r="I709" s="16"/>
      <c r="J709" s="16" t="s">
        <v>4619</v>
      </c>
      <c r="K709" s="16" t="s">
        <v>4620</v>
      </c>
      <c r="L709" s="16"/>
      <c r="M709" s="16"/>
      <c r="N709" s="12"/>
      <c r="O709" s="12"/>
      <c r="P709" s="13">
        <f>IFERROR(__xludf.DUMMYFUNCTION("VALUE(SUBSTITUTE((INDEX(SPLIT(A709,"",""),1)),""."","","",1))"),59.907988)</f>
        <v>59.907988</v>
      </c>
      <c r="Q709" s="13">
        <f>IFERROR(__xludf.DUMMYFUNCTION("VALUE(SUBSTITUTE((INDEX(SPLIT(A709,"",""),2)),""."","","",1))"),30.402511)</f>
        <v>30.402511</v>
      </c>
      <c r="R709" s="14" t="b">
        <f t="shared" si="1"/>
        <v>0</v>
      </c>
      <c r="S709" s="14" t="str">
        <f t="shared" si="2"/>
        <v>59.907988,30.402511</v>
      </c>
      <c r="T709" s="12"/>
    </row>
    <row r="710">
      <c r="A710" s="18" t="s">
        <v>4621</v>
      </c>
      <c r="B710" s="8" t="s">
        <v>4622</v>
      </c>
      <c r="C710" s="8" t="s">
        <v>4623</v>
      </c>
      <c r="D710" s="8" t="s">
        <v>16</v>
      </c>
      <c r="E710" s="19" t="s">
        <v>4624</v>
      </c>
      <c r="F710" s="8" t="s">
        <v>3169</v>
      </c>
      <c r="G710" s="8">
        <v>23.61</v>
      </c>
      <c r="H710" s="8"/>
      <c r="I710" s="8"/>
      <c r="J710" s="8" t="s">
        <v>4625</v>
      </c>
      <c r="K710" s="8" t="s">
        <v>4626</v>
      </c>
      <c r="L710" s="8"/>
      <c r="M710" s="8"/>
      <c r="N710" s="12"/>
      <c r="O710" s="12"/>
      <c r="P710" s="13">
        <f>IFERROR(__xludf.DUMMYFUNCTION("VALUE(SUBSTITUTE((INDEX(SPLIT(A710,"",""),1)),""."","","",1))"),60.028775)</f>
        <v>60.028775</v>
      </c>
      <c r="Q710" s="13">
        <f>IFERROR(__xludf.DUMMYFUNCTION("VALUE(SUBSTITUTE((INDEX(SPLIT(A710,"",""),2)),""."","","",1))"),30.403077)</f>
        <v>30.403077</v>
      </c>
      <c r="R710" s="14" t="b">
        <f t="shared" si="1"/>
        <v>0</v>
      </c>
      <c r="S710" s="14" t="str">
        <f t="shared" si="2"/>
        <v>60.028775,30.403077</v>
      </c>
      <c r="T710" s="12"/>
    </row>
    <row r="711">
      <c r="A711" s="15" t="s">
        <v>4627</v>
      </c>
      <c r="B711" s="16" t="s">
        <v>4628</v>
      </c>
      <c r="C711" s="16" t="s">
        <v>4629</v>
      </c>
      <c r="D711" s="16" t="s">
        <v>16</v>
      </c>
      <c r="E711" s="17" t="s">
        <v>4630</v>
      </c>
      <c r="F711" s="16" t="s">
        <v>3169</v>
      </c>
      <c r="G711" s="16">
        <v>23.61</v>
      </c>
      <c r="H711" s="16"/>
      <c r="I711" s="16"/>
      <c r="J711" s="16" t="s">
        <v>4631</v>
      </c>
      <c r="K711" s="16" t="s">
        <v>4632</v>
      </c>
      <c r="L711" s="16"/>
      <c r="M711" s="25" t="s">
        <v>4633</v>
      </c>
      <c r="N711" s="12"/>
      <c r="O711" s="12"/>
      <c r="P711" s="13">
        <f>IFERROR(__xludf.DUMMYFUNCTION("VALUE(SUBSTITUTE((INDEX(SPLIT(A711,"",""),1)),""."","","",1))"),59.722005)</f>
        <v>59.722005</v>
      </c>
      <c r="Q711" s="13">
        <f>IFERROR(__xludf.DUMMYFUNCTION("VALUE(SUBSTITUTE((INDEX(SPLIT(A711,"",""),2)),""."","","",1))"),30.404738)</f>
        <v>30.404738</v>
      </c>
      <c r="R711" s="14" t="b">
        <f t="shared" si="1"/>
        <v>0</v>
      </c>
      <c r="S711" s="14" t="str">
        <f t="shared" si="2"/>
        <v>59.722005,30.404738</v>
      </c>
      <c r="T711" s="12"/>
    </row>
    <row r="712">
      <c r="A712" s="18" t="s">
        <v>4634</v>
      </c>
      <c r="B712" s="8" t="s">
        <v>4635</v>
      </c>
      <c r="C712" s="8" t="s">
        <v>4636</v>
      </c>
      <c r="D712" s="8" t="s">
        <v>16</v>
      </c>
      <c r="E712" s="19" t="s">
        <v>4637</v>
      </c>
      <c r="F712" s="8" t="s">
        <v>3169</v>
      </c>
      <c r="G712" s="8">
        <v>23.61</v>
      </c>
      <c r="H712" s="8"/>
      <c r="I712" s="8"/>
      <c r="J712" s="8" t="s">
        <v>4638</v>
      </c>
      <c r="K712" s="8" t="s">
        <v>4639</v>
      </c>
      <c r="L712" s="8"/>
      <c r="M712" s="8"/>
      <c r="N712" s="12"/>
      <c r="O712" s="12"/>
      <c r="P712" s="13">
        <f>IFERROR(__xludf.DUMMYFUNCTION("VALUE(SUBSTITUTE((INDEX(SPLIT(A712,"",""),1)),""."","","",1))"),59.984908)</f>
        <v>59.984908</v>
      </c>
      <c r="Q712" s="13">
        <f>IFERROR(__xludf.DUMMYFUNCTION("VALUE(SUBSTITUTE((INDEX(SPLIT(A712,"",""),2)),""."","","",1))"),30.407442)</f>
        <v>30.407442</v>
      </c>
      <c r="R712" s="14" t="b">
        <f t="shared" si="1"/>
        <v>0</v>
      </c>
      <c r="S712" s="14" t="str">
        <f t="shared" si="2"/>
        <v>59.984908,30.407442</v>
      </c>
      <c r="T712" s="12"/>
    </row>
    <row r="713">
      <c r="A713" s="20" t="s">
        <v>4640</v>
      </c>
      <c r="B713" s="16" t="s">
        <v>4641</v>
      </c>
      <c r="C713" s="16" t="s">
        <v>4642</v>
      </c>
      <c r="D713" s="16" t="s">
        <v>16</v>
      </c>
      <c r="E713" s="21" t="s">
        <v>4643</v>
      </c>
      <c r="F713" s="22" t="s">
        <v>3169</v>
      </c>
      <c r="G713" s="16">
        <v>23.61</v>
      </c>
      <c r="H713" s="16"/>
      <c r="I713" s="22"/>
      <c r="J713" s="22" t="s">
        <v>4644</v>
      </c>
      <c r="K713" s="22" t="s">
        <v>4645</v>
      </c>
      <c r="L713" s="23" t="s">
        <v>4646</v>
      </c>
      <c r="M713" s="23" t="s">
        <v>4647</v>
      </c>
      <c r="N713" s="12"/>
      <c r="O713" s="12"/>
      <c r="P713" s="13">
        <f>IFERROR(__xludf.DUMMYFUNCTION("VALUE(SUBSTITUTE((INDEX(SPLIT(A713,"",""),1)),""."","","",1))"),59.950217)</f>
        <v>59.950217</v>
      </c>
      <c r="Q713" s="13">
        <f>IFERROR(__xludf.DUMMYFUNCTION("VALUE(SUBSTITUTE((INDEX(SPLIT(A713,"",""),2)),""."","","",1))"),30.408062)</f>
        <v>30.408062</v>
      </c>
      <c r="R713" s="14" t="b">
        <f t="shared" si="1"/>
        <v>0</v>
      </c>
      <c r="S713" s="14" t="str">
        <f t="shared" si="2"/>
        <v>59.950217,30.408062</v>
      </c>
      <c r="T713" s="12"/>
    </row>
    <row r="714">
      <c r="A714" s="7" t="s">
        <v>4648</v>
      </c>
      <c r="B714" s="8" t="s">
        <v>4649</v>
      </c>
      <c r="C714" s="8" t="s">
        <v>4650</v>
      </c>
      <c r="D714" s="8" t="s">
        <v>16</v>
      </c>
      <c r="E714" s="9" t="s">
        <v>4651</v>
      </c>
      <c r="F714" s="10" t="s">
        <v>3169</v>
      </c>
      <c r="G714" s="8">
        <v>23.61</v>
      </c>
      <c r="H714" s="8"/>
      <c r="I714" s="10"/>
      <c r="J714" s="10" t="s">
        <v>4652</v>
      </c>
      <c r="K714" s="10" t="s">
        <v>4653</v>
      </c>
      <c r="L714" s="11" t="s">
        <v>4654</v>
      </c>
      <c r="M714" s="11" t="s">
        <v>4590</v>
      </c>
      <c r="N714" s="12"/>
      <c r="O714" s="12"/>
      <c r="P714" s="13">
        <f>IFERROR(__xludf.DUMMYFUNCTION("VALUE(SUBSTITUTE((INDEX(SPLIT(A714,"",""),1)),""."","","",1))"),59.941601)</f>
        <v>59.941601</v>
      </c>
      <c r="Q714" s="13">
        <f>IFERROR(__xludf.DUMMYFUNCTION("VALUE(SUBSTITUTE((INDEX(SPLIT(A714,"",""),2)),""."","","",1))"),30.409661)</f>
        <v>30.409661</v>
      </c>
      <c r="R714" s="14" t="b">
        <f t="shared" si="1"/>
        <v>0</v>
      </c>
      <c r="S714" s="14" t="str">
        <f t="shared" si="2"/>
        <v>59.941601,30.409661</v>
      </c>
      <c r="T714" s="12"/>
    </row>
    <row r="715">
      <c r="A715" s="20" t="s">
        <v>4655</v>
      </c>
      <c r="B715" s="16" t="s">
        <v>4656</v>
      </c>
      <c r="C715" s="16" t="s">
        <v>4657</v>
      </c>
      <c r="D715" s="16" t="s">
        <v>16</v>
      </c>
      <c r="E715" s="21" t="s">
        <v>4658</v>
      </c>
      <c r="F715" s="22" t="s">
        <v>3169</v>
      </c>
      <c r="G715" s="16">
        <v>23.61</v>
      </c>
      <c r="H715" s="16"/>
      <c r="I715" s="22"/>
      <c r="J715" s="22" t="s">
        <v>4659</v>
      </c>
      <c r="K715" s="22" t="s">
        <v>4660</v>
      </c>
      <c r="L715" s="23" t="s">
        <v>4556</v>
      </c>
      <c r="M715" s="22"/>
      <c r="N715" s="12"/>
      <c r="O715" s="12"/>
      <c r="P715" s="13">
        <f>IFERROR(__xludf.DUMMYFUNCTION("VALUE(SUBSTITUTE((INDEX(SPLIT(A715,"",""),1)),""."","","",1))"),59.851263)</f>
        <v>59.851263</v>
      </c>
      <c r="Q715" s="13">
        <f>IFERROR(__xludf.DUMMYFUNCTION("VALUE(SUBSTITUTE((INDEX(SPLIT(A715,"",""),2)),""."","","",1))"),30.411646)</f>
        <v>30.411646</v>
      </c>
      <c r="R715" s="14" t="b">
        <f t="shared" si="1"/>
        <v>0</v>
      </c>
      <c r="S715" s="14" t="str">
        <f t="shared" si="2"/>
        <v>59.851263,30.411646</v>
      </c>
      <c r="T715" s="12"/>
    </row>
    <row r="716">
      <c r="A716" s="18" t="s">
        <v>4661</v>
      </c>
      <c r="B716" s="8" t="s">
        <v>4662</v>
      </c>
      <c r="C716" s="8" t="s">
        <v>4663</v>
      </c>
      <c r="D716" s="8" t="s">
        <v>16</v>
      </c>
      <c r="E716" s="19" t="s">
        <v>4664</v>
      </c>
      <c r="F716" s="8" t="s">
        <v>3169</v>
      </c>
      <c r="G716" s="8">
        <v>23.61</v>
      </c>
      <c r="H716" s="8"/>
      <c r="I716" s="8"/>
      <c r="J716" s="8" t="s">
        <v>4665</v>
      </c>
      <c r="K716" s="8" t="s">
        <v>4666</v>
      </c>
      <c r="L716" s="8"/>
      <c r="M716" s="8"/>
      <c r="N716" s="12"/>
      <c r="O716" s="12"/>
      <c r="P716" s="13">
        <f>IFERROR(__xludf.DUMMYFUNCTION("VALUE(SUBSTITUTE((INDEX(SPLIT(A716,"",""),1)),""."","","",1))"),59.720957)</f>
        <v>59.720957</v>
      </c>
      <c r="Q716" s="13">
        <f>IFERROR(__xludf.DUMMYFUNCTION("VALUE(SUBSTITUTE((INDEX(SPLIT(A716,"",""),2)),""."","","",1))"),30.414584)</f>
        <v>30.414584</v>
      </c>
      <c r="R716" s="14" t="b">
        <f t="shared" si="1"/>
        <v>0</v>
      </c>
      <c r="S716" s="14" t="str">
        <f t="shared" si="2"/>
        <v>59.720957,30.414584</v>
      </c>
      <c r="T716" s="12"/>
    </row>
    <row r="717">
      <c r="A717" s="20" t="s">
        <v>4667</v>
      </c>
      <c r="B717" s="16" t="s">
        <v>4668</v>
      </c>
      <c r="C717" s="16" t="s">
        <v>4669</v>
      </c>
      <c r="D717" s="16" t="s">
        <v>16</v>
      </c>
      <c r="E717" s="21" t="s">
        <v>4670</v>
      </c>
      <c r="F717" s="22" t="s">
        <v>3169</v>
      </c>
      <c r="G717" s="16">
        <v>23.61</v>
      </c>
      <c r="H717" s="16"/>
      <c r="I717" s="22"/>
      <c r="J717" s="22" t="s">
        <v>4671</v>
      </c>
      <c r="K717" s="22" t="s">
        <v>4672</v>
      </c>
      <c r="L717" s="23" t="s">
        <v>4673</v>
      </c>
      <c r="M717" s="22"/>
      <c r="N717" s="12"/>
      <c r="O717" s="12"/>
      <c r="P717" s="13">
        <f>IFERROR(__xludf.DUMMYFUNCTION("VALUE(SUBSTITUTE((INDEX(SPLIT(A717,"",""),1)),""."","","",1))"),59.926702)</f>
        <v>59.926702</v>
      </c>
      <c r="Q717" s="13">
        <f>IFERROR(__xludf.DUMMYFUNCTION("VALUE(SUBSTITUTE((INDEX(SPLIT(A717,"",""),2)),""."","","",1))"),30.415231)</f>
        <v>30.415231</v>
      </c>
      <c r="R717" s="14" t="b">
        <f t="shared" si="1"/>
        <v>0</v>
      </c>
      <c r="S717" s="14" t="str">
        <f t="shared" si="2"/>
        <v>59.926702,30.415231</v>
      </c>
      <c r="T717" s="12"/>
    </row>
    <row r="718">
      <c r="A718" s="18" t="s">
        <v>4674</v>
      </c>
      <c r="B718" s="8" t="s">
        <v>4675</v>
      </c>
      <c r="C718" s="8" t="s">
        <v>4676</v>
      </c>
      <c r="D718" s="8" t="s">
        <v>16</v>
      </c>
      <c r="E718" s="19" t="s">
        <v>4677</v>
      </c>
      <c r="F718" s="8" t="s">
        <v>3169</v>
      </c>
      <c r="G718" s="8">
        <v>23.61</v>
      </c>
      <c r="H718" s="8"/>
      <c r="I718" s="8"/>
      <c r="J718" s="8" t="s">
        <v>4678</v>
      </c>
      <c r="K718" s="8" t="s">
        <v>4679</v>
      </c>
      <c r="L718" s="8"/>
      <c r="M718" s="24" t="s">
        <v>4680</v>
      </c>
      <c r="N718" s="12"/>
      <c r="O718" s="12"/>
      <c r="P718" s="13">
        <f>IFERROR(__xludf.DUMMYFUNCTION("VALUE(SUBSTITUTE((INDEX(SPLIT(A718,"",""),1)),""."","","",1))"),59.914642)</f>
        <v>59.914642</v>
      </c>
      <c r="Q718" s="13">
        <f>IFERROR(__xludf.DUMMYFUNCTION("VALUE(SUBSTITUTE((INDEX(SPLIT(A718,"",""),2)),""."","","",1))"),30.416408)</f>
        <v>30.416408</v>
      </c>
      <c r="R718" s="14" t="b">
        <f t="shared" si="1"/>
        <v>0</v>
      </c>
      <c r="S718" s="14" t="str">
        <f t="shared" si="2"/>
        <v>59.914642,30.416408</v>
      </c>
      <c r="T718" s="12"/>
    </row>
    <row r="719">
      <c r="A719" s="20" t="s">
        <v>4681</v>
      </c>
      <c r="B719" s="16" t="s">
        <v>4682</v>
      </c>
      <c r="C719" s="16" t="s">
        <v>4683</v>
      </c>
      <c r="D719" s="16" t="s">
        <v>16</v>
      </c>
      <c r="E719" s="21" t="s">
        <v>4684</v>
      </c>
      <c r="F719" s="22" t="s">
        <v>3169</v>
      </c>
      <c r="G719" s="16">
        <v>23.61</v>
      </c>
      <c r="H719" s="16"/>
      <c r="I719" s="22"/>
      <c r="J719" s="22" t="s">
        <v>4685</v>
      </c>
      <c r="K719" s="22" t="s">
        <v>4686</v>
      </c>
      <c r="L719" s="23" t="s">
        <v>4687</v>
      </c>
      <c r="M719" s="22"/>
      <c r="N719" s="12"/>
      <c r="O719" s="12"/>
      <c r="P719" s="13">
        <f>IFERROR(__xludf.DUMMYFUNCTION("VALUE(SUBSTITUTE((INDEX(SPLIT(A719,"",""),1)),""."","","",1))"),59.896233)</f>
        <v>59.896233</v>
      </c>
      <c r="Q719" s="13">
        <f>IFERROR(__xludf.DUMMYFUNCTION("VALUE(SUBSTITUTE((INDEX(SPLIT(A719,"",""),2)),""."","","",1))"),30.422004)</f>
        <v>30.422004</v>
      </c>
      <c r="R719" s="14" t="b">
        <f t="shared" si="1"/>
        <v>0</v>
      </c>
      <c r="S719" s="14" t="str">
        <f t="shared" si="2"/>
        <v>59.896233,30.422004</v>
      </c>
      <c r="T719" s="12"/>
    </row>
    <row r="720">
      <c r="A720" s="18" t="s">
        <v>4688</v>
      </c>
      <c r="B720" s="8" t="s">
        <v>4689</v>
      </c>
      <c r="C720" s="8" t="s">
        <v>4690</v>
      </c>
      <c r="D720" s="8" t="s">
        <v>16</v>
      </c>
      <c r="E720" s="19" t="s">
        <v>4691</v>
      </c>
      <c r="F720" s="8" t="s">
        <v>3162</v>
      </c>
      <c r="G720" s="8">
        <v>23.61</v>
      </c>
      <c r="H720" s="8"/>
      <c r="I720" s="8"/>
      <c r="J720" s="8" t="s">
        <v>4692</v>
      </c>
      <c r="K720" s="8" t="s">
        <v>4693</v>
      </c>
      <c r="L720" s="8"/>
      <c r="M720" s="8"/>
      <c r="N720" s="12"/>
      <c r="O720" s="12"/>
      <c r="P720" s="13">
        <f>IFERROR(__xludf.DUMMYFUNCTION("VALUE(SUBSTITUTE((INDEX(SPLIT(A720,"",""),1)),""."","","",1))"),58.856776)</f>
        <v>58.856776</v>
      </c>
      <c r="Q720" s="13">
        <f>IFERROR(__xludf.DUMMYFUNCTION("VALUE(SUBSTITUTE((INDEX(SPLIT(A720,"",""),2)),""."","","",1))"),30.423702)</f>
        <v>30.423702</v>
      </c>
      <c r="R720" s="14" t="b">
        <f t="shared" si="1"/>
        <v>0</v>
      </c>
      <c r="S720" s="14" t="str">
        <f t="shared" si="2"/>
        <v>58.856776,30.423702</v>
      </c>
      <c r="T720" s="12"/>
    </row>
    <row r="721">
      <c r="A721" s="15" t="s">
        <v>4694</v>
      </c>
      <c r="B721" s="16" t="s">
        <v>4695</v>
      </c>
      <c r="C721" s="16" t="s">
        <v>4696</v>
      </c>
      <c r="D721" s="16" t="s">
        <v>16</v>
      </c>
      <c r="E721" s="17" t="s">
        <v>4697</v>
      </c>
      <c r="F721" s="16" t="s">
        <v>3169</v>
      </c>
      <c r="G721" s="16">
        <v>23.61</v>
      </c>
      <c r="H721" s="16"/>
      <c r="I721" s="16"/>
      <c r="J721" s="16" t="s">
        <v>4698</v>
      </c>
      <c r="K721" s="16" t="s">
        <v>4699</v>
      </c>
      <c r="L721" s="16"/>
      <c r="M721" s="16"/>
      <c r="N721" s="12"/>
      <c r="O721" s="12"/>
      <c r="P721" s="13">
        <f>IFERROR(__xludf.DUMMYFUNCTION("VALUE(SUBSTITUTE((INDEX(SPLIT(A721,"",""),1)),""."","","",1))"),59.8528)</f>
        <v>59.8528</v>
      </c>
      <c r="Q721" s="13">
        <f>IFERROR(__xludf.DUMMYFUNCTION("VALUE(SUBSTITUTE((INDEX(SPLIT(A721,"",""),2)),""."","","",1))"),30.427232)</f>
        <v>30.427232</v>
      </c>
      <c r="R721" s="14" t="b">
        <f t="shared" si="1"/>
        <v>0</v>
      </c>
      <c r="S721" s="14" t="str">
        <f t="shared" si="2"/>
        <v>59.8528,30.427232</v>
      </c>
      <c r="T721" s="12"/>
    </row>
    <row r="722">
      <c r="A722" s="18" t="s">
        <v>4700</v>
      </c>
      <c r="B722" s="8" t="s">
        <v>4701</v>
      </c>
      <c r="C722" s="8" t="s">
        <v>4702</v>
      </c>
      <c r="D722" s="8" t="s">
        <v>16</v>
      </c>
      <c r="E722" s="19" t="s">
        <v>4703</v>
      </c>
      <c r="F722" s="8" t="s">
        <v>3169</v>
      </c>
      <c r="G722" s="8">
        <v>23.61</v>
      </c>
      <c r="H722" s="8"/>
      <c r="I722" s="8"/>
      <c r="J722" s="8" t="s">
        <v>4704</v>
      </c>
      <c r="K722" s="8" t="s">
        <v>4705</v>
      </c>
      <c r="L722" s="8"/>
      <c r="M722" s="8"/>
      <c r="N722" s="12"/>
      <c r="O722" s="12"/>
      <c r="P722" s="13">
        <f>IFERROR(__xludf.DUMMYFUNCTION("VALUE(SUBSTITUTE((INDEX(SPLIT(A722,"",""),1)),""."","","",1))"),59.96262)</f>
        <v>59.96262</v>
      </c>
      <c r="Q722" s="13">
        <f>IFERROR(__xludf.DUMMYFUNCTION("VALUE(SUBSTITUTE((INDEX(SPLIT(A722,"",""),2)),""."","","",1))"),30.431903)</f>
        <v>30.431903</v>
      </c>
      <c r="R722" s="14" t="b">
        <f t="shared" si="1"/>
        <v>0</v>
      </c>
      <c r="S722" s="14" t="str">
        <f t="shared" si="2"/>
        <v>59.96262,30.431903</v>
      </c>
      <c r="T722" s="12"/>
    </row>
    <row r="723">
      <c r="A723" s="20" t="s">
        <v>4706</v>
      </c>
      <c r="B723" s="16" t="s">
        <v>4707</v>
      </c>
      <c r="C723" s="16" t="s">
        <v>4708</v>
      </c>
      <c r="D723" s="16" t="s">
        <v>16</v>
      </c>
      <c r="E723" s="21" t="s">
        <v>4709</v>
      </c>
      <c r="F723" s="22" t="s">
        <v>3169</v>
      </c>
      <c r="G723" s="16">
        <v>23.61</v>
      </c>
      <c r="H723" s="16"/>
      <c r="I723" s="22"/>
      <c r="J723" s="22" t="s">
        <v>4710</v>
      </c>
      <c r="K723" s="22" t="s">
        <v>4711</v>
      </c>
      <c r="L723" s="23" t="s">
        <v>4712</v>
      </c>
      <c r="M723" s="23" t="s">
        <v>4713</v>
      </c>
      <c r="N723" s="12"/>
      <c r="O723" s="12"/>
      <c r="P723" s="13">
        <f>IFERROR(__xludf.DUMMYFUNCTION("VALUE(SUBSTITUTE((INDEX(SPLIT(A723,"",""),1)),""."","","",1))"),59.941844)</f>
        <v>59.941844</v>
      </c>
      <c r="Q723" s="13">
        <f>IFERROR(__xludf.DUMMYFUNCTION("VALUE(SUBSTITUTE((INDEX(SPLIT(A723,"",""),2)),""."","","",1))"),30.434482)</f>
        <v>30.434482</v>
      </c>
      <c r="R723" s="14" t="b">
        <f t="shared" si="1"/>
        <v>0</v>
      </c>
      <c r="S723" s="14" t="str">
        <f t="shared" si="2"/>
        <v>59.941844,30.434482</v>
      </c>
      <c r="T723" s="12"/>
    </row>
    <row r="724">
      <c r="A724" s="18" t="s">
        <v>4714</v>
      </c>
      <c r="B724" s="8" t="s">
        <v>4715</v>
      </c>
      <c r="C724" s="8" t="s">
        <v>4716</v>
      </c>
      <c r="D724" s="8" t="s">
        <v>16</v>
      </c>
      <c r="E724" s="19" t="s">
        <v>4717</v>
      </c>
      <c r="F724" s="8" t="s">
        <v>3169</v>
      </c>
      <c r="G724" s="8">
        <v>23.61</v>
      </c>
      <c r="H724" s="8"/>
      <c r="I724" s="8"/>
      <c r="J724" s="8" t="s">
        <v>4718</v>
      </c>
      <c r="K724" s="8" t="s">
        <v>4719</v>
      </c>
      <c r="L724" s="8"/>
      <c r="M724" s="8"/>
      <c r="N724" s="12"/>
      <c r="O724" s="12"/>
      <c r="P724" s="13">
        <f>IFERROR(__xludf.DUMMYFUNCTION("VALUE(SUBSTITUTE((INDEX(SPLIT(A724,"",""),1)),""."","","",1))"),59.843589)</f>
        <v>59.843589</v>
      </c>
      <c r="Q724" s="13">
        <f>IFERROR(__xludf.DUMMYFUNCTION("VALUE(SUBSTITUTE((INDEX(SPLIT(A724,"",""),2)),""."","","",1))"),30.435506)</f>
        <v>30.435506</v>
      </c>
      <c r="R724" s="14" t="b">
        <f t="shared" si="1"/>
        <v>0</v>
      </c>
      <c r="S724" s="14" t="str">
        <f t="shared" si="2"/>
        <v>59.843589,30.435506</v>
      </c>
      <c r="T724" s="12"/>
    </row>
    <row r="725">
      <c r="A725" s="15" t="s">
        <v>4720</v>
      </c>
      <c r="B725" s="16" t="s">
        <v>4721</v>
      </c>
      <c r="C725" s="16" t="s">
        <v>4722</v>
      </c>
      <c r="D725" s="16" t="s">
        <v>16</v>
      </c>
      <c r="E725" s="17" t="s">
        <v>4723</v>
      </c>
      <c r="F725" s="16" t="s">
        <v>3169</v>
      </c>
      <c r="G725" s="16">
        <v>23.61</v>
      </c>
      <c r="H725" s="16"/>
      <c r="I725" s="16"/>
      <c r="J725" s="16" t="s">
        <v>4724</v>
      </c>
      <c r="K725" s="16" t="s">
        <v>4725</v>
      </c>
      <c r="L725" s="16"/>
      <c r="M725" s="16"/>
      <c r="N725" s="12"/>
      <c r="O725" s="12"/>
      <c r="P725" s="13">
        <f>IFERROR(__xludf.DUMMYFUNCTION("VALUE(SUBSTITUTE((INDEX(SPLIT(A725,"",""),1)),""."","","",1))"),59.993473)</f>
        <v>59.993473</v>
      </c>
      <c r="Q725" s="13">
        <f>IFERROR(__xludf.DUMMYFUNCTION("VALUE(SUBSTITUTE((INDEX(SPLIT(A725,"",""),2)),""."","","",1))"),30.436521)</f>
        <v>30.436521</v>
      </c>
      <c r="R725" s="14" t="b">
        <f t="shared" si="1"/>
        <v>0</v>
      </c>
      <c r="S725" s="14" t="str">
        <f t="shared" si="2"/>
        <v>59.993473,30.436521</v>
      </c>
      <c r="T725" s="12"/>
    </row>
    <row r="726">
      <c r="A726" s="18" t="s">
        <v>4726</v>
      </c>
      <c r="B726" s="8" t="s">
        <v>4727</v>
      </c>
      <c r="C726" s="8" t="s">
        <v>4728</v>
      </c>
      <c r="D726" s="8" t="s">
        <v>16</v>
      </c>
      <c r="E726" s="19" t="s">
        <v>4729</v>
      </c>
      <c r="F726" s="8" t="s">
        <v>3169</v>
      </c>
      <c r="G726" s="8">
        <v>23.61</v>
      </c>
      <c r="H726" s="8"/>
      <c r="I726" s="8"/>
      <c r="J726" s="8" t="s">
        <v>4730</v>
      </c>
      <c r="K726" s="8" t="s">
        <v>4731</v>
      </c>
      <c r="L726" s="8"/>
      <c r="M726" s="8"/>
      <c r="N726" s="12"/>
      <c r="O726" s="12"/>
      <c r="P726" s="13">
        <f>IFERROR(__xludf.DUMMYFUNCTION("VALUE(SUBSTITUTE((INDEX(SPLIT(A726,"",""),1)),""."","","",1))"),59.97798)</f>
        <v>59.97798</v>
      </c>
      <c r="Q726" s="13">
        <f>IFERROR(__xludf.DUMMYFUNCTION("VALUE(SUBSTITUTE((INDEX(SPLIT(A726,"",""),2)),""."","","",1))"),30.436638)</f>
        <v>30.436638</v>
      </c>
      <c r="R726" s="14" t="b">
        <f t="shared" si="1"/>
        <v>0</v>
      </c>
      <c r="S726" s="14" t="str">
        <f t="shared" si="2"/>
        <v>59.97798,30.436638</v>
      </c>
      <c r="T726" s="12"/>
    </row>
    <row r="727">
      <c r="A727" s="15" t="s">
        <v>4732</v>
      </c>
      <c r="B727" s="16" t="s">
        <v>4733</v>
      </c>
      <c r="C727" s="16" t="s">
        <v>4734</v>
      </c>
      <c r="D727" s="16" t="s">
        <v>16</v>
      </c>
      <c r="E727" s="17" t="s">
        <v>4735</v>
      </c>
      <c r="F727" s="16" t="s">
        <v>3169</v>
      </c>
      <c r="G727" s="16">
        <v>23.61</v>
      </c>
      <c r="H727" s="16"/>
      <c r="I727" s="16"/>
      <c r="J727" s="16" t="s">
        <v>4736</v>
      </c>
      <c r="K727" s="16" t="s">
        <v>4737</v>
      </c>
      <c r="L727" s="16"/>
      <c r="M727" s="16"/>
      <c r="N727" s="12"/>
      <c r="O727" s="12"/>
      <c r="P727" s="13">
        <f>IFERROR(__xludf.DUMMYFUNCTION("VALUE(SUBSTITUTE((INDEX(SPLIT(A727,"",""),1)),""."","","",1))"),59.895312)</f>
        <v>59.895312</v>
      </c>
      <c r="Q727" s="13">
        <f>IFERROR(__xludf.DUMMYFUNCTION("VALUE(SUBSTITUTE((INDEX(SPLIT(A727,"",""),2)),""."","","",1))"),30.437698)</f>
        <v>30.437698</v>
      </c>
      <c r="R727" s="14" t="b">
        <f t="shared" si="1"/>
        <v>0</v>
      </c>
      <c r="S727" s="14" t="str">
        <f t="shared" si="2"/>
        <v>59.895312,30.437698</v>
      </c>
      <c r="T727" s="12"/>
    </row>
    <row r="728">
      <c r="A728" s="18" t="s">
        <v>4738</v>
      </c>
      <c r="B728" s="8" t="s">
        <v>4739</v>
      </c>
      <c r="C728" s="8" t="s">
        <v>4740</v>
      </c>
      <c r="D728" s="8" t="s">
        <v>16</v>
      </c>
      <c r="E728" s="19" t="s">
        <v>4741</v>
      </c>
      <c r="F728" s="8" t="s">
        <v>3169</v>
      </c>
      <c r="G728" s="8">
        <v>23.61</v>
      </c>
      <c r="H728" s="8"/>
      <c r="I728" s="8"/>
      <c r="J728" s="8" t="s">
        <v>4742</v>
      </c>
      <c r="K728" s="8" t="s">
        <v>4743</v>
      </c>
      <c r="L728" s="8"/>
      <c r="M728" s="8"/>
      <c r="N728" s="12"/>
      <c r="O728" s="12"/>
      <c r="P728" s="13">
        <f>IFERROR(__xludf.DUMMYFUNCTION("VALUE(SUBSTITUTE((INDEX(SPLIT(A728,"",""),1)),""."","","",1))"),59.977877)</f>
        <v>59.977877</v>
      </c>
      <c r="Q728" s="13">
        <f>IFERROR(__xludf.DUMMYFUNCTION("VALUE(SUBSTITUTE((INDEX(SPLIT(A728,"",""),2)),""."","","",1))"),30.438937)</f>
        <v>30.438937</v>
      </c>
      <c r="R728" s="14" t="b">
        <f t="shared" si="1"/>
        <v>0</v>
      </c>
      <c r="S728" s="14" t="str">
        <f t="shared" si="2"/>
        <v>59.977877,30.438937</v>
      </c>
      <c r="T728" s="12"/>
    </row>
    <row r="729">
      <c r="A729" s="15" t="s">
        <v>4744</v>
      </c>
      <c r="B729" s="16" t="s">
        <v>4745</v>
      </c>
      <c r="C729" s="16" t="s">
        <v>2779</v>
      </c>
      <c r="D729" s="16" t="s">
        <v>16</v>
      </c>
      <c r="E729" s="17" t="s">
        <v>4746</v>
      </c>
      <c r="F729" s="16" t="s">
        <v>3169</v>
      </c>
      <c r="G729" s="16">
        <v>23.61</v>
      </c>
      <c r="H729" s="16"/>
      <c r="I729" s="16"/>
      <c r="J729" s="16" t="s">
        <v>4747</v>
      </c>
      <c r="K729" s="16" t="s">
        <v>4748</v>
      </c>
      <c r="L729" s="16"/>
      <c r="M729" s="16"/>
      <c r="N729" s="12"/>
      <c r="O729" s="12"/>
      <c r="P729" s="13">
        <f>IFERROR(__xludf.DUMMYFUNCTION("VALUE(SUBSTITUTE((INDEX(SPLIT(A729,"",""),1)),""."","","",1))"),59.854201)</f>
        <v>59.854201</v>
      </c>
      <c r="Q729" s="13">
        <f>IFERROR(__xludf.DUMMYFUNCTION("VALUE(SUBSTITUTE((INDEX(SPLIT(A729,"",""),2)),""."","","",1))"),30.444561)</f>
        <v>30.444561</v>
      </c>
      <c r="R729" s="14" t="b">
        <f t="shared" si="1"/>
        <v>0</v>
      </c>
      <c r="S729" s="14" t="str">
        <f t="shared" si="2"/>
        <v>59.854201,30.444561</v>
      </c>
      <c r="T729" s="12"/>
    </row>
    <row r="730">
      <c r="A730" s="7" t="s">
        <v>4749</v>
      </c>
      <c r="B730" s="8" t="s">
        <v>4750</v>
      </c>
      <c r="C730" s="8" t="s">
        <v>4751</v>
      </c>
      <c r="D730" s="8" t="s">
        <v>16</v>
      </c>
      <c r="E730" s="9" t="s">
        <v>4752</v>
      </c>
      <c r="F730" s="10" t="s">
        <v>3169</v>
      </c>
      <c r="G730" s="8">
        <v>23.61</v>
      </c>
      <c r="H730" s="8"/>
      <c r="I730" s="10"/>
      <c r="J730" s="10" t="s">
        <v>4753</v>
      </c>
      <c r="K730" s="10" t="s">
        <v>4754</v>
      </c>
      <c r="L730" s="11" t="s">
        <v>4755</v>
      </c>
      <c r="M730" s="11" t="s">
        <v>4756</v>
      </c>
      <c r="N730" s="12"/>
      <c r="O730" s="12"/>
      <c r="P730" s="13">
        <f>IFERROR(__xludf.DUMMYFUNCTION("VALUE(SUBSTITUTE((INDEX(SPLIT(A730,"",""),1)),""."","","",1))"),59.841807)</f>
        <v>59.841807</v>
      </c>
      <c r="Q730" s="13">
        <f>IFERROR(__xludf.DUMMYFUNCTION("VALUE(SUBSTITUTE((INDEX(SPLIT(A730,"",""),2)),""."","","",1))"),30.446223)</f>
        <v>30.446223</v>
      </c>
      <c r="R730" s="14" t="b">
        <f t="shared" si="1"/>
        <v>0</v>
      </c>
      <c r="S730" s="14" t="str">
        <f t="shared" si="2"/>
        <v>59.841807,30.446223</v>
      </c>
      <c r="T730" s="12"/>
    </row>
    <row r="731">
      <c r="A731" s="15" t="s">
        <v>4757</v>
      </c>
      <c r="B731" s="16" t="s">
        <v>4675</v>
      </c>
      <c r="C731" s="16" t="s">
        <v>4676</v>
      </c>
      <c r="D731" s="16" t="s">
        <v>16</v>
      </c>
      <c r="E731" s="17" t="s">
        <v>4758</v>
      </c>
      <c r="F731" s="16" t="s">
        <v>3169</v>
      </c>
      <c r="G731" s="16">
        <v>23.61</v>
      </c>
      <c r="H731" s="16"/>
      <c r="I731" s="16"/>
      <c r="J731" s="16" t="s">
        <v>4759</v>
      </c>
      <c r="K731" s="16" t="s">
        <v>4760</v>
      </c>
      <c r="L731" s="16"/>
      <c r="M731" s="16"/>
      <c r="N731" s="12"/>
      <c r="O731" s="12"/>
      <c r="P731" s="13">
        <f>IFERROR(__xludf.DUMMYFUNCTION("VALUE(SUBSTITUTE((INDEX(SPLIT(A731,"",""),1)),""."","","",1))"),59.961003)</f>
        <v>59.961003</v>
      </c>
      <c r="Q731" s="13">
        <f>IFERROR(__xludf.DUMMYFUNCTION("VALUE(SUBSTITUTE((INDEX(SPLIT(A731,"",""),2)),""."","","",1))"),30.459356)</f>
        <v>30.459356</v>
      </c>
      <c r="R731" s="14" t="b">
        <f t="shared" si="1"/>
        <v>0</v>
      </c>
      <c r="S731" s="14" t="str">
        <f t="shared" si="2"/>
        <v>59.961003,30.459356</v>
      </c>
      <c r="T731" s="12"/>
    </row>
    <row r="732">
      <c r="A732" s="7" t="s">
        <v>4761</v>
      </c>
      <c r="B732" s="8" t="s">
        <v>4762</v>
      </c>
      <c r="C732" s="8" t="s">
        <v>4763</v>
      </c>
      <c r="D732" s="8" t="s">
        <v>16</v>
      </c>
      <c r="E732" s="9" t="s">
        <v>4764</v>
      </c>
      <c r="F732" s="10" t="s">
        <v>3169</v>
      </c>
      <c r="G732" s="8">
        <v>23.61</v>
      </c>
      <c r="H732" s="8"/>
      <c r="I732" s="10"/>
      <c r="J732" s="10" t="s">
        <v>4765</v>
      </c>
      <c r="K732" s="10" t="s">
        <v>4766</v>
      </c>
      <c r="L732" s="11" t="s">
        <v>4767</v>
      </c>
      <c r="M732" s="10"/>
      <c r="N732" s="12"/>
      <c r="O732" s="12"/>
      <c r="P732" s="13">
        <f>IFERROR(__xludf.DUMMYFUNCTION("VALUE(SUBSTITUTE((INDEX(SPLIT(A732,"",""),1)),""."","","",1))"),59.824475)</f>
        <v>59.824475</v>
      </c>
      <c r="Q732" s="13">
        <f>IFERROR(__xludf.DUMMYFUNCTION("VALUE(SUBSTITUTE((INDEX(SPLIT(A732,"",""),2)),""."","","",1))"),30.460272)</f>
        <v>30.460272</v>
      </c>
      <c r="R732" s="14" t="b">
        <f t="shared" si="1"/>
        <v>0</v>
      </c>
      <c r="S732" s="14" t="str">
        <f t="shared" si="2"/>
        <v>59.824475,30.460272</v>
      </c>
      <c r="T732" s="12"/>
    </row>
    <row r="733">
      <c r="A733" s="15" t="s">
        <v>4768</v>
      </c>
      <c r="B733" s="16" t="s">
        <v>4769</v>
      </c>
      <c r="C733" s="16" t="s">
        <v>4770</v>
      </c>
      <c r="D733" s="16" t="s">
        <v>16</v>
      </c>
      <c r="E733" s="17" t="s">
        <v>4771</v>
      </c>
      <c r="F733" s="16" t="s">
        <v>3169</v>
      </c>
      <c r="G733" s="16">
        <v>23.61</v>
      </c>
      <c r="H733" s="16"/>
      <c r="I733" s="16"/>
      <c r="J733" s="16" t="s">
        <v>4772</v>
      </c>
      <c r="K733" s="16" t="s">
        <v>4773</v>
      </c>
      <c r="L733" s="16"/>
      <c r="M733" s="16"/>
      <c r="N733" s="12"/>
      <c r="O733" s="12"/>
      <c r="P733" s="13">
        <f>IFERROR(__xludf.DUMMYFUNCTION("VALUE(SUBSTITUTE((INDEX(SPLIT(A733,"",""),1)),""."","","",1))"),59.878527)</f>
        <v>59.878527</v>
      </c>
      <c r="Q733" s="13">
        <f>IFERROR(__xludf.DUMMYFUNCTION("VALUE(SUBSTITUTE((INDEX(SPLIT(A733,"",""),2)),""."","","",1))"),30.460694)</f>
        <v>30.460694</v>
      </c>
      <c r="R733" s="14" t="b">
        <f t="shared" si="1"/>
        <v>0</v>
      </c>
      <c r="S733" s="14" t="str">
        <f t="shared" si="2"/>
        <v>59.878527,30.460694</v>
      </c>
      <c r="T733" s="12"/>
    </row>
    <row r="734">
      <c r="A734" s="7" t="s">
        <v>4774</v>
      </c>
      <c r="B734" s="8" t="s">
        <v>4775</v>
      </c>
      <c r="C734" s="8" t="s">
        <v>4776</v>
      </c>
      <c r="D734" s="8" t="s">
        <v>16</v>
      </c>
      <c r="E734" s="9" t="s">
        <v>4777</v>
      </c>
      <c r="F734" s="10" t="s">
        <v>3169</v>
      </c>
      <c r="G734" s="8">
        <v>23.61</v>
      </c>
      <c r="H734" s="8"/>
      <c r="I734" s="10"/>
      <c r="J734" s="10" t="s">
        <v>4778</v>
      </c>
      <c r="K734" s="10" t="s">
        <v>4779</v>
      </c>
      <c r="L734" s="11" t="s">
        <v>4780</v>
      </c>
      <c r="M734" s="10"/>
      <c r="N734" s="12"/>
      <c r="O734" s="12"/>
      <c r="P734" s="13">
        <f>IFERROR(__xludf.DUMMYFUNCTION("VALUE(SUBSTITUTE((INDEX(SPLIT(A734,"",""),1)),""."","","",1))"),59.838575)</f>
        <v>59.838575</v>
      </c>
      <c r="Q734" s="13">
        <f>IFERROR(__xludf.DUMMYFUNCTION("VALUE(SUBSTITUTE((INDEX(SPLIT(A734,"",""),2)),""."","","",1))"),30.466462)</f>
        <v>30.466462</v>
      </c>
      <c r="R734" s="14" t="b">
        <f t="shared" si="1"/>
        <v>0</v>
      </c>
      <c r="S734" s="14" t="str">
        <f t="shared" si="2"/>
        <v>59.838575,30.466462</v>
      </c>
      <c r="T734" s="12"/>
    </row>
    <row r="735">
      <c r="A735" s="15" t="s">
        <v>4781</v>
      </c>
      <c r="B735" s="16" t="s">
        <v>4782</v>
      </c>
      <c r="C735" s="16" t="s">
        <v>4783</v>
      </c>
      <c r="D735" s="16" t="s">
        <v>16</v>
      </c>
      <c r="E735" s="17" t="s">
        <v>4784</v>
      </c>
      <c r="F735" s="16" t="s">
        <v>3169</v>
      </c>
      <c r="G735" s="16">
        <v>23.61</v>
      </c>
      <c r="H735" s="16"/>
      <c r="I735" s="16"/>
      <c r="J735" s="16" t="s">
        <v>4785</v>
      </c>
      <c r="K735" s="16" t="s">
        <v>4786</v>
      </c>
      <c r="L735" s="16"/>
      <c r="M735" s="25" t="s">
        <v>4787</v>
      </c>
      <c r="N735" s="12"/>
      <c r="O735" s="12"/>
      <c r="P735" s="13">
        <f>IFERROR(__xludf.DUMMYFUNCTION("VALUE(SUBSTITUTE((INDEX(SPLIT(A735,"",""),1)),""."","","",1))"),59.959287)</f>
        <v>59.959287</v>
      </c>
      <c r="Q735" s="13">
        <f>IFERROR(__xludf.DUMMYFUNCTION("VALUE(SUBSTITUTE((INDEX(SPLIT(A735,"",""),2)),""."","","",1))"),30.467872)</f>
        <v>30.467872</v>
      </c>
      <c r="R735" s="14" t="b">
        <f t="shared" si="1"/>
        <v>0</v>
      </c>
      <c r="S735" s="14" t="str">
        <f t="shared" si="2"/>
        <v>59.959287,30.467872</v>
      </c>
      <c r="T735" s="12"/>
    </row>
    <row r="736">
      <c r="A736" s="18" t="s">
        <v>4788</v>
      </c>
      <c r="B736" s="8" t="s">
        <v>4789</v>
      </c>
      <c r="C736" s="8" t="s">
        <v>4790</v>
      </c>
      <c r="D736" s="8" t="s">
        <v>16</v>
      </c>
      <c r="E736" s="19" t="s">
        <v>4791</v>
      </c>
      <c r="F736" s="8" t="s">
        <v>3169</v>
      </c>
      <c r="G736" s="8">
        <v>23.61</v>
      </c>
      <c r="H736" s="8"/>
      <c r="I736" s="27" t="s">
        <v>4792</v>
      </c>
      <c r="J736" s="8" t="s">
        <v>4793</v>
      </c>
      <c r="K736" s="8" t="s">
        <v>4794</v>
      </c>
      <c r="L736" s="8"/>
      <c r="M736" s="24" t="s">
        <v>4795</v>
      </c>
      <c r="N736" s="12"/>
      <c r="O736" s="12"/>
      <c r="P736" s="13">
        <f>IFERROR(__xludf.DUMMYFUNCTION("VALUE(SUBSTITUTE((INDEX(SPLIT(A736,"",""),1)),""."","","",1))"),60.070374)</f>
        <v>60.070374</v>
      </c>
      <c r="Q736" s="13">
        <f>IFERROR(__xludf.DUMMYFUNCTION("VALUE(SUBSTITUTE((INDEX(SPLIT(A736,"",""),2)),""."","","",1))"),30.477619)</f>
        <v>30.477619</v>
      </c>
      <c r="R736" s="14" t="b">
        <f t="shared" si="1"/>
        <v>0</v>
      </c>
      <c r="S736" s="14" t="str">
        <f t="shared" si="2"/>
        <v>60.070374,30.477619</v>
      </c>
      <c r="T736" s="12"/>
    </row>
    <row r="737">
      <c r="A737" s="15" t="s">
        <v>4796</v>
      </c>
      <c r="B737" s="16" t="s">
        <v>4797</v>
      </c>
      <c r="C737" s="16" t="s">
        <v>4798</v>
      </c>
      <c r="D737" s="16" t="s">
        <v>16</v>
      </c>
      <c r="E737" s="17" t="s">
        <v>4799</v>
      </c>
      <c r="F737" s="16" t="s">
        <v>3169</v>
      </c>
      <c r="G737" s="16">
        <v>23.61</v>
      </c>
      <c r="H737" s="16"/>
      <c r="I737" s="16"/>
      <c r="J737" s="16" t="s">
        <v>4800</v>
      </c>
      <c r="K737" s="16" t="s">
        <v>4801</v>
      </c>
      <c r="L737" s="16"/>
      <c r="M737" s="16"/>
      <c r="N737" s="12"/>
      <c r="O737" s="12"/>
      <c r="P737" s="13">
        <f>IFERROR(__xludf.DUMMYFUNCTION("VALUE(SUBSTITUTE((INDEX(SPLIT(A737,"",""),1)),""."","","",1))"),59.85125)</f>
        <v>59.85125</v>
      </c>
      <c r="Q737" s="13">
        <f>IFERROR(__xludf.DUMMYFUNCTION("VALUE(SUBSTITUTE((INDEX(SPLIT(A737,"",""),2)),""."","","",1))"),30.479254)</f>
        <v>30.479254</v>
      </c>
      <c r="R737" s="14" t="b">
        <f t="shared" si="1"/>
        <v>0</v>
      </c>
      <c r="S737" s="14" t="str">
        <f t="shared" si="2"/>
        <v>59.85125,30.479254</v>
      </c>
      <c r="T737" s="12"/>
    </row>
    <row r="738">
      <c r="A738" s="7" t="s">
        <v>4802</v>
      </c>
      <c r="B738" s="8" t="s">
        <v>4803</v>
      </c>
      <c r="C738" s="8" t="s">
        <v>4804</v>
      </c>
      <c r="D738" s="8" t="s">
        <v>16</v>
      </c>
      <c r="E738" s="9" t="s">
        <v>4805</v>
      </c>
      <c r="F738" s="10" t="s">
        <v>3162</v>
      </c>
      <c r="G738" s="8">
        <v>23.61</v>
      </c>
      <c r="H738" s="8"/>
      <c r="I738" s="10"/>
      <c r="J738" s="10" t="s">
        <v>4806</v>
      </c>
      <c r="K738" s="10" t="s">
        <v>4807</v>
      </c>
      <c r="L738" s="11" t="s">
        <v>4808</v>
      </c>
      <c r="M738" s="10"/>
      <c r="N738" s="12"/>
      <c r="O738" s="12"/>
      <c r="P738" s="13">
        <f>IFERROR(__xludf.DUMMYFUNCTION("VALUE(SUBSTITUTE((INDEX(SPLIT(A738,"",""),1)),""."","","",1))"),60.311823)</f>
        <v>60.311823</v>
      </c>
      <c r="Q738" s="13">
        <f>IFERROR(__xludf.DUMMYFUNCTION("VALUE(SUBSTITUTE((INDEX(SPLIT(A738,"",""),2)),""."","","",1))"),30.490042)</f>
        <v>30.490042</v>
      </c>
      <c r="R738" s="14" t="b">
        <f t="shared" si="1"/>
        <v>0</v>
      </c>
      <c r="S738" s="14" t="str">
        <f t="shared" si="2"/>
        <v>60.311823,30.490042</v>
      </c>
      <c r="T738" s="12"/>
    </row>
    <row r="739">
      <c r="A739" s="15" t="s">
        <v>4809</v>
      </c>
      <c r="B739" s="16" t="s">
        <v>4810</v>
      </c>
      <c r="C739" s="16" t="s">
        <v>4811</v>
      </c>
      <c r="D739" s="16" t="s">
        <v>16</v>
      </c>
      <c r="E739" s="17" t="s">
        <v>4812</v>
      </c>
      <c r="F739" s="16" t="s">
        <v>3169</v>
      </c>
      <c r="G739" s="16">
        <v>23.61</v>
      </c>
      <c r="H739" s="16"/>
      <c r="I739" s="16"/>
      <c r="J739" s="16" t="s">
        <v>4813</v>
      </c>
      <c r="K739" s="16" t="s">
        <v>4814</v>
      </c>
      <c r="L739" s="16"/>
      <c r="M739" s="16"/>
      <c r="N739" s="12"/>
      <c r="O739" s="12"/>
      <c r="P739" s="13">
        <f>IFERROR(__xludf.DUMMYFUNCTION("VALUE(SUBSTITUTE((INDEX(SPLIT(A739,"",""),1)),""."","","",1))"),59.870601)</f>
        <v>59.870601</v>
      </c>
      <c r="Q739" s="13">
        <f>IFERROR(__xludf.DUMMYFUNCTION("VALUE(SUBSTITUTE((INDEX(SPLIT(A739,"",""),2)),""."","","",1))"),30.499223)</f>
        <v>30.499223</v>
      </c>
      <c r="R739" s="14" t="b">
        <f t="shared" si="1"/>
        <v>0</v>
      </c>
      <c r="S739" s="14" t="str">
        <f t="shared" si="2"/>
        <v>59.870601,30.499223</v>
      </c>
      <c r="T739" s="12"/>
    </row>
    <row r="740">
      <c r="A740" s="7" t="s">
        <v>4815</v>
      </c>
      <c r="B740" s="8" t="s">
        <v>2310</v>
      </c>
      <c r="C740" s="8" t="s">
        <v>2311</v>
      </c>
      <c r="D740" s="8" t="s">
        <v>16</v>
      </c>
      <c r="E740" s="9" t="s">
        <v>4816</v>
      </c>
      <c r="F740" s="10" t="s">
        <v>3169</v>
      </c>
      <c r="G740" s="8">
        <v>23.61</v>
      </c>
      <c r="H740" s="8"/>
      <c r="I740" s="10"/>
      <c r="J740" s="10" t="s">
        <v>4817</v>
      </c>
      <c r="K740" s="10" t="s">
        <v>4818</v>
      </c>
      <c r="L740" s="11" t="s">
        <v>4819</v>
      </c>
      <c r="M740" s="11" t="s">
        <v>4820</v>
      </c>
      <c r="N740" s="12"/>
      <c r="O740" s="12"/>
      <c r="P740" s="13">
        <f>IFERROR(__xludf.DUMMYFUNCTION("VALUE(SUBSTITUTE((INDEX(SPLIT(A740,"",""),1)),""."","","",1))"),56.347345)</f>
        <v>56.347345</v>
      </c>
      <c r="Q740" s="13">
        <f>IFERROR(__xludf.DUMMYFUNCTION("VALUE(SUBSTITUTE((INDEX(SPLIT(A740,"",""),2)),""."","","",1))"),30.510326)</f>
        <v>30.510326</v>
      </c>
      <c r="R740" s="14" t="b">
        <f t="shared" si="1"/>
        <v>0</v>
      </c>
      <c r="S740" s="14" t="str">
        <f t="shared" si="2"/>
        <v>56.347345,30.510326</v>
      </c>
      <c r="T740" s="12"/>
    </row>
    <row r="741">
      <c r="A741" s="15" t="s">
        <v>4821</v>
      </c>
      <c r="B741" s="16" t="s">
        <v>4822</v>
      </c>
      <c r="C741" s="16" t="s">
        <v>4823</v>
      </c>
      <c r="D741" s="16" t="s">
        <v>16</v>
      </c>
      <c r="E741" s="17" t="s">
        <v>4824</v>
      </c>
      <c r="F741" s="16" t="s">
        <v>3169</v>
      </c>
      <c r="G741" s="16">
        <v>23.61</v>
      </c>
      <c r="H741" s="16"/>
      <c r="I741" s="16"/>
      <c r="J741" s="16" t="s">
        <v>4825</v>
      </c>
      <c r="K741" s="16" t="s">
        <v>4826</v>
      </c>
      <c r="L741" s="16"/>
      <c r="M741" s="16"/>
      <c r="N741" s="12"/>
      <c r="O741" s="12"/>
      <c r="P741" s="13">
        <f>IFERROR(__xludf.DUMMYFUNCTION("VALUE(SUBSTITUTE((INDEX(SPLIT(A741,"",""),1)),""."","","",1))"),59.759931)</f>
        <v>59.759931</v>
      </c>
      <c r="Q741" s="13">
        <f>IFERROR(__xludf.DUMMYFUNCTION("VALUE(SUBSTITUTE((INDEX(SPLIT(A741,"",""),2)),""."","","",1))"),30.518798)</f>
        <v>30.518798</v>
      </c>
      <c r="R741" s="14" t="b">
        <f t="shared" si="1"/>
        <v>0</v>
      </c>
      <c r="S741" s="14" t="str">
        <f t="shared" si="2"/>
        <v>59.759931,30.518798</v>
      </c>
      <c r="T741" s="12"/>
    </row>
    <row r="742">
      <c r="A742" s="18" t="s">
        <v>4821</v>
      </c>
      <c r="B742" s="8" t="s">
        <v>4827</v>
      </c>
      <c r="C742" s="8" t="s">
        <v>4828</v>
      </c>
      <c r="D742" s="8" t="s">
        <v>16</v>
      </c>
      <c r="E742" s="19" t="s">
        <v>4829</v>
      </c>
      <c r="F742" s="8" t="s">
        <v>3169</v>
      </c>
      <c r="G742" s="8">
        <v>23.61</v>
      </c>
      <c r="H742" s="8"/>
      <c r="I742" s="8"/>
      <c r="J742" s="8" t="s">
        <v>4830</v>
      </c>
      <c r="K742" s="8" t="s">
        <v>4831</v>
      </c>
      <c r="L742" s="8"/>
      <c r="M742" s="24" t="s">
        <v>4832</v>
      </c>
      <c r="N742" s="12"/>
      <c r="O742" s="12"/>
      <c r="P742" s="13">
        <f>IFERROR(__xludf.DUMMYFUNCTION("VALUE(SUBSTITUTE((INDEX(SPLIT(A742,"",""),1)),""."","","",1))"),59.759931)</f>
        <v>59.759931</v>
      </c>
      <c r="Q742" s="13">
        <f>IFERROR(__xludf.DUMMYFUNCTION("VALUE(SUBSTITUTE((INDEX(SPLIT(A742,"",""),2)),""."","","",1))"),30.518798)</f>
        <v>30.518798</v>
      </c>
      <c r="R742" s="14" t="b">
        <f t="shared" si="1"/>
        <v>0</v>
      </c>
      <c r="S742" s="14" t="str">
        <f t="shared" si="2"/>
        <v>59.759931,30.518798</v>
      </c>
      <c r="T742" s="12"/>
    </row>
    <row r="743">
      <c r="A743" s="20" t="s">
        <v>4833</v>
      </c>
      <c r="B743" s="16" t="s">
        <v>4834</v>
      </c>
      <c r="C743" s="16" t="s">
        <v>4835</v>
      </c>
      <c r="D743" s="16" t="s">
        <v>16</v>
      </c>
      <c r="E743" s="21" t="s">
        <v>4836</v>
      </c>
      <c r="F743" s="22" t="s">
        <v>3169</v>
      </c>
      <c r="G743" s="16">
        <v>23.61</v>
      </c>
      <c r="H743" s="16"/>
      <c r="I743" s="22"/>
      <c r="J743" s="22" t="s">
        <v>4837</v>
      </c>
      <c r="K743" s="22" t="s">
        <v>4838</v>
      </c>
      <c r="L743" s="23" t="s">
        <v>4839</v>
      </c>
      <c r="M743" s="22"/>
      <c r="N743" s="12"/>
      <c r="O743" s="12"/>
      <c r="P743" s="13">
        <f>IFERROR(__xludf.DUMMYFUNCTION("VALUE(SUBSTITUTE((INDEX(SPLIT(A743,"",""),1)),""."","","",1))"),59.825144)</f>
        <v>59.825144</v>
      </c>
      <c r="Q743" s="13">
        <f>IFERROR(__xludf.DUMMYFUNCTION("VALUE(SUBSTITUTE((INDEX(SPLIT(A743,"",""),2)),""."","","",1))"),30.520298)</f>
        <v>30.520298</v>
      </c>
      <c r="R743" s="14" t="b">
        <f t="shared" si="1"/>
        <v>0</v>
      </c>
      <c r="S743" s="14" t="str">
        <f t="shared" si="2"/>
        <v>59.825144,30.520298</v>
      </c>
      <c r="T743" s="12"/>
    </row>
    <row r="744">
      <c r="A744" s="18" t="s">
        <v>4840</v>
      </c>
      <c r="B744" s="8" t="s">
        <v>4841</v>
      </c>
      <c r="C744" s="8" t="s">
        <v>4842</v>
      </c>
      <c r="D744" s="8" t="s">
        <v>16</v>
      </c>
      <c r="E744" s="19" t="s">
        <v>4843</v>
      </c>
      <c r="F744" s="8" t="s">
        <v>3169</v>
      </c>
      <c r="G744" s="8">
        <v>23.61</v>
      </c>
      <c r="H744" s="8"/>
      <c r="I744" s="8"/>
      <c r="J744" s="8" t="s">
        <v>4844</v>
      </c>
      <c r="K744" s="8" t="s">
        <v>4845</v>
      </c>
      <c r="L744" s="8"/>
      <c r="M744" s="8"/>
      <c r="N744" s="12"/>
      <c r="O744" s="12"/>
      <c r="P744" s="13">
        <f>IFERROR(__xludf.DUMMYFUNCTION("VALUE(SUBSTITUTE((INDEX(SPLIT(A744,"",""),1)),""."","","",1))"),59.753627)</f>
        <v>59.753627</v>
      </c>
      <c r="Q744" s="13">
        <f>IFERROR(__xludf.DUMMYFUNCTION("VALUE(SUBSTITUTE((INDEX(SPLIT(A744,"",""),2)),""."","","",1))"),30.537815)</f>
        <v>30.537815</v>
      </c>
      <c r="R744" s="14" t="b">
        <f t="shared" si="1"/>
        <v>0</v>
      </c>
      <c r="S744" s="14" t="str">
        <f t="shared" si="2"/>
        <v>59.753627,30.537815</v>
      </c>
      <c r="T744" s="12"/>
    </row>
    <row r="745">
      <c r="A745" s="15" t="s">
        <v>4846</v>
      </c>
      <c r="B745" s="16" t="s">
        <v>4847</v>
      </c>
      <c r="C745" s="16" t="s">
        <v>4848</v>
      </c>
      <c r="D745" s="16" t="s">
        <v>16</v>
      </c>
      <c r="E745" s="17" t="s">
        <v>4849</v>
      </c>
      <c r="F745" s="16" t="s">
        <v>3169</v>
      </c>
      <c r="G745" s="16">
        <v>23.61</v>
      </c>
      <c r="H745" s="16"/>
      <c r="I745" s="16"/>
      <c r="J745" s="16" t="s">
        <v>4850</v>
      </c>
      <c r="K745" s="16" t="s">
        <v>4851</v>
      </c>
      <c r="L745" s="16"/>
      <c r="M745" s="25" t="s">
        <v>4852</v>
      </c>
      <c r="N745" s="12"/>
      <c r="O745" s="12"/>
      <c r="P745" s="13">
        <f>IFERROR(__xludf.DUMMYFUNCTION("VALUE(SUBSTITUTE((INDEX(SPLIT(A745,"",""),1)),""."","","",1))"),59.753219)</f>
        <v>59.753219</v>
      </c>
      <c r="Q745" s="13">
        <f>IFERROR(__xludf.DUMMYFUNCTION("VALUE(SUBSTITUTE((INDEX(SPLIT(A745,"",""),2)),""."","","",1))"),30.542648)</f>
        <v>30.542648</v>
      </c>
      <c r="R745" s="14" t="b">
        <f t="shared" si="1"/>
        <v>0</v>
      </c>
      <c r="S745" s="14" t="str">
        <f t="shared" si="2"/>
        <v>59.753219,30.542648</v>
      </c>
      <c r="T745" s="12"/>
    </row>
    <row r="746">
      <c r="A746" s="7" t="s">
        <v>4853</v>
      </c>
      <c r="B746" s="8" t="s">
        <v>4854</v>
      </c>
      <c r="C746" s="8" t="s">
        <v>4855</v>
      </c>
      <c r="D746" s="8" t="s">
        <v>16</v>
      </c>
      <c r="E746" s="9" t="s">
        <v>4856</v>
      </c>
      <c r="F746" s="10" t="s">
        <v>3148</v>
      </c>
      <c r="G746" s="8">
        <v>23.61</v>
      </c>
      <c r="H746" s="8"/>
      <c r="I746" s="10"/>
      <c r="J746" s="10" t="s">
        <v>4857</v>
      </c>
      <c r="K746" s="10" t="s">
        <v>4858</v>
      </c>
      <c r="L746" s="11" t="s">
        <v>4859</v>
      </c>
      <c r="M746" s="10"/>
      <c r="N746" s="12"/>
      <c r="O746" s="12"/>
      <c r="P746" s="13">
        <f>IFERROR(__xludf.DUMMYFUNCTION("VALUE(SUBSTITUTE((INDEX(SPLIT(A746,"",""),1)),""."","","",1))"),56.365358)</f>
        <v>56.365358</v>
      </c>
      <c r="Q746" s="13">
        <f>IFERROR(__xludf.DUMMYFUNCTION("VALUE(SUBSTITUTE((INDEX(SPLIT(A746,"",""),2)),""."","","",1))"),30.546052)</f>
        <v>30.546052</v>
      </c>
      <c r="R746" s="14" t="b">
        <f t="shared" si="1"/>
        <v>0</v>
      </c>
      <c r="S746" s="14" t="str">
        <f t="shared" si="2"/>
        <v>56.365358,30.546052</v>
      </c>
      <c r="T746" s="12"/>
    </row>
    <row r="747">
      <c r="A747" s="15" t="s">
        <v>4860</v>
      </c>
      <c r="B747" s="16" t="s">
        <v>4861</v>
      </c>
      <c r="C747" s="16" t="s">
        <v>4862</v>
      </c>
      <c r="D747" s="16" t="s">
        <v>16</v>
      </c>
      <c r="E747" s="17" t="s">
        <v>4863</v>
      </c>
      <c r="F747" s="16" t="s">
        <v>3169</v>
      </c>
      <c r="G747" s="16">
        <v>23.61</v>
      </c>
      <c r="H747" s="16"/>
      <c r="I747" s="16"/>
      <c r="J747" s="16" t="s">
        <v>4864</v>
      </c>
      <c r="K747" s="16" t="s">
        <v>4865</v>
      </c>
      <c r="L747" s="16"/>
      <c r="M747" s="16"/>
      <c r="N747" s="12"/>
      <c r="O747" s="12"/>
      <c r="P747" s="13">
        <f>IFERROR(__xludf.DUMMYFUNCTION("VALUE(SUBSTITUTE((INDEX(SPLIT(A747,"",""),1)),""."","","",1))"),59.808536)</f>
        <v>59.808536</v>
      </c>
      <c r="Q747" s="13">
        <f>IFERROR(__xludf.DUMMYFUNCTION("VALUE(SUBSTITUTE((INDEX(SPLIT(A747,"",""),2)),""."","","",1))"),30.550337)</f>
        <v>30.550337</v>
      </c>
      <c r="R747" s="14" t="b">
        <f t="shared" si="1"/>
        <v>0</v>
      </c>
      <c r="S747" s="14" t="str">
        <f t="shared" si="2"/>
        <v>59.808536,30.550337</v>
      </c>
      <c r="T747" s="12"/>
    </row>
    <row r="748">
      <c r="A748" s="18" t="s">
        <v>4860</v>
      </c>
      <c r="B748" s="8" t="s">
        <v>4866</v>
      </c>
      <c r="C748" s="8" t="s">
        <v>4867</v>
      </c>
      <c r="D748" s="8" t="s">
        <v>16</v>
      </c>
      <c r="E748" s="19" t="s">
        <v>4868</v>
      </c>
      <c r="F748" s="8" t="s">
        <v>3169</v>
      </c>
      <c r="G748" s="8">
        <v>23.61</v>
      </c>
      <c r="H748" s="8"/>
      <c r="I748" s="8"/>
      <c r="J748" s="8" t="s">
        <v>4869</v>
      </c>
      <c r="K748" s="8" t="s">
        <v>4870</v>
      </c>
      <c r="L748" s="8"/>
      <c r="M748" s="8"/>
      <c r="N748" s="12"/>
      <c r="O748" s="12"/>
      <c r="P748" s="13">
        <f>IFERROR(__xludf.DUMMYFUNCTION("VALUE(SUBSTITUTE((INDEX(SPLIT(A748,"",""),1)),""."","","",1))"),59.808536)</f>
        <v>59.808536</v>
      </c>
      <c r="Q748" s="13">
        <f>IFERROR(__xludf.DUMMYFUNCTION("VALUE(SUBSTITUTE((INDEX(SPLIT(A748,"",""),2)),""."","","",1))"),30.550337)</f>
        <v>30.550337</v>
      </c>
      <c r="R748" s="14" t="b">
        <f t="shared" si="1"/>
        <v>0</v>
      </c>
      <c r="S748" s="14" t="str">
        <f t="shared" si="2"/>
        <v>59.808536,30.550337</v>
      </c>
      <c r="T748" s="12"/>
    </row>
    <row r="749">
      <c r="A749" s="15" t="s">
        <v>4871</v>
      </c>
      <c r="B749" s="16" t="s">
        <v>4872</v>
      </c>
      <c r="C749" s="16" t="s">
        <v>4873</v>
      </c>
      <c r="D749" s="16" t="s">
        <v>16</v>
      </c>
      <c r="E749" s="17" t="s">
        <v>4874</v>
      </c>
      <c r="F749" s="16" t="s">
        <v>3169</v>
      </c>
      <c r="G749" s="16">
        <v>23.61</v>
      </c>
      <c r="H749" s="16"/>
      <c r="I749" s="16"/>
      <c r="J749" s="16" t="s">
        <v>4875</v>
      </c>
      <c r="K749" s="16" t="s">
        <v>4876</v>
      </c>
      <c r="L749" s="16"/>
      <c r="M749" s="16"/>
      <c r="N749" s="12"/>
      <c r="O749" s="12"/>
      <c r="P749" s="13">
        <f>IFERROR(__xludf.DUMMYFUNCTION("VALUE(SUBSTITUTE((INDEX(SPLIT(A749,"",""),1)),""."","","",1))"),59.754026)</f>
        <v>59.754026</v>
      </c>
      <c r="Q749" s="13">
        <f>IFERROR(__xludf.DUMMYFUNCTION("VALUE(SUBSTITUTE((INDEX(SPLIT(A749,"",""),2)),""."","","",1))"),30.553257)</f>
        <v>30.553257</v>
      </c>
      <c r="R749" s="14" t="b">
        <f t="shared" si="1"/>
        <v>0</v>
      </c>
      <c r="S749" s="14" t="str">
        <f t="shared" si="2"/>
        <v>59.754026,30.553257</v>
      </c>
      <c r="T749" s="12"/>
    </row>
    <row r="750">
      <c r="A750" s="18" t="s">
        <v>4877</v>
      </c>
      <c r="B750" s="8" t="s">
        <v>4878</v>
      </c>
      <c r="C750" s="8" t="s">
        <v>4879</v>
      </c>
      <c r="D750" s="8" t="s">
        <v>16</v>
      </c>
      <c r="E750" s="19" t="s">
        <v>4880</v>
      </c>
      <c r="F750" s="8" t="s">
        <v>4881</v>
      </c>
      <c r="G750" s="8">
        <v>23.61</v>
      </c>
      <c r="H750" s="8"/>
      <c r="I750" s="8"/>
      <c r="J750" s="8" t="s">
        <v>4882</v>
      </c>
      <c r="K750" s="8" t="s">
        <v>4223</v>
      </c>
      <c r="L750" s="8"/>
      <c r="M750" s="8"/>
      <c r="N750" s="12"/>
      <c r="O750" s="12"/>
      <c r="P750" s="13">
        <f>IFERROR(__xludf.DUMMYFUNCTION("VALUE(SUBSTITUTE((INDEX(SPLIT(A750,"",""),1)),""."","","",1))"),59.799983)</f>
        <v>59.799983</v>
      </c>
      <c r="Q750" s="13">
        <f>IFERROR(__xludf.DUMMYFUNCTION("VALUE(SUBSTITUTE((INDEX(SPLIT(A750,"",""),2)),""."","","",1))"),30.560794)</f>
        <v>30.560794</v>
      </c>
      <c r="R750" s="14" t="b">
        <f t="shared" si="1"/>
        <v>0</v>
      </c>
      <c r="S750" s="14" t="str">
        <f t="shared" si="2"/>
        <v>59.799983,30.560794</v>
      </c>
      <c r="T750" s="12"/>
    </row>
    <row r="751">
      <c r="A751" s="15" t="s">
        <v>4883</v>
      </c>
      <c r="B751" s="16" t="s">
        <v>4884</v>
      </c>
      <c r="C751" s="16" t="s">
        <v>4885</v>
      </c>
      <c r="D751" s="16" t="s">
        <v>16</v>
      </c>
      <c r="E751" s="17" t="s">
        <v>4886</v>
      </c>
      <c r="F751" s="16" t="s">
        <v>3162</v>
      </c>
      <c r="G751" s="16">
        <v>23.61</v>
      </c>
      <c r="H751" s="16"/>
      <c r="I751" s="16"/>
      <c r="J751" s="16" t="s">
        <v>4887</v>
      </c>
      <c r="K751" s="16" t="s">
        <v>4888</v>
      </c>
      <c r="L751" s="16"/>
      <c r="M751" s="25" t="s">
        <v>4889</v>
      </c>
      <c r="N751" s="12"/>
      <c r="O751" s="12"/>
      <c r="P751" s="13">
        <f>IFERROR(__xludf.DUMMYFUNCTION("VALUE(SUBSTITUTE((INDEX(SPLIT(A751,"",""),1)),""."","","",1))"),60.163665)</f>
        <v>60.163665</v>
      </c>
      <c r="Q751" s="13">
        <f>IFERROR(__xludf.DUMMYFUNCTION("VALUE(SUBSTITUTE((INDEX(SPLIT(A751,"",""),2)),""."","","",1))"),30.567774)</f>
        <v>30.567774</v>
      </c>
      <c r="R751" s="14" t="b">
        <f t="shared" si="1"/>
        <v>0</v>
      </c>
      <c r="S751" s="14" t="str">
        <f t="shared" si="2"/>
        <v>60.163665,30.567774</v>
      </c>
      <c r="T751" s="12"/>
    </row>
    <row r="752">
      <c r="A752" s="7" t="s">
        <v>4890</v>
      </c>
      <c r="B752" s="8" t="s">
        <v>4891</v>
      </c>
      <c r="C752" s="8" t="s">
        <v>4892</v>
      </c>
      <c r="D752" s="8" t="s">
        <v>16</v>
      </c>
      <c r="E752" s="9" t="s">
        <v>4893</v>
      </c>
      <c r="F752" s="10" t="s">
        <v>3169</v>
      </c>
      <c r="G752" s="8">
        <v>23.61</v>
      </c>
      <c r="H752" s="8"/>
      <c r="I752" s="10"/>
      <c r="J752" s="10" t="s">
        <v>4894</v>
      </c>
      <c r="K752" s="10" t="s">
        <v>4838</v>
      </c>
      <c r="L752" s="11" t="s">
        <v>4895</v>
      </c>
      <c r="M752" s="11" t="s">
        <v>4896</v>
      </c>
      <c r="N752" s="12"/>
      <c r="O752" s="12"/>
      <c r="P752" s="13">
        <f>IFERROR(__xludf.DUMMYFUNCTION("VALUE(SUBSTITUTE((INDEX(SPLIT(A752,"",""),1)),""."","","",1))"),59.806658)</f>
        <v>59.806658</v>
      </c>
      <c r="Q752" s="13">
        <f>IFERROR(__xludf.DUMMYFUNCTION("VALUE(SUBSTITUTE((INDEX(SPLIT(A752,"",""),2)),""."","","",1))"),30.572077)</f>
        <v>30.572077</v>
      </c>
      <c r="R752" s="14" t="b">
        <f t="shared" si="1"/>
        <v>0</v>
      </c>
      <c r="S752" s="14" t="str">
        <f t="shared" si="2"/>
        <v>59.806658,30.572077</v>
      </c>
      <c r="T752" s="12"/>
    </row>
    <row r="753">
      <c r="A753" s="15" t="s">
        <v>4897</v>
      </c>
      <c r="B753" s="16" t="s">
        <v>4898</v>
      </c>
      <c r="C753" s="16" t="s">
        <v>4899</v>
      </c>
      <c r="D753" s="16" t="s">
        <v>16</v>
      </c>
      <c r="E753" s="17" t="s">
        <v>4900</v>
      </c>
      <c r="F753" s="16" t="s">
        <v>3162</v>
      </c>
      <c r="G753" s="16">
        <v>23.61</v>
      </c>
      <c r="H753" s="16"/>
      <c r="I753" s="16"/>
      <c r="J753" s="16" t="s">
        <v>4901</v>
      </c>
      <c r="K753" s="16" t="s">
        <v>4902</v>
      </c>
      <c r="L753" s="16"/>
      <c r="M753" s="16"/>
      <c r="N753" s="12"/>
      <c r="O753" s="12"/>
      <c r="P753" s="13">
        <f>IFERROR(__xludf.DUMMYFUNCTION("VALUE(SUBSTITUTE((INDEX(SPLIT(A753,"",""),1)),""."","","",1))"),59.953651)</f>
        <v>59.953651</v>
      </c>
      <c r="Q753" s="13">
        <f>IFERROR(__xludf.DUMMYFUNCTION("VALUE(SUBSTITUTE((INDEX(SPLIT(A753,"",""),2)),""."","","",1))"),30.577907)</f>
        <v>30.577907</v>
      </c>
      <c r="R753" s="14" t="b">
        <f t="shared" si="1"/>
        <v>0</v>
      </c>
      <c r="S753" s="14" t="str">
        <f t="shared" si="2"/>
        <v>59.953651,30.577907</v>
      </c>
      <c r="T753" s="12"/>
    </row>
    <row r="754">
      <c r="A754" s="18" t="s">
        <v>4903</v>
      </c>
      <c r="B754" s="8" t="s">
        <v>4904</v>
      </c>
      <c r="C754" s="8" t="s">
        <v>4905</v>
      </c>
      <c r="D754" s="8" t="s">
        <v>16</v>
      </c>
      <c r="E754" s="19" t="s">
        <v>4906</v>
      </c>
      <c r="F754" s="8" t="s">
        <v>3169</v>
      </c>
      <c r="G754" s="8">
        <v>23.61</v>
      </c>
      <c r="H754" s="8"/>
      <c r="I754" s="8"/>
      <c r="J754" s="8" t="s">
        <v>4907</v>
      </c>
      <c r="K754" s="8" t="s">
        <v>4908</v>
      </c>
      <c r="L754" s="8"/>
      <c r="M754" s="8"/>
      <c r="N754" s="12"/>
      <c r="O754" s="12"/>
      <c r="P754" s="13">
        <f>IFERROR(__xludf.DUMMYFUNCTION("VALUE(SUBSTITUTE((INDEX(SPLIT(A754,"",""),1)),""."","","",1))"),59.782728)</f>
        <v>59.782728</v>
      </c>
      <c r="Q754" s="13">
        <f>IFERROR(__xludf.DUMMYFUNCTION("VALUE(SUBSTITUTE((INDEX(SPLIT(A754,"",""),2)),""."","","",1))"),30.585929)</f>
        <v>30.585929</v>
      </c>
      <c r="R754" s="14" t="b">
        <f t="shared" si="1"/>
        <v>0</v>
      </c>
      <c r="S754" s="14" t="str">
        <f t="shared" si="2"/>
        <v>59.782728,30.585929</v>
      </c>
      <c r="T754" s="12"/>
    </row>
    <row r="755">
      <c r="A755" s="15" t="s">
        <v>4909</v>
      </c>
      <c r="B755" s="16" t="s">
        <v>4910</v>
      </c>
      <c r="C755" s="16" t="s">
        <v>4911</v>
      </c>
      <c r="D755" s="16" t="s">
        <v>16</v>
      </c>
      <c r="E755" s="17" t="s">
        <v>4912</v>
      </c>
      <c r="F755" s="16" t="s">
        <v>3169</v>
      </c>
      <c r="G755" s="16">
        <v>23.61</v>
      </c>
      <c r="H755" s="16"/>
      <c r="I755" s="16"/>
      <c r="J755" s="16" t="s">
        <v>4913</v>
      </c>
      <c r="K755" s="16" t="s">
        <v>4914</v>
      </c>
      <c r="L755" s="16"/>
      <c r="M755" s="16"/>
      <c r="N755" s="12"/>
      <c r="O755" s="12"/>
      <c r="P755" s="13">
        <f>IFERROR(__xludf.DUMMYFUNCTION("VALUE(SUBSTITUTE((INDEX(SPLIT(A755,"",""),1)),""."","","",1))"),59.767399)</f>
        <v>59.767399</v>
      </c>
      <c r="Q755" s="13">
        <f>IFERROR(__xludf.DUMMYFUNCTION("VALUE(SUBSTITUTE((INDEX(SPLIT(A755,"",""),2)),""."","","",1))"),30.604901)</f>
        <v>30.604901</v>
      </c>
      <c r="R755" s="14" t="b">
        <f t="shared" si="1"/>
        <v>0</v>
      </c>
      <c r="S755" s="14" t="str">
        <f t="shared" si="2"/>
        <v>59.767399,30.604901</v>
      </c>
      <c r="T755" s="12"/>
    </row>
    <row r="756">
      <c r="A756" s="18" t="s">
        <v>4915</v>
      </c>
      <c r="B756" s="8" t="s">
        <v>4916</v>
      </c>
      <c r="C756" s="8" t="s">
        <v>4917</v>
      </c>
      <c r="D756" s="8" t="s">
        <v>16</v>
      </c>
      <c r="E756" s="19" t="s">
        <v>4918</v>
      </c>
      <c r="F756" s="8" t="s">
        <v>3340</v>
      </c>
      <c r="G756" s="8">
        <v>23.61</v>
      </c>
      <c r="H756" s="8"/>
      <c r="I756" s="8"/>
      <c r="J756" s="8" t="s">
        <v>4919</v>
      </c>
      <c r="K756" s="8" t="s">
        <v>4920</v>
      </c>
      <c r="L756" s="8"/>
      <c r="M756" s="8"/>
      <c r="N756" s="12"/>
      <c r="O756" s="12"/>
      <c r="P756" s="13">
        <f>IFERROR(__xludf.DUMMYFUNCTION("VALUE(SUBSTITUTE((INDEX(SPLIT(A756,"",""),1)),""."","","",1))"),64.597966)</f>
        <v>64.597966</v>
      </c>
      <c r="Q756" s="13">
        <f>IFERROR(__xludf.DUMMYFUNCTION("VALUE(SUBSTITUTE((INDEX(SPLIT(A756,"",""),2)),""."","","",1))"),30.617199)</f>
        <v>30.617199</v>
      </c>
      <c r="R756" s="14" t="b">
        <f t="shared" si="1"/>
        <v>0</v>
      </c>
      <c r="S756" s="14" t="str">
        <f t="shared" si="2"/>
        <v>64.597966,30.617199</v>
      </c>
      <c r="T756" s="12"/>
    </row>
    <row r="757">
      <c r="A757" s="15" t="s">
        <v>4921</v>
      </c>
      <c r="B757" s="16" t="s">
        <v>4922</v>
      </c>
      <c r="C757" s="16" t="s">
        <v>4923</v>
      </c>
      <c r="D757" s="16" t="s">
        <v>16</v>
      </c>
      <c r="E757" s="17" t="s">
        <v>4924</v>
      </c>
      <c r="F757" s="16" t="s">
        <v>3169</v>
      </c>
      <c r="G757" s="16">
        <v>23.61</v>
      </c>
      <c r="H757" s="16"/>
      <c r="I757" s="16"/>
      <c r="J757" s="16" t="s">
        <v>4925</v>
      </c>
      <c r="K757" s="16" t="s">
        <v>4926</v>
      </c>
      <c r="L757" s="16"/>
      <c r="M757" s="16"/>
      <c r="N757" s="12"/>
      <c r="O757" s="12"/>
      <c r="P757" s="13">
        <f>IFERROR(__xludf.DUMMYFUNCTION("VALUE(SUBSTITUTE((INDEX(SPLIT(A757,"",""),1)),""."","","",1))"),59.786713)</f>
        <v>59.786713</v>
      </c>
      <c r="Q757" s="13">
        <f>IFERROR(__xludf.DUMMYFUNCTION("VALUE(SUBSTITUTE((INDEX(SPLIT(A757,"",""),2)),""."","","",1))"),30.627781)</f>
        <v>30.627781</v>
      </c>
      <c r="R757" s="14" t="b">
        <f t="shared" si="1"/>
        <v>0</v>
      </c>
      <c r="S757" s="14" t="str">
        <f t="shared" si="2"/>
        <v>59.786713,30.627781</v>
      </c>
      <c r="T757" s="12"/>
    </row>
    <row r="758">
      <c r="A758" s="18" t="s">
        <v>4927</v>
      </c>
      <c r="B758" s="8" t="s">
        <v>4928</v>
      </c>
      <c r="C758" s="8" t="s">
        <v>4929</v>
      </c>
      <c r="D758" s="8" t="s">
        <v>16</v>
      </c>
      <c r="E758" s="19" t="s">
        <v>4930</v>
      </c>
      <c r="F758" s="8" t="s">
        <v>3162</v>
      </c>
      <c r="G758" s="8">
        <v>23.61</v>
      </c>
      <c r="H758" s="8"/>
      <c r="I758" s="8"/>
      <c r="J758" s="8" t="s">
        <v>4931</v>
      </c>
      <c r="K758" s="8" t="s">
        <v>4932</v>
      </c>
      <c r="L758" s="8"/>
      <c r="M758" s="8"/>
      <c r="N758" s="12"/>
      <c r="O758" s="12"/>
      <c r="P758" s="13">
        <f>IFERROR(__xludf.DUMMYFUNCTION("VALUE(SUBSTITUTE((INDEX(SPLIT(A758,"",""),1)),""."","","",1))"),59.937134)</f>
        <v>59.937134</v>
      </c>
      <c r="Q758" s="13">
        <f>IFERROR(__xludf.DUMMYFUNCTION("VALUE(SUBSTITUTE((INDEX(SPLIT(A758,"",""),2)),""."","","",1))"),30.637887)</f>
        <v>30.637887</v>
      </c>
      <c r="R758" s="14" t="b">
        <f t="shared" si="1"/>
        <v>0</v>
      </c>
      <c r="S758" s="14" t="str">
        <f t="shared" si="2"/>
        <v>59.937134,30.637887</v>
      </c>
      <c r="T758" s="12"/>
    </row>
    <row r="759">
      <c r="A759" s="15" t="s">
        <v>4933</v>
      </c>
      <c r="B759" s="16" t="s">
        <v>4934</v>
      </c>
      <c r="C759" s="16" t="s">
        <v>4935</v>
      </c>
      <c r="D759" s="16" t="s">
        <v>16</v>
      </c>
      <c r="E759" s="17" t="s">
        <v>4936</v>
      </c>
      <c r="F759" s="16" t="s">
        <v>3162</v>
      </c>
      <c r="G759" s="16">
        <v>23.61</v>
      </c>
      <c r="H759" s="16"/>
      <c r="I759" s="16"/>
      <c r="J759" s="16" t="s">
        <v>4937</v>
      </c>
      <c r="K759" s="16" t="s">
        <v>4938</v>
      </c>
      <c r="L759" s="16"/>
      <c r="M759" s="16"/>
      <c r="N759" s="12"/>
      <c r="O759" s="12"/>
      <c r="P759" s="13">
        <f>IFERROR(__xludf.DUMMYFUNCTION("VALUE(SUBSTITUTE((INDEX(SPLIT(A759,"",""),1)),""."","","",1))"),60.025201)</f>
        <v>60.025201</v>
      </c>
      <c r="Q759" s="13">
        <f>IFERROR(__xludf.DUMMYFUNCTION("VALUE(SUBSTITUTE((INDEX(SPLIT(A759,"",""),2)),""."","","",1))"),30.640232)</f>
        <v>30.640232</v>
      </c>
      <c r="R759" s="14" t="b">
        <f t="shared" si="1"/>
        <v>0</v>
      </c>
      <c r="S759" s="14" t="str">
        <f t="shared" si="2"/>
        <v>60.025201,30.640232</v>
      </c>
      <c r="T759" s="12"/>
    </row>
    <row r="760">
      <c r="A760" s="18" t="s">
        <v>4939</v>
      </c>
      <c r="B760" s="8" t="s">
        <v>4940</v>
      </c>
      <c r="C760" s="8" t="s">
        <v>4941</v>
      </c>
      <c r="D760" s="8" t="s">
        <v>16</v>
      </c>
      <c r="E760" s="19" t="s">
        <v>4942</v>
      </c>
      <c r="F760" s="8" t="s">
        <v>3162</v>
      </c>
      <c r="G760" s="8">
        <v>23.61</v>
      </c>
      <c r="H760" s="8"/>
      <c r="I760" s="8"/>
      <c r="J760" s="8" t="s">
        <v>4943</v>
      </c>
      <c r="K760" s="8" t="s">
        <v>4944</v>
      </c>
      <c r="L760" s="8"/>
      <c r="M760" s="24" t="s">
        <v>4945</v>
      </c>
      <c r="N760" s="12"/>
      <c r="O760" s="12"/>
      <c r="P760" s="13">
        <f>IFERROR(__xludf.DUMMYFUNCTION("VALUE(SUBSTITUTE((INDEX(SPLIT(A760,"",""),1)),""."","","",1))"),60.024626)</f>
        <v>60.024626</v>
      </c>
      <c r="Q760" s="13">
        <f>IFERROR(__xludf.DUMMYFUNCTION("VALUE(SUBSTITUTE((INDEX(SPLIT(A760,"",""),2)),""."","","",1))"),30.645873)</f>
        <v>30.645873</v>
      </c>
      <c r="R760" s="14" t="b">
        <f t="shared" si="1"/>
        <v>0</v>
      </c>
      <c r="S760" s="14" t="str">
        <f t="shared" si="2"/>
        <v>60.024626,30.645873</v>
      </c>
      <c r="T760" s="12"/>
    </row>
    <row r="761">
      <c r="A761" s="15" t="s">
        <v>4946</v>
      </c>
      <c r="B761" s="16" t="s">
        <v>4947</v>
      </c>
      <c r="C761" s="16" t="s">
        <v>4948</v>
      </c>
      <c r="D761" s="16" t="s">
        <v>16</v>
      </c>
      <c r="E761" s="17" t="s">
        <v>4949</v>
      </c>
      <c r="F761" s="16" t="s">
        <v>3162</v>
      </c>
      <c r="G761" s="16">
        <v>23.61</v>
      </c>
      <c r="H761" s="16"/>
      <c r="I761" s="16"/>
      <c r="J761" s="16" t="s">
        <v>4950</v>
      </c>
      <c r="K761" s="16" t="s">
        <v>4951</v>
      </c>
      <c r="L761" s="16"/>
      <c r="M761" s="16"/>
      <c r="N761" s="12"/>
      <c r="O761" s="12"/>
      <c r="P761" s="13">
        <f>IFERROR(__xludf.DUMMYFUNCTION("VALUE(SUBSTITUTE((INDEX(SPLIT(A761,"",""),1)),""."","","",1))"),60.0212)</f>
        <v>60.0212</v>
      </c>
      <c r="Q761" s="13">
        <f>IFERROR(__xludf.DUMMYFUNCTION("VALUE(SUBSTITUTE((INDEX(SPLIT(A761,"",""),2)),""."","","",1))"),30.646448)</f>
        <v>30.646448</v>
      </c>
      <c r="R761" s="14" t="b">
        <f t="shared" si="1"/>
        <v>0</v>
      </c>
      <c r="S761" s="14" t="str">
        <f t="shared" si="2"/>
        <v>60.0212,30.646448</v>
      </c>
      <c r="T761" s="12"/>
    </row>
    <row r="762">
      <c r="A762" s="18" t="s">
        <v>4946</v>
      </c>
      <c r="B762" s="8" t="s">
        <v>4952</v>
      </c>
      <c r="C762" s="8" t="s">
        <v>4953</v>
      </c>
      <c r="D762" s="8" t="s">
        <v>16</v>
      </c>
      <c r="E762" s="19" t="s">
        <v>4954</v>
      </c>
      <c r="F762" s="8" t="s">
        <v>3162</v>
      </c>
      <c r="G762" s="8">
        <v>23.61</v>
      </c>
      <c r="H762" s="8"/>
      <c r="I762" s="8"/>
      <c r="J762" s="8" t="s">
        <v>4955</v>
      </c>
      <c r="K762" s="8" t="s">
        <v>4956</v>
      </c>
      <c r="L762" s="8"/>
      <c r="M762" s="8"/>
      <c r="N762" s="12"/>
      <c r="O762" s="12"/>
      <c r="P762" s="13">
        <f>IFERROR(__xludf.DUMMYFUNCTION("VALUE(SUBSTITUTE((INDEX(SPLIT(A762,"",""),1)),""."","","",1))"),60.0212)</f>
        <v>60.0212</v>
      </c>
      <c r="Q762" s="13">
        <f>IFERROR(__xludf.DUMMYFUNCTION("VALUE(SUBSTITUTE((INDEX(SPLIT(A762,"",""),2)),""."","","",1))"),30.646448)</f>
        <v>30.646448</v>
      </c>
      <c r="R762" s="14" t="b">
        <f t="shared" si="1"/>
        <v>0</v>
      </c>
      <c r="S762" s="14" t="str">
        <f t="shared" si="2"/>
        <v>60.0212,30.646448</v>
      </c>
      <c r="T762" s="12"/>
    </row>
    <row r="763">
      <c r="A763" s="15" t="s">
        <v>4957</v>
      </c>
      <c r="B763" s="16" t="s">
        <v>4958</v>
      </c>
      <c r="C763" s="16" t="s">
        <v>4959</v>
      </c>
      <c r="D763" s="16" t="s">
        <v>16</v>
      </c>
      <c r="E763" s="17" t="s">
        <v>4960</v>
      </c>
      <c r="F763" s="16" t="s">
        <v>3162</v>
      </c>
      <c r="G763" s="16">
        <v>23.61</v>
      </c>
      <c r="H763" s="16"/>
      <c r="I763" s="16"/>
      <c r="J763" s="16" t="s">
        <v>4961</v>
      </c>
      <c r="K763" s="16" t="s">
        <v>4962</v>
      </c>
      <c r="L763" s="16"/>
      <c r="M763" s="16"/>
      <c r="N763" s="12"/>
      <c r="O763" s="12"/>
      <c r="P763" s="13">
        <f>IFERROR(__xludf.DUMMYFUNCTION("VALUE(SUBSTITUTE((INDEX(SPLIT(A763,"",""),1)),""."","","",1))"),60.004429)</f>
        <v>60.004429</v>
      </c>
      <c r="Q763" s="13">
        <f>IFERROR(__xludf.DUMMYFUNCTION("VALUE(SUBSTITUTE((INDEX(SPLIT(A763,"",""),2)),""."","","",1))"),30.651551)</f>
        <v>30.651551</v>
      </c>
      <c r="R763" s="14" t="b">
        <f t="shared" si="1"/>
        <v>0</v>
      </c>
      <c r="S763" s="14" t="str">
        <f t="shared" si="2"/>
        <v>60.004429,30.651551</v>
      </c>
      <c r="T763" s="12"/>
    </row>
    <row r="764">
      <c r="A764" s="18" t="s">
        <v>4963</v>
      </c>
      <c r="B764" s="8" t="s">
        <v>4964</v>
      </c>
      <c r="C764" s="8" t="s">
        <v>4965</v>
      </c>
      <c r="D764" s="8" t="s">
        <v>16</v>
      </c>
      <c r="E764" s="19" t="s">
        <v>4966</v>
      </c>
      <c r="F764" s="8" t="s">
        <v>3162</v>
      </c>
      <c r="G764" s="8">
        <v>23.61</v>
      </c>
      <c r="H764" s="8"/>
      <c r="I764" s="8"/>
      <c r="J764" s="8" t="s">
        <v>4967</v>
      </c>
      <c r="K764" s="8" t="s">
        <v>4968</v>
      </c>
      <c r="L764" s="8"/>
      <c r="M764" s="8"/>
      <c r="N764" s="12"/>
      <c r="O764" s="12"/>
      <c r="P764" s="13">
        <f>IFERROR(__xludf.DUMMYFUNCTION("VALUE(SUBSTITUTE((INDEX(SPLIT(A764,"",""),1)),""."","","",1))"),60.014603)</f>
        <v>60.014603</v>
      </c>
      <c r="Q764" s="13">
        <f>IFERROR(__xludf.DUMMYFUNCTION("VALUE(SUBSTITUTE((INDEX(SPLIT(A764,"",""),2)),""."","","",1))"),30.666651)</f>
        <v>30.666651</v>
      </c>
      <c r="R764" s="14" t="b">
        <f t="shared" si="1"/>
        <v>0</v>
      </c>
      <c r="S764" s="14" t="str">
        <f t="shared" si="2"/>
        <v>60.014603,30.666651</v>
      </c>
      <c r="T764" s="12"/>
    </row>
    <row r="765">
      <c r="A765" s="20" t="s">
        <v>4969</v>
      </c>
      <c r="B765" s="16" t="s">
        <v>4970</v>
      </c>
      <c r="C765" s="16" t="s">
        <v>4971</v>
      </c>
      <c r="D765" s="16" t="s">
        <v>16</v>
      </c>
      <c r="E765" s="21" t="s">
        <v>4972</v>
      </c>
      <c r="F765" s="22" t="s">
        <v>3169</v>
      </c>
      <c r="G765" s="16">
        <v>23.61</v>
      </c>
      <c r="H765" s="16"/>
      <c r="I765" s="28" t="s">
        <v>4973</v>
      </c>
      <c r="J765" s="22" t="s">
        <v>4974</v>
      </c>
      <c r="K765" s="22" t="s">
        <v>4975</v>
      </c>
      <c r="L765" s="23" t="s">
        <v>4976</v>
      </c>
      <c r="M765" s="23" t="s">
        <v>4977</v>
      </c>
      <c r="N765" s="12"/>
      <c r="O765" s="12"/>
      <c r="P765" s="13">
        <f>IFERROR(__xludf.DUMMYFUNCTION("VALUE(SUBSTITUTE((INDEX(SPLIT(A765,"",""),1)),""."","","",1))"),59.788755)</f>
        <v>59.788755</v>
      </c>
      <c r="Q765" s="13">
        <f>IFERROR(__xludf.DUMMYFUNCTION("VALUE(SUBSTITUTE((INDEX(SPLIT(A765,"",""),2)),""."","","",1))"),30.684896)</f>
        <v>30.684896</v>
      </c>
      <c r="R765" s="14" t="b">
        <f t="shared" si="1"/>
        <v>0</v>
      </c>
      <c r="S765" s="14" t="str">
        <f t="shared" si="2"/>
        <v>59.788755,30.684896</v>
      </c>
      <c r="T765" s="12"/>
    </row>
    <row r="766">
      <c r="A766" s="18" t="s">
        <v>4978</v>
      </c>
      <c r="B766" s="8" t="s">
        <v>4979</v>
      </c>
      <c r="C766" s="8" t="s">
        <v>4980</v>
      </c>
      <c r="D766" s="8" t="s">
        <v>16</v>
      </c>
      <c r="E766" s="19" t="s">
        <v>4981</v>
      </c>
      <c r="F766" s="8" t="s">
        <v>3162</v>
      </c>
      <c r="G766" s="8">
        <v>23.61</v>
      </c>
      <c r="H766" s="8"/>
      <c r="I766" s="8"/>
      <c r="J766" s="8" t="s">
        <v>4982</v>
      </c>
      <c r="K766" s="8" t="s">
        <v>4983</v>
      </c>
      <c r="L766" s="8"/>
      <c r="M766" s="8"/>
      <c r="N766" s="12"/>
      <c r="O766" s="12"/>
      <c r="P766" s="13">
        <f>IFERROR(__xludf.DUMMYFUNCTION("VALUE(SUBSTITUTE((INDEX(SPLIT(A766,"",""),1)),""."","","",1))"),60.049869)</f>
        <v>60.049869</v>
      </c>
      <c r="Q766" s="13">
        <f>IFERROR(__xludf.DUMMYFUNCTION("VALUE(SUBSTITUTE((INDEX(SPLIT(A766,"",""),2)),""."","","",1))"),30.71552)</f>
        <v>30.71552</v>
      </c>
      <c r="R766" s="14" t="b">
        <f t="shared" si="1"/>
        <v>0</v>
      </c>
      <c r="S766" s="14" t="str">
        <f t="shared" si="2"/>
        <v>60.049869,30.71552</v>
      </c>
      <c r="T766" s="12"/>
    </row>
    <row r="767">
      <c r="A767" s="20" t="s">
        <v>4984</v>
      </c>
      <c r="B767" s="16" t="s">
        <v>4985</v>
      </c>
      <c r="C767" s="16" t="s">
        <v>4986</v>
      </c>
      <c r="D767" s="16" t="s">
        <v>16</v>
      </c>
      <c r="E767" s="21" t="s">
        <v>4987</v>
      </c>
      <c r="F767" s="22" t="s">
        <v>3162</v>
      </c>
      <c r="G767" s="16">
        <v>23.61</v>
      </c>
      <c r="H767" s="16"/>
      <c r="I767" s="22"/>
      <c r="J767" s="22" t="s">
        <v>4988</v>
      </c>
      <c r="K767" s="22" t="s">
        <v>4989</v>
      </c>
      <c r="L767" s="23" t="s">
        <v>4990</v>
      </c>
      <c r="M767" s="22"/>
      <c r="N767" s="12"/>
      <c r="O767" s="12"/>
      <c r="P767" s="13">
        <f>IFERROR(__xludf.DUMMYFUNCTION("VALUE(SUBSTITUTE((INDEX(SPLIT(A767,"",""),1)),""."","","",1))"),60.054298)</f>
        <v>60.054298</v>
      </c>
      <c r="Q767" s="13">
        <f>IFERROR(__xludf.DUMMYFUNCTION("VALUE(SUBSTITUTE((INDEX(SPLIT(A767,"",""),2)),""."","","",1))"),30.735471)</f>
        <v>30.735471</v>
      </c>
      <c r="R767" s="14" t="b">
        <f t="shared" si="1"/>
        <v>0</v>
      </c>
      <c r="S767" s="14" t="str">
        <f t="shared" si="2"/>
        <v>60.054298,30.735471</v>
      </c>
      <c r="T767" s="12"/>
    </row>
    <row r="768">
      <c r="A768" s="18" t="s">
        <v>4991</v>
      </c>
      <c r="B768" s="8" t="s">
        <v>4992</v>
      </c>
      <c r="C768" s="8" t="s">
        <v>4993</v>
      </c>
      <c r="D768" s="8" t="s">
        <v>16</v>
      </c>
      <c r="E768" s="19" t="s">
        <v>4994</v>
      </c>
      <c r="F768" s="8" t="s">
        <v>3162</v>
      </c>
      <c r="G768" s="8">
        <v>23.61</v>
      </c>
      <c r="H768" s="8"/>
      <c r="I768" s="8"/>
      <c r="J768" s="8" t="s">
        <v>4995</v>
      </c>
      <c r="K768" s="8" t="s">
        <v>4996</v>
      </c>
      <c r="L768" s="8"/>
      <c r="M768" s="8"/>
      <c r="N768" s="12"/>
      <c r="O768" s="12"/>
      <c r="P768" s="13">
        <f>IFERROR(__xludf.DUMMYFUNCTION("VALUE(SUBSTITUTE((INDEX(SPLIT(A768,"",""),1)),""."","","",1))"),60.030717)</f>
        <v>60.030717</v>
      </c>
      <c r="Q768" s="13">
        <f>IFERROR(__xludf.DUMMYFUNCTION("VALUE(SUBSTITUTE((INDEX(SPLIT(A768,"",""),2)),""."","","",1))"),30.744751)</f>
        <v>30.744751</v>
      </c>
      <c r="R768" s="14" t="b">
        <f t="shared" si="1"/>
        <v>0</v>
      </c>
      <c r="S768" s="14" t="str">
        <f t="shared" si="2"/>
        <v>60.030717,30.744751</v>
      </c>
      <c r="T768" s="12"/>
    </row>
    <row r="769">
      <c r="A769" s="15" t="s">
        <v>4997</v>
      </c>
      <c r="B769" s="16" t="s">
        <v>4998</v>
      </c>
      <c r="C769" s="16" t="s">
        <v>4999</v>
      </c>
      <c r="D769" s="16" t="s">
        <v>16</v>
      </c>
      <c r="E769" s="17" t="s">
        <v>5000</v>
      </c>
      <c r="F769" s="16" t="s">
        <v>3162</v>
      </c>
      <c r="G769" s="16">
        <v>23.61</v>
      </c>
      <c r="H769" s="16"/>
      <c r="I769" s="16"/>
      <c r="J769" s="16" t="s">
        <v>5001</v>
      </c>
      <c r="K769" s="16" t="s">
        <v>5002</v>
      </c>
      <c r="L769" s="16"/>
      <c r="M769" s="25" t="s">
        <v>5003</v>
      </c>
      <c r="N769" s="12"/>
      <c r="O769" s="12"/>
      <c r="P769" s="13">
        <f>IFERROR(__xludf.DUMMYFUNCTION("VALUE(SUBSTITUTE((INDEX(SPLIT(A769,"",""),1)),""."","","",1))"),59.694091)</f>
        <v>59.694091</v>
      </c>
      <c r="Q769" s="13">
        <f>IFERROR(__xludf.DUMMYFUNCTION("VALUE(SUBSTITUTE((INDEX(SPLIT(A769,"",""),2)),""."","","",1))"),30.777827)</f>
        <v>30.777827</v>
      </c>
      <c r="R769" s="14" t="b">
        <f t="shared" si="1"/>
        <v>0</v>
      </c>
      <c r="S769" s="14" t="str">
        <f t="shared" si="2"/>
        <v>59.694091,30.777827</v>
      </c>
      <c r="T769" s="12"/>
    </row>
    <row r="770">
      <c r="A770" s="7" t="s">
        <v>5004</v>
      </c>
      <c r="B770" s="8" t="s">
        <v>5005</v>
      </c>
      <c r="C770" s="8" t="s">
        <v>5006</v>
      </c>
      <c r="D770" s="8" t="s">
        <v>16</v>
      </c>
      <c r="E770" s="9" t="s">
        <v>5007</v>
      </c>
      <c r="F770" s="10" t="s">
        <v>3162</v>
      </c>
      <c r="G770" s="8">
        <v>23.61</v>
      </c>
      <c r="H770" s="8"/>
      <c r="I770" s="10"/>
      <c r="J770" s="10" t="s">
        <v>5008</v>
      </c>
      <c r="K770" s="10" t="s">
        <v>5009</v>
      </c>
      <c r="L770" s="11" t="s">
        <v>5010</v>
      </c>
      <c r="M770" s="10"/>
      <c r="N770" s="12"/>
      <c r="O770" s="12"/>
      <c r="P770" s="13">
        <f>IFERROR(__xludf.DUMMYFUNCTION("VALUE(SUBSTITUTE((INDEX(SPLIT(A770,"",""),1)),""."","","",1))"),59.770394)</f>
        <v>59.770394</v>
      </c>
      <c r="Q770" s="13">
        <f>IFERROR(__xludf.DUMMYFUNCTION("VALUE(SUBSTITUTE((INDEX(SPLIT(A770,"",""),2)),""."","","",1))"),30.796045)</f>
        <v>30.796045</v>
      </c>
      <c r="R770" s="14" t="b">
        <f t="shared" si="1"/>
        <v>0</v>
      </c>
      <c r="S770" s="14" t="str">
        <f t="shared" si="2"/>
        <v>59.770394,30.796045</v>
      </c>
      <c r="T770" s="12"/>
    </row>
    <row r="771">
      <c r="A771" s="20" t="s">
        <v>5011</v>
      </c>
      <c r="B771" s="16" t="s">
        <v>5012</v>
      </c>
      <c r="C771" s="16" t="s">
        <v>5013</v>
      </c>
      <c r="D771" s="16" t="s">
        <v>16</v>
      </c>
      <c r="E771" s="21" t="s">
        <v>5014</v>
      </c>
      <c r="F771" s="22" t="s">
        <v>3162</v>
      </c>
      <c r="G771" s="16">
        <v>23.61</v>
      </c>
      <c r="H771" s="16"/>
      <c r="I771" s="22"/>
      <c r="J771" s="22" t="s">
        <v>5015</v>
      </c>
      <c r="K771" s="22" t="s">
        <v>5016</v>
      </c>
      <c r="L771" s="23" t="s">
        <v>5017</v>
      </c>
      <c r="M771" s="22"/>
      <c r="N771" s="12"/>
      <c r="O771" s="12"/>
      <c r="P771" s="13">
        <f>IFERROR(__xludf.DUMMYFUNCTION("VALUE(SUBSTITUTE((INDEX(SPLIT(A771,"",""),1)),""."","","",1))"),59.694182)</f>
        <v>59.694182</v>
      </c>
      <c r="Q771" s="13">
        <f>IFERROR(__xludf.DUMMYFUNCTION("VALUE(SUBSTITUTE((INDEX(SPLIT(A771,"",""),2)),""."","","",1))"),30.809645)</f>
        <v>30.809645</v>
      </c>
      <c r="R771" s="14" t="b">
        <f t="shared" si="1"/>
        <v>0</v>
      </c>
      <c r="S771" s="14" t="str">
        <f t="shared" si="2"/>
        <v>59.694182,30.809645</v>
      </c>
      <c r="T771" s="12"/>
    </row>
    <row r="772">
      <c r="A772" s="7" t="s">
        <v>5018</v>
      </c>
      <c r="B772" s="8" t="s">
        <v>5019</v>
      </c>
      <c r="C772" s="8" t="s">
        <v>5020</v>
      </c>
      <c r="D772" s="8" t="s">
        <v>16</v>
      </c>
      <c r="E772" s="9" t="s">
        <v>5021</v>
      </c>
      <c r="F772" s="10" t="s">
        <v>3162</v>
      </c>
      <c r="G772" s="8">
        <v>23.61</v>
      </c>
      <c r="H772" s="8"/>
      <c r="I772" s="10"/>
      <c r="J772" s="10" t="s">
        <v>5022</v>
      </c>
      <c r="K772" s="10" t="s">
        <v>5023</v>
      </c>
      <c r="L772" s="11" t="s">
        <v>5024</v>
      </c>
      <c r="M772" s="11" t="s">
        <v>5025</v>
      </c>
      <c r="N772" s="12"/>
      <c r="O772" s="12"/>
      <c r="P772" s="13">
        <f>IFERROR(__xludf.DUMMYFUNCTION("VALUE(SUBSTITUTE((INDEX(SPLIT(A772,"",""),1)),""."","","",1))"),59.534979)</f>
        <v>59.534979</v>
      </c>
      <c r="Q772" s="13">
        <f>IFERROR(__xludf.DUMMYFUNCTION("VALUE(SUBSTITUTE((INDEX(SPLIT(A772,"",""),2)),""."","","",1))"),30.855082)</f>
        <v>30.855082</v>
      </c>
      <c r="R772" s="14" t="b">
        <f t="shared" si="1"/>
        <v>0</v>
      </c>
      <c r="S772" s="14" t="str">
        <f t="shared" si="2"/>
        <v>59.534979,30.855082</v>
      </c>
      <c r="T772" s="12"/>
    </row>
    <row r="773">
      <c r="A773" s="15" t="s">
        <v>5026</v>
      </c>
      <c r="B773" s="16" t="s">
        <v>5027</v>
      </c>
      <c r="C773" s="16" t="s">
        <v>5028</v>
      </c>
      <c r="D773" s="16" t="s">
        <v>16</v>
      </c>
      <c r="E773" s="17" t="s">
        <v>5029</v>
      </c>
      <c r="F773" s="16" t="s">
        <v>3162</v>
      </c>
      <c r="G773" s="16">
        <v>23.61</v>
      </c>
      <c r="H773" s="16"/>
      <c r="I773" s="16"/>
      <c r="J773" s="16" t="s">
        <v>5030</v>
      </c>
      <c r="K773" s="16" t="s">
        <v>5031</v>
      </c>
      <c r="L773" s="16"/>
      <c r="M773" s="25" t="s">
        <v>5032</v>
      </c>
      <c r="N773" s="12"/>
      <c r="O773" s="12"/>
      <c r="P773" s="13">
        <f>IFERROR(__xludf.DUMMYFUNCTION("VALUE(SUBSTITUTE((INDEX(SPLIT(A773,"",""),1)),""."","","",1))"),59.854404)</f>
        <v>59.854404</v>
      </c>
      <c r="Q773" s="13">
        <f>IFERROR(__xludf.DUMMYFUNCTION("VALUE(SUBSTITUTE((INDEX(SPLIT(A773,"",""),2)),""."","","",1))"),30.966473)</f>
        <v>30.966473</v>
      </c>
      <c r="R773" s="14" t="b">
        <f t="shared" si="1"/>
        <v>0</v>
      </c>
      <c r="S773" s="14" t="str">
        <f t="shared" si="2"/>
        <v>59.854404,30.966473</v>
      </c>
      <c r="T773" s="12"/>
    </row>
    <row r="774">
      <c r="A774" s="7" t="s">
        <v>5033</v>
      </c>
      <c r="B774" s="8" t="s">
        <v>5034</v>
      </c>
      <c r="C774" s="8" t="s">
        <v>5035</v>
      </c>
      <c r="D774" s="8" t="s">
        <v>16</v>
      </c>
      <c r="E774" s="9" t="s">
        <v>5036</v>
      </c>
      <c r="F774" s="10" t="s">
        <v>3162</v>
      </c>
      <c r="G774" s="8">
        <v>23.61</v>
      </c>
      <c r="H774" s="8"/>
      <c r="I774" s="10"/>
      <c r="J774" s="10" t="s">
        <v>5037</v>
      </c>
      <c r="K774" s="10" t="s">
        <v>5038</v>
      </c>
      <c r="L774" s="11" t="s">
        <v>5039</v>
      </c>
      <c r="M774" s="11" t="s">
        <v>5040</v>
      </c>
      <c r="N774" s="12"/>
      <c r="O774" s="12"/>
      <c r="P774" s="13">
        <f>IFERROR(__xludf.DUMMYFUNCTION("VALUE(SUBSTITUTE((INDEX(SPLIT(A774,"",""),1)),""."","","",1))"),59.889562)</f>
        <v>59.889562</v>
      </c>
      <c r="Q774" s="13">
        <f>IFERROR(__xludf.DUMMYFUNCTION("VALUE(SUBSTITUTE((INDEX(SPLIT(A774,"",""),2)),""."","","",1))"),30.995066)</f>
        <v>30.995066</v>
      </c>
      <c r="R774" s="14" t="b">
        <f t="shared" si="1"/>
        <v>0</v>
      </c>
      <c r="S774" s="14" t="str">
        <f t="shared" si="2"/>
        <v>59.889562,30.995066</v>
      </c>
      <c r="T774" s="12"/>
    </row>
    <row r="775">
      <c r="A775" s="15" t="s">
        <v>5041</v>
      </c>
      <c r="B775" s="16" t="s">
        <v>5042</v>
      </c>
      <c r="C775" s="16" t="s">
        <v>5043</v>
      </c>
      <c r="D775" s="16" t="s">
        <v>16</v>
      </c>
      <c r="E775" s="17" t="s">
        <v>5044</v>
      </c>
      <c r="F775" s="16" t="s">
        <v>3162</v>
      </c>
      <c r="G775" s="16">
        <v>23.61</v>
      </c>
      <c r="H775" s="16"/>
      <c r="I775" s="16"/>
      <c r="J775" s="16" t="s">
        <v>5045</v>
      </c>
      <c r="K775" s="16" t="s">
        <v>5046</v>
      </c>
      <c r="L775" s="16"/>
      <c r="M775" s="16"/>
      <c r="N775" s="12"/>
      <c r="O775" s="12"/>
      <c r="P775" s="13">
        <f>IFERROR(__xludf.DUMMYFUNCTION("VALUE(SUBSTITUTE((INDEX(SPLIT(A775,"",""),1)),""."","","",1))"),59.88906)</f>
        <v>59.88906</v>
      </c>
      <c r="Q775" s="13">
        <f>IFERROR(__xludf.DUMMYFUNCTION("VALUE(SUBSTITUTE((INDEX(SPLIT(A775,"",""),2)),""."","","",1))"),30.999971)</f>
        <v>30.999971</v>
      </c>
      <c r="R775" s="14" t="b">
        <f t="shared" si="1"/>
        <v>0</v>
      </c>
      <c r="S775" s="14" t="str">
        <f t="shared" si="2"/>
        <v>59.88906,30.999971</v>
      </c>
      <c r="T775" s="12"/>
    </row>
    <row r="776">
      <c r="A776" s="18" t="s">
        <v>5047</v>
      </c>
      <c r="B776" s="8" t="s">
        <v>5048</v>
      </c>
      <c r="C776" s="8" t="s">
        <v>5049</v>
      </c>
      <c r="D776" s="8" t="s">
        <v>16</v>
      </c>
      <c r="E776" s="19" t="s">
        <v>5050</v>
      </c>
      <c r="F776" s="8" t="s">
        <v>5051</v>
      </c>
      <c r="G776" s="8">
        <v>23.61</v>
      </c>
      <c r="H776" s="8"/>
      <c r="I776" s="8"/>
      <c r="J776" s="8" t="s">
        <v>5052</v>
      </c>
      <c r="K776" s="8" t="s">
        <v>5053</v>
      </c>
      <c r="L776" s="8"/>
      <c r="M776" s="8"/>
      <c r="N776" s="12"/>
      <c r="O776" s="12"/>
      <c r="P776" s="13">
        <f>IFERROR(__xludf.DUMMYFUNCTION("VALUE(SUBSTITUTE((INDEX(SPLIT(A776,"",""),1)),""."","","",1))"),58.523496)</f>
        <v>58.523496</v>
      </c>
      <c r="Q776" s="13">
        <f>IFERROR(__xludf.DUMMYFUNCTION("VALUE(SUBSTITUTE((INDEX(SPLIT(A776,"",""),2)),""."","","",1))"),31.191519)</f>
        <v>31.191519</v>
      </c>
      <c r="R776" s="14" t="b">
        <f t="shared" si="1"/>
        <v>0</v>
      </c>
      <c r="S776" s="14" t="str">
        <f t="shared" si="2"/>
        <v>58.523496,31.191519</v>
      </c>
      <c r="T776" s="12"/>
    </row>
    <row r="777">
      <c r="A777" s="15" t="s">
        <v>5054</v>
      </c>
      <c r="B777" s="16" t="s">
        <v>5055</v>
      </c>
      <c r="C777" s="16" t="s">
        <v>5056</v>
      </c>
      <c r="D777" s="16" t="s">
        <v>16</v>
      </c>
      <c r="E777" s="17" t="s">
        <v>5057</v>
      </c>
      <c r="F777" s="16" t="s">
        <v>3340</v>
      </c>
      <c r="G777" s="16">
        <v>23.61</v>
      </c>
      <c r="H777" s="16"/>
      <c r="I777" s="16"/>
      <c r="J777" s="16" t="s">
        <v>5058</v>
      </c>
      <c r="K777" s="16" t="s">
        <v>5059</v>
      </c>
      <c r="L777" s="16"/>
      <c r="M777" s="16"/>
      <c r="N777" s="12"/>
      <c r="O777" s="12"/>
      <c r="P777" s="13">
        <f>IFERROR(__xludf.DUMMYFUNCTION("VALUE(SUBSTITUTE((INDEX(SPLIT(A777,"",""),1)),""."","","",1))"),65.196321)</f>
        <v>65.196321</v>
      </c>
      <c r="Q777" s="13">
        <f>IFERROR(__xludf.DUMMYFUNCTION("VALUE(SUBSTITUTE((INDEX(SPLIT(A777,"",""),2)),""."","","",1))"),31.196693)</f>
        <v>31.196693</v>
      </c>
      <c r="R777" s="14" t="b">
        <f t="shared" si="1"/>
        <v>0</v>
      </c>
      <c r="S777" s="14" t="str">
        <f t="shared" si="2"/>
        <v>65.196321,31.196693</v>
      </c>
      <c r="T777" s="12"/>
    </row>
    <row r="778">
      <c r="A778" s="7" t="s">
        <v>5060</v>
      </c>
      <c r="B778" s="8" t="s">
        <v>5061</v>
      </c>
      <c r="C778" s="8" t="s">
        <v>5062</v>
      </c>
      <c r="D778" s="8" t="s">
        <v>16</v>
      </c>
      <c r="E778" s="9" t="s">
        <v>5063</v>
      </c>
      <c r="F778" s="10" t="s">
        <v>5051</v>
      </c>
      <c r="G778" s="8">
        <v>23.61</v>
      </c>
      <c r="H778" s="8"/>
      <c r="I778" s="10"/>
      <c r="J778" s="10" t="s">
        <v>5064</v>
      </c>
      <c r="K778" s="10" t="s">
        <v>5065</v>
      </c>
      <c r="L778" s="11" t="s">
        <v>5066</v>
      </c>
      <c r="M778" s="10"/>
      <c r="N778" s="12"/>
      <c r="O778" s="12"/>
      <c r="P778" s="13">
        <f>IFERROR(__xludf.DUMMYFUNCTION("VALUE(SUBSTITUTE((INDEX(SPLIT(A778,"",""),1)),""."","","",1))"),58.501727)</f>
        <v>58.501727</v>
      </c>
      <c r="Q778" s="13">
        <f>IFERROR(__xludf.DUMMYFUNCTION("VALUE(SUBSTITUTE((INDEX(SPLIT(A778,"",""),2)),""."","","",1))"),31.201346)</f>
        <v>31.201346</v>
      </c>
      <c r="R778" s="14" t="b">
        <f t="shared" si="1"/>
        <v>0</v>
      </c>
      <c r="S778" s="14" t="str">
        <f t="shared" si="2"/>
        <v>58.501727,31.201346</v>
      </c>
      <c r="T778" s="12"/>
    </row>
    <row r="779">
      <c r="A779" s="20" t="s">
        <v>5067</v>
      </c>
      <c r="B779" s="16" t="s">
        <v>5068</v>
      </c>
      <c r="C779" s="16" t="s">
        <v>5069</v>
      </c>
      <c r="D779" s="16" t="s">
        <v>16</v>
      </c>
      <c r="E779" s="21" t="s">
        <v>5070</v>
      </c>
      <c r="F779" s="22" t="s">
        <v>3162</v>
      </c>
      <c r="G779" s="16">
        <v>23.61</v>
      </c>
      <c r="H779" s="16"/>
      <c r="I779" s="22"/>
      <c r="J779" s="22" t="s">
        <v>5071</v>
      </c>
      <c r="K779" s="22" t="s">
        <v>5072</v>
      </c>
      <c r="L779" s="23" t="s">
        <v>5073</v>
      </c>
      <c r="M779" s="23" t="s">
        <v>5074</v>
      </c>
      <c r="N779" s="12"/>
      <c r="O779" s="12"/>
      <c r="P779" s="13">
        <f>IFERROR(__xludf.DUMMYFUNCTION("VALUE(SUBSTITUTE((INDEX(SPLIT(A779,"",""),1)),""."","","",1))"),59.877615)</f>
        <v>59.877615</v>
      </c>
      <c r="Q779" s="13">
        <f>IFERROR(__xludf.DUMMYFUNCTION("VALUE(SUBSTITUTE((INDEX(SPLIT(A779,"",""),2)),""."","","",1))"),31.211381)</f>
        <v>31.211381</v>
      </c>
      <c r="R779" s="14" t="b">
        <f t="shared" si="1"/>
        <v>0</v>
      </c>
      <c r="S779" s="14" t="str">
        <f t="shared" si="2"/>
        <v>59.877615,31.211381</v>
      </c>
      <c r="T779" s="12"/>
    </row>
    <row r="780">
      <c r="A780" s="7" t="s">
        <v>5075</v>
      </c>
      <c r="B780" s="8" t="s">
        <v>5076</v>
      </c>
      <c r="C780" s="8" t="s">
        <v>5077</v>
      </c>
      <c r="D780" s="8" t="s">
        <v>16</v>
      </c>
      <c r="E780" s="9" t="s">
        <v>5078</v>
      </c>
      <c r="F780" s="10" t="s">
        <v>5051</v>
      </c>
      <c r="G780" s="8">
        <v>23.61</v>
      </c>
      <c r="H780" s="8"/>
      <c r="I780" s="10"/>
      <c r="J780" s="10" t="s">
        <v>5079</v>
      </c>
      <c r="K780" s="10" t="s">
        <v>5080</v>
      </c>
      <c r="L780" s="11" t="s">
        <v>5081</v>
      </c>
      <c r="M780" s="10"/>
      <c r="N780" s="12"/>
      <c r="O780" s="12"/>
      <c r="P780" s="13">
        <f>IFERROR(__xludf.DUMMYFUNCTION("VALUE(SUBSTITUTE((INDEX(SPLIT(A780,"",""),1)),""."","","",1))"),58.545434)</f>
        <v>58.545434</v>
      </c>
      <c r="Q780" s="13">
        <f>IFERROR(__xludf.DUMMYFUNCTION("VALUE(SUBSTITUTE((INDEX(SPLIT(A780,"",""),2)),""."","","",1))"),31.244753)</f>
        <v>31.244753</v>
      </c>
      <c r="R780" s="14" t="b">
        <f t="shared" si="1"/>
        <v>0</v>
      </c>
      <c r="S780" s="14" t="str">
        <f t="shared" si="2"/>
        <v>58.545434,31.244753</v>
      </c>
      <c r="T780" s="12"/>
    </row>
    <row r="781">
      <c r="A781" s="20" t="s">
        <v>5082</v>
      </c>
      <c r="B781" s="16" t="s">
        <v>5083</v>
      </c>
      <c r="C781" s="16" t="s">
        <v>5084</v>
      </c>
      <c r="D781" s="16" t="s">
        <v>16</v>
      </c>
      <c r="E781" s="21" t="s">
        <v>5085</v>
      </c>
      <c r="F781" s="22" t="s">
        <v>5051</v>
      </c>
      <c r="G781" s="16">
        <v>23.61</v>
      </c>
      <c r="H781" s="16"/>
      <c r="I781" s="22"/>
      <c r="J781" s="22" t="s">
        <v>5086</v>
      </c>
      <c r="K781" s="22" t="s">
        <v>5087</v>
      </c>
      <c r="L781" s="23" t="s">
        <v>5088</v>
      </c>
      <c r="M781" s="22"/>
      <c r="N781" s="12"/>
      <c r="O781" s="12"/>
      <c r="P781" s="13">
        <f>IFERROR(__xludf.DUMMYFUNCTION("VALUE(SUBSTITUTE((INDEX(SPLIT(A781,"",""),1)),""."","","",1))"),58.537436)</f>
        <v>58.537436</v>
      </c>
      <c r="Q781" s="13">
        <f>IFERROR(__xludf.DUMMYFUNCTION("VALUE(SUBSTITUTE((INDEX(SPLIT(A781,"",""),2)),""."","","",1))"),31.270678)</f>
        <v>31.270678</v>
      </c>
      <c r="R781" s="14" t="b">
        <f t="shared" si="1"/>
        <v>0</v>
      </c>
      <c r="S781" s="14" t="str">
        <f t="shared" si="2"/>
        <v>58.537436,31.270678</v>
      </c>
      <c r="T781" s="12"/>
    </row>
    <row r="782">
      <c r="A782" s="7" t="s">
        <v>5089</v>
      </c>
      <c r="B782" s="8" t="s">
        <v>5090</v>
      </c>
      <c r="C782" s="8" t="s">
        <v>5091</v>
      </c>
      <c r="D782" s="8" t="s">
        <v>16</v>
      </c>
      <c r="E782" s="9" t="s">
        <v>5092</v>
      </c>
      <c r="F782" s="10" t="s">
        <v>5051</v>
      </c>
      <c r="G782" s="8">
        <v>23.61</v>
      </c>
      <c r="H782" s="8"/>
      <c r="I782" s="10"/>
      <c r="J782" s="10" t="s">
        <v>5093</v>
      </c>
      <c r="K782" s="10" t="s">
        <v>5094</v>
      </c>
      <c r="L782" s="11" t="s">
        <v>5095</v>
      </c>
      <c r="M782" s="10"/>
      <c r="N782" s="12"/>
      <c r="O782" s="12"/>
      <c r="P782" s="13">
        <f>IFERROR(__xludf.DUMMYFUNCTION("VALUE(SUBSTITUTE((INDEX(SPLIT(A782,"",""),1)),""."","","",1))"),58.567298)</f>
        <v>58.567298</v>
      </c>
      <c r="Q782" s="13">
        <f>IFERROR(__xludf.DUMMYFUNCTION("VALUE(SUBSTITUTE((INDEX(SPLIT(A782,"",""),2)),""."","","",1))"),31.2772)</f>
        <v>31.2772</v>
      </c>
      <c r="R782" s="14" t="b">
        <f t="shared" si="1"/>
        <v>0</v>
      </c>
      <c r="S782" s="14" t="str">
        <f t="shared" si="2"/>
        <v>58.567298,31.2772</v>
      </c>
      <c r="T782" s="12"/>
    </row>
    <row r="783">
      <c r="A783" s="15" t="s">
        <v>5096</v>
      </c>
      <c r="B783" s="16" t="s">
        <v>5097</v>
      </c>
      <c r="C783" s="16" t="s">
        <v>5098</v>
      </c>
      <c r="D783" s="16" t="s">
        <v>16</v>
      </c>
      <c r="E783" s="17" t="s">
        <v>5099</v>
      </c>
      <c r="F783" s="16" t="s">
        <v>5051</v>
      </c>
      <c r="G783" s="16">
        <v>23.61</v>
      </c>
      <c r="H783" s="16"/>
      <c r="I783" s="16"/>
      <c r="J783" s="16" t="s">
        <v>5100</v>
      </c>
      <c r="K783" s="16" t="s">
        <v>5101</v>
      </c>
      <c r="L783" s="16"/>
      <c r="M783" s="16"/>
      <c r="N783" s="12"/>
      <c r="O783" s="12"/>
      <c r="P783" s="13">
        <f>IFERROR(__xludf.DUMMYFUNCTION("VALUE(SUBSTITUTE((INDEX(SPLIT(A783,"",""),1)),""."","","",1))"),58.516503)</f>
        <v>58.516503</v>
      </c>
      <c r="Q783" s="13">
        <f>IFERROR(__xludf.DUMMYFUNCTION("VALUE(SUBSTITUTE((INDEX(SPLIT(A783,"",""),2)),""."","","",1))"),31.29134)</f>
        <v>31.29134</v>
      </c>
      <c r="R783" s="14" t="b">
        <f t="shared" si="1"/>
        <v>0</v>
      </c>
      <c r="S783" s="14" t="str">
        <f t="shared" si="2"/>
        <v>58.516503,31.29134</v>
      </c>
      <c r="T783" s="12"/>
    </row>
    <row r="784">
      <c r="A784" s="7" t="s">
        <v>5102</v>
      </c>
      <c r="B784" s="8" t="s">
        <v>5103</v>
      </c>
      <c r="C784" s="8" t="s">
        <v>5104</v>
      </c>
      <c r="D784" s="8" t="s">
        <v>16</v>
      </c>
      <c r="E784" s="9" t="s">
        <v>5105</v>
      </c>
      <c r="F784" s="10" t="s">
        <v>5051</v>
      </c>
      <c r="G784" s="8">
        <v>23.61</v>
      </c>
      <c r="H784" s="8"/>
      <c r="I784" s="10"/>
      <c r="J784" s="10" t="s">
        <v>5106</v>
      </c>
      <c r="K784" s="10" t="s">
        <v>5107</v>
      </c>
      <c r="L784" s="11" t="s">
        <v>5108</v>
      </c>
      <c r="M784" s="10"/>
      <c r="N784" s="12"/>
      <c r="O784" s="12"/>
      <c r="P784" s="13">
        <f>IFERROR(__xludf.DUMMYFUNCTION("VALUE(SUBSTITUTE((INDEX(SPLIT(A784,"",""),1)),""."","","",1))"),58.538859)</f>
        <v>58.538859</v>
      </c>
      <c r="Q784" s="13">
        <f>IFERROR(__xludf.DUMMYFUNCTION("VALUE(SUBSTITUTE((INDEX(SPLIT(A784,"",""),2)),""."","","",1))"),31.304302)</f>
        <v>31.304302</v>
      </c>
      <c r="R784" s="14" t="b">
        <f t="shared" si="1"/>
        <v>0</v>
      </c>
      <c r="S784" s="14" t="str">
        <f t="shared" si="2"/>
        <v>58.538859,31.304302</v>
      </c>
      <c r="T784" s="12"/>
    </row>
    <row r="785">
      <c r="A785" s="15" t="s">
        <v>5109</v>
      </c>
      <c r="B785" s="16" t="s">
        <v>5110</v>
      </c>
      <c r="C785" s="16" t="s">
        <v>5111</v>
      </c>
      <c r="D785" s="16" t="s">
        <v>16</v>
      </c>
      <c r="E785" s="17" t="s">
        <v>5112</v>
      </c>
      <c r="F785" s="16" t="s">
        <v>5051</v>
      </c>
      <c r="G785" s="16">
        <v>23.61</v>
      </c>
      <c r="H785" s="16"/>
      <c r="I785" s="16"/>
      <c r="J785" s="16" t="s">
        <v>5113</v>
      </c>
      <c r="K785" s="16" t="s">
        <v>5114</v>
      </c>
      <c r="L785" s="16"/>
      <c r="M785" s="25" t="s">
        <v>5115</v>
      </c>
      <c r="N785" s="12"/>
      <c r="O785" s="12"/>
      <c r="P785" s="13">
        <f>IFERROR(__xludf.DUMMYFUNCTION("VALUE(SUBSTITUTE((INDEX(SPLIT(A785,"",""),1)),""."","","",1))"),57.975408)</f>
        <v>57.975408</v>
      </c>
      <c r="Q785" s="13">
        <f>IFERROR(__xludf.DUMMYFUNCTION("VALUE(SUBSTITUTE((INDEX(SPLIT(A785,"",""),2)),""."","","",1))"),31.359989)</f>
        <v>31.359989</v>
      </c>
      <c r="R785" s="14" t="b">
        <f t="shared" si="1"/>
        <v>0</v>
      </c>
      <c r="S785" s="14" t="str">
        <f t="shared" si="2"/>
        <v>57.975408,31.359989</v>
      </c>
      <c r="T785" s="12"/>
    </row>
    <row r="786">
      <c r="A786" s="18" t="s">
        <v>5116</v>
      </c>
      <c r="B786" s="8" t="s">
        <v>5117</v>
      </c>
      <c r="C786" s="8" t="s">
        <v>5118</v>
      </c>
      <c r="D786" s="8" t="s">
        <v>16</v>
      </c>
      <c r="E786" s="19" t="s">
        <v>5119</v>
      </c>
      <c r="F786" s="8" t="s">
        <v>5051</v>
      </c>
      <c r="G786" s="8">
        <v>23.61</v>
      </c>
      <c r="H786" s="8"/>
      <c r="I786" s="8"/>
      <c r="J786" s="8" t="s">
        <v>5120</v>
      </c>
      <c r="K786" s="8" t="s">
        <v>5121</v>
      </c>
      <c r="L786" s="8"/>
      <c r="M786" s="24" t="s">
        <v>5122</v>
      </c>
      <c r="N786" s="12"/>
      <c r="O786" s="12"/>
      <c r="P786" s="13">
        <f>IFERROR(__xludf.DUMMYFUNCTION("VALUE(SUBSTITUTE((INDEX(SPLIT(A786,"",""),1)),""."","","",1))"),58.613496)</f>
        <v>58.613496</v>
      </c>
      <c r="Q786" s="13">
        <f>IFERROR(__xludf.DUMMYFUNCTION("VALUE(SUBSTITUTE((INDEX(SPLIT(A786,"",""),2)),""."","","",1))"),31.399245)</f>
        <v>31.399245</v>
      </c>
      <c r="R786" s="14" t="b">
        <f t="shared" si="1"/>
        <v>0</v>
      </c>
      <c r="S786" s="14" t="str">
        <f t="shared" si="2"/>
        <v>58.613496,31.399245</v>
      </c>
      <c r="T786" s="12"/>
    </row>
    <row r="787">
      <c r="A787" s="15" t="s">
        <v>5123</v>
      </c>
      <c r="B787" s="16" t="s">
        <v>5124</v>
      </c>
      <c r="C787" s="16" t="s">
        <v>5125</v>
      </c>
      <c r="D787" s="16" t="s">
        <v>16</v>
      </c>
      <c r="E787" s="17" t="s">
        <v>5126</v>
      </c>
      <c r="F787" s="16" t="s">
        <v>5051</v>
      </c>
      <c r="G787" s="16">
        <v>23.61</v>
      </c>
      <c r="H787" s="16"/>
      <c r="I787" s="16"/>
      <c r="J787" s="16" t="s">
        <v>5127</v>
      </c>
      <c r="K787" s="16" t="s">
        <v>5128</v>
      </c>
      <c r="L787" s="16"/>
      <c r="M787" s="25" t="s">
        <v>5129</v>
      </c>
      <c r="N787" s="12"/>
      <c r="O787" s="12"/>
      <c r="P787" s="13">
        <f>IFERROR(__xludf.DUMMYFUNCTION("VALUE(SUBSTITUTE((INDEX(SPLIT(A787,"",""),1)),""."","","",1))"),58.573675)</f>
        <v>58.573675</v>
      </c>
      <c r="Q787" s="13">
        <f>IFERROR(__xludf.DUMMYFUNCTION("VALUE(SUBSTITUTE((INDEX(SPLIT(A787,"",""),2)),""."","","",1))"),31.451069)</f>
        <v>31.451069</v>
      </c>
      <c r="R787" s="14" t="b">
        <f t="shared" si="1"/>
        <v>0</v>
      </c>
      <c r="S787" s="14" t="str">
        <f t="shared" si="2"/>
        <v>58.573675,31.451069</v>
      </c>
      <c r="T787" s="12"/>
    </row>
    <row r="788">
      <c r="A788" s="18" t="s">
        <v>5130</v>
      </c>
      <c r="B788" s="8" t="s">
        <v>5131</v>
      </c>
      <c r="C788" s="8" t="s">
        <v>5132</v>
      </c>
      <c r="D788" s="8" t="s">
        <v>16</v>
      </c>
      <c r="E788" s="19" t="s">
        <v>5133</v>
      </c>
      <c r="F788" s="8" t="s">
        <v>5134</v>
      </c>
      <c r="G788" s="8">
        <v>23.61</v>
      </c>
      <c r="H788" s="8"/>
      <c r="I788" s="8"/>
      <c r="J788" s="8" t="s">
        <v>5135</v>
      </c>
      <c r="K788" s="8" t="s">
        <v>5136</v>
      </c>
      <c r="L788" s="8"/>
      <c r="M788" s="24" t="s">
        <v>5137</v>
      </c>
      <c r="N788" s="12"/>
      <c r="O788" s="12"/>
      <c r="P788" s="13">
        <f>IFERROR(__xludf.DUMMYFUNCTION("VALUE(SUBSTITUTE((INDEX(SPLIT(A788,"",""),1)),""."","","",1))"),54.783393)</f>
        <v>54.783393</v>
      </c>
      <c r="Q788" s="13">
        <f>IFERROR(__xludf.DUMMYFUNCTION("VALUE(SUBSTITUTE((INDEX(SPLIT(A788,"",""),2)),""."","","",1))"),31.808823)</f>
        <v>31.808823</v>
      </c>
      <c r="R788" s="14" t="b">
        <f t="shared" si="1"/>
        <v>0</v>
      </c>
      <c r="S788" s="14" t="str">
        <f t="shared" si="2"/>
        <v>54.783393,31.808823</v>
      </c>
      <c r="T788" s="12"/>
    </row>
    <row r="789">
      <c r="A789" s="15" t="s">
        <v>5138</v>
      </c>
      <c r="B789" s="16" t="s">
        <v>5139</v>
      </c>
      <c r="C789" s="16" t="s">
        <v>5140</v>
      </c>
      <c r="D789" s="16" t="s">
        <v>16</v>
      </c>
      <c r="E789" s="17" t="s">
        <v>5141</v>
      </c>
      <c r="F789" s="16" t="s">
        <v>5142</v>
      </c>
      <c r="G789" s="16">
        <v>23.61</v>
      </c>
      <c r="H789" s="16"/>
      <c r="I789" s="16"/>
      <c r="J789" s="16" t="s">
        <v>5143</v>
      </c>
      <c r="K789" s="16" t="s">
        <v>5144</v>
      </c>
      <c r="L789" s="16"/>
      <c r="M789" s="16"/>
      <c r="N789" s="12"/>
      <c r="O789" s="12"/>
      <c r="P789" s="13">
        <f>IFERROR(__xludf.DUMMYFUNCTION("VALUE(SUBSTITUTE((INDEX(SPLIT(A789,"",""),1)),""."","","",1))"),52.532467)</f>
        <v>52.532467</v>
      </c>
      <c r="Q789" s="13">
        <f>IFERROR(__xludf.DUMMYFUNCTION("VALUE(SUBSTITUTE((INDEX(SPLIT(A789,"",""),2)),""."","","",1))"),31.947559)</f>
        <v>31.947559</v>
      </c>
      <c r="R789" s="14" t="b">
        <f t="shared" si="1"/>
        <v>0</v>
      </c>
      <c r="S789" s="14" t="str">
        <f t="shared" si="2"/>
        <v>52.532467,31.947559</v>
      </c>
      <c r="T789" s="12"/>
    </row>
    <row r="790">
      <c r="A790" s="18" t="s">
        <v>5145</v>
      </c>
      <c r="B790" s="8" t="s">
        <v>5146</v>
      </c>
      <c r="C790" s="8" t="s">
        <v>5147</v>
      </c>
      <c r="D790" s="8" t="s">
        <v>16</v>
      </c>
      <c r="E790" s="19" t="s">
        <v>5148</v>
      </c>
      <c r="F790" s="8" t="s">
        <v>5134</v>
      </c>
      <c r="G790" s="8">
        <v>23.61</v>
      </c>
      <c r="H790" s="8"/>
      <c r="I790" s="8"/>
      <c r="J790" s="8" t="s">
        <v>5149</v>
      </c>
      <c r="K790" s="8" t="s">
        <v>5150</v>
      </c>
      <c r="L790" s="8"/>
      <c r="M790" s="8"/>
      <c r="N790" s="12"/>
      <c r="O790" s="12"/>
      <c r="P790" s="13">
        <f>IFERROR(__xludf.DUMMYFUNCTION("VALUE(SUBSTITUTE((INDEX(SPLIT(A790,"",""),1)),""."","","",1))"),54.782827)</f>
        <v>54.782827</v>
      </c>
      <c r="Q790" s="13">
        <f>IFERROR(__xludf.DUMMYFUNCTION("VALUE(SUBSTITUTE((INDEX(SPLIT(A790,"",""),2)),""."","","",1))"),31.948341)</f>
        <v>31.948341</v>
      </c>
      <c r="R790" s="14" t="b">
        <f t="shared" si="1"/>
        <v>0</v>
      </c>
      <c r="S790" s="14" t="str">
        <f t="shared" si="2"/>
        <v>54.782827,31.948341</v>
      </c>
      <c r="T790" s="12"/>
    </row>
    <row r="791">
      <c r="A791" s="15" t="s">
        <v>5151</v>
      </c>
      <c r="B791" s="16" t="s">
        <v>5152</v>
      </c>
      <c r="C791" s="16" t="s">
        <v>5153</v>
      </c>
      <c r="D791" s="16" t="s">
        <v>16</v>
      </c>
      <c r="E791" s="17" t="s">
        <v>5154</v>
      </c>
      <c r="F791" s="16" t="s">
        <v>5134</v>
      </c>
      <c r="G791" s="16">
        <v>23.61</v>
      </c>
      <c r="H791" s="16"/>
      <c r="I791" s="16"/>
      <c r="J791" s="16" t="s">
        <v>5155</v>
      </c>
      <c r="K791" s="16" t="s">
        <v>5156</v>
      </c>
      <c r="L791" s="16"/>
      <c r="M791" s="16"/>
      <c r="N791" s="12"/>
      <c r="O791" s="12"/>
      <c r="P791" s="13">
        <f>IFERROR(__xludf.DUMMYFUNCTION("VALUE(SUBSTITUTE((INDEX(SPLIT(A791,"",""),1)),""."","","",1))"),54.755326)</f>
        <v>54.755326</v>
      </c>
      <c r="Q791" s="13">
        <f>IFERROR(__xludf.DUMMYFUNCTION("VALUE(SUBSTITUTE((INDEX(SPLIT(A791,"",""),2)),""."","","",1))"),31.955105)</f>
        <v>31.955105</v>
      </c>
      <c r="R791" s="14" t="b">
        <f t="shared" si="1"/>
        <v>0</v>
      </c>
      <c r="S791" s="14" t="str">
        <f t="shared" si="2"/>
        <v>54.755326,31.955105</v>
      </c>
      <c r="T791" s="12"/>
    </row>
    <row r="792">
      <c r="A792" s="7" t="s">
        <v>5157</v>
      </c>
      <c r="B792" s="8" t="s">
        <v>5158</v>
      </c>
      <c r="C792" s="8" t="s">
        <v>5159</v>
      </c>
      <c r="D792" s="8" t="s">
        <v>16</v>
      </c>
      <c r="E792" s="9" t="s">
        <v>5160</v>
      </c>
      <c r="F792" s="10" t="s">
        <v>5134</v>
      </c>
      <c r="G792" s="8">
        <v>23.61</v>
      </c>
      <c r="H792" s="8"/>
      <c r="I792" s="10"/>
      <c r="J792" s="10" t="s">
        <v>5161</v>
      </c>
      <c r="K792" s="10" t="s">
        <v>5162</v>
      </c>
      <c r="L792" s="11" t="s">
        <v>5163</v>
      </c>
      <c r="M792" s="11" t="s">
        <v>5164</v>
      </c>
      <c r="N792" s="12"/>
      <c r="O792" s="12"/>
      <c r="P792" s="13">
        <f>IFERROR(__xludf.DUMMYFUNCTION("VALUE(SUBSTITUTE((INDEX(SPLIT(A792,"",""),1)),""."","","",1))"),54.79158)</f>
        <v>54.79158</v>
      </c>
      <c r="Q792" s="13">
        <f>IFERROR(__xludf.DUMMYFUNCTION("VALUE(SUBSTITUTE((INDEX(SPLIT(A792,"",""),2)),""."","","",1))"),31.971275)</f>
        <v>31.971275</v>
      </c>
      <c r="R792" s="14" t="b">
        <f t="shared" si="1"/>
        <v>0</v>
      </c>
      <c r="S792" s="14" t="str">
        <f t="shared" si="2"/>
        <v>54.79158,31.971275</v>
      </c>
      <c r="T792" s="12"/>
    </row>
    <row r="793">
      <c r="A793" s="20" t="s">
        <v>5165</v>
      </c>
      <c r="B793" s="16" t="s">
        <v>5166</v>
      </c>
      <c r="C793" s="16" t="s">
        <v>5167</v>
      </c>
      <c r="D793" s="16" t="s">
        <v>16</v>
      </c>
      <c r="E793" s="21" t="s">
        <v>5168</v>
      </c>
      <c r="F793" s="22" t="s">
        <v>5134</v>
      </c>
      <c r="G793" s="16">
        <v>23.61</v>
      </c>
      <c r="H793" s="16"/>
      <c r="I793" s="22"/>
      <c r="J793" s="22" t="s">
        <v>5169</v>
      </c>
      <c r="K793" s="22" t="s">
        <v>5170</v>
      </c>
      <c r="L793" s="23" t="s">
        <v>5171</v>
      </c>
      <c r="M793" s="22"/>
      <c r="N793" s="12"/>
      <c r="O793" s="12"/>
      <c r="P793" s="13">
        <f>IFERROR(__xludf.DUMMYFUNCTION("VALUE(SUBSTITUTE((INDEX(SPLIT(A793,"",""),1)),""."","","",1))"),54.771975)</f>
        <v>54.771975</v>
      </c>
      <c r="Q793" s="13">
        <f>IFERROR(__xludf.DUMMYFUNCTION("VALUE(SUBSTITUTE((INDEX(SPLIT(A793,"",""),2)),""."","","",1))"),31.989106)</f>
        <v>31.989106</v>
      </c>
      <c r="R793" s="14" t="b">
        <f t="shared" si="1"/>
        <v>0</v>
      </c>
      <c r="S793" s="14" t="str">
        <f t="shared" si="2"/>
        <v>54.771975,31.989106</v>
      </c>
      <c r="T793" s="12"/>
    </row>
    <row r="794">
      <c r="A794" s="18" t="s">
        <v>5172</v>
      </c>
      <c r="B794" s="8" t="s">
        <v>5173</v>
      </c>
      <c r="C794" s="8" t="s">
        <v>5174</v>
      </c>
      <c r="D794" s="8" t="s">
        <v>16</v>
      </c>
      <c r="E794" s="19" t="s">
        <v>5175</v>
      </c>
      <c r="F794" s="8" t="s">
        <v>5134</v>
      </c>
      <c r="G794" s="8">
        <v>23.61</v>
      </c>
      <c r="H794" s="8"/>
      <c r="I794" s="8"/>
      <c r="J794" s="8" t="s">
        <v>5176</v>
      </c>
      <c r="K794" s="8" t="s">
        <v>5177</v>
      </c>
      <c r="L794" s="8"/>
      <c r="M794" s="8"/>
      <c r="N794" s="12"/>
      <c r="O794" s="12"/>
      <c r="P794" s="13">
        <f>IFERROR(__xludf.DUMMYFUNCTION("VALUE(SUBSTITUTE((INDEX(SPLIT(A794,"",""),1)),""."","","",1))"),54.769503)</f>
        <v>54.769503</v>
      </c>
      <c r="Q794" s="13">
        <f>IFERROR(__xludf.DUMMYFUNCTION("VALUE(SUBSTITUTE((INDEX(SPLIT(A794,"",""),2)),""."","","",1))"),31.989349)</f>
        <v>31.989349</v>
      </c>
      <c r="R794" s="14" t="b">
        <f t="shared" si="1"/>
        <v>0</v>
      </c>
      <c r="S794" s="14" t="str">
        <f t="shared" si="2"/>
        <v>54.769503,31.989349</v>
      </c>
      <c r="T794" s="12"/>
    </row>
    <row r="795">
      <c r="A795" s="15" t="s">
        <v>5178</v>
      </c>
      <c r="B795" s="16" t="s">
        <v>5179</v>
      </c>
      <c r="C795" s="16" t="s">
        <v>5180</v>
      </c>
      <c r="D795" s="16" t="s">
        <v>16</v>
      </c>
      <c r="E795" s="17" t="s">
        <v>5181</v>
      </c>
      <c r="F795" s="16" t="s">
        <v>5134</v>
      </c>
      <c r="G795" s="16">
        <v>23.61</v>
      </c>
      <c r="H795" s="16"/>
      <c r="I795" s="16"/>
      <c r="J795" s="16" t="s">
        <v>5182</v>
      </c>
      <c r="K795" s="16" t="s">
        <v>5183</v>
      </c>
      <c r="L795" s="16"/>
      <c r="M795" s="16"/>
      <c r="N795" s="12"/>
      <c r="O795" s="12"/>
      <c r="P795" s="13">
        <f>IFERROR(__xludf.DUMMYFUNCTION("VALUE(SUBSTITUTE((INDEX(SPLIT(A795,"",""),1)),""."","","",1))"),54.76836)</f>
        <v>54.76836</v>
      </c>
      <c r="Q795" s="13">
        <f>IFERROR(__xludf.DUMMYFUNCTION("VALUE(SUBSTITUTE((INDEX(SPLIT(A795,"",""),2)),""."","","",1))"),32.008707)</f>
        <v>32.008707</v>
      </c>
      <c r="R795" s="14" t="b">
        <f t="shared" si="1"/>
        <v>0</v>
      </c>
      <c r="S795" s="14" t="str">
        <f t="shared" si="2"/>
        <v>54.76836,32.008707</v>
      </c>
      <c r="T795" s="12"/>
    </row>
    <row r="796">
      <c r="A796" s="7" t="s">
        <v>5184</v>
      </c>
      <c r="B796" s="8" t="s">
        <v>5185</v>
      </c>
      <c r="C796" s="8" t="s">
        <v>5186</v>
      </c>
      <c r="D796" s="8" t="s">
        <v>16</v>
      </c>
      <c r="E796" s="9" t="s">
        <v>5187</v>
      </c>
      <c r="F796" s="10" t="s">
        <v>5134</v>
      </c>
      <c r="G796" s="8">
        <v>23.61</v>
      </c>
      <c r="H796" s="8"/>
      <c r="I796" s="10"/>
      <c r="J796" s="10" t="s">
        <v>5188</v>
      </c>
      <c r="K796" s="10" t="s">
        <v>5189</v>
      </c>
      <c r="L796" s="11" t="s">
        <v>5190</v>
      </c>
      <c r="M796" s="10"/>
      <c r="N796" s="12"/>
      <c r="O796" s="12"/>
      <c r="P796" s="13">
        <f>IFERROR(__xludf.DUMMYFUNCTION("VALUE(SUBSTITUTE((INDEX(SPLIT(A796,"",""),1)),""."","","",1))"),54.787754)</f>
        <v>54.787754</v>
      </c>
      <c r="Q796" s="13">
        <f>IFERROR(__xludf.DUMMYFUNCTION("VALUE(SUBSTITUTE((INDEX(SPLIT(A796,"",""),2)),""."","","",1))"),32.013343)</f>
        <v>32.013343</v>
      </c>
      <c r="R796" s="14" t="b">
        <f t="shared" si="1"/>
        <v>0</v>
      </c>
      <c r="S796" s="14" t="str">
        <f t="shared" si="2"/>
        <v>54.787754,32.013343</v>
      </c>
      <c r="T796" s="12"/>
    </row>
    <row r="797">
      <c r="A797" s="15" t="s">
        <v>5191</v>
      </c>
      <c r="B797" s="16" t="s">
        <v>5192</v>
      </c>
      <c r="C797" s="16" t="s">
        <v>5193</v>
      </c>
      <c r="D797" s="16" t="s">
        <v>16</v>
      </c>
      <c r="E797" s="17" t="s">
        <v>5194</v>
      </c>
      <c r="F797" s="16" t="s">
        <v>5134</v>
      </c>
      <c r="G797" s="16">
        <v>23.61</v>
      </c>
      <c r="H797" s="16"/>
      <c r="I797" s="16"/>
      <c r="J797" s="16" t="s">
        <v>5195</v>
      </c>
      <c r="K797" s="16" t="s">
        <v>5196</v>
      </c>
      <c r="L797" s="16"/>
      <c r="M797" s="25" t="s">
        <v>5197</v>
      </c>
      <c r="N797" s="12"/>
      <c r="O797" s="12"/>
      <c r="P797" s="13">
        <f>IFERROR(__xludf.DUMMYFUNCTION("VALUE(SUBSTITUTE((INDEX(SPLIT(A797,"",""),1)),""."","","",1))"),54.77387)</f>
        <v>54.77387</v>
      </c>
      <c r="Q797" s="13">
        <f>IFERROR(__xludf.DUMMYFUNCTION("VALUE(SUBSTITUTE((INDEX(SPLIT(A797,"",""),2)),""."","","",1))"),32.019882)</f>
        <v>32.019882</v>
      </c>
      <c r="R797" s="14" t="b">
        <f t="shared" si="1"/>
        <v>0</v>
      </c>
      <c r="S797" s="14" t="str">
        <f t="shared" si="2"/>
        <v>54.77387,32.019882</v>
      </c>
      <c r="T797" s="12"/>
    </row>
    <row r="798">
      <c r="A798" s="7" t="s">
        <v>5198</v>
      </c>
      <c r="B798" s="8" t="s">
        <v>5199</v>
      </c>
      <c r="C798" s="8" t="s">
        <v>5200</v>
      </c>
      <c r="D798" s="8" t="s">
        <v>16</v>
      </c>
      <c r="E798" s="9" t="s">
        <v>5201</v>
      </c>
      <c r="F798" s="10" t="s">
        <v>5134</v>
      </c>
      <c r="G798" s="8">
        <v>23.61</v>
      </c>
      <c r="H798" s="8"/>
      <c r="I798" s="10"/>
      <c r="J798" s="10" t="s">
        <v>5202</v>
      </c>
      <c r="K798" s="10" t="s">
        <v>5203</v>
      </c>
      <c r="L798" s="11" t="s">
        <v>5204</v>
      </c>
      <c r="M798" s="11" t="s">
        <v>5205</v>
      </c>
      <c r="N798" s="12"/>
      <c r="O798" s="12"/>
      <c r="P798" s="13">
        <f>IFERROR(__xludf.DUMMYFUNCTION("VALUE(SUBSTITUTE((INDEX(SPLIT(A798,"",""),1)),""."","","",1))"),54.853713)</f>
        <v>54.853713</v>
      </c>
      <c r="Q798" s="13">
        <f>IFERROR(__xludf.DUMMYFUNCTION("VALUE(SUBSTITUTE((INDEX(SPLIT(A798,"",""),2)),""."","","",1))"),32.036995)</f>
        <v>32.036995</v>
      </c>
      <c r="R798" s="14" t="b">
        <f t="shared" si="1"/>
        <v>0</v>
      </c>
      <c r="S798" s="14" t="str">
        <f t="shared" si="2"/>
        <v>54.853713,32.036995</v>
      </c>
      <c r="T798" s="12"/>
    </row>
    <row r="799">
      <c r="A799" s="15" t="s">
        <v>5206</v>
      </c>
      <c r="B799" s="16" t="s">
        <v>5207</v>
      </c>
      <c r="C799" s="16" t="s">
        <v>5208</v>
      </c>
      <c r="D799" s="16" t="s">
        <v>16</v>
      </c>
      <c r="E799" s="17" t="s">
        <v>5209</v>
      </c>
      <c r="F799" s="16" t="s">
        <v>5134</v>
      </c>
      <c r="G799" s="16">
        <v>23.61</v>
      </c>
      <c r="H799" s="16"/>
      <c r="I799" s="16"/>
      <c r="J799" s="16" t="s">
        <v>5210</v>
      </c>
      <c r="K799" s="16" t="s">
        <v>5211</v>
      </c>
      <c r="L799" s="16"/>
      <c r="M799" s="16"/>
      <c r="N799" s="12"/>
      <c r="O799" s="12"/>
      <c r="P799" s="13">
        <f>IFERROR(__xludf.DUMMYFUNCTION("VALUE(SUBSTITUTE((INDEX(SPLIT(A799,"",""),1)),""."","","",1))"),54.764843)</f>
        <v>54.764843</v>
      </c>
      <c r="Q799" s="13">
        <f>IFERROR(__xludf.DUMMYFUNCTION("VALUE(SUBSTITUTE((INDEX(SPLIT(A799,"",""),2)),""."","","",1))"),32.039214)</f>
        <v>32.039214</v>
      </c>
      <c r="R799" s="14" t="b">
        <f t="shared" si="1"/>
        <v>0</v>
      </c>
      <c r="S799" s="14" t="str">
        <f t="shared" si="2"/>
        <v>54.764843,32.039214</v>
      </c>
      <c r="T799" s="12"/>
    </row>
    <row r="800">
      <c r="A800" s="7" t="s">
        <v>5212</v>
      </c>
      <c r="B800" s="8" t="s">
        <v>5213</v>
      </c>
      <c r="C800" s="8" t="s">
        <v>5214</v>
      </c>
      <c r="D800" s="8" t="s">
        <v>16</v>
      </c>
      <c r="E800" s="9" t="s">
        <v>5215</v>
      </c>
      <c r="F800" s="10" t="s">
        <v>5134</v>
      </c>
      <c r="G800" s="8">
        <v>23.61</v>
      </c>
      <c r="H800" s="8"/>
      <c r="I800" s="10"/>
      <c r="J800" s="10" t="s">
        <v>5216</v>
      </c>
      <c r="K800" s="10" t="s">
        <v>5217</v>
      </c>
      <c r="L800" s="11" t="s">
        <v>5218</v>
      </c>
      <c r="M800" s="10"/>
      <c r="N800" s="12"/>
      <c r="O800" s="12"/>
      <c r="P800" s="13">
        <f>IFERROR(__xludf.DUMMYFUNCTION("VALUE(SUBSTITUTE((INDEX(SPLIT(A800,"",""),1)),""."","","",1))"),54.767409)</f>
        <v>54.767409</v>
      </c>
      <c r="Q800" s="13">
        <f>IFERROR(__xludf.DUMMYFUNCTION("VALUE(SUBSTITUTE((INDEX(SPLIT(A800,"",""),2)),""."","","",1))"),32.039214)</f>
        <v>32.039214</v>
      </c>
      <c r="R800" s="14" t="b">
        <f t="shared" si="1"/>
        <v>0</v>
      </c>
      <c r="S800" s="14" t="str">
        <f t="shared" si="2"/>
        <v>54.767409,32.039214</v>
      </c>
      <c r="T800" s="12"/>
    </row>
    <row r="801">
      <c r="A801" s="15" t="s">
        <v>5219</v>
      </c>
      <c r="B801" s="16" t="s">
        <v>969</v>
      </c>
      <c r="C801" s="16" t="s">
        <v>970</v>
      </c>
      <c r="D801" s="16" t="s">
        <v>16</v>
      </c>
      <c r="E801" s="17" t="s">
        <v>5220</v>
      </c>
      <c r="F801" s="16" t="s">
        <v>5134</v>
      </c>
      <c r="G801" s="16">
        <v>23.61</v>
      </c>
      <c r="H801" s="16"/>
      <c r="I801" s="16"/>
      <c r="J801" s="16" t="s">
        <v>5221</v>
      </c>
      <c r="K801" s="16" t="s">
        <v>5222</v>
      </c>
      <c r="L801" s="16"/>
      <c r="M801" s="16"/>
      <c r="N801" s="12"/>
      <c r="O801" s="12"/>
      <c r="P801" s="13">
        <f>IFERROR(__xludf.DUMMYFUNCTION("VALUE(SUBSTITUTE((INDEX(SPLIT(A801,"",""),1)),""."","","",1))"),54.793475)</f>
        <v>54.793475</v>
      </c>
      <c r="Q801" s="13">
        <f>IFERROR(__xludf.DUMMYFUNCTION("VALUE(SUBSTITUTE((INDEX(SPLIT(A801,"",""),2)),""."","","",1))"),32.039816)</f>
        <v>32.039816</v>
      </c>
      <c r="R801" s="14" t="b">
        <f t="shared" si="1"/>
        <v>0</v>
      </c>
      <c r="S801" s="14" t="str">
        <f t="shared" si="2"/>
        <v>54.793475,32.039816</v>
      </c>
      <c r="T801" s="12"/>
    </row>
    <row r="802">
      <c r="A802" s="18" t="s">
        <v>5223</v>
      </c>
      <c r="B802" s="8" t="s">
        <v>5224</v>
      </c>
      <c r="C802" s="8" t="s">
        <v>5225</v>
      </c>
      <c r="D802" s="8" t="s">
        <v>16</v>
      </c>
      <c r="E802" s="19" t="s">
        <v>5226</v>
      </c>
      <c r="F802" s="8" t="s">
        <v>5134</v>
      </c>
      <c r="G802" s="8">
        <v>23.61</v>
      </c>
      <c r="H802" s="8"/>
      <c r="I802" s="8"/>
      <c r="J802" s="8" t="s">
        <v>5227</v>
      </c>
      <c r="K802" s="8" t="s">
        <v>5228</v>
      </c>
      <c r="L802" s="8"/>
      <c r="M802" s="24" t="s">
        <v>5229</v>
      </c>
      <c r="N802" s="12"/>
      <c r="O802" s="12"/>
      <c r="P802" s="13">
        <f>IFERROR(__xludf.DUMMYFUNCTION("VALUE(SUBSTITUTE((INDEX(SPLIT(A802,"",""),1)),""."","","",1))"),54.77494)</f>
        <v>54.77494</v>
      </c>
      <c r="Q802" s="13">
        <f>IFERROR(__xludf.DUMMYFUNCTION("VALUE(SUBSTITUTE((INDEX(SPLIT(A802,"",""),2)),""."","","",1))"),32.044568)</f>
        <v>32.044568</v>
      </c>
      <c r="R802" s="14" t="b">
        <f t="shared" si="1"/>
        <v>0</v>
      </c>
      <c r="S802" s="14" t="str">
        <f t="shared" si="2"/>
        <v>54.77494,32.044568</v>
      </c>
      <c r="T802" s="12"/>
    </row>
    <row r="803">
      <c r="A803" s="15" t="s">
        <v>5230</v>
      </c>
      <c r="B803" s="16" t="s">
        <v>5231</v>
      </c>
      <c r="C803" s="16" t="s">
        <v>5232</v>
      </c>
      <c r="D803" s="16" t="s">
        <v>16</v>
      </c>
      <c r="E803" s="17" t="s">
        <v>5233</v>
      </c>
      <c r="F803" s="16" t="s">
        <v>5134</v>
      </c>
      <c r="G803" s="16">
        <v>23.61</v>
      </c>
      <c r="H803" s="16"/>
      <c r="I803" s="16"/>
      <c r="J803" s="16" t="s">
        <v>5234</v>
      </c>
      <c r="K803" s="16" t="s">
        <v>5235</v>
      </c>
      <c r="L803" s="16"/>
      <c r="M803" s="25" t="s">
        <v>5236</v>
      </c>
      <c r="N803" s="12"/>
      <c r="O803" s="12"/>
      <c r="P803" s="13">
        <f>IFERROR(__xludf.DUMMYFUNCTION("VALUE(SUBSTITUTE((INDEX(SPLIT(A803,"",""),1)),""."","","",1))"),54.782635)</f>
        <v>54.782635</v>
      </c>
      <c r="Q803" s="13">
        <f>IFERROR(__xludf.DUMMYFUNCTION("VALUE(SUBSTITUTE((INDEX(SPLIT(A803,"",""),2)),""."","","",1))"),32.045287)</f>
        <v>32.045287</v>
      </c>
      <c r="R803" s="14" t="b">
        <f t="shared" si="1"/>
        <v>0</v>
      </c>
      <c r="S803" s="14" t="str">
        <f t="shared" si="2"/>
        <v>54.782635,32.045287</v>
      </c>
      <c r="T803" s="12"/>
    </row>
    <row r="804">
      <c r="A804" s="7" t="s">
        <v>5237</v>
      </c>
      <c r="B804" s="8" t="s">
        <v>5238</v>
      </c>
      <c r="C804" s="8" t="s">
        <v>5239</v>
      </c>
      <c r="D804" s="8" t="s">
        <v>16</v>
      </c>
      <c r="E804" s="9" t="s">
        <v>5240</v>
      </c>
      <c r="F804" s="10" t="s">
        <v>5134</v>
      </c>
      <c r="G804" s="8">
        <v>23.61</v>
      </c>
      <c r="H804" s="8"/>
      <c r="I804" s="10"/>
      <c r="J804" s="10" t="s">
        <v>5241</v>
      </c>
      <c r="K804" s="10" t="s">
        <v>5242</v>
      </c>
      <c r="L804" s="11" t="s">
        <v>5243</v>
      </c>
      <c r="M804" s="10"/>
      <c r="N804" s="12"/>
      <c r="O804" s="12"/>
      <c r="P804" s="13">
        <f>IFERROR(__xludf.DUMMYFUNCTION("VALUE(SUBSTITUTE((INDEX(SPLIT(A804,"",""),1)),""."","","",1))"),54.790687)</f>
        <v>54.790687</v>
      </c>
      <c r="Q804" s="13">
        <f>IFERROR(__xludf.DUMMYFUNCTION("VALUE(SUBSTITUTE((INDEX(SPLIT(A804,"",""),2)),""."","","",1))"),32.060765)</f>
        <v>32.060765</v>
      </c>
      <c r="R804" s="14" t="b">
        <f t="shared" si="1"/>
        <v>0</v>
      </c>
      <c r="S804" s="14" t="str">
        <f t="shared" si="2"/>
        <v>54.790687,32.060765</v>
      </c>
      <c r="T804" s="12"/>
    </row>
    <row r="805">
      <c r="A805" s="20" t="s">
        <v>5244</v>
      </c>
      <c r="B805" s="16" t="s">
        <v>5245</v>
      </c>
      <c r="C805" s="16" t="s">
        <v>5246</v>
      </c>
      <c r="D805" s="16" t="s">
        <v>16</v>
      </c>
      <c r="E805" s="21" t="s">
        <v>5247</v>
      </c>
      <c r="F805" s="22" t="s">
        <v>5134</v>
      </c>
      <c r="G805" s="16">
        <v>23.61</v>
      </c>
      <c r="H805" s="16"/>
      <c r="I805" s="22"/>
      <c r="J805" s="22" t="s">
        <v>5248</v>
      </c>
      <c r="K805" s="22" t="s">
        <v>5249</v>
      </c>
      <c r="L805" s="23" t="s">
        <v>5250</v>
      </c>
      <c r="M805" s="22"/>
      <c r="N805" s="12"/>
      <c r="O805" s="12"/>
      <c r="P805" s="13">
        <f>IFERROR(__xludf.DUMMYFUNCTION("VALUE(SUBSTITUTE((INDEX(SPLIT(A805,"",""),1)),""."","","",1))"),54.779105)</f>
        <v>54.779105</v>
      </c>
      <c r="Q805" s="13">
        <f>IFERROR(__xludf.DUMMYFUNCTION("VALUE(SUBSTITUTE((INDEX(SPLIT(A805,"",""),2)),""."","","",1))"),32.063954)</f>
        <v>32.063954</v>
      </c>
      <c r="R805" s="14" t="b">
        <f t="shared" si="1"/>
        <v>0</v>
      </c>
      <c r="S805" s="14" t="str">
        <f t="shared" si="2"/>
        <v>54.779105,32.063954</v>
      </c>
      <c r="T805" s="12"/>
    </row>
    <row r="806">
      <c r="A806" s="18" t="s">
        <v>5251</v>
      </c>
      <c r="B806" s="8" t="s">
        <v>5252</v>
      </c>
      <c r="C806" s="8" t="s">
        <v>5253</v>
      </c>
      <c r="D806" s="8" t="s">
        <v>16</v>
      </c>
      <c r="E806" s="19" t="s">
        <v>5254</v>
      </c>
      <c r="F806" s="8" t="s">
        <v>5134</v>
      </c>
      <c r="G806" s="8">
        <v>23.61</v>
      </c>
      <c r="H806" s="8"/>
      <c r="I806" s="8"/>
      <c r="J806" s="8" t="s">
        <v>5255</v>
      </c>
      <c r="K806" s="8" t="s">
        <v>5256</v>
      </c>
      <c r="L806" s="8"/>
      <c r="M806" s="8"/>
      <c r="N806" s="12"/>
      <c r="O806" s="12"/>
      <c r="P806" s="13">
        <f>IFERROR(__xludf.DUMMYFUNCTION("VALUE(SUBSTITUTE((INDEX(SPLIT(A806,"",""),1)),""."","","",1))"),54.780055)</f>
        <v>54.780055</v>
      </c>
      <c r="Q806" s="13">
        <f>IFERROR(__xludf.DUMMYFUNCTION("VALUE(SUBSTITUTE((INDEX(SPLIT(A806,"",""),2)),""."","","",1))"),32.064232)</f>
        <v>32.064232</v>
      </c>
      <c r="R806" s="14" t="b">
        <f t="shared" si="1"/>
        <v>0</v>
      </c>
      <c r="S806" s="14" t="str">
        <f t="shared" si="2"/>
        <v>54.780055,32.064232</v>
      </c>
      <c r="T806" s="12"/>
    </row>
    <row r="807">
      <c r="A807" s="15" t="s">
        <v>5257</v>
      </c>
      <c r="B807" s="16" t="s">
        <v>5258</v>
      </c>
      <c r="C807" s="16" t="s">
        <v>5259</v>
      </c>
      <c r="D807" s="16" t="s">
        <v>16</v>
      </c>
      <c r="E807" s="17" t="s">
        <v>5260</v>
      </c>
      <c r="F807" s="16" t="s">
        <v>5134</v>
      </c>
      <c r="G807" s="16">
        <v>23.61</v>
      </c>
      <c r="H807" s="16"/>
      <c r="I807" s="16"/>
      <c r="J807" s="16" t="s">
        <v>5261</v>
      </c>
      <c r="K807" s="16" t="s">
        <v>5262</v>
      </c>
      <c r="L807" s="16"/>
      <c r="M807" s="16"/>
      <c r="N807" s="12"/>
      <c r="O807" s="12"/>
      <c r="P807" s="13">
        <f>IFERROR(__xludf.DUMMYFUNCTION("VALUE(SUBSTITUTE((INDEX(SPLIT(A807,"",""),1)),""."","","",1))"),54.81832)</f>
        <v>54.81832</v>
      </c>
      <c r="Q807" s="13">
        <f>IFERROR(__xludf.DUMMYFUNCTION("VALUE(SUBSTITUTE((INDEX(SPLIT(A807,"",""),2)),""."","","",1))"),32.064556)</f>
        <v>32.064556</v>
      </c>
      <c r="R807" s="14" t="b">
        <f t="shared" si="1"/>
        <v>0</v>
      </c>
      <c r="S807" s="14" t="str">
        <f t="shared" si="2"/>
        <v>54.81832,32.064556</v>
      </c>
      <c r="T807" s="12"/>
    </row>
    <row r="808">
      <c r="A808" s="7" t="s">
        <v>5263</v>
      </c>
      <c r="B808" s="8" t="s">
        <v>5264</v>
      </c>
      <c r="C808" s="8" t="s">
        <v>5265</v>
      </c>
      <c r="D808" s="8" t="s">
        <v>16</v>
      </c>
      <c r="E808" s="9" t="s">
        <v>5266</v>
      </c>
      <c r="F808" s="10" t="s">
        <v>5134</v>
      </c>
      <c r="G808" s="8">
        <v>23.61</v>
      </c>
      <c r="H808" s="8"/>
      <c r="I808" s="10"/>
      <c r="J808" s="10" t="s">
        <v>5267</v>
      </c>
      <c r="K808" s="10" t="s">
        <v>5268</v>
      </c>
      <c r="L808" s="11" t="s">
        <v>5269</v>
      </c>
      <c r="M808" s="10"/>
      <c r="N808" s="12"/>
      <c r="O808" s="12"/>
      <c r="P808" s="13">
        <f>IFERROR(__xludf.DUMMYFUNCTION("VALUE(SUBSTITUTE((INDEX(SPLIT(A808,"",""),1)),""."","","",1))"),54.768464)</f>
        <v>54.768464</v>
      </c>
      <c r="Q808" s="13">
        <f>IFERROR(__xludf.DUMMYFUNCTION("VALUE(SUBSTITUTE((INDEX(SPLIT(A808,"",""),2)),""."","","",1))"),32.066173)</f>
        <v>32.066173</v>
      </c>
      <c r="R808" s="14" t="b">
        <f t="shared" si="1"/>
        <v>0</v>
      </c>
      <c r="S808" s="14" t="str">
        <f t="shared" si="2"/>
        <v>54.768464,32.066173</v>
      </c>
      <c r="T808" s="12"/>
    </row>
    <row r="809">
      <c r="A809" s="20" t="s">
        <v>5270</v>
      </c>
      <c r="B809" s="16" t="s">
        <v>5271</v>
      </c>
      <c r="C809" s="16" t="s">
        <v>5272</v>
      </c>
      <c r="D809" s="16" t="s">
        <v>16</v>
      </c>
      <c r="E809" s="21" t="s">
        <v>5273</v>
      </c>
      <c r="F809" s="22" t="s">
        <v>5134</v>
      </c>
      <c r="G809" s="16">
        <v>23.61</v>
      </c>
      <c r="H809" s="16"/>
      <c r="I809" s="22"/>
      <c r="J809" s="22" t="s">
        <v>5274</v>
      </c>
      <c r="K809" s="22" t="s">
        <v>5275</v>
      </c>
      <c r="L809" s="23" t="s">
        <v>5276</v>
      </c>
      <c r="M809" s="22"/>
      <c r="N809" s="12"/>
      <c r="O809" s="12"/>
      <c r="P809" s="13">
        <f>IFERROR(__xludf.DUMMYFUNCTION("VALUE(SUBSTITUTE((INDEX(SPLIT(A809,"",""),1)),""."","","",1))"),54.809931)</f>
        <v>54.809931</v>
      </c>
      <c r="Q809" s="13">
        <f>IFERROR(__xludf.DUMMYFUNCTION("VALUE(SUBSTITUTE((INDEX(SPLIT(A809,"",""),2)),""."","","",1))"),32.070413)</f>
        <v>32.070413</v>
      </c>
      <c r="R809" s="14" t="b">
        <f t="shared" si="1"/>
        <v>0</v>
      </c>
      <c r="S809" s="14" t="str">
        <f t="shared" si="2"/>
        <v>54.809931,32.070413</v>
      </c>
      <c r="T809" s="12"/>
    </row>
    <row r="810">
      <c r="A810" s="18" t="s">
        <v>5277</v>
      </c>
      <c r="B810" s="8" t="s">
        <v>5278</v>
      </c>
      <c r="C810" s="8" t="s">
        <v>5279</v>
      </c>
      <c r="D810" s="8" t="s">
        <v>16</v>
      </c>
      <c r="E810" s="19" t="s">
        <v>5280</v>
      </c>
      <c r="F810" s="8" t="s">
        <v>5134</v>
      </c>
      <c r="G810" s="8">
        <v>23.61</v>
      </c>
      <c r="H810" s="8"/>
      <c r="I810" s="8"/>
      <c r="J810" s="8" t="s">
        <v>5281</v>
      </c>
      <c r="K810" s="8" t="s">
        <v>5282</v>
      </c>
      <c r="L810" s="8"/>
      <c r="M810" s="8"/>
      <c r="N810" s="12"/>
      <c r="O810" s="12"/>
      <c r="P810" s="13">
        <f>IFERROR(__xludf.DUMMYFUNCTION("VALUE(SUBSTITUTE((INDEX(SPLIT(A810,"",""),1)),""."","","",1))"),54.777235)</f>
        <v>54.777235</v>
      </c>
      <c r="Q810" s="13">
        <f>IFERROR(__xludf.DUMMYFUNCTION("VALUE(SUBSTITUTE((INDEX(SPLIT(A810,"",""),2)),""."","","",1))"),32.07574)</f>
        <v>32.07574</v>
      </c>
      <c r="R810" s="14" t="b">
        <f t="shared" si="1"/>
        <v>0</v>
      </c>
      <c r="S810" s="14" t="str">
        <f t="shared" si="2"/>
        <v>54.777235,32.07574</v>
      </c>
      <c r="T810" s="12"/>
    </row>
    <row r="811">
      <c r="A811" s="20" t="s">
        <v>5283</v>
      </c>
      <c r="B811" s="16" t="s">
        <v>5284</v>
      </c>
      <c r="C811" s="16" t="s">
        <v>5285</v>
      </c>
      <c r="D811" s="16" t="s">
        <v>16</v>
      </c>
      <c r="E811" s="21" t="s">
        <v>5286</v>
      </c>
      <c r="F811" s="22" t="s">
        <v>5134</v>
      </c>
      <c r="G811" s="16">
        <v>23.61</v>
      </c>
      <c r="H811" s="16"/>
      <c r="I811" s="28" t="s">
        <v>5287</v>
      </c>
      <c r="J811" s="22" t="s">
        <v>5288</v>
      </c>
      <c r="K811" s="22" t="s">
        <v>5289</v>
      </c>
      <c r="L811" s="23" t="s">
        <v>5290</v>
      </c>
      <c r="M811" s="23" t="s">
        <v>5291</v>
      </c>
      <c r="N811" s="12"/>
      <c r="O811" s="12"/>
      <c r="P811" s="13">
        <f>IFERROR(__xludf.DUMMYFUNCTION("VALUE(SUBSTITUTE((INDEX(SPLIT(A811,"",""),1)),""."","","",1))"),54.738146)</f>
        <v>54.738146</v>
      </c>
      <c r="Q811" s="13">
        <f>IFERROR(__xludf.DUMMYFUNCTION("VALUE(SUBSTITUTE((INDEX(SPLIT(A811,"",""),2)),""."","","",1))"),32.091568)</f>
        <v>32.091568</v>
      </c>
      <c r="R811" s="14" t="b">
        <f t="shared" si="1"/>
        <v>0</v>
      </c>
      <c r="S811" s="14" t="str">
        <f t="shared" si="2"/>
        <v>54.738146,32.091568</v>
      </c>
      <c r="T811" s="12"/>
    </row>
    <row r="812">
      <c r="A812" s="7" t="s">
        <v>5292</v>
      </c>
      <c r="B812" s="8" t="s">
        <v>5293</v>
      </c>
      <c r="C812" s="8" t="s">
        <v>5294</v>
      </c>
      <c r="D812" s="8" t="s">
        <v>16</v>
      </c>
      <c r="E812" s="9" t="s">
        <v>5295</v>
      </c>
      <c r="F812" s="10" t="s">
        <v>5134</v>
      </c>
      <c r="G812" s="8">
        <v>23.61</v>
      </c>
      <c r="H812" s="8"/>
      <c r="I812" s="10"/>
      <c r="J812" s="10" t="s">
        <v>5296</v>
      </c>
      <c r="K812" s="10" t="s">
        <v>5297</v>
      </c>
      <c r="L812" s="11" t="s">
        <v>5298</v>
      </c>
      <c r="M812" s="10"/>
      <c r="N812" s="12"/>
      <c r="O812" s="12"/>
      <c r="P812" s="13">
        <f>IFERROR(__xludf.DUMMYFUNCTION("VALUE(SUBSTITUTE((INDEX(SPLIT(A812,"",""),1)),""."","","",1))"),54.734632)</f>
        <v>54.734632</v>
      </c>
      <c r="Q812" s="13">
        <f>IFERROR(__xludf.DUMMYFUNCTION("VALUE(SUBSTITUTE((INDEX(SPLIT(A812,"",""),2)),""."","","",1))"),32.092736)</f>
        <v>32.092736</v>
      </c>
      <c r="R812" s="14" t="b">
        <f t="shared" si="1"/>
        <v>0</v>
      </c>
      <c r="S812" s="14" t="str">
        <f t="shared" si="2"/>
        <v>54.734632,32.092736</v>
      </c>
      <c r="T812" s="12"/>
    </row>
    <row r="813">
      <c r="A813" s="20" t="s">
        <v>5299</v>
      </c>
      <c r="B813" s="16" t="s">
        <v>5300</v>
      </c>
      <c r="C813" s="16" t="s">
        <v>5301</v>
      </c>
      <c r="D813" s="16" t="s">
        <v>16</v>
      </c>
      <c r="E813" s="21" t="s">
        <v>5302</v>
      </c>
      <c r="F813" s="22" t="s">
        <v>5134</v>
      </c>
      <c r="G813" s="16">
        <v>23.61</v>
      </c>
      <c r="H813" s="16"/>
      <c r="I813" s="22"/>
      <c r="J813" s="22" t="s">
        <v>5303</v>
      </c>
      <c r="K813" s="22" t="s">
        <v>5304</v>
      </c>
      <c r="L813" s="23" t="s">
        <v>5305</v>
      </c>
      <c r="M813" s="23" t="s">
        <v>5306</v>
      </c>
      <c r="N813" s="12"/>
      <c r="O813" s="12"/>
      <c r="P813" s="13">
        <f>IFERROR(__xludf.DUMMYFUNCTION("VALUE(SUBSTITUTE((INDEX(SPLIT(A813,"",""),1)),""."","","",1))"),54.79036)</f>
        <v>54.79036</v>
      </c>
      <c r="Q813" s="13">
        <f>IFERROR(__xludf.DUMMYFUNCTION("VALUE(SUBSTITUTE((INDEX(SPLIT(A813,"",""),2)),""."","","",1))"),32.097236)</f>
        <v>32.097236</v>
      </c>
      <c r="R813" s="14" t="b">
        <f t="shared" si="1"/>
        <v>0</v>
      </c>
      <c r="S813" s="14" t="str">
        <f t="shared" si="2"/>
        <v>54.79036,32.097236</v>
      </c>
      <c r="T813" s="12"/>
    </row>
    <row r="814">
      <c r="A814" s="18" t="s">
        <v>5307</v>
      </c>
      <c r="B814" s="8" t="s">
        <v>5308</v>
      </c>
      <c r="C814" s="8" t="s">
        <v>5309</v>
      </c>
      <c r="D814" s="8" t="s">
        <v>16</v>
      </c>
      <c r="E814" s="19" t="s">
        <v>5310</v>
      </c>
      <c r="F814" s="8" t="s">
        <v>5134</v>
      </c>
      <c r="G814" s="8">
        <v>23.61</v>
      </c>
      <c r="H814" s="8"/>
      <c r="I814" s="8"/>
      <c r="J814" s="8" t="s">
        <v>5311</v>
      </c>
      <c r="K814" s="8" t="s">
        <v>5312</v>
      </c>
      <c r="L814" s="8"/>
      <c r="M814" s="8"/>
      <c r="N814" s="12"/>
      <c r="O814" s="12"/>
      <c r="P814" s="13">
        <f>IFERROR(__xludf.DUMMYFUNCTION("VALUE(SUBSTITUTE((INDEX(SPLIT(A814,"",""),1)),""."","","",1))"),54.777999)</f>
        <v>54.777999</v>
      </c>
      <c r="Q814" s="13">
        <f>IFERROR(__xludf.DUMMYFUNCTION("VALUE(SUBSTITUTE((INDEX(SPLIT(A814,"",""),2)),""."","","",1))"),32.108178)</f>
        <v>32.108178</v>
      </c>
      <c r="R814" s="14" t="b">
        <f t="shared" si="1"/>
        <v>0</v>
      </c>
      <c r="S814" s="14" t="str">
        <f t="shared" si="2"/>
        <v>54.777999,32.108178</v>
      </c>
      <c r="T814" s="12"/>
    </row>
    <row r="815">
      <c r="A815" s="20" t="s">
        <v>5313</v>
      </c>
      <c r="B815" s="16" t="s">
        <v>5314</v>
      </c>
      <c r="C815" s="16" t="s">
        <v>5315</v>
      </c>
      <c r="D815" s="16" t="s">
        <v>16</v>
      </c>
      <c r="E815" s="21" t="s">
        <v>5316</v>
      </c>
      <c r="F815" s="22" t="s">
        <v>5134</v>
      </c>
      <c r="G815" s="16">
        <v>23.61</v>
      </c>
      <c r="H815" s="16"/>
      <c r="I815" s="22"/>
      <c r="J815" s="22" t="s">
        <v>5317</v>
      </c>
      <c r="K815" s="22" t="s">
        <v>5318</v>
      </c>
      <c r="L815" s="23" t="s">
        <v>5319</v>
      </c>
      <c r="M815" s="22"/>
      <c r="N815" s="12"/>
      <c r="O815" s="12"/>
      <c r="P815" s="13">
        <f>IFERROR(__xludf.DUMMYFUNCTION("VALUE(SUBSTITUTE((INDEX(SPLIT(A815,"",""),1)),""."","","",1))"),54.776358)</f>
        <v>54.776358</v>
      </c>
      <c r="Q815" s="13">
        <f>IFERROR(__xludf.DUMMYFUNCTION("VALUE(SUBSTITUTE((INDEX(SPLIT(A815,"",""),2)),""."","","",1))"),32.112014)</f>
        <v>32.112014</v>
      </c>
      <c r="R815" s="14" t="b">
        <f t="shared" si="1"/>
        <v>0</v>
      </c>
      <c r="S815" s="14" t="str">
        <f t="shared" si="2"/>
        <v>54.776358,32.112014</v>
      </c>
      <c r="T815" s="12"/>
    </row>
    <row r="816">
      <c r="A816" s="18" t="s">
        <v>5320</v>
      </c>
      <c r="B816" s="8" t="s">
        <v>89</v>
      </c>
      <c r="C816" s="8" t="s">
        <v>90</v>
      </c>
      <c r="D816" s="8" t="s">
        <v>16</v>
      </c>
      <c r="E816" s="19" t="s">
        <v>5321</v>
      </c>
      <c r="F816" s="8" t="s">
        <v>5134</v>
      </c>
      <c r="G816" s="8">
        <v>23.61</v>
      </c>
      <c r="H816" s="8"/>
      <c r="I816" s="8"/>
      <c r="J816" s="8" t="s">
        <v>5322</v>
      </c>
      <c r="K816" s="8" t="s">
        <v>5323</v>
      </c>
      <c r="L816" s="8"/>
      <c r="M816" s="8"/>
      <c r="N816" s="12"/>
      <c r="O816" s="12"/>
      <c r="P816" s="13">
        <f>IFERROR(__xludf.DUMMYFUNCTION("VALUE(SUBSTITUTE((INDEX(SPLIT(A816,"",""),1)),""."","","",1))"),54.813775)</f>
        <v>54.813775</v>
      </c>
      <c r="Q816" s="13">
        <f>IFERROR(__xludf.DUMMYFUNCTION("VALUE(SUBSTITUTE((INDEX(SPLIT(A816,"",""),2)),""."","","",1))"),32.120763)</f>
        <v>32.120763</v>
      </c>
      <c r="R816" s="14" t="b">
        <f t="shared" si="1"/>
        <v>0</v>
      </c>
      <c r="S816" s="14" t="str">
        <f t="shared" si="2"/>
        <v>54.813775,32.120763</v>
      </c>
      <c r="T816" s="12"/>
    </row>
    <row r="817">
      <c r="A817" s="15" t="s">
        <v>5324</v>
      </c>
      <c r="B817" s="16" t="s">
        <v>5325</v>
      </c>
      <c r="C817" s="16" t="s">
        <v>5326</v>
      </c>
      <c r="D817" s="16" t="s">
        <v>16</v>
      </c>
      <c r="E817" s="17" t="s">
        <v>5327</v>
      </c>
      <c r="F817" s="16" t="s">
        <v>5134</v>
      </c>
      <c r="G817" s="16">
        <v>23.61</v>
      </c>
      <c r="H817" s="16"/>
      <c r="I817" s="16"/>
      <c r="J817" s="16" t="s">
        <v>5328</v>
      </c>
      <c r="K817" s="16" t="s">
        <v>5329</v>
      </c>
      <c r="L817" s="16"/>
      <c r="M817" s="16"/>
      <c r="N817" s="12"/>
      <c r="O817" s="12"/>
      <c r="P817" s="13">
        <f>IFERROR(__xludf.DUMMYFUNCTION("VALUE(SUBSTITUTE((INDEX(SPLIT(A817,"",""),1)),""."","","",1))"),54.789717)</f>
        <v>54.789717</v>
      </c>
      <c r="Q817" s="13">
        <f>IFERROR(__xludf.DUMMYFUNCTION("VALUE(SUBSTITUTE((INDEX(SPLIT(A817,"",""),2)),""."","","",1))"),32.167296)</f>
        <v>32.167296</v>
      </c>
      <c r="R817" s="14" t="b">
        <f t="shared" si="1"/>
        <v>0</v>
      </c>
      <c r="S817" s="14" t="str">
        <f t="shared" si="2"/>
        <v>54.789717,32.167296</v>
      </c>
      <c r="T817" s="12"/>
    </row>
    <row r="818">
      <c r="A818" s="18" t="s">
        <v>5330</v>
      </c>
      <c r="B818" s="8" t="s">
        <v>5331</v>
      </c>
      <c r="C818" s="8" t="s">
        <v>5332</v>
      </c>
      <c r="D818" s="8" t="s">
        <v>16</v>
      </c>
      <c r="E818" s="19" t="s">
        <v>5333</v>
      </c>
      <c r="F818" s="8" t="s">
        <v>5334</v>
      </c>
      <c r="G818" s="8">
        <v>23.61</v>
      </c>
      <c r="H818" s="8"/>
      <c r="I818" s="8"/>
      <c r="J818" s="8" t="s">
        <v>5335</v>
      </c>
      <c r="K818" s="8" t="s">
        <v>5336</v>
      </c>
      <c r="L818" s="8"/>
      <c r="M818" s="24" t="s">
        <v>5337</v>
      </c>
      <c r="N818" s="12"/>
      <c r="O818" s="12"/>
      <c r="P818" s="13">
        <f>IFERROR(__xludf.DUMMYFUNCTION("VALUE(SUBSTITUTE((INDEX(SPLIT(A818,"",""),1)),""."","","",1))"),67.380079)</f>
        <v>67.380079</v>
      </c>
      <c r="Q818" s="13">
        <f>IFERROR(__xludf.DUMMYFUNCTION("VALUE(SUBSTITUTE((INDEX(SPLIT(A818,"",""),2)),""."","","",1))"),32.506437)</f>
        <v>32.506437</v>
      </c>
      <c r="R818" s="14" t="b">
        <f t="shared" si="1"/>
        <v>0</v>
      </c>
      <c r="S818" s="14" t="str">
        <f t="shared" si="2"/>
        <v>67.380079,32.506437</v>
      </c>
      <c r="T818" s="12"/>
    </row>
    <row r="819">
      <c r="A819" s="15" t="s">
        <v>5338</v>
      </c>
      <c r="B819" s="16" t="s">
        <v>5339</v>
      </c>
      <c r="C819" s="16" t="s">
        <v>5340</v>
      </c>
      <c r="D819" s="16" t="s">
        <v>16</v>
      </c>
      <c r="E819" s="17" t="s">
        <v>5341</v>
      </c>
      <c r="F819" s="16" t="s">
        <v>3162</v>
      </c>
      <c r="G819" s="16">
        <v>23.61</v>
      </c>
      <c r="H819" s="16"/>
      <c r="I819" s="16"/>
      <c r="J819" s="16" t="s">
        <v>5342</v>
      </c>
      <c r="K819" s="16" t="s">
        <v>5343</v>
      </c>
      <c r="L819" s="16"/>
      <c r="M819" s="16"/>
      <c r="N819" s="12"/>
      <c r="O819" s="12"/>
      <c r="P819" s="13">
        <f>IFERROR(__xludf.DUMMYFUNCTION("VALUE(SUBSTITUTE((INDEX(SPLIT(A819,"",""),1)),""."","","",1))"),60.147186)</f>
        <v>60.147186</v>
      </c>
      <c r="Q819" s="13">
        <f>IFERROR(__xludf.DUMMYFUNCTION("VALUE(SUBSTITUTE((INDEX(SPLIT(A819,"",""),2)),""."","","",1))"),32.55208)</f>
        <v>32.55208</v>
      </c>
      <c r="R819" s="14" t="b">
        <f t="shared" si="1"/>
        <v>0</v>
      </c>
      <c r="S819" s="14" t="str">
        <f t="shared" si="2"/>
        <v>60.147186,32.55208</v>
      </c>
      <c r="T819" s="12"/>
    </row>
    <row r="820">
      <c r="A820" s="7" t="s">
        <v>5344</v>
      </c>
      <c r="B820" s="8" t="s">
        <v>5345</v>
      </c>
      <c r="C820" s="8" t="s">
        <v>5346</v>
      </c>
      <c r="D820" s="8" t="s">
        <v>16</v>
      </c>
      <c r="E820" s="9" t="s">
        <v>5347</v>
      </c>
      <c r="F820" s="10" t="s">
        <v>3162</v>
      </c>
      <c r="G820" s="8">
        <v>23.61</v>
      </c>
      <c r="H820" s="8"/>
      <c r="I820" s="10"/>
      <c r="J820" s="10" t="s">
        <v>5348</v>
      </c>
      <c r="K820" s="10" t="s">
        <v>5349</v>
      </c>
      <c r="L820" s="11" t="s">
        <v>5350</v>
      </c>
      <c r="M820" s="10"/>
      <c r="N820" s="12"/>
      <c r="O820" s="12"/>
      <c r="P820" s="13">
        <f>IFERROR(__xludf.DUMMYFUNCTION("VALUE(SUBSTITUTE((INDEX(SPLIT(A820,"",""),1)),""."","","",1))"),60.136237)</f>
        <v>60.136237</v>
      </c>
      <c r="Q820" s="13">
        <f>IFERROR(__xludf.DUMMYFUNCTION("VALUE(SUBSTITUTE((INDEX(SPLIT(A820,"",""),2)),""."","","",1))"),32.569849)</f>
        <v>32.569849</v>
      </c>
      <c r="R820" s="14" t="b">
        <f t="shared" si="1"/>
        <v>0</v>
      </c>
      <c r="S820" s="14" t="str">
        <f t="shared" si="2"/>
        <v>60.136237,32.569849</v>
      </c>
      <c r="T820" s="12"/>
    </row>
    <row r="821">
      <c r="A821" s="15" t="s">
        <v>5351</v>
      </c>
      <c r="B821" s="16" t="s">
        <v>5352</v>
      </c>
      <c r="C821" s="16" t="s">
        <v>5353</v>
      </c>
      <c r="D821" s="16" t="s">
        <v>16</v>
      </c>
      <c r="E821" s="17" t="s">
        <v>5354</v>
      </c>
      <c r="F821" s="16" t="s">
        <v>3162</v>
      </c>
      <c r="G821" s="16">
        <v>23.61</v>
      </c>
      <c r="H821" s="16"/>
      <c r="I821" s="16"/>
      <c r="J821" s="16" t="s">
        <v>5355</v>
      </c>
      <c r="K821" s="16" t="s">
        <v>5349</v>
      </c>
      <c r="L821" s="16"/>
      <c r="M821" s="25" t="s">
        <v>5356</v>
      </c>
      <c r="N821" s="12"/>
      <c r="O821" s="12"/>
      <c r="P821" s="13">
        <f>IFERROR(__xludf.DUMMYFUNCTION("VALUE(SUBSTITUTE((INDEX(SPLIT(A821,"",""),1)),""."","","",1))"),60.002539)</f>
        <v>60.002539</v>
      </c>
      <c r="Q821" s="13">
        <f>IFERROR(__xludf.DUMMYFUNCTION("VALUE(SUBSTITUTE((INDEX(SPLIT(A821,"",""),2)),""."","","",1))"),32.616939)</f>
        <v>32.616939</v>
      </c>
      <c r="R821" s="14" t="b">
        <f t="shared" si="1"/>
        <v>0</v>
      </c>
      <c r="S821" s="14" t="str">
        <f t="shared" si="2"/>
        <v>60.002539,32.616939</v>
      </c>
      <c r="T821" s="12"/>
    </row>
    <row r="822">
      <c r="A822" s="7" t="s">
        <v>5357</v>
      </c>
      <c r="B822" s="8" t="s">
        <v>5358</v>
      </c>
      <c r="C822" s="8" t="s">
        <v>5359</v>
      </c>
      <c r="D822" s="8" t="s">
        <v>16</v>
      </c>
      <c r="E822" s="9" t="s">
        <v>5360</v>
      </c>
      <c r="F822" s="10" t="s">
        <v>5142</v>
      </c>
      <c r="G822" s="8">
        <v>23.61</v>
      </c>
      <c r="H822" s="8"/>
      <c r="I822" s="10"/>
      <c r="J822" s="10" t="s">
        <v>5361</v>
      </c>
      <c r="K822" s="10" t="s">
        <v>5362</v>
      </c>
      <c r="L822" s="11" t="s">
        <v>5363</v>
      </c>
      <c r="M822" s="11" t="s">
        <v>5364</v>
      </c>
      <c r="N822" s="12"/>
      <c r="O822" s="12"/>
      <c r="P822" s="13">
        <f>IFERROR(__xludf.DUMMYFUNCTION("VALUE(SUBSTITUTE((INDEX(SPLIT(A822,"",""),1)),""."","","",1))"),52.830934)</f>
        <v>52.830934</v>
      </c>
      <c r="Q822" s="13">
        <f>IFERROR(__xludf.DUMMYFUNCTION("VALUE(SUBSTITUTE((INDEX(SPLIT(A822,"",""),2)),""."","","",1))"),32.688678)</f>
        <v>32.688678</v>
      </c>
      <c r="R822" s="14" t="b">
        <f t="shared" si="1"/>
        <v>0</v>
      </c>
      <c r="S822" s="14" t="str">
        <f t="shared" si="2"/>
        <v>52.830934,32.688678</v>
      </c>
      <c r="T822" s="12"/>
    </row>
    <row r="823">
      <c r="A823" s="20" t="s">
        <v>5365</v>
      </c>
      <c r="B823" s="16" t="s">
        <v>5366</v>
      </c>
      <c r="C823" s="16" t="s">
        <v>5367</v>
      </c>
      <c r="D823" s="16" t="s">
        <v>16</v>
      </c>
      <c r="E823" s="21" t="s">
        <v>5368</v>
      </c>
      <c r="F823" s="22" t="s">
        <v>4881</v>
      </c>
      <c r="G823" s="16">
        <v>23.61</v>
      </c>
      <c r="H823" s="16"/>
      <c r="I823" s="22"/>
      <c r="J823" s="22" t="s">
        <v>5369</v>
      </c>
      <c r="K823" s="22" t="s">
        <v>5370</v>
      </c>
      <c r="L823" s="23" t="s">
        <v>5371</v>
      </c>
      <c r="M823" s="23" t="s">
        <v>5372</v>
      </c>
      <c r="N823" s="12"/>
      <c r="O823" s="12"/>
      <c r="P823" s="13">
        <f>IFERROR(__xludf.DUMMYFUNCTION("VALUE(SUBSTITUTE((INDEX(SPLIT(A823,"",""),1)),""."","","",1))"),45.368847)</f>
        <v>45.368847</v>
      </c>
      <c r="Q823" s="13">
        <f>IFERROR(__xludf.DUMMYFUNCTION("VALUE(SUBSTITUTE((INDEX(SPLIT(A823,"",""),2)),""."","","",1))"),32.760831)</f>
        <v>32.760831</v>
      </c>
      <c r="R823" s="14" t="b">
        <f t="shared" si="1"/>
        <v>0</v>
      </c>
      <c r="S823" s="14" t="str">
        <f t="shared" si="2"/>
        <v>45.368847,32.760831</v>
      </c>
      <c r="T823" s="12"/>
    </row>
    <row r="824">
      <c r="A824" s="7" t="s">
        <v>5373</v>
      </c>
      <c r="B824" s="8" t="s">
        <v>5374</v>
      </c>
      <c r="C824" s="8" t="s">
        <v>5375</v>
      </c>
      <c r="D824" s="8" t="s">
        <v>16</v>
      </c>
      <c r="E824" s="9" t="s">
        <v>5376</v>
      </c>
      <c r="F824" s="10" t="s">
        <v>5134</v>
      </c>
      <c r="G824" s="8">
        <v>23.61</v>
      </c>
      <c r="H824" s="8"/>
      <c r="I824" s="10"/>
      <c r="J824" s="10" t="s">
        <v>5377</v>
      </c>
      <c r="K824" s="10" t="s">
        <v>5378</v>
      </c>
      <c r="L824" s="11" t="s">
        <v>5379</v>
      </c>
      <c r="M824" s="10"/>
      <c r="N824" s="12"/>
      <c r="O824" s="12"/>
      <c r="P824" s="13">
        <f>IFERROR(__xludf.DUMMYFUNCTION("VALUE(SUBSTITUTE((INDEX(SPLIT(A824,"",""),1)),""."","","",1))"),55.062787)</f>
        <v>55.062787</v>
      </c>
      <c r="Q824" s="13">
        <f>IFERROR(__xludf.DUMMYFUNCTION("VALUE(SUBSTITUTE((INDEX(SPLIT(A824,"",""),2)),""."","","",1))"),32.77851)</f>
        <v>32.77851</v>
      </c>
      <c r="R824" s="14" t="b">
        <f t="shared" si="1"/>
        <v>0</v>
      </c>
      <c r="S824" s="14" t="str">
        <f t="shared" si="2"/>
        <v>55.062787,32.77851</v>
      </c>
      <c r="T824" s="12"/>
    </row>
    <row r="825">
      <c r="A825" s="15" t="s">
        <v>5380</v>
      </c>
      <c r="B825" s="16" t="s">
        <v>5381</v>
      </c>
      <c r="C825" s="16" t="s">
        <v>5382</v>
      </c>
      <c r="D825" s="16" t="s">
        <v>16</v>
      </c>
      <c r="E825" s="17" t="s">
        <v>5383</v>
      </c>
      <c r="F825" s="16" t="s">
        <v>3340</v>
      </c>
      <c r="G825" s="16">
        <v>23.61</v>
      </c>
      <c r="H825" s="16"/>
      <c r="I825" s="16"/>
      <c r="J825" s="16" t="s">
        <v>5384</v>
      </c>
      <c r="K825" s="16" t="s">
        <v>5385</v>
      </c>
      <c r="L825" s="16"/>
      <c r="M825" s="16"/>
      <c r="N825" s="12"/>
      <c r="O825" s="12"/>
      <c r="P825" s="13">
        <f>IFERROR(__xludf.DUMMYFUNCTION("VALUE(SUBSTITUTE((INDEX(SPLIT(A825,"",""),1)),""."","","",1))"),60.983031)</f>
        <v>60.983031</v>
      </c>
      <c r="Q825" s="13">
        <f>IFERROR(__xludf.DUMMYFUNCTION("VALUE(SUBSTITUTE((INDEX(SPLIT(A825,"",""),2)),""."","","",1))"),32.984826)</f>
        <v>32.984826</v>
      </c>
      <c r="R825" s="14" t="b">
        <f t="shared" si="1"/>
        <v>0</v>
      </c>
      <c r="S825" s="14" t="str">
        <f t="shared" si="2"/>
        <v>60.983031,32.984826</v>
      </c>
      <c r="T825" s="12"/>
    </row>
    <row r="826">
      <c r="A826" s="18" t="s">
        <v>5386</v>
      </c>
      <c r="B826" s="8" t="s">
        <v>5387</v>
      </c>
      <c r="C826" s="8" t="s">
        <v>5388</v>
      </c>
      <c r="D826" s="8" t="s">
        <v>16</v>
      </c>
      <c r="E826" s="19" t="s">
        <v>5389</v>
      </c>
      <c r="F826" s="8" t="s">
        <v>3162</v>
      </c>
      <c r="G826" s="8">
        <v>23.61</v>
      </c>
      <c r="H826" s="8"/>
      <c r="I826" s="8"/>
      <c r="J826" s="8" t="s">
        <v>5390</v>
      </c>
      <c r="K826" s="8" t="s">
        <v>5391</v>
      </c>
      <c r="L826" s="8"/>
      <c r="M826" s="8"/>
      <c r="N826" s="12"/>
      <c r="O826" s="12"/>
      <c r="P826" s="13">
        <f>IFERROR(__xludf.DUMMYFUNCTION("VALUE(SUBSTITUTE((INDEX(SPLIT(A826,"",""),1)),""."","","",1))"),60.504353)</f>
        <v>60.504353</v>
      </c>
      <c r="Q826" s="13">
        <f>IFERROR(__xludf.DUMMYFUNCTION("VALUE(SUBSTITUTE((INDEX(SPLIT(A826,"",""),2)),""."","","",1))"),33.039192)</f>
        <v>33.039192</v>
      </c>
      <c r="R826" s="14" t="b">
        <f t="shared" si="1"/>
        <v>0</v>
      </c>
      <c r="S826" s="14" t="str">
        <f t="shared" si="2"/>
        <v>60.504353,33.039192</v>
      </c>
      <c r="T826" s="12"/>
    </row>
    <row r="827">
      <c r="A827" s="7" t="s">
        <v>5392</v>
      </c>
      <c r="B827" s="8" t="s">
        <v>5393</v>
      </c>
      <c r="C827" s="8" t="s">
        <v>5394</v>
      </c>
      <c r="D827" s="8" t="s">
        <v>16</v>
      </c>
      <c r="E827" s="9" t="s">
        <v>5395</v>
      </c>
      <c r="F827" s="10" t="s">
        <v>4881</v>
      </c>
      <c r="G827" s="8">
        <v>23.61</v>
      </c>
      <c r="H827" s="8"/>
      <c r="I827" s="10"/>
      <c r="J827" s="10" t="s">
        <v>5396</v>
      </c>
      <c r="K827" s="10" t="s">
        <v>5397</v>
      </c>
      <c r="L827" s="11" t="s">
        <v>5398</v>
      </c>
      <c r="M827" s="11" t="s">
        <v>5399</v>
      </c>
      <c r="N827" s="12"/>
      <c r="O827" s="12"/>
      <c r="P827" s="13">
        <f>IFERROR(__xludf.DUMMYFUNCTION("VALUE(SUBSTITUTE((INDEX(SPLIT(A827,"",""),1)),""."","","",1))"),45.543774)</f>
        <v>45.543774</v>
      </c>
      <c r="Q827" s="13">
        <f>IFERROR(__xludf.DUMMYFUNCTION("VALUE(SUBSTITUTE((INDEX(SPLIT(A827,"",""),2)),""."","","",1))"),33.067372)</f>
        <v>33.067372</v>
      </c>
      <c r="R827" s="14" t="b">
        <f t="shared" si="1"/>
        <v>0</v>
      </c>
      <c r="S827" s="14" t="str">
        <f t="shared" si="2"/>
        <v>45.543774,33.067372</v>
      </c>
      <c r="T827" s="12"/>
    </row>
    <row r="828">
      <c r="A828" s="20" t="s">
        <v>5400</v>
      </c>
      <c r="B828" s="16" t="s">
        <v>5401</v>
      </c>
      <c r="C828" s="16" t="s">
        <v>5402</v>
      </c>
      <c r="D828" s="16" t="s">
        <v>16</v>
      </c>
      <c r="E828" s="21" t="s">
        <v>5403</v>
      </c>
      <c r="F828" s="22" t="s">
        <v>5134</v>
      </c>
      <c r="G828" s="16">
        <v>23.61</v>
      </c>
      <c r="H828" s="16"/>
      <c r="I828" s="22"/>
      <c r="J828" s="22" t="s">
        <v>5404</v>
      </c>
      <c r="K828" s="22" t="s">
        <v>5405</v>
      </c>
      <c r="L828" s="23" t="s">
        <v>5406</v>
      </c>
      <c r="M828" s="22"/>
      <c r="N828" s="12"/>
      <c r="O828" s="12"/>
      <c r="P828" s="13">
        <f>IFERROR(__xludf.DUMMYFUNCTION("VALUE(SUBSTITUTE((INDEX(SPLIT(A828,"",""),1)),""."","","",1))"),55.088068)</f>
        <v>55.088068</v>
      </c>
      <c r="Q828" s="13">
        <f>IFERROR(__xludf.DUMMYFUNCTION("VALUE(SUBSTITUTE((INDEX(SPLIT(A828,"",""),2)),""."","","",1))"),33.06889)</f>
        <v>33.06889</v>
      </c>
      <c r="R828" s="14" t="b">
        <f t="shared" si="1"/>
        <v>0</v>
      </c>
      <c r="S828" s="14" t="str">
        <f t="shared" si="2"/>
        <v>55.088068,33.06889</v>
      </c>
      <c r="T828" s="12"/>
    </row>
    <row r="829">
      <c r="A829" s="20" t="s">
        <v>5407</v>
      </c>
      <c r="B829" s="16" t="s">
        <v>5408</v>
      </c>
      <c r="C829" s="16" t="s">
        <v>5409</v>
      </c>
      <c r="D829" s="16" t="s">
        <v>16</v>
      </c>
      <c r="E829" s="21" t="s">
        <v>5410</v>
      </c>
      <c r="F829" s="22" t="s">
        <v>5134</v>
      </c>
      <c r="G829" s="16">
        <v>23.61</v>
      </c>
      <c r="H829" s="16"/>
      <c r="I829" s="22"/>
      <c r="J829" s="22" t="s">
        <v>5411</v>
      </c>
      <c r="K829" s="22" t="s">
        <v>5412</v>
      </c>
      <c r="L829" s="23" t="s">
        <v>5413</v>
      </c>
      <c r="M829" s="22"/>
      <c r="N829" s="12"/>
      <c r="O829" s="12"/>
      <c r="P829" s="13">
        <f>IFERROR(__xludf.DUMMYFUNCTION("VALUE(SUBSTITUTE((INDEX(SPLIT(A829,"",""),1)),""."","","",1))"),55.123754)</f>
        <v>55.123754</v>
      </c>
      <c r="Q829" s="13">
        <f>IFERROR(__xludf.DUMMYFUNCTION("VALUE(SUBSTITUTE((INDEX(SPLIT(A829,"",""),2)),""."","","",1))"),33.168971)</f>
        <v>33.168971</v>
      </c>
      <c r="R829" s="14" t="b">
        <f t="shared" si="1"/>
        <v>0</v>
      </c>
      <c r="S829" s="14" t="str">
        <f t="shared" si="2"/>
        <v>55.123754,33.168971</v>
      </c>
      <c r="T829" s="12"/>
    </row>
    <row r="830">
      <c r="A830" s="7" t="s">
        <v>5414</v>
      </c>
      <c r="B830" s="8" t="s">
        <v>5415</v>
      </c>
      <c r="C830" s="8" t="s">
        <v>5416</v>
      </c>
      <c r="D830" s="8" t="s">
        <v>16</v>
      </c>
      <c r="E830" s="9" t="s">
        <v>5417</v>
      </c>
      <c r="F830" s="10" t="s">
        <v>5134</v>
      </c>
      <c r="G830" s="8">
        <v>23.61</v>
      </c>
      <c r="H830" s="8"/>
      <c r="I830" s="10"/>
      <c r="J830" s="10" t="s">
        <v>5418</v>
      </c>
      <c r="K830" s="10" t="s">
        <v>5419</v>
      </c>
      <c r="L830" s="11" t="s">
        <v>5420</v>
      </c>
      <c r="M830" s="10"/>
      <c r="N830" s="12"/>
      <c r="O830" s="12"/>
      <c r="P830" s="13">
        <f>IFERROR(__xludf.DUMMYFUNCTION("VALUE(SUBSTITUTE((INDEX(SPLIT(A830,"",""),1)),""."","","",1))"),55.124738)</f>
        <v>55.124738</v>
      </c>
      <c r="Q830" s="13">
        <f>IFERROR(__xludf.DUMMYFUNCTION("VALUE(SUBSTITUTE((INDEX(SPLIT(A830,"",""),2)),""."","","",1))"),33.198382)</f>
        <v>33.198382</v>
      </c>
      <c r="R830" s="14" t="b">
        <f t="shared" si="1"/>
        <v>0</v>
      </c>
      <c r="S830" s="14" t="str">
        <f t="shared" si="2"/>
        <v>55.124738,33.198382</v>
      </c>
      <c r="T830" s="12"/>
    </row>
    <row r="831">
      <c r="A831" s="20" t="s">
        <v>5421</v>
      </c>
      <c r="B831" s="16" t="s">
        <v>5422</v>
      </c>
      <c r="C831" s="16" t="s">
        <v>5423</v>
      </c>
      <c r="D831" s="16" t="s">
        <v>16</v>
      </c>
      <c r="E831" s="21" t="s">
        <v>5424</v>
      </c>
      <c r="F831" s="22" t="s">
        <v>5134</v>
      </c>
      <c r="G831" s="16">
        <v>23.61</v>
      </c>
      <c r="H831" s="16"/>
      <c r="I831" s="22"/>
      <c r="J831" s="22" t="s">
        <v>5425</v>
      </c>
      <c r="K831" s="22" t="s">
        <v>5426</v>
      </c>
      <c r="L831" s="23" t="s">
        <v>5427</v>
      </c>
      <c r="M831" s="22"/>
      <c r="N831" s="12"/>
      <c r="O831" s="12"/>
      <c r="P831" s="13">
        <f>IFERROR(__xludf.DUMMYFUNCTION("VALUE(SUBSTITUTE((INDEX(SPLIT(A831,"",""),1)),""."","","",1))"),55.126236)</f>
        <v>55.126236</v>
      </c>
      <c r="Q831" s="13">
        <f>IFERROR(__xludf.DUMMYFUNCTION("VALUE(SUBSTITUTE((INDEX(SPLIT(A831,"",""),2)),""."","","",1))"),33.199101)</f>
        <v>33.199101</v>
      </c>
      <c r="R831" s="14" t="b">
        <f t="shared" si="1"/>
        <v>0</v>
      </c>
      <c r="S831" s="14" t="str">
        <f t="shared" si="2"/>
        <v>55.126236,33.199101</v>
      </c>
      <c r="T831" s="12"/>
    </row>
    <row r="832">
      <c r="A832" s="7" t="s">
        <v>5428</v>
      </c>
      <c r="B832" s="8" t="s">
        <v>5429</v>
      </c>
      <c r="C832" s="8" t="s">
        <v>5430</v>
      </c>
      <c r="D832" s="8" t="s">
        <v>16</v>
      </c>
      <c r="E832" s="9" t="s">
        <v>5431</v>
      </c>
      <c r="F832" s="10" t="s">
        <v>5134</v>
      </c>
      <c r="G832" s="8">
        <v>23.61</v>
      </c>
      <c r="H832" s="8"/>
      <c r="I832" s="10"/>
      <c r="J832" s="10" t="s">
        <v>5432</v>
      </c>
      <c r="K832" s="10" t="s">
        <v>5433</v>
      </c>
      <c r="L832" s="11" t="s">
        <v>5434</v>
      </c>
      <c r="M832" s="10"/>
      <c r="N832" s="12"/>
      <c r="O832" s="12"/>
      <c r="P832" s="13">
        <f>IFERROR(__xludf.DUMMYFUNCTION("VALUE(SUBSTITUTE((INDEX(SPLIT(A832,"",""),1)),""."","","",1))"),55.12707)</f>
        <v>55.12707</v>
      </c>
      <c r="Q832" s="13">
        <f>IFERROR(__xludf.DUMMYFUNCTION("VALUE(SUBSTITUTE((INDEX(SPLIT(A832,"",""),2)),""."","","",1))"),33.202164)</f>
        <v>33.202164</v>
      </c>
      <c r="R832" s="14" t="b">
        <f t="shared" si="1"/>
        <v>0</v>
      </c>
      <c r="S832" s="14" t="str">
        <f t="shared" si="2"/>
        <v>55.12707,33.202164</v>
      </c>
      <c r="T832" s="12"/>
    </row>
    <row r="833">
      <c r="A833" s="15" t="s">
        <v>5435</v>
      </c>
      <c r="B833" s="16" t="s">
        <v>5436</v>
      </c>
      <c r="C833" s="16" t="s">
        <v>5437</v>
      </c>
      <c r="D833" s="16" t="s">
        <v>16</v>
      </c>
      <c r="E833" s="17" t="s">
        <v>5438</v>
      </c>
      <c r="F833" s="16" t="s">
        <v>5134</v>
      </c>
      <c r="G833" s="16">
        <v>23.61</v>
      </c>
      <c r="H833" s="16"/>
      <c r="I833" s="16"/>
      <c r="J833" s="16" t="s">
        <v>5439</v>
      </c>
      <c r="K833" s="16" t="s">
        <v>5440</v>
      </c>
      <c r="L833" s="16"/>
      <c r="M833" s="16"/>
      <c r="N833" s="12"/>
      <c r="O833" s="12"/>
      <c r="P833" s="13">
        <f>IFERROR(__xludf.DUMMYFUNCTION("VALUE(SUBSTITUTE((INDEX(SPLIT(A833,"",""),1)),""."","","",1))"),55.125)</f>
        <v>55.125</v>
      </c>
      <c r="Q833" s="13">
        <f>IFERROR(__xludf.DUMMYFUNCTION("VALUE(SUBSTITUTE((INDEX(SPLIT(A833,"",""),2)),""."","","",1))"),33.215091)</f>
        <v>33.215091</v>
      </c>
      <c r="R833" s="14" t="b">
        <f t="shared" si="1"/>
        <v>0</v>
      </c>
      <c r="S833" s="14" t="str">
        <f t="shared" si="2"/>
        <v>55.125,33.215091</v>
      </c>
      <c r="T833" s="12"/>
    </row>
    <row r="834">
      <c r="A834" s="18" t="s">
        <v>5441</v>
      </c>
      <c r="B834" s="8" t="s">
        <v>5442</v>
      </c>
      <c r="C834" s="8" t="s">
        <v>5443</v>
      </c>
      <c r="D834" s="8" t="s">
        <v>16</v>
      </c>
      <c r="E834" s="19" t="s">
        <v>5444</v>
      </c>
      <c r="F834" s="8" t="s">
        <v>5134</v>
      </c>
      <c r="G834" s="8">
        <v>23.61</v>
      </c>
      <c r="H834" s="8"/>
      <c r="I834" s="8"/>
      <c r="J834" s="8" t="s">
        <v>5445</v>
      </c>
      <c r="K834" s="8" t="s">
        <v>5446</v>
      </c>
      <c r="L834" s="8"/>
      <c r="M834" s="8"/>
      <c r="N834" s="12"/>
      <c r="O834" s="12"/>
      <c r="P834" s="13">
        <f>IFERROR(__xludf.DUMMYFUNCTION("VALUE(SUBSTITUTE((INDEX(SPLIT(A834,"",""),1)),""."","","",1))"),55.11685)</f>
        <v>55.11685</v>
      </c>
      <c r="Q834" s="13">
        <f>IFERROR(__xludf.DUMMYFUNCTION("VALUE(SUBSTITUTE((INDEX(SPLIT(A834,"",""),2)),""."","","",1))"),33.216591)</f>
        <v>33.216591</v>
      </c>
      <c r="R834" s="14" t="b">
        <f t="shared" si="1"/>
        <v>0</v>
      </c>
      <c r="S834" s="14" t="str">
        <f t="shared" si="2"/>
        <v>55.11685,33.216591</v>
      </c>
      <c r="T834" s="12"/>
    </row>
    <row r="835">
      <c r="A835" s="15" t="s">
        <v>5447</v>
      </c>
      <c r="B835" s="16" t="s">
        <v>5448</v>
      </c>
      <c r="C835" s="16" t="s">
        <v>5449</v>
      </c>
      <c r="D835" s="16" t="s">
        <v>16</v>
      </c>
      <c r="E835" s="17" t="s">
        <v>5450</v>
      </c>
      <c r="F835" s="16" t="s">
        <v>5134</v>
      </c>
      <c r="G835" s="16">
        <v>23.61</v>
      </c>
      <c r="H835" s="16"/>
      <c r="I835" s="16"/>
      <c r="J835" s="16" t="s">
        <v>5451</v>
      </c>
      <c r="K835" s="16" t="s">
        <v>5452</v>
      </c>
      <c r="L835" s="16"/>
      <c r="M835" s="16"/>
      <c r="N835" s="12"/>
      <c r="O835" s="12"/>
      <c r="P835" s="13">
        <f>IFERROR(__xludf.DUMMYFUNCTION("VALUE(SUBSTITUTE((INDEX(SPLIT(A835,"",""),1)),""."","","",1))"),55.11596)</f>
        <v>55.11596</v>
      </c>
      <c r="Q835" s="13">
        <f>IFERROR(__xludf.DUMMYFUNCTION("VALUE(SUBSTITUTE((INDEX(SPLIT(A835,"",""),2)),""."","","",1))"),33.216807)</f>
        <v>33.216807</v>
      </c>
      <c r="R835" s="14" t="b">
        <f t="shared" si="1"/>
        <v>0</v>
      </c>
      <c r="S835" s="14" t="str">
        <f t="shared" si="2"/>
        <v>55.11596,33.216807</v>
      </c>
      <c r="T835" s="12"/>
    </row>
    <row r="836">
      <c r="A836" s="7" t="s">
        <v>5453</v>
      </c>
      <c r="B836" s="8" t="s">
        <v>5454</v>
      </c>
      <c r="C836" s="8" t="s">
        <v>5455</v>
      </c>
      <c r="D836" s="8" t="s">
        <v>16</v>
      </c>
      <c r="E836" s="9" t="s">
        <v>5456</v>
      </c>
      <c r="F836" s="10" t="s">
        <v>5134</v>
      </c>
      <c r="G836" s="8">
        <v>23.61</v>
      </c>
      <c r="H836" s="8"/>
      <c r="I836" s="10"/>
      <c r="J836" s="10" t="s">
        <v>5457</v>
      </c>
      <c r="K836" s="10" t="s">
        <v>5458</v>
      </c>
      <c r="L836" s="11" t="s">
        <v>5459</v>
      </c>
      <c r="M836" s="11" t="s">
        <v>5460</v>
      </c>
      <c r="N836" s="12"/>
      <c r="O836" s="12"/>
      <c r="P836" s="13">
        <f>IFERROR(__xludf.DUMMYFUNCTION("VALUE(SUBSTITUTE((INDEX(SPLIT(A836,"",""),1)),""."","","",1))"),55.126297)</f>
        <v>55.126297</v>
      </c>
      <c r="Q836" s="13">
        <f>IFERROR(__xludf.DUMMYFUNCTION("VALUE(SUBSTITUTE((INDEX(SPLIT(A836,"",""),2)),""."","","",1))"),33.216932)</f>
        <v>33.216932</v>
      </c>
      <c r="R836" s="14" t="b">
        <f t="shared" si="1"/>
        <v>0</v>
      </c>
      <c r="S836" s="14" t="str">
        <f t="shared" si="2"/>
        <v>55.126297,33.216932</v>
      </c>
      <c r="T836" s="12"/>
    </row>
    <row r="837">
      <c r="A837" s="20" t="s">
        <v>5461</v>
      </c>
      <c r="B837" s="16" t="s">
        <v>5462</v>
      </c>
      <c r="C837" s="16" t="s">
        <v>5463</v>
      </c>
      <c r="D837" s="16" t="s">
        <v>16</v>
      </c>
      <c r="E837" s="21" t="s">
        <v>5464</v>
      </c>
      <c r="F837" s="22" t="s">
        <v>5134</v>
      </c>
      <c r="G837" s="16">
        <v>23.61</v>
      </c>
      <c r="H837" s="16"/>
      <c r="I837" s="22"/>
      <c r="J837" s="22" t="s">
        <v>5465</v>
      </c>
      <c r="K837" s="22" t="s">
        <v>5466</v>
      </c>
      <c r="L837" s="23" t="s">
        <v>5467</v>
      </c>
      <c r="M837" s="22"/>
      <c r="N837" s="12"/>
      <c r="O837" s="12"/>
      <c r="P837" s="13">
        <f>IFERROR(__xludf.DUMMYFUNCTION("VALUE(SUBSTITUTE((INDEX(SPLIT(A837,"",""),1)),""."","","",1))"),55.111274)</f>
        <v>55.111274</v>
      </c>
      <c r="Q837" s="13">
        <f>IFERROR(__xludf.DUMMYFUNCTION("VALUE(SUBSTITUTE((INDEX(SPLIT(A837,"",""),2)),""."","","",1))"),33.217804)</f>
        <v>33.217804</v>
      </c>
      <c r="R837" s="14" t="b">
        <f t="shared" si="1"/>
        <v>0</v>
      </c>
      <c r="S837" s="14" t="str">
        <f t="shared" si="2"/>
        <v>55.111274,33.217804</v>
      </c>
      <c r="T837" s="12"/>
    </row>
    <row r="838">
      <c r="A838" s="18" t="s">
        <v>5468</v>
      </c>
      <c r="B838" s="8" t="s">
        <v>5469</v>
      </c>
      <c r="C838" s="8" t="s">
        <v>5470</v>
      </c>
      <c r="D838" s="8" t="s">
        <v>16</v>
      </c>
      <c r="E838" s="19" t="s">
        <v>5471</v>
      </c>
      <c r="F838" s="8" t="s">
        <v>5134</v>
      </c>
      <c r="G838" s="8">
        <v>23.61</v>
      </c>
      <c r="H838" s="8"/>
      <c r="I838" s="8"/>
      <c r="J838" s="8" t="s">
        <v>5472</v>
      </c>
      <c r="K838" s="8" t="s">
        <v>5473</v>
      </c>
      <c r="L838" s="8"/>
      <c r="M838" s="8"/>
      <c r="N838" s="12"/>
      <c r="O838" s="12"/>
      <c r="P838" s="13">
        <f>IFERROR(__xludf.DUMMYFUNCTION("VALUE(SUBSTITUTE((INDEX(SPLIT(A838,"",""),1)),""."","","",1))"),55.111238)</f>
        <v>55.111238</v>
      </c>
      <c r="Q838" s="13">
        <f>IFERROR(__xludf.DUMMYFUNCTION("VALUE(SUBSTITUTE((INDEX(SPLIT(A838,"",""),2)),""."","","",1))"),33.218253)</f>
        <v>33.218253</v>
      </c>
      <c r="R838" s="14" t="b">
        <f t="shared" si="1"/>
        <v>0</v>
      </c>
      <c r="S838" s="14" t="str">
        <f t="shared" si="2"/>
        <v>55.111238,33.218253</v>
      </c>
      <c r="T838" s="12"/>
    </row>
    <row r="839">
      <c r="A839" s="20" t="s">
        <v>5474</v>
      </c>
      <c r="B839" s="16" t="s">
        <v>5475</v>
      </c>
      <c r="C839" s="16" t="s">
        <v>5476</v>
      </c>
      <c r="D839" s="16" t="s">
        <v>16</v>
      </c>
      <c r="E839" s="21" t="s">
        <v>5477</v>
      </c>
      <c r="F839" s="22" t="s">
        <v>5134</v>
      </c>
      <c r="G839" s="16">
        <v>23.61</v>
      </c>
      <c r="H839" s="16"/>
      <c r="I839" s="22"/>
      <c r="J839" s="22" t="s">
        <v>5478</v>
      </c>
      <c r="K839" s="22" t="s">
        <v>5479</v>
      </c>
      <c r="L839" s="23" t="s">
        <v>5480</v>
      </c>
      <c r="M839" s="22"/>
      <c r="N839" s="12"/>
      <c r="O839" s="12"/>
      <c r="P839" s="13">
        <f>IFERROR(__xludf.DUMMYFUNCTION("VALUE(SUBSTITUTE((INDEX(SPLIT(A839,"",""),1)),""."","","",1))"),55.10547)</f>
        <v>55.10547</v>
      </c>
      <c r="Q839" s="13">
        <f>IFERROR(__xludf.DUMMYFUNCTION("VALUE(SUBSTITUTE((INDEX(SPLIT(A839,"",""),2)),""."","","",1))"),33.218837)</f>
        <v>33.218837</v>
      </c>
      <c r="R839" s="14" t="b">
        <f t="shared" si="1"/>
        <v>0</v>
      </c>
      <c r="S839" s="14" t="str">
        <f t="shared" si="2"/>
        <v>55.10547,33.218837</v>
      </c>
      <c r="T839" s="12"/>
    </row>
    <row r="840">
      <c r="A840" s="7" t="s">
        <v>5474</v>
      </c>
      <c r="B840" s="8" t="s">
        <v>5481</v>
      </c>
      <c r="C840" s="8" t="s">
        <v>5482</v>
      </c>
      <c r="D840" s="8" t="s">
        <v>16</v>
      </c>
      <c r="E840" s="9" t="s">
        <v>5483</v>
      </c>
      <c r="F840" s="10" t="s">
        <v>5134</v>
      </c>
      <c r="G840" s="8">
        <v>23.61</v>
      </c>
      <c r="H840" s="8"/>
      <c r="I840" s="10"/>
      <c r="J840" s="10" t="s">
        <v>5478</v>
      </c>
      <c r="K840" s="10" t="s">
        <v>5479</v>
      </c>
      <c r="L840" s="11" t="s">
        <v>5484</v>
      </c>
      <c r="M840" s="10"/>
      <c r="N840" s="12"/>
      <c r="O840" s="12"/>
      <c r="P840" s="13">
        <f>IFERROR(__xludf.DUMMYFUNCTION("VALUE(SUBSTITUTE((INDEX(SPLIT(A840,"",""),1)),""."","","",1))"),55.10547)</f>
        <v>55.10547</v>
      </c>
      <c r="Q840" s="13">
        <f>IFERROR(__xludf.DUMMYFUNCTION("VALUE(SUBSTITUTE((INDEX(SPLIT(A840,"",""),2)),""."","","",1))"),33.218837)</f>
        <v>33.218837</v>
      </c>
      <c r="R840" s="14" t="b">
        <f t="shared" si="1"/>
        <v>0</v>
      </c>
      <c r="S840" s="14" t="str">
        <f t="shared" si="2"/>
        <v>55.10547,33.218837</v>
      </c>
      <c r="T840" s="12"/>
    </row>
    <row r="841">
      <c r="A841" s="20" t="s">
        <v>5474</v>
      </c>
      <c r="B841" s="16" t="s">
        <v>5485</v>
      </c>
      <c r="C841" s="16" t="s">
        <v>5486</v>
      </c>
      <c r="D841" s="16" t="s">
        <v>16</v>
      </c>
      <c r="E841" s="21" t="s">
        <v>5487</v>
      </c>
      <c r="F841" s="22" t="s">
        <v>5134</v>
      </c>
      <c r="G841" s="16">
        <v>23.61</v>
      </c>
      <c r="H841" s="16"/>
      <c r="I841" s="22"/>
      <c r="J841" s="22" t="s">
        <v>5478</v>
      </c>
      <c r="K841" s="22" t="s">
        <v>5479</v>
      </c>
      <c r="L841" s="23" t="s">
        <v>5480</v>
      </c>
      <c r="M841" s="22"/>
      <c r="N841" s="12"/>
      <c r="O841" s="12"/>
      <c r="P841" s="13">
        <f>IFERROR(__xludf.DUMMYFUNCTION("VALUE(SUBSTITUTE((INDEX(SPLIT(A841,"",""),1)),""."","","",1))"),55.10547)</f>
        <v>55.10547</v>
      </c>
      <c r="Q841" s="13">
        <f>IFERROR(__xludf.DUMMYFUNCTION("VALUE(SUBSTITUTE((INDEX(SPLIT(A841,"",""),2)),""."","","",1))"),33.218837)</f>
        <v>33.218837</v>
      </c>
      <c r="R841" s="14" t="b">
        <f t="shared" si="1"/>
        <v>0</v>
      </c>
      <c r="S841" s="14" t="str">
        <f t="shared" si="2"/>
        <v>55.10547,33.218837</v>
      </c>
      <c r="T841" s="12"/>
    </row>
    <row r="842">
      <c r="A842" s="18" t="s">
        <v>5488</v>
      </c>
      <c r="B842" s="8" t="s">
        <v>5489</v>
      </c>
      <c r="C842" s="8" t="s">
        <v>5490</v>
      </c>
      <c r="D842" s="8" t="s">
        <v>16</v>
      </c>
      <c r="E842" s="19" t="s">
        <v>5491</v>
      </c>
      <c r="F842" s="8" t="s">
        <v>5134</v>
      </c>
      <c r="G842" s="8">
        <v>23.61</v>
      </c>
      <c r="H842" s="8"/>
      <c r="I842" s="8"/>
      <c r="J842" s="8" t="s">
        <v>5492</v>
      </c>
      <c r="K842" s="8" t="s">
        <v>5493</v>
      </c>
      <c r="L842" s="8"/>
      <c r="M842" s="8"/>
      <c r="N842" s="12"/>
      <c r="O842" s="12"/>
      <c r="P842" s="13">
        <f>IFERROR(__xludf.DUMMYFUNCTION("VALUE(SUBSTITUTE((INDEX(SPLIT(A842,"",""),1)),""."","","",1))"),55.117839)</f>
        <v>55.117839</v>
      </c>
      <c r="Q842" s="13">
        <f>IFERROR(__xludf.DUMMYFUNCTION("VALUE(SUBSTITUTE((INDEX(SPLIT(A842,"",""),2)),""."","","",1))"),33.220373)</f>
        <v>33.220373</v>
      </c>
      <c r="R842" s="14" t="b">
        <f t="shared" si="1"/>
        <v>0</v>
      </c>
      <c r="S842" s="14" t="str">
        <f t="shared" si="2"/>
        <v>55.117839,33.220373</v>
      </c>
      <c r="T842" s="12"/>
    </row>
    <row r="843">
      <c r="A843" s="20" t="s">
        <v>5494</v>
      </c>
      <c r="B843" s="16" t="s">
        <v>5495</v>
      </c>
      <c r="C843" s="16" t="s">
        <v>5496</v>
      </c>
      <c r="D843" s="16" t="s">
        <v>16</v>
      </c>
      <c r="E843" s="21" t="s">
        <v>5497</v>
      </c>
      <c r="F843" s="22" t="s">
        <v>5134</v>
      </c>
      <c r="G843" s="16">
        <v>23.61</v>
      </c>
      <c r="H843" s="16"/>
      <c r="I843" s="22"/>
      <c r="J843" s="22" t="s">
        <v>5498</v>
      </c>
      <c r="K843" s="22" t="s">
        <v>5499</v>
      </c>
      <c r="L843" s="23" t="s">
        <v>5500</v>
      </c>
      <c r="M843" s="22"/>
      <c r="N843" s="12"/>
      <c r="O843" s="12"/>
      <c r="P843" s="13">
        <f>IFERROR(__xludf.DUMMYFUNCTION("VALUE(SUBSTITUTE((INDEX(SPLIT(A843,"",""),1)),""."","","",1))"),55.1132)</f>
        <v>55.1132</v>
      </c>
      <c r="Q843" s="13">
        <f>IFERROR(__xludf.DUMMYFUNCTION("VALUE(SUBSTITUTE((INDEX(SPLIT(A843,"",""),2)),""."","","",1))"),33.220607)</f>
        <v>33.220607</v>
      </c>
      <c r="R843" s="14" t="b">
        <f t="shared" si="1"/>
        <v>0</v>
      </c>
      <c r="S843" s="14" t="str">
        <f t="shared" si="2"/>
        <v>55.1132,33.220607</v>
      </c>
      <c r="T843" s="12"/>
    </row>
    <row r="844">
      <c r="A844" s="18" t="s">
        <v>5501</v>
      </c>
      <c r="B844" s="8" t="s">
        <v>5502</v>
      </c>
      <c r="C844" s="8" t="s">
        <v>5503</v>
      </c>
      <c r="D844" s="8" t="s">
        <v>16</v>
      </c>
      <c r="E844" s="19" t="s">
        <v>5504</v>
      </c>
      <c r="F844" s="8" t="s">
        <v>5134</v>
      </c>
      <c r="G844" s="8">
        <v>23.61</v>
      </c>
      <c r="H844" s="8"/>
      <c r="I844" s="8"/>
      <c r="J844" s="8" t="s">
        <v>5505</v>
      </c>
      <c r="K844" s="8" t="s">
        <v>5506</v>
      </c>
      <c r="L844" s="8"/>
      <c r="M844" s="8"/>
      <c r="N844" s="12"/>
      <c r="O844" s="12"/>
      <c r="P844" s="13">
        <f>IFERROR(__xludf.DUMMYFUNCTION("VALUE(SUBSTITUTE((INDEX(SPLIT(A844,"",""),1)),""."","","",1))"),55.118081)</f>
        <v>55.118081</v>
      </c>
      <c r="Q844" s="13">
        <f>IFERROR(__xludf.DUMMYFUNCTION("VALUE(SUBSTITUTE((INDEX(SPLIT(A844,"",""),2)),""."","","",1))"),33.22217)</f>
        <v>33.22217</v>
      </c>
      <c r="R844" s="14" t="b">
        <f t="shared" si="1"/>
        <v>0</v>
      </c>
      <c r="S844" s="14" t="str">
        <f t="shared" si="2"/>
        <v>55.118081,33.22217</v>
      </c>
      <c r="T844" s="12"/>
    </row>
    <row r="845">
      <c r="A845" s="20" t="s">
        <v>5501</v>
      </c>
      <c r="B845" s="16" t="s">
        <v>5507</v>
      </c>
      <c r="C845" s="16" t="s">
        <v>5508</v>
      </c>
      <c r="D845" s="16" t="s">
        <v>16</v>
      </c>
      <c r="E845" s="21" t="s">
        <v>5509</v>
      </c>
      <c r="F845" s="22" t="s">
        <v>5134</v>
      </c>
      <c r="G845" s="16">
        <v>23.61</v>
      </c>
      <c r="H845" s="16"/>
      <c r="I845" s="22"/>
      <c r="J845" s="22" t="s">
        <v>5510</v>
      </c>
      <c r="K845" s="22" t="s">
        <v>5511</v>
      </c>
      <c r="L845" s="23" t="s">
        <v>5512</v>
      </c>
      <c r="M845" s="22"/>
      <c r="N845" s="12"/>
      <c r="O845" s="12"/>
      <c r="P845" s="13">
        <f>IFERROR(__xludf.DUMMYFUNCTION("VALUE(SUBSTITUTE((INDEX(SPLIT(A845,"",""),1)),""."","","",1))"),55.118081)</f>
        <v>55.118081</v>
      </c>
      <c r="Q845" s="13">
        <f>IFERROR(__xludf.DUMMYFUNCTION("VALUE(SUBSTITUTE((INDEX(SPLIT(A845,"",""),2)),""."","","",1))"),33.22217)</f>
        <v>33.22217</v>
      </c>
      <c r="R845" s="14" t="b">
        <f t="shared" si="1"/>
        <v>0</v>
      </c>
      <c r="S845" s="14" t="str">
        <f t="shared" si="2"/>
        <v>55.118081,33.22217</v>
      </c>
      <c r="T845" s="12"/>
    </row>
    <row r="846">
      <c r="A846" s="7" t="s">
        <v>5513</v>
      </c>
      <c r="B846" s="8" t="s">
        <v>5514</v>
      </c>
      <c r="C846" s="8" t="s">
        <v>5515</v>
      </c>
      <c r="D846" s="8" t="s">
        <v>16</v>
      </c>
      <c r="E846" s="9" t="s">
        <v>5516</v>
      </c>
      <c r="F846" s="10" t="s">
        <v>5134</v>
      </c>
      <c r="G846" s="8">
        <v>23.61</v>
      </c>
      <c r="H846" s="8"/>
      <c r="I846" s="10"/>
      <c r="J846" s="10" t="s">
        <v>5517</v>
      </c>
      <c r="K846" s="10" t="s">
        <v>5518</v>
      </c>
      <c r="L846" s="11" t="s">
        <v>5519</v>
      </c>
      <c r="M846" s="11" t="s">
        <v>5520</v>
      </c>
      <c r="N846" s="12"/>
      <c r="O846" s="12"/>
      <c r="P846" s="13">
        <f>IFERROR(__xludf.DUMMYFUNCTION("VALUE(SUBSTITUTE((INDEX(SPLIT(A846,"",""),1)),""."","","",1))"),55.114183)</f>
        <v>55.114183</v>
      </c>
      <c r="Q846" s="13">
        <f>IFERROR(__xludf.DUMMYFUNCTION("VALUE(SUBSTITUTE((INDEX(SPLIT(A846,"",""),2)),""."","","",1))"),33.224874)</f>
        <v>33.224874</v>
      </c>
      <c r="R846" s="14" t="b">
        <f t="shared" si="1"/>
        <v>0</v>
      </c>
      <c r="S846" s="14" t="str">
        <f t="shared" si="2"/>
        <v>55.114183,33.224874</v>
      </c>
      <c r="T846" s="12"/>
    </row>
    <row r="847">
      <c r="A847" s="20" t="s">
        <v>5521</v>
      </c>
      <c r="B847" s="16" t="s">
        <v>3587</v>
      </c>
      <c r="C847" s="16" t="s">
        <v>3588</v>
      </c>
      <c r="D847" s="16" t="s">
        <v>16</v>
      </c>
      <c r="E847" s="21" t="s">
        <v>5522</v>
      </c>
      <c r="F847" s="22" t="s">
        <v>5134</v>
      </c>
      <c r="G847" s="16">
        <v>23.61</v>
      </c>
      <c r="H847" s="16"/>
      <c r="I847" s="22"/>
      <c r="J847" s="22" t="s">
        <v>5523</v>
      </c>
      <c r="K847" s="22" t="s">
        <v>5524</v>
      </c>
      <c r="L847" s="23" t="s">
        <v>5525</v>
      </c>
      <c r="M847" s="22"/>
      <c r="N847" s="12"/>
      <c r="O847" s="12"/>
      <c r="P847" s="13">
        <f>IFERROR(__xludf.DUMMYFUNCTION("VALUE(SUBSTITUTE((INDEX(SPLIT(A847,"",""),1)),""."","","",1))"),55.094081)</f>
        <v>55.094081</v>
      </c>
      <c r="Q847" s="13">
        <f>IFERROR(__xludf.DUMMYFUNCTION("VALUE(SUBSTITUTE((INDEX(SPLIT(A847,"",""),2)),""."","","",1))"),33.225143)</f>
        <v>33.225143</v>
      </c>
      <c r="R847" s="14" t="b">
        <f t="shared" si="1"/>
        <v>0</v>
      </c>
      <c r="S847" s="14" t="str">
        <f t="shared" si="2"/>
        <v>55.094081,33.225143</v>
      </c>
      <c r="T847" s="12"/>
    </row>
    <row r="848">
      <c r="A848" s="7" t="s">
        <v>5526</v>
      </c>
      <c r="B848" s="8" t="s">
        <v>5527</v>
      </c>
      <c r="C848" s="8" t="s">
        <v>5528</v>
      </c>
      <c r="D848" s="8" t="s">
        <v>16</v>
      </c>
      <c r="E848" s="9" t="s">
        <v>5529</v>
      </c>
      <c r="F848" s="10" t="s">
        <v>5134</v>
      </c>
      <c r="G848" s="8">
        <v>23.61</v>
      </c>
      <c r="H848" s="8"/>
      <c r="I848" s="10"/>
      <c r="J848" s="10" t="s">
        <v>5530</v>
      </c>
      <c r="K848" s="10" t="s">
        <v>5531</v>
      </c>
      <c r="L848" s="11" t="s">
        <v>5532</v>
      </c>
      <c r="M848" s="10"/>
      <c r="N848" s="12"/>
      <c r="O848" s="12"/>
      <c r="P848" s="13">
        <f>IFERROR(__xludf.DUMMYFUNCTION("VALUE(SUBSTITUTE((INDEX(SPLIT(A848,"",""),1)),""."","","",1))"),55.118529)</f>
        <v>55.118529</v>
      </c>
      <c r="Q848" s="13">
        <f>IFERROR(__xludf.DUMMYFUNCTION("VALUE(SUBSTITUTE((INDEX(SPLIT(A848,"",""),2)),""."","","",1))"),33.226302)</f>
        <v>33.226302</v>
      </c>
      <c r="R848" s="14" t="b">
        <f t="shared" si="1"/>
        <v>0</v>
      </c>
      <c r="S848" s="14" t="str">
        <f t="shared" si="2"/>
        <v>55.118529,33.226302</v>
      </c>
      <c r="T848" s="12"/>
    </row>
    <row r="849">
      <c r="A849" s="20" t="s">
        <v>5533</v>
      </c>
      <c r="B849" s="16" t="s">
        <v>5534</v>
      </c>
      <c r="C849" s="16" t="s">
        <v>5535</v>
      </c>
      <c r="D849" s="16" t="s">
        <v>16</v>
      </c>
      <c r="E849" s="21" t="s">
        <v>5536</v>
      </c>
      <c r="F849" s="22" t="s">
        <v>5134</v>
      </c>
      <c r="G849" s="16">
        <v>23.61</v>
      </c>
      <c r="H849" s="16"/>
      <c r="I849" s="22"/>
      <c r="J849" s="22" t="s">
        <v>5537</v>
      </c>
      <c r="K849" s="22" t="s">
        <v>5538</v>
      </c>
      <c r="L849" s="23" t="s">
        <v>5539</v>
      </c>
      <c r="M849" s="22"/>
      <c r="N849" s="12"/>
      <c r="O849" s="12"/>
      <c r="P849" s="13">
        <f>IFERROR(__xludf.DUMMYFUNCTION("VALUE(SUBSTITUTE((INDEX(SPLIT(A849,"",""),1)),""."","","",1))"),55.118555)</f>
        <v>55.118555</v>
      </c>
      <c r="Q849" s="13">
        <f>IFERROR(__xludf.DUMMYFUNCTION("VALUE(SUBSTITUTE((INDEX(SPLIT(A849,"",""),2)),""."","","",1))"),33.2272)</f>
        <v>33.2272</v>
      </c>
      <c r="R849" s="14" t="b">
        <f t="shared" si="1"/>
        <v>0</v>
      </c>
      <c r="S849" s="14" t="str">
        <f t="shared" si="2"/>
        <v>55.118555,33.2272</v>
      </c>
      <c r="T849" s="12"/>
    </row>
    <row r="850">
      <c r="A850" s="7" t="s">
        <v>5533</v>
      </c>
      <c r="B850" s="8" t="s">
        <v>5540</v>
      </c>
      <c r="C850" s="8" t="s">
        <v>5541</v>
      </c>
      <c r="D850" s="8" t="s">
        <v>16</v>
      </c>
      <c r="E850" s="9" t="s">
        <v>5542</v>
      </c>
      <c r="F850" s="10" t="s">
        <v>5134</v>
      </c>
      <c r="G850" s="8">
        <v>23.61</v>
      </c>
      <c r="H850" s="8"/>
      <c r="I850" s="10"/>
      <c r="J850" s="10" t="s">
        <v>5543</v>
      </c>
      <c r="K850" s="10" t="s">
        <v>5544</v>
      </c>
      <c r="L850" s="11" t="s">
        <v>5545</v>
      </c>
      <c r="M850" s="10"/>
      <c r="N850" s="12"/>
      <c r="O850" s="12"/>
      <c r="P850" s="13">
        <f>IFERROR(__xludf.DUMMYFUNCTION("VALUE(SUBSTITUTE((INDEX(SPLIT(A850,"",""),1)),""."","","",1))"),55.118555)</f>
        <v>55.118555</v>
      </c>
      <c r="Q850" s="13">
        <f>IFERROR(__xludf.DUMMYFUNCTION("VALUE(SUBSTITUTE((INDEX(SPLIT(A850,"",""),2)),""."","","",1))"),33.2272)</f>
        <v>33.2272</v>
      </c>
      <c r="R850" s="14" t="b">
        <f t="shared" si="1"/>
        <v>0</v>
      </c>
      <c r="S850" s="14" t="str">
        <f t="shared" si="2"/>
        <v>55.118555,33.2272</v>
      </c>
      <c r="T850" s="12"/>
    </row>
    <row r="851">
      <c r="A851" s="15" t="s">
        <v>5546</v>
      </c>
      <c r="B851" s="16" t="s">
        <v>5547</v>
      </c>
      <c r="C851" s="16" t="s">
        <v>5548</v>
      </c>
      <c r="D851" s="16" t="s">
        <v>16</v>
      </c>
      <c r="E851" s="17" t="s">
        <v>5549</v>
      </c>
      <c r="F851" s="16" t="s">
        <v>5134</v>
      </c>
      <c r="G851" s="16">
        <v>23.61</v>
      </c>
      <c r="H851" s="16"/>
      <c r="I851" s="16"/>
      <c r="J851" s="16" t="s">
        <v>5550</v>
      </c>
      <c r="K851" s="16" t="s">
        <v>5551</v>
      </c>
      <c r="L851" s="16"/>
      <c r="M851" s="16"/>
      <c r="N851" s="12"/>
      <c r="O851" s="12"/>
      <c r="P851" s="13">
        <f>IFERROR(__xludf.DUMMYFUNCTION("VALUE(SUBSTITUTE((INDEX(SPLIT(A851,"",""),1)),""."","","",1))"),55.116644)</f>
        <v>55.116644</v>
      </c>
      <c r="Q851" s="13">
        <f>IFERROR(__xludf.DUMMYFUNCTION("VALUE(SUBSTITUTE((INDEX(SPLIT(A851,"",""),2)),""."","","",1))"),33.228485)</f>
        <v>33.228485</v>
      </c>
      <c r="R851" s="14" t="b">
        <f t="shared" si="1"/>
        <v>0</v>
      </c>
      <c r="S851" s="14" t="str">
        <f t="shared" si="2"/>
        <v>55.116644,33.228485</v>
      </c>
      <c r="T851" s="12"/>
    </row>
    <row r="852">
      <c r="A852" s="18" t="s">
        <v>5546</v>
      </c>
      <c r="B852" s="8" t="s">
        <v>5552</v>
      </c>
      <c r="C852" s="8" t="s">
        <v>5553</v>
      </c>
      <c r="D852" s="8" t="s">
        <v>16</v>
      </c>
      <c r="E852" s="19" t="s">
        <v>5554</v>
      </c>
      <c r="F852" s="8" t="s">
        <v>5134</v>
      </c>
      <c r="G852" s="8">
        <v>23.61</v>
      </c>
      <c r="H852" s="8"/>
      <c r="I852" s="27" t="s">
        <v>5555</v>
      </c>
      <c r="J852" s="8" t="s">
        <v>5556</v>
      </c>
      <c r="K852" s="8" t="s">
        <v>5557</v>
      </c>
      <c r="L852" s="8"/>
      <c r="M852" s="24" t="s">
        <v>5558</v>
      </c>
      <c r="N852" s="12"/>
      <c r="O852" s="12"/>
      <c r="P852" s="13">
        <f>IFERROR(__xludf.DUMMYFUNCTION("VALUE(SUBSTITUTE((INDEX(SPLIT(A852,"",""),1)),""."","","",1))"),55.116644)</f>
        <v>55.116644</v>
      </c>
      <c r="Q852" s="13">
        <f>IFERROR(__xludf.DUMMYFUNCTION("VALUE(SUBSTITUTE((INDEX(SPLIT(A852,"",""),2)),""."","","",1))"),33.228485)</f>
        <v>33.228485</v>
      </c>
      <c r="R852" s="14" t="b">
        <f t="shared" si="1"/>
        <v>0</v>
      </c>
      <c r="S852" s="14" t="str">
        <f t="shared" si="2"/>
        <v>55.116644,33.228485</v>
      </c>
      <c r="T852" s="12"/>
    </row>
    <row r="853">
      <c r="A853" s="15" t="s">
        <v>5546</v>
      </c>
      <c r="B853" s="16" t="s">
        <v>5559</v>
      </c>
      <c r="C853" s="16" t="s">
        <v>5560</v>
      </c>
      <c r="D853" s="16" t="s">
        <v>16</v>
      </c>
      <c r="E853" s="17" t="s">
        <v>5561</v>
      </c>
      <c r="F853" s="16" t="s">
        <v>5134</v>
      </c>
      <c r="G853" s="16">
        <v>23.61</v>
      </c>
      <c r="H853" s="16"/>
      <c r="I853" s="16"/>
      <c r="J853" s="16" t="s">
        <v>5562</v>
      </c>
      <c r="K853" s="16" t="s">
        <v>5563</v>
      </c>
      <c r="L853" s="16"/>
      <c r="M853" s="16"/>
      <c r="N853" s="12"/>
      <c r="O853" s="12"/>
      <c r="P853" s="13">
        <f>IFERROR(__xludf.DUMMYFUNCTION("VALUE(SUBSTITUTE((INDEX(SPLIT(A853,"",""),1)),""."","","",1))"),55.116644)</f>
        <v>55.116644</v>
      </c>
      <c r="Q853" s="13">
        <f>IFERROR(__xludf.DUMMYFUNCTION("VALUE(SUBSTITUTE((INDEX(SPLIT(A853,"",""),2)),""."","","",1))"),33.228485)</f>
        <v>33.228485</v>
      </c>
      <c r="R853" s="14" t="b">
        <f t="shared" si="1"/>
        <v>0</v>
      </c>
      <c r="S853" s="14" t="str">
        <f t="shared" si="2"/>
        <v>55.116644,33.228485</v>
      </c>
      <c r="T853" s="12"/>
    </row>
    <row r="854">
      <c r="A854" s="7" t="s">
        <v>5564</v>
      </c>
      <c r="B854" s="8" t="s">
        <v>3016</v>
      </c>
      <c r="C854" s="8" t="s">
        <v>3017</v>
      </c>
      <c r="D854" s="8" t="s">
        <v>16</v>
      </c>
      <c r="E854" s="9" t="s">
        <v>5565</v>
      </c>
      <c r="F854" s="10" t="s">
        <v>5134</v>
      </c>
      <c r="G854" s="8">
        <v>23.61</v>
      </c>
      <c r="H854" s="8"/>
      <c r="I854" s="10"/>
      <c r="J854" s="10" t="s">
        <v>5566</v>
      </c>
      <c r="K854" s="10" t="s">
        <v>5479</v>
      </c>
      <c r="L854" s="11" t="s">
        <v>5567</v>
      </c>
      <c r="M854" s="10"/>
      <c r="N854" s="12"/>
      <c r="O854" s="12"/>
      <c r="P854" s="13">
        <f>IFERROR(__xludf.DUMMYFUNCTION("VALUE(SUBSTITUTE((INDEX(SPLIT(A854,"",""),1)),""."","","",1))"),55.118807)</f>
        <v>55.118807</v>
      </c>
      <c r="Q854" s="13">
        <f>IFERROR(__xludf.DUMMYFUNCTION("VALUE(SUBSTITUTE((INDEX(SPLIT(A854,"",""),2)),""."","","",1))"),33.230129)</f>
        <v>33.230129</v>
      </c>
      <c r="R854" s="14" t="b">
        <f t="shared" si="1"/>
        <v>0</v>
      </c>
      <c r="S854" s="14" t="str">
        <f t="shared" si="2"/>
        <v>55.118807,33.230129</v>
      </c>
      <c r="T854" s="12"/>
    </row>
    <row r="855">
      <c r="A855" s="15" t="s">
        <v>5564</v>
      </c>
      <c r="B855" s="16" t="s">
        <v>5568</v>
      </c>
      <c r="C855" s="16" t="s">
        <v>5569</v>
      </c>
      <c r="D855" s="16" t="s">
        <v>16</v>
      </c>
      <c r="E855" s="17" t="s">
        <v>5570</v>
      </c>
      <c r="F855" s="16" t="s">
        <v>5134</v>
      </c>
      <c r="G855" s="16">
        <v>23.61</v>
      </c>
      <c r="H855" s="16"/>
      <c r="I855" s="16"/>
      <c r="J855" s="16" t="s">
        <v>5571</v>
      </c>
      <c r="K855" s="16" t="s">
        <v>5572</v>
      </c>
      <c r="L855" s="16"/>
      <c r="M855" s="25" t="s">
        <v>5573</v>
      </c>
      <c r="N855" s="12"/>
      <c r="O855" s="12"/>
      <c r="P855" s="13">
        <f>IFERROR(__xludf.DUMMYFUNCTION("VALUE(SUBSTITUTE((INDEX(SPLIT(A855,"",""),1)),""."","","",1))"),55.118807)</f>
        <v>55.118807</v>
      </c>
      <c r="Q855" s="13">
        <f>IFERROR(__xludf.DUMMYFUNCTION("VALUE(SUBSTITUTE((INDEX(SPLIT(A855,"",""),2)),""."","","",1))"),33.230129)</f>
        <v>33.230129</v>
      </c>
      <c r="R855" s="14" t="b">
        <f t="shared" si="1"/>
        <v>0</v>
      </c>
      <c r="S855" s="14" t="str">
        <f t="shared" si="2"/>
        <v>55.118807,33.230129</v>
      </c>
      <c r="T855" s="12"/>
    </row>
    <row r="856">
      <c r="A856" s="7" t="s">
        <v>5574</v>
      </c>
      <c r="B856" s="8" t="s">
        <v>5575</v>
      </c>
      <c r="C856" s="8" t="s">
        <v>5576</v>
      </c>
      <c r="D856" s="8" t="s">
        <v>16</v>
      </c>
      <c r="E856" s="9" t="s">
        <v>5577</v>
      </c>
      <c r="F856" s="10" t="s">
        <v>5134</v>
      </c>
      <c r="G856" s="8">
        <v>23.61</v>
      </c>
      <c r="H856" s="8"/>
      <c r="I856" s="10"/>
      <c r="J856" s="10" t="s">
        <v>5578</v>
      </c>
      <c r="K856" s="10" t="s">
        <v>5579</v>
      </c>
      <c r="L856" s="11" t="s">
        <v>5580</v>
      </c>
      <c r="M856" s="10"/>
      <c r="N856" s="12"/>
      <c r="O856" s="12"/>
      <c r="P856" s="13">
        <f>IFERROR(__xludf.DUMMYFUNCTION("VALUE(SUBSTITUTE((INDEX(SPLIT(A856,"",""),1)),""."","","",1))"),55.112535)</f>
        <v>55.112535</v>
      </c>
      <c r="Q856" s="13">
        <f>IFERROR(__xludf.DUMMYFUNCTION("VALUE(SUBSTITUTE((INDEX(SPLIT(A856,"",""),2)),""."","","",1))"),33.231997)</f>
        <v>33.231997</v>
      </c>
      <c r="R856" s="14" t="b">
        <f t="shared" si="1"/>
        <v>0</v>
      </c>
      <c r="S856" s="14" t="str">
        <f t="shared" si="2"/>
        <v>55.112535,33.231997</v>
      </c>
      <c r="T856" s="12"/>
    </row>
    <row r="857">
      <c r="A857" s="15" t="s">
        <v>5581</v>
      </c>
      <c r="B857" s="16" t="s">
        <v>5582</v>
      </c>
      <c r="C857" s="16" t="s">
        <v>5583</v>
      </c>
      <c r="D857" s="16" t="s">
        <v>16</v>
      </c>
      <c r="E857" s="17" t="s">
        <v>5584</v>
      </c>
      <c r="F857" s="16" t="s">
        <v>5134</v>
      </c>
      <c r="G857" s="16">
        <v>23.61</v>
      </c>
      <c r="H857" s="16"/>
      <c r="I857" s="16"/>
      <c r="J857" s="16" t="s">
        <v>5585</v>
      </c>
      <c r="K857" s="16" t="s">
        <v>5586</v>
      </c>
      <c r="L857" s="16"/>
      <c r="M857" s="16"/>
      <c r="N857" s="12"/>
      <c r="O857" s="12"/>
      <c r="P857" s="13">
        <f>IFERROR(__xludf.DUMMYFUNCTION("VALUE(SUBSTITUTE((INDEX(SPLIT(A857,"",""),1)),""."","","",1))"),55.119631)</f>
        <v>55.119631</v>
      </c>
      <c r="Q857" s="13">
        <f>IFERROR(__xludf.DUMMYFUNCTION("VALUE(SUBSTITUTE((INDEX(SPLIT(A857,"",""),2)),""."","","",1))"),33.232806)</f>
        <v>33.232806</v>
      </c>
      <c r="R857" s="14" t="b">
        <f t="shared" si="1"/>
        <v>0</v>
      </c>
      <c r="S857" s="14" t="str">
        <f t="shared" si="2"/>
        <v>55.119631,33.232806</v>
      </c>
      <c r="T857" s="12"/>
    </row>
    <row r="858">
      <c r="A858" s="7" t="s">
        <v>5587</v>
      </c>
      <c r="B858" s="8" t="s">
        <v>969</v>
      </c>
      <c r="C858" s="8" t="s">
        <v>970</v>
      </c>
      <c r="D858" s="8" t="s">
        <v>16</v>
      </c>
      <c r="E858" s="9" t="s">
        <v>5588</v>
      </c>
      <c r="F858" s="10" t="s">
        <v>5134</v>
      </c>
      <c r="G858" s="8">
        <v>23.61</v>
      </c>
      <c r="H858" s="8"/>
      <c r="I858" s="10"/>
      <c r="J858" s="10" t="s">
        <v>5589</v>
      </c>
      <c r="K858" s="10" t="s">
        <v>5419</v>
      </c>
      <c r="L858" s="11" t="s">
        <v>5420</v>
      </c>
      <c r="M858" s="11" t="s">
        <v>5590</v>
      </c>
      <c r="N858" s="12"/>
      <c r="O858" s="12"/>
      <c r="P858" s="13">
        <f>IFERROR(__xludf.DUMMYFUNCTION("VALUE(SUBSTITUTE((INDEX(SPLIT(A858,"",""),1)),""."","","",1))"),55.113344)</f>
        <v>55.113344</v>
      </c>
      <c r="Q858" s="13">
        <f>IFERROR(__xludf.DUMMYFUNCTION("VALUE(SUBSTITUTE((INDEX(SPLIT(A858,"",""),2)),""."","","",1))"),33.233309)</f>
        <v>33.233309</v>
      </c>
      <c r="R858" s="14" t="b">
        <f t="shared" si="1"/>
        <v>0</v>
      </c>
      <c r="S858" s="14" t="str">
        <f t="shared" si="2"/>
        <v>55.113344,33.233309</v>
      </c>
      <c r="T858" s="12"/>
    </row>
    <row r="859">
      <c r="A859" s="20" t="s">
        <v>5591</v>
      </c>
      <c r="B859" s="16" t="s">
        <v>5592</v>
      </c>
      <c r="C859" s="16" t="s">
        <v>5593</v>
      </c>
      <c r="D859" s="16" t="s">
        <v>16</v>
      </c>
      <c r="E859" s="21" t="s">
        <v>5594</v>
      </c>
      <c r="F859" s="22" t="s">
        <v>5134</v>
      </c>
      <c r="G859" s="16">
        <v>23.61</v>
      </c>
      <c r="H859" s="16"/>
      <c r="I859" s="22"/>
      <c r="J859" s="22" t="s">
        <v>5595</v>
      </c>
      <c r="K859" s="22" t="s">
        <v>5446</v>
      </c>
      <c r="L859" s="23" t="s">
        <v>5596</v>
      </c>
      <c r="M859" s="23" t="s">
        <v>5597</v>
      </c>
      <c r="N859" s="12"/>
      <c r="O859" s="12"/>
      <c r="P859" s="13">
        <f>IFERROR(__xludf.DUMMYFUNCTION("VALUE(SUBSTITUTE((INDEX(SPLIT(A859,"",""),1)),""."","","",1))"),55.115888)</f>
        <v>55.115888</v>
      </c>
      <c r="Q859" s="13">
        <f>IFERROR(__xludf.DUMMYFUNCTION("VALUE(SUBSTITUTE((INDEX(SPLIT(A859,"",""),2)),""."","","",1))"),33.233938)</f>
        <v>33.233938</v>
      </c>
      <c r="R859" s="14" t="b">
        <f t="shared" si="1"/>
        <v>0</v>
      </c>
      <c r="S859" s="14" t="str">
        <f t="shared" si="2"/>
        <v>55.115888,33.233938</v>
      </c>
      <c r="T859" s="12"/>
    </row>
    <row r="860">
      <c r="A860" s="7" t="s">
        <v>5598</v>
      </c>
      <c r="B860" s="8" t="s">
        <v>5599</v>
      </c>
      <c r="C860" s="8" t="s">
        <v>5600</v>
      </c>
      <c r="D860" s="8" t="s">
        <v>16</v>
      </c>
      <c r="E860" s="9" t="s">
        <v>5601</v>
      </c>
      <c r="F860" s="10" t="s">
        <v>5134</v>
      </c>
      <c r="G860" s="8">
        <v>23.61</v>
      </c>
      <c r="H860" s="8"/>
      <c r="I860" s="10"/>
      <c r="J860" s="10" t="s">
        <v>5602</v>
      </c>
      <c r="K860" s="10" t="s">
        <v>5603</v>
      </c>
      <c r="L860" s="11" t="s">
        <v>5604</v>
      </c>
      <c r="M860" s="10"/>
      <c r="N860" s="12"/>
      <c r="O860" s="12"/>
      <c r="P860" s="13">
        <f>IFERROR(__xludf.DUMMYFUNCTION("VALUE(SUBSTITUTE((INDEX(SPLIT(A860,"",""),1)),""."","","",1))"),55.154728)</f>
        <v>55.154728</v>
      </c>
      <c r="Q860" s="13">
        <f>IFERROR(__xludf.DUMMYFUNCTION("VALUE(SUBSTITUTE((INDEX(SPLIT(A860,"",""),2)),""."","","",1))"),33.234602)</f>
        <v>33.234602</v>
      </c>
      <c r="R860" s="14" t="b">
        <f t="shared" si="1"/>
        <v>0</v>
      </c>
      <c r="S860" s="14" t="str">
        <f t="shared" si="2"/>
        <v>55.154728,33.234602</v>
      </c>
      <c r="T860" s="12"/>
    </row>
    <row r="861">
      <c r="A861" s="20" t="s">
        <v>5598</v>
      </c>
      <c r="B861" s="16" t="s">
        <v>5605</v>
      </c>
      <c r="C861" s="16" t="s">
        <v>5606</v>
      </c>
      <c r="D861" s="16" t="s">
        <v>16</v>
      </c>
      <c r="E861" s="21" t="s">
        <v>5607</v>
      </c>
      <c r="F861" s="22" t="s">
        <v>5134</v>
      </c>
      <c r="G861" s="16">
        <v>23.61</v>
      </c>
      <c r="H861" s="16"/>
      <c r="I861" s="22"/>
      <c r="J861" s="22" t="s">
        <v>5608</v>
      </c>
      <c r="K861" s="22" t="s">
        <v>5609</v>
      </c>
      <c r="L861" s="23" t="s">
        <v>5610</v>
      </c>
      <c r="M861" s="22"/>
      <c r="N861" s="12"/>
      <c r="O861" s="12"/>
      <c r="P861" s="13">
        <f>IFERROR(__xludf.DUMMYFUNCTION("VALUE(SUBSTITUTE((INDEX(SPLIT(A861,"",""),1)),""."","","",1))"),55.154728)</f>
        <v>55.154728</v>
      </c>
      <c r="Q861" s="13">
        <f>IFERROR(__xludf.DUMMYFUNCTION("VALUE(SUBSTITUTE((INDEX(SPLIT(A861,"",""),2)),""."","","",1))"),33.234602)</f>
        <v>33.234602</v>
      </c>
      <c r="R861" s="14" t="b">
        <f t="shared" si="1"/>
        <v>0</v>
      </c>
      <c r="S861" s="14" t="str">
        <f t="shared" si="2"/>
        <v>55.154728,33.234602</v>
      </c>
      <c r="T861" s="12"/>
    </row>
    <row r="862">
      <c r="A862" s="7" t="s">
        <v>5611</v>
      </c>
      <c r="B862" s="8" t="s">
        <v>5612</v>
      </c>
      <c r="C862" s="8" t="s">
        <v>5613</v>
      </c>
      <c r="D862" s="8" t="s">
        <v>16</v>
      </c>
      <c r="E862" s="9" t="s">
        <v>5614</v>
      </c>
      <c r="F862" s="10" t="s">
        <v>5134</v>
      </c>
      <c r="G862" s="8">
        <v>23.61</v>
      </c>
      <c r="H862" s="8"/>
      <c r="I862" s="10"/>
      <c r="J862" s="10" t="s">
        <v>5615</v>
      </c>
      <c r="K862" s="10" t="s">
        <v>5616</v>
      </c>
      <c r="L862" s="11" t="s">
        <v>5617</v>
      </c>
      <c r="M862" s="11" t="s">
        <v>5618</v>
      </c>
      <c r="N862" s="12"/>
      <c r="O862" s="12"/>
      <c r="P862" s="13">
        <f>IFERROR(__xludf.DUMMYFUNCTION("VALUE(SUBSTITUTE((INDEX(SPLIT(A862,"",""),1)),""."","","",1))"),55.135052)</f>
        <v>55.135052</v>
      </c>
      <c r="Q862" s="13">
        <f>IFERROR(__xludf.DUMMYFUNCTION("VALUE(SUBSTITUTE((INDEX(SPLIT(A862,"",""),2)),""."","","",1))"),33.237037)</f>
        <v>33.237037</v>
      </c>
      <c r="R862" s="14" t="b">
        <f t="shared" si="1"/>
        <v>0</v>
      </c>
      <c r="S862" s="14" t="str">
        <f t="shared" si="2"/>
        <v>55.135052,33.237037</v>
      </c>
      <c r="T862" s="12"/>
    </row>
    <row r="863">
      <c r="A863" s="20" t="s">
        <v>5619</v>
      </c>
      <c r="B863" s="16" t="s">
        <v>5620</v>
      </c>
      <c r="C863" s="16" t="s">
        <v>5621</v>
      </c>
      <c r="D863" s="16" t="s">
        <v>16</v>
      </c>
      <c r="E863" s="21" t="s">
        <v>5622</v>
      </c>
      <c r="F863" s="22" t="s">
        <v>5134</v>
      </c>
      <c r="G863" s="16">
        <v>23.61</v>
      </c>
      <c r="H863" s="16"/>
      <c r="I863" s="28" t="s">
        <v>5623</v>
      </c>
      <c r="J863" s="22" t="s">
        <v>5624</v>
      </c>
      <c r="K863" s="22" t="s">
        <v>5625</v>
      </c>
      <c r="L863" s="23" t="s">
        <v>5626</v>
      </c>
      <c r="M863" s="22"/>
      <c r="N863" s="12"/>
      <c r="O863" s="12"/>
      <c r="P863" s="13">
        <f>IFERROR(__xludf.DUMMYFUNCTION("VALUE(SUBSTITUTE((INDEX(SPLIT(A863,"",""),1)),""."","","",1))"),55.089022)</f>
        <v>55.089022</v>
      </c>
      <c r="Q863" s="13">
        <f>IFERROR(__xludf.DUMMYFUNCTION("VALUE(SUBSTITUTE((INDEX(SPLIT(A863,"",""),2)),""."","","",1))"),33.242543)</f>
        <v>33.242543</v>
      </c>
      <c r="R863" s="14" t="b">
        <f t="shared" si="1"/>
        <v>0</v>
      </c>
      <c r="S863" s="14" t="str">
        <f t="shared" si="2"/>
        <v>55.089022,33.242543</v>
      </c>
      <c r="T863" s="12"/>
    </row>
    <row r="864">
      <c r="A864" s="18" t="s">
        <v>5619</v>
      </c>
      <c r="B864" s="8" t="s">
        <v>5627</v>
      </c>
      <c r="C864" s="8" t="s">
        <v>5628</v>
      </c>
      <c r="D864" s="8" t="s">
        <v>16</v>
      </c>
      <c r="E864" s="19" t="s">
        <v>5629</v>
      </c>
      <c r="F864" s="8" t="s">
        <v>5134</v>
      </c>
      <c r="G864" s="8">
        <v>23.61</v>
      </c>
      <c r="H864" s="8"/>
      <c r="I864" s="27" t="s">
        <v>5630</v>
      </c>
      <c r="J864" s="8" t="s">
        <v>5631</v>
      </c>
      <c r="K864" s="8" t="s">
        <v>5632</v>
      </c>
      <c r="L864" s="8"/>
      <c r="M864" s="8"/>
      <c r="N864" s="12"/>
      <c r="O864" s="12"/>
      <c r="P864" s="13">
        <f>IFERROR(__xludf.DUMMYFUNCTION("VALUE(SUBSTITUTE((INDEX(SPLIT(A864,"",""),1)),""."","","",1))"),55.089022)</f>
        <v>55.089022</v>
      </c>
      <c r="Q864" s="13">
        <f>IFERROR(__xludf.DUMMYFUNCTION("VALUE(SUBSTITUTE((INDEX(SPLIT(A864,"",""),2)),""."","","",1))"),33.242543)</f>
        <v>33.242543</v>
      </c>
      <c r="R864" s="14" t="b">
        <f t="shared" si="1"/>
        <v>0</v>
      </c>
      <c r="S864" s="14" t="str">
        <f t="shared" si="2"/>
        <v>55.089022,33.242543</v>
      </c>
      <c r="T864" s="12"/>
    </row>
    <row r="865">
      <c r="A865" s="15" t="s">
        <v>5633</v>
      </c>
      <c r="B865" s="16" t="s">
        <v>5634</v>
      </c>
      <c r="C865" s="16" t="s">
        <v>5635</v>
      </c>
      <c r="D865" s="16" t="s">
        <v>16</v>
      </c>
      <c r="E865" s="17" t="s">
        <v>5636</v>
      </c>
      <c r="F865" s="16" t="s">
        <v>5051</v>
      </c>
      <c r="G865" s="16">
        <v>23.61</v>
      </c>
      <c r="H865" s="16"/>
      <c r="I865" s="16"/>
      <c r="J865" s="16" t="s">
        <v>5637</v>
      </c>
      <c r="K865" s="16" t="s">
        <v>5638</v>
      </c>
      <c r="L865" s="16"/>
      <c r="M865" s="16"/>
      <c r="N865" s="12"/>
      <c r="O865" s="12"/>
      <c r="P865" s="13">
        <f>IFERROR(__xludf.DUMMYFUNCTION("VALUE(SUBSTITUTE((INDEX(SPLIT(A865,"",""),1)),""."","","",1))"),57.973012)</f>
        <v>57.973012</v>
      </c>
      <c r="Q865" s="13">
        <f>IFERROR(__xludf.DUMMYFUNCTION("VALUE(SUBSTITUTE((INDEX(SPLIT(A865,"",""),2)),""."","","",1))"),33.24275)</f>
        <v>33.24275</v>
      </c>
      <c r="R865" s="14" t="b">
        <f t="shared" si="1"/>
        <v>0</v>
      </c>
      <c r="S865" s="14" t="str">
        <f t="shared" si="2"/>
        <v>57.973012,33.24275</v>
      </c>
      <c r="T865" s="12"/>
    </row>
    <row r="866">
      <c r="A866" s="18" t="s">
        <v>5639</v>
      </c>
      <c r="B866" s="8" t="s">
        <v>5640</v>
      </c>
      <c r="C866" s="8" t="s">
        <v>5641</v>
      </c>
      <c r="D866" s="8" t="s">
        <v>16</v>
      </c>
      <c r="E866" s="19" t="s">
        <v>5642</v>
      </c>
      <c r="F866" s="8" t="s">
        <v>5134</v>
      </c>
      <c r="G866" s="8">
        <v>23.61</v>
      </c>
      <c r="H866" s="8"/>
      <c r="I866" s="8"/>
      <c r="J866" s="8" t="s">
        <v>5643</v>
      </c>
      <c r="K866" s="8" t="s">
        <v>5644</v>
      </c>
      <c r="L866" s="8"/>
      <c r="M866" s="8"/>
      <c r="N866" s="12"/>
      <c r="O866" s="12"/>
      <c r="P866" s="13">
        <f>IFERROR(__xludf.DUMMYFUNCTION("VALUE(SUBSTITUTE((INDEX(SPLIT(A866,"",""),1)),""."","","",1))"),55.109003)</f>
        <v>55.109003</v>
      </c>
      <c r="Q866" s="13">
        <f>IFERROR(__xludf.DUMMYFUNCTION("VALUE(SUBSTITUTE((INDEX(SPLIT(A866,"",""),2)),""."","","",1))"),33.242786)</f>
        <v>33.242786</v>
      </c>
      <c r="R866" s="14" t="b">
        <f t="shared" si="1"/>
        <v>0</v>
      </c>
      <c r="S866" s="14" t="str">
        <f t="shared" si="2"/>
        <v>55.109003,33.242786</v>
      </c>
      <c r="T866" s="12"/>
    </row>
    <row r="867">
      <c r="A867" s="15" t="s">
        <v>5645</v>
      </c>
      <c r="B867" s="16" t="s">
        <v>5646</v>
      </c>
      <c r="C867" s="16" t="s">
        <v>5647</v>
      </c>
      <c r="D867" s="16" t="s">
        <v>16</v>
      </c>
      <c r="E867" s="17" t="s">
        <v>5648</v>
      </c>
      <c r="F867" s="16" t="s">
        <v>5134</v>
      </c>
      <c r="G867" s="16">
        <v>23.61</v>
      </c>
      <c r="H867" s="16"/>
      <c r="I867" s="16"/>
      <c r="J867" s="16" t="s">
        <v>5649</v>
      </c>
      <c r="K867" s="16" t="s">
        <v>5650</v>
      </c>
      <c r="L867" s="16"/>
      <c r="M867" s="16"/>
      <c r="N867" s="12"/>
      <c r="O867" s="12"/>
      <c r="P867" s="13">
        <f>IFERROR(__xludf.DUMMYFUNCTION("VALUE(SUBSTITUTE((INDEX(SPLIT(A867,"",""),1)),""."","","",1))"),55.086878)</f>
        <v>55.086878</v>
      </c>
      <c r="Q867" s="13">
        <f>IFERROR(__xludf.DUMMYFUNCTION("VALUE(SUBSTITUTE((INDEX(SPLIT(A867,"",""),2)),""."","","",1))"),33.243226)</f>
        <v>33.243226</v>
      </c>
      <c r="R867" s="14" t="b">
        <f t="shared" si="1"/>
        <v>0</v>
      </c>
      <c r="S867" s="14" t="str">
        <f t="shared" si="2"/>
        <v>55.086878,33.243226</v>
      </c>
      <c r="T867" s="12"/>
    </row>
    <row r="868">
      <c r="A868" s="18" t="s">
        <v>5651</v>
      </c>
      <c r="B868" s="8" t="s">
        <v>5652</v>
      </c>
      <c r="C868" s="8" t="s">
        <v>5653</v>
      </c>
      <c r="D868" s="8" t="s">
        <v>16</v>
      </c>
      <c r="E868" s="19" t="s">
        <v>5654</v>
      </c>
      <c r="F868" s="8" t="s">
        <v>5134</v>
      </c>
      <c r="G868" s="8">
        <v>23.61</v>
      </c>
      <c r="H868" s="8"/>
      <c r="I868" s="8"/>
      <c r="J868" s="8" t="s">
        <v>5655</v>
      </c>
      <c r="K868" s="8" t="s">
        <v>5656</v>
      </c>
      <c r="L868" s="8"/>
      <c r="M868" s="8"/>
      <c r="N868" s="12"/>
      <c r="O868" s="12"/>
      <c r="P868" s="13">
        <f>IFERROR(__xludf.DUMMYFUNCTION("VALUE(SUBSTITUTE((INDEX(SPLIT(A868,"",""),1)),""."","","",1))"),55.109209)</f>
        <v>55.109209</v>
      </c>
      <c r="Q868" s="13">
        <f>IFERROR(__xludf.DUMMYFUNCTION("VALUE(SUBSTITUTE((INDEX(SPLIT(A868,"",""),2)),""."","","",1))"),33.243603)</f>
        <v>33.243603</v>
      </c>
      <c r="R868" s="14" t="b">
        <f t="shared" si="1"/>
        <v>0</v>
      </c>
      <c r="S868" s="14" t="str">
        <f t="shared" si="2"/>
        <v>55.109209,33.243603</v>
      </c>
      <c r="T868" s="12"/>
    </row>
    <row r="869">
      <c r="A869" s="20" t="s">
        <v>5657</v>
      </c>
      <c r="B869" s="16" t="s">
        <v>5658</v>
      </c>
      <c r="C869" s="16" t="s">
        <v>5659</v>
      </c>
      <c r="D869" s="16" t="s">
        <v>16</v>
      </c>
      <c r="E869" s="21" t="s">
        <v>5660</v>
      </c>
      <c r="F869" s="22" t="s">
        <v>5134</v>
      </c>
      <c r="G869" s="16">
        <v>23.61</v>
      </c>
      <c r="H869" s="16"/>
      <c r="I869" s="22"/>
      <c r="J869" s="22" t="s">
        <v>5661</v>
      </c>
      <c r="K869" s="22" t="s">
        <v>5662</v>
      </c>
      <c r="L869" s="23" t="s">
        <v>5663</v>
      </c>
      <c r="M869" s="22"/>
      <c r="N869" s="12"/>
      <c r="O869" s="12"/>
      <c r="P869" s="13">
        <f>IFERROR(__xludf.DUMMYFUNCTION("VALUE(SUBSTITUTE((INDEX(SPLIT(A869,"",""),1)),""."","","",1))"),55.111212)</f>
        <v>55.111212</v>
      </c>
      <c r="Q869" s="13">
        <f>IFERROR(__xludf.DUMMYFUNCTION("VALUE(SUBSTITUTE((INDEX(SPLIT(A869,"",""),2)),""."","","",1))"),33.245274)</f>
        <v>33.245274</v>
      </c>
      <c r="R869" s="14" t="b">
        <f t="shared" si="1"/>
        <v>0</v>
      </c>
      <c r="S869" s="14" t="str">
        <f t="shared" si="2"/>
        <v>55.111212,33.245274</v>
      </c>
      <c r="T869" s="12"/>
    </row>
    <row r="870">
      <c r="A870" s="7" t="s">
        <v>5664</v>
      </c>
      <c r="B870" s="8" t="s">
        <v>5665</v>
      </c>
      <c r="C870" s="8" t="s">
        <v>5666</v>
      </c>
      <c r="D870" s="8" t="s">
        <v>16</v>
      </c>
      <c r="E870" s="9" t="s">
        <v>5667</v>
      </c>
      <c r="F870" s="10" t="s">
        <v>5134</v>
      </c>
      <c r="G870" s="8">
        <v>23.61</v>
      </c>
      <c r="H870" s="8"/>
      <c r="I870" s="10"/>
      <c r="J870" s="10" t="s">
        <v>5668</v>
      </c>
      <c r="K870" s="10" t="s">
        <v>5669</v>
      </c>
      <c r="L870" s="11" t="s">
        <v>5379</v>
      </c>
      <c r="M870" s="11" t="s">
        <v>5597</v>
      </c>
      <c r="N870" s="12"/>
      <c r="O870" s="12"/>
      <c r="P870" s="13">
        <f>IFERROR(__xludf.DUMMYFUNCTION("VALUE(SUBSTITUTE((INDEX(SPLIT(A870,"",""),1)),""."","","",1))"),55.101205)</f>
        <v>55.101205</v>
      </c>
      <c r="Q870" s="13">
        <f>IFERROR(__xludf.DUMMYFUNCTION("VALUE(SUBSTITUTE((INDEX(SPLIT(A870,"",""),2)),""."","","",1))"),33.24575)</f>
        <v>33.24575</v>
      </c>
      <c r="R870" s="14" t="b">
        <f t="shared" si="1"/>
        <v>0</v>
      </c>
      <c r="S870" s="14" t="str">
        <f t="shared" si="2"/>
        <v>55.101205,33.24575</v>
      </c>
      <c r="T870" s="12"/>
    </row>
    <row r="871">
      <c r="A871" s="20" t="s">
        <v>5670</v>
      </c>
      <c r="B871" s="16" t="s">
        <v>5671</v>
      </c>
      <c r="C871" s="16" t="s">
        <v>5672</v>
      </c>
      <c r="D871" s="16" t="s">
        <v>16</v>
      </c>
      <c r="E871" s="21" t="s">
        <v>5673</v>
      </c>
      <c r="F871" s="22" t="s">
        <v>5134</v>
      </c>
      <c r="G871" s="16">
        <v>23.61</v>
      </c>
      <c r="H871" s="16"/>
      <c r="I871" s="22"/>
      <c r="J871" s="22" t="s">
        <v>5674</v>
      </c>
      <c r="K871" s="22" t="s">
        <v>5675</v>
      </c>
      <c r="L871" s="23" t="s">
        <v>5676</v>
      </c>
      <c r="M871" s="22"/>
      <c r="N871" s="12"/>
      <c r="O871" s="12"/>
      <c r="P871" s="13">
        <f>IFERROR(__xludf.DUMMYFUNCTION("VALUE(SUBSTITUTE((INDEX(SPLIT(A871,"",""),1)),""."","","",1))"),55.099608)</f>
        <v>55.099608</v>
      </c>
      <c r="Q871" s="13">
        <f>IFERROR(__xludf.DUMMYFUNCTION("VALUE(SUBSTITUTE((INDEX(SPLIT(A871,"",""),2)),""."","","",1))"),33.247475)</f>
        <v>33.247475</v>
      </c>
      <c r="R871" s="14" t="b">
        <f t="shared" si="1"/>
        <v>0</v>
      </c>
      <c r="S871" s="14" t="str">
        <f t="shared" si="2"/>
        <v>55.099608,33.247475</v>
      </c>
      <c r="T871" s="12"/>
    </row>
    <row r="872">
      <c r="A872" s="18" t="s">
        <v>5677</v>
      </c>
      <c r="B872" s="8" t="s">
        <v>89</v>
      </c>
      <c r="C872" s="8" t="s">
        <v>90</v>
      </c>
      <c r="D872" s="8" t="s">
        <v>16</v>
      </c>
      <c r="E872" s="19" t="s">
        <v>5678</v>
      </c>
      <c r="F872" s="8" t="s">
        <v>5134</v>
      </c>
      <c r="G872" s="8">
        <v>23.61</v>
      </c>
      <c r="H872" s="8"/>
      <c r="I872" s="8"/>
      <c r="J872" s="8" t="s">
        <v>5679</v>
      </c>
      <c r="K872" s="8" t="s">
        <v>5426</v>
      </c>
      <c r="L872" s="8"/>
      <c r="M872" s="24" t="s">
        <v>5680</v>
      </c>
      <c r="N872" s="12"/>
      <c r="O872" s="12"/>
      <c r="P872" s="13">
        <f>IFERROR(__xludf.DUMMYFUNCTION("VALUE(SUBSTITUTE((INDEX(SPLIT(A872,"",""),1)),""."","","",1))"),55.117036)</f>
        <v>55.117036</v>
      </c>
      <c r="Q872" s="13">
        <f>IFERROR(__xludf.DUMMYFUNCTION("VALUE(SUBSTITUTE((INDEX(SPLIT(A872,"",""),2)),""."","","",1))"),33.248023)</f>
        <v>33.248023</v>
      </c>
      <c r="R872" s="14" t="b">
        <f t="shared" si="1"/>
        <v>0</v>
      </c>
      <c r="S872" s="14" t="str">
        <f t="shared" si="2"/>
        <v>55.117036,33.248023</v>
      </c>
      <c r="T872" s="12"/>
    </row>
    <row r="873">
      <c r="A873" s="20" t="s">
        <v>5681</v>
      </c>
      <c r="B873" s="16" t="s">
        <v>5682</v>
      </c>
      <c r="C873" s="16" t="s">
        <v>5683</v>
      </c>
      <c r="D873" s="16" t="s">
        <v>16</v>
      </c>
      <c r="E873" s="21" t="s">
        <v>5684</v>
      </c>
      <c r="F873" s="22" t="s">
        <v>5134</v>
      </c>
      <c r="G873" s="16">
        <v>23.61</v>
      </c>
      <c r="H873" s="16"/>
      <c r="I873" s="22"/>
      <c r="J873" s="22" t="s">
        <v>5685</v>
      </c>
      <c r="K873" s="22" t="s">
        <v>5686</v>
      </c>
      <c r="L873" s="23" t="s">
        <v>5687</v>
      </c>
      <c r="M873" s="22"/>
      <c r="N873" s="12"/>
      <c r="O873" s="12"/>
      <c r="P873" s="13">
        <f>IFERROR(__xludf.DUMMYFUNCTION("VALUE(SUBSTITUTE((INDEX(SPLIT(A873,"",""),1)),""."","","",1))"),55.141686)</f>
        <v>55.141686</v>
      </c>
      <c r="Q873" s="13">
        <f>IFERROR(__xludf.DUMMYFUNCTION("VALUE(SUBSTITUTE((INDEX(SPLIT(A873,"",""),2)),""."","","",1))"),33.253054)</f>
        <v>33.253054</v>
      </c>
      <c r="R873" s="14" t="b">
        <f t="shared" si="1"/>
        <v>0</v>
      </c>
      <c r="S873" s="14" t="str">
        <f t="shared" si="2"/>
        <v>55.141686,33.253054</v>
      </c>
      <c r="T873" s="12"/>
    </row>
    <row r="874">
      <c r="A874" s="18" t="s">
        <v>5688</v>
      </c>
      <c r="B874" s="8" t="s">
        <v>5689</v>
      </c>
      <c r="C874" s="8" t="s">
        <v>5690</v>
      </c>
      <c r="D874" s="8" t="s">
        <v>16</v>
      </c>
      <c r="E874" s="19" t="s">
        <v>5691</v>
      </c>
      <c r="F874" s="8" t="s">
        <v>5134</v>
      </c>
      <c r="G874" s="8">
        <v>23.61</v>
      </c>
      <c r="H874" s="8"/>
      <c r="I874" s="8"/>
      <c r="J874" s="8" t="s">
        <v>5692</v>
      </c>
      <c r="K874" s="8" t="s">
        <v>5693</v>
      </c>
      <c r="L874" s="8"/>
      <c r="M874" s="8"/>
      <c r="N874" s="12"/>
      <c r="O874" s="12"/>
      <c r="P874" s="13">
        <f>IFERROR(__xludf.DUMMYFUNCTION("VALUE(SUBSTITUTE((INDEX(SPLIT(A874,"",""),1)),""."","","",1))"),55.098815)</f>
        <v>55.098815</v>
      </c>
      <c r="Q874" s="13">
        <f>IFERROR(__xludf.DUMMYFUNCTION("VALUE(SUBSTITUTE((INDEX(SPLIT(A874,"",""),2)),""."","","",1))"),33.258138)</f>
        <v>33.258138</v>
      </c>
      <c r="R874" s="14" t="b">
        <f t="shared" si="1"/>
        <v>0</v>
      </c>
      <c r="S874" s="14" t="str">
        <f t="shared" si="2"/>
        <v>55.098815,33.258138</v>
      </c>
      <c r="T874" s="12"/>
    </row>
    <row r="875">
      <c r="A875" s="20" t="s">
        <v>5694</v>
      </c>
      <c r="B875" s="16" t="s">
        <v>5695</v>
      </c>
      <c r="C875" s="16" t="s">
        <v>5696</v>
      </c>
      <c r="D875" s="16" t="s">
        <v>16</v>
      </c>
      <c r="E875" s="21" t="s">
        <v>5697</v>
      </c>
      <c r="F875" s="22" t="s">
        <v>5134</v>
      </c>
      <c r="G875" s="16">
        <v>23.61</v>
      </c>
      <c r="H875" s="16"/>
      <c r="I875" s="22"/>
      <c r="J875" s="22" t="s">
        <v>5698</v>
      </c>
      <c r="K875" s="22" t="s">
        <v>5699</v>
      </c>
      <c r="L875" s="23" t="s">
        <v>5700</v>
      </c>
      <c r="M875" s="22"/>
      <c r="N875" s="12"/>
      <c r="O875" s="12"/>
      <c r="P875" s="13">
        <f>IFERROR(__xludf.DUMMYFUNCTION("VALUE(SUBSTITUTE((INDEX(SPLIT(A875,"",""),1)),""."","","",1))"),55.093313)</f>
        <v>55.093313</v>
      </c>
      <c r="Q875" s="13">
        <f>IFERROR(__xludf.DUMMYFUNCTION("VALUE(SUBSTITUTE((INDEX(SPLIT(A875,"",""),2)),""."","","",1))"),33.258749)</f>
        <v>33.258749</v>
      </c>
      <c r="R875" s="14" t="b">
        <f t="shared" si="1"/>
        <v>0</v>
      </c>
      <c r="S875" s="14" t="str">
        <f t="shared" si="2"/>
        <v>55.093313,33.258749</v>
      </c>
      <c r="T875" s="12"/>
    </row>
    <row r="876">
      <c r="A876" s="7" t="s">
        <v>5701</v>
      </c>
      <c r="B876" s="8" t="s">
        <v>5702</v>
      </c>
      <c r="C876" s="8" t="s">
        <v>5703</v>
      </c>
      <c r="D876" s="8" t="s">
        <v>16</v>
      </c>
      <c r="E876" s="9" t="s">
        <v>5704</v>
      </c>
      <c r="F876" s="10" t="s">
        <v>5134</v>
      </c>
      <c r="G876" s="8">
        <v>23.61</v>
      </c>
      <c r="H876" s="8"/>
      <c r="I876" s="10"/>
      <c r="J876" s="10" t="s">
        <v>5705</v>
      </c>
      <c r="K876" s="10" t="s">
        <v>5203</v>
      </c>
      <c r="L876" s="11" t="s">
        <v>5204</v>
      </c>
      <c r="M876" s="10"/>
      <c r="N876" s="12"/>
      <c r="O876" s="12"/>
      <c r="P876" s="13">
        <f>IFERROR(__xludf.DUMMYFUNCTION("VALUE(SUBSTITUTE((INDEX(SPLIT(A876,"",""),1)),""."","","",1))"),55.095946)</f>
        <v>55.095946</v>
      </c>
      <c r="Q876" s="13">
        <f>IFERROR(__xludf.DUMMYFUNCTION("VALUE(SUBSTITUTE((INDEX(SPLIT(A876,"",""),2)),""."","","",1))"),33.260294)</f>
        <v>33.260294</v>
      </c>
      <c r="R876" s="14" t="b">
        <f t="shared" si="1"/>
        <v>0</v>
      </c>
      <c r="S876" s="14" t="str">
        <f t="shared" si="2"/>
        <v>55.095946,33.260294</v>
      </c>
      <c r="T876" s="12"/>
    </row>
    <row r="877">
      <c r="A877" s="20" t="s">
        <v>5706</v>
      </c>
      <c r="B877" s="16" t="s">
        <v>5707</v>
      </c>
      <c r="C877" s="16" t="s">
        <v>5708</v>
      </c>
      <c r="D877" s="16" t="s">
        <v>16</v>
      </c>
      <c r="E877" s="21" t="s">
        <v>5709</v>
      </c>
      <c r="F877" s="22" t="s">
        <v>5134</v>
      </c>
      <c r="G877" s="16">
        <v>23.61</v>
      </c>
      <c r="H877" s="16"/>
      <c r="I877" s="22"/>
      <c r="J877" s="22" t="s">
        <v>5710</v>
      </c>
      <c r="K877" s="22" t="s">
        <v>5711</v>
      </c>
      <c r="L877" s="23" t="s">
        <v>5712</v>
      </c>
      <c r="M877" s="22"/>
      <c r="N877" s="12"/>
      <c r="O877" s="12"/>
      <c r="P877" s="13">
        <f>IFERROR(__xludf.DUMMYFUNCTION("VALUE(SUBSTITUTE((INDEX(SPLIT(A877,"",""),1)),""."","","",1))"),55.139489)</f>
        <v>55.139489</v>
      </c>
      <c r="Q877" s="13">
        <f>IFERROR(__xludf.DUMMYFUNCTION("VALUE(SUBSTITUTE((INDEX(SPLIT(A877,"",""),2)),""."","","",1))"),33.261695)</f>
        <v>33.261695</v>
      </c>
      <c r="R877" s="14" t="b">
        <f t="shared" si="1"/>
        <v>0</v>
      </c>
      <c r="S877" s="14" t="str">
        <f t="shared" si="2"/>
        <v>55.139489,33.261695</v>
      </c>
      <c r="T877" s="12"/>
    </row>
    <row r="878">
      <c r="A878" s="18" t="s">
        <v>5713</v>
      </c>
      <c r="B878" s="8" t="s">
        <v>5714</v>
      </c>
      <c r="C878" s="8" t="s">
        <v>5715</v>
      </c>
      <c r="D878" s="8" t="s">
        <v>16</v>
      </c>
      <c r="E878" s="19" t="s">
        <v>5716</v>
      </c>
      <c r="F878" s="8" t="s">
        <v>5142</v>
      </c>
      <c r="G878" s="8">
        <v>23.61</v>
      </c>
      <c r="H878" s="8"/>
      <c r="I878" s="8"/>
      <c r="J878" s="8" t="s">
        <v>5717</v>
      </c>
      <c r="K878" s="8" t="s">
        <v>5718</v>
      </c>
      <c r="L878" s="8"/>
      <c r="M878" s="8"/>
      <c r="N878" s="12"/>
      <c r="O878" s="12"/>
      <c r="P878" s="13">
        <f>IFERROR(__xludf.DUMMYFUNCTION("VALUE(SUBSTITUTE((INDEX(SPLIT(A878,"",""),1)),""."","","",1))"),52.544259)</f>
        <v>52.544259</v>
      </c>
      <c r="Q878" s="13">
        <f>IFERROR(__xludf.DUMMYFUNCTION("VALUE(SUBSTITUTE((INDEX(SPLIT(A878,"",""),2)),""."","","",1))"),33.26236)</f>
        <v>33.26236</v>
      </c>
      <c r="R878" s="14" t="b">
        <f t="shared" si="1"/>
        <v>0</v>
      </c>
      <c r="S878" s="14" t="str">
        <f t="shared" si="2"/>
        <v>52.544259,33.26236</v>
      </c>
      <c r="T878" s="12"/>
    </row>
    <row r="879">
      <c r="A879" s="15" t="s">
        <v>5719</v>
      </c>
      <c r="B879" s="16" t="s">
        <v>5720</v>
      </c>
      <c r="C879" s="16" t="s">
        <v>5721</v>
      </c>
      <c r="D879" s="16" t="s">
        <v>16</v>
      </c>
      <c r="E879" s="17" t="s">
        <v>5722</v>
      </c>
      <c r="F879" s="16" t="s">
        <v>5134</v>
      </c>
      <c r="G879" s="16">
        <v>23.61</v>
      </c>
      <c r="H879" s="16"/>
      <c r="I879" s="16"/>
      <c r="J879" s="16" t="s">
        <v>5723</v>
      </c>
      <c r="K879" s="16" t="s">
        <v>5724</v>
      </c>
      <c r="L879" s="16"/>
      <c r="M879" s="16"/>
      <c r="N879" s="12"/>
      <c r="O879" s="12"/>
      <c r="P879" s="13">
        <f>IFERROR(__xludf.DUMMYFUNCTION("VALUE(SUBSTITUTE((INDEX(SPLIT(A879,"",""),1)),""."","","",1))"),55.107865)</f>
        <v>55.107865</v>
      </c>
      <c r="Q879" s="13">
        <f>IFERROR(__xludf.DUMMYFUNCTION("VALUE(SUBSTITUTE((INDEX(SPLIT(A879,"",""),2)),""."","","",1))"),33.274173)</f>
        <v>33.274173</v>
      </c>
      <c r="R879" s="14" t="b">
        <f t="shared" si="1"/>
        <v>0</v>
      </c>
      <c r="S879" s="14" t="str">
        <f t="shared" si="2"/>
        <v>55.107865,33.274173</v>
      </c>
      <c r="T879" s="12"/>
    </row>
    <row r="880">
      <c r="A880" s="7" t="s">
        <v>5725</v>
      </c>
      <c r="B880" s="8" t="s">
        <v>5726</v>
      </c>
      <c r="C880" s="8" t="s">
        <v>5727</v>
      </c>
      <c r="D880" s="8" t="s">
        <v>16</v>
      </c>
      <c r="E880" s="9" t="s">
        <v>5728</v>
      </c>
      <c r="F880" s="10" t="s">
        <v>3760</v>
      </c>
      <c r="G880" s="8">
        <v>23.61</v>
      </c>
      <c r="H880" s="8"/>
      <c r="I880" s="10"/>
      <c r="J880" s="10" t="s">
        <v>5729</v>
      </c>
      <c r="K880" s="10" t="s">
        <v>5730</v>
      </c>
      <c r="L880" s="11" t="s">
        <v>5731</v>
      </c>
      <c r="M880" s="10"/>
      <c r="N880" s="12"/>
      <c r="O880" s="12"/>
      <c r="P880" s="13">
        <f>IFERROR(__xludf.DUMMYFUNCTION("VALUE(SUBSTITUTE((INDEX(SPLIT(A880,"",""),1)),""."","","",1))"),54.912677)</f>
        <v>54.912677</v>
      </c>
      <c r="Q880" s="13">
        <f>IFERROR(__xludf.DUMMYFUNCTION("VALUE(SUBSTITUTE((INDEX(SPLIT(A880,"",""),2)),""."","","",1))"),33.297044)</f>
        <v>33.297044</v>
      </c>
      <c r="R880" s="14" t="b">
        <f t="shared" si="1"/>
        <v>0</v>
      </c>
      <c r="S880" s="14" t="str">
        <f t="shared" si="2"/>
        <v>54.912677,33.297044</v>
      </c>
      <c r="T880" s="12"/>
    </row>
    <row r="881">
      <c r="A881" s="20" t="s">
        <v>5732</v>
      </c>
      <c r="B881" s="16" t="s">
        <v>5733</v>
      </c>
      <c r="C881" s="16" t="s">
        <v>5734</v>
      </c>
      <c r="D881" s="16" t="s">
        <v>16</v>
      </c>
      <c r="E881" s="21" t="s">
        <v>5735</v>
      </c>
      <c r="F881" s="22" t="s">
        <v>4881</v>
      </c>
      <c r="G881" s="16">
        <v>23.61</v>
      </c>
      <c r="H881" s="16"/>
      <c r="I881" s="22"/>
      <c r="J881" s="22" t="s">
        <v>5736</v>
      </c>
      <c r="K881" s="22" t="s">
        <v>5737</v>
      </c>
      <c r="L881" s="23" t="s">
        <v>5738</v>
      </c>
      <c r="M881" s="23" t="s">
        <v>5739</v>
      </c>
      <c r="N881" s="12"/>
      <c r="O881" s="12"/>
      <c r="P881" s="13">
        <f>IFERROR(__xludf.DUMMYFUNCTION("VALUE(SUBSTITUTE((INDEX(SPLIT(A881,"",""),1)),""."","","",1))"),45.215727)</f>
        <v>45.215727</v>
      </c>
      <c r="Q881" s="13">
        <f>IFERROR(__xludf.DUMMYFUNCTION("VALUE(SUBSTITUTE((INDEX(SPLIT(A881,"",""),2)),""."","","",1))"),33.350476)</f>
        <v>33.350476</v>
      </c>
      <c r="R881" s="14" t="b">
        <f t="shared" si="1"/>
        <v>0</v>
      </c>
      <c r="S881" s="14" t="str">
        <f t="shared" si="2"/>
        <v>45.215727,33.350476</v>
      </c>
      <c r="T881" s="12"/>
    </row>
    <row r="882">
      <c r="A882" s="7" t="s">
        <v>5740</v>
      </c>
      <c r="B882" s="8" t="s">
        <v>5741</v>
      </c>
      <c r="C882" s="8" t="s">
        <v>5742</v>
      </c>
      <c r="D882" s="8" t="s">
        <v>16</v>
      </c>
      <c r="E882" s="9" t="s">
        <v>5743</v>
      </c>
      <c r="F882" s="10" t="s">
        <v>4881</v>
      </c>
      <c r="G882" s="8">
        <v>23.61</v>
      </c>
      <c r="H882" s="8"/>
      <c r="I882" s="31" t="s">
        <v>5744</v>
      </c>
      <c r="J882" s="10" t="s">
        <v>5745</v>
      </c>
      <c r="K882" s="10" t="s">
        <v>5746</v>
      </c>
      <c r="L882" s="11" t="s">
        <v>5747</v>
      </c>
      <c r="M882" s="11" t="s">
        <v>5748</v>
      </c>
      <c r="N882" s="12"/>
      <c r="O882" s="12"/>
      <c r="P882" s="13">
        <f>IFERROR(__xludf.DUMMYFUNCTION("VALUE(SUBSTITUTE((INDEX(SPLIT(A882,"",""),1)),""."","","",1))"),45.221517)</f>
        <v>45.221517</v>
      </c>
      <c r="Q882" s="13">
        <f>IFERROR(__xludf.DUMMYFUNCTION("VALUE(SUBSTITUTE((INDEX(SPLIT(A882,"",""),2)),""."","","",1))"),33.355381)</f>
        <v>33.355381</v>
      </c>
      <c r="R882" s="14" t="b">
        <f t="shared" si="1"/>
        <v>0</v>
      </c>
      <c r="S882" s="14" t="str">
        <f t="shared" si="2"/>
        <v>45.221517,33.355381</v>
      </c>
      <c r="T882" s="12"/>
    </row>
    <row r="883">
      <c r="A883" s="20" t="s">
        <v>5749</v>
      </c>
      <c r="B883" s="16" t="s">
        <v>5750</v>
      </c>
      <c r="C883" s="16" t="s">
        <v>5751</v>
      </c>
      <c r="D883" s="16" t="s">
        <v>16</v>
      </c>
      <c r="E883" s="21" t="s">
        <v>5752</v>
      </c>
      <c r="F883" s="22" t="s">
        <v>4881</v>
      </c>
      <c r="G883" s="16">
        <v>23.61</v>
      </c>
      <c r="H883" s="16"/>
      <c r="I883" s="22"/>
      <c r="J883" s="22" t="s">
        <v>5753</v>
      </c>
      <c r="K883" s="22" t="s">
        <v>5754</v>
      </c>
      <c r="L883" s="23" t="s">
        <v>5755</v>
      </c>
      <c r="M883" s="23" t="s">
        <v>5756</v>
      </c>
      <c r="N883" s="12"/>
      <c r="O883" s="12"/>
      <c r="P883" s="13">
        <f>IFERROR(__xludf.DUMMYFUNCTION("VALUE(SUBSTITUTE((INDEX(SPLIT(A883,"",""),1)),""."","","",1))"),45.210672)</f>
        <v>45.210672</v>
      </c>
      <c r="Q883" s="13">
        <f>IFERROR(__xludf.DUMMYFUNCTION("VALUE(SUBSTITUTE((INDEX(SPLIT(A883,"",""),2)),""."","","",1))"),33.36131)</f>
        <v>33.36131</v>
      </c>
      <c r="R883" s="14" t="b">
        <f t="shared" si="1"/>
        <v>0</v>
      </c>
      <c r="S883" s="14" t="str">
        <f t="shared" si="2"/>
        <v>45.210672,33.36131</v>
      </c>
      <c r="T883" s="12"/>
    </row>
    <row r="884">
      <c r="A884" s="7" t="s">
        <v>5757</v>
      </c>
      <c r="B884" s="8" t="s">
        <v>5758</v>
      </c>
      <c r="C884" s="8" t="s">
        <v>5759</v>
      </c>
      <c r="D884" s="8" t="s">
        <v>16</v>
      </c>
      <c r="E884" s="9" t="s">
        <v>5760</v>
      </c>
      <c r="F884" s="10" t="s">
        <v>4881</v>
      </c>
      <c r="G884" s="8">
        <v>23.61</v>
      </c>
      <c r="H884" s="8"/>
      <c r="I884" s="10"/>
      <c r="J884" s="10" t="s">
        <v>5761</v>
      </c>
      <c r="K884" s="10" t="s">
        <v>5754</v>
      </c>
      <c r="L884" s="11" t="s">
        <v>5762</v>
      </c>
      <c r="M884" s="11" t="s">
        <v>5756</v>
      </c>
      <c r="N884" s="12"/>
      <c r="O884" s="12"/>
      <c r="P884" s="13">
        <f>IFERROR(__xludf.DUMMYFUNCTION("VALUE(SUBSTITUTE((INDEX(SPLIT(A884,"",""),1)),""."","","",1))"),45.210825)</f>
        <v>45.210825</v>
      </c>
      <c r="Q884" s="13">
        <f>IFERROR(__xludf.DUMMYFUNCTION("VALUE(SUBSTITUTE((INDEX(SPLIT(A884,"",""),2)),""."","","",1))"),33.362891)</f>
        <v>33.362891</v>
      </c>
      <c r="R884" s="14" t="b">
        <f t="shared" si="1"/>
        <v>0</v>
      </c>
      <c r="S884" s="14" t="str">
        <f t="shared" si="2"/>
        <v>45.210825,33.362891</v>
      </c>
      <c r="T884" s="12"/>
    </row>
    <row r="885">
      <c r="A885" s="20" t="s">
        <v>5763</v>
      </c>
      <c r="B885" s="16" t="s">
        <v>5764</v>
      </c>
      <c r="C885" s="16" t="s">
        <v>5765</v>
      </c>
      <c r="D885" s="16" t="s">
        <v>16</v>
      </c>
      <c r="E885" s="21" t="s">
        <v>5766</v>
      </c>
      <c r="F885" s="22" t="s">
        <v>4881</v>
      </c>
      <c r="G885" s="16">
        <v>23.61</v>
      </c>
      <c r="H885" s="16"/>
      <c r="I885" s="22"/>
      <c r="J885" s="22" t="s">
        <v>5767</v>
      </c>
      <c r="K885" s="22" t="s">
        <v>5768</v>
      </c>
      <c r="L885" s="23" t="s">
        <v>5769</v>
      </c>
      <c r="M885" s="23" t="s">
        <v>5770</v>
      </c>
      <c r="N885" s="12"/>
      <c r="O885" s="12"/>
      <c r="P885" s="13">
        <f>IFERROR(__xludf.DUMMYFUNCTION("VALUE(SUBSTITUTE((INDEX(SPLIT(A885,"",""),1)),""."","","",1))"),45.210806)</f>
        <v>45.210806</v>
      </c>
      <c r="Q885" s="13">
        <f>IFERROR(__xludf.DUMMYFUNCTION("VALUE(SUBSTITUTE((INDEX(SPLIT(A885,"",""),2)),""."","","",1))"),33.396874)</f>
        <v>33.396874</v>
      </c>
      <c r="R885" s="14" t="b">
        <f t="shared" si="1"/>
        <v>0</v>
      </c>
      <c r="S885" s="14" t="str">
        <f t="shared" si="2"/>
        <v>45.210806,33.396874</v>
      </c>
      <c r="T885" s="12"/>
    </row>
    <row r="886">
      <c r="A886" s="18" t="s">
        <v>5771</v>
      </c>
      <c r="B886" s="8" t="s">
        <v>743</v>
      </c>
      <c r="C886" s="8" t="s">
        <v>744</v>
      </c>
      <c r="D886" s="8" t="s">
        <v>16</v>
      </c>
      <c r="E886" s="19" t="s">
        <v>5772</v>
      </c>
      <c r="F886" s="8" t="s">
        <v>5334</v>
      </c>
      <c r="G886" s="8">
        <v>23.61</v>
      </c>
      <c r="H886" s="8"/>
      <c r="I886" s="8"/>
      <c r="J886" s="8" t="s">
        <v>5773</v>
      </c>
      <c r="K886" s="8" t="s">
        <v>5774</v>
      </c>
      <c r="L886" s="8"/>
      <c r="M886" s="24" t="s">
        <v>5775</v>
      </c>
      <c r="N886" s="12"/>
      <c r="O886" s="12"/>
      <c r="P886" s="13">
        <f>IFERROR(__xludf.DUMMYFUNCTION("VALUE(SUBSTITUTE((INDEX(SPLIT(A886,"",""),1)),""."","","",1))"),67.588811)</f>
        <v>67.588811</v>
      </c>
      <c r="Q886" s="13">
        <f>IFERROR(__xludf.DUMMYFUNCTION("VALUE(SUBSTITUTE((INDEX(SPLIT(A886,"",""),2)),""."","","",1))"),33.397548)</f>
        <v>33.397548</v>
      </c>
      <c r="R886" s="14" t="b">
        <f t="shared" si="1"/>
        <v>0</v>
      </c>
      <c r="S886" s="14" t="str">
        <f t="shared" si="2"/>
        <v>67.588811,33.397548</v>
      </c>
      <c r="T886" s="12"/>
    </row>
    <row r="887">
      <c r="A887" s="15" t="s">
        <v>5771</v>
      </c>
      <c r="B887" s="16" t="s">
        <v>1620</v>
      </c>
      <c r="C887" s="16" t="s">
        <v>1621</v>
      </c>
      <c r="D887" s="16" t="s">
        <v>16</v>
      </c>
      <c r="E887" s="17" t="s">
        <v>5776</v>
      </c>
      <c r="F887" s="16" t="s">
        <v>5334</v>
      </c>
      <c r="G887" s="16">
        <v>23.61</v>
      </c>
      <c r="H887" s="16"/>
      <c r="I887" s="16"/>
      <c r="J887" s="16" t="s">
        <v>5777</v>
      </c>
      <c r="K887" s="16" t="s">
        <v>5774</v>
      </c>
      <c r="L887" s="16"/>
      <c r="M887" s="16"/>
      <c r="N887" s="12"/>
      <c r="O887" s="12"/>
      <c r="P887" s="13">
        <f>IFERROR(__xludf.DUMMYFUNCTION("VALUE(SUBSTITUTE((INDEX(SPLIT(A887,"",""),1)),""."","","",1))"),67.588811)</f>
        <v>67.588811</v>
      </c>
      <c r="Q887" s="13">
        <f>IFERROR(__xludf.DUMMYFUNCTION("VALUE(SUBSTITUTE((INDEX(SPLIT(A887,"",""),2)),""."","","",1))"),33.397548)</f>
        <v>33.397548</v>
      </c>
      <c r="R887" s="14" t="b">
        <f t="shared" si="1"/>
        <v>0</v>
      </c>
      <c r="S887" s="14" t="str">
        <f t="shared" si="2"/>
        <v>67.588811,33.397548</v>
      </c>
      <c r="T887" s="12"/>
    </row>
    <row r="888">
      <c r="A888" s="18" t="s">
        <v>5778</v>
      </c>
      <c r="B888" s="8" t="s">
        <v>5779</v>
      </c>
      <c r="C888" s="8" t="s">
        <v>5780</v>
      </c>
      <c r="D888" s="8" t="s">
        <v>16</v>
      </c>
      <c r="E888" s="19" t="s">
        <v>5781</v>
      </c>
      <c r="F888" s="8" t="s">
        <v>5334</v>
      </c>
      <c r="G888" s="8">
        <v>23.61</v>
      </c>
      <c r="H888" s="8"/>
      <c r="I888" s="8"/>
      <c r="J888" s="8" t="s">
        <v>5782</v>
      </c>
      <c r="K888" s="8" t="s">
        <v>5783</v>
      </c>
      <c r="L888" s="8"/>
      <c r="M888" s="8"/>
      <c r="N888" s="12"/>
      <c r="O888" s="12"/>
      <c r="P888" s="13">
        <f>IFERROR(__xludf.DUMMYFUNCTION("VALUE(SUBSTITUTE((INDEX(SPLIT(A888,"",""),1)),""."","","",1))"),67.585362)</f>
        <v>67.585362</v>
      </c>
      <c r="Q888" s="13">
        <f>IFERROR(__xludf.DUMMYFUNCTION("VALUE(SUBSTITUTE((INDEX(SPLIT(A888,"",""),2)),""."","","",1))"),33.41546)</f>
        <v>33.41546</v>
      </c>
      <c r="R888" s="14" t="b">
        <f t="shared" si="1"/>
        <v>0</v>
      </c>
      <c r="S888" s="14" t="str">
        <f t="shared" si="2"/>
        <v>67.585362,33.41546</v>
      </c>
      <c r="T888" s="12"/>
    </row>
    <row r="889">
      <c r="A889" s="15" t="s">
        <v>5784</v>
      </c>
      <c r="B889" s="16" t="s">
        <v>5785</v>
      </c>
      <c r="C889" s="16" t="s">
        <v>5786</v>
      </c>
      <c r="D889" s="16" t="s">
        <v>16</v>
      </c>
      <c r="E889" s="17" t="s">
        <v>5787</v>
      </c>
      <c r="F889" s="16" t="s">
        <v>5788</v>
      </c>
      <c r="G889" s="16">
        <v>23.61</v>
      </c>
      <c r="H889" s="16"/>
      <c r="I889" s="16"/>
      <c r="J889" s="16" t="s">
        <v>5789</v>
      </c>
      <c r="K889" s="16" t="s">
        <v>5790</v>
      </c>
      <c r="L889" s="16"/>
      <c r="M889" s="16"/>
      <c r="N889" s="12"/>
      <c r="O889" s="12"/>
      <c r="P889" s="13">
        <f>IFERROR(__xludf.DUMMYFUNCTION("VALUE(SUBSTITUTE((INDEX(SPLIT(A889,"",""),1)),""."","","",1))"),56.85906)</f>
        <v>56.85906</v>
      </c>
      <c r="Q889" s="13">
        <f>IFERROR(__xludf.DUMMYFUNCTION("VALUE(SUBSTITUTE((INDEX(SPLIT(A889,"",""),2)),""."","","",1))"),33.432016)</f>
        <v>33.432016</v>
      </c>
      <c r="R889" s="14" t="b">
        <f t="shared" si="1"/>
        <v>0</v>
      </c>
      <c r="S889" s="14" t="str">
        <f t="shared" si="2"/>
        <v>56.85906,33.432016</v>
      </c>
      <c r="T889" s="12"/>
    </row>
    <row r="890">
      <c r="A890" s="18" t="s">
        <v>5791</v>
      </c>
      <c r="B890" s="8" t="s">
        <v>5792</v>
      </c>
      <c r="C890" s="8" t="s">
        <v>5793</v>
      </c>
      <c r="D890" s="8" t="s">
        <v>16</v>
      </c>
      <c r="E890" s="19" t="s">
        <v>5794</v>
      </c>
      <c r="F890" s="8" t="s">
        <v>4881</v>
      </c>
      <c r="G890" s="8">
        <v>23.61</v>
      </c>
      <c r="H890" s="8"/>
      <c r="I890" s="8"/>
      <c r="J890" s="8" t="s">
        <v>5795</v>
      </c>
      <c r="K890" s="8" t="s">
        <v>5796</v>
      </c>
      <c r="L890" s="8"/>
      <c r="M890" s="8"/>
      <c r="N890" s="12"/>
      <c r="O890" s="12"/>
      <c r="P890" s="13">
        <f>IFERROR(__xludf.DUMMYFUNCTION("VALUE(SUBSTITUTE((INDEX(SPLIT(A890,"",""),1)),""."","","",1))"),44.586658)</f>
        <v>44.586658</v>
      </c>
      <c r="Q890" s="13">
        <f>IFERROR(__xludf.DUMMYFUNCTION("VALUE(SUBSTITUTE((INDEX(SPLIT(A890,"",""),2)),""."","","",1))"),33.454402)</f>
        <v>33.454402</v>
      </c>
      <c r="R890" s="14" t="b">
        <f t="shared" si="1"/>
        <v>0</v>
      </c>
      <c r="S890" s="14" t="str">
        <f t="shared" si="2"/>
        <v>44.586658,33.454402</v>
      </c>
      <c r="T890" s="12"/>
    </row>
    <row r="891">
      <c r="A891" s="15" t="s">
        <v>5797</v>
      </c>
      <c r="B891" s="16" t="s">
        <v>5798</v>
      </c>
      <c r="C891" s="16" t="s">
        <v>5799</v>
      </c>
      <c r="D891" s="16" t="s">
        <v>16</v>
      </c>
      <c r="E891" s="17" t="s">
        <v>5800</v>
      </c>
      <c r="F891" s="16" t="s">
        <v>4881</v>
      </c>
      <c r="G891" s="16">
        <v>23.61</v>
      </c>
      <c r="H891" s="16"/>
      <c r="I891" s="16"/>
      <c r="J891" s="16" t="s">
        <v>5801</v>
      </c>
      <c r="K891" s="16" t="s">
        <v>5802</v>
      </c>
      <c r="L891" s="16"/>
      <c r="M891" s="16"/>
      <c r="N891" s="12"/>
      <c r="O891" s="12"/>
      <c r="P891" s="13">
        <f>IFERROR(__xludf.DUMMYFUNCTION("VALUE(SUBSTITUTE((INDEX(SPLIT(A891,"",""),1)),""."","","",1))"),44.596864)</f>
        <v>44.596864</v>
      </c>
      <c r="Q891" s="13">
        <f>IFERROR(__xludf.DUMMYFUNCTION("VALUE(SUBSTITUTE((INDEX(SPLIT(A891,"",""),2)),""."","","",1))"),33.461553)</f>
        <v>33.461553</v>
      </c>
      <c r="R891" s="14" t="b">
        <f t="shared" si="1"/>
        <v>0</v>
      </c>
      <c r="S891" s="14" t="str">
        <f t="shared" si="2"/>
        <v>44.596864,33.461553</v>
      </c>
      <c r="T891" s="12"/>
    </row>
    <row r="892">
      <c r="A892" s="7" t="s">
        <v>5803</v>
      </c>
      <c r="B892" s="8" t="s">
        <v>5804</v>
      </c>
      <c r="C892" s="8" t="s">
        <v>5805</v>
      </c>
      <c r="D892" s="8" t="s">
        <v>16</v>
      </c>
      <c r="E892" s="9" t="s">
        <v>5806</v>
      </c>
      <c r="F892" s="10" t="s">
        <v>4881</v>
      </c>
      <c r="G892" s="8">
        <v>23.61</v>
      </c>
      <c r="H892" s="8"/>
      <c r="I892" s="10"/>
      <c r="J892" s="10" t="s">
        <v>5807</v>
      </c>
      <c r="K892" s="10" t="s">
        <v>5808</v>
      </c>
      <c r="L892" s="11" t="s">
        <v>5809</v>
      </c>
      <c r="M892" s="11" t="s">
        <v>5810</v>
      </c>
      <c r="N892" s="12"/>
      <c r="O892" s="12"/>
      <c r="P892" s="13">
        <f>IFERROR(__xludf.DUMMYFUNCTION("VALUE(SUBSTITUTE((INDEX(SPLIT(A892,"",""),1)),""."","","",1))"),44.571339)</f>
        <v>44.571339</v>
      </c>
      <c r="Q892" s="13">
        <f>IFERROR(__xludf.DUMMYFUNCTION("VALUE(SUBSTITUTE((INDEX(SPLIT(A892,"",""),2)),""."","","",1))"),33.462343)</f>
        <v>33.462343</v>
      </c>
      <c r="R892" s="14" t="b">
        <f t="shared" si="1"/>
        <v>0</v>
      </c>
      <c r="S892" s="14" t="str">
        <f t="shared" si="2"/>
        <v>44.571339,33.462343</v>
      </c>
      <c r="T892" s="12"/>
    </row>
    <row r="893">
      <c r="A893" s="20" t="s">
        <v>5811</v>
      </c>
      <c r="B893" s="16" t="s">
        <v>5812</v>
      </c>
      <c r="C893" s="16" t="s">
        <v>5813</v>
      </c>
      <c r="D893" s="16" t="s">
        <v>16</v>
      </c>
      <c r="E893" s="21" t="s">
        <v>5814</v>
      </c>
      <c r="F893" s="22" t="s">
        <v>4881</v>
      </c>
      <c r="G893" s="16">
        <v>23.61</v>
      </c>
      <c r="H893" s="16"/>
      <c r="I893" s="22"/>
      <c r="J893" s="22" t="s">
        <v>5815</v>
      </c>
      <c r="K893" s="22" t="s">
        <v>5816</v>
      </c>
      <c r="L893" s="23" t="s">
        <v>5817</v>
      </c>
      <c r="M893" s="22"/>
      <c r="N893" s="12"/>
      <c r="O893" s="12"/>
      <c r="P893" s="13">
        <f>IFERROR(__xludf.DUMMYFUNCTION("VALUE(SUBSTITUTE((INDEX(SPLIT(A893,"",""),1)),""."","","",1))"),44.584879)</f>
        <v>44.584879</v>
      </c>
      <c r="Q893" s="13">
        <f>IFERROR(__xludf.DUMMYFUNCTION("VALUE(SUBSTITUTE((INDEX(SPLIT(A893,"",""),2)),""."","","",1))"),33.466197)</f>
        <v>33.466197</v>
      </c>
      <c r="R893" s="14" t="b">
        <f t="shared" si="1"/>
        <v>0</v>
      </c>
      <c r="S893" s="14" t="str">
        <f t="shared" si="2"/>
        <v>44.584879,33.466197</v>
      </c>
      <c r="T893" s="12"/>
    </row>
    <row r="894">
      <c r="A894" s="18" t="s">
        <v>5818</v>
      </c>
      <c r="B894" s="8" t="s">
        <v>5819</v>
      </c>
      <c r="C894" s="8" t="s">
        <v>5820</v>
      </c>
      <c r="D894" s="8" t="s">
        <v>16</v>
      </c>
      <c r="E894" s="19" t="s">
        <v>5821</v>
      </c>
      <c r="F894" s="8" t="s">
        <v>4881</v>
      </c>
      <c r="G894" s="8">
        <v>23.61</v>
      </c>
      <c r="H894" s="8"/>
      <c r="I894" s="8"/>
      <c r="J894" s="8" t="s">
        <v>5822</v>
      </c>
      <c r="K894" s="8" t="s">
        <v>5823</v>
      </c>
      <c r="L894" s="8"/>
      <c r="M894" s="8"/>
      <c r="N894" s="12"/>
      <c r="O894" s="12"/>
      <c r="P894" s="13">
        <f>IFERROR(__xludf.DUMMYFUNCTION("VALUE(SUBSTITUTE((INDEX(SPLIT(A894,"",""),1)),""."","","",1))"),44.600882)</f>
        <v>44.600882</v>
      </c>
      <c r="Q894" s="13">
        <f>IFERROR(__xludf.DUMMYFUNCTION("VALUE(SUBSTITUTE((INDEX(SPLIT(A894,"",""),2)),""."","","",1))"),33.479824)</f>
        <v>33.479824</v>
      </c>
      <c r="R894" s="14" t="b">
        <f t="shared" si="1"/>
        <v>0</v>
      </c>
      <c r="S894" s="14" t="str">
        <f t="shared" si="2"/>
        <v>44.600882,33.479824</v>
      </c>
      <c r="T894" s="12"/>
    </row>
    <row r="895">
      <c r="A895" s="15" t="s">
        <v>5824</v>
      </c>
      <c r="B895" s="16" t="s">
        <v>5825</v>
      </c>
      <c r="C895" s="16" t="s">
        <v>5826</v>
      </c>
      <c r="D895" s="16" t="s">
        <v>16</v>
      </c>
      <c r="E895" s="17" t="s">
        <v>5827</v>
      </c>
      <c r="F895" s="16" t="s">
        <v>4881</v>
      </c>
      <c r="G895" s="16">
        <v>23.61</v>
      </c>
      <c r="H895" s="16"/>
      <c r="I895" s="16"/>
      <c r="J895" s="16" t="s">
        <v>5828</v>
      </c>
      <c r="K895" s="16" t="s">
        <v>5829</v>
      </c>
      <c r="L895" s="16"/>
      <c r="M895" s="16"/>
      <c r="N895" s="12"/>
      <c r="O895" s="12"/>
      <c r="P895" s="13">
        <f>IFERROR(__xludf.DUMMYFUNCTION("VALUE(SUBSTITUTE((INDEX(SPLIT(A895,"",""),1)),""."","","",1))"),44.605567)</f>
        <v>44.605567</v>
      </c>
      <c r="Q895" s="13">
        <f>IFERROR(__xludf.DUMMYFUNCTION("VALUE(SUBSTITUTE((INDEX(SPLIT(A895,"",""),2)),""."","","",1))"),33.481846)</f>
        <v>33.481846</v>
      </c>
      <c r="R895" s="14" t="b">
        <f t="shared" si="1"/>
        <v>0</v>
      </c>
      <c r="S895" s="14" t="str">
        <f t="shared" si="2"/>
        <v>44.605567,33.481846</v>
      </c>
      <c r="T895" s="12"/>
    </row>
    <row r="896">
      <c r="A896" s="18" t="s">
        <v>5830</v>
      </c>
      <c r="B896" s="8" t="s">
        <v>5831</v>
      </c>
      <c r="C896" s="8" t="s">
        <v>5832</v>
      </c>
      <c r="D896" s="8" t="s">
        <v>16</v>
      </c>
      <c r="E896" s="19" t="s">
        <v>5833</v>
      </c>
      <c r="F896" s="8" t="s">
        <v>4881</v>
      </c>
      <c r="G896" s="8">
        <v>23.61</v>
      </c>
      <c r="H896" s="8"/>
      <c r="I896" s="8"/>
      <c r="J896" s="8" t="s">
        <v>5834</v>
      </c>
      <c r="K896" s="8" t="s">
        <v>5835</v>
      </c>
      <c r="L896" s="8"/>
      <c r="M896" s="24" t="s">
        <v>5836</v>
      </c>
      <c r="N896" s="12"/>
      <c r="O896" s="12"/>
      <c r="P896" s="13">
        <f>IFERROR(__xludf.DUMMYFUNCTION("VALUE(SUBSTITUTE((INDEX(SPLIT(A896,"",""),1)),""."","","",1))"),44.557904)</f>
        <v>44.557904</v>
      </c>
      <c r="Q896" s="13">
        <f>IFERROR(__xludf.DUMMYFUNCTION("VALUE(SUBSTITUTE((INDEX(SPLIT(A896,"",""),2)),""."","","",1))"),33.491269)</f>
        <v>33.491269</v>
      </c>
      <c r="R896" s="14" t="b">
        <f t="shared" si="1"/>
        <v>0</v>
      </c>
      <c r="S896" s="14" t="str">
        <f t="shared" si="2"/>
        <v>44.557904,33.491269</v>
      </c>
      <c r="T896" s="12"/>
    </row>
    <row r="897">
      <c r="A897" s="20" t="s">
        <v>5837</v>
      </c>
      <c r="B897" s="16" t="s">
        <v>5838</v>
      </c>
      <c r="C897" s="16" t="s">
        <v>5839</v>
      </c>
      <c r="D897" s="16" t="s">
        <v>16</v>
      </c>
      <c r="E897" s="21" t="s">
        <v>5840</v>
      </c>
      <c r="F897" s="22" t="s">
        <v>4881</v>
      </c>
      <c r="G897" s="16">
        <v>23.61</v>
      </c>
      <c r="H897" s="16"/>
      <c r="I897" s="22"/>
      <c r="J897" s="22" t="s">
        <v>5841</v>
      </c>
      <c r="K897" s="22" t="s">
        <v>5842</v>
      </c>
      <c r="L897" s="23" t="s">
        <v>5843</v>
      </c>
      <c r="M897" s="23" t="s">
        <v>5844</v>
      </c>
      <c r="N897" s="12"/>
      <c r="O897" s="12"/>
      <c r="P897" s="13">
        <f>IFERROR(__xludf.DUMMYFUNCTION("VALUE(SUBSTITUTE((INDEX(SPLIT(A897,"",""),1)),""."","","",1))"),44.588128)</f>
        <v>44.588128</v>
      </c>
      <c r="Q897" s="13">
        <f>IFERROR(__xludf.DUMMYFUNCTION("VALUE(SUBSTITUTE((INDEX(SPLIT(A897,"",""),2)),""."","","",1))"),33.492994)</f>
        <v>33.492994</v>
      </c>
      <c r="R897" s="14" t="b">
        <f t="shared" si="1"/>
        <v>0</v>
      </c>
      <c r="S897" s="14" t="str">
        <f t="shared" si="2"/>
        <v>44.588128,33.492994</v>
      </c>
      <c r="T897" s="12"/>
    </row>
    <row r="898">
      <c r="A898" s="7" t="s">
        <v>5845</v>
      </c>
      <c r="B898" s="8" t="s">
        <v>5846</v>
      </c>
      <c r="C898" s="8" t="s">
        <v>5847</v>
      </c>
      <c r="D898" s="8" t="s">
        <v>16</v>
      </c>
      <c r="E898" s="9" t="s">
        <v>5848</v>
      </c>
      <c r="F898" s="10" t="s">
        <v>4881</v>
      </c>
      <c r="G898" s="8">
        <v>23.61</v>
      </c>
      <c r="H898" s="8"/>
      <c r="I898" s="10"/>
      <c r="J898" s="10" t="s">
        <v>5849</v>
      </c>
      <c r="K898" s="10" t="s">
        <v>5850</v>
      </c>
      <c r="L898" s="11" t="s">
        <v>5851</v>
      </c>
      <c r="M898" s="11" t="s">
        <v>5852</v>
      </c>
      <c r="N898" s="12"/>
      <c r="O898" s="12"/>
      <c r="P898" s="13">
        <f>IFERROR(__xludf.DUMMYFUNCTION("VALUE(SUBSTITUTE((INDEX(SPLIT(A898,"",""),1)),""."","","",1))"),44.556696)</f>
        <v>44.556696</v>
      </c>
      <c r="Q898" s="13">
        <f>IFERROR(__xludf.DUMMYFUNCTION("VALUE(SUBSTITUTE((INDEX(SPLIT(A898,"",""),2)),""."","","",1))"),33.502112)</f>
        <v>33.502112</v>
      </c>
      <c r="R898" s="14" t="b">
        <f t="shared" si="1"/>
        <v>0</v>
      </c>
      <c r="S898" s="14" t="str">
        <f t="shared" si="2"/>
        <v>44.556696,33.502112</v>
      </c>
      <c r="T898" s="12"/>
    </row>
    <row r="899">
      <c r="A899" s="20" t="s">
        <v>5853</v>
      </c>
      <c r="B899" s="16" t="s">
        <v>5854</v>
      </c>
      <c r="C899" s="16" t="s">
        <v>5855</v>
      </c>
      <c r="D899" s="16" t="s">
        <v>16</v>
      </c>
      <c r="E899" s="21" t="s">
        <v>5856</v>
      </c>
      <c r="F899" s="22" t="s">
        <v>4881</v>
      </c>
      <c r="G899" s="16">
        <v>23.61</v>
      </c>
      <c r="H899" s="16"/>
      <c r="I899" s="22"/>
      <c r="J899" s="22" t="s">
        <v>5857</v>
      </c>
      <c r="K899" s="22" t="s">
        <v>5858</v>
      </c>
      <c r="L899" s="23" t="s">
        <v>5859</v>
      </c>
      <c r="M899" s="23" t="s">
        <v>5860</v>
      </c>
      <c r="N899" s="12"/>
      <c r="O899" s="12"/>
      <c r="P899" s="13">
        <f>IFERROR(__xludf.DUMMYFUNCTION("VALUE(SUBSTITUTE((INDEX(SPLIT(A899,"",""),1)),""."","","",1))"),44.55766)</f>
        <v>44.55766</v>
      </c>
      <c r="Q899" s="13">
        <f>IFERROR(__xludf.DUMMYFUNCTION("VALUE(SUBSTITUTE((INDEX(SPLIT(A899,"",""),2)),""."","","",1))"),33.502866)</f>
        <v>33.502866</v>
      </c>
      <c r="R899" s="14" t="b">
        <f t="shared" si="1"/>
        <v>0</v>
      </c>
      <c r="S899" s="14" t="str">
        <f t="shared" si="2"/>
        <v>44.55766,33.502866</v>
      </c>
      <c r="T899" s="12"/>
    </row>
    <row r="900">
      <c r="A900" s="18" t="s">
        <v>5861</v>
      </c>
      <c r="B900" s="8" t="s">
        <v>5862</v>
      </c>
      <c r="C900" s="8" t="s">
        <v>5863</v>
      </c>
      <c r="D900" s="8" t="s">
        <v>16</v>
      </c>
      <c r="E900" s="19" t="s">
        <v>5864</v>
      </c>
      <c r="F900" s="8" t="s">
        <v>4881</v>
      </c>
      <c r="G900" s="8">
        <v>23.61</v>
      </c>
      <c r="H900" s="8"/>
      <c r="I900" s="8"/>
      <c r="J900" s="8" t="s">
        <v>5865</v>
      </c>
      <c r="K900" s="8" t="s">
        <v>5866</v>
      </c>
      <c r="L900" s="8"/>
      <c r="M900" s="8"/>
      <c r="N900" s="12"/>
      <c r="O900" s="12"/>
      <c r="P900" s="13">
        <f>IFERROR(__xludf.DUMMYFUNCTION("VALUE(SUBSTITUTE((INDEX(SPLIT(A900,"",""),1)),""."","","",1))"),44.591023)</f>
        <v>44.591023</v>
      </c>
      <c r="Q900" s="13">
        <f>IFERROR(__xludf.DUMMYFUNCTION("VALUE(SUBSTITUTE((INDEX(SPLIT(A900,"",""),2)),""."","","",1))"),33.503199)</f>
        <v>33.503199</v>
      </c>
      <c r="R900" s="14" t="b">
        <f t="shared" si="1"/>
        <v>0</v>
      </c>
      <c r="S900" s="14" t="str">
        <f t="shared" si="2"/>
        <v>44.591023,33.503199</v>
      </c>
      <c r="T900" s="12"/>
    </row>
    <row r="901">
      <c r="A901" s="20" t="s">
        <v>5867</v>
      </c>
      <c r="B901" s="16" t="s">
        <v>5868</v>
      </c>
      <c r="C901" s="16" t="s">
        <v>5869</v>
      </c>
      <c r="D901" s="16" t="s">
        <v>16</v>
      </c>
      <c r="E901" s="21" t="s">
        <v>5870</v>
      </c>
      <c r="F901" s="22" t="s">
        <v>4881</v>
      </c>
      <c r="G901" s="16">
        <v>23.61</v>
      </c>
      <c r="H901" s="16"/>
      <c r="I901" s="22"/>
      <c r="J901" s="22" t="s">
        <v>5871</v>
      </c>
      <c r="K901" s="22" t="s">
        <v>5872</v>
      </c>
      <c r="L901" s="23" t="s">
        <v>5873</v>
      </c>
      <c r="M901" s="23" t="s">
        <v>5874</v>
      </c>
      <c r="N901" s="12"/>
      <c r="O901" s="12"/>
      <c r="P901" s="13">
        <f>IFERROR(__xludf.DUMMYFUNCTION("VALUE(SUBSTITUTE((INDEX(SPLIT(A901,"",""),1)),""."","","",1))"),44.559188)</f>
        <v>44.559188</v>
      </c>
      <c r="Q901" s="13">
        <f>IFERROR(__xludf.DUMMYFUNCTION("VALUE(SUBSTITUTE((INDEX(SPLIT(A901,"",""),2)),""."","","",1))"),33.506666)</f>
        <v>33.506666</v>
      </c>
      <c r="R901" s="14" t="b">
        <f t="shared" si="1"/>
        <v>0</v>
      </c>
      <c r="S901" s="14" t="str">
        <f t="shared" si="2"/>
        <v>44.559188,33.506666</v>
      </c>
      <c r="T901" s="12"/>
    </row>
    <row r="902">
      <c r="A902" s="18" t="s">
        <v>5875</v>
      </c>
      <c r="B902" s="8" t="s">
        <v>5876</v>
      </c>
      <c r="C902" s="8" t="s">
        <v>5877</v>
      </c>
      <c r="D902" s="8" t="s">
        <v>16</v>
      </c>
      <c r="E902" s="19" t="s">
        <v>5878</v>
      </c>
      <c r="F902" s="8" t="s">
        <v>4881</v>
      </c>
      <c r="G902" s="8">
        <v>23.61</v>
      </c>
      <c r="H902" s="8"/>
      <c r="I902" s="8"/>
      <c r="J902" s="8" t="s">
        <v>5879</v>
      </c>
      <c r="K902" s="8" t="s">
        <v>5880</v>
      </c>
      <c r="L902" s="8"/>
      <c r="M902" s="24" t="s">
        <v>5881</v>
      </c>
      <c r="N902" s="12"/>
      <c r="O902" s="12"/>
      <c r="P902" s="13">
        <f>IFERROR(__xludf.DUMMYFUNCTION("VALUE(SUBSTITUTE((INDEX(SPLIT(A902,"",""),1)),""."","","",1))"),44.574164)</f>
        <v>44.574164</v>
      </c>
      <c r="Q902" s="13">
        <f>IFERROR(__xludf.DUMMYFUNCTION("VALUE(SUBSTITUTE((INDEX(SPLIT(A902,"",""),2)),""."","","",1))"),33.507286)</f>
        <v>33.507286</v>
      </c>
      <c r="R902" s="14" t="b">
        <f t="shared" si="1"/>
        <v>0</v>
      </c>
      <c r="S902" s="14" t="str">
        <f t="shared" si="2"/>
        <v>44.574164,33.507286</v>
      </c>
      <c r="T902" s="12"/>
    </row>
    <row r="903">
      <c r="A903" s="20" t="s">
        <v>5882</v>
      </c>
      <c r="B903" s="16" t="s">
        <v>5883</v>
      </c>
      <c r="C903" s="16" t="s">
        <v>5884</v>
      </c>
      <c r="D903" s="16" t="s">
        <v>16</v>
      </c>
      <c r="E903" s="21" t="s">
        <v>5885</v>
      </c>
      <c r="F903" s="22" t="s">
        <v>4881</v>
      </c>
      <c r="G903" s="16">
        <v>23.61</v>
      </c>
      <c r="H903" s="16"/>
      <c r="I903" s="22"/>
      <c r="J903" s="22" t="s">
        <v>5886</v>
      </c>
      <c r="K903" s="22" t="s">
        <v>5887</v>
      </c>
      <c r="L903" s="23" t="s">
        <v>5888</v>
      </c>
      <c r="M903" s="23" t="s">
        <v>5889</v>
      </c>
      <c r="N903" s="12"/>
      <c r="O903" s="12"/>
      <c r="P903" s="13">
        <f>IFERROR(__xludf.DUMMYFUNCTION("VALUE(SUBSTITUTE((INDEX(SPLIT(A903,"",""),1)),""."","","",1))"),44.603783)</f>
        <v>44.603783</v>
      </c>
      <c r="Q903" s="13">
        <f>IFERROR(__xludf.DUMMYFUNCTION("VALUE(SUBSTITUTE((INDEX(SPLIT(A903,"",""),2)),""."","","",1))"),33.50928)</f>
        <v>33.50928</v>
      </c>
      <c r="R903" s="14" t="b">
        <f t="shared" si="1"/>
        <v>0</v>
      </c>
      <c r="S903" s="14" t="str">
        <f t="shared" si="2"/>
        <v>44.603783,33.50928</v>
      </c>
      <c r="T903" s="12"/>
    </row>
    <row r="904">
      <c r="A904" s="7" t="s">
        <v>5890</v>
      </c>
      <c r="B904" s="8" t="s">
        <v>5891</v>
      </c>
      <c r="C904" s="8" t="s">
        <v>5892</v>
      </c>
      <c r="D904" s="8" t="s">
        <v>16</v>
      </c>
      <c r="E904" s="9" t="s">
        <v>5893</v>
      </c>
      <c r="F904" s="10" t="s">
        <v>4881</v>
      </c>
      <c r="G904" s="8">
        <v>23.61</v>
      </c>
      <c r="H904" s="8"/>
      <c r="I904" s="10"/>
      <c r="J904" s="10" t="s">
        <v>5894</v>
      </c>
      <c r="K904" s="10" t="s">
        <v>5895</v>
      </c>
      <c r="L904" s="11" t="s">
        <v>5896</v>
      </c>
      <c r="M904" s="11" t="s">
        <v>5897</v>
      </c>
      <c r="N904" s="12"/>
      <c r="O904" s="12"/>
      <c r="P904" s="13">
        <f>IFERROR(__xludf.DUMMYFUNCTION("VALUE(SUBSTITUTE((INDEX(SPLIT(A904,"",""),1)),""."","","",1))"),44.565033)</f>
        <v>44.565033</v>
      </c>
      <c r="Q904" s="13">
        <f>IFERROR(__xludf.DUMMYFUNCTION("VALUE(SUBSTITUTE((INDEX(SPLIT(A904,"",""),2)),""."","","",1))"),33.509927)</f>
        <v>33.509927</v>
      </c>
      <c r="R904" s="14" t="b">
        <f t="shared" si="1"/>
        <v>0</v>
      </c>
      <c r="S904" s="14" t="str">
        <f t="shared" si="2"/>
        <v>44.565033,33.509927</v>
      </c>
      <c r="T904" s="12"/>
    </row>
    <row r="905">
      <c r="A905" s="20" t="s">
        <v>5890</v>
      </c>
      <c r="B905" s="16" t="s">
        <v>5898</v>
      </c>
      <c r="C905" s="16" t="s">
        <v>5899</v>
      </c>
      <c r="D905" s="16" t="s">
        <v>16</v>
      </c>
      <c r="E905" s="21" t="s">
        <v>5900</v>
      </c>
      <c r="F905" s="22" t="s">
        <v>4881</v>
      </c>
      <c r="G905" s="16">
        <v>23.61</v>
      </c>
      <c r="H905" s="16"/>
      <c r="I905" s="22"/>
      <c r="J905" s="22" t="s">
        <v>5901</v>
      </c>
      <c r="K905" s="22" t="s">
        <v>5895</v>
      </c>
      <c r="L905" s="23" t="s">
        <v>5902</v>
      </c>
      <c r="M905" s="22"/>
      <c r="N905" s="12"/>
      <c r="O905" s="12"/>
      <c r="P905" s="13">
        <f>IFERROR(__xludf.DUMMYFUNCTION("VALUE(SUBSTITUTE((INDEX(SPLIT(A905,"",""),1)),""."","","",1))"),44.565033)</f>
        <v>44.565033</v>
      </c>
      <c r="Q905" s="13">
        <f>IFERROR(__xludf.DUMMYFUNCTION("VALUE(SUBSTITUTE((INDEX(SPLIT(A905,"",""),2)),""."","","",1))"),33.509927)</f>
        <v>33.509927</v>
      </c>
      <c r="R905" s="14" t="b">
        <f t="shared" si="1"/>
        <v>0</v>
      </c>
      <c r="S905" s="14" t="str">
        <f t="shared" si="2"/>
        <v>44.565033,33.509927</v>
      </c>
      <c r="T905" s="12"/>
    </row>
    <row r="906">
      <c r="A906" s="7" t="s">
        <v>5890</v>
      </c>
      <c r="B906" s="8" t="s">
        <v>763</v>
      </c>
      <c r="C906" s="8" t="s">
        <v>764</v>
      </c>
      <c r="D906" s="8" t="s">
        <v>16</v>
      </c>
      <c r="E906" s="9" t="s">
        <v>5903</v>
      </c>
      <c r="F906" s="10" t="s">
        <v>4881</v>
      </c>
      <c r="G906" s="8">
        <v>23.61</v>
      </c>
      <c r="H906" s="8"/>
      <c r="I906" s="10"/>
      <c r="J906" s="10" t="s">
        <v>5904</v>
      </c>
      <c r="K906" s="10" t="s">
        <v>5905</v>
      </c>
      <c r="L906" s="11" t="s">
        <v>5896</v>
      </c>
      <c r="M906" s="11" t="s">
        <v>5897</v>
      </c>
      <c r="N906" s="12"/>
      <c r="O906" s="12"/>
      <c r="P906" s="13">
        <f>IFERROR(__xludf.DUMMYFUNCTION("VALUE(SUBSTITUTE((INDEX(SPLIT(A906,"",""),1)),""."","","",1))"),44.565033)</f>
        <v>44.565033</v>
      </c>
      <c r="Q906" s="13">
        <f>IFERROR(__xludf.DUMMYFUNCTION("VALUE(SUBSTITUTE((INDEX(SPLIT(A906,"",""),2)),""."","","",1))"),33.509927)</f>
        <v>33.509927</v>
      </c>
      <c r="R906" s="14" t="b">
        <f t="shared" si="1"/>
        <v>0</v>
      </c>
      <c r="S906" s="14" t="str">
        <f t="shared" si="2"/>
        <v>44.565033,33.509927</v>
      </c>
      <c r="T906" s="12"/>
    </row>
    <row r="907">
      <c r="A907" s="20" t="s">
        <v>5906</v>
      </c>
      <c r="B907" s="16" t="s">
        <v>5907</v>
      </c>
      <c r="C907" s="16" t="s">
        <v>5908</v>
      </c>
      <c r="D907" s="16" t="s">
        <v>16</v>
      </c>
      <c r="E907" s="21" t="s">
        <v>5909</v>
      </c>
      <c r="F907" s="22" t="s">
        <v>4881</v>
      </c>
      <c r="G907" s="16">
        <v>23.61</v>
      </c>
      <c r="H907" s="16"/>
      <c r="I907" s="22"/>
      <c r="J907" s="22" t="s">
        <v>5910</v>
      </c>
      <c r="K907" s="22" t="s">
        <v>5911</v>
      </c>
      <c r="L907" s="23" t="s">
        <v>5912</v>
      </c>
      <c r="M907" s="23" t="s">
        <v>5913</v>
      </c>
      <c r="N907" s="12"/>
      <c r="O907" s="12"/>
      <c r="P907" s="13">
        <f>IFERROR(__xludf.DUMMYFUNCTION("VALUE(SUBSTITUTE((INDEX(SPLIT(A907,"",""),1)),""."","","",1))"),44.57593)</f>
        <v>44.57593</v>
      </c>
      <c r="Q907" s="13">
        <f>IFERROR(__xludf.DUMMYFUNCTION("VALUE(SUBSTITUTE((INDEX(SPLIT(A907,"",""),2)),""."","","",1))"),33.51122)</f>
        <v>33.51122</v>
      </c>
      <c r="R907" s="14" t="b">
        <f t="shared" si="1"/>
        <v>0</v>
      </c>
      <c r="S907" s="14" t="str">
        <f t="shared" si="2"/>
        <v>44.57593,33.51122</v>
      </c>
      <c r="T907" s="12"/>
    </row>
    <row r="908">
      <c r="A908" s="18" t="s">
        <v>5914</v>
      </c>
      <c r="B908" s="8" t="s">
        <v>5915</v>
      </c>
      <c r="C908" s="8" t="s">
        <v>5916</v>
      </c>
      <c r="D908" s="8" t="s">
        <v>16</v>
      </c>
      <c r="E908" s="19" t="s">
        <v>5917</v>
      </c>
      <c r="F908" s="8" t="s">
        <v>4881</v>
      </c>
      <c r="G908" s="8">
        <v>23.61</v>
      </c>
      <c r="H908" s="8"/>
      <c r="I908" s="8"/>
      <c r="J908" s="8" t="s">
        <v>5918</v>
      </c>
      <c r="K908" s="8" t="s">
        <v>5919</v>
      </c>
      <c r="L908" s="8"/>
      <c r="M908" s="8"/>
      <c r="N908" s="12"/>
      <c r="O908" s="12"/>
      <c r="P908" s="13">
        <f>IFERROR(__xludf.DUMMYFUNCTION("VALUE(SUBSTITUTE((INDEX(SPLIT(A908,"",""),1)),""."","","",1))"),44.572507)</f>
        <v>44.572507</v>
      </c>
      <c r="Q908" s="13">
        <f>IFERROR(__xludf.DUMMYFUNCTION("VALUE(SUBSTITUTE((INDEX(SPLIT(A908,"",""),2)),""."","","",1))"),33.511957)</f>
        <v>33.511957</v>
      </c>
      <c r="R908" s="14" t="b">
        <f t="shared" si="1"/>
        <v>0</v>
      </c>
      <c r="S908" s="14" t="str">
        <f t="shared" si="2"/>
        <v>44.572507,33.511957</v>
      </c>
      <c r="T908" s="12"/>
    </row>
    <row r="909">
      <c r="A909" s="20" t="s">
        <v>5920</v>
      </c>
      <c r="B909" s="16" t="s">
        <v>5921</v>
      </c>
      <c r="C909" s="16" t="s">
        <v>5922</v>
      </c>
      <c r="D909" s="16" t="s">
        <v>16</v>
      </c>
      <c r="E909" s="21" t="s">
        <v>5923</v>
      </c>
      <c r="F909" s="22" t="s">
        <v>4881</v>
      </c>
      <c r="G909" s="16">
        <v>23.61</v>
      </c>
      <c r="H909" s="16"/>
      <c r="I909" s="22"/>
      <c r="J909" s="22" t="s">
        <v>5924</v>
      </c>
      <c r="K909" s="22" t="s">
        <v>5925</v>
      </c>
      <c r="L909" s="23" t="s">
        <v>5926</v>
      </c>
      <c r="M909" s="23" t="s">
        <v>5927</v>
      </c>
      <c r="N909" s="12"/>
      <c r="O909" s="12"/>
      <c r="P909" s="13">
        <f>IFERROR(__xludf.DUMMYFUNCTION("VALUE(SUBSTITUTE((INDEX(SPLIT(A909,"",""),1)),""."","","",1))"),44.568963)</f>
        <v>44.568963</v>
      </c>
      <c r="Q909" s="13">
        <f>IFERROR(__xludf.DUMMYFUNCTION("VALUE(SUBSTITUTE((INDEX(SPLIT(A909,"",""),2)),""."","","",1))"),33.513143)</f>
        <v>33.513143</v>
      </c>
      <c r="R909" s="14" t="b">
        <f t="shared" si="1"/>
        <v>0</v>
      </c>
      <c r="S909" s="14" t="str">
        <f t="shared" si="2"/>
        <v>44.568963,33.513143</v>
      </c>
      <c r="T909" s="12"/>
    </row>
    <row r="910">
      <c r="A910" s="18" t="s">
        <v>5928</v>
      </c>
      <c r="B910" s="8" t="s">
        <v>5929</v>
      </c>
      <c r="C910" s="8" t="s">
        <v>5930</v>
      </c>
      <c r="D910" s="8" t="s">
        <v>16</v>
      </c>
      <c r="E910" s="19" t="s">
        <v>5931</v>
      </c>
      <c r="F910" s="8" t="s">
        <v>4881</v>
      </c>
      <c r="G910" s="8">
        <v>23.61</v>
      </c>
      <c r="H910" s="8"/>
      <c r="I910" s="8"/>
      <c r="J910" s="8" t="s">
        <v>5932</v>
      </c>
      <c r="K910" s="8" t="s">
        <v>5933</v>
      </c>
      <c r="L910" s="8"/>
      <c r="M910" s="8"/>
      <c r="N910" s="12"/>
      <c r="O910" s="12"/>
      <c r="P910" s="13">
        <f>IFERROR(__xludf.DUMMYFUNCTION("VALUE(SUBSTITUTE((INDEX(SPLIT(A910,"",""),1)),""."","","",1))"),44.563729)</f>
        <v>44.563729</v>
      </c>
      <c r="Q910" s="13">
        <f>IFERROR(__xludf.DUMMYFUNCTION("VALUE(SUBSTITUTE((INDEX(SPLIT(A910,"",""),2)),""."","","",1))"),33.51706)</f>
        <v>33.51706</v>
      </c>
      <c r="R910" s="14" t="b">
        <f t="shared" si="1"/>
        <v>0</v>
      </c>
      <c r="S910" s="14" t="str">
        <f t="shared" si="2"/>
        <v>44.563729,33.51706</v>
      </c>
      <c r="T910" s="12"/>
    </row>
    <row r="911">
      <c r="A911" s="20" t="s">
        <v>5934</v>
      </c>
      <c r="B911" s="16" t="s">
        <v>5935</v>
      </c>
      <c r="C911" s="16" t="s">
        <v>5936</v>
      </c>
      <c r="D911" s="16" t="s">
        <v>16</v>
      </c>
      <c r="E911" s="21" t="s">
        <v>5937</v>
      </c>
      <c r="F911" s="22" t="s">
        <v>4881</v>
      </c>
      <c r="G911" s="16">
        <v>23.61</v>
      </c>
      <c r="H911" s="16"/>
      <c r="I911" s="22"/>
      <c r="J911" s="22" t="s">
        <v>5938</v>
      </c>
      <c r="K911" s="22" t="s">
        <v>5939</v>
      </c>
      <c r="L911" s="23" t="s">
        <v>5940</v>
      </c>
      <c r="M911" s="22"/>
      <c r="N911" s="12"/>
      <c r="O911" s="12"/>
      <c r="P911" s="13">
        <f>IFERROR(__xludf.DUMMYFUNCTION("VALUE(SUBSTITUTE((INDEX(SPLIT(A911,"",""),1)),""."","","",1))"),44.573567)</f>
        <v>44.573567</v>
      </c>
      <c r="Q911" s="13">
        <f>IFERROR(__xludf.DUMMYFUNCTION("VALUE(SUBSTITUTE((INDEX(SPLIT(A911,"",""),2)),""."","","",1))"),33.519503)</f>
        <v>33.519503</v>
      </c>
      <c r="R911" s="14" t="b">
        <f t="shared" si="1"/>
        <v>0</v>
      </c>
      <c r="S911" s="14" t="str">
        <f t="shared" si="2"/>
        <v>44.573567,33.519503</v>
      </c>
      <c r="T911" s="12"/>
    </row>
    <row r="912">
      <c r="A912" s="7" t="s">
        <v>5941</v>
      </c>
      <c r="B912" s="8" t="s">
        <v>5942</v>
      </c>
      <c r="C912" s="8" t="s">
        <v>5943</v>
      </c>
      <c r="D912" s="8" t="s">
        <v>16</v>
      </c>
      <c r="E912" s="9" t="s">
        <v>5944</v>
      </c>
      <c r="F912" s="10" t="s">
        <v>4881</v>
      </c>
      <c r="G912" s="8">
        <v>23.61</v>
      </c>
      <c r="H912" s="8"/>
      <c r="I912" s="10"/>
      <c r="J912" s="10" t="s">
        <v>5945</v>
      </c>
      <c r="K912" s="10" t="s">
        <v>5946</v>
      </c>
      <c r="L912" s="11" t="s">
        <v>5947</v>
      </c>
      <c r="M912" s="10"/>
      <c r="N912" s="12"/>
      <c r="O912" s="12"/>
      <c r="P912" s="13">
        <f>IFERROR(__xludf.DUMMYFUNCTION("VALUE(SUBSTITUTE((INDEX(SPLIT(A912,"",""),1)),""."","","",1))"),44.606241)</f>
        <v>44.606241</v>
      </c>
      <c r="Q912" s="13">
        <f>IFERROR(__xludf.DUMMYFUNCTION("VALUE(SUBSTITUTE((INDEX(SPLIT(A912,"",""),2)),""."","","",1))"),33.519907)</f>
        <v>33.519907</v>
      </c>
      <c r="R912" s="14" t="b">
        <f t="shared" si="1"/>
        <v>0</v>
      </c>
      <c r="S912" s="14" t="str">
        <f t="shared" si="2"/>
        <v>44.606241,33.519907</v>
      </c>
      <c r="T912" s="12"/>
    </row>
    <row r="913">
      <c r="A913" s="20" t="s">
        <v>5948</v>
      </c>
      <c r="B913" s="16" t="s">
        <v>5949</v>
      </c>
      <c r="C913" s="16" t="s">
        <v>5950</v>
      </c>
      <c r="D913" s="16" t="s">
        <v>16</v>
      </c>
      <c r="E913" s="21" t="s">
        <v>5951</v>
      </c>
      <c r="F913" s="22" t="s">
        <v>4881</v>
      </c>
      <c r="G913" s="16">
        <v>23.61</v>
      </c>
      <c r="H913" s="16"/>
      <c r="I913" s="22"/>
      <c r="J913" s="22" t="s">
        <v>5952</v>
      </c>
      <c r="K913" s="22" t="s">
        <v>5953</v>
      </c>
      <c r="L913" s="23" t="s">
        <v>5954</v>
      </c>
      <c r="M913" s="22"/>
      <c r="N913" s="12"/>
      <c r="O913" s="12"/>
      <c r="P913" s="13">
        <f>IFERROR(__xludf.DUMMYFUNCTION("VALUE(SUBSTITUTE((INDEX(SPLIT(A913,"",""),1)),""."","","",1))"),44.562515)</f>
        <v>44.562515</v>
      </c>
      <c r="Q913" s="13">
        <f>IFERROR(__xludf.DUMMYFUNCTION("VALUE(SUBSTITUTE((INDEX(SPLIT(A913,"",""),2)),""."","","",1))"),33.521228)</f>
        <v>33.521228</v>
      </c>
      <c r="R913" s="14" t="b">
        <f t="shared" si="1"/>
        <v>0</v>
      </c>
      <c r="S913" s="14" t="str">
        <f t="shared" si="2"/>
        <v>44.562515,33.521228</v>
      </c>
      <c r="T913" s="12"/>
    </row>
    <row r="914">
      <c r="A914" s="7" t="s">
        <v>5955</v>
      </c>
      <c r="B914" s="8" t="s">
        <v>5956</v>
      </c>
      <c r="C914" s="8" t="s">
        <v>5956</v>
      </c>
      <c r="D914" s="8" t="s">
        <v>16</v>
      </c>
      <c r="E914" s="9" t="s">
        <v>5957</v>
      </c>
      <c r="F914" s="10" t="s">
        <v>4881</v>
      </c>
      <c r="G914" s="8">
        <v>23.61</v>
      </c>
      <c r="H914" s="8"/>
      <c r="I914" s="10"/>
      <c r="J914" s="10" t="s">
        <v>5958</v>
      </c>
      <c r="K914" s="10" t="s">
        <v>5959</v>
      </c>
      <c r="L914" s="11" t="s">
        <v>5960</v>
      </c>
      <c r="M914" s="11" t="s">
        <v>5961</v>
      </c>
      <c r="N914" s="12"/>
      <c r="O914" s="12"/>
      <c r="P914" s="13">
        <f>IFERROR(__xludf.DUMMYFUNCTION("VALUE(SUBSTITUTE((INDEX(SPLIT(A914,"",""),1)),""."","","",1))"),45.137628)</f>
        <v>45.137628</v>
      </c>
      <c r="Q914" s="13">
        <f>IFERROR(__xludf.DUMMYFUNCTION("VALUE(SUBSTITUTE((INDEX(SPLIT(A914,"",""),2)),""."","","",1))"),33.521632)</f>
        <v>33.521632</v>
      </c>
      <c r="R914" s="14" t="b">
        <f t="shared" si="1"/>
        <v>0</v>
      </c>
      <c r="S914" s="14" t="str">
        <f t="shared" si="2"/>
        <v>45.137628,33.521632</v>
      </c>
      <c r="T914" s="12"/>
    </row>
    <row r="915">
      <c r="A915" s="15" t="s">
        <v>5962</v>
      </c>
      <c r="B915" s="16" t="s">
        <v>5963</v>
      </c>
      <c r="C915" s="16" t="s">
        <v>5964</v>
      </c>
      <c r="D915" s="16" t="s">
        <v>16</v>
      </c>
      <c r="E915" s="17" t="s">
        <v>5965</v>
      </c>
      <c r="F915" s="16" t="s">
        <v>4881</v>
      </c>
      <c r="G915" s="16">
        <v>23.61</v>
      </c>
      <c r="H915" s="16"/>
      <c r="I915" s="16"/>
      <c r="J915" s="16" t="s">
        <v>5966</v>
      </c>
      <c r="K915" s="16" t="s">
        <v>5967</v>
      </c>
      <c r="L915" s="16"/>
      <c r="M915" s="25" t="s">
        <v>5968</v>
      </c>
      <c r="N915" s="12"/>
      <c r="O915" s="12"/>
      <c r="P915" s="13">
        <f>IFERROR(__xludf.DUMMYFUNCTION("VALUE(SUBSTITUTE((INDEX(SPLIT(A915,"",""),1)),""."","","",1))"),44.598083)</f>
        <v>44.598083</v>
      </c>
      <c r="Q915" s="13">
        <f>IFERROR(__xludf.DUMMYFUNCTION("VALUE(SUBSTITUTE((INDEX(SPLIT(A915,"",""),2)),""."","","",1))"),33.522764)</f>
        <v>33.522764</v>
      </c>
      <c r="R915" s="14" t="b">
        <f t="shared" si="1"/>
        <v>0</v>
      </c>
      <c r="S915" s="14" t="str">
        <f t="shared" si="2"/>
        <v>44.598083,33.522764</v>
      </c>
      <c r="T915" s="12"/>
    </row>
    <row r="916">
      <c r="A916" s="7" t="s">
        <v>5969</v>
      </c>
      <c r="B916" s="8" t="s">
        <v>5970</v>
      </c>
      <c r="C916" s="8" t="s">
        <v>5971</v>
      </c>
      <c r="D916" s="8" t="s">
        <v>16</v>
      </c>
      <c r="E916" s="9" t="s">
        <v>5972</v>
      </c>
      <c r="F916" s="10" t="s">
        <v>4881</v>
      </c>
      <c r="G916" s="8">
        <v>23.61</v>
      </c>
      <c r="H916" s="8"/>
      <c r="I916" s="10"/>
      <c r="J916" s="10" t="s">
        <v>5973</v>
      </c>
      <c r="K916" s="10" t="s">
        <v>5974</v>
      </c>
      <c r="L916" s="11" t="s">
        <v>5975</v>
      </c>
      <c r="M916" s="11" t="s">
        <v>5976</v>
      </c>
      <c r="N916" s="12"/>
      <c r="O916" s="12"/>
      <c r="P916" s="13">
        <f>IFERROR(__xludf.DUMMYFUNCTION("VALUE(SUBSTITUTE((INDEX(SPLIT(A916,"",""),1)),""."","","",1))"),44.634887)</f>
        <v>44.634887</v>
      </c>
      <c r="Q916" s="13">
        <f>IFERROR(__xludf.DUMMYFUNCTION("VALUE(SUBSTITUTE((INDEX(SPLIT(A916,"",""),2)),""."","","",1))"),33.531064)</f>
        <v>33.531064</v>
      </c>
      <c r="R916" s="14" t="b">
        <f t="shared" si="1"/>
        <v>0</v>
      </c>
      <c r="S916" s="14" t="str">
        <f t="shared" si="2"/>
        <v>44.634887,33.531064</v>
      </c>
      <c r="T916" s="12"/>
    </row>
    <row r="917">
      <c r="A917" s="15" t="s">
        <v>5977</v>
      </c>
      <c r="B917" s="16" t="s">
        <v>5978</v>
      </c>
      <c r="C917" s="16" t="s">
        <v>5979</v>
      </c>
      <c r="D917" s="16" t="s">
        <v>16</v>
      </c>
      <c r="E917" s="17" t="s">
        <v>5980</v>
      </c>
      <c r="F917" s="16" t="s">
        <v>4881</v>
      </c>
      <c r="G917" s="16">
        <v>23.61</v>
      </c>
      <c r="H917" s="16"/>
      <c r="I917" s="16"/>
      <c r="J917" s="16" t="s">
        <v>5981</v>
      </c>
      <c r="K917" s="16" t="s">
        <v>5982</v>
      </c>
      <c r="L917" s="16"/>
      <c r="M917" s="25" t="s">
        <v>5983</v>
      </c>
      <c r="N917" s="12"/>
      <c r="O917" s="12"/>
      <c r="P917" s="13">
        <f>IFERROR(__xludf.DUMMYFUNCTION("VALUE(SUBSTITUTE((INDEX(SPLIT(A917,"",""),1)),""."","","",1))"),44.544549)</f>
        <v>44.544549</v>
      </c>
      <c r="Q917" s="13">
        <f>IFERROR(__xludf.DUMMYFUNCTION("VALUE(SUBSTITUTE((INDEX(SPLIT(A917,"",""),2)),""."","","",1))"),33.535673)</f>
        <v>33.535673</v>
      </c>
      <c r="R917" s="14" t="b">
        <f t="shared" si="1"/>
        <v>0</v>
      </c>
      <c r="S917" s="14" t="str">
        <f t="shared" si="2"/>
        <v>44.544549,33.535673</v>
      </c>
      <c r="T917" s="12"/>
    </row>
    <row r="918">
      <c r="A918" s="18" t="s">
        <v>5984</v>
      </c>
      <c r="B918" s="8" t="s">
        <v>5985</v>
      </c>
      <c r="C918" s="8" t="s">
        <v>5986</v>
      </c>
      <c r="D918" s="8" t="s">
        <v>16</v>
      </c>
      <c r="E918" s="19" t="s">
        <v>5987</v>
      </c>
      <c r="F918" s="8" t="s">
        <v>4881</v>
      </c>
      <c r="G918" s="8">
        <v>23.61</v>
      </c>
      <c r="H918" s="8"/>
      <c r="I918" s="8"/>
      <c r="J918" s="8" t="s">
        <v>5988</v>
      </c>
      <c r="K918" s="8" t="s">
        <v>5989</v>
      </c>
      <c r="L918" s="8"/>
      <c r="M918" s="8"/>
      <c r="N918" s="12"/>
      <c r="O918" s="12"/>
      <c r="P918" s="13">
        <f>IFERROR(__xludf.DUMMYFUNCTION("VALUE(SUBSTITUTE((INDEX(SPLIT(A918,"",""),1)),""."","","",1))"),44.595092)</f>
        <v>44.595092</v>
      </c>
      <c r="Q918" s="13">
        <f>IFERROR(__xludf.DUMMYFUNCTION("VALUE(SUBSTITUTE((INDEX(SPLIT(A918,"",""),2)),""."","","",1))"),33.550486)</f>
        <v>33.550486</v>
      </c>
      <c r="R918" s="14" t="b">
        <f t="shared" si="1"/>
        <v>0</v>
      </c>
      <c r="S918" s="14" t="str">
        <f t="shared" si="2"/>
        <v>44.595092,33.550486</v>
      </c>
      <c r="T918" s="12"/>
    </row>
    <row r="919">
      <c r="A919" s="20" t="s">
        <v>5990</v>
      </c>
      <c r="B919" s="16" t="s">
        <v>5991</v>
      </c>
      <c r="C919" s="16" t="s">
        <v>5992</v>
      </c>
      <c r="D919" s="16" t="s">
        <v>16</v>
      </c>
      <c r="E919" s="21" t="s">
        <v>5993</v>
      </c>
      <c r="F919" s="22" t="s">
        <v>4881</v>
      </c>
      <c r="G919" s="16">
        <v>23.61</v>
      </c>
      <c r="H919" s="16"/>
      <c r="I919" s="22"/>
      <c r="J919" s="22" t="s">
        <v>5994</v>
      </c>
      <c r="K919" s="22" t="s">
        <v>5995</v>
      </c>
      <c r="L919" s="23" t="s">
        <v>5996</v>
      </c>
      <c r="M919" s="22"/>
      <c r="N919" s="12"/>
      <c r="O919" s="12"/>
      <c r="P919" s="13">
        <f>IFERROR(__xludf.DUMMYFUNCTION("VALUE(SUBSTITUTE((INDEX(SPLIT(A919,"",""),1)),""."","","",1))"),44.528371)</f>
        <v>44.528371</v>
      </c>
      <c r="Q919" s="13">
        <f>IFERROR(__xludf.DUMMYFUNCTION("VALUE(SUBSTITUTE((INDEX(SPLIT(A919,"",""),2)),""."","","",1))"),33.555912)</f>
        <v>33.555912</v>
      </c>
      <c r="R919" s="14" t="b">
        <f t="shared" si="1"/>
        <v>0</v>
      </c>
      <c r="S919" s="14" t="str">
        <f t="shared" si="2"/>
        <v>44.528371,33.555912</v>
      </c>
      <c r="T919" s="12"/>
    </row>
    <row r="920">
      <c r="A920" s="7" t="s">
        <v>5997</v>
      </c>
      <c r="B920" s="8" t="s">
        <v>5998</v>
      </c>
      <c r="C920" s="8" t="s">
        <v>5999</v>
      </c>
      <c r="D920" s="8" t="s">
        <v>16</v>
      </c>
      <c r="E920" s="9" t="s">
        <v>6000</v>
      </c>
      <c r="F920" s="10" t="s">
        <v>4881</v>
      </c>
      <c r="G920" s="8">
        <v>23.61</v>
      </c>
      <c r="H920" s="8"/>
      <c r="I920" s="10"/>
      <c r="J920" s="10" t="s">
        <v>6001</v>
      </c>
      <c r="K920" s="10" t="s">
        <v>6002</v>
      </c>
      <c r="L920" s="11" t="s">
        <v>6003</v>
      </c>
      <c r="M920" s="11" t="s">
        <v>6004</v>
      </c>
      <c r="N920" s="12"/>
      <c r="O920" s="12"/>
      <c r="P920" s="13">
        <f>IFERROR(__xludf.DUMMYFUNCTION("VALUE(SUBSTITUTE((INDEX(SPLIT(A920,"",""),1)),""."","","",1))"),44.61192)</f>
        <v>44.61192</v>
      </c>
      <c r="Q920" s="13">
        <f>IFERROR(__xludf.DUMMYFUNCTION("VALUE(SUBSTITUTE((INDEX(SPLIT(A920,"",""),2)),""."","","",1))"),33.564329)</f>
        <v>33.564329</v>
      </c>
      <c r="R920" s="14" t="b">
        <f t="shared" si="1"/>
        <v>0</v>
      </c>
      <c r="S920" s="14" t="str">
        <f t="shared" si="2"/>
        <v>44.61192,33.564329</v>
      </c>
      <c r="T920" s="12"/>
    </row>
    <row r="921">
      <c r="A921" s="20" t="s">
        <v>6005</v>
      </c>
      <c r="B921" s="16" t="s">
        <v>6006</v>
      </c>
      <c r="C921" s="16" t="s">
        <v>6007</v>
      </c>
      <c r="D921" s="16" t="s">
        <v>16</v>
      </c>
      <c r="E921" s="21" t="s">
        <v>6008</v>
      </c>
      <c r="F921" s="22" t="s">
        <v>4881</v>
      </c>
      <c r="G921" s="16">
        <v>23.61</v>
      </c>
      <c r="H921" s="16"/>
      <c r="I921" s="22"/>
      <c r="J921" s="22" t="s">
        <v>6009</v>
      </c>
      <c r="K921" s="22" t="s">
        <v>6010</v>
      </c>
      <c r="L921" s="23" t="s">
        <v>6011</v>
      </c>
      <c r="M921" s="22"/>
      <c r="N921" s="12"/>
      <c r="O921" s="12"/>
      <c r="P921" s="13">
        <f>IFERROR(__xludf.DUMMYFUNCTION("VALUE(SUBSTITUTE((INDEX(SPLIT(A921,"",""),1)),""."","","",1))"),44.514418)</f>
        <v>44.514418</v>
      </c>
      <c r="Q921" s="13">
        <f>IFERROR(__xludf.DUMMYFUNCTION("VALUE(SUBSTITUTE((INDEX(SPLIT(A921,"",""),2)),""."","","",1))"),33.58208)</f>
        <v>33.58208</v>
      </c>
      <c r="R921" s="14" t="b">
        <f t="shared" si="1"/>
        <v>0</v>
      </c>
      <c r="S921" s="14" t="str">
        <f t="shared" si="2"/>
        <v>44.514418,33.58208</v>
      </c>
      <c r="T921" s="12"/>
    </row>
    <row r="922">
      <c r="A922" s="7" t="s">
        <v>6012</v>
      </c>
      <c r="B922" s="8" t="s">
        <v>6013</v>
      </c>
      <c r="C922" s="8" t="s">
        <v>6014</v>
      </c>
      <c r="D922" s="8" t="s">
        <v>16</v>
      </c>
      <c r="E922" s="9" t="s">
        <v>6015</v>
      </c>
      <c r="F922" s="10" t="s">
        <v>4881</v>
      </c>
      <c r="G922" s="8">
        <v>23.61</v>
      </c>
      <c r="H922" s="8"/>
      <c r="I922" s="31" t="s">
        <v>6016</v>
      </c>
      <c r="J922" s="10" t="s">
        <v>6017</v>
      </c>
      <c r="K922" s="10" t="s">
        <v>6018</v>
      </c>
      <c r="L922" s="11" t="s">
        <v>6019</v>
      </c>
      <c r="M922" s="11" t="s">
        <v>6020</v>
      </c>
      <c r="N922" s="12"/>
      <c r="O922" s="12"/>
      <c r="P922" s="13">
        <f>IFERROR(__xludf.DUMMYFUNCTION("VALUE(SUBSTITUTE((INDEX(SPLIT(A922,"",""),1)),""."","","",1))"),45.240959)</f>
        <v>45.240959</v>
      </c>
      <c r="Q922" s="13">
        <f>IFERROR(__xludf.DUMMYFUNCTION("VALUE(SUBSTITUTE((INDEX(SPLIT(A922,"",""),2)),""."","","",1))"),33.588925)</f>
        <v>33.588925</v>
      </c>
      <c r="R922" s="14" t="b">
        <f t="shared" si="1"/>
        <v>0</v>
      </c>
      <c r="S922" s="14" t="str">
        <f t="shared" si="2"/>
        <v>45.240959,33.588925</v>
      </c>
      <c r="T922" s="12"/>
    </row>
    <row r="923">
      <c r="A923" s="15" t="s">
        <v>6021</v>
      </c>
      <c r="B923" s="16" t="s">
        <v>6022</v>
      </c>
      <c r="C923" s="16" t="s">
        <v>6023</v>
      </c>
      <c r="D923" s="16" t="s">
        <v>16</v>
      </c>
      <c r="E923" s="17" t="s">
        <v>6024</v>
      </c>
      <c r="F923" s="16" t="s">
        <v>4881</v>
      </c>
      <c r="G923" s="16">
        <v>23.61</v>
      </c>
      <c r="H923" s="16"/>
      <c r="I923" s="16"/>
      <c r="J923" s="16" t="s">
        <v>6025</v>
      </c>
      <c r="K923" s="16" t="s">
        <v>6026</v>
      </c>
      <c r="L923" s="16"/>
      <c r="M923" s="16"/>
      <c r="N923" s="12"/>
      <c r="O923" s="12"/>
      <c r="P923" s="13">
        <f>IFERROR(__xludf.DUMMYFUNCTION("VALUE(SUBSTITUTE((INDEX(SPLIT(A923,"",""),1)),""."","","",1))"),44.614441)</f>
        <v>44.614441</v>
      </c>
      <c r="Q923" s="13">
        <f>IFERROR(__xludf.DUMMYFUNCTION("VALUE(SUBSTITUTE((INDEX(SPLIT(A923,"",""),2)),""."","","",1))"),33.599094)</f>
        <v>33.599094</v>
      </c>
      <c r="R923" s="14" t="b">
        <f t="shared" si="1"/>
        <v>0</v>
      </c>
      <c r="S923" s="14" t="str">
        <f t="shared" si="2"/>
        <v>44.614441,33.599094</v>
      </c>
      <c r="T923" s="12"/>
    </row>
    <row r="924">
      <c r="A924" s="7" t="s">
        <v>6027</v>
      </c>
      <c r="B924" s="8" t="s">
        <v>6028</v>
      </c>
      <c r="C924" s="8" t="s">
        <v>6029</v>
      </c>
      <c r="D924" s="8" t="s">
        <v>16</v>
      </c>
      <c r="E924" s="9" t="s">
        <v>6030</v>
      </c>
      <c r="F924" s="10" t="s">
        <v>4881</v>
      </c>
      <c r="G924" s="8">
        <v>23.61</v>
      </c>
      <c r="H924" s="8"/>
      <c r="I924" s="10"/>
      <c r="J924" s="10" t="s">
        <v>6031</v>
      </c>
      <c r="K924" s="10" t="s">
        <v>6032</v>
      </c>
      <c r="L924" s="11" t="s">
        <v>6033</v>
      </c>
      <c r="M924" s="11" t="s">
        <v>6034</v>
      </c>
      <c r="N924" s="12"/>
      <c r="O924" s="12"/>
      <c r="P924" s="13">
        <f>IFERROR(__xludf.DUMMYFUNCTION("VALUE(SUBSTITUTE((INDEX(SPLIT(A924,"",""),1)),""."","","",1))"),44.500706)</f>
        <v>44.500706</v>
      </c>
      <c r="Q924" s="13">
        <f>IFERROR(__xludf.DUMMYFUNCTION("VALUE(SUBSTITUTE((INDEX(SPLIT(A924,"",""),2)),""."","","",1))"),33.602606)</f>
        <v>33.602606</v>
      </c>
      <c r="R924" s="14" t="b">
        <f t="shared" si="1"/>
        <v>0</v>
      </c>
      <c r="S924" s="14" t="str">
        <f t="shared" si="2"/>
        <v>44.500706,33.602606</v>
      </c>
      <c r="T924" s="12"/>
    </row>
    <row r="925">
      <c r="A925" s="20" t="s">
        <v>6035</v>
      </c>
      <c r="B925" s="16" t="s">
        <v>6036</v>
      </c>
      <c r="C925" s="16" t="s">
        <v>6037</v>
      </c>
      <c r="D925" s="16" t="s">
        <v>16</v>
      </c>
      <c r="E925" s="21" t="s">
        <v>6038</v>
      </c>
      <c r="F925" s="22" t="s">
        <v>4881</v>
      </c>
      <c r="G925" s="16">
        <v>23.61</v>
      </c>
      <c r="H925" s="16"/>
      <c r="I925" s="22"/>
      <c r="J925" s="22" t="s">
        <v>6039</v>
      </c>
      <c r="K925" s="22" t="s">
        <v>6040</v>
      </c>
      <c r="L925" s="23" t="s">
        <v>6041</v>
      </c>
      <c r="M925" s="23" t="s">
        <v>6042</v>
      </c>
      <c r="N925" s="12"/>
      <c r="O925" s="12"/>
      <c r="P925" s="13">
        <f>IFERROR(__xludf.DUMMYFUNCTION("VALUE(SUBSTITUTE((INDEX(SPLIT(A925,"",""),1)),""."","","",1))"),44.604739)</f>
        <v>44.604739</v>
      </c>
      <c r="Q925" s="13">
        <f>IFERROR(__xludf.DUMMYFUNCTION("VALUE(SUBSTITUTE((INDEX(SPLIT(A925,"",""),2)),""."","","",1))"),33.605876)</f>
        <v>33.605876</v>
      </c>
      <c r="R925" s="14" t="b">
        <f t="shared" si="1"/>
        <v>0</v>
      </c>
      <c r="S925" s="14" t="str">
        <f t="shared" si="2"/>
        <v>44.604739,33.605876</v>
      </c>
      <c r="T925" s="12"/>
    </row>
    <row r="926">
      <c r="A926" s="7" t="s">
        <v>6043</v>
      </c>
      <c r="B926" s="8" t="s">
        <v>6044</v>
      </c>
      <c r="C926" s="8" t="s">
        <v>6045</v>
      </c>
      <c r="D926" s="8" t="s">
        <v>16</v>
      </c>
      <c r="E926" s="9" t="s">
        <v>6046</v>
      </c>
      <c r="F926" s="10" t="s">
        <v>4881</v>
      </c>
      <c r="G926" s="8">
        <v>23.61</v>
      </c>
      <c r="H926" s="8"/>
      <c r="I926" s="10"/>
      <c r="J926" s="10" t="s">
        <v>6047</v>
      </c>
      <c r="K926" s="10" t="s">
        <v>6048</v>
      </c>
      <c r="L926" s="11" t="s">
        <v>6049</v>
      </c>
      <c r="M926" s="11" t="s">
        <v>6050</v>
      </c>
      <c r="N926" s="12"/>
      <c r="O926" s="12"/>
      <c r="P926" s="13">
        <f>IFERROR(__xludf.DUMMYFUNCTION("VALUE(SUBSTITUTE((INDEX(SPLIT(A926,"",""),1)),""."","","",1))"),45.285633)</f>
        <v>45.285633</v>
      </c>
      <c r="Q926" s="13">
        <f>IFERROR(__xludf.DUMMYFUNCTION("VALUE(SUBSTITUTE((INDEX(SPLIT(A926,"",""),2)),""."","","",1))"),33.605984)</f>
        <v>33.605984</v>
      </c>
      <c r="R926" s="14" t="b">
        <f t="shared" si="1"/>
        <v>0</v>
      </c>
      <c r="S926" s="14" t="str">
        <f t="shared" si="2"/>
        <v>45.285633,33.605984</v>
      </c>
      <c r="T926" s="12"/>
    </row>
    <row r="927">
      <c r="A927" s="20" t="s">
        <v>6051</v>
      </c>
      <c r="B927" s="16" t="s">
        <v>6052</v>
      </c>
      <c r="C927" s="16" t="s">
        <v>6053</v>
      </c>
      <c r="D927" s="16" t="s">
        <v>16</v>
      </c>
      <c r="E927" s="21" t="s">
        <v>6054</v>
      </c>
      <c r="F927" s="22" t="s">
        <v>4881</v>
      </c>
      <c r="G927" s="16">
        <v>23.61</v>
      </c>
      <c r="H927" s="16"/>
      <c r="I927" s="22"/>
      <c r="J927" s="22" t="s">
        <v>6055</v>
      </c>
      <c r="K927" s="22" t="s">
        <v>6056</v>
      </c>
      <c r="L927" s="23" t="s">
        <v>6057</v>
      </c>
      <c r="M927" s="23" t="s">
        <v>6058</v>
      </c>
      <c r="N927" s="12"/>
      <c r="O927" s="12"/>
      <c r="P927" s="13">
        <f>IFERROR(__xludf.DUMMYFUNCTION("VALUE(SUBSTITUTE((INDEX(SPLIT(A927,"",""),1)),""."","","",1))"),44.568314)</f>
        <v>44.568314</v>
      </c>
      <c r="Q927" s="13">
        <f>IFERROR(__xludf.DUMMYFUNCTION("VALUE(SUBSTITUTE((INDEX(SPLIT(A927,"",""),2)),""."","","",1))"),33.606604)</f>
        <v>33.606604</v>
      </c>
      <c r="R927" s="14" t="b">
        <f t="shared" si="1"/>
        <v>0</v>
      </c>
      <c r="S927" s="14" t="str">
        <f t="shared" si="2"/>
        <v>44.568314,33.606604</v>
      </c>
      <c r="T927" s="12"/>
    </row>
    <row r="928">
      <c r="A928" s="7" t="s">
        <v>6059</v>
      </c>
      <c r="B928" s="8" t="s">
        <v>6060</v>
      </c>
      <c r="C928" s="8" t="s">
        <v>6061</v>
      </c>
      <c r="D928" s="8" t="s">
        <v>16</v>
      </c>
      <c r="E928" s="9" t="s">
        <v>6062</v>
      </c>
      <c r="F928" s="10" t="s">
        <v>4881</v>
      </c>
      <c r="G928" s="8">
        <v>23.61</v>
      </c>
      <c r="H928" s="8"/>
      <c r="I928" s="10"/>
      <c r="J928" s="10" t="s">
        <v>6063</v>
      </c>
      <c r="K928" s="10" t="s">
        <v>6064</v>
      </c>
      <c r="L928" s="11" t="s">
        <v>6065</v>
      </c>
      <c r="M928" s="11" t="s">
        <v>6066</v>
      </c>
      <c r="N928" s="12"/>
      <c r="O928" s="12"/>
      <c r="P928" s="13">
        <f>IFERROR(__xludf.DUMMYFUNCTION("VALUE(SUBSTITUTE((INDEX(SPLIT(A928,"",""),1)),""."","","",1))"),44.566773)</f>
        <v>44.566773</v>
      </c>
      <c r="Q928" s="13">
        <f>IFERROR(__xludf.DUMMYFUNCTION("VALUE(SUBSTITUTE((INDEX(SPLIT(A928,"",""),2)),""."","","",1))"),33.610107)</f>
        <v>33.610107</v>
      </c>
      <c r="R928" s="14" t="b">
        <f t="shared" si="1"/>
        <v>0</v>
      </c>
      <c r="S928" s="14" t="str">
        <f t="shared" si="2"/>
        <v>44.566773,33.610107</v>
      </c>
      <c r="T928" s="12"/>
    </row>
    <row r="929">
      <c r="A929" s="20" t="s">
        <v>6067</v>
      </c>
      <c r="B929" s="16" t="s">
        <v>6068</v>
      </c>
      <c r="C929" s="16" t="s">
        <v>6069</v>
      </c>
      <c r="D929" s="16" t="s">
        <v>16</v>
      </c>
      <c r="E929" s="21" t="s">
        <v>6070</v>
      </c>
      <c r="F929" s="22" t="s">
        <v>4881</v>
      </c>
      <c r="G929" s="16">
        <v>23.61</v>
      </c>
      <c r="H929" s="16"/>
      <c r="I929" s="22"/>
      <c r="J929" s="22" t="s">
        <v>6071</v>
      </c>
      <c r="K929" s="22" t="s">
        <v>6072</v>
      </c>
      <c r="L929" s="23" t="s">
        <v>6073</v>
      </c>
      <c r="M929" s="22"/>
      <c r="N929" s="12"/>
      <c r="O929" s="12"/>
      <c r="P929" s="13">
        <f>IFERROR(__xludf.DUMMYFUNCTION("VALUE(SUBSTITUTE((INDEX(SPLIT(A929,"",""),1)),""."","","",1))"),44.979748)</f>
        <v>44.979748</v>
      </c>
      <c r="Q929" s="13">
        <f>IFERROR(__xludf.DUMMYFUNCTION("VALUE(SUBSTITUTE((INDEX(SPLIT(A929,"",""),2)),""."","","",1))"),33.613018)</f>
        <v>33.613018</v>
      </c>
      <c r="R929" s="14" t="b">
        <f t="shared" si="1"/>
        <v>0</v>
      </c>
      <c r="S929" s="14" t="str">
        <f t="shared" si="2"/>
        <v>44.979748,33.613018</v>
      </c>
      <c r="T929" s="12"/>
    </row>
    <row r="930">
      <c r="A930" s="7" t="s">
        <v>6074</v>
      </c>
      <c r="B930" s="8" t="s">
        <v>6075</v>
      </c>
      <c r="C930" s="8" t="s">
        <v>6076</v>
      </c>
      <c r="D930" s="8" t="s">
        <v>16</v>
      </c>
      <c r="E930" s="9" t="s">
        <v>6077</v>
      </c>
      <c r="F930" s="10" t="s">
        <v>4881</v>
      </c>
      <c r="G930" s="8">
        <v>23.61</v>
      </c>
      <c r="H930" s="8"/>
      <c r="I930" s="10"/>
      <c r="J930" s="10" t="s">
        <v>6078</v>
      </c>
      <c r="K930" s="10" t="s">
        <v>6079</v>
      </c>
      <c r="L930" s="11" t="s">
        <v>6080</v>
      </c>
      <c r="M930" s="11" t="s">
        <v>6081</v>
      </c>
      <c r="N930" s="12"/>
      <c r="O930" s="12"/>
      <c r="P930" s="13">
        <f>IFERROR(__xludf.DUMMYFUNCTION("VALUE(SUBSTITUTE((INDEX(SPLIT(A930,"",""),1)),""."","","",1))"),45.499836)</f>
        <v>45.499836</v>
      </c>
      <c r="Q930" s="13">
        <f>IFERROR(__xludf.DUMMYFUNCTION("VALUE(SUBSTITUTE((INDEX(SPLIT(A930,"",""),2)),""."","","",1))"),33.613107)</f>
        <v>33.613107</v>
      </c>
      <c r="R930" s="14" t="b">
        <f t="shared" si="1"/>
        <v>0</v>
      </c>
      <c r="S930" s="14" t="str">
        <f t="shared" si="2"/>
        <v>45.499836,33.613107</v>
      </c>
      <c r="T930" s="12"/>
    </row>
    <row r="931">
      <c r="A931" s="20" t="s">
        <v>6082</v>
      </c>
      <c r="B931" s="16" t="s">
        <v>6083</v>
      </c>
      <c r="C931" s="16" t="s">
        <v>6084</v>
      </c>
      <c r="D931" s="16" t="s">
        <v>16</v>
      </c>
      <c r="E931" s="21" t="s">
        <v>6085</v>
      </c>
      <c r="F931" s="22" t="s">
        <v>4881</v>
      </c>
      <c r="G931" s="16">
        <v>23.61</v>
      </c>
      <c r="H931" s="16"/>
      <c r="I931" s="22"/>
      <c r="J931" s="22" t="s">
        <v>6086</v>
      </c>
      <c r="K931" s="22" t="s">
        <v>6087</v>
      </c>
      <c r="L931" s="23" t="s">
        <v>6088</v>
      </c>
      <c r="M931" s="22"/>
      <c r="N931" s="12"/>
      <c r="O931" s="12"/>
      <c r="P931" s="13">
        <f>IFERROR(__xludf.DUMMYFUNCTION("VALUE(SUBSTITUTE((INDEX(SPLIT(A931,"",""),1)),""."","","",1))"),44.516636)</f>
        <v>44.516636</v>
      </c>
      <c r="Q931" s="13">
        <f>IFERROR(__xludf.DUMMYFUNCTION("VALUE(SUBSTITUTE((INDEX(SPLIT(A931,"",""),2)),""."","","",1))"),33.61459)</f>
        <v>33.61459</v>
      </c>
      <c r="R931" s="14" t="b">
        <f t="shared" si="1"/>
        <v>0</v>
      </c>
      <c r="S931" s="14" t="str">
        <f t="shared" si="2"/>
        <v>44.516636,33.61459</v>
      </c>
      <c r="T931" s="12"/>
    </row>
    <row r="932">
      <c r="A932" s="7" t="s">
        <v>6089</v>
      </c>
      <c r="B932" s="8" t="s">
        <v>6090</v>
      </c>
      <c r="C932" s="8" t="s">
        <v>6091</v>
      </c>
      <c r="D932" s="8" t="s">
        <v>16</v>
      </c>
      <c r="E932" s="9" t="s">
        <v>6092</v>
      </c>
      <c r="F932" s="10" t="s">
        <v>4881</v>
      </c>
      <c r="G932" s="8">
        <v>23.61</v>
      </c>
      <c r="H932" s="8"/>
      <c r="I932" s="10"/>
      <c r="J932" s="10" t="s">
        <v>6093</v>
      </c>
      <c r="K932" s="10" t="s">
        <v>6094</v>
      </c>
      <c r="L932" s="11" t="s">
        <v>6095</v>
      </c>
      <c r="M932" s="10"/>
      <c r="N932" s="12"/>
      <c r="O932" s="12"/>
      <c r="P932" s="13">
        <f>IFERROR(__xludf.DUMMYFUNCTION("VALUE(SUBSTITUTE((INDEX(SPLIT(A932,"",""),1)),""."","","",1))"),45.142339)</f>
        <v>45.142339</v>
      </c>
      <c r="Q932" s="13">
        <f>IFERROR(__xludf.DUMMYFUNCTION("VALUE(SUBSTITUTE((INDEX(SPLIT(A932,"",""),2)),""."","","",1))"),33.620995)</f>
        <v>33.620995</v>
      </c>
      <c r="R932" s="14" t="b">
        <f t="shared" si="1"/>
        <v>0</v>
      </c>
      <c r="S932" s="14" t="str">
        <f t="shared" si="2"/>
        <v>45.142339,33.620995</v>
      </c>
      <c r="T932" s="12"/>
    </row>
    <row r="933">
      <c r="A933" s="15" t="s">
        <v>6096</v>
      </c>
      <c r="B933" s="16" t="s">
        <v>6097</v>
      </c>
      <c r="C933" s="16" t="s">
        <v>6098</v>
      </c>
      <c r="D933" s="16" t="s">
        <v>16</v>
      </c>
      <c r="E933" s="17" t="s">
        <v>6099</v>
      </c>
      <c r="F933" s="16" t="s">
        <v>5134</v>
      </c>
      <c r="G933" s="16">
        <v>23.61</v>
      </c>
      <c r="H933" s="16"/>
      <c r="I933" s="16"/>
      <c r="J933" s="16" t="s">
        <v>6100</v>
      </c>
      <c r="K933" s="16" t="s">
        <v>6101</v>
      </c>
      <c r="L933" s="16"/>
      <c r="M933" s="16"/>
      <c r="N933" s="12"/>
      <c r="O933" s="12"/>
      <c r="P933" s="13">
        <f>IFERROR(__xludf.DUMMYFUNCTION("VALUE(SUBSTITUTE((INDEX(SPLIT(A933,"",""),1)),""."","","",1))"),55.1406)</f>
        <v>55.1406</v>
      </c>
      <c r="Q933" s="13">
        <f>IFERROR(__xludf.DUMMYFUNCTION("VALUE(SUBSTITUTE((INDEX(SPLIT(A933,"",""),2)),""."","","",1))"),33.632547)</f>
        <v>33.632547</v>
      </c>
      <c r="R933" s="14" t="b">
        <f t="shared" si="1"/>
        <v>0</v>
      </c>
      <c r="S933" s="14" t="str">
        <f t="shared" si="2"/>
        <v>55.1406,33.632547</v>
      </c>
      <c r="T933" s="12"/>
    </row>
    <row r="934">
      <c r="A934" s="7" t="s">
        <v>6102</v>
      </c>
      <c r="B934" s="8" t="s">
        <v>6103</v>
      </c>
      <c r="C934" s="8" t="s">
        <v>6104</v>
      </c>
      <c r="D934" s="8" t="s">
        <v>16</v>
      </c>
      <c r="E934" s="9" t="s">
        <v>6105</v>
      </c>
      <c r="F934" s="10" t="s">
        <v>5142</v>
      </c>
      <c r="G934" s="8">
        <v>23.61</v>
      </c>
      <c r="H934" s="8"/>
      <c r="I934" s="10"/>
      <c r="J934" s="10" t="s">
        <v>6106</v>
      </c>
      <c r="K934" s="10" t="s">
        <v>6107</v>
      </c>
      <c r="L934" s="11" t="s">
        <v>6108</v>
      </c>
      <c r="M934" s="10"/>
      <c r="N934" s="12"/>
      <c r="O934" s="12"/>
      <c r="P934" s="13">
        <f>IFERROR(__xludf.DUMMYFUNCTION("VALUE(SUBSTITUTE((INDEX(SPLIT(A934,"",""),1)),""."","","",1))"),53.519969)</f>
        <v>53.519969</v>
      </c>
      <c r="Q934" s="13">
        <f>IFERROR(__xludf.DUMMYFUNCTION("VALUE(SUBSTITUTE((INDEX(SPLIT(A934,"",""),2)),""."","","",1))"),33.717483)</f>
        <v>33.717483</v>
      </c>
      <c r="R934" s="14" t="b">
        <f t="shared" si="1"/>
        <v>0</v>
      </c>
      <c r="S934" s="14" t="str">
        <f t="shared" si="2"/>
        <v>53.519969,33.717483</v>
      </c>
      <c r="T934" s="12"/>
    </row>
    <row r="935">
      <c r="A935" s="20" t="s">
        <v>6109</v>
      </c>
      <c r="B935" s="16" t="s">
        <v>6110</v>
      </c>
      <c r="C935" s="16" t="s">
        <v>6111</v>
      </c>
      <c r="D935" s="16" t="s">
        <v>16</v>
      </c>
      <c r="E935" s="21" t="s">
        <v>6112</v>
      </c>
      <c r="F935" s="22" t="s">
        <v>4881</v>
      </c>
      <c r="G935" s="16">
        <v>23.61</v>
      </c>
      <c r="H935" s="16"/>
      <c r="I935" s="22"/>
      <c r="J935" s="22" t="s">
        <v>6113</v>
      </c>
      <c r="K935" s="22" t="s">
        <v>6114</v>
      </c>
      <c r="L935" s="23" t="s">
        <v>6115</v>
      </c>
      <c r="M935" s="22"/>
      <c r="N935" s="12"/>
      <c r="O935" s="12"/>
      <c r="P935" s="13">
        <f>IFERROR(__xludf.DUMMYFUNCTION("VALUE(SUBSTITUTE((INDEX(SPLIT(A935,"",""),1)),""."","","",1))"),44.65176)</f>
        <v>44.65176</v>
      </c>
      <c r="Q935" s="13">
        <f>IFERROR(__xludf.DUMMYFUNCTION("VALUE(SUBSTITUTE((INDEX(SPLIT(A935,"",""),2)),""."","","",1))"),33.758356)</f>
        <v>33.758356</v>
      </c>
      <c r="R935" s="14" t="b">
        <f t="shared" si="1"/>
        <v>0</v>
      </c>
      <c r="S935" s="14" t="str">
        <f t="shared" si="2"/>
        <v>44.65176,33.758356</v>
      </c>
      <c r="T935" s="12"/>
    </row>
    <row r="936">
      <c r="A936" s="7" t="s">
        <v>6109</v>
      </c>
      <c r="B936" s="8" t="s">
        <v>6116</v>
      </c>
      <c r="C936" s="8" t="s">
        <v>6117</v>
      </c>
      <c r="D936" s="8" t="s">
        <v>16</v>
      </c>
      <c r="E936" s="9" t="s">
        <v>6118</v>
      </c>
      <c r="F936" s="10" t="s">
        <v>4881</v>
      </c>
      <c r="G936" s="8">
        <v>23.61</v>
      </c>
      <c r="H936" s="8"/>
      <c r="I936" s="10"/>
      <c r="J936" s="10" t="s">
        <v>6119</v>
      </c>
      <c r="K936" s="10" t="s">
        <v>6114</v>
      </c>
      <c r="L936" s="11" t="s">
        <v>6120</v>
      </c>
      <c r="M936" s="10"/>
      <c r="N936" s="12"/>
      <c r="O936" s="12"/>
      <c r="P936" s="13">
        <f>IFERROR(__xludf.DUMMYFUNCTION("VALUE(SUBSTITUTE((INDEX(SPLIT(A936,"",""),1)),""."","","",1))"),44.65176)</f>
        <v>44.65176</v>
      </c>
      <c r="Q936" s="13">
        <f>IFERROR(__xludf.DUMMYFUNCTION("VALUE(SUBSTITUTE((INDEX(SPLIT(A936,"",""),2)),""."","","",1))"),33.758356)</f>
        <v>33.758356</v>
      </c>
      <c r="R936" s="14" t="b">
        <f t="shared" si="1"/>
        <v>0</v>
      </c>
      <c r="S936" s="14" t="str">
        <f t="shared" si="2"/>
        <v>44.65176,33.758356</v>
      </c>
      <c r="T936" s="12"/>
    </row>
    <row r="937">
      <c r="A937" s="20" t="s">
        <v>6121</v>
      </c>
      <c r="B937" s="16" t="s">
        <v>6122</v>
      </c>
      <c r="C937" s="16" t="s">
        <v>6123</v>
      </c>
      <c r="D937" s="16" t="s">
        <v>16</v>
      </c>
      <c r="E937" s="21" t="s">
        <v>6124</v>
      </c>
      <c r="F937" s="22" t="s">
        <v>4881</v>
      </c>
      <c r="G937" s="16">
        <v>23.61</v>
      </c>
      <c r="H937" s="16"/>
      <c r="I937" s="22"/>
      <c r="J937" s="22" t="s">
        <v>6125</v>
      </c>
      <c r="K937" s="22" t="s">
        <v>6126</v>
      </c>
      <c r="L937" s="23" t="s">
        <v>6127</v>
      </c>
      <c r="M937" s="22"/>
      <c r="N937" s="12"/>
      <c r="O937" s="12"/>
      <c r="P937" s="13">
        <f>IFERROR(__xludf.DUMMYFUNCTION("VALUE(SUBSTITUTE((INDEX(SPLIT(A937,"",""),1)),""."","","",1))"),44.635189)</f>
        <v>44.635189</v>
      </c>
      <c r="Q937" s="13">
        <f>IFERROR(__xludf.DUMMYFUNCTION("VALUE(SUBSTITUTE((INDEX(SPLIT(A937,"",""),2)),""."","","",1))"),33.774589)</f>
        <v>33.774589</v>
      </c>
      <c r="R937" s="14" t="b">
        <f t="shared" si="1"/>
        <v>0</v>
      </c>
      <c r="S937" s="14" t="str">
        <f t="shared" si="2"/>
        <v>44.635189,33.774589</v>
      </c>
      <c r="T937" s="12"/>
    </row>
    <row r="938">
      <c r="A938" s="18" t="s">
        <v>6128</v>
      </c>
      <c r="B938" s="8" t="s">
        <v>6129</v>
      </c>
      <c r="C938" s="8" t="s">
        <v>6130</v>
      </c>
      <c r="D938" s="8" t="s">
        <v>16</v>
      </c>
      <c r="E938" s="19" t="s">
        <v>6131</v>
      </c>
      <c r="F938" s="8" t="s">
        <v>4881</v>
      </c>
      <c r="G938" s="8">
        <v>23.61</v>
      </c>
      <c r="H938" s="8"/>
      <c r="I938" s="8"/>
      <c r="J938" s="8" t="s">
        <v>6132</v>
      </c>
      <c r="K938" s="8" t="s">
        <v>6133</v>
      </c>
      <c r="L938" s="8"/>
      <c r="M938" s="8"/>
      <c r="N938" s="12"/>
      <c r="O938" s="12"/>
      <c r="P938" s="13">
        <f>IFERROR(__xludf.DUMMYFUNCTION("VALUE(SUBSTITUTE((INDEX(SPLIT(A938,"",""),1)),""."","","",1))"),45.963962)</f>
        <v>45.963962</v>
      </c>
      <c r="Q938" s="13">
        <f>IFERROR(__xludf.DUMMYFUNCTION("VALUE(SUBSTITUTE((INDEX(SPLIT(A938,"",""),2)),""."","","",1))"),33.77864)</f>
        <v>33.77864</v>
      </c>
      <c r="R938" s="14" t="b">
        <f t="shared" si="1"/>
        <v>0</v>
      </c>
      <c r="S938" s="14" t="str">
        <f t="shared" si="2"/>
        <v>45.963962,33.77864</v>
      </c>
      <c r="T938" s="12"/>
    </row>
    <row r="939">
      <c r="A939" s="15" t="s">
        <v>6134</v>
      </c>
      <c r="B939" s="16" t="s">
        <v>6135</v>
      </c>
      <c r="C939" s="16" t="s">
        <v>6136</v>
      </c>
      <c r="D939" s="16" t="s">
        <v>16</v>
      </c>
      <c r="E939" s="17" t="s">
        <v>6137</v>
      </c>
      <c r="F939" s="16" t="s">
        <v>3162</v>
      </c>
      <c r="G939" s="16">
        <v>23.61</v>
      </c>
      <c r="H939" s="16"/>
      <c r="I939" s="16"/>
      <c r="J939" s="16" t="s">
        <v>6138</v>
      </c>
      <c r="K939" s="16" t="s">
        <v>6139</v>
      </c>
      <c r="L939" s="16"/>
      <c r="M939" s="16"/>
      <c r="N939" s="12"/>
      <c r="O939" s="12"/>
      <c r="P939" s="13">
        <f>IFERROR(__xludf.DUMMYFUNCTION("VALUE(SUBSTITUTE((INDEX(SPLIT(A939,"",""),1)),""."","","",1))"),59.470656)</f>
        <v>59.470656</v>
      </c>
      <c r="Q939" s="13">
        <f>IFERROR(__xludf.DUMMYFUNCTION("VALUE(SUBSTITUTE((INDEX(SPLIT(A939,"",""),2)),""."","","",1))"),33.836797)</f>
        <v>33.836797</v>
      </c>
      <c r="R939" s="14" t="b">
        <f t="shared" si="1"/>
        <v>0</v>
      </c>
      <c r="S939" s="14" t="str">
        <f t="shared" si="2"/>
        <v>59.470656,33.836797</v>
      </c>
      <c r="T939" s="12"/>
    </row>
    <row r="940">
      <c r="A940" s="18" t="s">
        <v>6140</v>
      </c>
      <c r="B940" s="8" t="s">
        <v>6141</v>
      </c>
      <c r="C940" s="8" t="s">
        <v>6142</v>
      </c>
      <c r="D940" s="8" t="s">
        <v>16</v>
      </c>
      <c r="E940" s="19" t="s">
        <v>6143</v>
      </c>
      <c r="F940" s="8" t="s">
        <v>4881</v>
      </c>
      <c r="G940" s="8">
        <v>23.61</v>
      </c>
      <c r="H940" s="8"/>
      <c r="I940" s="8"/>
      <c r="J940" s="8" t="s">
        <v>6144</v>
      </c>
      <c r="K940" s="8" t="s">
        <v>6145</v>
      </c>
      <c r="L940" s="8"/>
      <c r="M940" s="24" t="s">
        <v>6146</v>
      </c>
      <c r="N940" s="12"/>
      <c r="O940" s="12"/>
      <c r="P940" s="13">
        <f>IFERROR(__xludf.DUMMYFUNCTION("VALUE(SUBSTITUTE((INDEX(SPLIT(A940,"",""),1)),""."","","",1))"),44.747961)</f>
        <v>44.747961</v>
      </c>
      <c r="Q940" s="13">
        <f>IFERROR(__xludf.DUMMYFUNCTION("VALUE(SUBSTITUTE((INDEX(SPLIT(A940,"",""),2)),""."","","",1))"),33.839168)</f>
        <v>33.839168</v>
      </c>
      <c r="R940" s="14" t="b">
        <f t="shared" si="1"/>
        <v>0</v>
      </c>
      <c r="S940" s="14" t="str">
        <f t="shared" si="2"/>
        <v>44.747961,33.839168</v>
      </c>
      <c r="T940" s="12"/>
    </row>
    <row r="941">
      <c r="A941" s="20" t="s">
        <v>6147</v>
      </c>
      <c r="B941" s="16" t="s">
        <v>6148</v>
      </c>
      <c r="C941" s="16" t="s">
        <v>6149</v>
      </c>
      <c r="D941" s="16" t="s">
        <v>16</v>
      </c>
      <c r="E941" s="21" t="s">
        <v>6150</v>
      </c>
      <c r="F941" s="22" t="s">
        <v>5051</v>
      </c>
      <c r="G941" s="16">
        <v>23.61</v>
      </c>
      <c r="H941" s="16"/>
      <c r="I941" s="22"/>
      <c r="J941" s="22" t="s">
        <v>6151</v>
      </c>
      <c r="K941" s="22" t="s">
        <v>6152</v>
      </c>
      <c r="L941" s="23" t="s">
        <v>6153</v>
      </c>
      <c r="M941" s="22"/>
      <c r="N941" s="12"/>
      <c r="O941" s="12"/>
      <c r="P941" s="13">
        <f>IFERROR(__xludf.DUMMYFUNCTION("VALUE(SUBSTITUTE((INDEX(SPLIT(A941,"",""),1)),""."","","",1))"),58.388346)</f>
        <v>58.388346</v>
      </c>
      <c r="Q941" s="13">
        <f>IFERROR(__xludf.DUMMYFUNCTION("VALUE(SUBSTITUTE((INDEX(SPLIT(A941,"",""),2)),""."","","",1))"),33.84825)</f>
        <v>33.84825</v>
      </c>
      <c r="R941" s="14" t="b">
        <f t="shared" si="1"/>
        <v>0</v>
      </c>
      <c r="S941" s="14" t="str">
        <f t="shared" si="2"/>
        <v>58.388346,33.84825</v>
      </c>
      <c r="T941" s="12"/>
    </row>
    <row r="942">
      <c r="A942" s="7" t="s">
        <v>6154</v>
      </c>
      <c r="B942" s="8" t="s">
        <v>6155</v>
      </c>
      <c r="C942" s="8" t="s">
        <v>6156</v>
      </c>
      <c r="D942" s="8" t="s">
        <v>16</v>
      </c>
      <c r="E942" s="9" t="s">
        <v>6157</v>
      </c>
      <c r="F942" s="10" t="s">
        <v>5051</v>
      </c>
      <c r="G942" s="8">
        <v>23.61</v>
      </c>
      <c r="H942" s="8"/>
      <c r="I942" s="10"/>
      <c r="J942" s="10" t="s">
        <v>6158</v>
      </c>
      <c r="K942" s="10" t="s">
        <v>6159</v>
      </c>
      <c r="L942" s="11" t="s">
        <v>6160</v>
      </c>
      <c r="M942" s="10"/>
      <c r="N942" s="12"/>
      <c r="O942" s="12"/>
      <c r="P942" s="13">
        <f>IFERROR(__xludf.DUMMYFUNCTION("VALUE(SUBSTITUTE((INDEX(SPLIT(A942,"",""),1)),""."","","",1))"),58.390705)</f>
        <v>58.390705</v>
      </c>
      <c r="Q942" s="13">
        <f>IFERROR(__xludf.DUMMYFUNCTION("VALUE(SUBSTITUTE((INDEX(SPLIT(A942,"",""),2)),""."","","",1))"),33.854664)</f>
        <v>33.854664</v>
      </c>
      <c r="R942" s="14" t="b">
        <f t="shared" si="1"/>
        <v>0</v>
      </c>
      <c r="S942" s="14" t="str">
        <f t="shared" si="2"/>
        <v>58.390705,33.854664</v>
      </c>
      <c r="T942" s="12"/>
    </row>
    <row r="943">
      <c r="A943" s="20" t="s">
        <v>6161</v>
      </c>
      <c r="B943" s="16" t="s">
        <v>6162</v>
      </c>
      <c r="C943" s="16" t="s">
        <v>6163</v>
      </c>
      <c r="D943" s="16" t="s">
        <v>16</v>
      </c>
      <c r="E943" s="21" t="s">
        <v>6164</v>
      </c>
      <c r="F943" s="22" t="s">
        <v>4881</v>
      </c>
      <c r="G943" s="16">
        <v>23.61</v>
      </c>
      <c r="H943" s="16"/>
      <c r="I943" s="22"/>
      <c r="J943" s="22" t="s">
        <v>6165</v>
      </c>
      <c r="K943" s="22" t="s">
        <v>6166</v>
      </c>
      <c r="L943" s="23" t="s">
        <v>6167</v>
      </c>
      <c r="M943" s="22"/>
      <c r="N943" s="12"/>
      <c r="O943" s="12"/>
      <c r="P943" s="13">
        <f>IFERROR(__xludf.DUMMYFUNCTION("VALUE(SUBSTITUTE((INDEX(SPLIT(A943,"",""),1)),""."","","",1))"),44.769876)</f>
        <v>44.769876</v>
      </c>
      <c r="Q943" s="13">
        <f>IFERROR(__xludf.DUMMYFUNCTION("VALUE(SUBSTITUTE((INDEX(SPLIT(A943,"",""),2)),""."","","",1))"),33.863908)</f>
        <v>33.863908</v>
      </c>
      <c r="R943" s="14" t="b">
        <f t="shared" si="1"/>
        <v>0</v>
      </c>
      <c r="S943" s="14" t="str">
        <f t="shared" si="2"/>
        <v>44.769876,33.863908</v>
      </c>
      <c r="T943" s="12"/>
    </row>
    <row r="944">
      <c r="A944" s="7" t="s">
        <v>6168</v>
      </c>
      <c r="B944" s="8" t="s">
        <v>6169</v>
      </c>
      <c r="C944" s="8" t="s">
        <v>6170</v>
      </c>
      <c r="D944" s="8" t="s">
        <v>16</v>
      </c>
      <c r="E944" s="9" t="s">
        <v>6171</v>
      </c>
      <c r="F944" s="10" t="s">
        <v>4881</v>
      </c>
      <c r="G944" s="8">
        <v>23.61</v>
      </c>
      <c r="H944" s="8"/>
      <c r="I944" s="10"/>
      <c r="J944" s="10" t="s">
        <v>6172</v>
      </c>
      <c r="K944" s="10" t="s">
        <v>6173</v>
      </c>
      <c r="L944" s="11" t="s">
        <v>6174</v>
      </c>
      <c r="M944" s="11" t="s">
        <v>6175</v>
      </c>
      <c r="N944" s="12"/>
      <c r="O944" s="12"/>
      <c r="P944" s="13">
        <f>IFERROR(__xludf.DUMMYFUNCTION("VALUE(SUBSTITUTE((INDEX(SPLIT(A944,"",""),1)),""."","","",1))"),44.7701)</f>
        <v>44.7701</v>
      </c>
      <c r="Q944" s="13">
        <f>IFERROR(__xludf.DUMMYFUNCTION("VALUE(SUBSTITUTE((INDEX(SPLIT(A944,"",""),2)),""."","","",1))"),33.864609)</f>
        <v>33.864609</v>
      </c>
      <c r="R944" s="14" t="b">
        <f t="shared" si="1"/>
        <v>0</v>
      </c>
      <c r="S944" s="14" t="str">
        <f t="shared" si="2"/>
        <v>44.7701,33.864609</v>
      </c>
      <c r="T944" s="12"/>
    </row>
    <row r="945">
      <c r="A945" s="15" t="s">
        <v>6176</v>
      </c>
      <c r="B945" s="16" t="s">
        <v>6177</v>
      </c>
      <c r="C945" s="16" t="s">
        <v>6178</v>
      </c>
      <c r="D945" s="16" t="s">
        <v>16</v>
      </c>
      <c r="E945" s="17" t="s">
        <v>6179</v>
      </c>
      <c r="F945" s="16" t="s">
        <v>4881</v>
      </c>
      <c r="G945" s="16">
        <v>23.61</v>
      </c>
      <c r="H945" s="16"/>
      <c r="I945" s="16"/>
      <c r="J945" s="16" t="s">
        <v>6180</v>
      </c>
      <c r="K945" s="16" t="s">
        <v>6181</v>
      </c>
      <c r="L945" s="16"/>
      <c r="M945" s="25" t="s">
        <v>6182</v>
      </c>
      <c r="N945" s="12"/>
      <c r="O945" s="12"/>
      <c r="P945" s="13">
        <f>IFERROR(__xludf.DUMMYFUNCTION("VALUE(SUBSTITUTE((INDEX(SPLIT(A945,"",""),1)),""."","","",1))"),44.774867)</f>
        <v>44.774867</v>
      </c>
      <c r="Q945" s="13">
        <f>IFERROR(__xludf.DUMMYFUNCTION("VALUE(SUBSTITUTE((INDEX(SPLIT(A945,"",""),2)),""."","","",1))"),33.865624)</f>
        <v>33.865624</v>
      </c>
      <c r="R945" s="14" t="b">
        <f t="shared" si="1"/>
        <v>0</v>
      </c>
      <c r="S945" s="14" t="str">
        <f t="shared" si="2"/>
        <v>44.774867,33.865624</v>
      </c>
      <c r="T945" s="12"/>
    </row>
    <row r="946">
      <c r="A946" s="7" t="s">
        <v>6183</v>
      </c>
      <c r="B946" s="8" t="s">
        <v>6184</v>
      </c>
      <c r="C946" s="8" t="s">
        <v>6185</v>
      </c>
      <c r="D946" s="8" t="s">
        <v>16</v>
      </c>
      <c r="E946" s="9" t="s">
        <v>6186</v>
      </c>
      <c r="F946" s="10" t="s">
        <v>4881</v>
      </c>
      <c r="G946" s="8">
        <v>23.61</v>
      </c>
      <c r="H946" s="8"/>
      <c r="I946" s="10"/>
      <c r="J946" s="10" t="s">
        <v>6187</v>
      </c>
      <c r="K946" s="10" t="s">
        <v>6188</v>
      </c>
      <c r="L946" s="11" t="s">
        <v>6189</v>
      </c>
      <c r="M946" s="10"/>
      <c r="N946" s="12"/>
      <c r="O946" s="12"/>
      <c r="P946" s="13">
        <f>IFERROR(__xludf.DUMMYFUNCTION("VALUE(SUBSTITUTE((INDEX(SPLIT(A946,"",""),1)),""."","","",1))"),44.780952)</f>
        <v>44.780952</v>
      </c>
      <c r="Q946" s="13">
        <f>IFERROR(__xludf.DUMMYFUNCTION("VALUE(SUBSTITUTE((INDEX(SPLIT(A946,"",""),2)),""."","","",1))"),33.875838)</f>
        <v>33.875838</v>
      </c>
      <c r="R946" s="14" t="b">
        <f t="shared" si="1"/>
        <v>0</v>
      </c>
      <c r="S946" s="14" t="str">
        <f t="shared" si="2"/>
        <v>44.780952,33.875838</v>
      </c>
      <c r="T946" s="12"/>
    </row>
    <row r="947">
      <c r="A947" s="15" t="s">
        <v>6183</v>
      </c>
      <c r="B947" s="16" t="s">
        <v>6190</v>
      </c>
      <c r="C947" s="16" t="s">
        <v>6191</v>
      </c>
      <c r="D947" s="16" t="s">
        <v>16</v>
      </c>
      <c r="E947" s="17" t="s">
        <v>6192</v>
      </c>
      <c r="F947" s="16" t="s">
        <v>4881</v>
      </c>
      <c r="G947" s="16">
        <v>23.61</v>
      </c>
      <c r="H947" s="16"/>
      <c r="I947" s="16"/>
      <c r="J947" s="16" t="s">
        <v>6193</v>
      </c>
      <c r="K947" s="16" t="s">
        <v>6194</v>
      </c>
      <c r="L947" s="16"/>
      <c r="M947" s="16"/>
      <c r="N947" s="12"/>
      <c r="O947" s="12"/>
      <c r="P947" s="13">
        <f>IFERROR(__xludf.DUMMYFUNCTION("VALUE(SUBSTITUTE((INDEX(SPLIT(A947,"",""),1)),""."","","",1))"),44.780952)</f>
        <v>44.780952</v>
      </c>
      <c r="Q947" s="13">
        <f>IFERROR(__xludf.DUMMYFUNCTION("VALUE(SUBSTITUTE((INDEX(SPLIT(A947,"",""),2)),""."","","",1))"),33.875838)</f>
        <v>33.875838</v>
      </c>
      <c r="R947" s="14" t="b">
        <f t="shared" si="1"/>
        <v>0</v>
      </c>
      <c r="S947" s="14" t="str">
        <f t="shared" si="2"/>
        <v>44.780952,33.875838</v>
      </c>
      <c r="T947" s="12"/>
    </row>
    <row r="948">
      <c r="A948" s="18" t="s">
        <v>6195</v>
      </c>
      <c r="B948" s="8" t="s">
        <v>6196</v>
      </c>
      <c r="C948" s="8" t="s">
        <v>6197</v>
      </c>
      <c r="D948" s="8" t="s">
        <v>16</v>
      </c>
      <c r="E948" s="19" t="s">
        <v>6198</v>
      </c>
      <c r="F948" s="8" t="s">
        <v>5051</v>
      </c>
      <c r="G948" s="8">
        <v>23.61</v>
      </c>
      <c r="H948" s="8"/>
      <c r="I948" s="8"/>
      <c r="J948" s="8" t="s">
        <v>6199</v>
      </c>
      <c r="K948" s="8" t="s">
        <v>6200</v>
      </c>
      <c r="L948" s="8"/>
      <c r="M948" s="24" t="s">
        <v>6201</v>
      </c>
      <c r="N948" s="12"/>
      <c r="O948" s="12"/>
      <c r="P948" s="13">
        <f>IFERROR(__xludf.DUMMYFUNCTION("VALUE(SUBSTITUTE((INDEX(SPLIT(A948,"",""),1)),""."","","",1))"),58.375909)</f>
        <v>58.375909</v>
      </c>
      <c r="Q948" s="13">
        <f>IFERROR(__xludf.DUMMYFUNCTION("VALUE(SUBSTITUTE((INDEX(SPLIT(A948,"",""),2)),""."","","",1))"),33.882494)</f>
        <v>33.882494</v>
      </c>
      <c r="R948" s="14" t="b">
        <f t="shared" si="1"/>
        <v>0</v>
      </c>
      <c r="S948" s="14" t="str">
        <f t="shared" si="2"/>
        <v>58.375909,33.882494</v>
      </c>
      <c r="T948" s="12"/>
    </row>
    <row r="949">
      <c r="A949" s="20" t="s">
        <v>6202</v>
      </c>
      <c r="B949" s="16" t="s">
        <v>6203</v>
      </c>
      <c r="C949" s="16" t="s">
        <v>6204</v>
      </c>
      <c r="D949" s="16" t="s">
        <v>16</v>
      </c>
      <c r="E949" s="21" t="s">
        <v>6205</v>
      </c>
      <c r="F949" s="22" t="s">
        <v>4881</v>
      </c>
      <c r="G949" s="16">
        <v>23.61</v>
      </c>
      <c r="H949" s="16"/>
      <c r="I949" s="22"/>
      <c r="J949" s="22" t="s">
        <v>6206</v>
      </c>
      <c r="K949" s="22" t="s">
        <v>6207</v>
      </c>
      <c r="L949" s="23" t="s">
        <v>6208</v>
      </c>
      <c r="M949" s="22"/>
      <c r="N949" s="12"/>
      <c r="O949" s="12"/>
      <c r="P949" s="13">
        <f>IFERROR(__xludf.DUMMYFUNCTION("VALUE(SUBSTITUTE((INDEX(SPLIT(A949,"",""),1)),""."","","",1))"),45.045896)</f>
        <v>45.045896</v>
      </c>
      <c r="Q949" s="13">
        <f>IFERROR(__xludf.DUMMYFUNCTION("VALUE(SUBSTITUTE((INDEX(SPLIT(A949,"",""),2)),""."","","",1))"),33.951045)</f>
        <v>33.951045</v>
      </c>
      <c r="R949" s="14" t="b">
        <f t="shared" si="1"/>
        <v>0</v>
      </c>
      <c r="S949" s="14" t="str">
        <f t="shared" si="2"/>
        <v>45.045896,33.951045</v>
      </c>
      <c r="T949" s="12"/>
    </row>
    <row r="950">
      <c r="A950" s="7" t="s">
        <v>6209</v>
      </c>
      <c r="B950" s="8" t="s">
        <v>6210</v>
      </c>
      <c r="C950" s="8" t="s">
        <v>6211</v>
      </c>
      <c r="D950" s="8" t="s">
        <v>16</v>
      </c>
      <c r="E950" s="9" t="s">
        <v>6212</v>
      </c>
      <c r="F950" s="10" t="s">
        <v>4881</v>
      </c>
      <c r="G950" s="8">
        <v>23.61</v>
      </c>
      <c r="H950" s="8"/>
      <c r="I950" s="10"/>
      <c r="J950" s="10" t="s">
        <v>6213</v>
      </c>
      <c r="K950" s="10" t="s">
        <v>6214</v>
      </c>
      <c r="L950" s="11" t="s">
        <v>6215</v>
      </c>
      <c r="M950" s="11" t="s">
        <v>6216</v>
      </c>
      <c r="N950" s="12"/>
      <c r="O950" s="12"/>
      <c r="P950" s="13">
        <f>IFERROR(__xludf.DUMMYFUNCTION("VALUE(SUBSTITUTE((INDEX(SPLIT(A950,"",""),1)),""."","","",1))"),44.825573)</f>
        <v>44.825573</v>
      </c>
      <c r="Q950" s="13">
        <f>IFERROR(__xludf.DUMMYFUNCTION("VALUE(SUBSTITUTE((INDEX(SPLIT(A950,"",""),2)),""."","","",1))"),33.955815)</f>
        <v>33.955815</v>
      </c>
      <c r="R950" s="14" t="b">
        <f t="shared" si="1"/>
        <v>0</v>
      </c>
      <c r="S950" s="14" t="str">
        <f t="shared" si="2"/>
        <v>44.825573,33.955815</v>
      </c>
      <c r="T950" s="12"/>
    </row>
    <row r="951">
      <c r="A951" s="20" t="s">
        <v>6217</v>
      </c>
      <c r="B951" s="16" t="s">
        <v>6218</v>
      </c>
      <c r="C951" s="16" t="s">
        <v>6219</v>
      </c>
      <c r="D951" s="16" t="s">
        <v>16</v>
      </c>
      <c r="E951" s="21" t="s">
        <v>6220</v>
      </c>
      <c r="F951" s="22" t="s">
        <v>4881</v>
      </c>
      <c r="G951" s="16">
        <v>23.61</v>
      </c>
      <c r="H951" s="16"/>
      <c r="I951" s="22"/>
      <c r="J951" s="22" t="s">
        <v>6221</v>
      </c>
      <c r="K951" s="22" t="s">
        <v>6222</v>
      </c>
      <c r="L951" s="23" t="s">
        <v>6223</v>
      </c>
      <c r="M951" s="23" t="s">
        <v>6224</v>
      </c>
      <c r="N951" s="12"/>
      <c r="O951" s="12"/>
      <c r="P951" s="13">
        <f>IFERROR(__xludf.DUMMYFUNCTION("VALUE(SUBSTITUTE((INDEX(SPLIT(A951,"",""),1)),""."","","",1))"),44.837194)</f>
        <v>44.837194</v>
      </c>
      <c r="Q951" s="13">
        <f>IFERROR(__xludf.DUMMYFUNCTION("VALUE(SUBSTITUTE((INDEX(SPLIT(A951,"",""),2)),""."","","",1))"),33.961456)</f>
        <v>33.961456</v>
      </c>
      <c r="R951" s="14" t="b">
        <f t="shared" si="1"/>
        <v>0</v>
      </c>
      <c r="S951" s="14" t="str">
        <f t="shared" si="2"/>
        <v>44.837194,33.961456</v>
      </c>
      <c r="T951" s="12"/>
    </row>
    <row r="952">
      <c r="A952" s="18" t="s">
        <v>6225</v>
      </c>
      <c r="B952" s="8" t="s">
        <v>6226</v>
      </c>
      <c r="C952" s="8" t="s">
        <v>6227</v>
      </c>
      <c r="D952" s="8" t="s">
        <v>16</v>
      </c>
      <c r="E952" s="19" t="s">
        <v>6228</v>
      </c>
      <c r="F952" s="8" t="s">
        <v>4881</v>
      </c>
      <c r="G952" s="8">
        <v>23.61</v>
      </c>
      <c r="H952" s="8"/>
      <c r="I952" s="8"/>
      <c r="J952" s="8" t="s">
        <v>6229</v>
      </c>
      <c r="K952" s="8" t="s">
        <v>6230</v>
      </c>
      <c r="L952" s="8"/>
      <c r="M952" s="8"/>
      <c r="N952" s="12"/>
      <c r="O952" s="12"/>
      <c r="P952" s="13">
        <f>IFERROR(__xludf.DUMMYFUNCTION("VALUE(SUBSTITUTE((INDEX(SPLIT(A952,"",""),1)),""."","","",1))"),45.052704)</f>
        <v>45.052704</v>
      </c>
      <c r="Q952" s="13">
        <f>IFERROR(__xludf.DUMMYFUNCTION("VALUE(SUBSTITUTE((INDEX(SPLIT(A952,"",""),2)),""."","","",1))"),33.987211)</f>
        <v>33.987211</v>
      </c>
      <c r="R952" s="14" t="b">
        <f t="shared" si="1"/>
        <v>0</v>
      </c>
      <c r="S952" s="14" t="str">
        <f t="shared" si="2"/>
        <v>45.052704,33.987211</v>
      </c>
      <c r="T952" s="12"/>
    </row>
    <row r="953">
      <c r="A953" s="15" t="s">
        <v>6231</v>
      </c>
      <c r="B953" s="16" t="s">
        <v>6232</v>
      </c>
      <c r="C953" s="16" t="s">
        <v>6233</v>
      </c>
      <c r="D953" s="16" t="s">
        <v>16</v>
      </c>
      <c r="E953" s="17" t="s">
        <v>6234</v>
      </c>
      <c r="F953" s="16" t="s">
        <v>4881</v>
      </c>
      <c r="G953" s="16">
        <v>23.61</v>
      </c>
      <c r="H953" s="16"/>
      <c r="I953" s="16"/>
      <c r="J953" s="16" t="s">
        <v>6235</v>
      </c>
      <c r="K953" s="16" t="s">
        <v>6236</v>
      </c>
      <c r="L953" s="16"/>
      <c r="M953" s="16"/>
      <c r="N953" s="12"/>
      <c r="O953" s="12"/>
      <c r="P953" s="13">
        <f>IFERROR(__xludf.DUMMYFUNCTION("VALUE(SUBSTITUTE((INDEX(SPLIT(A953,"",""),1)),""."","","",1))"),45.051952)</f>
        <v>45.051952</v>
      </c>
      <c r="Q953" s="13">
        <f>IFERROR(__xludf.DUMMYFUNCTION("VALUE(SUBSTITUTE((INDEX(SPLIT(A953,"",""),2)),""."","","",1))"),33.987489)</f>
        <v>33.987489</v>
      </c>
      <c r="R953" s="14" t="b">
        <f t="shared" si="1"/>
        <v>0</v>
      </c>
      <c r="S953" s="14" t="str">
        <f t="shared" si="2"/>
        <v>45.051952,33.987489</v>
      </c>
      <c r="T953" s="12"/>
    </row>
    <row r="954">
      <c r="A954" s="7" t="s">
        <v>6237</v>
      </c>
      <c r="B954" s="8" t="s">
        <v>6238</v>
      </c>
      <c r="C954" s="8" t="s">
        <v>6239</v>
      </c>
      <c r="D954" s="8" t="s">
        <v>16</v>
      </c>
      <c r="E954" s="9" t="s">
        <v>6240</v>
      </c>
      <c r="F954" s="10" t="s">
        <v>4881</v>
      </c>
      <c r="G954" s="8">
        <v>23.61</v>
      </c>
      <c r="H954" s="8"/>
      <c r="I954" s="10"/>
      <c r="J954" s="10" t="s">
        <v>6241</v>
      </c>
      <c r="K954" s="10" t="s">
        <v>6242</v>
      </c>
      <c r="L954" s="11" t="s">
        <v>6243</v>
      </c>
      <c r="M954" s="11" t="s">
        <v>6244</v>
      </c>
      <c r="N954" s="12"/>
      <c r="O954" s="12"/>
      <c r="P954" s="13">
        <f>IFERROR(__xludf.DUMMYFUNCTION("VALUE(SUBSTITUTE((INDEX(SPLIT(A954,"",""),1)),""."","","",1))"),45.047259)</f>
        <v>45.047259</v>
      </c>
      <c r="Q954" s="13">
        <f>IFERROR(__xludf.DUMMYFUNCTION("VALUE(SUBSTITUTE((INDEX(SPLIT(A954,"",""),2)),""."","","",1))"),33.995044)</f>
        <v>33.995044</v>
      </c>
      <c r="R954" s="14" t="b">
        <f t="shared" si="1"/>
        <v>0</v>
      </c>
      <c r="S954" s="14" t="str">
        <f t="shared" si="2"/>
        <v>45.047259,33.995044</v>
      </c>
      <c r="T954" s="12"/>
    </row>
    <row r="955">
      <c r="A955" s="15" t="s">
        <v>6245</v>
      </c>
      <c r="B955" s="16" t="s">
        <v>6246</v>
      </c>
      <c r="C955" s="16" t="s">
        <v>6247</v>
      </c>
      <c r="D955" s="16" t="s">
        <v>16</v>
      </c>
      <c r="E955" s="17" t="s">
        <v>6248</v>
      </c>
      <c r="F955" s="16" t="s">
        <v>4881</v>
      </c>
      <c r="G955" s="16">
        <v>23.61</v>
      </c>
      <c r="H955" s="16"/>
      <c r="I955" s="16"/>
      <c r="J955" s="16" t="s">
        <v>6249</v>
      </c>
      <c r="K955" s="16" t="s">
        <v>6250</v>
      </c>
      <c r="L955" s="16"/>
      <c r="M955" s="25" t="s">
        <v>6251</v>
      </c>
      <c r="N955" s="12"/>
      <c r="O955" s="12"/>
      <c r="P955" s="13">
        <f>IFERROR(__xludf.DUMMYFUNCTION("VALUE(SUBSTITUTE((INDEX(SPLIT(A955,"",""),1)),""."","","",1))"),45.057963)</f>
        <v>45.057963</v>
      </c>
      <c r="Q955" s="13">
        <f>IFERROR(__xludf.DUMMYFUNCTION("VALUE(SUBSTITUTE((INDEX(SPLIT(A955,"",""),2)),""."","","",1))"),33.996526)</f>
        <v>33.996526</v>
      </c>
      <c r="R955" s="14" t="b">
        <f t="shared" si="1"/>
        <v>0</v>
      </c>
      <c r="S955" s="14" t="str">
        <f t="shared" si="2"/>
        <v>45.057963,33.996526</v>
      </c>
      <c r="T955" s="12"/>
    </row>
    <row r="956">
      <c r="A956" s="7" t="s">
        <v>6252</v>
      </c>
      <c r="B956" s="8" t="s">
        <v>6253</v>
      </c>
      <c r="C956" s="8" t="s">
        <v>6254</v>
      </c>
      <c r="D956" s="8" t="s">
        <v>16</v>
      </c>
      <c r="E956" s="9" t="s">
        <v>6255</v>
      </c>
      <c r="F956" s="10" t="s">
        <v>4881</v>
      </c>
      <c r="G956" s="8">
        <v>23.61</v>
      </c>
      <c r="H956" s="8"/>
      <c r="I956" s="10"/>
      <c r="J956" s="10" t="s">
        <v>6256</v>
      </c>
      <c r="K956" s="10" t="s">
        <v>6257</v>
      </c>
      <c r="L956" s="11" t="s">
        <v>6258</v>
      </c>
      <c r="M956" s="11" t="s">
        <v>6259</v>
      </c>
      <c r="N956" s="12"/>
      <c r="O956" s="12"/>
      <c r="P956" s="13">
        <f>IFERROR(__xludf.DUMMYFUNCTION("VALUE(SUBSTITUTE((INDEX(SPLIT(A956,"",""),1)),""."","","",1))"),44.406675)</f>
        <v>44.406675</v>
      </c>
      <c r="Q956" s="13">
        <f>IFERROR(__xludf.DUMMYFUNCTION("VALUE(SUBSTITUTE((INDEX(SPLIT(A956,"",""),2)),""."","","",1))"),34.00542)</f>
        <v>34.00542</v>
      </c>
      <c r="R956" s="14" t="b">
        <f t="shared" si="1"/>
        <v>0</v>
      </c>
      <c r="S956" s="14" t="str">
        <f t="shared" si="2"/>
        <v>44.406675,34.00542</v>
      </c>
      <c r="T956" s="12"/>
    </row>
    <row r="957">
      <c r="A957" s="20" t="s">
        <v>6260</v>
      </c>
      <c r="B957" s="16" t="s">
        <v>6261</v>
      </c>
      <c r="C957" s="16" t="s">
        <v>6262</v>
      </c>
      <c r="D957" s="16" t="s">
        <v>16</v>
      </c>
      <c r="E957" s="21" t="s">
        <v>6263</v>
      </c>
      <c r="F957" s="22" t="s">
        <v>4881</v>
      </c>
      <c r="G957" s="16">
        <v>23.61</v>
      </c>
      <c r="H957" s="16"/>
      <c r="I957" s="22"/>
      <c r="J957" s="22" t="s">
        <v>6264</v>
      </c>
      <c r="K957" s="22" t="s">
        <v>6265</v>
      </c>
      <c r="L957" s="23" t="s">
        <v>6266</v>
      </c>
      <c r="M957" s="23" t="s">
        <v>6267</v>
      </c>
      <c r="N957" s="12"/>
      <c r="O957" s="12"/>
      <c r="P957" s="13">
        <f>IFERROR(__xludf.DUMMYFUNCTION("VALUE(SUBSTITUTE((INDEX(SPLIT(A957,"",""),1)),""."","","",1))"),45.0344)</f>
        <v>45.0344</v>
      </c>
      <c r="Q957" s="13">
        <f>IFERROR(__xludf.DUMMYFUNCTION("VALUE(SUBSTITUTE((INDEX(SPLIT(A957,"",""),2)),""."","","",1))"),34.007567)</f>
        <v>34.007567</v>
      </c>
      <c r="R957" s="14" t="b">
        <f t="shared" si="1"/>
        <v>0</v>
      </c>
      <c r="S957" s="14" t="str">
        <f t="shared" si="2"/>
        <v>45.0344,34.007567</v>
      </c>
      <c r="T957" s="12"/>
    </row>
    <row r="958">
      <c r="A958" s="18" t="s">
        <v>6268</v>
      </c>
      <c r="B958" s="8" t="s">
        <v>6269</v>
      </c>
      <c r="C958" s="8" t="s">
        <v>6270</v>
      </c>
      <c r="D958" s="8" t="s">
        <v>16</v>
      </c>
      <c r="E958" s="19" t="s">
        <v>6271</v>
      </c>
      <c r="F958" s="8" t="s">
        <v>4881</v>
      </c>
      <c r="G958" s="8">
        <v>23.61</v>
      </c>
      <c r="H958" s="8"/>
      <c r="I958" s="8"/>
      <c r="J958" s="8" t="s">
        <v>6272</v>
      </c>
      <c r="K958" s="8" t="s">
        <v>6273</v>
      </c>
      <c r="L958" s="8"/>
      <c r="M958" s="24" t="s">
        <v>6274</v>
      </c>
      <c r="N958" s="12"/>
      <c r="O958" s="12"/>
      <c r="P958" s="13">
        <f>IFERROR(__xludf.DUMMYFUNCTION("VALUE(SUBSTITUTE((INDEX(SPLIT(A958,"",""),1)),""."","","",1))"),45.007508)</f>
        <v>45.007508</v>
      </c>
      <c r="Q958" s="13">
        <f>IFERROR(__xludf.DUMMYFUNCTION("VALUE(SUBSTITUTE((INDEX(SPLIT(A958,"",""),2)),""."","","",1))"),34.027581)</f>
        <v>34.027581</v>
      </c>
      <c r="R958" s="14" t="b">
        <f t="shared" si="1"/>
        <v>0</v>
      </c>
      <c r="S958" s="14" t="str">
        <f t="shared" si="2"/>
        <v>45.007508,34.027581</v>
      </c>
      <c r="T958" s="12"/>
    </row>
    <row r="959">
      <c r="A959" s="20" t="s">
        <v>6268</v>
      </c>
      <c r="B959" s="16" t="s">
        <v>957</v>
      </c>
      <c r="C959" s="16" t="s">
        <v>958</v>
      </c>
      <c r="D959" s="16" t="s">
        <v>16</v>
      </c>
      <c r="E959" s="21" t="s">
        <v>6275</v>
      </c>
      <c r="F959" s="22" t="s">
        <v>4881</v>
      </c>
      <c r="G959" s="16">
        <v>23.61</v>
      </c>
      <c r="H959" s="16"/>
      <c r="I959" s="22"/>
      <c r="J959" s="22" t="s">
        <v>6276</v>
      </c>
      <c r="K959" s="22" t="s">
        <v>6277</v>
      </c>
      <c r="L959" s="23" t="s">
        <v>6278</v>
      </c>
      <c r="M959" s="23" t="s">
        <v>6279</v>
      </c>
      <c r="N959" s="12"/>
      <c r="O959" s="12"/>
      <c r="P959" s="13">
        <f>IFERROR(__xludf.DUMMYFUNCTION("VALUE(SUBSTITUTE((INDEX(SPLIT(A959,"",""),1)),""."","","",1))"),45.007508)</f>
        <v>45.007508</v>
      </c>
      <c r="Q959" s="13">
        <f>IFERROR(__xludf.DUMMYFUNCTION("VALUE(SUBSTITUTE((INDEX(SPLIT(A959,"",""),2)),""."","","",1))"),34.027581)</f>
        <v>34.027581</v>
      </c>
      <c r="R959" s="14" t="b">
        <f t="shared" si="1"/>
        <v>0</v>
      </c>
      <c r="S959" s="14" t="str">
        <f t="shared" si="2"/>
        <v>45.007508,34.027581</v>
      </c>
      <c r="T959" s="12"/>
    </row>
    <row r="960">
      <c r="A960" s="7" t="s">
        <v>6268</v>
      </c>
      <c r="B960" s="8" t="s">
        <v>6280</v>
      </c>
      <c r="C960" s="8" t="s">
        <v>6280</v>
      </c>
      <c r="D960" s="8" t="s">
        <v>16</v>
      </c>
      <c r="E960" s="9" t="s">
        <v>6281</v>
      </c>
      <c r="F960" s="10" t="s">
        <v>4881</v>
      </c>
      <c r="G960" s="8">
        <v>23.61</v>
      </c>
      <c r="H960" s="8"/>
      <c r="I960" s="10"/>
      <c r="J960" s="10" t="s">
        <v>6282</v>
      </c>
      <c r="K960" s="10" t="s">
        <v>6283</v>
      </c>
      <c r="L960" s="11" t="s">
        <v>6284</v>
      </c>
      <c r="M960" s="11" t="s">
        <v>6285</v>
      </c>
      <c r="N960" s="12"/>
      <c r="O960" s="12"/>
      <c r="P960" s="13">
        <f>IFERROR(__xludf.DUMMYFUNCTION("VALUE(SUBSTITUTE((INDEX(SPLIT(A960,"",""),1)),""."","","",1))"),45.007508)</f>
        <v>45.007508</v>
      </c>
      <c r="Q960" s="13">
        <f>IFERROR(__xludf.DUMMYFUNCTION("VALUE(SUBSTITUTE((INDEX(SPLIT(A960,"",""),2)),""."","","",1))"),34.027581)</f>
        <v>34.027581</v>
      </c>
      <c r="R960" s="14" t="b">
        <f t="shared" si="1"/>
        <v>0</v>
      </c>
      <c r="S960" s="14" t="str">
        <f t="shared" si="2"/>
        <v>45.007508,34.027581</v>
      </c>
      <c r="T960" s="12"/>
    </row>
    <row r="961">
      <c r="A961" s="20" t="s">
        <v>6286</v>
      </c>
      <c r="B961" s="16" t="s">
        <v>6287</v>
      </c>
      <c r="C961" s="16" t="s">
        <v>6288</v>
      </c>
      <c r="D961" s="16" t="s">
        <v>16</v>
      </c>
      <c r="E961" s="21" t="s">
        <v>6289</v>
      </c>
      <c r="F961" s="22" t="s">
        <v>4881</v>
      </c>
      <c r="G961" s="16">
        <v>23.61</v>
      </c>
      <c r="H961" s="16"/>
      <c r="I961" s="22"/>
      <c r="J961" s="22" t="s">
        <v>6290</v>
      </c>
      <c r="K961" s="22" t="s">
        <v>6291</v>
      </c>
      <c r="L961" s="23" t="s">
        <v>6292</v>
      </c>
      <c r="M961" s="23" t="s">
        <v>6293</v>
      </c>
      <c r="N961" s="12"/>
      <c r="O961" s="12"/>
      <c r="P961" s="13">
        <f>IFERROR(__xludf.DUMMYFUNCTION("VALUE(SUBSTITUTE((INDEX(SPLIT(A961,"",""),1)),""."","","",1))"),44.931343)</f>
        <v>44.931343</v>
      </c>
      <c r="Q961" s="13">
        <f>IFERROR(__xludf.DUMMYFUNCTION("VALUE(SUBSTITUTE((INDEX(SPLIT(A961,"",""),2)),""."","","",1))"),34.04093)</f>
        <v>34.04093</v>
      </c>
      <c r="R961" s="14" t="b">
        <f t="shared" si="1"/>
        <v>0</v>
      </c>
      <c r="S961" s="14" t="str">
        <f t="shared" si="2"/>
        <v>44.931343,34.04093</v>
      </c>
      <c r="T961" s="12"/>
    </row>
    <row r="962">
      <c r="A962" s="7" t="s">
        <v>6294</v>
      </c>
      <c r="B962" s="8" t="s">
        <v>6295</v>
      </c>
      <c r="C962" s="8" t="s">
        <v>6296</v>
      </c>
      <c r="D962" s="8" t="s">
        <v>16</v>
      </c>
      <c r="E962" s="9" t="s">
        <v>6297</v>
      </c>
      <c r="F962" s="10" t="s">
        <v>4881</v>
      </c>
      <c r="G962" s="8">
        <v>23.61</v>
      </c>
      <c r="H962" s="8"/>
      <c r="I962" s="10"/>
      <c r="J962" s="10" t="s">
        <v>6298</v>
      </c>
      <c r="K962" s="10" t="s">
        <v>6299</v>
      </c>
      <c r="L962" s="11" t="s">
        <v>6300</v>
      </c>
      <c r="M962" s="11" t="s">
        <v>6301</v>
      </c>
      <c r="N962" s="12"/>
      <c r="O962" s="12"/>
      <c r="P962" s="13">
        <f>IFERROR(__xludf.DUMMYFUNCTION("VALUE(SUBSTITUTE((INDEX(SPLIT(A962,"",""),1)),""."","","",1))"),44.933493)</f>
        <v>44.933493</v>
      </c>
      <c r="Q962" s="13">
        <f>IFERROR(__xludf.DUMMYFUNCTION("VALUE(SUBSTITUTE((INDEX(SPLIT(A962,"",""),2)),""."","","",1))"),34.045979)</f>
        <v>34.045979</v>
      </c>
      <c r="R962" s="14" t="b">
        <f t="shared" si="1"/>
        <v>0</v>
      </c>
      <c r="S962" s="14" t="str">
        <f t="shared" si="2"/>
        <v>44.933493,34.045979</v>
      </c>
      <c r="T962" s="12"/>
    </row>
    <row r="963">
      <c r="A963" s="20" t="s">
        <v>6302</v>
      </c>
      <c r="B963" s="16" t="s">
        <v>6303</v>
      </c>
      <c r="C963" s="16" t="s">
        <v>6304</v>
      </c>
      <c r="D963" s="16" t="s">
        <v>16</v>
      </c>
      <c r="E963" s="21" t="s">
        <v>6305</v>
      </c>
      <c r="F963" s="22" t="s">
        <v>4881</v>
      </c>
      <c r="G963" s="16">
        <v>23.61</v>
      </c>
      <c r="H963" s="16"/>
      <c r="I963" s="22"/>
      <c r="J963" s="22" t="s">
        <v>6306</v>
      </c>
      <c r="K963" s="22" t="s">
        <v>6307</v>
      </c>
      <c r="L963" s="23" t="s">
        <v>6308</v>
      </c>
      <c r="M963" s="23" t="s">
        <v>6309</v>
      </c>
      <c r="N963" s="12"/>
      <c r="O963" s="12"/>
      <c r="P963" s="13">
        <f>IFERROR(__xludf.DUMMYFUNCTION("VALUE(SUBSTITUTE((INDEX(SPLIT(A963,"",""),1)),""."","","",1))"),44.933582)</f>
        <v>44.933582</v>
      </c>
      <c r="Q963" s="13">
        <f>IFERROR(__xludf.DUMMYFUNCTION("VALUE(SUBSTITUTE((INDEX(SPLIT(A963,"",""),2)),""."","","",1))"),34.048368)</f>
        <v>34.048368</v>
      </c>
      <c r="R963" s="14" t="b">
        <f t="shared" si="1"/>
        <v>0</v>
      </c>
      <c r="S963" s="14" t="str">
        <f t="shared" si="2"/>
        <v>44.933582,34.048368</v>
      </c>
      <c r="T963" s="12"/>
    </row>
    <row r="964">
      <c r="A964" s="7" t="s">
        <v>6310</v>
      </c>
      <c r="B964" s="8" t="s">
        <v>6311</v>
      </c>
      <c r="C964" s="8" t="s">
        <v>6312</v>
      </c>
      <c r="D964" s="8" t="s">
        <v>16</v>
      </c>
      <c r="E964" s="9" t="s">
        <v>6313</v>
      </c>
      <c r="F964" s="10" t="s">
        <v>4881</v>
      </c>
      <c r="G964" s="8">
        <v>23.61</v>
      </c>
      <c r="H964" s="8"/>
      <c r="I964" s="10"/>
      <c r="J964" s="10" t="s">
        <v>6314</v>
      </c>
      <c r="K964" s="10" t="s">
        <v>6315</v>
      </c>
      <c r="L964" s="11" t="s">
        <v>6316</v>
      </c>
      <c r="M964" s="11" t="s">
        <v>6317</v>
      </c>
      <c r="N964" s="12"/>
      <c r="O964" s="12"/>
      <c r="P964" s="13">
        <f>IFERROR(__xludf.DUMMYFUNCTION("VALUE(SUBSTITUTE((INDEX(SPLIT(A964,"",""),1)),""."","","",1))"),44.933557)</f>
        <v>44.933557</v>
      </c>
      <c r="Q964" s="13">
        <f>IFERROR(__xludf.DUMMYFUNCTION("VALUE(SUBSTITUTE((INDEX(SPLIT(A964,"",""),2)),""."","","",1))"),34.063819)</f>
        <v>34.063819</v>
      </c>
      <c r="R964" s="14" t="b">
        <f t="shared" si="1"/>
        <v>0</v>
      </c>
      <c r="S964" s="14" t="str">
        <f t="shared" si="2"/>
        <v>44.933557,34.063819</v>
      </c>
      <c r="T964" s="12"/>
    </row>
    <row r="965">
      <c r="A965" s="20" t="s">
        <v>6318</v>
      </c>
      <c r="B965" s="16" t="s">
        <v>6319</v>
      </c>
      <c r="C965" s="16" t="s">
        <v>6320</v>
      </c>
      <c r="D965" s="16" t="s">
        <v>16</v>
      </c>
      <c r="E965" s="21" t="s">
        <v>6321</v>
      </c>
      <c r="F965" s="22" t="s">
        <v>4881</v>
      </c>
      <c r="G965" s="16">
        <v>23.61</v>
      </c>
      <c r="H965" s="16"/>
      <c r="I965" s="22"/>
      <c r="J965" s="22" t="s">
        <v>6322</v>
      </c>
      <c r="K965" s="22" t="s">
        <v>6323</v>
      </c>
      <c r="L965" s="23" t="s">
        <v>6324</v>
      </c>
      <c r="M965" s="22"/>
      <c r="N965" s="12"/>
      <c r="O965" s="12"/>
      <c r="P965" s="13">
        <f>IFERROR(__xludf.DUMMYFUNCTION("VALUE(SUBSTITUTE((INDEX(SPLIT(A965,"",""),1)),""."","","",1))"),44.934814)</f>
        <v>44.934814</v>
      </c>
      <c r="Q965" s="13">
        <f>IFERROR(__xludf.DUMMYFUNCTION("VALUE(SUBSTITUTE((INDEX(SPLIT(A965,"",""),2)),""."","","",1))"),34.064223)</f>
        <v>34.064223</v>
      </c>
      <c r="R965" s="14" t="b">
        <f t="shared" si="1"/>
        <v>0</v>
      </c>
      <c r="S965" s="14" t="str">
        <f t="shared" si="2"/>
        <v>44.934814,34.064223</v>
      </c>
      <c r="T965" s="12"/>
    </row>
    <row r="966">
      <c r="A966" s="7" t="s">
        <v>6325</v>
      </c>
      <c r="B966" s="8" t="s">
        <v>6326</v>
      </c>
      <c r="C966" s="8" t="s">
        <v>6327</v>
      </c>
      <c r="D966" s="8" t="s">
        <v>16</v>
      </c>
      <c r="E966" s="9" t="s">
        <v>6328</v>
      </c>
      <c r="F966" s="10" t="s">
        <v>4881</v>
      </c>
      <c r="G966" s="8">
        <v>23.61</v>
      </c>
      <c r="H966" s="8"/>
      <c r="I966" s="10"/>
      <c r="J966" s="10" t="s">
        <v>6329</v>
      </c>
      <c r="K966" s="10" t="s">
        <v>6330</v>
      </c>
      <c r="L966" s="11" t="s">
        <v>6331</v>
      </c>
      <c r="M966" s="11" t="s">
        <v>6332</v>
      </c>
      <c r="N966" s="12"/>
      <c r="O966" s="12"/>
      <c r="P966" s="13">
        <f>IFERROR(__xludf.DUMMYFUNCTION("VALUE(SUBSTITUTE((INDEX(SPLIT(A966,"",""),1)),""."","","",1))"),44.933582)</f>
        <v>44.933582</v>
      </c>
      <c r="Q966" s="13">
        <f>IFERROR(__xludf.DUMMYFUNCTION("VALUE(SUBSTITUTE((INDEX(SPLIT(A966,"",""),2)),""."","","",1))"),34.068176)</f>
        <v>34.068176</v>
      </c>
      <c r="R966" s="14" t="b">
        <f t="shared" si="1"/>
        <v>0</v>
      </c>
      <c r="S966" s="14" t="str">
        <f t="shared" si="2"/>
        <v>44.933582,34.068176</v>
      </c>
      <c r="T966" s="12"/>
    </row>
    <row r="967">
      <c r="A967" s="20" t="s">
        <v>6333</v>
      </c>
      <c r="B967" s="16" t="s">
        <v>6334</v>
      </c>
      <c r="C967" s="16" t="s">
        <v>6335</v>
      </c>
      <c r="D967" s="16" t="s">
        <v>16</v>
      </c>
      <c r="E967" s="21" t="s">
        <v>6336</v>
      </c>
      <c r="F967" s="22" t="s">
        <v>4881</v>
      </c>
      <c r="G967" s="16">
        <v>23.61</v>
      </c>
      <c r="H967" s="16"/>
      <c r="I967" s="22"/>
      <c r="J967" s="22" t="s">
        <v>6337</v>
      </c>
      <c r="K967" s="22" t="s">
        <v>6338</v>
      </c>
      <c r="L967" s="23" t="s">
        <v>6339</v>
      </c>
      <c r="M967" s="23" t="s">
        <v>6340</v>
      </c>
      <c r="N967" s="12"/>
      <c r="O967" s="12"/>
      <c r="P967" s="13">
        <f>IFERROR(__xludf.DUMMYFUNCTION("VALUE(SUBSTITUTE((INDEX(SPLIT(A967,"",""),1)),""."","","",1))"),44.939261)</f>
        <v>44.939261</v>
      </c>
      <c r="Q967" s="13">
        <f>IFERROR(__xludf.DUMMYFUNCTION("VALUE(SUBSTITUTE((INDEX(SPLIT(A967,"",""),2)),""."","","",1))"),34.071185)</f>
        <v>34.071185</v>
      </c>
      <c r="R967" s="14" t="b">
        <f t="shared" si="1"/>
        <v>0</v>
      </c>
      <c r="S967" s="14" t="str">
        <f t="shared" si="2"/>
        <v>44.939261,34.071185</v>
      </c>
      <c r="T967" s="12"/>
    </row>
    <row r="968">
      <c r="A968" s="7" t="s">
        <v>6341</v>
      </c>
      <c r="B968" s="8" t="s">
        <v>6342</v>
      </c>
      <c r="C968" s="8" t="s">
        <v>6343</v>
      </c>
      <c r="D968" s="8" t="s">
        <v>16</v>
      </c>
      <c r="E968" s="9" t="s">
        <v>6344</v>
      </c>
      <c r="F968" s="10" t="s">
        <v>4881</v>
      </c>
      <c r="G968" s="8">
        <v>23.61</v>
      </c>
      <c r="H968" s="8"/>
      <c r="I968" s="10"/>
      <c r="J968" s="10" t="s">
        <v>6345</v>
      </c>
      <c r="K968" s="10" t="s">
        <v>6346</v>
      </c>
      <c r="L968" s="11" t="s">
        <v>6347</v>
      </c>
      <c r="M968" s="11" t="s">
        <v>6348</v>
      </c>
      <c r="N968" s="12"/>
      <c r="O968" s="12"/>
      <c r="P968" s="13">
        <f>IFERROR(__xludf.DUMMYFUNCTION("VALUE(SUBSTITUTE((INDEX(SPLIT(A968,"",""),1)),""."","","",1))"),44.935177)</f>
        <v>44.935177</v>
      </c>
      <c r="Q968" s="13">
        <f>IFERROR(__xludf.DUMMYFUNCTION("VALUE(SUBSTITUTE((INDEX(SPLIT(A968,"",""),2)),""."","","",1))"),34.071778)</f>
        <v>34.071778</v>
      </c>
      <c r="R968" s="14" t="b">
        <f t="shared" si="1"/>
        <v>0</v>
      </c>
      <c r="S968" s="14" t="str">
        <f t="shared" si="2"/>
        <v>44.935177,34.071778</v>
      </c>
      <c r="T968" s="12"/>
    </row>
    <row r="969">
      <c r="A969" s="15" t="s">
        <v>6349</v>
      </c>
      <c r="B969" s="16" t="s">
        <v>6350</v>
      </c>
      <c r="C969" s="16" t="s">
        <v>6351</v>
      </c>
      <c r="D969" s="16" t="s">
        <v>16</v>
      </c>
      <c r="E969" s="17" t="s">
        <v>6352</v>
      </c>
      <c r="F969" s="16" t="s">
        <v>4881</v>
      </c>
      <c r="G969" s="16">
        <v>23.61</v>
      </c>
      <c r="H969" s="16"/>
      <c r="I969" s="32" t="s">
        <v>6353</v>
      </c>
      <c r="J969" s="16" t="s">
        <v>6354</v>
      </c>
      <c r="K969" s="16" t="s">
        <v>6355</v>
      </c>
      <c r="L969" s="16"/>
      <c r="M969" s="25" t="s">
        <v>6356</v>
      </c>
      <c r="N969" s="12"/>
      <c r="O969" s="12"/>
      <c r="P969" s="13">
        <f>IFERROR(__xludf.DUMMYFUNCTION("VALUE(SUBSTITUTE((INDEX(SPLIT(A969,"",""),1)),""."","","",1))"),44.937806)</f>
        <v>44.937806</v>
      </c>
      <c r="Q969" s="13">
        <f>IFERROR(__xludf.DUMMYFUNCTION("VALUE(SUBSTITUTE((INDEX(SPLIT(A969,"",""),2)),""."","","",1))"),34.075138)</f>
        <v>34.075138</v>
      </c>
      <c r="R969" s="14" t="b">
        <f t="shared" si="1"/>
        <v>0</v>
      </c>
      <c r="S969" s="14" t="str">
        <f t="shared" si="2"/>
        <v>44.937806,34.075138</v>
      </c>
      <c r="T969" s="12"/>
    </row>
    <row r="970">
      <c r="A970" s="7" t="s">
        <v>6349</v>
      </c>
      <c r="B970" s="8" t="s">
        <v>6357</v>
      </c>
      <c r="C970" s="8" t="s">
        <v>6358</v>
      </c>
      <c r="D970" s="8" t="s">
        <v>16</v>
      </c>
      <c r="E970" s="9" t="s">
        <v>6359</v>
      </c>
      <c r="F970" s="10" t="s">
        <v>4881</v>
      </c>
      <c r="G970" s="8">
        <v>23.61</v>
      </c>
      <c r="H970" s="8"/>
      <c r="I970" s="10"/>
      <c r="J970" s="10" t="s">
        <v>6360</v>
      </c>
      <c r="K970" s="10" t="s">
        <v>6361</v>
      </c>
      <c r="L970" s="11" t="s">
        <v>6362</v>
      </c>
      <c r="M970" s="10"/>
      <c r="N970" s="12"/>
      <c r="O970" s="12"/>
      <c r="P970" s="13">
        <f>IFERROR(__xludf.DUMMYFUNCTION("VALUE(SUBSTITUTE((INDEX(SPLIT(A970,"",""),1)),""."","","",1))"),44.937806)</f>
        <v>44.937806</v>
      </c>
      <c r="Q970" s="13">
        <f>IFERROR(__xludf.DUMMYFUNCTION("VALUE(SUBSTITUTE((INDEX(SPLIT(A970,"",""),2)),""."","","",1))"),34.075138)</f>
        <v>34.075138</v>
      </c>
      <c r="R970" s="14" t="b">
        <f t="shared" si="1"/>
        <v>0</v>
      </c>
      <c r="S970" s="14" t="str">
        <f t="shared" si="2"/>
        <v>44.937806,34.075138</v>
      </c>
      <c r="T970" s="12"/>
    </row>
    <row r="971">
      <c r="A971" s="15" t="s">
        <v>6363</v>
      </c>
      <c r="B971" s="16" t="s">
        <v>6364</v>
      </c>
      <c r="C971" s="16" t="s">
        <v>6365</v>
      </c>
      <c r="D971" s="16" t="s">
        <v>16</v>
      </c>
      <c r="E971" s="17" t="s">
        <v>6366</v>
      </c>
      <c r="F971" s="16" t="s">
        <v>4881</v>
      </c>
      <c r="G971" s="16">
        <v>23.61</v>
      </c>
      <c r="H971" s="16"/>
      <c r="I971" s="16"/>
      <c r="J971" s="16" t="s">
        <v>6367</v>
      </c>
      <c r="K971" s="16" t="s">
        <v>6368</v>
      </c>
      <c r="L971" s="16"/>
      <c r="M971" s="25" t="s">
        <v>6369</v>
      </c>
      <c r="N971" s="12"/>
      <c r="O971" s="12"/>
      <c r="P971" s="13">
        <f>IFERROR(__xludf.DUMMYFUNCTION("VALUE(SUBSTITUTE((INDEX(SPLIT(A971,"",""),1)),""."","","",1))"),44.929096)</f>
        <v>44.929096</v>
      </c>
      <c r="Q971" s="13">
        <f>IFERROR(__xludf.DUMMYFUNCTION("VALUE(SUBSTITUTE((INDEX(SPLIT(A971,"",""),2)),""."","","",1))"),34.083052)</f>
        <v>34.083052</v>
      </c>
      <c r="R971" s="14" t="b">
        <f t="shared" si="1"/>
        <v>0</v>
      </c>
      <c r="S971" s="14" t="str">
        <f t="shared" si="2"/>
        <v>44.929096,34.083052</v>
      </c>
      <c r="T971" s="12"/>
    </row>
    <row r="972">
      <c r="A972" s="7" t="s">
        <v>6370</v>
      </c>
      <c r="B972" s="8" t="s">
        <v>6371</v>
      </c>
      <c r="C972" s="8" t="s">
        <v>6372</v>
      </c>
      <c r="D972" s="8" t="s">
        <v>16</v>
      </c>
      <c r="E972" s="9" t="s">
        <v>6373</v>
      </c>
      <c r="F972" s="10" t="s">
        <v>4881</v>
      </c>
      <c r="G972" s="8">
        <v>23.61</v>
      </c>
      <c r="H972" s="8"/>
      <c r="I972" s="10"/>
      <c r="J972" s="10" t="s">
        <v>6374</v>
      </c>
      <c r="K972" s="10" t="s">
        <v>6375</v>
      </c>
      <c r="L972" s="11" t="s">
        <v>6376</v>
      </c>
      <c r="M972" s="10"/>
      <c r="N972" s="12"/>
      <c r="O972" s="12"/>
      <c r="P972" s="13">
        <f>IFERROR(__xludf.DUMMYFUNCTION("VALUE(SUBSTITUTE((INDEX(SPLIT(A972,"",""),1)),""."","","",1))"),44.9566)</f>
        <v>44.9566</v>
      </c>
      <c r="Q972" s="13">
        <f>IFERROR(__xludf.DUMMYFUNCTION("VALUE(SUBSTITUTE((INDEX(SPLIT(A972,"",""),2)),""."","","",1))"),34.08342)</f>
        <v>34.08342</v>
      </c>
      <c r="R972" s="14" t="b">
        <f t="shared" si="1"/>
        <v>0</v>
      </c>
      <c r="S972" s="14" t="str">
        <f t="shared" si="2"/>
        <v>44.9566,34.08342</v>
      </c>
      <c r="T972" s="12"/>
    </row>
    <row r="973">
      <c r="A973" s="20" t="s">
        <v>6377</v>
      </c>
      <c r="B973" s="16" t="s">
        <v>6378</v>
      </c>
      <c r="C973" s="16" t="s">
        <v>6379</v>
      </c>
      <c r="D973" s="16" t="s">
        <v>16</v>
      </c>
      <c r="E973" s="21" t="s">
        <v>6380</v>
      </c>
      <c r="F973" s="22" t="s">
        <v>4881</v>
      </c>
      <c r="G973" s="16">
        <v>23.61</v>
      </c>
      <c r="H973" s="16"/>
      <c r="I973" s="22"/>
      <c r="J973" s="22" t="s">
        <v>6381</v>
      </c>
      <c r="K973" s="22" t="s">
        <v>6382</v>
      </c>
      <c r="L973" s="23" t="s">
        <v>6383</v>
      </c>
      <c r="M973" s="22"/>
      <c r="N973" s="12"/>
      <c r="O973" s="12"/>
      <c r="P973" s="13">
        <f>IFERROR(__xludf.DUMMYFUNCTION("VALUE(SUBSTITUTE((INDEX(SPLIT(A973,"",""),1)),""."","","",1))"),44.984683)</f>
        <v>44.984683</v>
      </c>
      <c r="Q973" s="13">
        <f>IFERROR(__xludf.DUMMYFUNCTION("VALUE(SUBSTITUTE((INDEX(SPLIT(A973,"",""),2)),""."","","",1))"),34.083744)</f>
        <v>34.083744</v>
      </c>
      <c r="R973" s="14" t="b">
        <f t="shared" si="1"/>
        <v>0</v>
      </c>
      <c r="S973" s="14" t="str">
        <f t="shared" si="2"/>
        <v>44.984683,34.083744</v>
      </c>
      <c r="T973" s="12"/>
    </row>
    <row r="974">
      <c r="A974" s="18" t="s">
        <v>6384</v>
      </c>
      <c r="B974" s="8" t="s">
        <v>6385</v>
      </c>
      <c r="C974" s="8" t="s">
        <v>6386</v>
      </c>
      <c r="D974" s="8" t="s">
        <v>16</v>
      </c>
      <c r="E974" s="19" t="s">
        <v>6387</v>
      </c>
      <c r="F974" s="8" t="s">
        <v>4881</v>
      </c>
      <c r="G974" s="8">
        <v>23.61</v>
      </c>
      <c r="H974" s="8"/>
      <c r="I974" s="8"/>
      <c r="J974" s="8" t="s">
        <v>6388</v>
      </c>
      <c r="K974" s="8" t="s">
        <v>6389</v>
      </c>
      <c r="L974" s="8"/>
      <c r="M974" s="8"/>
      <c r="N974" s="12"/>
      <c r="O974" s="12"/>
      <c r="P974" s="13">
        <f>IFERROR(__xludf.DUMMYFUNCTION("VALUE(SUBSTITUTE((INDEX(SPLIT(A974,"",""),1)),""."","","",1))"),44.990701)</f>
        <v>44.990701</v>
      </c>
      <c r="Q974" s="13">
        <f>IFERROR(__xludf.DUMMYFUNCTION("VALUE(SUBSTITUTE((INDEX(SPLIT(A974,"",""),2)),""."","","",1))"),34.087876)</f>
        <v>34.087876</v>
      </c>
      <c r="R974" s="14" t="b">
        <f t="shared" si="1"/>
        <v>0</v>
      </c>
      <c r="S974" s="14" t="str">
        <f t="shared" si="2"/>
        <v>44.990701,34.087876</v>
      </c>
      <c r="T974" s="12"/>
    </row>
    <row r="975">
      <c r="A975" s="20" t="s">
        <v>6390</v>
      </c>
      <c r="B975" s="16" t="s">
        <v>6391</v>
      </c>
      <c r="C975" s="16" t="s">
        <v>6392</v>
      </c>
      <c r="D975" s="16" t="s">
        <v>16</v>
      </c>
      <c r="E975" s="21" t="s">
        <v>6393</v>
      </c>
      <c r="F975" s="22" t="s">
        <v>4881</v>
      </c>
      <c r="G975" s="16">
        <v>23.61</v>
      </c>
      <c r="H975" s="16"/>
      <c r="I975" s="22"/>
      <c r="J975" s="22" t="s">
        <v>6394</v>
      </c>
      <c r="K975" s="22" t="s">
        <v>6395</v>
      </c>
      <c r="L975" s="23" t="s">
        <v>6396</v>
      </c>
      <c r="M975" s="23" t="s">
        <v>6397</v>
      </c>
      <c r="N975" s="12"/>
      <c r="O975" s="12"/>
      <c r="P975" s="13">
        <f>IFERROR(__xludf.DUMMYFUNCTION("VALUE(SUBSTITUTE((INDEX(SPLIT(A975,"",""),1)),""."","","",1))"),44.966058)</f>
        <v>44.966058</v>
      </c>
      <c r="Q975" s="13">
        <f>IFERROR(__xludf.DUMMYFUNCTION("VALUE(SUBSTITUTE((INDEX(SPLIT(A975,"",""),2)),""."","","",1))"),34.08837)</f>
        <v>34.08837</v>
      </c>
      <c r="R975" s="14" t="b">
        <f t="shared" si="1"/>
        <v>0</v>
      </c>
      <c r="S975" s="14" t="str">
        <f t="shared" si="2"/>
        <v>44.966058,34.08837</v>
      </c>
      <c r="T975" s="12"/>
    </row>
    <row r="976">
      <c r="A976" s="7" t="s">
        <v>6398</v>
      </c>
      <c r="B976" s="8" t="s">
        <v>6399</v>
      </c>
      <c r="C976" s="8" t="s">
        <v>6400</v>
      </c>
      <c r="D976" s="8" t="s">
        <v>16</v>
      </c>
      <c r="E976" s="9" t="s">
        <v>6401</v>
      </c>
      <c r="F976" s="10" t="s">
        <v>4881</v>
      </c>
      <c r="G976" s="8">
        <v>23.61</v>
      </c>
      <c r="H976" s="8"/>
      <c r="I976" s="10"/>
      <c r="J976" s="10" t="s">
        <v>6402</v>
      </c>
      <c r="K976" s="10" t="s">
        <v>6403</v>
      </c>
      <c r="L976" s="11" t="s">
        <v>6404</v>
      </c>
      <c r="M976" s="11" t="s">
        <v>6405</v>
      </c>
      <c r="N976" s="12"/>
      <c r="O976" s="12"/>
      <c r="P976" s="13">
        <f>IFERROR(__xludf.DUMMYFUNCTION("VALUE(SUBSTITUTE((INDEX(SPLIT(A976,"",""),1)),""."","","",1))"),44.989821)</f>
        <v>44.989821</v>
      </c>
      <c r="Q976" s="13">
        <f>IFERROR(__xludf.DUMMYFUNCTION("VALUE(SUBSTITUTE((INDEX(SPLIT(A976,"",""),2)),""."","","",1))"),34.090598)</f>
        <v>34.090598</v>
      </c>
      <c r="R976" s="14" t="b">
        <f t="shared" si="1"/>
        <v>0</v>
      </c>
      <c r="S976" s="14" t="str">
        <f t="shared" si="2"/>
        <v>44.989821,34.090598</v>
      </c>
      <c r="T976" s="12"/>
    </row>
    <row r="977">
      <c r="A977" s="15" t="s">
        <v>6398</v>
      </c>
      <c r="B977" s="16" t="s">
        <v>6406</v>
      </c>
      <c r="C977" s="16" t="s">
        <v>6407</v>
      </c>
      <c r="D977" s="16" t="s">
        <v>16</v>
      </c>
      <c r="E977" s="17" t="s">
        <v>6408</v>
      </c>
      <c r="F977" s="16" t="s">
        <v>4881</v>
      </c>
      <c r="G977" s="16">
        <v>23.61</v>
      </c>
      <c r="H977" s="16"/>
      <c r="I977" s="16"/>
      <c r="J977" s="16" t="s">
        <v>6409</v>
      </c>
      <c r="K977" s="16" t="s">
        <v>6410</v>
      </c>
      <c r="L977" s="16"/>
      <c r="M977" s="16"/>
      <c r="N977" s="12"/>
      <c r="O977" s="12"/>
      <c r="P977" s="13">
        <f>IFERROR(__xludf.DUMMYFUNCTION("VALUE(SUBSTITUTE((INDEX(SPLIT(A977,"",""),1)),""."","","",1))"),44.989821)</f>
        <v>44.989821</v>
      </c>
      <c r="Q977" s="13">
        <f>IFERROR(__xludf.DUMMYFUNCTION("VALUE(SUBSTITUTE((INDEX(SPLIT(A977,"",""),2)),""."","","",1))"),34.090598)</f>
        <v>34.090598</v>
      </c>
      <c r="R977" s="14" t="b">
        <f t="shared" si="1"/>
        <v>0</v>
      </c>
      <c r="S977" s="14" t="str">
        <f t="shared" si="2"/>
        <v>44.989821,34.090598</v>
      </c>
      <c r="T977" s="12"/>
    </row>
    <row r="978">
      <c r="A978" s="7" t="s">
        <v>6411</v>
      </c>
      <c r="B978" s="8" t="s">
        <v>6412</v>
      </c>
      <c r="C978" s="8" t="s">
        <v>6413</v>
      </c>
      <c r="D978" s="8" t="s">
        <v>16</v>
      </c>
      <c r="E978" s="9" t="s">
        <v>6414</v>
      </c>
      <c r="F978" s="10" t="s">
        <v>4881</v>
      </c>
      <c r="G978" s="8">
        <v>23.61</v>
      </c>
      <c r="H978" s="8"/>
      <c r="I978" s="10"/>
      <c r="J978" s="10" t="s">
        <v>6415</v>
      </c>
      <c r="K978" s="10" t="s">
        <v>6416</v>
      </c>
      <c r="L978" s="11" t="s">
        <v>6417</v>
      </c>
      <c r="M978" s="10"/>
      <c r="N978" s="12"/>
      <c r="O978" s="12"/>
      <c r="P978" s="13">
        <f>IFERROR(__xludf.DUMMYFUNCTION("VALUE(SUBSTITUTE((INDEX(SPLIT(A978,"",""),1)),""."","","",1))"),44.936811)</f>
        <v>44.936811</v>
      </c>
      <c r="Q978" s="13">
        <f>IFERROR(__xludf.DUMMYFUNCTION("VALUE(SUBSTITUTE((INDEX(SPLIT(A978,"",""),2)),""."","","",1))"),34.090607)</f>
        <v>34.090607</v>
      </c>
      <c r="R978" s="14" t="b">
        <f t="shared" si="1"/>
        <v>0</v>
      </c>
      <c r="S978" s="14" t="str">
        <f t="shared" si="2"/>
        <v>44.936811,34.090607</v>
      </c>
      <c r="T978" s="12"/>
    </row>
    <row r="979">
      <c r="A979" s="20" t="s">
        <v>6418</v>
      </c>
      <c r="B979" s="16" t="s">
        <v>6419</v>
      </c>
      <c r="C979" s="16" t="s">
        <v>6420</v>
      </c>
      <c r="D979" s="16" t="s">
        <v>16</v>
      </c>
      <c r="E979" s="21" t="s">
        <v>6421</v>
      </c>
      <c r="F979" s="22" t="s">
        <v>4881</v>
      </c>
      <c r="G979" s="16">
        <v>23.61</v>
      </c>
      <c r="H979" s="16"/>
      <c r="I979" s="22"/>
      <c r="J979" s="22" t="s">
        <v>6422</v>
      </c>
      <c r="K979" s="22" t="s">
        <v>6423</v>
      </c>
      <c r="L979" s="23" t="s">
        <v>6424</v>
      </c>
      <c r="M979" s="22"/>
      <c r="N979" s="12"/>
      <c r="O979" s="12"/>
      <c r="P979" s="13">
        <f>IFERROR(__xludf.DUMMYFUNCTION("VALUE(SUBSTITUTE((INDEX(SPLIT(A979,"",""),1)),""."","","",1))"),44.921827)</f>
        <v>44.921827</v>
      </c>
      <c r="Q979" s="13">
        <f>IFERROR(__xludf.DUMMYFUNCTION("VALUE(SUBSTITUTE((INDEX(SPLIT(A979,"",""),2)),""."","","",1))"),34.090858)</f>
        <v>34.090858</v>
      </c>
      <c r="R979" s="14" t="b">
        <f t="shared" si="1"/>
        <v>0</v>
      </c>
      <c r="S979" s="14" t="str">
        <f t="shared" si="2"/>
        <v>44.921827,34.090858</v>
      </c>
      <c r="T979" s="12"/>
    </row>
    <row r="980">
      <c r="A980" s="18" t="s">
        <v>6425</v>
      </c>
      <c r="B980" s="8" t="s">
        <v>6426</v>
      </c>
      <c r="C980" s="8" t="s">
        <v>6427</v>
      </c>
      <c r="D980" s="8" t="s">
        <v>16</v>
      </c>
      <c r="E980" s="19" t="s">
        <v>6428</v>
      </c>
      <c r="F980" s="8" t="s">
        <v>4881</v>
      </c>
      <c r="G980" s="8">
        <v>23.61</v>
      </c>
      <c r="H980" s="8"/>
      <c r="I980" s="8"/>
      <c r="J980" s="8" t="s">
        <v>6429</v>
      </c>
      <c r="K980" s="8" t="s">
        <v>6430</v>
      </c>
      <c r="L980" s="8"/>
      <c r="M980" s="24" t="s">
        <v>6431</v>
      </c>
      <c r="N980" s="12"/>
      <c r="O980" s="12"/>
      <c r="P980" s="13">
        <f>IFERROR(__xludf.DUMMYFUNCTION("VALUE(SUBSTITUTE((INDEX(SPLIT(A980,"",""),1)),""."","","",1))"),44.954693)</f>
        <v>44.954693</v>
      </c>
      <c r="Q980" s="13">
        <f>IFERROR(__xludf.DUMMYFUNCTION("VALUE(SUBSTITUTE((INDEX(SPLIT(A980,"",""),2)),""."","","",1))"),34.09243)</f>
        <v>34.09243</v>
      </c>
      <c r="R980" s="14" t="b">
        <f t="shared" si="1"/>
        <v>0</v>
      </c>
      <c r="S980" s="14" t="str">
        <f t="shared" si="2"/>
        <v>44.954693,34.09243</v>
      </c>
      <c r="T980" s="12"/>
    </row>
    <row r="981">
      <c r="A981" s="15" t="s">
        <v>6432</v>
      </c>
      <c r="B981" s="16" t="s">
        <v>6433</v>
      </c>
      <c r="C981" s="16" t="s">
        <v>6434</v>
      </c>
      <c r="D981" s="16" t="s">
        <v>16</v>
      </c>
      <c r="E981" s="17" t="s">
        <v>6435</v>
      </c>
      <c r="F981" s="16" t="s">
        <v>4881</v>
      </c>
      <c r="G981" s="16">
        <v>23.61</v>
      </c>
      <c r="H981" s="16"/>
      <c r="I981" s="16"/>
      <c r="J981" s="16" t="s">
        <v>6436</v>
      </c>
      <c r="K981" s="16" t="s">
        <v>6437</v>
      </c>
      <c r="L981" s="16"/>
      <c r="M981" s="25" t="s">
        <v>6438</v>
      </c>
      <c r="N981" s="12"/>
      <c r="O981" s="12"/>
      <c r="P981" s="13">
        <f>IFERROR(__xludf.DUMMYFUNCTION("VALUE(SUBSTITUTE((INDEX(SPLIT(A981,"",""),1)),""."","","",1))"),44.970439)</f>
        <v>44.970439</v>
      </c>
      <c r="Q981" s="13">
        <f>IFERROR(__xludf.DUMMYFUNCTION("VALUE(SUBSTITUTE((INDEX(SPLIT(A981,"",""),2)),""."","","",1))"),34.092951)</f>
        <v>34.092951</v>
      </c>
      <c r="R981" s="14" t="b">
        <f t="shared" si="1"/>
        <v>0</v>
      </c>
      <c r="S981" s="14" t="str">
        <f t="shared" si="2"/>
        <v>44.970439,34.092951</v>
      </c>
      <c r="T981" s="12"/>
    </row>
    <row r="982">
      <c r="A982" s="18" t="s">
        <v>6439</v>
      </c>
      <c r="B982" s="8" t="s">
        <v>6440</v>
      </c>
      <c r="C982" s="8" t="s">
        <v>6441</v>
      </c>
      <c r="D982" s="8" t="s">
        <v>16</v>
      </c>
      <c r="E982" s="19" t="s">
        <v>6442</v>
      </c>
      <c r="F982" s="8" t="s">
        <v>4881</v>
      </c>
      <c r="G982" s="8">
        <v>23.61</v>
      </c>
      <c r="H982" s="8"/>
      <c r="I982" s="8"/>
      <c r="J982" s="8" t="s">
        <v>6443</v>
      </c>
      <c r="K982" s="8" t="s">
        <v>6444</v>
      </c>
      <c r="L982" s="8"/>
      <c r="M982" s="8"/>
      <c r="N982" s="12"/>
      <c r="O982" s="12"/>
      <c r="P982" s="13">
        <f>IFERROR(__xludf.DUMMYFUNCTION("VALUE(SUBSTITUTE((INDEX(SPLIT(A982,"",""),1)),""."","","",1))"),44.951344)</f>
        <v>44.951344</v>
      </c>
      <c r="Q982" s="13">
        <f>IFERROR(__xludf.DUMMYFUNCTION("VALUE(SUBSTITUTE((INDEX(SPLIT(A982,"",""),2)),""."","","",1))"),34.099851)</f>
        <v>34.099851</v>
      </c>
      <c r="R982" s="14" t="b">
        <f t="shared" si="1"/>
        <v>0</v>
      </c>
      <c r="S982" s="14" t="str">
        <f t="shared" si="2"/>
        <v>44.951344,34.099851</v>
      </c>
      <c r="T982" s="12"/>
    </row>
    <row r="983">
      <c r="A983" s="20" t="s">
        <v>6445</v>
      </c>
      <c r="B983" s="16" t="s">
        <v>6446</v>
      </c>
      <c r="C983" s="16" t="s">
        <v>6447</v>
      </c>
      <c r="D983" s="16" t="s">
        <v>16</v>
      </c>
      <c r="E983" s="21" t="s">
        <v>6448</v>
      </c>
      <c r="F983" s="22" t="s">
        <v>4881</v>
      </c>
      <c r="G983" s="16">
        <v>23.61</v>
      </c>
      <c r="H983" s="16"/>
      <c r="I983" s="28" t="s">
        <v>6449</v>
      </c>
      <c r="J983" s="22" t="s">
        <v>6450</v>
      </c>
      <c r="K983" s="22" t="s">
        <v>6451</v>
      </c>
      <c r="L983" s="23" t="s">
        <v>6452</v>
      </c>
      <c r="M983" s="23" t="s">
        <v>6453</v>
      </c>
      <c r="N983" s="12"/>
      <c r="O983" s="12"/>
      <c r="P983" s="13">
        <f>IFERROR(__xludf.DUMMYFUNCTION("VALUE(SUBSTITUTE((INDEX(SPLIT(A983,"",""),1)),""."","","",1))"),44.948237)</f>
        <v>44.948237</v>
      </c>
      <c r="Q983" s="13">
        <f>IFERROR(__xludf.DUMMYFUNCTION("VALUE(SUBSTITUTE((INDEX(SPLIT(A983,"",""),2)),""."","","",1))"),34.100327)</f>
        <v>34.100327</v>
      </c>
      <c r="R983" s="14" t="b">
        <f t="shared" si="1"/>
        <v>0</v>
      </c>
      <c r="S983" s="14" t="str">
        <f t="shared" si="2"/>
        <v>44.948237,34.100327</v>
      </c>
      <c r="T983" s="12"/>
    </row>
    <row r="984">
      <c r="A984" s="18" t="s">
        <v>6445</v>
      </c>
      <c r="B984" s="8" t="s">
        <v>6454</v>
      </c>
      <c r="C984" s="8" t="s">
        <v>6455</v>
      </c>
      <c r="D984" s="8" t="s">
        <v>16</v>
      </c>
      <c r="E984" s="19" t="s">
        <v>6456</v>
      </c>
      <c r="F984" s="8" t="s">
        <v>4881</v>
      </c>
      <c r="G984" s="8">
        <v>23.61</v>
      </c>
      <c r="H984" s="8"/>
      <c r="I984" s="8"/>
      <c r="J984" s="8" t="s">
        <v>6457</v>
      </c>
      <c r="K984" s="8" t="s">
        <v>6458</v>
      </c>
      <c r="L984" s="8"/>
      <c r="M984" s="24" t="s">
        <v>6459</v>
      </c>
      <c r="N984" s="12"/>
      <c r="O984" s="12"/>
      <c r="P984" s="13">
        <f>IFERROR(__xludf.DUMMYFUNCTION("VALUE(SUBSTITUTE((INDEX(SPLIT(A984,"",""),1)),""."","","",1))"),44.948237)</f>
        <v>44.948237</v>
      </c>
      <c r="Q984" s="13">
        <f>IFERROR(__xludf.DUMMYFUNCTION("VALUE(SUBSTITUTE((INDEX(SPLIT(A984,"",""),2)),""."","","",1))"),34.100327)</f>
        <v>34.100327</v>
      </c>
      <c r="R984" s="14" t="b">
        <f t="shared" si="1"/>
        <v>0</v>
      </c>
      <c r="S984" s="14" t="str">
        <f t="shared" si="2"/>
        <v>44.948237,34.100327</v>
      </c>
      <c r="T984" s="12"/>
    </row>
    <row r="985">
      <c r="A985" s="20" t="s">
        <v>6460</v>
      </c>
      <c r="B985" s="16" t="s">
        <v>6461</v>
      </c>
      <c r="C985" s="16" t="s">
        <v>6462</v>
      </c>
      <c r="D985" s="16" t="s">
        <v>16</v>
      </c>
      <c r="E985" s="21" t="s">
        <v>6463</v>
      </c>
      <c r="F985" s="22" t="s">
        <v>4881</v>
      </c>
      <c r="G985" s="16">
        <v>23.61</v>
      </c>
      <c r="H985" s="16"/>
      <c r="I985" s="22"/>
      <c r="J985" s="22" t="s">
        <v>6464</v>
      </c>
      <c r="K985" s="22" t="s">
        <v>6465</v>
      </c>
      <c r="L985" s="23" t="s">
        <v>6466</v>
      </c>
      <c r="M985" s="23" t="s">
        <v>6467</v>
      </c>
      <c r="N985" s="12"/>
      <c r="O985" s="12"/>
      <c r="P985" s="13">
        <f>IFERROR(__xludf.DUMMYFUNCTION("VALUE(SUBSTITUTE((INDEX(SPLIT(A985,"",""),1)),""."","","",1))"),44.949564)</f>
        <v>44.949564</v>
      </c>
      <c r="Q985" s="13">
        <f>IFERROR(__xludf.DUMMYFUNCTION("VALUE(SUBSTITUTE((INDEX(SPLIT(A985,"",""),2)),""."","","",1))"),34.103534)</f>
        <v>34.103534</v>
      </c>
      <c r="R985" s="14" t="b">
        <f t="shared" si="1"/>
        <v>0</v>
      </c>
      <c r="S985" s="14" t="str">
        <f t="shared" si="2"/>
        <v>44.949564,34.103534</v>
      </c>
      <c r="T985" s="12"/>
    </row>
    <row r="986">
      <c r="A986" s="18" t="s">
        <v>6468</v>
      </c>
      <c r="B986" s="8" t="s">
        <v>6469</v>
      </c>
      <c r="C986" s="8" t="s">
        <v>6470</v>
      </c>
      <c r="D986" s="8" t="s">
        <v>16</v>
      </c>
      <c r="E986" s="19" t="s">
        <v>6471</v>
      </c>
      <c r="F986" s="8" t="s">
        <v>5142</v>
      </c>
      <c r="G986" s="8">
        <v>23.61</v>
      </c>
      <c r="H986" s="8"/>
      <c r="I986" s="8"/>
      <c r="J986" s="8" t="s">
        <v>6472</v>
      </c>
      <c r="K986" s="8" t="s">
        <v>6473</v>
      </c>
      <c r="L986" s="8"/>
      <c r="M986" s="24" t="s">
        <v>6474</v>
      </c>
      <c r="N986" s="12"/>
      <c r="O986" s="12"/>
      <c r="P986" s="13">
        <f>IFERROR(__xludf.DUMMYFUNCTION("VALUE(SUBSTITUTE((INDEX(SPLIT(A986,"",""),1)),""."","","",1))"),53.368174)</f>
        <v>53.368174</v>
      </c>
      <c r="Q986" s="13">
        <f>IFERROR(__xludf.DUMMYFUNCTION("VALUE(SUBSTITUTE((INDEX(SPLIT(A986,"",""),2)),""."","","",1))"),34.104207)</f>
        <v>34.104207</v>
      </c>
      <c r="R986" s="14" t="b">
        <f t="shared" si="1"/>
        <v>0</v>
      </c>
      <c r="S986" s="14" t="str">
        <f t="shared" si="2"/>
        <v>53.368174,34.104207</v>
      </c>
      <c r="T986" s="12"/>
    </row>
    <row r="987">
      <c r="A987" s="20" t="s">
        <v>6475</v>
      </c>
      <c r="B987" s="16" t="s">
        <v>6476</v>
      </c>
      <c r="C987" s="16" t="s">
        <v>6477</v>
      </c>
      <c r="D987" s="16" t="s">
        <v>16</v>
      </c>
      <c r="E987" s="21" t="s">
        <v>6478</v>
      </c>
      <c r="F987" s="22" t="s">
        <v>4881</v>
      </c>
      <c r="G987" s="16">
        <v>23.61</v>
      </c>
      <c r="H987" s="16"/>
      <c r="I987" s="22"/>
      <c r="J987" s="22" t="s">
        <v>6479</v>
      </c>
      <c r="K987" s="22" t="s">
        <v>6480</v>
      </c>
      <c r="L987" s="23" t="s">
        <v>6481</v>
      </c>
      <c r="M987" s="23" t="s">
        <v>6482</v>
      </c>
      <c r="N987" s="12"/>
      <c r="O987" s="12"/>
      <c r="P987" s="13">
        <f>IFERROR(__xludf.DUMMYFUNCTION("VALUE(SUBSTITUTE((INDEX(SPLIT(A987,"",""),1)),""."","","",1))"),44.945284)</f>
        <v>44.945284</v>
      </c>
      <c r="Q987" s="13">
        <f>IFERROR(__xludf.DUMMYFUNCTION("VALUE(SUBSTITUTE((INDEX(SPLIT(A987,"",""),2)),""."","","",1))"),34.105115)</f>
        <v>34.105115</v>
      </c>
      <c r="R987" s="14" t="b">
        <f t="shared" si="1"/>
        <v>0</v>
      </c>
      <c r="S987" s="14" t="str">
        <f t="shared" si="2"/>
        <v>44.945284,34.105115</v>
      </c>
      <c r="T987" s="12"/>
    </row>
    <row r="988">
      <c r="A988" s="18" t="s">
        <v>6483</v>
      </c>
      <c r="B988" s="8" t="s">
        <v>6484</v>
      </c>
      <c r="C988" s="8" t="s">
        <v>6485</v>
      </c>
      <c r="D988" s="8" t="s">
        <v>16</v>
      </c>
      <c r="E988" s="19" t="s">
        <v>6486</v>
      </c>
      <c r="F988" s="8" t="s">
        <v>4881</v>
      </c>
      <c r="G988" s="8">
        <v>23.61</v>
      </c>
      <c r="H988" s="8"/>
      <c r="I988" s="8"/>
      <c r="J988" s="8" t="s">
        <v>6487</v>
      </c>
      <c r="K988" s="8" t="s">
        <v>6488</v>
      </c>
      <c r="L988" s="8"/>
      <c r="M988" s="8"/>
      <c r="N988" s="12"/>
      <c r="O988" s="12"/>
      <c r="P988" s="13">
        <f>IFERROR(__xludf.DUMMYFUNCTION("VALUE(SUBSTITUTE((INDEX(SPLIT(A988,"",""),1)),""."","","",1))"),44.942221)</f>
        <v>44.942221</v>
      </c>
      <c r="Q988" s="13">
        <f>IFERROR(__xludf.DUMMYFUNCTION("VALUE(SUBSTITUTE((INDEX(SPLIT(A988,"",""),2)),""."","","",1))"),34.106363)</f>
        <v>34.106363</v>
      </c>
      <c r="R988" s="14" t="b">
        <f t="shared" si="1"/>
        <v>0</v>
      </c>
      <c r="S988" s="14" t="str">
        <f t="shared" si="2"/>
        <v>44.942221,34.106363</v>
      </c>
      <c r="T988" s="12"/>
    </row>
    <row r="989">
      <c r="A989" s="20" t="s">
        <v>6489</v>
      </c>
      <c r="B989" s="16" t="s">
        <v>6490</v>
      </c>
      <c r="C989" s="16" t="s">
        <v>6491</v>
      </c>
      <c r="D989" s="16" t="s">
        <v>16</v>
      </c>
      <c r="E989" s="21" t="s">
        <v>6492</v>
      </c>
      <c r="F989" s="22" t="s">
        <v>4881</v>
      </c>
      <c r="G989" s="16">
        <v>23.61</v>
      </c>
      <c r="H989" s="16"/>
      <c r="I989" s="22"/>
      <c r="J989" s="22" t="s">
        <v>6493</v>
      </c>
      <c r="K989" s="22" t="s">
        <v>6494</v>
      </c>
      <c r="L989" s="23" t="s">
        <v>6495</v>
      </c>
      <c r="M989" s="23" t="s">
        <v>6496</v>
      </c>
      <c r="N989" s="12"/>
      <c r="O989" s="12"/>
      <c r="P989" s="13">
        <f>IFERROR(__xludf.DUMMYFUNCTION("VALUE(SUBSTITUTE((INDEX(SPLIT(A989,"",""),1)),""."","","",1))"),44.92251)</f>
        <v>44.92251</v>
      </c>
      <c r="Q989" s="13">
        <f>IFERROR(__xludf.DUMMYFUNCTION("VALUE(SUBSTITUTE((INDEX(SPLIT(A989,"",""),2)),""."","","",1))"),34.10807)</f>
        <v>34.10807</v>
      </c>
      <c r="R989" s="14" t="b">
        <f t="shared" si="1"/>
        <v>0</v>
      </c>
      <c r="S989" s="14" t="str">
        <f t="shared" si="2"/>
        <v>44.92251,34.10807</v>
      </c>
      <c r="T989" s="12"/>
    </row>
    <row r="990">
      <c r="A990" s="7" t="s">
        <v>6497</v>
      </c>
      <c r="B990" s="8" t="s">
        <v>6498</v>
      </c>
      <c r="C990" s="8" t="s">
        <v>6499</v>
      </c>
      <c r="D990" s="8" t="s">
        <v>16</v>
      </c>
      <c r="E990" s="9" t="s">
        <v>6500</v>
      </c>
      <c r="F990" s="10" t="s">
        <v>4881</v>
      </c>
      <c r="G990" s="8">
        <v>23.61</v>
      </c>
      <c r="H990" s="8"/>
      <c r="I990" s="10"/>
      <c r="J990" s="10" t="s">
        <v>6501</v>
      </c>
      <c r="K990" s="10" t="s">
        <v>6502</v>
      </c>
      <c r="L990" s="11" t="s">
        <v>6503</v>
      </c>
      <c r="M990" s="11" t="s">
        <v>6504</v>
      </c>
      <c r="N990" s="12"/>
      <c r="O990" s="12"/>
      <c r="P990" s="13">
        <f>IFERROR(__xludf.DUMMYFUNCTION("VALUE(SUBSTITUTE((INDEX(SPLIT(A990,"",""),1)),""."","","",1))"),44.928133)</f>
        <v>44.928133</v>
      </c>
      <c r="Q990" s="13">
        <f>IFERROR(__xludf.DUMMYFUNCTION("VALUE(SUBSTITUTE((INDEX(SPLIT(A990,"",""),2)),""."","","",1))"),34.111663)</f>
        <v>34.111663</v>
      </c>
      <c r="R990" s="14" t="b">
        <f t="shared" si="1"/>
        <v>0</v>
      </c>
      <c r="S990" s="14" t="str">
        <f t="shared" si="2"/>
        <v>44.928133,34.111663</v>
      </c>
      <c r="T990" s="12"/>
    </row>
    <row r="991">
      <c r="A991" s="20" t="s">
        <v>6505</v>
      </c>
      <c r="B991" s="16" t="s">
        <v>6506</v>
      </c>
      <c r="C991" s="16" t="s">
        <v>6507</v>
      </c>
      <c r="D991" s="16" t="s">
        <v>16</v>
      </c>
      <c r="E991" s="21" t="s">
        <v>6508</v>
      </c>
      <c r="F991" s="22" t="s">
        <v>4881</v>
      </c>
      <c r="G991" s="16">
        <v>23.61</v>
      </c>
      <c r="H991" s="16"/>
      <c r="I991" s="28" t="s">
        <v>6509</v>
      </c>
      <c r="J991" s="22" t="s">
        <v>6510</v>
      </c>
      <c r="K991" s="22" t="s">
        <v>6511</v>
      </c>
      <c r="L991" s="23" t="s">
        <v>6512</v>
      </c>
      <c r="M991" s="23" t="s">
        <v>6513</v>
      </c>
      <c r="N991" s="12"/>
      <c r="O991" s="12"/>
      <c r="P991" s="13">
        <f>IFERROR(__xludf.DUMMYFUNCTION("VALUE(SUBSTITUTE((INDEX(SPLIT(A991,"",""),1)),""."","","",1))"),44.925363)</f>
        <v>44.925363</v>
      </c>
      <c r="Q991" s="13">
        <f>IFERROR(__xludf.DUMMYFUNCTION("VALUE(SUBSTITUTE((INDEX(SPLIT(A991,"",""),2)),""."","","",1))"),34.114242)</f>
        <v>34.114242</v>
      </c>
      <c r="R991" s="14" t="b">
        <f t="shared" si="1"/>
        <v>0</v>
      </c>
      <c r="S991" s="14" t="str">
        <f t="shared" si="2"/>
        <v>44.925363,34.114242</v>
      </c>
      <c r="T991" s="12"/>
    </row>
    <row r="992">
      <c r="A992" s="7" t="s">
        <v>6514</v>
      </c>
      <c r="B992" s="8" t="s">
        <v>6515</v>
      </c>
      <c r="C992" s="8" t="s">
        <v>6516</v>
      </c>
      <c r="D992" s="8" t="s">
        <v>16</v>
      </c>
      <c r="E992" s="9" t="s">
        <v>6517</v>
      </c>
      <c r="F992" s="10" t="s">
        <v>4881</v>
      </c>
      <c r="G992" s="8">
        <v>23.61</v>
      </c>
      <c r="H992" s="8"/>
      <c r="I992" s="10"/>
      <c r="J992" s="10" t="s">
        <v>6518</v>
      </c>
      <c r="K992" s="10" t="s">
        <v>6519</v>
      </c>
      <c r="L992" s="11" t="s">
        <v>6520</v>
      </c>
      <c r="M992" s="11" t="s">
        <v>6521</v>
      </c>
      <c r="N992" s="12"/>
      <c r="O992" s="12"/>
      <c r="P992" s="13">
        <f>IFERROR(__xludf.DUMMYFUNCTION("VALUE(SUBSTITUTE((INDEX(SPLIT(A992,"",""),1)),""."","","",1))"),44.950183)</f>
        <v>44.950183</v>
      </c>
      <c r="Q992" s="13">
        <f>IFERROR(__xludf.DUMMYFUNCTION("VALUE(SUBSTITUTE((INDEX(SPLIT(A992,"",""),2)),""."","","",1))"),34.115697)</f>
        <v>34.115697</v>
      </c>
      <c r="R992" s="14" t="b">
        <f t="shared" si="1"/>
        <v>0</v>
      </c>
      <c r="S992" s="14" t="str">
        <f t="shared" si="2"/>
        <v>44.950183,34.115697</v>
      </c>
      <c r="T992" s="12"/>
    </row>
    <row r="993">
      <c r="A993" s="15" t="s">
        <v>6522</v>
      </c>
      <c r="B993" s="16" t="s">
        <v>6523</v>
      </c>
      <c r="C993" s="16" t="s">
        <v>6524</v>
      </c>
      <c r="D993" s="16" t="s">
        <v>16</v>
      </c>
      <c r="E993" s="17" t="s">
        <v>6525</v>
      </c>
      <c r="F993" s="16" t="s">
        <v>4881</v>
      </c>
      <c r="G993" s="16">
        <v>23.61</v>
      </c>
      <c r="H993" s="16"/>
      <c r="I993" s="16"/>
      <c r="J993" s="16" t="s">
        <v>6526</v>
      </c>
      <c r="K993" s="16" t="s">
        <v>6527</v>
      </c>
      <c r="L993" s="16"/>
      <c r="M993" s="16"/>
      <c r="N993" s="12"/>
      <c r="O993" s="12"/>
      <c r="P993" s="13">
        <f>IFERROR(__xludf.DUMMYFUNCTION("VALUE(SUBSTITUTE((INDEX(SPLIT(A993,"",""),1)),""."","","",1))"),44.929122)</f>
        <v>44.929122</v>
      </c>
      <c r="Q993" s="13">
        <f>IFERROR(__xludf.DUMMYFUNCTION("VALUE(SUBSTITUTE((INDEX(SPLIT(A993,"",""),2)),""."","","",1))"),34.11576)</f>
        <v>34.11576</v>
      </c>
      <c r="R993" s="14" t="b">
        <f t="shared" si="1"/>
        <v>0</v>
      </c>
      <c r="S993" s="14" t="str">
        <f t="shared" si="2"/>
        <v>44.929122,34.11576</v>
      </c>
      <c r="T993" s="12"/>
    </row>
    <row r="994">
      <c r="A994" s="7" t="s">
        <v>6528</v>
      </c>
      <c r="B994" s="8" t="s">
        <v>6529</v>
      </c>
      <c r="C994" s="8" t="s">
        <v>6530</v>
      </c>
      <c r="D994" s="8" t="s">
        <v>16</v>
      </c>
      <c r="E994" s="9" t="s">
        <v>6531</v>
      </c>
      <c r="F994" s="10" t="s">
        <v>4881</v>
      </c>
      <c r="G994" s="8">
        <v>23.61</v>
      </c>
      <c r="H994" s="8"/>
      <c r="I994" s="10"/>
      <c r="J994" s="10" t="s">
        <v>6532</v>
      </c>
      <c r="K994" s="10" t="s">
        <v>6533</v>
      </c>
      <c r="L994" s="11" t="s">
        <v>6534</v>
      </c>
      <c r="M994" s="10"/>
      <c r="N994" s="12"/>
      <c r="O994" s="12"/>
      <c r="P994" s="13">
        <f>IFERROR(__xludf.DUMMYFUNCTION("VALUE(SUBSTITUTE((INDEX(SPLIT(A994,"",""),1)),""."","","",1))"),44.961626)</f>
        <v>44.961626</v>
      </c>
      <c r="Q994" s="13">
        <f>IFERROR(__xludf.DUMMYFUNCTION("VALUE(SUBSTITUTE((INDEX(SPLIT(A994,"",""),2)),""."","","",1))"),34.117467)</f>
        <v>34.117467</v>
      </c>
      <c r="R994" s="14" t="b">
        <f t="shared" si="1"/>
        <v>0</v>
      </c>
      <c r="S994" s="14" t="str">
        <f t="shared" si="2"/>
        <v>44.961626,34.117467</v>
      </c>
      <c r="T994" s="12"/>
    </row>
    <row r="995">
      <c r="A995" s="20" t="s">
        <v>6528</v>
      </c>
      <c r="B995" s="16" t="s">
        <v>6535</v>
      </c>
      <c r="C995" s="16" t="s">
        <v>6536</v>
      </c>
      <c r="D995" s="16" t="s">
        <v>16</v>
      </c>
      <c r="E995" s="21" t="s">
        <v>6537</v>
      </c>
      <c r="F995" s="22" t="s">
        <v>4881</v>
      </c>
      <c r="G995" s="16">
        <v>23.61</v>
      </c>
      <c r="H995" s="16"/>
      <c r="I995" s="22"/>
      <c r="J995" s="22" t="s">
        <v>6538</v>
      </c>
      <c r="K995" s="22" t="s">
        <v>6539</v>
      </c>
      <c r="L995" s="23" t="s">
        <v>6540</v>
      </c>
      <c r="M995" s="22"/>
      <c r="N995" s="12"/>
      <c r="O995" s="12"/>
      <c r="P995" s="13">
        <f>IFERROR(__xludf.DUMMYFUNCTION("VALUE(SUBSTITUTE((INDEX(SPLIT(A995,"",""),1)),""."","","",1))"),44.961626)</f>
        <v>44.961626</v>
      </c>
      <c r="Q995" s="13">
        <f>IFERROR(__xludf.DUMMYFUNCTION("VALUE(SUBSTITUTE((INDEX(SPLIT(A995,"",""),2)),""."","","",1))"),34.117467)</f>
        <v>34.117467</v>
      </c>
      <c r="R995" s="14" t="b">
        <f t="shared" si="1"/>
        <v>0</v>
      </c>
      <c r="S995" s="14" t="str">
        <f t="shared" si="2"/>
        <v>44.961626,34.117467</v>
      </c>
      <c r="T995" s="12"/>
    </row>
    <row r="996">
      <c r="A996" s="7" t="s">
        <v>6541</v>
      </c>
      <c r="B996" s="8" t="s">
        <v>6542</v>
      </c>
      <c r="C996" s="8" t="s">
        <v>6543</v>
      </c>
      <c r="D996" s="8" t="s">
        <v>16</v>
      </c>
      <c r="E996" s="9" t="s">
        <v>6544</v>
      </c>
      <c r="F996" s="10" t="s">
        <v>4881</v>
      </c>
      <c r="G996" s="8">
        <v>23.61</v>
      </c>
      <c r="H996" s="8"/>
      <c r="I996" s="10"/>
      <c r="J996" s="10" t="s">
        <v>6545</v>
      </c>
      <c r="K996" s="10" t="s">
        <v>6546</v>
      </c>
      <c r="L996" s="11" t="s">
        <v>6547</v>
      </c>
      <c r="M996" s="10"/>
      <c r="N996" s="12"/>
      <c r="O996" s="12"/>
      <c r="P996" s="13">
        <f>IFERROR(__xludf.DUMMYFUNCTION("VALUE(SUBSTITUTE((INDEX(SPLIT(A996,"",""),1)),""."","","",1))"),44.934444)</f>
        <v>44.934444</v>
      </c>
      <c r="Q996" s="13">
        <f>IFERROR(__xludf.DUMMYFUNCTION("VALUE(SUBSTITUTE((INDEX(SPLIT(A996,"",""),2)),""."","","",1))"),34.117628)</f>
        <v>34.117628</v>
      </c>
      <c r="R996" s="14" t="b">
        <f t="shared" si="1"/>
        <v>0</v>
      </c>
      <c r="S996" s="14" t="str">
        <f t="shared" si="2"/>
        <v>44.934444,34.117628</v>
      </c>
      <c r="T996" s="12"/>
    </row>
    <row r="997">
      <c r="A997" s="15" t="s">
        <v>6548</v>
      </c>
      <c r="B997" s="16" t="s">
        <v>6549</v>
      </c>
      <c r="C997" s="16" t="s">
        <v>6550</v>
      </c>
      <c r="D997" s="16" t="s">
        <v>16</v>
      </c>
      <c r="E997" s="17" t="s">
        <v>6551</v>
      </c>
      <c r="F997" s="16" t="s">
        <v>4881</v>
      </c>
      <c r="G997" s="16">
        <v>23.61</v>
      </c>
      <c r="H997" s="16"/>
      <c r="I997" s="16"/>
      <c r="J997" s="16" t="s">
        <v>6552</v>
      </c>
      <c r="K997" s="16" t="s">
        <v>6553</v>
      </c>
      <c r="L997" s="16"/>
      <c r="M997" s="16"/>
      <c r="N997" s="12"/>
      <c r="O997" s="12"/>
      <c r="P997" s="13">
        <f>IFERROR(__xludf.DUMMYFUNCTION("VALUE(SUBSTITUTE((INDEX(SPLIT(A997,"",""),1)),""."","","",1))"),44.937034)</f>
        <v>44.937034</v>
      </c>
      <c r="Q997" s="13">
        <f>IFERROR(__xludf.DUMMYFUNCTION("VALUE(SUBSTITUTE((INDEX(SPLIT(A997,"",""),2)),""."","","",1))"),34.119326)</f>
        <v>34.119326</v>
      </c>
      <c r="R997" s="14" t="b">
        <f t="shared" si="1"/>
        <v>0</v>
      </c>
      <c r="S997" s="14" t="str">
        <f t="shared" si="2"/>
        <v>44.937034,34.119326</v>
      </c>
      <c r="T997" s="12"/>
    </row>
    <row r="998">
      <c r="A998" s="7" t="s">
        <v>6554</v>
      </c>
      <c r="B998" s="8" t="s">
        <v>6555</v>
      </c>
      <c r="C998" s="8" t="s">
        <v>6556</v>
      </c>
      <c r="D998" s="8" t="s">
        <v>16</v>
      </c>
      <c r="E998" s="9" t="s">
        <v>6557</v>
      </c>
      <c r="F998" s="10" t="s">
        <v>4881</v>
      </c>
      <c r="G998" s="8">
        <v>23.61</v>
      </c>
      <c r="H998" s="8"/>
      <c r="I998" s="10"/>
      <c r="J998" s="10" t="s">
        <v>6558</v>
      </c>
      <c r="K998" s="10" t="s">
        <v>6559</v>
      </c>
      <c r="L998" s="11" t="s">
        <v>6560</v>
      </c>
      <c r="M998" s="10"/>
      <c r="N998" s="12"/>
      <c r="O998" s="12"/>
      <c r="P998" s="13">
        <f>IFERROR(__xludf.DUMMYFUNCTION("VALUE(SUBSTITUTE((INDEX(SPLIT(A998,"",""),1)),""."","","",1))"),44.976573)</f>
        <v>44.976573</v>
      </c>
      <c r="Q998" s="13">
        <f>IFERROR(__xludf.DUMMYFUNCTION("VALUE(SUBSTITUTE((INDEX(SPLIT(A998,"",""),2)),""."","","",1))"),34.123925)</f>
        <v>34.123925</v>
      </c>
      <c r="R998" s="14" t="b">
        <f t="shared" si="1"/>
        <v>0</v>
      </c>
      <c r="S998" s="14" t="str">
        <f t="shared" si="2"/>
        <v>44.976573,34.123925</v>
      </c>
      <c r="T998" s="12"/>
    </row>
    <row r="999">
      <c r="A999" s="20" t="s">
        <v>6561</v>
      </c>
      <c r="B999" s="16" t="s">
        <v>6562</v>
      </c>
      <c r="C999" s="16" t="s">
        <v>6563</v>
      </c>
      <c r="D999" s="16" t="s">
        <v>16</v>
      </c>
      <c r="E999" s="21" t="s">
        <v>6564</v>
      </c>
      <c r="F999" s="22" t="s">
        <v>4881</v>
      </c>
      <c r="G999" s="16">
        <v>23.61</v>
      </c>
      <c r="H999" s="16"/>
      <c r="I999" s="22"/>
      <c r="J999" s="22" t="s">
        <v>6565</v>
      </c>
      <c r="K999" s="22" t="s">
        <v>6566</v>
      </c>
      <c r="L999" s="23" t="s">
        <v>6567</v>
      </c>
      <c r="M999" s="22"/>
      <c r="N999" s="12"/>
      <c r="O999" s="12"/>
      <c r="P999" s="13">
        <f>IFERROR(__xludf.DUMMYFUNCTION("VALUE(SUBSTITUTE((INDEX(SPLIT(A999,"",""),1)),""."","","",1))"),44.943293)</f>
        <v>44.943293</v>
      </c>
      <c r="Q999" s="13">
        <f>IFERROR(__xludf.DUMMYFUNCTION("VALUE(SUBSTITUTE((INDEX(SPLIT(A999,"",""),2)),""."","","",1))"),34.125327)</f>
        <v>34.125327</v>
      </c>
      <c r="R999" s="14" t="b">
        <f t="shared" si="1"/>
        <v>0</v>
      </c>
      <c r="S999" s="14" t="str">
        <f t="shared" si="2"/>
        <v>44.943293,34.125327</v>
      </c>
      <c r="T999" s="12"/>
    </row>
    <row r="1000">
      <c r="A1000" s="18" t="s">
        <v>6561</v>
      </c>
      <c r="B1000" s="8" t="s">
        <v>6568</v>
      </c>
      <c r="C1000" s="8" t="s">
        <v>6569</v>
      </c>
      <c r="D1000" s="8" t="s">
        <v>16</v>
      </c>
      <c r="E1000" s="19" t="s">
        <v>6570</v>
      </c>
      <c r="F1000" s="8" t="s">
        <v>4881</v>
      </c>
      <c r="G1000" s="8">
        <v>23.61</v>
      </c>
      <c r="H1000" s="8"/>
      <c r="I1000" s="8"/>
      <c r="J1000" s="8" t="s">
        <v>6571</v>
      </c>
      <c r="K1000" s="8" t="s">
        <v>6572</v>
      </c>
      <c r="L1000" s="8"/>
      <c r="M1000" s="8"/>
      <c r="N1000" s="12"/>
      <c r="O1000" s="12"/>
      <c r="P1000" s="13">
        <f>IFERROR(__xludf.DUMMYFUNCTION("VALUE(SUBSTITUTE((INDEX(SPLIT(A1000,"",""),1)),""."","","",1))"),44.943293)</f>
        <v>44.943293</v>
      </c>
      <c r="Q1000" s="13">
        <f>IFERROR(__xludf.DUMMYFUNCTION("VALUE(SUBSTITUTE((INDEX(SPLIT(A1000,"",""),2)),""."","","",1))"),34.125327)</f>
        <v>34.125327</v>
      </c>
      <c r="R1000" s="14" t="b">
        <f t="shared" si="1"/>
        <v>0</v>
      </c>
      <c r="S1000" s="14" t="str">
        <f t="shared" si="2"/>
        <v>44.943293,34.125327</v>
      </c>
      <c r="T1000" s="12"/>
    </row>
    <row r="1001">
      <c r="A1001" s="20" t="s">
        <v>6573</v>
      </c>
      <c r="B1001" s="16" t="s">
        <v>6574</v>
      </c>
      <c r="C1001" s="16" t="s">
        <v>6575</v>
      </c>
      <c r="D1001" s="16" t="s">
        <v>16</v>
      </c>
      <c r="E1001" s="21" t="s">
        <v>6576</v>
      </c>
      <c r="F1001" s="22" t="s">
        <v>4881</v>
      </c>
      <c r="G1001" s="16">
        <v>23.61</v>
      </c>
      <c r="H1001" s="16"/>
      <c r="I1001" s="22"/>
      <c r="J1001" s="22" t="s">
        <v>6577</v>
      </c>
      <c r="K1001" s="22" t="s">
        <v>6578</v>
      </c>
      <c r="L1001" s="23" t="s">
        <v>6560</v>
      </c>
      <c r="M1001" s="22"/>
      <c r="N1001" s="12"/>
      <c r="O1001" s="12"/>
      <c r="P1001" s="13">
        <f>IFERROR(__xludf.DUMMYFUNCTION("VALUE(SUBSTITUTE((INDEX(SPLIT(A1001,"",""),1)),""."","","",1))"),44.984938)</f>
        <v>44.984938</v>
      </c>
      <c r="Q1001" s="13">
        <f>IFERROR(__xludf.DUMMYFUNCTION("VALUE(SUBSTITUTE((INDEX(SPLIT(A1001,"",""),2)),""."","","",1))"),34.127752)</f>
        <v>34.127752</v>
      </c>
      <c r="R1001" s="14" t="b">
        <f t="shared" si="1"/>
        <v>0</v>
      </c>
      <c r="S1001" s="14" t="str">
        <f t="shared" si="2"/>
        <v>44.984938,34.127752</v>
      </c>
      <c r="T1001" s="12"/>
    </row>
    <row r="1002">
      <c r="A1002" s="7" t="s">
        <v>6579</v>
      </c>
      <c r="B1002" s="8" t="s">
        <v>6580</v>
      </c>
      <c r="C1002" s="8" t="s">
        <v>6581</v>
      </c>
      <c r="D1002" s="8" t="s">
        <v>16</v>
      </c>
      <c r="E1002" s="9" t="s">
        <v>6582</v>
      </c>
      <c r="F1002" s="10" t="s">
        <v>4881</v>
      </c>
      <c r="G1002" s="8">
        <v>23.61</v>
      </c>
      <c r="H1002" s="8"/>
      <c r="I1002" s="10"/>
      <c r="J1002" s="10" t="s">
        <v>6583</v>
      </c>
      <c r="K1002" s="10" t="s">
        <v>6584</v>
      </c>
      <c r="L1002" s="11" t="s">
        <v>6585</v>
      </c>
      <c r="M1002" s="11" t="s">
        <v>6586</v>
      </c>
      <c r="N1002" s="12"/>
      <c r="O1002" s="12"/>
      <c r="P1002" s="13">
        <f>IFERROR(__xludf.DUMMYFUNCTION("VALUE(SUBSTITUTE((INDEX(SPLIT(A1002,"",""),1)),""."","","",1))"),44.977434)</f>
        <v>44.977434</v>
      </c>
      <c r="Q1002" s="13">
        <f>IFERROR(__xludf.DUMMYFUNCTION("VALUE(SUBSTITUTE((INDEX(SPLIT(A1002,"",""),2)),""."","","",1))"),34.133762)</f>
        <v>34.133762</v>
      </c>
      <c r="R1002" s="14" t="b">
        <f t="shared" si="1"/>
        <v>0</v>
      </c>
      <c r="S1002" s="14" t="str">
        <f t="shared" si="2"/>
        <v>44.977434,34.133762</v>
      </c>
      <c r="T1002" s="12"/>
    </row>
    <row r="1003">
      <c r="A1003" s="20" t="s">
        <v>6587</v>
      </c>
      <c r="B1003" s="16" t="s">
        <v>6588</v>
      </c>
      <c r="C1003" s="16" t="s">
        <v>6589</v>
      </c>
      <c r="D1003" s="16" t="s">
        <v>16</v>
      </c>
      <c r="E1003" s="21" t="s">
        <v>6590</v>
      </c>
      <c r="F1003" s="22" t="s">
        <v>4881</v>
      </c>
      <c r="G1003" s="16">
        <v>23.61</v>
      </c>
      <c r="H1003" s="16"/>
      <c r="I1003" s="22"/>
      <c r="J1003" s="22" t="s">
        <v>6591</v>
      </c>
      <c r="K1003" s="22" t="s">
        <v>6592</v>
      </c>
      <c r="L1003" s="23" t="s">
        <v>6593</v>
      </c>
      <c r="M1003" s="23" t="s">
        <v>6594</v>
      </c>
      <c r="N1003" s="12"/>
      <c r="O1003" s="12"/>
      <c r="P1003" s="13">
        <f>IFERROR(__xludf.DUMMYFUNCTION("VALUE(SUBSTITUTE((INDEX(SPLIT(A1003,"",""),1)),""."","","",1))"),44.92565)</f>
        <v>44.92565</v>
      </c>
      <c r="Q1003" s="13">
        <f>IFERROR(__xludf.DUMMYFUNCTION("VALUE(SUBSTITUTE((INDEX(SPLIT(A1003,"",""),2)),""."","","",1))"),34.134714)</f>
        <v>34.134714</v>
      </c>
      <c r="R1003" s="14" t="b">
        <f t="shared" si="1"/>
        <v>0</v>
      </c>
      <c r="S1003" s="14" t="str">
        <f t="shared" si="2"/>
        <v>44.92565,34.134714</v>
      </c>
      <c r="T1003" s="12"/>
    </row>
    <row r="1004">
      <c r="A1004" s="18" t="s">
        <v>6595</v>
      </c>
      <c r="B1004" s="8" t="s">
        <v>6596</v>
      </c>
      <c r="C1004" s="8" t="s">
        <v>6597</v>
      </c>
      <c r="D1004" s="8" t="s">
        <v>16</v>
      </c>
      <c r="E1004" s="19" t="s">
        <v>6598</v>
      </c>
      <c r="F1004" s="8" t="s">
        <v>4881</v>
      </c>
      <c r="G1004" s="8">
        <v>23.61</v>
      </c>
      <c r="H1004" s="8"/>
      <c r="I1004" s="8"/>
      <c r="J1004" s="8" t="s">
        <v>6599</v>
      </c>
      <c r="K1004" s="8" t="s">
        <v>6600</v>
      </c>
      <c r="L1004" s="8"/>
      <c r="M1004" s="24" t="s">
        <v>6601</v>
      </c>
      <c r="N1004" s="12"/>
      <c r="O1004" s="12"/>
      <c r="P1004" s="13">
        <f>IFERROR(__xludf.DUMMYFUNCTION("VALUE(SUBSTITUTE((INDEX(SPLIT(A1004,"",""),1)),""."","","",1))"),44.930755)</f>
        <v>44.930755</v>
      </c>
      <c r="Q1004" s="13">
        <f>IFERROR(__xludf.DUMMYFUNCTION("VALUE(SUBSTITUTE((INDEX(SPLIT(A1004,"",""),2)),""."","","",1))"),34.136277)</f>
        <v>34.136277</v>
      </c>
      <c r="R1004" s="14" t="b">
        <f t="shared" si="1"/>
        <v>0</v>
      </c>
      <c r="S1004" s="14" t="str">
        <f t="shared" si="2"/>
        <v>44.930755,34.136277</v>
      </c>
      <c r="T1004" s="12"/>
    </row>
    <row r="1005">
      <c r="A1005" s="20" t="s">
        <v>6602</v>
      </c>
      <c r="B1005" s="16" t="s">
        <v>6603</v>
      </c>
      <c r="C1005" s="16" t="s">
        <v>6604</v>
      </c>
      <c r="D1005" s="16" t="s">
        <v>16</v>
      </c>
      <c r="E1005" s="21" t="s">
        <v>6605</v>
      </c>
      <c r="F1005" s="22" t="s">
        <v>4881</v>
      </c>
      <c r="G1005" s="16">
        <v>23.61</v>
      </c>
      <c r="H1005" s="16"/>
      <c r="I1005" s="22"/>
      <c r="J1005" s="22" t="s">
        <v>6606</v>
      </c>
      <c r="K1005" s="22" t="s">
        <v>6437</v>
      </c>
      <c r="L1005" s="23" t="s">
        <v>6607</v>
      </c>
      <c r="M1005" s="22"/>
      <c r="N1005" s="12"/>
      <c r="O1005" s="12"/>
      <c r="P1005" s="13">
        <f>IFERROR(__xludf.DUMMYFUNCTION("VALUE(SUBSTITUTE((INDEX(SPLIT(A1005,"",""),1)),""."","","",1))"),44.967467)</f>
        <v>44.967467</v>
      </c>
      <c r="Q1005" s="13">
        <f>IFERROR(__xludf.DUMMYFUNCTION("VALUE(SUBSTITUTE((INDEX(SPLIT(A1005,"",""),2)),""."","","",1))"),34.140436)</f>
        <v>34.140436</v>
      </c>
      <c r="R1005" s="14" t="b">
        <f t="shared" si="1"/>
        <v>0</v>
      </c>
      <c r="S1005" s="14" t="str">
        <f t="shared" si="2"/>
        <v>44.967467,34.140436</v>
      </c>
      <c r="T1005" s="12"/>
    </row>
    <row r="1006">
      <c r="A1006" s="7" t="s">
        <v>6608</v>
      </c>
      <c r="B1006" s="8" t="s">
        <v>6609</v>
      </c>
      <c r="C1006" s="8" t="s">
        <v>6610</v>
      </c>
      <c r="D1006" s="8" t="s">
        <v>16</v>
      </c>
      <c r="E1006" s="9" t="s">
        <v>6611</v>
      </c>
      <c r="F1006" s="10" t="s">
        <v>4881</v>
      </c>
      <c r="G1006" s="8">
        <v>23.61</v>
      </c>
      <c r="H1006" s="8"/>
      <c r="I1006" s="10"/>
      <c r="J1006" s="10" t="s">
        <v>6612</v>
      </c>
      <c r="K1006" s="10" t="s">
        <v>6613</v>
      </c>
      <c r="L1006" s="11" t="s">
        <v>6614</v>
      </c>
      <c r="M1006" s="11" t="s">
        <v>6615</v>
      </c>
      <c r="N1006" s="12"/>
      <c r="O1006" s="12"/>
      <c r="P1006" s="13">
        <f>IFERROR(__xludf.DUMMYFUNCTION("VALUE(SUBSTITUTE((INDEX(SPLIT(A1006,"",""),1)),""."","","",1))"),44.916447)</f>
        <v>44.916447</v>
      </c>
      <c r="Q1006" s="13">
        <f>IFERROR(__xludf.DUMMYFUNCTION("VALUE(SUBSTITUTE((INDEX(SPLIT(A1006,"",""),2)),""."","","",1))"),34.141541)</f>
        <v>34.141541</v>
      </c>
      <c r="R1006" s="14" t="b">
        <f t="shared" si="1"/>
        <v>0</v>
      </c>
      <c r="S1006" s="14" t="str">
        <f t="shared" si="2"/>
        <v>44.916447,34.141541</v>
      </c>
      <c r="T1006" s="12"/>
    </row>
    <row r="1007">
      <c r="A1007" s="20" t="s">
        <v>6616</v>
      </c>
      <c r="B1007" s="16" t="s">
        <v>6617</v>
      </c>
      <c r="C1007" s="16" t="s">
        <v>6618</v>
      </c>
      <c r="D1007" s="16" t="s">
        <v>16</v>
      </c>
      <c r="E1007" s="21" t="s">
        <v>6619</v>
      </c>
      <c r="F1007" s="22" t="s">
        <v>4881</v>
      </c>
      <c r="G1007" s="16">
        <v>23.61</v>
      </c>
      <c r="H1007" s="16"/>
      <c r="I1007" s="22"/>
      <c r="J1007" s="22" t="s">
        <v>6620</v>
      </c>
      <c r="K1007" s="22" t="s">
        <v>6621</v>
      </c>
      <c r="L1007" s="23" t="s">
        <v>6622</v>
      </c>
      <c r="M1007" s="23" t="s">
        <v>6623</v>
      </c>
      <c r="N1007" s="12"/>
      <c r="O1007" s="12"/>
      <c r="P1007" s="13">
        <f>IFERROR(__xludf.DUMMYFUNCTION("VALUE(SUBSTITUTE((INDEX(SPLIT(A1007,"",""),1)),""."","","",1))"),44.965012)</f>
        <v>44.965012</v>
      </c>
      <c r="Q1007" s="13">
        <f>IFERROR(__xludf.DUMMYFUNCTION("VALUE(SUBSTITUTE((INDEX(SPLIT(A1007,"",""),2)),""."","","",1))"),34.142718)</f>
        <v>34.142718</v>
      </c>
      <c r="R1007" s="14" t="b">
        <f t="shared" si="1"/>
        <v>0</v>
      </c>
      <c r="S1007" s="14" t="str">
        <f t="shared" si="2"/>
        <v>44.965012,34.142718</v>
      </c>
      <c r="T1007" s="12"/>
    </row>
    <row r="1008">
      <c r="A1008" s="7" t="s">
        <v>6624</v>
      </c>
      <c r="B1008" s="8" t="s">
        <v>6625</v>
      </c>
      <c r="C1008" s="8" t="s">
        <v>6626</v>
      </c>
      <c r="D1008" s="8" t="s">
        <v>16</v>
      </c>
      <c r="E1008" s="9" t="s">
        <v>6627</v>
      </c>
      <c r="F1008" s="10" t="s">
        <v>4881</v>
      </c>
      <c r="G1008" s="8">
        <v>23.61</v>
      </c>
      <c r="H1008" s="8"/>
      <c r="I1008" s="10"/>
      <c r="J1008" s="10" t="s">
        <v>6628</v>
      </c>
      <c r="K1008" s="10" t="s">
        <v>5895</v>
      </c>
      <c r="L1008" s="11" t="s">
        <v>6629</v>
      </c>
      <c r="M1008" s="11" t="s">
        <v>6630</v>
      </c>
      <c r="N1008" s="12"/>
      <c r="O1008" s="12"/>
      <c r="P1008" s="13">
        <f>IFERROR(__xludf.DUMMYFUNCTION("VALUE(SUBSTITUTE((INDEX(SPLIT(A1008,"",""),1)),""."","","",1))"),44.966766)</f>
        <v>44.966766</v>
      </c>
      <c r="Q1008" s="13">
        <f>IFERROR(__xludf.DUMMYFUNCTION("VALUE(SUBSTITUTE((INDEX(SPLIT(A1008,"",""),2)),""."","","",1))"),34.145988)</f>
        <v>34.145988</v>
      </c>
      <c r="R1008" s="14" t="b">
        <f t="shared" si="1"/>
        <v>0</v>
      </c>
      <c r="S1008" s="14" t="str">
        <f t="shared" si="2"/>
        <v>44.966766,34.145988</v>
      </c>
      <c r="T1008" s="12"/>
    </row>
    <row r="1009">
      <c r="A1009" s="20" t="s">
        <v>6631</v>
      </c>
      <c r="B1009" s="16" t="s">
        <v>6632</v>
      </c>
      <c r="C1009" s="16" t="s">
        <v>6633</v>
      </c>
      <c r="D1009" s="16" t="s">
        <v>16</v>
      </c>
      <c r="E1009" s="21" t="s">
        <v>6634</v>
      </c>
      <c r="F1009" s="22" t="s">
        <v>4881</v>
      </c>
      <c r="G1009" s="16">
        <v>23.61</v>
      </c>
      <c r="H1009" s="16"/>
      <c r="I1009" s="22"/>
      <c r="J1009" s="22" t="s">
        <v>6635</v>
      </c>
      <c r="K1009" s="22" t="s">
        <v>6636</v>
      </c>
      <c r="L1009" s="23" t="s">
        <v>6637</v>
      </c>
      <c r="M1009" s="23" t="s">
        <v>6638</v>
      </c>
      <c r="N1009" s="12"/>
      <c r="O1009" s="12"/>
      <c r="P1009" s="13">
        <f>IFERROR(__xludf.DUMMYFUNCTION("VALUE(SUBSTITUTE((INDEX(SPLIT(A1009,"",""),1)),""."","","",1))"),44.976949)</f>
        <v>44.976949</v>
      </c>
      <c r="Q1009" s="13">
        <f>IFERROR(__xludf.DUMMYFUNCTION("VALUE(SUBSTITUTE((INDEX(SPLIT(A1009,"",""),2)),""."","","",1))"),34.146132)</f>
        <v>34.146132</v>
      </c>
      <c r="R1009" s="14" t="b">
        <f t="shared" si="1"/>
        <v>0</v>
      </c>
      <c r="S1009" s="14" t="str">
        <f t="shared" si="2"/>
        <v>44.976949,34.146132</v>
      </c>
      <c r="T1009" s="12"/>
    </row>
    <row r="1010">
      <c r="A1010" s="7" t="s">
        <v>6639</v>
      </c>
      <c r="B1010" s="8" t="s">
        <v>5758</v>
      </c>
      <c r="C1010" s="8" t="s">
        <v>5759</v>
      </c>
      <c r="D1010" s="8" t="s">
        <v>16</v>
      </c>
      <c r="E1010" s="9" t="s">
        <v>6640</v>
      </c>
      <c r="F1010" s="10" t="s">
        <v>4881</v>
      </c>
      <c r="G1010" s="8">
        <v>23.61</v>
      </c>
      <c r="H1010" s="8"/>
      <c r="I1010" s="10"/>
      <c r="J1010" s="10" t="s">
        <v>6641</v>
      </c>
      <c r="K1010" s="10" t="s">
        <v>6642</v>
      </c>
      <c r="L1010" s="11" t="s">
        <v>6643</v>
      </c>
      <c r="M1010" s="11" t="s">
        <v>6644</v>
      </c>
      <c r="N1010" s="12"/>
      <c r="O1010" s="12"/>
      <c r="P1010" s="13">
        <f>IFERROR(__xludf.DUMMYFUNCTION("VALUE(SUBSTITUTE((INDEX(SPLIT(A1010,"",""),1)),""."","","",1))"),44.507829)</f>
        <v>44.507829</v>
      </c>
      <c r="Q1010" s="13">
        <f>IFERROR(__xludf.DUMMYFUNCTION("VALUE(SUBSTITUTE((INDEX(SPLIT(A1010,"",""),2)),""."","","",1))"),34.150084)</f>
        <v>34.150084</v>
      </c>
      <c r="R1010" s="14" t="b">
        <f t="shared" si="1"/>
        <v>0</v>
      </c>
      <c r="S1010" s="14" t="str">
        <f t="shared" si="2"/>
        <v>44.507829,34.150084</v>
      </c>
      <c r="T1010" s="12"/>
    </row>
    <row r="1011">
      <c r="A1011" s="20" t="s">
        <v>6645</v>
      </c>
      <c r="B1011" s="16" t="s">
        <v>6646</v>
      </c>
      <c r="C1011" s="16" t="s">
        <v>6647</v>
      </c>
      <c r="D1011" s="16" t="s">
        <v>16</v>
      </c>
      <c r="E1011" s="21" t="s">
        <v>6648</v>
      </c>
      <c r="F1011" s="22" t="s">
        <v>4881</v>
      </c>
      <c r="G1011" s="16">
        <v>23.61</v>
      </c>
      <c r="H1011" s="16"/>
      <c r="I1011" s="22"/>
      <c r="J1011" s="22" t="s">
        <v>6649</v>
      </c>
      <c r="K1011" s="22" t="s">
        <v>6650</v>
      </c>
      <c r="L1011" s="23" t="s">
        <v>6651</v>
      </c>
      <c r="M1011" s="23" t="s">
        <v>6652</v>
      </c>
      <c r="N1011" s="12"/>
      <c r="O1011" s="12"/>
      <c r="P1011" s="13">
        <f>IFERROR(__xludf.DUMMYFUNCTION("VALUE(SUBSTITUTE((INDEX(SPLIT(A1011,"",""),1)),""."","","",1))"),44.510902)</f>
        <v>44.510902</v>
      </c>
      <c r="Q1011" s="13">
        <f>IFERROR(__xludf.DUMMYFUNCTION("VALUE(SUBSTITUTE((INDEX(SPLIT(A1011,"",""),2)),""."","","",1))"),34.155142)</f>
        <v>34.155142</v>
      </c>
      <c r="R1011" s="14" t="b">
        <f t="shared" si="1"/>
        <v>0</v>
      </c>
      <c r="S1011" s="14" t="str">
        <f t="shared" si="2"/>
        <v>44.510902,34.155142</v>
      </c>
      <c r="T1011" s="12"/>
    </row>
    <row r="1012">
      <c r="A1012" s="7" t="s">
        <v>6653</v>
      </c>
      <c r="B1012" s="8" t="s">
        <v>6654</v>
      </c>
      <c r="C1012" s="8" t="s">
        <v>6655</v>
      </c>
      <c r="D1012" s="8" t="s">
        <v>16</v>
      </c>
      <c r="E1012" s="9" t="s">
        <v>6656</v>
      </c>
      <c r="F1012" s="10" t="s">
        <v>4881</v>
      </c>
      <c r="G1012" s="8">
        <v>23.61</v>
      </c>
      <c r="H1012" s="8"/>
      <c r="I1012" s="10"/>
      <c r="J1012" s="10" t="s">
        <v>6657</v>
      </c>
      <c r="K1012" s="10" t="s">
        <v>6658</v>
      </c>
      <c r="L1012" s="11" t="s">
        <v>6659</v>
      </c>
      <c r="M1012" s="10"/>
      <c r="N1012" s="12"/>
      <c r="O1012" s="12"/>
      <c r="P1012" s="13">
        <f>IFERROR(__xludf.DUMMYFUNCTION("VALUE(SUBSTITUTE((INDEX(SPLIT(A1012,"",""),1)),""."","","",1))"),44.48757)</f>
        <v>44.48757</v>
      </c>
      <c r="Q1012" s="13">
        <f>IFERROR(__xludf.DUMMYFUNCTION("VALUE(SUBSTITUTE((INDEX(SPLIT(A1012,"",""),2)),""."","","",1))"),34.155798)</f>
        <v>34.155798</v>
      </c>
      <c r="R1012" s="14" t="b">
        <f t="shared" si="1"/>
        <v>0</v>
      </c>
      <c r="S1012" s="14" t="str">
        <f t="shared" si="2"/>
        <v>44.48757,34.155798</v>
      </c>
      <c r="T1012" s="12"/>
    </row>
    <row r="1013">
      <c r="A1013" s="20" t="s">
        <v>6660</v>
      </c>
      <c r="B1013" s="16" t="s">
        <v>6661</v>
      </c>
      <c r="C1013" s="16" t="s">
        <v>6662</v>
      </c>
      <c r="D1013" s="16" t="s">
        <v>16</v>
      </c>
      <c r="E1013" s="21" t="s">
        <v>6663</v>
      </c>
      <c r="F1013" s="22" t="s">
        <v>4881</v>
      </c>
      <c r="G1013" s="16">
        <v>23.61</v>
      </c>
      <c r="H1013" s="16"/>
      <c r="I1013" s="22"/>
      <c r="J1013" s="22" t="s">
        <v>6664</v>
      </c>
      <c r="K1013" s="22" t="s">
        <v>6665</v>
      </c>
      <c r="L1013" s="23" t="s">
        <v>6666</v>
      </c>
      <c r="M1013" s="23" t="s">
        <v>6667</v>
      </c>
      <c r="N1013" s="12"/>
      <c r="O1013" s="12"/>
      <c r="P1013" s="13">
        <f>IFERROR(__xludf.DUMMYFUNCTION("VALUE(SUBSTITUTE((INDEX(SPLIT(A1013,"",""),1)),""."","","",1))"),44.989598)</f>
        <v>44.989598</v>
      </c>
      <c r="Q1013" s="13">
        <f>IFERROR(__xludf.DUMMYFUNCTION("VALUE(SUBSTITUTE((INDEX(SPLIT(A1013,"",""),2)),""."","","",1))"),34.161277)</f>
        <v>34.161277</v>
      </c>
      <c r="R1013" s="14" t="b">
        <f t="shared" si="1"/>
        <v>0</v>
      </c>
      <c r="S1013" s="14" t="str">
        <f t="shared" si="2"/>
        <v>44.989598,34.161277</v>
      </c>
      <c r="T1013" s="12"/>
    </row>
    <row r="1014">
      <c r="A1014" s="7" t="s">
        <v>6668</v>
      </c>
      <c r="B1014" s="8" t="s">
        <v>6669</v>
      </c>
      <c r="C1014" s="8" t="s">
        <v>6670</v>
      </c>
      <c r="D1014" s="8" t="s">
        <v>16</v>
      </c>
      <c r="E1014" s="9" t="s">
        <v>6671</v>
      </c>
      <c r="F1014" s="10" t="s">
        <v>3162</v>
      </c>
      <c r="G1014" s="8">
        <v>23.61</v>
      </c>
      <c r="H1014" s="8"/>
      <c r="I1014" s="10"/>
      <c r="J1014" s="10" t="s">
        <v>6672</v>
      </c>
      <c r="K1014" s="10" t="s">
        <v>6673</v>
      </c>
      <c r="L1014" s="11" t="s">
        <v>6674</v>
      </c>
      <c r="M1014" s="10"/>
      <c r="N1014" s="12"/>
      <c r="O1014" s="12"/>
      <c r="P1014" s="13">
        <f>IFERROR(__xludf.DUMMYFUNCTION("VALUE(SUBSTITUTE((INDEX(SPLIT(A1014,"",""),1)),""."","","",1))"),59.520559)</f>
        <v>59.520559</v>
      </c>
      <c r="Q1014" s="13">
        <f>IFERROR(__xludf.DUMMYFUNCTION("VALUE(SUBSTITUTE((INDEX(SPLIT(A1014,"",""),2)),""."","","",1))"),34.167071)</f>
        <v>34.167071</v>
      </c>
      <c r="R1014" s="14" t="b">
        <f t="shared" si="1"/>
        <v>0</v>
      </c>
      <c r="S1014" s="14" t="str">
        <f t="shared" si="2"/>
        <v>59.520559,34.167071</v>
      </c>
      <c r="T1014" s="12"/>
    </row>
    <row r="1015">
      <c r="A1015" s="15" t="s">
        <v>6675</v>
      </c>
      <c r="B1015" s="16" t="s">
        <v>6676</v>
      </c>
      <c r="C1015" s="16" t="s">
        <v>6677</v>
      </c>
      <c r="D1015" s="16" t="s">
        <v>16</v>
      </c>
      <c r="E1015" s="17" t="s">
        <v>6678</v>
      </c>
      <c r="F1015" s="16" t="s">
        <v>5788</v>
      </c>
      <c r="G1015" s="16">
        <v>23.61</v>
      </c>
      <c r="H1015" s="16"/>
      <c r="I1015" s="16"/>
      <c r="J1015" s="16" t="s">
        <v>6679</v>
      </c>
      <c r="K1015" s="16" t="s">
        <v>6680</v>
      </c>
      <c r="L1015" s="16"/>
      <c r="M1015" s="25" t="s">
        <v>6681</v>
      </c>
      <c r="N1015" s="12"/>
      <c r="O1015" s="12"/>
      <c r="P1015" s="13">
        <f>IFERROR(__xludf.DUMMYFUNCTION("VALUE(SUBSTITUTE((INDEX(SPLIT(A1015,"",""),1)),""."","","",1))"),57.028937)</f>
        <v>57.028937</v>
      </c>
      <c r="Q1015" s="13">
        <f>IFERROR(__xludf.DUMMYFUNCTION("VALUE(SUBSTITUTE((INDEX(SPLIT(A1015,"",""),2)),""."","","",1))"),34.16726)</f>
        <v>34.16726</v>
      </c>
      <c r="R1015" s="14" t="b">
        <f t="shared" si="1"/>
        <v>0</v>
      </c>
      <c r="S1015" s="14" t="str">
        <f t="shared" si="2"/>
        <v>57.028937,34.16726</v>
      </c>
      <c r="T1015" s="12"/>
    </row>
    <row r="1016">
      <c r="A1016" s="18" t="s">
        <v>6682</v>
      </c>
      <c r="B1016" s="8" t="s">
        <v>6683</v>
      </c>
      <c r="C1016" s="8" t="s">
        <v>6684</v>
      </c>
      <c r="D1016" s="8" t="s">
        <v>16</v>
      </c>
      <c r="E1016" s="19" t="s">
        <v>6685</v>
      </c>
      <c r="F1016" s="8" t="s">
        <v>4881</v>
      </c>
      <c r="G1016" s="8">
        <v>23.61</v>
      </c>
      <c r="H1016" s="8"/>
      <c r="I1016" s="8"/>
      <c r="J1016" s="8" t="s">
        <v>6686</v>
      </c>
      <c r="K1016" s="8" t="s">
        <v>6687</v>
      </c>
      <c r="L1016" s="8"/>
      <c r="M1016" s="24" t="s">
        <v>6688</v>
      </c>
      <c r="N1016" s="12"/>
      <c r="O1016" s="12"/>
      <c r="P1016" s="13">
        <f>IFERROR(__xludf.DUMMYFUNCTION("VALUE(SUBSTITUTE((INDEX(SPLIT(A1016,"",""),1)),""."","","",1))"),44.497415)</f>
        <v>44.497415</v>
      </c>
      <c r="Q1016" s="13">
        <f>IFERROR(__xludf.DUMMYFUNCTION("VALUE(SUBSTITUTE((INDEX(SPLIT(A1016,"",""),2)),""."","","",1))"),34.169506)</f>
        <v>34.169506</v>
      </c>
      <c r="R1016" s="14" t="b">
        <f t="shared" si="1"/>
        <v>0</v>
      </c>
      <c r="S1016" s="14" t="str">
        <f t="shared" si="2"/>
        <v>44.497415,34.169506</v>
      </c>
      <c r="T1016" s="12"/>
    </row>
    <row r="1017">
      <c r="A1017" s="20" t="s">
        <v>6689</v>
      </c>
      <c r="B1017" s="16" t="s">
        <v>6690</v>
      </c>
      <c r="C1017" s="16" t="s">
        <v>6691</v>
      </c>
      <c r="D1017" s="16" t="s">
        <v>16</v>
      </c>
      <c r="E1017" s="21" t="s">
        <v>6692</v>
      </c>
      <c r="F1017" s="22" t="s">
        <v>3162</v>
      </c>
      <c r="G1017" s="16">
        <v>23.61</v>
      </c>
      <c r="H1017" s="16"/>
      <c r="I1017" s="22"/>
      <c r="J1017" s="22" t="s">
        <v>6693</v>
      </c>
      <c r="K1017" s="22" t="s">
        <v>6694</v>
      </c>
      <c r="L1017" s="23" t="s">
        <v>6695</v>
      </c>
      <c r="M1017" s="23" t="s">
        <v>6696</v>
      </c>
      <c r="N1017" s="12"/>
      <c r="O1017" s="12"/>
      <c r="P1017" s="13">
        <f>IFERROR(__xludf.DUMMYFUNCTION("VALUE(SUBSTITUTE((INDEX(SPLIT(A1017,"",""),1)),""."","","",1))"),59.515684)</f>
        <v>59.515684</v>
      </c>
      <c r="Q1017" s="13">
        <f>IFERROR(__xludf.DUMMYFUNCTION("VALUE(SUBSTITUTE((INDEX(SPLIT(A1017,"",""),2)),""."","","",1))"),34.176243)</f>
        <v>34.176243</v>
      </c>
      <c r="R1017" s="14" t="b">
        <f t="shared" si="1"/>
        <v>0</v>
      </c>
      <c r="S1017" s="14" t="str">
        <f t="shared" si="2"/>
        <v>59.515684,34.176243</v>
      </c>
      <c r="T1017" s="12"/>
    </row>
    <row r="1018">
      <c r="A1018" s="7" t="s">
        <v>6697</v>
      </c>
      <c r="B1018" s="8" t="s">
        <v>6698</v>
      </c>
      <c r="C1018" s="8" t="s">
        <v>6699</v>
      </c>
      <c r="D1018" s="8" t="s">
        <v>16</v>
      </c>
      <c r="E1018" s="9" t="s">
        <v>6700</v>
      </c>
      <c r="F1018" s="10" t="s">
        <v>4881</v>
      </c>
      <c r="G1018" s="8">
        <v>23.61</v>
      </c>
      <c r="H1018" s="8"/>
      <c r="I1018" s="10"/>
      <c r="J1018" s="10" t="s">
        <v>6701</v>
      </c>
      <c r="K1018" s="10" t="s">
        <v>6702</v>
      </c>
      <c r="L1018" s="11" t="s">
        <v>6703</v>
      </c>
      <c r="M1018" s="11" t="s">
        <v>6704</v>
      </c>
      <c r="N1018" s="12"/>
      <c r="O1018" s="12"/>
      <c r="P1018" s="13">
        <f>IFERROR(__xludf.DUMMYFUNCTION("VALUE(SUBSTITUTE((INDEX(SPLIT(A1018,"",""),1)),""."","","",1))"),45.048705)</f>
        <v>45.048705</v>
      </c>
      <c r="Q1018" s="13">
        <f>IFERROR(__xludf.DUMMYFUNCTION("VALUE(SUBSTITUTE((INDEX(SPLIT(A1018,"",""),2)),""."","","",1))"),34.212239)</f>
        <v>34.212239</v>
      </c>
      <c r="R1018" s="14" t="b">
        <f t="shared" si="1"/>
        <v>0</v>
      </c>
      <c r="S1018" s="14" t="str">
        <f t="shared" si="2"/>
        <v>45.048705,34.212239</v>
      </c>
      <c r="T1018" s="12"/>
    </row>
    <row r="1019">
      <c r="A1019" s="20" t="s">
        <v>6705</v>
      </c>
      <c r="B1019" s="16" t="s">
        <v>6706</v>
      </c>
      <c r="C1019" s="16" t="s">
        <v>6707</v>
      </c>
      <c r="D1019" s="16" t="s">
        <v>16</v>
      </c>
      <c r="E1019" s="21" t="s">
        <v>6708</v>
      </c>
      <c r="F1019" s="22" t="s">
        <v>4881</v>
      </c>
      <c r="G1019" s="16">
        <v>23.61</v>
      </c>
      <c r="H1019" s="16"/>
      <c r="I1019" s="22"/>
      <c r="J1019" s="22" t="s">
        <v>6709</v>
      </c>
      <c r="K1019" s="22" t="s">
        <v>6710</v>
      </c>
      <c r="L1019" s="23" t="s">
        <v>6711</v>
      </c>
      <c r="M1019" s="22"/>
      <c r="N1019" s="12"/>
      <c r="O1019" s="12"/>
      <c r="P1019" s="13">
        <f>IFERROR(__xludf.DUMMYFUNCTION("VALUE(SUBSTITUTE((INDEX(SPLIT(A1019,"",""),1)),""."","","",1))"),45.029018)</f>
        <v>45.029018</v>
      </c>
      <c r="Q1019" s="13">
        <f>IFERROR(__xludf.DUMMYFUNCTION("VALUE(SUBSTITUTE((INDEX(SPLIT(A1019,"",""),2)),""."","","",1))"),34.23431)</f>
        <v>34.23431</v>
      </c>
      <c r="R1019" s="14" t="b">
        <f t="shared" si="1"/>
        <v>0</v>
      </c>
      <c r="S1019" s="14" t="str">
        <f t="shared" si="2"/>
        <v>45.029018,34.23431</v>
      </c>
      <c r="T1019" s="12"/>
    </row>
    <row r="1020">
      <c r="A1020" s="7" t="s">
        <v>6712</v>
      </c>
      <c r="B1020" s="8" t="s">
        <v>6713</v>
      </c>
      <c r="C1020" s="8" t="s">
        <v>6714</v>
      </c>
      <c r="D1020" s="8" t="s">
        <v>16</v>
      </c>
      <c r="E1020" s="9" t="s">
        <v>6715</v>
      </c>
      <c r="F1020" s="10" t="s">
        <v>4881</v>
      </c>
      <c r="G1020" s="8">
        <v>23.61</v>
      </c>
      <c r="H1020" s="8"/>
      <c r="I1020" s="10"/>
      <c r="J1020" s="10" t="s">
        <v>6716</v>
      </c>
      <c r="K1020" s="10" t="s">
        <v>6717</v>
      </c>
      <c r="L1020" s="11" t="s">
        <v>6718</v>
      </c>
      <c r="M1020" s="11" t="s">
        <v>6719</v>
      </c>
      <c r="N1020" s="12"/>
      <c r="O1020" s="12"/>
      <c r="P1020" s="13">
        <f>IFERROR(__xludf.DUMMYFUNCTION("VALUE(SUBSTITUTE((INDEX(SPLIT(A1020,"",""),1)),""."","","",1))"),44.846033)</f>
        <v>44.846033</v>
      </c>
      <c r="Q1020" s="13">
        <f>IFERROR(__xludf.DUMMYFUNCTION("VALUE(SUBSTITUTE((INDEX(SPLIT(A1020,"",""),2)),""."","","",1))"),34.259104)</f>
        <v>34.259104</v>
      </c>
      <c r="R1020" s="14" t="b">
        <f t="shared" si="1"/>
        <v>0</v>
      </c>
      <c r="S1020" s="14" t="str">
        <f t="shared" si="2"/>
        <v>44.846033,34.259104</v>
      </c>
      <c r="T1020" s="12"/>
    </row>
    <row r="1021">
      <c r="A1021" s="20" t="s">
        <v>6720</v>
      </c>
      <c r="B1021" s="16" t="s">
        <v>6721</v>
      </c>
      <c r="C1021" s="16" t="s">
        <v>6722</v>
      </c>
      <c r="D1021" s="16" t="s">
        <v>16</v>
      </c>
      <c r="E1021" s="21" t="s">
        <v>6723</v>
      </c>
      <c r="F1021" s="22" t="s">
        <v>6724</v>
      </c>
      <c r="G1021" s="16">
        <v>23.61</v>
      </c>
      <c r="H1021" s="16"/>
      <c r="I1021" s="22"/>
      <c r="J1021" s="22" t="s">
        <v>6725</v>
      </c>
      <c r="K1021" s="22" t="s">
        <v>6726</v>
      </c>
      <c r="L1021" s="23" t="s">
        <v>6727</v>
      </c>
      <c r="M1021" s="22"/>
      <c r="N1021" s="12"/>
      <c r="O1021" s="12"/>
      <c r="P1021" s="13">
        <f>IFERROR(__xludf.DUMMYFUNCTION("VALUE(SUBSTITUTE((INDEX(SPLIT(A1021,"",""),1)),""."","","",1))"),54.079968)</f>
        <v>54.079968</v>
      </c>
      <c r="Q1021" s="13">
        <f>IFERROR(__xludf.DUMMYFUNCTION("VALUE(SUBSTITUTE((INDEX(SPLIT(A1021,"",""),2)),""."","","",1))"),34.260757)</f>
        <v>34.260757</v>
      </c>
      <c r="R1021" s="14" t="b">
        <f t="shared" si="1"/>
        <v>0</v>
      </c>
      <c r="S1021" s="14" t="str">
        <f t="shared" si="2"/>
        <v>54.079968,34.260757</v>
      </c>
      <c r="T1021" s="12"/>
    </row>
    <row r="1022">
      <c r="A1022" s="18" t="s">
        <v>6728</v>
      </c>
      <c r="B1022" s="8" t="s">
        <v>6729</v>
      </c>
      <c r="C1022" s="8" t="s">
        <v>6730</v>
      </c>
      <c r="D1022" s="8" t="s">
        <v>16</v>
      </c>
      <c r="E1022" s="19" t="s">
        <v>6731</v>
      </c>
      <c r="F1022" s="8" t="s">
        <v>6732</v>
      </c>
      <c r="G1022" s="8">
        <v>23.61</v>
      </c>
      <c r="H1022" s="8"/>
      <c r="I1022" s="8"/>
      <c r="J1022" s="8" t="s">
        <v>6733</v>
      </c>
      <c r="K1022" s="8" t="s">
        <v>6734</v>
      </c>
      <c r="L1022" s="8"/>
      <c r="M1022" s="8"/>
      <c r="N1022" s="12"/>
      <c r="O1022" s="12"/>
      <c r="P1022" s="13">
        <f>IFERROR(__xludf.DUMMYFUNCTION("VALUE(SUBSTITUTE((INDEX(SPLIT(A1022,"",""),1)),""."","","",1))"),55.188298)</f>
        <v>55.188298</v>
      </c>
      <c r="Q1022" s="13">
        <f>IFERROR(__xludf.DUMMYFUNCTION("VALUE(SUBSTITUTE((INDEX(SPLIT(A1022,"",""),2)),""."","","",1))"),34.262482)</f>
        <v>34.262482</v>
      </c>
      <c r="R1022" s="14" t="b">
        <f t="shared" si="1"/>
        <v>0</v>
      </c>
      <c r="S1022" s="14" t="str">
        <f t="shared" si="2"/>
        <v>55.188298,34.262482</v>
      </c>
      <c r="T1022" s="12"/>
    </row>
    <row r="1023">
      <c r="A1023" s="20" t="s">
        <v>6735</v>
      </c>
      <c r="B1023" s="16" t="s">
        <v>6736</v>
      </c>
      <c r="C1023" s="16" t="s">
        <v>6737</v>
      </c>
      <c r="D1023" s="16" t="s">
        <v>16</v>
      </c>
      <c r="E1023" s="21" t="s">
        <v>6738</v>
      </c>
      <c r="F1023" s="22" t="s">
        <v>5142</v>
      </c>
      <c r="G1023" s="16">
        <v>23.61</v>
      </c>
      <c r="H1023" s="16"/>
      <c r="I1023" s="22"/>
      <c r="J1023" s="22" t="s">
        <v>6739</v>
      </c>
      <c r="K1023" s="22" t="s">
        <v>6740</v>
      </c>
      <c r="L1023" s="23" t="s">
        <v>6741</v>
      </c>
      <c r="M1023" s="23" t="s">
        <v>6742</v>
      </c>
      <c r="N1023" s="12"/>
      <c r="O1023" s="12"/>
      <c r="P1023" s="13">
        <f>IFERROR(__xludf.DUMMYFUNCTION("VALUE(SUBSTITUTE((INDEX(SPLIT(A1023,"",""),1)),""."","","",1))"),53.325659)</f>
        <v>53.325659</v>
      </c>
      <c r="Q1023" s="13">
        <f>IFERROR(__xludf.DUMMYFUNCTION("VALUE(SUBSTITUTE((INDEX(SPLIT(A1023,"",""),2)),""."","","",1))"),34.268545)</f>
        <v>34.268545</v>
      </c>
      <c r="R1023" s="14" t="b">
        <f t="shared" si="1"/>
        <v>0</v>
      </c>
      <c r="S1023" s="14" t="str">
        <f t="shared" si="2"/>
        <v>53.325659,34.268545</v>
      </c>
      <c r="T1023" s="12"/>
    </row>
    <row r="1024">
      <c r="A1024" s="7" t="s">
        <v>6735</v>
      </c>
      <c r="B1024" s="8" t="s">
        <v>6743</v>
      </c>
      <c r="C1024" s="8" t="s">
        <v>6744</v>
      </c>
      <c r="D1024" s="8" t="s">
        <v>16</v>
      </c>
      <c r="E1024" s="9" t="s">
        <v>6745</v>
      </c>
      <c r="F1024" s="10" t="s">
        <v>5142</v>
      </c>
      <c r="G1024" s="8">
        <v>23.61</v>
      </c>
      <c r="H1024" s="8"/>
      <c r="I1024" s="10"/>
      <c r="J1024" s="10" t="s">
        <v>6746</v>
      </c>
      <c r="K1024" s="10" t="s">
        <v>6740</v>
      </c>
      <c r="L1024" s="11" t="s">
        <v>6747</v>
      </c>
      <c r="M1024" s="10"/>
      <c r="N1024" s="12"/>
      <c r="O1024" s="12"/>
      <c r="P1024" s="13">
        <f>IFERROR(__xludf.DUMMYFUNCTION("VALUE(SUBSTITUTE((INDEX(SPLIT(A1024,"",""),1)),""."","","",1))"),53.325659)</f>
        <v>53.325659</v>
      </c>
      <c r="Q1024" s="13">
        <f>IFERROR(__xludf.DUMMYFUNCTION("VALUE(SUBSTITUTE((INDEX(SPLIT(A1024,"",""),2)),""."","","",1))"),34.268545)</f>
        <v>34.268545</v>
      </c>
      <c r="R1024" s="14" t="b">
        <f t="shared" si="1"/>
        <v>0</v>
      </c>
      <c r="S1024" s="14" t="str">
        <f t="shared" si="2"/>
        <v>53.325659,34.268545</v>
      </c>
      <c r="T1024" s="12"/>
    </row>
    <row r="1025">
      <c r="A1025" s="20" t="s">
        <v>6748</v>
      </c>
      <c r="B1025" s="16" t="s">
        <v>6749</v>
      </c>
      <c r="C1025" s="16" t="s">
        <v>6750</v>
      </c>
      <c r="D1025" s="16" t="s">
        <v>16</v>
      </c>
      <c r="E1025" s="21" t="s">
        <v>6751</v>
      </c>
      <c r="F1025" s="22" t="s">
        <v>3340</v>
      </c>
      <c r="G1025" s="16">
        <v>23.61</v>
      </c>
      <c r="H1025" s="16"/>
      <c r="I1025" s="22"/>
      <c r="J1025" s="22" t="s">
        <v>6752</v>
      </c>
      <c r="K1025" s="22" t="s">
        <v>6753</v>
      </c>
      <c r="L1025" s="23" t="s">
        <v>6754</v>
      </c>
      <c r="M1025" s="22"/>
      <c r="N1025" s="12"/>
      <c r="O1025" s="12"/>
      <c r="P1025" s="13">
        <f>IFERROR(__xludf.DUMMYFUNCTION("VALUE(SUBSTITUTE((INDEX(SPLIT(A1025,"",""),1)),""."","","",1))"),61.826002)</f>
        <v>61.826002</v>
      </c>
      <c r="Q1025" s="13">
        <f>IFERROR(__xludf.DUMMYFUNCTION("VALUE(SUBSTITUTE((INDEX(SPLIT(A1025,"",""),2)),""."","","",1))"),34.270881)</f>
        <v>34.270881</v>
      </c>
      <c r="R1025" s="14" t="b">
        <f t="shared" si="1"/>
        <v>0</v>
      </c>
      <c r="S1025" s="14" t="str">
        <f t="shared" si="2"/>
        <v>61.826002,34.270881</v>
      </c>
      <c r="T1025" s="12"/>
    </row>
    <row r="1026">
      <c r="A1026" s="7" t="s">
        <v>6755</v>
      </c>
      <c r="B1026" s="8" t="s">
        <v>6756</v>
      </c>
      <c r="C1026" s="8" t="s">
        <v>6757</v>
      </c>
      <c r="D1026" s="8" t="s">
        <v>16</v>
      </c>
      <c r="E1026" s="9" t="s">
        <v>6758</v>
      </c>
      <c r="F1026" s="10" t="s">
        <v>4881</v>
      </c>
      <c r="G1026" s="8">
        <v>23.61</v>
      </c>
      <c r="H1026" s="8"/>
      <c r="I1026" s="10"/>
      <c r="J1026" s="10" t="s">
        <v>6759</v>
      </c>
      <c r="K1026" s="10" t="s">
        <v>6760</v>
      </c>
      <c r="L1026" s="11" t="s">
        <v>6761</v>
      </c>
      <c r="M1026" s="11" t="s">
        <v>6762</v>
      </c>
      <c r="N1026" s="12"/>
      <c r="O1026" s="12"/>
      <c r="P1026" s="13">
        <f>IFERROR(__xludf.DUMMYFUNCTION("VALUE(SUBSTITUTE((INDEX(SPLIT(A1026,"",""),1)),""."","","",1))"),44.539191)</f>
        <v>44.539191</v>
      </c>
      <c r="Q1026" s="13">
        <f>IFERROR(__xludf.DUMMYFUNCTION("VALUE(SUBSTITUTE((INDEX(SPLIT(A1026,"",""),2)),""."","","",1))"),34.27106)</f>
        <v>34.27106</v>
      </c>
      <c r="R1026" s="14" t="b">
        <f t="shared" si="1"/>
        <v>0</v>
      </c>
      <c r="S1026" s="14" t="str">
        <f t="shared" si="2"/>
        <v>44.539191,34.27106</v>
      </c>
      <c r="T1026" s="12"/>
    </row>
    <row r="1027">
      <c r="A1027" s="20" t="s">
        <v>6763</v>
      </c>
      <c r="B1027" s="16" t="s">
        <v>6764</v>
      </c>
      <c r="C1027" s="16" t="s">
        <v>6765</v>
      </c>
      <c r="D1027" s="16" t="s">
        <v>16</v>
      </c>
      <c r="E1027" s="21" t="s">
        <v>6766</v>
      </c>
      <c r="F1027" s="22" t="s">
        <v>3340</v>
      </c>
      <c r="G1027" s="16">
        <v>23.61</v>
      </c>
      <c r="H1027" s="16"/>
      <c r="I1027" s="22"/>
      <c r="J1027" s="22" t="s">
        <v>6767</v>
      </c>
      <c r="K1027" s="22" t="s">
        <v>6768</v>
      </c>
      <c r="L1027" s="23" t="s">
        <v>6769</v>
      </c>
      <c r="M1027" s="22"/>
      <c r="N1027" s="12"/>
      <c r="O1027" s="12"/>
      <c r="P1027" s="13">
        <f>IFERROR(__xludf.DUMMYFUNCTION("VALUE(SUBSTITUTE((INDEX(SPLIT(A1027,"",""),1)),""."","","",1))"),63.747847)</f>
        <v>63.747847</v>
      </c>
      <c r="Q1027" s="13">
        <f>IFERROR(__xludf.DUMMYFUNCTION("VALUE(SUBSTITUTE((INDEX(SPLIT(A1027,"",""),2)),""."","","",1))"),34.291282)</f>
        <v>34.291282</v>
      </c>
      <c r="R1027" s="14" t="b">
        <f t="shared" si="1"/>
        <v>0</v>
      </c>
      <c r="S1027" s="14" t="str">
        <f t="shared" si="2"/>
        <v>63.747847,34.291282</v>
      </c>
      <c r="T1027" s="12"/>
    </row>
    <row r="1028">
      <c r="A1028" s="18" t="s">
        <v>6770</v>
      </c>
      <c r="B1028" s="8" t="s">
        <v>6771</v>
      </c>
      <c r="C1028" s="8" t="s">
        <v>6772</v>
      </c>
      <c r="D1028" s="8" t="s">
        <v>16</v>
      </c>
      <c r="E1028" s="19" t="s">
        <v>6773</v>
      </c>
      <c r="F1028" s="8" t="s">
        <v>5788</v>
      </c>
      <c r="G1028" s="8">
        <v>23.61</v>
      </c>
      <c r="H1028" s="8"/>
      <c r="I1028" s="8"/>
      <c r="J1028" s="8" t="s">
        <v>6774</v>
      </c>
      <c r="K1028" s="8" t="s">
        <v>6775</v>
      </c>
      <c r="L1028" s="8"/>
      <c r="M1028" s="8"/>
      <c r="N1028" s="12"/>
      <c r="O1028" s="12"/>
      <c r="P1028" s="13">
        <f>IFERROR(__xludf.DUMMYFUNCTION("VALUE(SUBSTITUTE((INDEX(SPLIT(A1028,"",""),1)),""."","","",1))"),56.270706)</f>
        <v>56.270706</v>
      </c>
      <c r="Q1028" s="13">
        <f>IFERROR(__xludf.DUMMYFUNCTION("VALUE(SUBSTITUTE((INDEX(SPLIT(A1028,"",""),2)),""."","","",1))"),34.296339)</f>
        <v>34.296339</v>
      </c>
      <c r="R1028" s="14" t="b">
        <f t="shared" si="1"/>
        <v>0</v>
      </c>
      <c r="S1028" s="14" t="str">
        <f t="shared" si="2"/>
        <v>56.270706,34.296339</v>
      </c>
      <c r="T1028" s="12"/>
    </row>
    <row r="1029">
      <c r="A1029" s="20" t="s">
        <v>6776</v>
      </c>
      <c r="B1029" s="16" t="s">
        <v>6777</v>
      </c>
      <c r="C1029" s="16" t="s">
        <v>6778</v>
      </c>
      <c r="D1029" s="16" t="s">
        <v>16</v>
      </c>
      <c r="E1029" s="21" t="s">
        <v>6779</v>
      </c>
      <c r="F1029" s="22" t="s">
        <v>5134</v>
      </c>
      <c r="G1029" s="16">
        <v>23.61</v>
      </c>
      <c r="H1029" s="16"/>
      <c r="I1029" s="22"/>
      <c r="J1029" s="22" t="s">
        <v>6780</v>
      </c>
      <c r="K1029" s="22" t="s">
        <v>6781</v>
      </c>
      <c r="L1029" s="23" t="s">
        <v>6782</v>
      </c>
      <c r="M1029" s="23" t="s">
        <v>6783</v>
      </c>
      <c r="N1029" s="12"/>
      <c r="O1029" s="12"/>
      <c r="P1029" s="13">
        <f>IFERROR(__xludf.DUMMYFUNCTION("VALUE(SUBSTITUTE((INDEX(SPLIT(A1029,"",""),1)),""."","","",1))"),55.20675)</f>
        <v>55.20675</v>
      </c>
      <c r="Q1029" s="13">
        <f>IFERROR(__xludf.DUMMYFUNCTION("VALUE(SUBSTITUTE((INDEX(SPLIT(A1029,"",""),2)),""."","","",1))"),34.297139)</f>
        <v>34.297139</v>
      </c>
      <c r="R1029" s="14" t="b">
        <f t="shared" si="1"/>
        <v>0</v>
      </c>
      <c r="S1029" s="14" t="str">
        <f t="shared" si="2"/>
        <v>55.20675,34.297139</v>
      </c>
      <c r="T1029" s="12"/>
    </row>
    <row r="1030">
      <c r="A1030" s="7" t="s">
        <v>6784</v>
      </c>
      <c r="B1030" s="8" t="s">
        <v>6785</v>
      </c>
      <c r="C1030" s="8" t="s">
        <v>6786</v>
      </c>
      <c r="D1030" s="8" t="s">
        <v>16</v>
      </c>
      <c r="E1030" s="9" t="s">
        <v>6787</v>
      </c>
      <c r="F1030" s="10" t="s">
        <v>5134</v>
      </c>
      <c r="G1030" s="8">
        <v>23.61</v>
      </c>
      <c r="H1030" s="8"/>
      <c r="I1030" s="10"/>
      <c r="J1030" s="10" t="s">
        <v>6788</v>
      </c>
      <c r="K1030" s="10" t="s">
        <v>6789</v>
      </c>
      <c r="L1030" s="11" t="s">
        <v>6790</v>
      </c>
      <c r="M1030" s="10"/>
      <c r="N1030" s="12"/>
      <c r="O1030" s="12"/>
      <c r="P1030" s="13">
        <f>IFERROR(__xludf.DUMMYFUNCTION("VALUE(SUBSTITUTE((INDEX(SPLIT(A1030,"",""),1)),""."","","",1))"),55.212318)</f>
        <v>55.212318</v>
      </c>
      <c r="Q1030" s="13">
        <f>IFERROR(__xludf.DUMMYFUNCTION("VALUE(SUBSTITUTE((INDEX(SPLIT(A1030,"",""),2)),""."","","",1))"),34.298899)</f>
        <v>34.298899</v>
      </c>
      <c r="R1030" s="14" t="b">
        <f t="shared" si="1"/>
        <v>0</v>
      </c>
      <c r="S1030" s="14" t="str">
        <f t="shared" si="2"/>
        <v>55.212318,34.298899</v>
      </c>
      <c r="T1030" s="12"/>
    </row>
    <row r="1031">
      <c r="A1031" s="15" t="s">
        <v>6791</v>
      </c>
      <c r="B1031" s="16" t="s">
        <v>6792</v>
      </c>
      <c r="C1031" s="16" t="s">
        <v>6793</v>
      </c>
      <c r="D1031" s="16" t="s">
        <v>16</v>
      </c>
      <c r="E1031" s="17" t="s">
        <v>6794</v>
      </c>
      <c r="F1031" s="16" t="s">
        <v>5134</v>
      </c>
      <c r="G1031" s="16">
        <v>23.61</v>
      </c>
      <c r="H1031" s="16"/>
      <c r="I1031" s="16"/>
      <c r="J1031" s="16" t="s">
        <v>6795</v>
      </c>
      <c r="K1031" s="16" t="s">
        <v>6796</v>
      </c>
      <c r="L1031" s="16"/>
      <c r="M1031" s="16"/>
      <c r="N1031" s="12"/>
      <c r="O1031" s="12"/>
      <c r="P1031" s="13">
        <f>IFERROR(__xludf.DUMMYFUNCTION("VALUE(SUBSTITUTE((INDEX(SPLIT(A1031,"",""),1)),""."","","",1))"),55.214399)</f>
        <v>55.214399</v>
      </c>
      <c r="Q1031" s="13">
        <f>IFERROR(__xludf.DUMMYFUNCTION("VALUE(SUBSTITUTE((INDEX(SPLIT(A1031,"",""),2)),""."","","",1))"),34.301397)</f>
        <v>34.301397</v>
      </c>
      <c r="R1031" s="14" t="b">
        <f t="shared" si="1"/>
        <v>0</v>
      </c>
      <c r="S1031" s="14" t="str">
        <f t="shared" si="2"/>
        <v>55.214399,34.301397</v>
      </c>
      <c r="T1031" s="12"/>
    </row>
    <row r="1032">
      <c r="A1032" s="7" t="s">
        <v>6791</v>
      </c>
      <c r="B1032" s="8" t="s">
        <v>89</v>
      </c>
      <c r="C1032" s="8" t="s">
        <v>90</v>
      </c>
      <c r="D1032" s="8" t="s">
        <v>16</v>
      </c>
      <c r="E1032" s="9" t="s">
        <v>6797</v>
      </c>
      <c r="F1032" s="10" t="s">
        <v>5134</v>
      </c>
      <c r="G1032" s="8">
        <v>23.61</v>
      </c>
      <c r="H1032" s="8"/>
      <c r="I1032" s="10"/>
      <c r="J1032" s="10" t="s">
        <v>6798</v>
      </c>
      <c r="K1032" s="10" t="s">
        <v>6799</v>
      </c>
      <c r="L1032" s="11" t="s">
        <v>6800</v>
      </c>
      <c r="M1032" s="10"/>
      <c r="N1032" s="12"/>
      <c r="O1032" s="12"/>
      <c r="P1032" s="13">
        <f>IFERROR(__xludf.DUMMYFUNCTION("VALUE(SUBSTITUTE((INDEX(SPLIT(A1032,"",""),1)),""."","","",1))"),55.214399)</f>
        <v>55.214399</v>
      </c>
      <c r="Q1032" s="13">
        <f>IFERROR(__xludf.DUMMYFUNCTION("VALUE(SUBSTITUTE((INDEX(SPLIT(A1032,"",""),2)),""."","","",1))"),34.301397)</f>
        <v>34.301397</v>
      </c>
      <c r="R1032" s="14" t="b">
        <f t="shared" si="1"/>
        <v>0</v>
      </c>
      <c r="S1032" s="14" t="str">
        <f t="shared" si="2"/>
        <v>55.214399,34.301397</v>
      </c>
      <c r="T1032" s="12"/>
    </row>
    <row r="1033">
      <c r="A1033" s="15" t="s">
        <v>6801</v>
      </c>
      <c r="B1033" s="16" t="s">
        <v>6802</v>
      </c>
      <c r="C1033" s="16" t="s">
        <v>6803</v>
      </c>
      <c r="D1033" s="16" t="s">
        <v>16</v>
      </c>
      <c r="E1033" s="17" t="s">
        <v>6804</v>
      </c>
      <c r="F1033" s="16" t="s">
        <v>5134</v>
      </c>
      <c r="G1033" s="16">
        <v>23.61</v>
      </c>
      <c r="H1033" s="16"/>
      <c r="I1033" s="16"/>
      <c r="J1033" s="16" t="s">
        <v>6805</v>
      </c>
      <c r="K1033" s="16" t="s">
        <v>6806</v>
      </c>
      <c r="L1033" s="16"/>
      <c r="M1033" s="25" t="s">
        <v>6807</v>
      </c>
      <c r="N1033" s="12"/>
      <c r="O1033" s="12"/>
      <c r="P1033" s="13">
        <f>IFERROR(__xludf.DUMMYFUNCTION("VALUE(SUBSTITUTE((INDEX(SPLIT(A1033,"",""),1)),""."","","",1))"),55.135922)</f>
        <v>55.135922</v>
      </c>
      <c r="Q1033" s="13">
        <f>IFERROR(__xludf.DUMMYFUNCTION("VALUE(SUBSTITUTE((INDEX(SPLIT(A1033,"",""),2)),""."","","",1))"),34.301954)</f>
        <v>34.301954</v>
      </c>
      <c r="R1033" s="14" t="b">
        <f t="shared" si="1"/>
        <v>0</v>
      </c>
      <c r="S1033" s="14" t="str">
        <f t="shared" si="2"/>
        <v>55.135922,34.301954</v>
      </c>
      <c r="T1033" s="12"/>
    </row>
    <row r="1034">
      <c r="A1034" s="18" t="s">
        <v>6808</v>
      </c>
      <c r="B1034" s="8" t="s">
        <v>6809</v>
      </c>
      <c r="C1034" s="8" t="s">
        <v>6810</v>
      </c>
      <c r="D1034" s="8" t="s">
        <v>16</v>
      </c>
      <c r="E1034" s="19" t="s">
        <v>6811</v>
      </c>
      <c r="F1034" s="8" t="s">
        <v>5142</v>
      </c>
      <c r="G1034" s="8">
        <v>23.61</v>
      </c>
      <c r="H1034" s="8"/>
      <c r="I1034" s="8"/>
      <c r="J1034" s="8" t="s">
        <v>6812</v>
      </c>
      <c r="K1034" s="8" t="s">
        <v>6813</v>
      </c>
      <c r="L1034" s="8"/>
      <c r="M1034" s="8"/>
      <c r="N1034" s="12"/>
      <c r="O1034" s="12"/>
      <c r="P1034" s="13">
        <f>IFERROR(__xludf.DUMMYFUNCTION("VALUE(SUBSTITUTE((INDEX(SPLIT(A1034,"",""),1)),""."","","",1))"),53.263145)</f>
        <v>53.263145</v>
      </c>
      <c r="Q1034" s="13">
        <f>IFERROR(__xludf.DUMMYFUNCTION("VALUE(SUBSTITUTE((INDEX(SPLIT(A1034,"",""),2)),""."","","",1))"),34.303121)</f>
        <v>34.303121</v>
      </c>
      <c r="R1034" s="14" t="b">
        <f t="shared" si="1"/>
        <v>0</v>
      </c>
      <c r="S1034" s="14" t="str">
        <f t="shared" si="2"/>
        <v>53.263145,34.303121</v>
      </c>
      <c r="T1034" s="12"/>
    </row>
    <row r="1035">
      <c r="A1035" s="20" t="s">
        <v>6814</v>
      </c>
      <c r="B1035" s="16" t="s">
        <v>6815</v>
      </c>
      <c r="C1035" s="16" t="s">
        <v>6816</v>
      </c>
      <c r="D1035" s="16" t="s">
        <v>16</v>
      </c>
      <c r="E1035" s="21" t="s">
        <v>6817</v>
      </c>
      <c r="F1035" s="22" t="s">
        <v>5142</v>
      </c>
      <c r="G1035" s="16">
        <v>23.61</v>
      </c>
      <c r="H1035" s="16"/>
      <c r="I1035" s="22"/>
      <c r="J1035" s="22" t="s">
        <v>6818</v>
      </c>
      <c r="K1035" s="22" t="s">
        <v>6819</v>
      </c>
      <c r="L1035" s="23" t="s">
        <v>6820</v>
      </c>
      <c r="M1035" s="22"/>
      <c r="N1035" s="12"/>
      <c r="O1035" s="12"/>
      <c r="P1035" s="13">
        <f>IFERROR(__xludf.DUMMYFUNCTION("VALUE(SUBSTITUTE((INDEX(SPLIT(A1035,"",""),1)),""."","","",1))"),53.210382)</f>
        <v>53.210382</v>
      </c>
      <c r="Q1035" s="13">
        <f>IFERROR(__xludf.DUMMYFUNCTION("VALUE(SUBSTITUTE((INDEX(SPLIT(A1035,"",""),2)),""."","","",1))"),34.31365)</f>
        <v>34.31365</v>
      </c>
      <c r="R1035" s="14" t="b">
        <f t="shared" si="1"/>
        <v>0</v>
      </c>
      <c r="S1035" s="14" t="str">
        <f t="shared" si="2"/>
        <v>53.210382,34.31365</v>
      </c>
      <c r="T1035" s="12"/>
    </row>
    <row r="1036">
      <c r="A1036" s="18" t="s">
        <v>6821</v>
      </c>
      <c r="B1036" s="8" t="s">
        <v>6822</v>
      </c>
      <c r="C1036" s="8" t="s">
        <v>6823</v>
      </c>
      <c r="D1036" s="8" t="s">
        <v>16</v>
      </c>
      <c r="E1036" s="19" t="s">
        <v>6824</v>
      </c>
      <c r="F1036" s="8" t="s">
        <v>3340</v>
      </c>
      <c r="G1036" s="8">
        <v>23.61</v>
      </c>
      <c r="H1036" s="8"/>
      <c r="I1036" s="8"/>
      <c r="J1036" s="8" t="s">
        <v>6825</v>
      </c>
      <c r="K1036" s="8" t="s">
        <v>6826</v>
      </c>
      <c r="L1036" s="8"/>
      <c r="M1036" s="8"/>
      <c r="N1036" s="12"/>
      <c r="O1036" s="12"/>
      <c r="P1036" s="13">
        <f>IFERROR(__xludf.DUMMYFUNCTION("VALUE(SUBSTITUTE((INDEX(SPLIT(A1036,"",""),1)),""."","","",1))"),61.816375)</f>
        <v>61.816375</v>
      </c>
      <c r="Q1036" s="13">
        <f>IFERROR(__xludf.DUMMYFUNCTION("VALUE(SUBSTITUTE((INDEX(SPLIT(A1036,"",""),2)),""."","","",1))"),34.314476)</f>
        <v>34.314476</v>
      </c>
      <c r="R1036" s="14" t="b">
        <f t="shared" si="1"/>
        <v>0</v>
      </c>
      <c r="S1036" s="14" t="str">
        <f t="shared" si="2"/>
        <v>61.816375,34.314476</v>
      </c>
      <c r="T1036" s="12"/>
    </row>
    <row r="1037">
      <c r="A1037" s="15" t="s">
        <v>6821</v>
      </c>
      <c r="B1037" s="16" t="s">
        <v>6827</v>
      </c>
      <c r="C1037" s="16" t="s">
        <v>6828</v>
      </c>
      <c r="D1037" s="16" t="s">
        <v>16</v>
      </c>
      <c r="E1037" s="17" t="s">
        <v>6829</v>
      </c>
      <c r="F1037" s="16" t="s">
        <v>3340</v>
      </c>
      <c r="G1037" s="16">
        <v>23.61</v>
      </c>
      <c r="H1037" s="16"/>
      <c r="I1037" s="16"/>
      <c r="J1037" s="16" t="s">
        <v>6830</v>
      </c>
      <c r="K1037" s="16" t="s">
        <v>6831</v>
      </c>
      <c r="L1037" s="16"/>
      <c r="M1037" s="16"/>
      <c r="N1037" s="12"/>
      <c r="O1037" s="12"/>
      <c r="P1037" s="13">
        <f>IFERROR(__xludf.DUMMYFUNCTION("VALUE(SUBSTITUTE((INDEX(SPLIT(A1037,"",""),1)),""."","","",1))"),61.816375)</f>
        <v>61.816375</v>
      </c>
      <c r="Q1037" s="13">
        <f>IFERROR(__xludf.DUMMYFUNCTION("VALUE(SUBSTITUTE((INDEX(SPLIT(A1037,"",""),2)),""."","","",1))"),34.314476)</f>
        <v>34.314476</v>
      </c>
      <c r="R1037" s="14" t="b">
        <f t="shared" si="1"/>
        <v>0</v>
      </c>
      <c r="S1037" s="14" t="str">
        <f t="shared" si="2"/>
        <v>61.816375,34.314476</v>
      </c>
      <c r="T1037" s="12"/>
    </row>
    <row r="1038">
      <c r="A1038" s="7" t="s">
        <v>6832</v>
      </c>
      <c r="B1038" s="8" t="s">
        <v>6833</v>
      </c>
      <c r="C1038" s="8" t="s">
        <v>6834</v>
      </c>
      <c r="D1038" s="8" t="s">
        <v>16</v>
      </c>
      <c r="E1038" s="9" t="s">
        <v>6835</v>
      </c>
      <c r="F1038" s="10" t="s">
        <v>4881</v>
      </c>
      <c r="G1038" s="8">
        <v>23.61</v>
      </c>
      <c r="H1038" s="8"/>
      <c r="I1038" s="10"/>
      <c r="J1038" s="10" t="s">
        <v>6836</v>
      </c>
      <c r="K1038" s="10" t="s">
        <v>6837</v>
      </c>
      <c r="L1038" s="11" t="s">
        <v>6838</v>
      </c>
      <c r="M1038" s="11" t="s">
        <v>6839</v>
      </c>
      <c r="N1038" s="12"/>
      <c r="O1038" s="12"/>
      <c r="P1038" s="13">
        <f>IFERROR(__xludf.DUMMYFUNCTION("VALUE(SUBSTITUTE((INDEX(SPLIT(A1038,"",""),1)),""."","","",1))"),45.047355)</f>
        <v>45.047355</v>
      </c>
      <c r="Q1038" s="13">
        <f>IFERROR(__xludf.DUMMYFUNCTION("VALUE(SUBSTITUTE((INDEX(SPLIT(A1038,"",""),2)),""."","","",1))"),34.314853)</f>
        <v>34.314853</v>
      </c>
      <c r="R1038" s="14" t="b">
        <f t="shared" si="1"/>
        <v>0</v>
      </c>
      <c r="S1038" s="14" t="str">
        <f t="shared" si="2"/>
        <v>45.047355,34.314853</v>
      </c>
      <c r="T1038" s="12"/>
    </row>
    <row r="1039">
      <c r="A1039" s="15" t="s">
        <v>6840</v>
      </c>
      <c r="B1039" s="16" t="s">
        <v>6841</v>
      </c>
      <c r="C1039" s="16" t="s">
        <v>6842</v>
      </c>
      <c r="D1039" s="16" t="s">
        <v>16</v>
      </c>
      <c r="E1039" s="17" t="s">
        <v>6843</v>
      </c>
      <c r="F1039" s="16" t="s">
        <v>3340</v>
      </c>
      <c r="G1039" s="16">
        <v>23.61</v>
      </c>
      <c r="H1039" s="16"/>
      <c r="I1039" s="16"/>
      <c r="J1039" s="16" t="s">
        <v>6844</v>
      </c>
      <c r="K1039" s="16" t="s">
        <v>6845</v>
      </c>
      <c r="L1039" s="16"/>
      <c r="M1039" s="16"/>
      <c r="N1039" s="12"/>
      <c r="O1039" s="12"/>
      <c r="P1039" s="13">
        <f>IFERROR(__xludf.DUMMYFUNCTION("VALUE(SUBSTITUTE((INDEX(SPLIT(A1039,"",""),1)),""."","","",1))"),61.759899)</f>
        <v>61.759899</v>
      </c>
      <c r="Q1039" s="13">
        <f>IFERROR(__xludf.DUMMYFUNCTION("VALUE(SUBSTITUTE((INDEX(SPLIT(A1039,"",""),2)),""."","","",1))"),34.315635)</f>
        <v>34.315635</v>
      </c>
      <c r="R1039" s="14" t="b">
        <f t="shared" si="1"/>
        <v>0</v>
      </c>
      <c r="S1039" s="14" t="str">
        <f t="shared" si="2"/>
        <v>61.759899,34.315635</v>
      </c>
      <c r="T1039" s="12"/>
    </row>
    <row r="1040">
      <c r="A1040" s="18" t="s">
        <v>6846</v>
      </c>
      <c r="B1040" s="8" t="s">
        <v>6847</v>
      </c>
      <c r="C1040" s="8" t="s">
        <v>6848</v>
      </c>
      <c r="D1040" s="8" t="s">
        <v>16</v>
      </c>
      <c r="E1040" s="19" t="s">
        <v>6849</v>
      </c>
      <c r="F1040" s="8" t="s">
        <v>3340</v>
      </c>
      <c r="G1040" s="8">
        <v>23.61</v>
      </c>
      <c r="H1040" s="8"/>
      <c r="I1040" s="8"/>
      <c r="J1040" s="8" t="s">
        <v>6850</v>
      </c>
      <c r="K1040" s="8" t="s">
        <v>6851</v>
      </c>
      <c r="L1040" s="8"/>
      <c r="M1040" s="8"/>
      <c r="N1040" s="12"/>
      <c r="O1040" s="12"/>
      <c r="P1040" s="13">
        <f>IFERROR(__xludf.DUMMYFUNCTION("VALUE(SUBSTITUTE((INDEX(SPLIT(A1040,"",""),1)),""."","","",1))"),61.762955)</f>
        <v>61.762955</v>
      </c>
      <c r="Q1040" s="13">
        <f>IFERROR(__xludf.DUMMYFUNCTION("VALUE(SUBSTITUTE((INDEX(SPLIT(A1040,"",""),2)),""."","","",1))"),34.316407)</f>
        <v>34.316407</v>
      </c>
      <c r="R1040" s="14" t="b">
        <f t="shared" si="1"/>
        <v>0</v>
      </c>
      <c r="S1040" s="14" t="str">
        <f t="shared" si="2"/>
        <v>61.762955,34.316407</v>
      </c>
      <c r="T1040" s="12"/>
    </row>
    <row r="1041">
      <c r="A1041" s="20" t="s">
        <v>6852</v>
      </c>
      <c r="B1041" s="16" t="s">
        <v>6853</v>
      </c>
      <c r="C1041" s="16" t="s">
        <v>6854</v>
      </c>
      <c r="D1041" s="16" t="s">
        <v>16</v>
      </c>
      <c r="E1041" s="21" t="s">
        <v>6855</v>
      </c>
      <c r="F1041" s="22" t="s">
        <v>5142</v>
      </c>
      <c r="G1041" s="16">
        <v>23.61</v>
      </c>
      <c r="H1041" s="16"/>
      <c r="I1041" s="22"/>
      <c r="J1041" s="22" t="s">
        <v>6856</v>
      </c>
      <c r="K1041" s="22" t="s">
        <v>6857</v>
      </c>
      <c r="L1041" s="23" t="s">
        <v>6858</v>
      </c>
      <c r="M1041" s="22"/>
      <c r="N1041" s="12"/>
      <c r="O1041" s="12"/>
      <c r="P1041" s="13">
        <f>IFERROR(__xludf.DUMMYFUNCTION("VALUE(SUBSTITUTE((INDEX(SPLIT(A1041,"",""),1)),""."","","",1))"),53.265563)</f>
        <v>53.265563</v>
      </c>
      <c r="Q1041" s="13">
        <f>IFERROR(__xludf.DUMMYFUNCTION("VALUE(SUBSTITUTE((INDEX(SPLIT(A1041,"",""),2)),""."","","",1))"),34.321249)</f>
        <v>34.321249</v>
      </c>
      <c r="R1041" s="14" t="b">
        <f t="shared" si="1"/>
        <v>0</v>
      </c>
      <c r="S1041" s="14" t="str">
        <f t="shared" si="2"/>
        <v>53.265563,34.321249</v>
      </c>
      <c r="T1041" s="12"/>
    </row>
    <row r="1042">
      <c r="A1042" s="18" t="s">
        <v>6859</v>
      </c>
      <c r="B1042" s="8" t="s">
        <v>6860</v>
      </c>
      <c r="C1042" s="8" t="s">
        <v>6861</v>
      </c>
      <c r="D1042" s="8" t="s">
        <v>16</v>
      </c>
      <c r="E1042" s="19" t="s">
        <v>6862</v>
      </c>
      <c r="F1042" s="8" t="s">
        <v>5142</v>
      </c>
      <c r="G1042" s="8">
        <v>23.61</v>
      </c>
      <c r="H1042" s="8"/>
      <c r="I1042" s="8"/>
      <c r="J1042" s="8" t="s">
        <v>6863</v>
      </c>
      <c r="K1042" s="8" t="s">
        <v>6864</v>
      </c>
      <c r="L1042" s="8"/>
      <c r="M1042" s="8"/>
      <c r="N1042" s="12"/>
      <c r="O1042" s="12"/>
      <c r="P1042" s="13">
        <f>IFERROR(__xludf.DUMMYFUNCTION("VALUE(SUBSTITUTE((INDEX(SPLIT(A1042,"",""),1)),""."","","",1))"),53.214356)</f>
        <v>53.214356</v>
      </c>
      <c r="Q1042" s="13">
        <f>IFERROR(__xludf.DUMMYFUNCTION("VALUE(SUBSTITUTE((INDEX(SPLIT(A1042,"",""),2)),""."","","",1))"),34.322615)</f>
        <v>34.322615</v>
      </c>
      <c r="R1042" s="14" t="b">
        <f t="shared" si="1"/>
        <v>0</v>
      </c>
      <c r="S1042" s="14" t="str">
        <f t="shared" si="2"/>
        <v>53.214356,34.322615</v>
      </c>
      <c r="T1042" s="12"/>
    </row>
    <row r="1043">
      <c r="A1043" s="15" t="s">
        <v>6865</v>
      </c>
      <c r="B1043" s="16" t="s">
        <v>6866</v>
      </c>
      <c r="C1043" s="16" t="s">
        <v>6867</v>
      </c>
      <c r="D1043" s="16" t="s">
        <v>16</v>
      </c>
      <c r="E1043" s="17" t="s">
        <v>6868</v>
      </c>
      <c r="F1043" s="16" t="s">
        <v>3340</v>
      </c>
      <c r="G1043" s="16">
        <v>23.61</v>
      </c>
      <c r="H1043" s="16"/>
      <c r="I1043" s="16"/>
      <c r="J1043" s="16" t="s">
        <v>6869</v>
      </c>
      <c r="K1043" s="16" t="s">
        <v>6870</v>
      </c>
      <c r="L1043" s="16"/>
      <c r="M1043" s="25" t="s">
        <v>6871</v>
      </c>
      <c r="N1043" s="12"/>
      <c r="O1043" s="12"/>
      <c r="P1043" s="13">
        <f>IFERROR(__xludf.DUMMYFUNCTION("VALUE(SUBSTITUTE((INDEX(SPLIT(A1043,"",""),1)),""."","","",1))"),61.785375)</f>
        <v>61.785375</v>
      </c>
      <c r="Q1043" s="13">
        <f>IFERROR(__xludf.DUMMYFUNCTION("VALUE(SUBSTITUTE((INDEX(SPLIT(A1043,"",""),2)),""."","","",1))"),34.325965)</f>
        <v>34.325965</v>
      </c>
      <c r="R1043" s="14" t="b">
        <f t="shared" si="1"/>
        <v>0</v>
      </c>
      <c r="S1043" s="14" t="str">
        <f t="shared" si="2"/>
        <v>61.785375,34.325965</v>
      </c>
      <c r="T1043" s="12"/>
    </row>
    <row r="1044">
      <c r="A1044" s="18" t="s">
        <v>6872</v>
      </c>
      <c r="B1044" s="8" t="s">
        <v>6873</v>
      </c>
      <c r="C1044" s="8" t="s">
        <v>6874</v>
      </c>
      <c r="D1044" s="8" t="s">
        <v>16</v>
      </c>
      <c r="E1044" s="19" t="s">
        <v>6875</v>
      </c>
      <c r="F1044" s="8" t="s">
        <v>4881</v>
      </c>
      <c r="G1044" s="8">
        <v>23.61</v>
      </c>
      <c r="H1044" s="8"/>
      <c r="I1044" s="8"/>
      <c r="J1044" s="8" t="s">
        <v>6876</v>
      </c>
      <c r="K1044" s="8" t="s">
        <v>6877</v>
      </c>
      <c r="L1044" s="8"/>
      <c r="M1044" s="8"/>
      <c r="N1044" s="12"/>
      <c r="O1044" s="12"/>
      <c r="P1044" s="13">
        <f>IFERROR(__xludf.DUMMYFUNCTION("VALUE(SUBSTITUTE((INDEX(SPLIT(A1044,"",""),1)),""."","","",1))"),45.059447)</f>
        <v>45.059447</v>
      </c>
      <c r="Q1044" s="13">
        <f>IFERROR(__xludf.DUMMYFUNCTION("VALUE(SUBSTITUTE((INDEX(SPLIT(A1044,"",""),2)),""."","","",1))"),34.33017)</f>
        <v>34.33017</v>
      </c>
      <c r="R1044" s="14" t="b">
        <f t="shared" si="1"/>
        <v>0</v>
      </c>
      <c r="S1044" s="14" t="str">
        <f t="shared" si="2"/>
        <v>45.059447,34.33017</v>
      </c>
      <c r="T1044" s="12"/>
    </row>
    <row r="1045">
      <c r="A1045" s="20" t="s">
        <v>6878</v>
      </c>
      <c r="B1045" s="16" t="s">
        <v>6879</v>
      </c>
      <c r="C1045" s="16" t="s">
        <v>6880</v>
      </c>
      <c r="D1045" s="16" t="s">
        <v>16</v>
      </c>
      <c r="E1045" s="21" t="s">
        <v>6881</v>
      </c>
      <c r="F1045" s="22" t="s">
        <v>5142</v>
      </c>
      <c r="G1045" s="16">
        <v>23.61</v>
      </c>
      <c r="H1045" s="16"/>
      <c r="I1045" s="22"/>
      <c r="J1045" s="22" t="s">
        <v>6882</v>
      </c>
      <c r="K1045" s="22" t="s">
        <v>6883</v>
      </c>
      <c r="L1045" s="23" t="s">
        <v>6884</v>
      </c>
      <c r="M1045" s="22"/>
      <c r="N1045" s="12"/>
      <c r="O1045" s="12"/>
      <c r="P1045" s="13">
        <f>IFERROR(__xludf.DUMMYFUNCTION("VALUE(SUBSTITUTE((INDEX(SPLIT(A1045,"",""),1)),""."","","",1))"),53.223231)</f>
        <v>53.223231</v>
      </c>
      <c r="Q1045" s="13">
        <f>IFERROR(__xludf.DUMMYFUNCTION("VALUE(SUBSTITUTE((INDEX(SPLIT(A1045,"",""),2)),""."","","",1))"),34.344561)</f>
        <v>34.344561</v>
      </c>
      <c r="R1045" s="14" t="b">
        <f t="shared" si="1"/>
        <v>0</v>
      </c>
      <c r="S1045" s="14" t="str">
        <f t="shared" si="2"/>
        <v>53.223231,34.344561</v>
      </c>
      <c r="T1045" s="12"/>
    </row>
    <row r="1046">
      <c r="A1046" s="18" t="s">
        <v>6885</v>
      </c>
      <c r="B1046" s="8" t="s">
        <v>6886</v>
      </c>
      <c r="C1046" s="8" t="s">
        <v>6887</v>
      </c>
      <c r="D1046" s="8" t="s">
        <v>16</v>
      </c>
      <c r="E1046" s="19" t="s">
        <v>6888</v>
      </c>
      <c r="F1046" s="8" t="s">
        <v>6724</v>
      </c>
      <c r="G1046" s="8">
        <v>23.61</v>
      </c>
      <c r="H1046" s="8"/>
      <c r="I1046" s="8"/>
      <c r="J1046" s="8" t="s">
        <v>6889</v>
      </c>
      <c r="K1046" s="8" t="s">
        <v>6890</v>
      </c>
      <c r="L1046" s="8"/>
      <c r="M1046" s="8"/>
      <c r="N1046" s="12"/>
      <c r="O1046" s="12"/>
      <c r="P1046" s="13">
        <f>IFERROR(__xludf.DUMMYFUNCTION("VALUE(SUBSTITUTE((INDEX(SPLIT(A1046,"",""),1)),""."","","",1))"),54.129649)</f>
        <v>54.129649</v>
      </c>
      <c r="Q1046" s="13">
        <f>IFERROR(__xludf.DUMMYFUNCTION("VALUE(SUBSTITUTE((INDEX(SPLIT(A1046,"",""),2)),""."","","",1))"),34.348019)</f>
        <v>34.348019</v>
      </c>
      <c r="R1046" s="14" t="b">
        <f t="shared" si="1"/>
        <v>0</v>
      </c>
      <c r="S1046" s="14" t="str">
        <f t="shared" si="2"/>
        <v>54.129649,34.348019</v>
      </c>
      <c r="T1046" s="12"/>
    </row>
    <row r="1047">
      <c r="A1047" s="15" t="s">
        <v>6891</v>
      </c>
      <c r="B1047" s="16" t="s">
        <v>6892</v>
      </c>
      <c r="C1047" s="16" t="s">
        <v>6893</v>
      </c>
      <c r="D1047" s="16" t="s">
        <v>16</v>
      </c>
      <c r="E1047" s="17" t="s">
        <v>6894</v>
      </c>
      <c r="F1047" s="16" t="s">
        <v>5142</v>
      </c>
      <c r="G1047" s="16">
        <v>23.61</v>
      </c>
      <c r="H1047" s="16"/>
      <c r="I1047" s="16"/>
      <c r="J1047" s="16" t="s">
        <v>6895</v>
      </c>
      <c r="K1047" s="16" t="s">
        <v>6896</v>
      </c>
      <c r="L1047" s="16"/>
      <c r="M1047" s="16"/>
      <c r="N1047" s="12"/>
      <c r="O1047" s="12"/>
      <c r="P1047" s="13">
        <f>IFERROR(__xludf.DUMMYFUNCTION("VALUE(SUBSTITUTE((INDEX(SPLIT(A1047,"",""),1)),""."","","",1))"),53.223048)</f>
        <v>53.223048</v>
      </c>
      <c r="Q1047" s="13">
        <f>IFERROR(__xludf.DUMMYFUNCTION("VALUE(SUBSTITUTE((INDEX(SPLIT(A1047,"",""),2)),""."","","",1))"),34.357092)</f>
        <v>34.357092</v>
      </c>
      <c r="R1047" s="14" t="b">
        <f t="shared" si="1"/>
        <v>0</v>
      </c>
      <c r="S1047" s="14" t="str">
        <f t="shared" si="2"/>
        <v>53.223048,34.357092</v>
      </c>
      <c r="T1047" s="12"/>
    </row>
    <row r="1048">
      <c r="A1048" s="18" t="s">
        <v>6897</v>
      </c>
      <c r="B1048" s="8" t="s">
        <v>6898</v>
      </c>
      <c r="C1048" s="8" t="s">
        <v>6899</v>
      </c>
      <c r="D1048" s="8" t="s">
        <v>16</v>
      </c>
      <c r="E1048" s="19" t="s">
        <v>6900</v>
      </c>
      <c r="F1048" s="8" t="s">
        <v>5134</v>
      </c>
      <c r="G1048" s="8">
        <v>23.61</v>
      </c>
      <c r="H1048" s="8"/>
      <c r="I1048" s="8"/>
      <c r="J1048" s="8" t="s">
        <v>6901</v>
      </c>
      <c r="K1048" s="8" t="s">
        <v>6902</v>
      </c>
      <c r="L1048" s="8"/>
      <c r="M1048" s="8"/>
      <c r="N1048" s="12"/>
      <c r="O1048" s="12"/>
      <c r="P1048" s="13">
        <f>IFERROR(__xludf.DUMMYFUNCTION("VALUE(SUBSTITUTE((INDEX(SPLIT(A1048,"",""),1)),""."","","",1))"),55.191248)</f>
        <v>55.191248</v>
      </c>
      <c r="Q1048" s="13">
        <f>IFERROR(__xludf.DUMMYFUNCTION("VALUE(SUBSTITUTE((INDEX(SPLIT(A1048,"",""),2)),""."","","",1))"),34.357137)</f>
        <v>34.357137</v>
      </c>
      <c r="R1048" s="14" t="b">
        <f t="shared" si="1"/>
        <v>0</v>
      </c>
      <c r="S1048" s="14" t="str">
        <f t="shared" si="2"/>
        <v>55.191248,34.357137</v>
      </c>
      <c r="T1048" s="12"/>
    </row>
    <row r="1049">
      <c r="A1049" s="20" t="s">
        <v>6903</v>
      </c>
      <c r="B1049" s="16" t="s">
        <v>6904</v>
      </c>
      <c r="C1049" s="16" t="s">
        <v>6905</v>
      </c>
      <c r="D1049" s="16" t="s">
        <v>16</v>
      </c>
      <c r="E1049" s="21" t="s">
        <v>6906</v>
      </c>
      <c r="F1049" s="22" t="s">
        <v>5142</v>
      </c>
      <c r="G1049" s="16">
        <v>23.61</v>
      </c>
      <c r="H1049" s="16"/>
      <c r="I1049" s="22"/>
      <c r="J1049" s="22" t="s">
        <v>6907</v>
      </c>
      <c r="K1049" s="22" t="s">
        <v>6908</v>
      </c>
      <c r="L1049" s="23" t="s">
        <v>6909</v>
      </c>
      <c r="M1049" s="22"/>
      <c r="N1049" s="12"/>
      <c r="O1049" s="12"/>
      <c r="P1049" s="13">
        <f>IFERROR(__xludf.DUMMYFUNCTION("VALUE(SUBSTITUTE((INDEX(SPLIT(A1049,"",""),1)),""."","","",1))"),53.13702)</f>
        <v>53.13702</v>
      </c>
      <c r="Q1049" s="13">
        <f>IFERROR(__xludf.DUMMYFUNCTION("VALUE(SUBSTITUTE((INDEX(SPLIT(A1049,"",""),2)),""."","","",1))"),34.364072)</f>
        <v>34.364072</v>
      </c>
      <c r="R1049" s="14" t="b">
        <f t="shared" si="1"/>
        <v>0</v>
      </c>
      <c r="S1049" s="14" t="str">
        <f t="shared" si="2"/>
        <v>53.13702,34.364072</v>
      </c>
      <c r="T1049" s="12"/>
    </row>
    <row r="1050">
      <c r="A1050" s="18" t="s">
        <v>6910</v>
      </c>
      <c r="B1050" s="8" t="s">
        <v>6911</v>
      </c>
      <c r="C1050" s="8" t="s">
        <v>6912</v>
      </c>
      <c r="D1050" s="8" t="s">
        <v>16</v>
      </c>
      <c r="E1050" s="19" t="s">
        <v>6913</v>
      </c>
      <c r="F1050" s="8" t="s">
        <v>5142</v>
      </c>
      <c r="G1050" s="8">
        <v>23.61</v>
      </c>
      <c r="H1050" s="8"/>
      <c r="I1050" s="8"/>
      <c r="J1050" s="8" t="s">
        <v>6914</v>
      </c>
      <c r="K1050" s="8" t="s">
        <v>6915</v>
      </c>
      <c r="L1050" s="8"/>
      <c r="M1050" s="8"/>
      <c r="N1050" s="12"/>
      <c r="O1050" s="12"/>
      <c r="P1050" s="13">
        <f>IFERROR(__xludf.DUMMYFUNCTION("VALUE(SUBSTITUTE((INDEX(SPLIT(A1050,"",""),1)),""."","","",1))"),53.289125)</f>
        <v>53.289125</v>
      </c>
      <c r="Q1050" s="13">
        <f>IFERROR(__xludf.DUMMYFUNCTION("VALUE(SUBSTITUTE((INDEX(SPLIT(A1050,"",""),2)),""."","","",1))"),34.366947)</f>
        <v>34.366947</v>
      </c>
      <c r="R1050" s="14" t="b">
        <f t="shared" si="1"/>
        <v>0</v>
      </c>
      <c r="S1050" s="14" t="str">
        <f t="shared" si="2"/>
        <v>53.289125,34.366947</v>
      </c>
      <c r="T1050" s="12"/>
    </row>
    <row r="1051">
      <c r="A1051" s="20" t="s">
        <v>6910</v>
      </c>
      <c r="B1051" s="16" t="s">
        <v>6916</v>
      </c>
      <c r="C1051" s="16" t="s">
        <v>6917</v>
      </c>
      <c r="D1051" s="16" t="s">
        <v>16</v>
      </c>
      <c r="E1051" s="21" t="s">
        <v>6918</v>
      </c>
      <c r="F1051" s="22" t="s">
        <v>5142</v>
      </c>
      <c r="G1051" s="16">
        <v>23.61</v>
      </c>
      <c r="H1051" s="16"/>
      <c r="I1051" s="22"/>
      <c r="J1051" s="22" t="s">
        <v>6919</v>
      </c>
      <c r="K1051" s="22" t="s">
        <v>6920</v>
      </c>
      <c r="L1051" s="23" t="s">
        <v>6921</v>
      </c>
      <c r="M1051" s="23" t="s">
        <v>6922</v>
      </c>
      <c r="N1051" s="12"/>
      <c r="O1051" s="12"/>
      <c r="P1051" s="13">
        <f>IFERROR(__xludf.DUMMYFUNCTION("VALUE(SUBSTITUTE((INDEX(SPLIT(A1051,"",""),1)),""."","","",1))"),53.289125)</f>
        <v>53.289125</v>
      </c>
      <c r="Q1051" s="13">
        <f>IFERROR(__xludf.DUMMYFUNCTION("VALUE(SUBSTITUTE((INDEX(SPLIT(A1051,"",""),2)),""."","","",1))"),34.366947)</f>
        <v>34.366947</v>
      </c>
      <c r="R1051" s="14" t="b">
        <f t="shared" si="1"/>
        <v>0</v>
      </c>
      <c r="S1051" s="14" t="str">
        <f t="shared" si="2"/>
        <v>53.289125,34.366947</v>
      </c>
      <c r="T1051" s="12"/>
    </row>
    <row r="1052">
      <c r="A1052" s="18" t="s">
        <v>6923</v>
      </c>
      <c r="B1052" s="8" t="s">
        <v>6924</v>
      </c>
      <c r="C1052" s="8" t="s">
        <v>6925</v>
      </c>
      <c r="D1052" s="8" t="s">
        <v>16</v>
      </c>
      <c r="E1052" s="19" t="s">
        <v>6926</v>
      </c>
      <c r="F1052" s="8" t="s">
        <v>3340</v>
      </c>
      <c r="G1052" s="8">
        <v>23.61</v>
      </c>
      <c r="H1052" s="8"/>
      <c r="I1052" s="27" t="s">
        <v>6927</v>
      </c>
      <c r="J1052" s="8" t="s">
        <v>6928</v>
      </c>
      <c r="K1052" s="8" t="s">
        <v>6929</v>
      </c>
      <c r="L1052" s="8"/>
      <c r="M1052" s="8"/>
      <c r="N1052" s="12"/>
      <c r="O1052" s="12"/>
      <c r="P1052" s="13">
        <f>IFERROR(__xludf.DUMMYFUNCTION("VALUE(SUBSTITUTE((INDEX(SPLIT(A1052,"",""),1)),""."","","",1))"),61.778317)</f>
        <v>61.778317</v>
      </c>
      <c r="Q1052" s="13">
        <f>IFERROR(__xludf.DUMMYFUNCTION("VALUE(SUBSTITUTE((INDEX(SPLIT(A1052,"",""),2)),""."","","",1))"),34.393968)</f>
        <v>34.393968</v>
      </c>
      <c r="R1052" s="14" t="b">
        <f t="shared" si="1"/>
        <v>0</v>
      </c>
      <c r="S1052" s="14" t="str">
        <f t="shared" si="2"/>
        <v>61.778317,34.393968</v>
      </c>
      <c r="T1052" s="12"/>
    </row>
    <row r="1053">
      <c r="A1053" s="20" t="s">
        <v>6930</v>
      </c>
      <c r="B1053" s="16" t="s">
        <v>6931</v>
      </c>
      <c r="C1053" s="16" t="s">
        <v>6932</v>
      </c>
      <c r="D1053" s="16" t="s">
        <v>16</v>
      </c>
      <c r="E1053" s="21" t="s">
        <v>6933</v>
      </c>
      <c r="F1053" s="22" t="s">
        <v>4881</v>
      </c>
      <c r="G1053" s="16">
        <v>23.61</v>
      </c>
      <c r="H1053" s="16"/>
      <c r="I1053" s="22"/>
      <c r="J1053" s="22" t="s">
        <v>6934</v>
      </c>
      <c r="K1053" s="22" t="s">
        <v>6935</v>
      </c>
      <c r="L1053" s="23" t="s">
        <v>6936</v>
      </c>
      <c r="M1053" s="23" t="s">
        <v>6937</v>
      </c>
      <c r="N1053" s="12"/>
      <c r="O1053" s="12"/>
      <c r="P1053" s="13">
        <f>IFERROR(__xludf.DUMMYFUNCTION("VALUE(SUBSTITUTE((INDEX(SPLIT(A1053,"",""),1)),""."","","",1))"),44.673738)</f>
        <v>44.673738</v>
      </c>
      <c r="Q1053" s="13">
        <f>IFERROR(__xludf.DUMMYFUNCTION("VALUE(SUBSTITUTE((INDEX(SPLIT(A1053,"",""),2)),""."","","",1))"),34.404532)</f>
        <v>34.404532</v>
      </c>
      <c r="R1053" s="14" t="b">
        <f t="shared" si="1"/>
        <v>0</v>
      </c>
      <c r="S1053" s="14" t="str">
        <f t="shared" si="2"/>
        <v>44.673738,34.404532</v>
      </c>
      <c r="T1053" s="12"/>
    </row>
    <row r="1054">
      <c r="A1054" s="7" t="s">
        <v>6930</v>
      </c>
      <c r="B1054" s="8" t="s">
        <v>6938</v>
      </c>
      <c r="C1054" s="8" t="s">
        <v>6939</v>
      </c>
      <c r="D1054" s="8" t="s">
        <v>16</v>
      </c>
      <c r="E1054" s="9" t="s">
        <v>6940</v>
      </c>
      <c r="F1054" s="10" t="s">
        <v>4881</v>
      </c>
      <c r="G1054" s="8">
        <v>23.61</v>
      </c>
      <c r="H1054" s="8"/>
      <c r="I1054" s="10"/>
      <c r="J1054" s="10" t="s">
        <v>6941</v>
      </c>
      <c r="K1054" s="10" t="s">
        <v>6935</v>
      </c>
      <c r="L1054" s="11" t="s">
        <v>6936</v>
      </c>
      <c r="M1054" s="11" t="s">
        <v>6942</v>
      </c>
      <c r="N1054" s="12"/>
      <c r="O1054" s="12"/>
      <c r="P1054" s="13">
        <f>IFERROR(__xludf.DUMMYFUNCTION("VALUE(SUBSTITUTE((INDEX(SPLIT(A1054,"",""),1)),""."","","",1))"),44.673738)</f>
        <v>44.673738</v>
      </c>
      <c r="Q1054" s="13">
        <f>IFERROR(__xludf.DUMMYFUNCTION("VALUE(SUBSTITUTE((INDEX(SPLIT(A1054,"",""),2)),""."","","",1))"),34.404532)</f>
        <v>34.404532</v>
      </c>
      <c r="R1054" s="14" t="b">
        <f t="shared" si="1"/>
        <v>0</v>
      </c>
      <c r="S1054" s="14" t="str">
        <f t="shared" si="2"/>
        <v>44.673738,34.404532</v>
      </c>
      <c r="T1054" s="12"/>
    </row>
    <row r="1055">
      <c r="A1055" s="20" t="s">
        <v>6943</v>
      </c>
      <c r="B1055" s="16" t="s">
        <v>6944</v>
      </c>
      <c r="C1055" s="16" t="s">
        <v>6945</v>
      </c>
      <c r="D1055" s="16" t="s">
        <v>16</v>
      </c>
      <c r="E1055" s="21" t="s">
        <v>6946</v>
      </c>
      <c r="F1055" s="22" t="s">
        <v>4881</v>
      </c>
      <c r="G1055" s="16">
        <v>23.61</v>
      </c>
      <c r="H1055" s="16"/>
      <c r="I1055" s="22"/>
      <c r="J1055" s="22" t="s">
        <v>6947</v>
      </c>
      <c r="K1055" s="22" t="s">
        <v>6948</v>
      </c>
      <c r="L1055" s="23" t="s">
        <v>6949</v>
      </c>
      <c r="M1055" s="23" t="s">
        <v>6950</v>
      </c>
      <c r="N1055" s="12"/>
      <c r="O1055" s="12"/>
      <c r="P1055" s="13">
        <f>IFERROR(__xludf.DUMMYFUNCTION("VALUE(SUBSTITUTE((INDEX(SPLIT(A1055,"",""),1)),""."","","",1))"),44.678372)</f>
        <v>44.678372</v>
      </c>
      <c r="Q1055" s="13">
        <f>IFERROR(__xludf.DUMMYFUNCTION("VALUE(SUBSTITUTE((INDEX(SPLIT(A1055,"",""),2)),""."","","",1))"),34.408143)</f>
        <v>34.408143</v>
      </c>
      <c r="R1055" s="14" t="b">
        <f t="shared" si="1"/>
        <v>0</v>
      </c>
      <c r="S1055" s="14" t="str">
        <f t="shared" si="2"/>
        <v>44.678372,34.408143</v>
      </c>
      <c r="T1055" s="12"/>
    </row>
    <row r="1056">
      <c r="A1056" s="7" t="s">
        <v>6951</v>
      </c>
      <c r="B1056" s="8" t="s">
        <v>6952</v>
      </c>
      <c r="C1056" s="8" t="s">
        <v>6953</v>
      </c>
      <c r="D1056" s="8" t="s">
        <v>16</v>
      </c>
      <c r="E1056" s="9" t="s">
        <v>6954</v>
      </c>
      <c r="F1056" s="10" t="s">
        <v>4881</v>
      </c>
      <c r="G1056" s="8">
        <v>23.61</v>
      </c>
      <c r="H1056" s="8"/>
      <c r="I1056" s="10"/>
      <c r="J1056" s="10" t="s">
        <v>6955</v>
      </c>
      <c r="K1056" s="10" t="s">
        <v>6956</v>
      </c>
      <c r="L1056" s="11" t="s">
        <v>6957</v>
      </c>
      <c r="M1056" s="11" t="s">
        <v>6958</v>
      </c>
      <c r="N1056" s="12"/>
      <c r="O1056" s="12"/>
      <c r="P1056" s="13">
        <f>IFERROR(__xludf.DUMMYFUNCTION("VALUE(SUBSTITUTE((INDEX(SPLIT(A1056,"",""),1)),""."","","",1))"),45.722522)</f>
        <v>45.722522</v>
      </c>
      <c r="Q1056" s="13">
        <f>IFERROR(__xludf.DUMMYFUNCTION("VALUE(SUBSTITUTE((INDEX(SPLIT(A1056,"",""),2)),""."","","",1))"),34.418977)</f>
        <v>34.418977</v>
      </c>
      <c r="R1056" s="14" t="b">
        <f t="shared" si="1"/>
        <v>0</v>
      </c>
      <c r="S1056" s="14" t="str">
        <f t="shared" si="2"/>
        <v>45.722522,34.418977</v>
      </c>
      <c r="T1056" s="12"/>
    </row>
    <row r="1057">
      <c r="A1057" s="15" t="s">
        <v>6959</v>
      </c>
      <c r="B1057" s="16" t="s">
        <v>6960</v>
      </c>
      <c r="C1057" s="16" t="s">
        <v>6961</v>
      </c>
      <c r="D1057" s="16" t="s">
        <v>16</v>
      </c>
      <c r="E1057" s="17" t="s">
        <v>6962</v>
      </c>
      <c r="F1057" s="16" t="s">
        <v>5142</v>
      </c>
      <c r="G1057" s="16">
        <v>23.61</v>
      </c>
      <c r="H1057" s="16"/>
      <c r="I1057" s="16"/>
      <c r="J1057" s="16" t="s">
        <v>6963</v>
      </c>
      <c r="K1057" s="16" t="s">
        <v>6964</v>
      </c>
      <c r="L1057" s="16"/>
      <c r="M1057" s="16"/>
      <c r="N1057" s="12"/>
      <c r="O1057" s="12"/>
      <c r="P1057" s="13">
        <f>IFERROR(__xludf.DUMMYFUNCTION("VALUE(SUBSTITUTE((INDEX(SPLIT(A1057,"",""),1)),""."","","",1))"),53.2598)</f>
        <v>53.2598</v>
      </c>
      <c r="Q1057" s="13">
        <f>IFERROR(__xludf.DUMMYFUNCTION("VALUE(SUBSTITUTE((INDEX(SPLIT(A1057,"",""),2)),""."","","",1))"),34.429299)</f>
        <v>34.429299</v>
      </c>
      <c r="R1057" s="14" t="b">
        <f t="shared" si="1"/>
        <v>0</v>
      </c>
      <c r="S1057" s="14" t="str">
        <f t="shared" si="2"/>
        <v>53.2598,34.429299</v>
      </c>
      <c r="T1057" s="12"/>
    </row>
    <row r="1058">
      <c r="A1058" s="7" t="s">
        <v>6965</v>
      </c>
      <c r="B1058" s="8" t="s">
        <v>6966</v>
      </c>
      <c r="C1058" s="8" t="s">
        <v>6967</v>
      </c>
      <c r="D1058" s="8" t="s">
        <v>16</v>
      </c>
      <c r="E1058" s="9" t="s">
        <v>6968</v>
      </c>
      <c r="F1058" s="10" t="s">
        <v>5142</v>
      </c>
      <c r="G1058" s="8">
        <v>23.61</v>
      </c>
      <c r="H1058" s="8"/>
      <c r="I1058" s="10"/>
      <c r="J1058" s="10" t="s">
        <v>6969</v>
      </c>
      <c r="K1058" s="10" t="s">
        <v>6970</v>
      </c>
      <c r="L1058" s="11" t="s">
        <v>6971</v>
      </c>
      <c r="M1058" s="11" t="s">
        <v>6972</v>
      </c>
      <c r="N1058" s="12"/>
      <c r="O1058" s="12"/>
      <c r="P1058" s="13">
        <f>IFERROR(__xludf.DUMMYFUNCTION("VALUE(SUBSTITUTE((INDEX(SPLIT(A1058,"",""),1)),""."","","",1))"),53.221991)</f>
        <v>53.221991</v>
      </c>
      <c r="Q1058" s="13">
        <f>IFERROR(__xludf.DUMMYFUNCTION("VALUE(SUBSTITUTE((INDEX(SPLIT(A1058,"",""),2)),""."","","",1))"),34.431374)</f>
        <v>34.431374</v>
      </c>
      <c r="R1058" s="14" t="b">
        <f t="shared" si="1"/>
        <v>0</v>
      </c>
      <c r="S1058" s="14" t="str">
        <f t="shared" si="2"/>
        <v>53.221991,34.431374</v>
      </c>
      <c r="T1058" s="12"/>
    </row>
    <row r="1059">
      <c r="A1059" s="20" t="s">
        <v>6973</v>
      </c>
      <c r="B1059" s="16" t="s">
        <v>6974</v>
      </c>
      <c r="C1059" s="16" t="s">
        <v>6975</v>
      </c>
      <c r="D1059" s="16" t="s">
        <v>16</v>
      </c>
      <c r="E1059" s="21" t="s">
        <v>6976</v>
      </c>
      <c r="F1059" s="22" t="s">
        <v>3340</v>
      </c>
      <c r="G1059" s="16">
        <v>23.61</v>
      </c>
      <c r="H1059" s="16"/>
      <c r="I1059" s="22"/>
      <c r="J1059" s="22" t="s">
        <v>6977</v>
      </c>
      <c r="K1059" s="22" t="s">
        <v>6978</v>
      </c>
      <c r="L1059" s="23" t="s">
        <v>6979</v>
      </c>
      <c r="M1059" s="22"/>
      <c r="N1059" s="12"/>
      <c r="O1059" s="12"/>
      <c r="P1059" s="13">
        <f>IFERROR(__xludf.DUMMYFUNCTION("VALUE(SUBSTITUTE((INDEX(SPLIT(A1059,"",""),1)),""."","","",1))"),61.734726)</f>
        <v>61.734726</v>
      </c>
      <c r="Q1059" s="13">
        <f>IFERROR(__xludf.DUMMYFUNCTION("VALUE(SUBSTITUTE((INDEX(SPLIT(A1059,"",""),2)),""."","","",1))"),34.443106)</f>
        <v>34.443106</v>
      </c>
      <c r="R1059" s="14" t="b">
        <f t="shared" si="1"/>
        <v>0</v>
      </c>
      <c r="S1059" s="14" t="str">
        <f t="shared" si="2"/>
        <v>61.734726,34.443106</v>
      </c>
      <c r="T1059" s="12"/>
    </row>
    <row r="1060">
      <c r="A1060" s="7" t="s">
        <v>6980</v>
      </c>
      <c r="B1060" s="8" t="s">
        <v>6981</v>
      </c>
      <c r="C1060" s="8" t="s">
        <v>6982</v>
      </c>
      <c r="D1060" s="8" t="s">
        <v>16</v>
      </c>
      <c r="E1060" s="9" t="s">
        <v>6983</v>
      </c>
      <c r="F1060" s="10" t="s">
        <v>5142</v>
      </c>
      <c r="G1060" s="8">
        <v>23.61</v>
      </c>
      <c r="H1060" s="8"/>
      <c r="I1060" s="10"/>
      <c r="J1060" s="10" t="s">
        <v>6984</v>
      </c>
      <c r="K1060" s="10" t="s">
        <v>6985</v>
      </c>
      <c r="L1060" s="11" t="s">
        <v>6986</v>
      </c>
      <c r="M1060" s="10"/>
      <c r="N1060" s="12"/>
      <c r="O1060" s="12"/>
      <c r="P1060" s="13">
        <f>IFERROR(__xludf.DUMMYFUNCTION("VALUE(SUBSTITUTE((INDEX(SPLIT(A1060,"",""),1)),""."","","",1))"),53.210533)</f>
        <v>53.210533</v>
      </c>
      <c r="Q1060" s="13">
        <f>IFERROR(__xludf.DUMMYFUNCTION("VALUE(SUBSTITUTE((INDEX(SPLIT(A1060,"",""),2)),""."","","",1))"),34.470666)</f>
        <v>34.470666</v>
      </c>
      <c r="R1060" s="14" t="b">
        <f t="shared" si="1"/>
        <v>0</v>
      </c>
      <c r="S1060" s="14" t="str">
        <f t="shared" si="2"/>
        <v>53.210533,34.470666</v>
      </c>
      <c r="T1060" s="12"/>
    </row>
    <row r="1061">
      <c r="A1061" s="20" t="s">
        <v>6987</v>
      </c>
      <c r="B1061" s="16" t="s">
        <v>6988</v>
      </c>
      <c r="C1061" s="16" t="s">
        <v>6989</v>
      </c>
      <c r="D1061" s="16" t="s">
        <v>16</v>
      </c>
      <c r="E1061" s="21" t="s">
        <v>6990</v>
      </c>
      <c r="F1061" s="22" t="s">
        <v>4881</v>
      </c>
      <c r="G1061" s="16">
        <v>23.61</v>
      </c>
      <c r="H1061" s="16"/>
      <c r="I1061" s="22"/>
      <c r="J1061" s="22" t="s">
        <v>6991</v>
      </c>
      <c r="K1061" s="22" t="s">
        <v>6992</v>
      </c>
      <c r="L1061" s="23" t="s">
        <v>6993</v>
      </c>
      <c r="M1061" s="22"/>
      <c r="N1061" s="12"/>
      <c r="O1061" s="12"/>
      <c r="P1061" s="13">
        <f>IFERROR(__xludf.DUMMYFUNCTION("VALUE(SUBSTITUTE((INDEX(SPLIT(A1061,"",""),1)),""."","","",1))"),45.052385)</f>
        <v>45.052385</v>
      </c>
      <c r="Q1061" s="13">
        <f>IFERROR(__xludf.DUMMYFUNCTION("VALUE(SUBSTITUTE((INDEX(SPLIT(A1061,"",""),2)),""."","","",1))"),34.617729)</f>
        <v>34.617729</v>
      </c>
      <c r="R1061" s="14" t="b">
        <f t="shared" si="1"/>
        <v>0</v>
      </c>
      <c r="S1061" s="14" t="str">
        <f t="shared" si="2"/>
        <v>45.052385,34.617729</v>
      </c>
      <c r="T1061" s="12"/>
    </row>
    <row r="1062">
      <c r="A1062" s="7" t="s">
        <v>6994</v>
      </c>
      <c r="B1062" s="8" t="s">
        <v>6995</v>
      </c>
      <c r="C1062" s="8" t="s">
        <v>6996</v>
      </c>
      <c r="D1062" s="8" t="s">
        <v>16</v>
      </c>
      <c r="E1062" s="9" t="s">
        <v>6997</v>
      </c>
      <c r="F1062" s="10" t="s">
        <v>4881</v>
      </c>
      <c r="G1062" s="8">
        <v>23.61</v>
      </c>
      <c r="H1062" s="8"/>
      <c r="I1062" s="10"/>
      <c r="J1062" s="10" t="s">
        <v>6998</v>
      </c>
      <c r="K1062" s="10" t="s">
        <v>6999</v>
      </c>
      <c r="L1062" s="11" t="s">
        <v>7000</v>
      </c>
      <c r="M1062" s="11" t="s">
        <v>7001</v>
      </c>
      <c r="N1062" s="12"/>
      <c r="O1062" s="12"/>
      <c r="P1062" s="13">
        <f>IFERROR(__xludf.DUMMYFUNCTION("VALUE(SUBSTITUTE((INDEX(SPLIT(A1062,"",""),1)),""."","","",1))"),45.053958)</f>
        <v>45.053958</v>
      </c>
      <c r="Q1062" s="13">
        <f>IFERROR(__xludf.DUMMYFUNCTION("VALUE(SUBSTITUTE((INDEX(SPLIT(A1062,"",""),2)),""."","","",1))"),34.618412)</f>
        <v>34.618412</v>
      </c>
      <c r="R1062" s="14" t="b">
        <f t="shared" si="1"/>
        <v>0</v>
      </c>
      <c r="S1062" s="14" t="str">
        <f t="shared" si="2"/>
        <v>45.053958,34.618412</v>
      </c>
      <c r="T1062" s="12"/>
    </row>
    <row r="1063">
      <c r="A1063" s="15" t="s">
        <v>7002</v>
      </c>
      <c r="B1063" s="16" t="s">
        <v>7003</v>
      </c>
      <c r="C1063" s="16" t="s">
        <v>7004</v>
      </c>
      <c r="D1063" s="16" t="s">
        <v>16</v>
      </c>
      <c r="E1063" s="17" t="s">
        <v>7005</v>
      </c>
      <c r="F1063" s="16" t="s">
        <v>5142</v>
      </c>
      <c r="G1063" s="16">
        <v>23.61</v>
      </c>
      <c r="H1063" s="16"/>
      <c r="I1063" s="16"/>
      <c r="J1063" s="16" t="s">
        <v>7006</v>
      </c>
      <c r="K1063" s="16" t="s">
        <v>7007</v>
      </c>
      <c r="L1063" s="16"/>
      <c r="M1063" s="16"/>
      <c r="N1063" s="12"/>
      <c r="O1063" s="12"/>
      <c r="P1063" s="13">
        <f>IFERROR(__xludf.DUMMYFUNCTION("VALUE(SUBSTITUTE((INDEX(SPLIT(A1063,"",""),1)),""."","","",1))"),53.209265)</f>
        <v>53.209265</v>
      </c>
      <c r="Q1063" s="13">
        <f>IFERROR(__xludf.DUMMYFUNCTION("VALUE(SUBSTITUTE((INDEX(SPLIT(A1063,"",""),2)),""."","","",1))"),34.646934)</f>
        <v>34.646934</v>
      </c>
      <c r="R1063" s="14" t="b">
        <f t="shared" si="1"/>
        <v>0</v>
      </c>
      <c r="S1063" s="14" t="str">
        <f t="shared" si="2"/>
        <v>53.209265,34.646934</v>
      </c>
      <c r="T1063" s="12"/>
    </row>
    <row r="1064">
      <c r="A1064" s="7" t="s">
        <v>7008</v>
      </c>
      <c r="B1064" s="8" t="s">
        <v>7009</v>
      </c>
      <c r="C1064" s="8" t="s">
        <v>7010</v>
      </c>
      <c r="D1064" s="8" t="s">
        <v>16</v>
      </c>
      <c r="E1064" s="9" t="s">
        <v>7011</v>
      </c>
      <c r="F1064" s="10" t="s">
        <v>5788</v>
      </c>
      <c r="G1064" s="8">
        <v>23.61</v>
      </c>
      <c r="H1064" s="8"/>
      <c r="I1064" s="10"/>
      <c r="J1064" s="10" t="s">
        <v>7012</v>
      </c>
      <c r="K1064" s="10" t="s">
        <v>7013</v>
      </c>
      <c r="L1064" s="11" t="s">
        <v>7014</v>
      </c>
      <c r="M1064" s="10"/>
      <c r="N1064" s="12"/>
      <c r="O1064" s="12"/>
      <c r="P1064" s="13">
        <f>IFERROR(__xludf.DUMMYFUNCTION("VALUE(SUBSTITUTE((INDEX(SPLIT(A1064,"",""),1)),""."","","",1))"),57.027957)</f>
        <v>57.027957</v>
      </c>
      <c r="Q1064" s="13">
        <f>IFERROR(__xludf.DUMMYFUNCTION("VALUE(SUBSTITUTE((INDEX(SPLIT(A1064,"",""),2)),""."","","",1))"),34.982338)</f>
        <v>34.982338</v>
      </c>
      <c r="R1064" s="14" t="b">
        <f t="shared" si="1"/>
        <v>0</v>
      </c>
      <c r="S1064" s="14" t="str">
        <f t="shared" si="2"/>
        <v>57.027957,34.982338</v>
      </c>
      <c r="T1064" s="12"/>
    </row>
    <row r="1065">
      <c r="A1065" s="15" t="s">
        <v>7015</v>
      </c>
      <c r="B1065" s="16" t="s">
        <v>7016</v>
      </c>
      <c r="C1065" s="16" t="s">
        <v>7017</v>
      </c>
      <c r="D1065" s="16" t="s">
        <v>16</v>
      </c>
      <c r="E1065" s="17" t="s">
        <v>7018</v>
      </c>
      <c r="F1065" s="16" t="s">
        <v>5134</v>
      </c>
      <c r="G1065" s="16">
        <v>23.61</v>
      </c>
      <c r="H1065" s="16"/>
      <c r="I1065" s="16"/>
      <c r="J1065" s="16" t="s">
        <v>7019</v>
      </c>
      <c r="K1065" s="16" t="s">
        <v>7020</v>
      </c>
      <c r="L1065" s="16"/>
      <c r="M1065" s="25" t="s">
        <v>7021</v>
      </c>
      <c r="N1065" s="12"/>
      <c r="O1065" s="12"/>
      <c r="P1065" s="13">
        <f>IFERROR(__xludf.DUMMYFUNCTION("VALUE(SUBSTITUTE((INDEX(SPLIT(A1065,"",""),1)),""."","","",1))"),55.551925)</f>
        <v>55.551925</v>
      </c>
      <c r="Q1065" s="13">
        <f>IFERROR(__xludf.DUMMYFUNCTION("VALUE(SUBSTITUTE((INDEX(SPLIT(A1065,"",""),2)),""."","","",1))"),34.983703)</f>
        <v>34.983703</v>
      </c>
      <c r="R1065" s="14" t="b">
        <f t="shared" si="1"/>
        <v>0</v>
      </c>
      <c r="S1065" s="14" t="str">
        <f t="shared" si="2"/>
        <v>55.551925,34.983703</v>
      </c>
      <c r="T1065" s="12"/>
    </row>
    <row r="1066">
      <c r="A1066" s="7" t="s">
        <v>7022</v>
      </c>
      <c r="B1066" s="8" t="s">
        <v>89</v>
      </c>
      <c r="C1066" s="8" t="s">
        <v>90</v>
      </c>
      <c r="D1066" s="8" t="s">
        <v>16</v>
      </c>
      <c r="E1066" s="9" t="s">
        <v>7023</v>
      </c>
      <c r="F1066" s="10" t="s">
        <v>5134</v>
      </c>
      <c r="G1066" s="8">
        <v>23.61</v>
      </c>
      <c r="H1066" s="8"/>
      <c r="I1066" s="10"/>
      <c r="J1066" s="10" t="s">
        <v>7024</v>
      </c>
      <c r="K1066" s="10" t="s">
        <v>7025</v>
      </c>
      <c r="L1066" s="11" t="s">
        <v>7026</v>
      </c>
      <c r="M1066" s="10"/>
      <c r="N1066" s="12"/>
      <c r="O1066" s="12"/>
      <c r="P1066" s="13">
        <f>IFERROR(__xludf.DUMMYFUNCTION("VALUE(SUBSTITUTE((INDEX(SPLIT(A1066,"",""),1)),""."","","",1))"),55.532711)</f>
        <v>55.532711</v>
      </c>
      <c r="Q1066" s="13">
        <f>IFERROR(__xludf.DUMMYFUNCTION("VALUE(SUBSTITUTE((INDEX(SPLIT(A1066,"",""),2)),""."","","",1))"),34.986191)</f>
        <v>34.986191</v>
      </c>
      <c r="R1066" s="14" t="b">
        <f t="shared" si="1"/>
        <v>0</v>
      </c>
      <c r="S1066" s="14" t="str">
        <f t="shared" si="2"/>
        <v>55.532711,34.986191</v>
      </c>
      <c r="T1066" s="12"/>
    </row>
    <row r="1067">
      <c r="A1067" s="20" t="s">
        <v>7027</v>
      </c>
      <c r="B1067" s="16" t="s">
        <v>7028</v>
      </c>
      <c r="C1067" s="16" t="s">
        <v>7029</v>
      </c>
      <c r="D1067" s="16" t="s">
        <v>16</v>
      </c>
      <c r="E1067" s="21" t="s">
        <v>7030</v>
      </c>
      <c r="F1067" s="22" t="s">
        <v>3883</v>
      </c>
      <c r="G1067" s="16">
        <v>23.61</v>
      </c>
      <c r="H1067" s="16"/>
      <c r="I1067" s="22"/>
      <c r="J1067" s="22" t="s">
        <v>7031</v>
      </c>
      <c r="K1067" s="22" t="s">
        <v>7032</v>
      </c>
      <c r="L1067" s="23" t="s">
        <v>7033</v>
      </c>
      <c r="M1067" s="22"/>
      <c r="N1067" s="12"/>
      <c r="O1067" s="12"/>
      <c r="P1067" s="13">
        <f>IFERROR(__xludf.DUMMYFUNCTION("VALUE(SUBSTITUTE((INDEX(SPLIT(A1067,"",""),1)),""."","","",1))"),55.577342)</f>
        <v>55.577342</v>
      </c>
      <c r="Q1067" s="13">
        <f>IFERROR(__xludf.DUMMYFUNCTION("VALUE(SUBSTITUTE((INDEX(SPLIT(A1067,"",""),2)),""."","","",1))"),35.011793)</f>
        <v>35.011793</v>
      </c>
      <c r="R1067" s="14" t="b">
        <f t="shared" si="1"/>
        <v>0</v>
      </c>
      <c r="S1067" s="14" t="str">
        <f t="shared" si="2"/>
        <v>55.577342,35.011793</v>
      </c>
      <c r="T1067" s="12"/>
    </row>
    <row r="1068">
      <c r="A1068" s="7" t="s">
        <v>7034</v>
      </c>
      <c r="B1068" s="8" t="s">
        <v>7035</v>
      </c>
      <c r="C1068" s="8" t="s">
        <v>7036</v>
      </c>
      <c r="D1068" s="8" t="s">
        <v>16</v>
      </c>
      <c r="E1068" s="9" t="s">
        <v>7037</v>
      </c>
      <c r="F1068" s="10" t="s">
        <v>5788</v>
      </c>
      <c r="G1068" s="8">
        <v>23.61</v>
      </c>
      <c r="H1068" s="8"/>
      <c r="I1068" s="10"/>
      <c r="J1068" s="10" t="s">
        <v>7038</v>
      </c>
      <c r="K1068" s="10" t="s">
        <v>7039</v>
      </c>
      <c r="L1068" s="11" t="s">
        <v>7040</v>
      </c>
      <c r="M1068" s="10"/>
      <c r="N1068" s="12"/>
      <c r="O1068" s="12"/>
      <c r="P1068" s="13">
        <f>IFERROR(__xludf.DUMMYFUNCTION("VALUE(SUBSTITUTE((INDEX(SPLIT(A1068,"",""),1)),""."","","",1))"),57.876582)</f>
        <v>57.876582</v>
      </c>
      <c r="Q1068" s="13">
        <f>IFERROR(__xludf.DUMMYFUNCTION("VALUE(SUBSTITUTE((INDEX(SPLIT(A1068,"",""),2)),""."","","",1))"),35.026337)</f>
        <v>35.026337</v>
      </c>
      <c r="R1068" s="14" t="b">
        <f t="shared" si="1"/>
        <v>0</v>
      </c>
      <c r="S1068" s="14" t="str">
        <f t="shared" si="2"/>
        <v>57.876582,35.026337</v>
      </c>
      <c r="T1068" s="12"/>
    </row>
    <row r="1069">
      <c r="A1069" s="20" t="s">
        <v>7041</v>
      </c>
      <c r="B1069" s="16" t="s">
        <v>7042</v>
      </c>
      <c r="C1069" s="16" t="s">
        <v>7043</v>
      </c>
      <c r="D1069" s="16" t="s">
        <v>16</v>
      </c>
      <c r="E1069" s="21" t="s">
        <v>7044</v>
      </c>
      <c r="F1069" s="22" t="s">
        <v>4881</v>
      </c>
      <c r="G1069" s="16">
        <v>23.61</v>
      </c>
      <c r="H1069" s="16"/>
      <c r="I1069" s="22"/>
      <c r="J1069" s="22" t="s">
        <v>7045</v>
      </c>
      <c r="K1069" s="22" t="s">
        <v>7046</v>
      </c>
      <c r="L1069" s="23" t="s">
        <v>7047</v>
      </c>
      <c r="M1069" s="22"/>
      <c r="N1069" s="12"/>
      <c r="O1069" s="12"/>
      <c r="P1069" s="13">
        <f>IFERROR(__xludf.DUMMYFUNCTION("VALUE(SUBSTITUTE((INDEX(SPLIT(A1069,"",""),1)),""."","","",1))"),45.216222)</f>
        <v>45.216222</v>
      </c>
      <c r="Q1069" s="13">
        <f>IFERROR(__xludf.DUMMYFUNCTION("VALUE(SUBSTITUTE((INDEX(SPLIT(A1069,"",""),2)),""."","","",1))"),35.184503)</f>
        <v>35.184503</v>
      </c>
      <c r="R1069" s="14" t="b">
        <f t="shared" si="1"/>
        <v>0</v>
      </c>
      <c r="S1069" s="14" t="str">
        <f t="shared" si="2"/>
        <v>45.216222,35.184503</v>
      </c>
      <c r="T1069" s="12"/>
    </row>
    <row r="1070">
      <c r="A1070" s="7" t="s">
        <v>7048</v>
      </c>
      <c r="B1070" s="8" t="s">
        <v>7049</v>
      </c>
      <c r="C1070" s="8" t="s">
        <v>7050</v>
      </c>
      <c r="D1070" s="8" t="s">
        <v>16</v>
      </c>
      <c r="E1070" s="9" t="s">
        <v>7051</v>
      </c>
      <c r="F1070" s="10" t="s">
        <v>7052</v>
      </c>
      <c r="G1070" s="8">
        <v>23.61</v>
      </c>
      <c r="H1070" s="8"/>
      <c r="I1070" s="10"/>
      <c r="J1070" s="10" t="s">
        <v>7053</v>
      </c>
      <c r="K1070" s="10" t="s">
        <v>7054</v>
      </c>
      <c r="L1070" s="11" t="s">
        <v>7055</v>
      </c>
      <c r="M1070" s="10"/>
      <c r="N1070" s="12"/>
      <c r="O1070" s="12"/>
      <c r="P1070" s="13">
        <f>IFERROR(__xludf.DUMMYFUNCTION("VALUE(SUBSTITUTE((INDEX(SPLIT(A1070,"",""),1)),""."","","",1))"),52.357159)</f>
        <v>52.357159</v>
      </c>
      <c r="Q1070" s="13">
        <f>IFERROR(__xludf.DUMMYFUNCTION("VALUE(SUBSTITUTE((INDEX(SPLIT(A1070,"",""),2)),""."","","",1))"),35.23471)</f>
        <v>35.23471</v>
      </c>
      <c r="R1070" s="14" t="b">
        <f t="shared" si="1"/>
        <v>0</v>
      </c>
      <c r="S1070" s="14" t="str">
        <f t="shared" si="2"/>
        <v>52.357159,35.23471</v>
      </c>
      <c r="T1070" s="12"/>
    </row>
    <row r="1071">
      <c r="A1071" s="20" t="s">
        <v>7056</v>
      </c>
      <c r="B1071" s="16" t="s">
        <v>7057</v>
      </c>
      <c r="C1071" s="16" t="s">
        <v>7058</v>
      </c>
      <c r="D1071" s="16" t="s">
        <v>16</v>
      </c>
      <c r="E1071" s="21" t="s">
        <v>7059</v>
      </c>
      <c r="F1071" s="22" t="s">
        <v>6724</v>
      </c>
      <c r="G1071" s="16">
        <v>23.61</v>
      </c>
      <c r="H1071" s="16"/>
      <c r="I1071" s="22"/>
      <c r="J1071" s="22" t="s">
        <v>7060</v>
      </c>
      <c r="K1071" s="22" t="s">
        <v>7061</v>
      </c>
      <c r="L1071" s="23" t="s">
        <v>7062</v>
      </c>
      <c r="M1071" s="22"/>
      <c r="N1071" s="12"/>
      <c r="O1071" s="12"/>
      <c r="P1071" s="13">
        <f>IFERROR(__xludf.DUMMYFUNCTION("VALUE(SUBSTITUTE((INDEX(SPLIT(A1071,"",""),1)),""."","","",1))"),54.116531)</f>
        <v>54.116531</v>
      </c>
      <c r="Q1071" s="13">
        <f>IFERROR(__xludf.DUMMYFUNCTION("VALUE(SUBSTITUTE((INDEX(SPLIT(A1071,"",""),2)),""."","","",1))"),35.324641)</f>
        <v>35.324641</v>
      </c>
      <c r="R1071" s="14" t="b">
        <f t="shared" si="1"/>
        <v>0</v>
      </c>
      <c r="S1071" s="14" t="str">
        <f t="shared" si="2"/>
        <v>54.116531,35.324641</v>
      </c>
      <c r="T1071" s="12"/>
    </row>
    <row r="1072">
      <c r="A1072" s="7" t="s">
        <v>7063</v>
      </c>
      <c r="B1072" s="8" t="s">
        <v>516</v>
      </c>
      <c r="C1072" s="8" t="s">
        <v>517</v>
      </c>
      <c r="D1072" s="8" t="s">
        <v>16</v>
      </c>
      <c r="E1072" s="9" t="s">
        <v>7064</v>
      </c>
      <c r="F1072" s="10" t="s">
        <v>4881</v>
      </c>
      <c r="G1072" s="8">
        <v>23.61</v>
      </c>
      <c r="H1072" s="8"/>
      <c r="I1072" s="10"/>
      <c r="J1072" s="10" t="s">
        <v>7065</v>
      </c>
      <c r="K1072" s="10" t="s">
        <v>7066</v>
      </c>
      <c r="L1072" s="11" t="s">
        <v>7067</v>
      </c>
      <c r="M1072" s="11" t="s">
        <v>7068</v>
      </c>
      <c r="N1072" s="12"/>
      <c r="O1072" s="12"/>
      <c r="P1072" s="13">
        <f>IFERROR(__xludf.DUMMYFUNCTION("VALUE(SUBSTITUTE((INDEX(SPLIT(A1072,"",""),1)),""."","","",1))"),45.051265)</f>
        <v>45.051265</v>
      </c>
      <c r="Q1072" s="13">
        <f>IFERROR(__xludf.DUMMYFUNCTION("VALUE(SUBSTITUTE((INDEX(SPLIT(A1072,"",""),2)),""."","","",1))"),35.356468)</f>
        <v>35.356468</v>
      </c>
      <c r="R1072" s="14" t="b">
        <f t="shared" si="1"/>
        <v>0</v>
      </c>
      <c r="S1072" s="14" t="str">
        <f t="shared" si="2"/>
        <v>45.051265,35.356468</v>
      </c>
      <c r="T1072" s="12"/>
    </row>
    <row r="1073">
      <c r="A1073" s="20" t="s">
        <v>7069</v>
      </c>
      <c r="B1073" s="16" t="s">
        <v>7070</v>
      </c>
      <c r="C1073" s="16" t="s">
        <v>7071</v>
      </c>
      <c r="D1073" s="16" t="s">
        <v>16</v>
      </c>
      <c r="E1073" s="21" t="s">
        <v>7072</v>
      </c>
      <c r="F1073" s="22" t="s">
        <v>4881</v>
      </c>
      <c r="G1073" s="16">
        <v>23.61</v>
      </c>
      <c r="H1073" s="16"/>
      <c r="I1073" s="22"/>
      <c r="J1073" s="22" t="s">
        <v>7073</v>
      </c>
      <c r="K1073" s="22" t="s">
        <v>7074</v>
      </c>
      <c r="L1073" s="23" t="s">
        <v>7075</v>
      </c>
      <c r="M1073" s="23" t="s">
        <v>7076</v>
      </c>
      <c r="N1073" s="12"/>
      <c r="O1073" s="12"/>
      <c r="P1073" s="13">
        <f>IFERROR(__xludf.DUMMYFUNCTION("VALUE(SUBSTITUTE((INDEX(SPLIT(A1073,"",""),1)),""."","","",1))"),45.051755)</f>
        <v>45.051755</v>
      </c>
      <c r="Q1073" s="13">
        <f>IFERROR(__xludf.DUMMYFUNCTION("VALUE(SUBSTITUTE((INDEX(SPLIT(A1073,"",""),2)),""."","","",1))"),35.357824)</f>
        <v>35.357824</v>
      </c>
      <c r="R1073" s="14" t="b">
        <f t="shared" si="1"/>
        <v>0</v>
      </c>
      <c r="S1073" s="14" t="str">
        <f t="shared" si="2"/>
        <v>45.051755,35.357824</v>
      </c>
      <c r="T1073" s="12"/>
    </row>
    <row r="1074">
      <c r="A1074" s="7" t="s">
        <v>7077</v>
      </c>
      <c r="B1074" s="8" t="s">
        <v>516</v>
      </c>
      <c r="C1074" s="8" t="s">
        <v>517</v>
      </c>
      <c r="D1074" s="8" t="s">
        <v>16</v>
      </c>
      <c r="E1074" s="9" t="s">
        <v>7078</v>
      </c>
      <c r="F1074" s="10" t="s">
        <v>7052</v>
      </c>
      <c r="G1074" s="8">
        <v>23.61</v>
      </c>
      <c r="H1074" s="8"/>
      <c r="I1074" s="10"/>
      <c r="J1074" s="10" t="s">
        <v>7079</v>
      </c>
      <c r="K1074" s="10" t="s">
        <v>7080</v>
      </c>
      <c r="L1074" s="11" t="s">
        <v>7081</v>
      </c>
      <c r="M1074" s="10"/>
      <c r="N1074" s="12"/>
      <c r="O1074" s="12"/>
      <c r="P1074" s="13">
        <f>IFERROR(__xludf.DUMMYFUNCTION("VALUE(SUBSTITUTE((INDEX(SPLIT(A1074,"",""),1)),""."","","",1))"),52.328571)</f>
        <v>52.328571</v>
      </c>
      <c r="Q1074" s="13">
        <f>IFERROR(__xludf.DUMMYFUNCTION("VALUE(SUBSTITUTE((INDEX(SPLIT(A1074,"",""),2)),""."","","",1))"),35.364023)</f>
        <v>35.364023</v>
      </c>
      <c r="R1074" s="14" t="b">
        <f t="shared" si="1"/>
        <v>0</v>
      </c>
      <c r="S1074" s="14" t="str">
        <f t="shared" si="2"/>
        <v>52.328571,35.364023</v>
      </c>
      <c r="T1074" s="12"/>
    </row>
    <row r="1075">
      <c r="A1075" s="20" t="s">
        <v>7082</v>
      </c>
      <c r="B1075" s="16" t="s">
        <v>7083</v>
      </c>
      <c r="C1075" s="16" t="s">
        <v>7084</v>
      </c>
      <c r="D1075" s="16" t="s">
        <v>16</v>
      </c>
      <c r="E1075" s="21" t="s">
        <v>7085</v>
      </c>
      <c r="F1075" s="22" t="s">
        <v>4881</v>
      </c>
      <c r="G1075" s="16">
        <v>23.61</v>
      </c>
      <c r="H1075" s="16"/>
      <c r="I1075" s="22"/>
      <c r="J1075" s="22" t="s">
        <v>7086</v>
      </c>
      <c r="K1075" s="22" t="s">
        <v>7087</v>
      </c>
      <c r="L1075" s="23" t="s">
        <v>7088</v>
      </c>
      <c r="M1075" s="23" t="s">
        <v>7089</v>
      </c>
      <c r="N1075" s="12"/>
      <c r="O1075" s="12"/>
      <c r="P1075" s="13">
        <f>IFERROR(__xludf.DUMMYFUNCTION("VALUE(SUBSTITUTE((INDEX(SPLIT(A1075,"",""),1)),""."","","",1))"),45.035209)</f>
        <v>45.035209</v>
      </c>
      <c r="Q1075" s="13">
        <f>IFERROR(__xludf.DUMMYFUNCTION("VALUE(SUBSTITUTE((INDEX(SPLIT(A1075,"",""),2)),""."","","",1))"),35.365056)</f>
        <v>35.365056</v>
      </c>
      <c r="R1075" s="14" t="b">
        <f t="shared" si="1"/>
        <v>0</v>
      </c>
      <c r="S1075" s="14" t="str">
        <f t="shared" si="2"/>
        <v>45.035209,35.365056</v>
      </c>
      <c r="T1075" s="12"/>
    </row>
    <row r="1076">
      <c r="A1076" s="7" t="s">
        <v>7090</v>
      </c>
      <c r="B1076" s="8" t="s">
        <v>7091</v>
      </c>
      <c r="C1076" s="8" t="s">
        <v>7092</v>
      </c>
      <c r="D1076" s="8" t="s">
        <v>16</v>
      </c>
      <c r="E1076" s="9" t="s">
        <v>7093</v>
      </c>
      <c r="F1076" s="10" t="s">
        <v>4881</v>
      </c>
      <c r="G1076" s="8">
        <v>23.61</v>
      </c>
      <c r="H1076" s="8"/>
      <c r="I1076" s="10"/>
      <c r="J1076" s="10" t="s">
        <v>7094</v>
      </c>
      <c r="K1076" s="10" t="s">
        <v>7095</v>
      </c>
      <c r="L1076" s="11" t="s">
        <v>7096</v>
      </c>
      <c r="M1076" s="11" t="s">
        <v>7097</v>
      </c>
      <c r="N1076" s="12"/>
      <c r="O1076" s="12"/>
      <c r="P1076" s="13">
        <f>IFERROR(__xludf.DUMMYFUNCTION("VALUE(SUBSTITUTE((INDEX(SPLIT(A1076,"",""),1)),""."","","",1))"),45.030801)</f>
        <v>45.030801</v>
      </c>
      <c r="Q1076" s="13">
        <f>IFERROR(__xludf.DUMMYFUNCTION("VALUE(SUBSTITUTE((INDEX(SPLIT(A1076,"",""),2)),""."","","",1))"),35.375171)</f>
        <v>35.375171</v>
      </c>
      <c r="R1076" s="14" t="b">
        <f t="shared" si="1"/>
        <v>0</v>
      </c>
      <c r="S1076" s="14" t="str">
        <f t="shared" si="2"/>
        <v>45.030801,35.375171</v>
      </c>
      <c r="T1076" s="12"/>
    </row>
    <row r="1077">
      <c r="A1077" s="20" t="s">
        <v>7098</v>
      </c>
      <c r="B1077" s="16" t="s">
        <v>7099</v>
      </c>
      <c r="C1077" s="16" t="s">
        <v>7100</v>
      </c>
      <c r="D1077" s="16" t="s">
        <v>16</v>
      </c>
      <c r="E1077" s="21" t="s">
        <v>7101</v>
      </c>
      <c r="F1077" s="22" t="s">
        <v>4881</v>
      </c>
      <c r="G1077" s="16">
        <v>23.61</v>
      </c>
      <c r="H1077" s="16"/>
      <c r="I1077" s="22"/>
      <c r="J1077" s="22" t="s">
        <v>7102</v>
      </c>
      <c r="K1077" s="22" t="s">
        <v>7103</v>
      </c>
      <c r="L1077" s="23" t="s">
        <v>7104</v>
      </c>
      <c r="M1077" s="23" t="s">
        <v>7105</v>
      </c>
      <c r="N1077" s="12"/>
      <c r="O1077" s="12"/>
      <c r="P1077" s="13">
        <f>IFERROR(__xludf.DUMMYFUNCTION("VALUE(SUBSTITUTE((INDEX(SPLIT(A1077,"",""),1)),""."","","",1))"),45.061057)</f>
        <v>45.061057</v>
      </c>
      <c r="Q1077" s="13">
        <f>IFERROR(__xludf.DUMMYFUNCTION("VALUE(SUBSTITUTE((INDEX(SPLIT(A1077,"",""),2)),""."","","",1))"),35.385969)</f>
        <v>35.385969</v>
      </c>
      <c r="R1077" s="14" t="b">
        <f t="shared" si="1"/>
        <v>0</v>
      </c>
      <c r="S1077" s="14" t="str">
        <f t="shared" si="2"/>
        <v>45.061057,35.385969</v>
      </c>
      <c r="T1077" s="12"/>
    </row>
    <row r="1078">
      <c r="A1078" s="7" t="s">
        <v>7106</v>
      </c>
      <c r="B1078" s="8" t="s">
        <v>7107</v>
      </c>
      <c r="C1078" s="8" t="s">
        <v>7108</v>
      </c>
      <c r="D1078" s="8" t="s">
        <v>16</v>
      </c>
      <c r="E1078" s="9" t="s">
        <v>7109</v>
      </c>
      <c r="F1078" s="10" t="s">
        <v>4881</v>
      </c>
      <c r="G1078" s="8">
        <v>23.61</v>
      </c>
      <c r="H1078" s="8"/>
      <c r="I1078" s="10"/>
      <c r="J1078" s="10" t="s">
        <v>7110</v>
      </c>
      <c r="K1078" s="10" t="s">
        <v>7111</v>
      </c>
      <c r="L1078" s="11" t="s">
        <v>7112</v>
      </c>
      <c r="M1078" s="11" t="s">
        <v>7113</v>
      </c>
      <c r="N1078" s="12"/>
      <c r="O1078" s="12"/>
      <c r="P1078" s="13">
        <f>IFERROR(__xludf.DUMMYFUNCTION("VALUE(SUBSTITUTE((INDEX(SPLIT(A1078,"",""),1)),""."","","",1))"),45.086722)</f>
        <v>45.086722</v>
      </c>
      <c r="Q1078" s="13">
        <f>IFERROR(__xludf.DUMMYFUNCTION("VALUE(SUBSTITUTE((INDEX(SPLIT(A1078,"",""),2)),""."","","",1))"),35.394323)</f>
        <v>35.394323</v>
      </c>
      <c r="R1078" s="14" t="b">
        <f t="shared" si="1"/>
        <v>0</v>
      </c>
      <c r="S1078" s="14" t="str">
        <f t="shared" si="2"/>
        <v>45.086722,35.394323</v>
      </c>
      <c r="T1078" s="12"/>
    </row>
    <row r="1079">
      <c r="A1079" s="20" t="s">
        <v>7106</v>
      </c>
      <c r="B1079" s="16" t="s">
        <v>7114</v>
      </c>
      <c r="C1079" s="16" t="s">
        <v>7115</v>
      </c>
      <c r="D1079" s="16" t="s">
        <v>16</v>
      </c>
      <c r="E1079" s="21" t="s">
        <v>7116</v>
      </c>
      <c r="F1079" s="22" t="s">
        <v>4881</v>
      </c>
      <c r="G1079" s="16">
        <v>23.61</v>
      </c>
      <c r="H1079" s="16"/>
      <c r="I1079" s="22"/>
      <c r="J1079" s="22" t="s">
        <v>7117</v>
      </c>
      <c r="K1079" s="22" t="s">
        <v>7111</v>
      </c>
      <c r="L1079" s="23" t="s">
        <v>7112</v>
      </c>
      <c r="M1079" s="23" t="s">
        <v>7113</v>
      </c>
      <c r="N1079" s="12"/>
      <c r="O1079" s="12"/>
      <c r="P1079" s="13">
        <f>IFERROR(__xludf.DUMMYFUNCTION("VALUE(SUBSTITUTE((INDEX(SPLIT(A1079,"",""),1)),""."","","",1))"),45.086722)</f>
        <v>45.086722</v>
      </c>
      <c r="Q1079" s="13">
        <f>IFERROR(__xludf.DUMMYFUNCTION("VALUE(SUBSTITUTE((INDEX(SPLIT(A1079,"",""),2)),""."","","",1))"),35.394323)</f>
        <v>35.394323</v>
      </c>
      <c r="R1079" s="14" t="b">
        <f t="shared" si="1"/>
        <v>0</v>
      </c>
      <c r="S1079" s="14" t="str">
        <f t="shared" si="2"/>
        <v>45.086722,35.394323</v>
      </c>
      <c r="T1079" s="12"/>
    </row>
    <row r="1080">
      <c r="A1080" s="18" t="s">
        <v>7118</v>
      </c>
      <c r="B1080" s="8" t="s">
        <v>7119</v>
      </c>
      <c r="C1080" s="8" t="s">
        <v>7120</v>
      </c>
      <c r="D1080" s="8" t="s">
        <v>16</v>
      </c>
      <c r="E1080" s="19" t="s">
        <v>7121</v>
      </c>
      <c r="F1080" s="8" t="s">
        <v>4881</v>
      </c>
      <c r="G1080" s="8">
        <v>23.61</v>
      </c>
      <c r="H1080" s="8"/>
      <c r="I1080" s="8"/>
      <c r="J1080" s="8" t="s">
        <v>7122</v>
      </c>
      <c r="K1080" s="8" t="s">
        <v>6437</v>
      </c>
      <c r="L1080" s="8"/>
      <c r="M1080" s="8"/>
      <c r="N1080" s="12"/>
      <c r="O1080" s="12"/>
      <c r="P1080" s="13">
        <f>IFERROR(__xludf.DUMMYFUNCTION("VALUE(SUBSTITUTE((INDEX(SPLIT(A1080,"",""),1)),""."","","",1))"),45.06545)</f>
        <v>45.06545</v>
      </c>
      <c r="Q1080" s="13">
        <f>IFERROR(__xludf.DUMMYFUNCTION("VALUE(SUBSTITUTE((INDEX(SPLIT(A1080,"",""),2)),""."","","",1))"),35.394592)</f>
        <v>35.394592</v>
      </c>
      <c r="R1080" s="14" t="b">
        <f t="shared" si="1"/>
        <v>0</v>
      </c>
      <c r="S1080" s="14" t="str">
        <f t="shared" si="2"/>
        <v>45.06545,35.394592</v>
      </c>
      <c r="T1080" s="12"/>
    </row>
    <row r="1081">
      <c r="A1081" s="20" t="s">
        <v>7123</v>
      </c>
      <c r="B1081" s="16" t="s">
        <v>7124</v>
      </c>
      <c r="C1081" s="16" t="s">
        <v>7125</v>
      </c>
      <c r="D1081" s="16" t="s">
        <v>16</v>
      </c>
      <c r="E1081" s="21" t="s">
        <v>7126</v>
      </c>
      <c r="F1081" s="22" t="s">
        <v>4881</v>
      </c>
      <c r="G1081" s="16">
        <v>23.61</v>
      </c>
      <c r="H1081" s="16"/>
      <c r="I1081" s="22"/>
      <c r="J1081" s="22" t="s">
        <v>7127</v>
      </c>
      <c r="K1081" s="22" t="s">
        <v>7128</v>
      </c>
      <c r="L1081" s="23" t="s">
        <v>7129</v>
      </c>
      <c r="M1081" s="22"/>
      <c r="N1081" s="12"/>
      <c r="O1081" s="12"/>
      <c r="P1081" s="13">
        <f>IFERROR(__xludf.DUMMYFUNCTION("VALUE(SUBSTITUTE((INDEX(SPLIT(A1081,"",""),1)),""."","","",1))"),45.091106)</f>
        <v>45.091106</v>
      </c>
      <c r="Q1081" s="13">
        <f>IFERROR(__xludf.DUMMYFUNCTION("VALUE(SUBSTITUTE((INDEX(SPLIT(A1081,"",""),2)),""."","","",1))"),35.397314)</f>
        <v>35.397314</v>
      </c>
      <c r="R1081" s="14" t="b">
        <f t="shared" si="1"/>
        <v>0</v>
      </c>
      <c r="S1081" s="14" t="str">
        <f t="shared" si="2"/>
        <v>45.091106,35.397314</v>
      </c>
      <c r="T1081" s="12"/>
    </row>
    <row r="1082">
      <c r="A1082" s="7" t="s">
        <v>7130</v>
      </c>
      <c r="B1082" s="8" t="s">
        <v>7131</v>
      </c>
      <c r="C1082" s="8" t="s">
        <v>1621</v>
      </c>
      <c r="D1082" s="8" t="s">
        <v>16</v>
      </c>
      <c r="E1082" s="9" t="s">
        <v>7132</v>
      </c>
      <c r="F1082" s="10" t="s">
        <v>4881</v>
      </c>
      <c r="G1082" s="8">
        <v>23.61</v>
      </c>
      <c r="H1082" s="8"/>
      <c r="I1082" s="10"/>
      <c r="J1082" s="10" t="s">
        <v>7133</v>
      </c>
      <c r="K1082" s="10" t="s">
        <v>7134</v>
      </c>
      <c r="L1082" s="11" t="s">
        <v>7135</v>
      </c>
      <c r="M1082" s="11" t="s">
        <v>7136</v>
      </c>
      <c r="N1082" s="12"/>
      <c r="O1082" s="12"/>
      <c r="P1082" s="13">
        <f>IFERROR(__xludf.DUMMYFUNCTION("VALUE(SUBSTITUTE((INDEX(SPLIT(A1082,"",""),1)),""."","","",1))"),45.06708)</f>
        <v>45.06708</v>
      </c>
      <c r="Q1082" s="13">
        <f>IFERROR(__xludf.DUMMYFUNCTION("VALUE(SUBSTITUTE((INDEX(SPLIT(A1082,"",""),2)),""."","","",1))"),35.399506)</f>
        <v>35.399506</v>
      </c>
      <c r="R1082" s="14" t="b">
        <f t="shared" si="1"/>
        <v>0</v>
      </c>
      <c r="S1082" s="14" t="str">
        <f t="shared" si="2"/>
        <v>45.06708,35.399506</v>
      </c>
      <c r="T1082" s="12"/>
    </row>
    <row r="1083">
      <c r="A1083" s="15" t="s">
        <v>7137</v>
      </c>
      <c r="B1083" s="16" t="s">
        <v>5812</v>
      </c>
      <c r="C1083" s="16" t="s">
        <v>5813</v>
      </c>
      <c r="D1083" s="16" t="s">
        <v>16</v>
      </c>
      <c r="E1083" s="17" t="s">
        <v>7138</v>
      </c>
      <c r="F1083" s="16" t="s">
        <v>3760</v>
      </c>
      <c r="G1083" s="16">
        <v>23.61</v>
      </c>
      <c r="H1083" s="16"/>
      <c r="I1083" s="16"/>
      <c r="J1083" s="16" t="s">
        <v>7139</v>
      </c>
      <c r="K1083" s="16" t="s">
        <v>7140</v>
      </c>
      <c r="L1083" s="16"/>
      <c r="M1083" s="16"/>
      <c r="N1083" s="12"/>
      <c r="O1083" s="12"/>
      <c r="P1083" s="13">
        <f>IFERROR(__xludf.DUMMYFUNCTION("VALUE(SUBSTITUTE((INDEX(SPLIT(A1083,"",""),1)),""."","","",1))"),56.024305)</f>
        <v>56.024305</v>
      </c>
      <c r="Q1083" s="13">
        <f>IFERROR(__xludf.DUMMYFUNCTION("VALUE(SUBSTITUTE((INDEX(SPLIT(A1083,"",""),2)),""."","","",1))"),35.48101)</f>
        <v>35.48101</v>
      </c>
      <c r="R1083" s="14" t="b">
        <f t="shared" si="1"/>
        <v>0</v>
      </c>
      <c r="S1083" s="14" t="str">
        <f t="shared" si="2"/>
        <v>56.024305,35.48101</v>
      </c>
      <c r="T1083" s="12"/>
    </row>
    <row r="1084">
      <c r="A1084" s="18" t="s">
        <v>7141</v>
      </c>
      <c r="B1084" s="8" t="s">
        <v>7142</v>
      </c>
      <c r="C1084" s="8" t="s">
        <v>7143</v>
      </c>
      <c r="D1084" s="8" t="s">
        <v>16</v>
      </c>
      <c r="E1084" s="19" t="s">
        <v>7144</v>
      </c>
      <c r="F1084" s="8" t="s">
        <v>3760</v>
      </c>
      <c r="G1084" s="8">
        <v>23.61</v>
      </c>
      <c r="H1084" s="8"/>
      <c r="I1084" s="8"/>
      <c r="J1084" s="8" t="s">
        <v>7145</v>
      </c>
      <c r="K1084" s="8" t="s">
        <v>7146</v>
      </c>
      <c r="L1084" s="8"/>
      <c r="M1084" s="8"/>
      <c r="N1084" s="12"/>
      <c r="O1084" s="12"/>
      <c r="P1084" s="13">
        <f>IFERROR(__xludf.DUMMYFUNCTION("VALUE(SUBSTITUTE((INDEX(SPLIT(A1084,"",""),1)),""."","","",1))"),56.024939)</f>
        <v>56.024939</v>
      </c>
      <c r="Q1084" s="13">
        <f>IFERROR(__xludf.DUMMYFUNCTION("VALUE(SUBSTITUTE((INDEX(SPLIT(A1084,"",""),2)),""."","","",1))"),35.482663)</f>
        <v>35.482663</v>
      </c>
      <c r="R1084" s="14" t="b">
        <f t="shared" si="1"/>
        <v>0</v>
      </c>
      <c r="S1084" s="14" t="str">
        <f t="shared" si="2"/>
        <v>56.024939,35.482663</v>
      </c>
      <c r="T1084" s="12"/>
    </row>
    <row r="1085">
      <c r="A1085" s="20" t="s">
        <v>7147</v>
      </c>
      <c r="B1085" s="16" t="s">
        <v>7148</v>
      </c>
      <c r="C1085" s="16" t="s">
        <v>7149</v>
      </c>
      <c r="D1085" s="16" t="s">
        <v>16</v>
      </c>
      <c r="E1085" s="21" t="s">
        <v>7150</v>
      </c>
      <c r="F1085" s="22" t="s">
        <v>4881</v>
      </c>
      <c r="G1085" s="16">
        <v>23.61</v>
      </c>
      <c r="H1085" s="16"/>
      <c r="I1085" s="22"/>
      <c r="J1085" s="22" t="s">
        <v>7151</v>
      </c>
      <c r="K1085" s="22" t="s">
        <v>7152</v>
      </c>
      <c r="L1085" s="23" t="s">
        <v>7153</v>
      </c>
      <c r="M1085" s="23" t="s">
        <v>7154</v>
      </c>
      <c r="N1085" s="12"/>
      <c r="O1085" s="12"/>
      <c r="P1085" s="13">
        <f>IFERROR(__xludf.DUMMYFUNCTION("VALUE(SUBSTITUTE((INDEX(SPLIT(A1085,"",""),1)),""."","","",1))"),45.116954)</f>
        <v>45.116954</v>
      </c>
      <c r="Q1085" s="13">
        <f>IFERROR(__xludf.DUMMYFUNCTION("VALUE(SUBSTITUTE((INDEX(SPLIT(A1085,"",""),2)),""."","","",1))"),35.48375)</f>
        <v>35.48375</v>
      </c>
      <c r="R1085" s="14" t="b">
        <f t="shared" si="1"/>
        <v>0</v>
      </c>
      <c r="S1085" s="14" t="str">
        <f t="shared" si="2"/>
        <v>45.116954,35.48375</v>
      </c>
      <c r="T1085" s="12"/>
    </row>
    <row r="1086">
      <c r="A1086" s="7" t="s">
        <v>7155</v>
      </c>
      <c r="B1086" s="8" t="s">
        <v>763</v>
      </c>
      <c r="C1086" s="8" t="s">
        <v>764</v>
      </c>
      <c r="D1086" s="8" t="s">
        <v>16</v>
      </c>
      <c r="E1086" s="9" t="s">
        <v>7156</v>
      </c>
      <c r="F1086" s="10" t="s">
        <v>7157</v>
      </c>
      <c r="G1086" s="8">
        <v>23.61</v>
      </c>
      <c r="H1086" s="8"/>
      <c r="I1086" s="10"/>
      <c r="J1086" s="10" t="s">
        <v>7158</v>
      </c>
      <c r="K1086" s="10" t="s">
        <v>7159</v>
      </c>
      <c r="L1086" s="11" t="s">
        <v>7160</v>
      </c>
      <c r="M1086" s="10"/>
      <c r="N1086" s="12"/>
      <c r="O1086" s="12"/>
      <c r="P1086" s="13">
        <f>IFERROR(__xludf.DUMMYFUNCTION("VALUE(SUBSTITUTE((INDEX(SPLIT(A1086,"",""),1)),""."","","",1))"),52.961888)</f>
        <v>52.961888</v>
      </c>
      <c r="Q1086" s="13">
        <f>IFERROR(__xludf.DUMMYFUNCTION("VALUE(SUBSTITUTE((INDEX(SPLIT(A1086,"",""),2)),""."","","",1))"),35.74825)</f>
        <v>35.74825</v>
      </c>
      <c r="R1086" s="14" t="b">
        <f t="shared" si="1"/>
        <v>0</v>
      </c>
      <c r="S1086" s="14" t="str">
        <f t="shared" si="2"/>
        <v>52.961888,35.74825</v>
      </c>
      <c r="T1086" s="12"/>
    </row>
    <row r="1087">
      <c r="A1087" s="20" t="s">
        <v>7161</v>
      </c>
      <c r="B1087" s="16" t="s">
        <v>7162</v>
      </c>
      <c r="C1087" s="16" t="s">
        <v>7163</v>
      </c>
      <c r="D1087" s="16" t="s">
        <v>16</v>
      </c>
      <c r="E1087" s="21" t="s">
        <v>7164</v>
      </c>
      <c r="F1087" s="22" t="s">
        <v>5788</v>
      </c>
      <c r="G1087" s="16">
        <v>23.61</v>
      </c>
      <c r="H1087" s="16"/>
      <c r="I1087" s="22"/>
      <c r="J1087" s="22" t="s">
        <v>7165</v>
      </c>
      <c r="K1087" s="22" t="s">
        <v>7166</v>
      </c>
      <c r="L1087" s="23" t="s">
        <v>7167</v>
      </c>
      <c r="M1087" s="22"/>
      <c r="N1087" s="12"/>
      <c r="O1087" s="12"/>
      <c r="P1087" s="13">
        <f>IFERROR(__xludf.DUMMYFUNCTION("VALUE(SUBSTITUTE((INDEX(SPLIT(A1087,"",""),1)),""."","","",1))"),56.896204)</f>
        <v>56.896204</v>
      </c>
      <c r="Q1087" s="13">
        <f>IFERROR(__xludf.DUMMYFUNCTION("VALUE(SUBSTITUTE((INDEX(SPLIT(A1087,"",""),2)),""."","","",1))"),35.76133)</f>
        <v>35.76133</v>
      </c>
      <c r="R1087" s="14" t="b">
        <f t="shared" si="1"/>
        <v>0</v>
      </c>
      <c r="S1087" s="14" t="str">
        <f t="shared" si="2"/>
        <v>56.896204,35.76133</v>
      </c>
      <c r="T1087" s="12"/>
    </row>
    <row r="1088">
      <c r="A1088" s="18" t="s">
        <v>7161</v>
      </c>
      <c r="B1088" s="8" t="s">
        <v>7168</v>
      </c>
      <c r="C1088" s="8" t="s">
        <v>7169</v>
      </c>
      <c r="D1088" s="8" t="s">
        <v>16</v>
      </c>
      <c r="E1088" s="19" t="s">
        <v>7170</v>
      </c>
      <c r="F1088" s="8" t="s">
        <v>5788</v>
      </c>
      <c r="G1088" s="8">
        <v>23.61</v>
      </c>
      <c r="H1088" s="8"/>
      <c r="I1088" s="8"/>
      <c r="J1088" s="8" t="s">
        <v>7165</v>
      </c>
      <c r="K1088" s="8" t="s">
        <v>7166</v>
      </c>
      <c r="L1088" s="8"/>
      <c r="M1088" s="8"/>
      <c r="N1088" s="12"/>
      <c r="O1088" s="12"/>
      <c r="P1088" s="13">
        <f>IFERROR(__xludf.DUMMYFUNCTION("VALUE(SUBSTITUTE((INDEX(SPLIT(A1088,"",""),1)),""."","","",1))"),56.896204)</f>
        <v>56.896204</v>
      </c>
      <c r="Q1088" s="13">
        <f>IFERROR(__xludf.DUMMYFUNCTION("VALUE(SUBSTITUTE((INDEX(SPLIT(A1088,"",""),2)),""."","","",1))"),35.76133)</f>
        <v>35.76133</v>
      </c>
      <c r="R1088" s="14" t="b">
        <f t="shared" si="1"/>
        <v>0</v>
      </c>
      <c r="S1088" s="14" t="str">
        <f t="shared" si="2"/>
        <v>56.896204,35.76133</v>
      </c>
      <c r="T1088" s="12"/>
    </row>
    <row r="1089">
      <c r="A1089" s="20" t="s">
        <v>7171</v>
      </c>
      <c r="B1089" s="16" t="s">
        <v>7172</v>
      </c>
      <c r="C1089" s="16" t="s">
        <v>7173</v>
      </c>
      <c r="D1089" s="16" t="s">
        <v>16</v>
      </c>
      <c r="E1089" s="21" t="s">
        <v>7174</v>
      </c>
      <c r="F1089" s="22" t="s">
        <v>4881</v>
      </c>
      <c r="G1089" s="16">
        <v>23.61</v>
      </c>
      <c r="H1089" s="16"/>
      <c r="I1089" s="22"/>
      <c r="J1089" s="22" t="s">
        <v>7175</v>
      </c>
      <c r="K1089" s="22" t="s">
        <v>7176</v>
      </c>
      <c r="L1089" s="23" t="s">
        <v>7177</v>
      </c>
      <c r="M1089" s="23" t="s">
        <v>7178</v>
      </c>
      <c r="N1089" s="12"/>
      <c r="O1089" s="12"/>
      <c r="P1089" s="13">
        <f>IFERROR(__xludf.DUMMYFUNCTION("VALUE(SUBSTITUTE((INDEX(SPLIT(A1089,"",""),1)),""."","","",1))"),45.294136)</f>
        <v>45.294136</v>
      </c>
      <c r="Q1089" s="13">
        <f>IFERROR(__xludf.DUMMYFUNCTION("VALUE(SUBSTITUTE((INDEX(SPLIT(A1089,"",""),2)),""."","","",1))"),35.786563)</f>
        <v>35.786563</v>
      </c>
      <c r="R1089" s="14" t="b">
        <f t="shared" si="1"/>
        <v>0</v>
      </c>
      <c r="S1089" s="14" t="str">
        <f t="shared" si="2"/>
        <v>45.294136,35.786563</v>
      </c>
      <c r="T1089" s="12"/>
    </row>
    <row r="1090">
      <c r="A1090" s="7" t="s">
        <v>7179</v>
      </c>
      <c r="B1090" s="8" t="s">
        <v>7180</v>
      </c>
      <c r="C1090" s="8" t="s">
        <v>7181</v>
      </c>
      <c r="D1090" s="8" t="s">
        <v>16</v>
      </c>
      <c r="E1090" s="9" t="s">
        <v>7182</v>
      </c>
      <c r="F1090" s="10" t="s">
        <v>5788</v>
      </c>
      <c r="G1090" s="8">
        <v>23.61</v>
      </c>
      <c r="H1090" s="8"/>
      <c r="I1090" s="10"/>
      <c r="J1090" s="10" t="s">
        <v>7183</v>
      </c>
      <c r="K1090" s="10" t="s">
        <v>7184</v>
      </c>
      <c r="L1090" s="11" t="s">
        <v>7185</v>
      </c>
      <c r="M1090" s="10"/>
      <c r="N1090" s="12"/>
      <c r="O1090" s="12"/>
      <c r="P1090" s="13">
        <f>IFERROR(__xludf.DUMMYFUNCTION("VALUE(SUBSTITUTE((INDEX(SPLIT(A1090,"",""),1)),""."","","",1))"),56.837726)</f>
        <v>56.837726</v>
      </c>
      <c r="Q1090" s="13">
        <f>IFERROR(__xludf.DUMMYFUNCTION("VALUE(SUBSTITUTE((INDEX(SPLIT(A1090,"",""),2)),""."","","",1))"),35.800218)</f>
        <v>35.800218</v>
      </c>
      <c r="R1090" s="14" t="b">
        <f t="shared" si="1"/>
        <v>0</v>
      </c>
      <c r="S1090" s="14" t="str">
        <f t="shared" si="2"/>
        <v>56.837726,35.800218</v>
      </c>
      <c r="T1090" s="12"/>
    </row>
    <row r="1091">
      <c r="A1091" s="15" t="s">
        <v>7186</v>
      </c>
      <c r="B1091" s="16" t="s">
        <v>7187</v>
      </c>
      <c r="C1091" s="16" t="s">
        <v>7188</v>
      </c>
      <c r="D1091" s="16" t="s">
        <v>16</v>
      </c>
      <c r="E1091" s="17" t="s">
        <v>7189</v>
      </c>
      <c r="F1091" s="16" t="s">
        <v>5788</v>
      </c>
      <c r="G1091" s="16">
        <v>23.61</v>
      </c>
      <c r="H1091" s="16"/>
      <c r="I1091" s="16"/>
      <c r="J1091" s="16" t="s">
        <v>7190</v>
      </c>
      <c r="K1091" s="16" t="s">
        <v>7191</v>
      </c>
      <c r="L1091" s="16"/>
      <c r="M1091" s="16"/>
      <c r="N1091" s="12"/>
      <c r="O1091" s="12"/>
      <c r="P1091" s="13">
        <f>IFERROR(__xludf.DUMMYFUNCTION("VALUE(SUBSTITUTE((INDEX(SPLIT(A1091,"",""),1)),""."","","",1))"),56.844569)</f>
        <v>56.844569</v>
      </c>
      <c r="Q1091" s="13">
        <f>IFERROR(__xludf.DUMMYFUNCTION("VALUE(SUBSTITUTE((INDEX(SPLIT(A1091,"",""),2)),""."","","",1))"),35.801592)</f>
        <v>35.801592</v>
      </c>
      <c r="R1091" s="14" t="b">
        <f t="shared" si="1"/>
        <v>0</v>
      </c>
      <c r="S1091" s="14" t="str">
        <f t="shared" si="2"/>
        <v>56.844569,35.801592</v>
      </c>
      <c r="T1091" s="12"/>
    </row>
    <row r="1092">
      <c r="A1092" s="18" t="s">
        <v>7186</v>
      </c>
      <c r="B1092" s="8" t="s">
        <v>7192</v>
      </c>
      <c r="C1092" s="8" t="s">
        <v>7193</v>
      </c>
      <c r="D1092" s="8" t="s">
        <v>16</v>
      </c>
      <c r="E1092" s="19" t="s">
        <v>7194</v>
      </c>
      <c r="F1092" s="8" t="s">
        <v>5788</v>
      </c>
      <c r="G1092" s="8">
        <v>23.61</v>
      </c>
      <c r="H1092" s="8"/>
      <c r="I1092" s="8"/>
      <c r="J1092" s="8" t="s">
        <v>7195</v>
      </c>
      <c r="K1092" s="8" t="s">
        <v>7196</v>
      </c>
      <c r="L1092" s="8"/>
      <c r="M1092" s="8"/>
      <c r="N1092" s="12"/>
      <c r="O1092" s="12"/>
      <c r="P1092" s="13">
        <f>IFERROR(__xludf.DUMMYFUNCTION("VALUE(SUBSTITUTE((INDEX(SPLIT(A1092,"",""),1)),""."","","",1))"),56.844569)</f>
        <v>56.844569</v>
      </c>
      <c r="Q1092" s="13">
        <f>IFERROR(__xludf.DUMMYFUNCTION("VALUE(SUBSTITUTE((INDEX(SPLIT(A1092,"",""),2)),""."","","",1))"),35.801592)</f>
        <v>35.801592</v>
      </c>
      <c r="R1092" s="14" t="b">
        <f t="shared" si="1"/>
        <v>0</v>
      </c>
      <c r="S1092" s="14" t="str">
        <f t="shared" si="2"/>
        <v>56.844569,35.801592</v>
      </c>
      <c r="T1092" s="12"/>
    </row>
    <row r="1093">
      <c r="A1093" s="15" t="s">
        <v>7197</v>
      </c>
      <c r="B1093" s="16" t="s">
        <v>7198</v>
      </c>
      <c r="C1093" s="16" t="s">
        <v>7199</v>
      </c>
      <c r="D1093" s="16" t="s">
        <v>16</v>
      </c>
      <c r="E1093" s="17" t="s">
        <v>7200</v>
      </c>
      <c r="F1093" s="16" t="s">
        <v>5788</v>
      </c>
      <c r="G1093" s="16">
        <v>23.61</v>
      </c>
      <c r="H1093" s="16"/>
      <c r="I1093" s="16"/>
      <c r="J1093" s="16" t="s">
        <v>7201</v>
      </c>
      <c r="K1093" s="16" t="s">
        <v>7202</v>
      </c>
      <c r="L1093" s="16"/>
      <c r="M1093" s="16"/>
      <c r="N1093" s="12"/>
      <c r="O1093" s="12"/>
      <c r="P1093" s="13">
        <f>IFERROR(__xludf.DUMMYFUNCTION("VALUE(SUBSTITUTE((INDEX(SPLIT(A1093,"",""),1)),""."","","",1))"),56.838568)</f>
        <v>56.838568</v>
      </c>
      <c r="Q1093" s="13">
        <f>IFERROR(__xludf.DUMMYFUNCTION("VALUE(SUBSTITUTE((INDEX(SPLIT(A1093,"",""),2)),""."","","",1))"),35.806021)</f>
        <v>35.806021</v>
      </c>
      <c r="R1093" s="14" t="b">
        <f t="shared" si="1"/>
        <v>0</v>
      </c>
      <c r="S1093" s="14" t="str">
        <f t="shared" si="2"/>
        <v>56.838568,35.806021</v>
      </c>
      <c r="T1093" s="12"/>
    </row>
    <row r="1094">
      <c r="A1094" s="18" t="s">
        <v>7197</v>
      </c>
      <c r="B1094" s="8" t="s">
        <v>7203</v>
      </c>
      <c r="C1094" s="8" t="s">
        <v>7204</v>
      </c>
      <c r="D1094" s="8" t="s">
        <v>16</v>
      </c>
      <c r="E1094" s="19" t="s">
        <v>7205</v>
      </c>
      <c r="F1094" s="8" t="s">
        <v>5788</v>
      </c>
      <c r="G1094" s="8">
        <v>23.61</v>
      </c>
      <c r="H1094" s="8"/>
      <c r="I1094" s="8"/>
      <c r="J1094" s="8" t="s">
        <v>7206</v>
      </c>
      <c r="K1094" s="8" t="s">
        <v>7202</v>
      </c>
      <c r="L1094" s="8"/>
      <c r="M1094" s="8"/>
      <c r="N1094" s="12"/>
      <c r="O1094" s="12"/>
      <c r="P1094" s="13">
        <f>IFERROR(__xludf.DUMMYFUNCTION("VALUE(SUBSTITUTE((INDEX(SPLIT(A1094,"",""),1)),""."","","",1))"),56.838568)</f>
        <v>56.838568</v>
      </c>
      <c r="Q1094" s="13">
        <f>IFERROR(__xludf.DUMMYFUNCTION("VALUE(SUBSTITUTE((INDEX(SPLIT(A1094,"",""),2)),""."","","",1))"),35.806021)</f>
        <v>35.806021</v>
      </c>
      <c r="R1094" s="14" t="b">
        <f t="shared" si="1"/>
        <v>0</v>
      </c>
      <c r="S1094" s="14" t="str">
        <f t="shared" si="2"/>
        <v>56.838568,35.806021</v>
      </c>
      <c r="T1094" s="12"/>
    </row>
    <row r="1095">
      <c r="A1095" s="15" t="s">
        <v>7207</v>
      </c>
      <c r="B1095" s="16" t="s">
        <v>7208</v>
      </c>
      <c r="C1095" s="16" t="s">
        <v>7209</v>
      </c>
      <c r="D1095" s="16" t="s">
        <v>16</v>
      </c>
      <c r="E1095" s="17" t="s">
        <v>7210</v>
      </c>
      <c r="F1095" s="16" t="s">
        <v>5788</v>
      </c>
      <c r="G1095" s="16">
        <v>23.61</v>
      </c>
      <c r="H1095" s="16"/>
      <c r="I1095" s="16"/>
      <c r="J1095" s="16" t="s">
        <v>7211</v>
      </c>
      <c r="K1095" s="16" t="s">
        <v>7212</v>
      </c>
      <c r="L1095" s="16"/>
      <c r="M1095" s="16"/>
      <c r="N1095" s="12"/>
      <c r="O1095" s="12"/>
      <c r="P1095" s="13">
        <f>IFERROR(__xludf.DUMMYFUNCTION("VALUE(SUBSTITUTE((INDEX(SPLIT(A1095,"",""),1)),""."","","",1))"),56.898185)</f>
        <v>56.898185</v>
      </c>
      <c r="Q1095" s="13">
        <f>IFERROR(__xludf.DUMMYFUNCTION("VALUE(SUBSTITUTE((INDEX(SPLIT(A1095,"",""),2)),""."","","",1))"),35.814267)</f>
        <v>35.814267</v>
      </c>
      <c r="R1095" s="14" t="b">
        <f t="shared" si="1"/>
        <v>0</v>
      </c>
      <c r="S1095" s="14" t="str">
        <f t="shared" si="2"/>
        <v>56.898185,35.814267</v>
      </c>
      <c r="T1095" s="12"/>
    </row>
    <row r="1096">
      <c r="A1096" s="7" t="s">
        <v>7213</v>
      </c>
      <c r="B1096" s="8" t="s">
        <v>7214</v>
      </c>
      <c r="C1096" s="8" t="s">
        <v>7215</v>
      </c>
      <c r="D1096" s="8" t="s">
        <v>16</v>
      </c>
      <c r="E1096" s="9" t="s">
        <v>7216</v>
      </c>
      <c r="F1096" s="10" t="s">
        <v>5788</v>
      </c>
      <c r="G1096" s="8">
        <v>23.61</v>
      </c>
      <c r="H1096" s="8"/>
      <c r="I1096" s="10"/>
      <c r="J1096" s="10" t="s">
        <v>7217</v>
      </c>
      <c r="K1096" s="10" t="s">
        <v>7218</v>
      </c>
      <c r="L1096" s="11" t="s">
        <v>7219</v>
      </c>
      <c r="M1096" s="10"/>
      <c r="N1096" s="12"/>
      <c r="O1096" s="12"/>
      <c r="P1096" s="13">
        <f>IFERROR(__xludf.DUMMYFUNCTION("VALUE(SUBSTITUTE((INDEX(SPLIT(A1096,"",""),1)),""."","","",1))"),56.899773)</f>
        <v>56.899773</v>
      </c>
      <c r="Q1096" s="13">
        <f>IFERROR(__xludf.DUMMYFUNCTION("VALUE(SUBSTITUTE((INDEX(SPLIT(A1096,"",""),2)),""."","","",1))"),35.824167)</f>
        <v>35.824167</v>
      </c>
      <c r="R1096" s="14" t="b">
        <f t="shared" si="1"/>
        <v>0</v>
      </c>
      <c r="S1096" s="14" t="str">
        <f t="shared" si="2"/>
        <v>56.899773,35.824167</v>
      </c>
      <c r="T1096" s="12"/>
    </row>
    <row r="1097">
      <c r="A1097" s="15" t="s">
        <v>7220</v>
      </c>
      <c r="B1097" s="16" t="s">
        <v>7221</v>
      </c>
      <c r="C1097" s="16" t="s">
        <v>7222</v>
      </c>
      <c r="D1097" s="16" t="s">
        <v>16</v>
      </c>
      <c r="E1097" s="17" t="s">
        <v>7223</v>
      </c>
      <c r="F1097" s="16" t="s">
        <v>5788</v>
      </c>
      <c r="G1097" s="16">
        <v>23.61</v>
      </c>
      <c r="H1097" s="16"/>
      <c r="I1097" s="16"/>
      <c r="J1097" s="16" t="s">
        <v>7224</v>
      </c>
      <c r="K1097" s="16" t="s">
        <v>7225</v>
      </c>
      <c r="L1097" s="16"/>
      <c r="M1097" s="25" t="s">
        <v>7226</v>
      </c>
      <c r="N1097" s="12"/>
      <c r="O1097" s="12"/>
      <c r="P1097" s="13">
        <f>IFERROR(__xludf.DUMMYFUNCTION("VALUE(SUBSTITUTE((INDEX(SPLIT(A1097,"",""),1)),""."","","",1))"),56.883956)</f>
        <v>56.883956</v>
      </c>
      <c r="Q1097" s="13">
        <f>IFERROR(__xludf.DUMMYFUNCTION("VALUE(SUBSTITUTE((INDEX(SPLIT(A1097,"",""),2)),""."","","",1))"),35.828012)</f>
        <v>35.828012</v>
      </c>
      <c r="R1097" s="14" t="b">
        <f t="shared" si="1"/>
        <v>0</v>
      </c>
      <c r="S1097" s="14" t="str">
        <f t="shared" si="2"/>
        <v>56.883956,35.828012</v>
      </c>
      <c r="T1097" s="12"/>
    </row>
    <row r="1098">
      <c r="A1098" s="7" t="s">
        <v>7227</v>
      </c>
      <c r="B1098" s="8" t="s">
        <v>7228</v>
      </c>
      <c r="C1098" s="8" t="s">
        <v>7229</v>
      </c>
      <c r="D1098" s="8" t="s">
        <v>16</v>
      </c>
      <c r="E1098" s="9" t="s">
        <v>7230</v>
      </c>
      <c r="F1098" s="10" t="s">
        <v>5788</v>
      </c>
      <c r="G1098" s="8">
        <v>23.61</v>
      </c>
      <c r="H1098" s="8"/>
      <c r="I1098" s="10"/>
      <c r="J1098" s="10" t="s">
        <v>7231</v>
      </c>
      <c r="K1098" s="10" t="s">
        <v>7232</v>
      </c>
      <c r="L1098" s="11" t="s">
        <v>7233</v>
      </c>
      <c r="M1098" s="10"/>
      <c r="N1098" s="12"/>
      <c r="O1098" s="12"/>
      <c r="P1098" s="13">
        <f>IFERROR(__xludf.DUMMYFUNCTION("VALUE(SUBSTITUTE((INDEX(SPLIT(A1098,"",""),1)),""."","","",1))"),56.874415)</f>
        <v>56.874415</v>
      </c>
      <c r="Q1098" s="13">
        <f>IFERROR(__xludf.DUMMYFUNCTION("VALUE(SUBSTITUTE((INDEX(SPLIT(A1098,"",""),2)),""."","","",1))"),35.83668)</f>
        <v>35.83668</v>
      </c>
      <c r="R1098" s="14" t="b">
        <f t="shared" si="1"/>
        <v>0</v>
      </c>
      <c r="S1098" s="14" t="str">
        <f t="shared" si="2"/>
        <v>56.874415,35.83668</v>
      </c>
      <c r="T1098" s="12"/>
    </row>
    <row r="1099">
      <c r="A1099" s="15" t="s">
        <v>7227</v>
      </c>
      <c r="B1099" s="16" t="s">
        <v>7234</v>
      </c>
      <c r="C1099" s="16" t="s">
        <v>7235</v>
      </c>
      <c r="D1099" s="16" t="s">
        <v>16</v>
      </c>
      <c r="E1099" s="17" t="s">
        <v>7236</v>
      </c>
      <c r="F1099" s="16" t="s">
        <v>5788</v>
      </c>
      <c r="G1099" s="16">
        <v>23.61</v>
      </c>
      <c r="H1099" s="16"/>
      <c r="I1099" s="16"/>
      <c r="J1099" s="16" t="s">
        <v>7237</v>
      </c>
      <c r="K1099" s="16" t="s">
        <v>7238</v>
      </c>
      <c r="L1099" s="16"/>
      <c r="M1099" s="16"/>
      <c r="N1099" s="12"/>
      <c r="O1099" s="12"/>
      <c r="P1099" s="13">
        <f>IFERROR(__xludf.DUMMYFUNCTION("VALUE(SUBSTITUTE((INDEX(SPLIT(A1099,"",""),1)),""."","","",1))"),56.874415)</f>
        <v>56.874415</v>
      </c>
      <c r="Q1099" s="13">
        <f>IFERROR(__xludf.DUMMYFUNCTION("VALUE(SUBSTITUTE((INDEX(SPLIT(A1099,"",""),2)),""."","","",1))"),35.83668)</f>
        <v>35.83668</v>
      </c>
      <c r="R1099" s="14" t="b">
        <f t="shared" si="1"/>
        <v>0</v>
      </c>
      <c r="S1099" s="14" t="str">
        <f t="shared" si="2"/>
        <v>56.874415,35.83668</v>
      </c>
      <c r="T1099" s="12"/>
    </row>
    <row r="1100">
      <c r="A1100" s="7" t="s">
        <v>7239</v>
      </c>
      <c r="B1100" s="8" t="s">
        <v>7240</v>
      </c>
      <c r="C1100" s="8" t="s">
        <v>7241</v>
      </c>
      <c r="D1100" s="8" t="s">
        <v>16</v>
      </c>
      <c r="E1100" s="9" t="s">
        <v>7242</v>
      </c>
      <c r="F1100" s="10" t="s">
        <v>6724</v>
      </c>
      <c r="G1100" s="8">
        <v>23.61</v>
      </c>
      <c r="H1100" s="8"/>
      <c r="I1100" s="10"/>
      <c r="J1100" s="10" t="s">
        <v>7243</v>
      </c>
      <c r="K1100" s="10" t="s">
        <v>7244</v>
      </c>
      <c r="L1100" s="11" t="s">
        <v>7245</v>
      </c>
      <c r="M1100" s="10"/>
      <c r="N1100" s="12"/>
      <c r="O1100" s="12"/>
      <c r="P1100" s="13">
        <f>IFERROR(__xludf.DUMMYFUNCTION("VALUE(SUBSTITUTE((INDEX(SPLIT(A1100,"",""),1)),""."","","",1))"),54.962587)</f>
        <v>54.962587</v>
      </c>
      <c r="Q1100" s="13">
        <f>IFERROR(__xludf.DUMMYFUNCTION("VALUE(SUBSTITUTE((INDEX(SPLIT(A1100,"",""),2)),""."","","",1))"),35.843759)</f>
        <v>35.843759</v>
      </c>
      <c r="R1100" s="14" t="b">
        <f t="shared" si="1"/>
        <v>0</v>
      </c>
      <c r="S1100" s="14" t="str">
        <f t="shared" si="2"/>
        <v>54.962587,35.843759</v>
      </c>
      <c r="T1100" s="12"/>
    </row>
    <row r="1101">
      <c r="A1101" s="15" t="s">
        <v>7246</v>
      </c>
      <c r="B1101" s="16" t="s">
        <v>7247</v>
      </c>
      <c r="C1101" s="16" t="s">
        <v>7248</v>
      </c>
      <c r="D1101" s="16" t="s">
        <v>16</v>
      </c>
      <c r="E1101" s="17" t="s">
        <v>7249</v>
      </c>
      <c r="F1101" s="16" t="s">
        <v>5788</v>
      </c>
      <c r="G1101" s="16">
        <v>23.61</v>
      </c>
      <c r="H1101" s="16"/>
      <c r="I1101" s="16"/>
      <c r="J1101" s="16" t="s">
        <v>7250</v>
      </c>
      <c r="K1101" s="16" t="s">
        <v>7251</v>
      </c>
      <c r="L1101" s="16"/>
      <c r="M1101" s="16"/>
      <c r="N1101" s="12"/>
      <c r="O1101" s="12"/>
      <c r="P1101" s="13">
        <f>IFERROR(__xludf.DUMMYFUNCTION("VALUE(SUBSTITUTE((INDEX(SPLIT(A1101,"",""),1)),""."","","",1))"),56.811)</f>
        <v>56.811</v>
      </c>
      <c r="Q1101" s="13">
        <f>IFERROR(__xludf.DUMMYFUNCTION("VALUE(SUBSTITUTE((INDEX(SPLIT(A1101,"",""),2)),""."","","",1))"),35.849679)</f>
        <v>35.849679</v>
      </c>
      <c r="R1101" s="14" t="b">
        <f t="shared" si="1"/>
        <v>0</v>
      </c>
      <c r="S1101" s="14" t="str">
        <f t="shared" si="2"/>
        <v>56.811,35.849679</v>
      </c>
      <c r="T1101" s="12"/>
    </row>
    <row r="1102">
      <c r="A1102" s="7" t="s">
        <v>7252</v>
      </c>
      <c r="B1102" s="8" t="s">
        <v>7253</v>
      </c>
      <c r="C1102" s="8" t="s">
        <v>7254</v>
      </c>
      <c r="D1102" s="8" t="s">
        <v>16</v>
      </c>
      <c r="E1102" s="9" t="s">
        <v>7255</v>
      </c>
      <c r="F1102" s="10" t="s">
        <v>5788</v>
      </c>
      <c r="G1102" s="8">
        <v>23.61</v>
      </c>
      <c r="H1102" s="8"/>
      <c r="I1102" s="10"/>
      <c r="J1102" s="10" t="s">
        <v>7256</v>
      </c>
      <c r="K1102" s="10" t="s">
        <v>7257</v>
      </c>
      <c r="L1102" s="11" t="s">
        <v>7258</v>
      </c>
      <c r="M1102" s="10"/>
      <c r="N1102" s="12"/>
      <c r="O1102" s="12"/>
      <c r="P1102" s="13">
        <f>IFERROR(__xludf.DUMMYFUNCTION("VALUE(SUBSTITUTE((INDEX(SPLIT(A1102,"",""),1)),""."","","",1))"),56.861564)</f>
        <v>56.861564</v>
      </c>
      <c r="Q1102" s="13">
        <f>IFERROR(__xludf.DUMMYFUNCTION("VALUE(SUBSTITUTE((INDEX(SPLIT(A1102,"",""),2)),""."","","",1))"),35.879808)</f>
        <v>35.879808</v>
      </c>
      <c r="R1102" s="14" t="b">
        <f t="shared" si="1"/>
        <v>0</v>
      </c>
      <c r="S1102" s="14" t="str">
        <f t="shared" si="2"/>
        <v>56.861564,35.879808</v>
      </c>
      <c r="T1102" s="12"/>
    </row>
    <row r="1103">
      <c r="A1103" s="20" t="s">
        <v>7259</v>
      </c>
      <c r="B1103" s="16" t="s">
        <v>7260</v>
      </c>
      <c r="C1103" s="16" t="s">
        <v>7261</v>
      </c>
      <c r="D1103" s="16" t="s">
        <v>16</v>
      </c>
      <c r="E1103" s="21" t="s">
        <v>7262</v>
      </c>
      <c r="F1103" s="22" t="s">
        <v>5788</v>
      </c>
      <c r="G1103" s="16">
        <v>23.61</v>
      </c>
      <c r="H1103" s="16"/>
      <c r="I1103" s="22"/>
      <c r="J1103" s="22" t="s">
        <v>7263</v>
      </c>
      <c r="K1103" s="22" t="s">
        <v>7264</v>
      </c>
      <c r="L1103" s="23" t="s">
        <v>7265</v>
      </c>
      <c r="M1103" s="22"/>
      <c r="N1103" s="12"/>
      <c r="O1103" s="12"/>
      <c r="P1103" s="13">
        <f>IFERROR(__xludf.DUMMYFUNCTION("VALUE(SUBSTITUTE((INDEX(SPLIT(A1103,"",""),1)),""."","","",1))"),56.823493)</f>
        <v>56.823493</v>
      </c>
      <c r="Q1103" s="13">
        <f>IFERROR(__xludf.DUMMYFUNCTION("VALUE(SUBSTITUTE((INDEX(SPLIT(A1103,"",""),2)),""."","","",1))"),35.880168)</f>
        <v>35.880168</v>
      </c>
      <c r="R1103" s="14" t="b">
        <f t="shared" si="1"/>
        <v>0</v>
      </c>
      <c r="S1103" s="14" t="str">
        <f t="shared" si="2"/>
        <v>56.823493,35.880168</v>
      </c>
      <c r="T1103" s="12"/>
    </row>
    <row r="1104">
      <c r="A1104" s="18" t="s">
        <v>7259</v>
      </c>
      <c r="B1104" s="8" t="s">
        <v>7266</v>
      </c>
      <c r="C1104" s="8" t="s">
        <v>7267</v>
      </c>
      <c r="D1104" s="8" t="s">
        <v>16</v>
      </c>
      <c r="E1104" s="19" t="s">
        <v>7268</v>
      </c>
      <c r="F1104" s="8" t="s">
        <v>5788</v>
      </c>
      <c r="G1104" s="8">
        <v>23.61</v>
      </c>
      <c r="H1104" s="8"/>
      <c r="I1104" s="8"/>
      <c r="J1104" s="8" t="s">
        <v>7269</v>
      </c>
      <c r="K1104" s="8" t="s">
        <v>7270</v>
      </c>
      <c r="L1104" s="8"/>
      <c r="M1104" s="8"/>
      <c r="N1104" s="12"/>
      <c r="O1104" s="12"/>
      <c r="P1104" s="13">
        <f>IFERROR(__xludf.DUMMYFUNCTION("VALUE(SUBSTITUTE((INDEX(SPLIT(A1104,"",""),1)),""."","","",1))"),56.823493)</f>
        <v>56.823493</v>
      </c>
      <c r="Q1104" s="13">
        <f>IFERROR(__xludf.DUMMYFUNCTION("VALUE(SUBSTITUTE((INDEX(SPLIT(A1104,"",""),2)),""."","","",1))"),35.880168)</f>
        <v>35.880168</v>
      </c>
      <c r="R1104" s="14" t="b">
        <f t="shared" si="1"/>
        <v>0</v>
      </c>
      <c r="S1104" s="14" t="str">
        <f t="shared" si="2"/>
        <v>56.823493,35.880168</v>
      </c>
      <c r="T1104" s="12"/>
    </row>
    <row r="1105">
      <c r="A1105" s="15" t="s">
        <v>7271</v>
      </c>
      <c r="B1105" s="16" t="s">
        <v>7272</v>
      </c>
      <c r="C1105" s="16" t="s">
        <v>7273</v>
      </c>
      <c r="D1105" s="16" t="s">
        <v>16</v>
      </c>
      <c r="E1105" s="17" t="s">
        <v>7274</v>
      </c>
      <c r="F1105" s="16" t="s">
        <v>5788</v>
      </c>
      <c r="G1105" s="16">
        <v>23.61</v>
      </c>
      <c r="H1105" s="16"/>
      <c r="I1105" s="16"/>
      <c r="J1105" s="16" t="s">
        <v>7275</v>
      </c>
      <c r="K1105" s="16" t="s">
        <v>7276</v>
      </c>
      <c r="L1105" s="16"/>
      <c r="M1105" s="16"/>
      <c r="N1105" s="12"/>
      <c r="O1105" s="12"/>
      <c r="P1105" s="13">
        <f>IFERROR(__xludf.DUMMYFUNCTION("VALUE(SUBSTITUTE((INDEX(SPLIT(A1105,"",""),1)),""."","","",1))"),56.835259)</f>
        <v>56.835259</v>
      </c>
      <c r="Q1105" s="13">
        <f>IFERROR(__xludf.DUMMYFUNCTION("VALUE(SUBSTITUTE((INDEX(SPLIT(A1105,"",""),2)),""."","","",1))"),35.904243)</f>
        <v>35.904243</v>
      </c>
      <c r="R1105" s="14" t="b">
        <f t="shared" si="1"/>
        <v>0</v>
      </c>
      <c r="S1105" s="14" t="str">
        <f t="shared" si="2"/>
        <v>56.835259,35.904243</v>
      </c>
      <c r="T1105" s="12"/>
    </row>
    <row r="1106">
      <c r="A1106" s="18" t="s">
        <v>7277</v>
      </c>
      <c r="B1106" s="8" t="s">
        <v>7278</v>
      </c>
      <c r="C1106" s="8" t="s">
        <v>7279</v>
      </c>
      <c r="D1106" s="8" t="s">
        <v>16</v>
      </c>
      <c r="E1106" s="19" t="s">
        <v>7280</v>
      </c>
      <c r="F1106" s="8" t="s">
        <v>5788</v>
      </c>
      <c r="G1106" s="8">
        <v>23.61</v>
      </c>
      <c r="H1106" s="8"/>
      <c r="I1106" s="8"/>
      <c r="J1106" s="8" t="s">
        <v>7281</v>
      </c>
      <c r="K1106" s="8" t="s">
        <v>7282</v>
      </c>
      <c r="L1106" s="8"/>
      <c r="M1106" s="24" t="s">
        <v>7283</v>
      </c>
      <c r="N1106" s="12"/>
      <c r="O1106" s="12"/>
      <c r="P1106" s="13">
        <f>IFERROR(__xludf.DUMMYFUNCTION("VALUE(SUBSTITUTE((INDEX(SPLIT(A1106,"",""),1)),""."","","",1))"),56.878089)</f>
        <v>56.878089</v>
      </c>
      <c r="Q1106" s="13">
        <f>IFERROR(__xludf.DUMMYFUNCTION("VALUE(SUBSTITUTE((INDEX(SPLIT(A1106,"",""),2)),""."","","",1))"),35.90815)</f>
        <v>35.90815</v>
      </c>
      <c r="R1106" s="14" t="b">
        <f t="shared" si="1"/>
        <v>0</v>
      </c>
      <c r="S1106" s="14" t="str">
        <f t="shared" si="2"/>
        <v>56.878089,35.90815</v>
      </c>
      <c r="T1106" s="12"/>
    </row>
    <row r="1107">
      <c r="A1107" s="15" t="s">
        <v>7284</v>
      </c>
      <c r="B1107" s="16" t="s">
        <v>7285</v>
      </c>
      <c r="C1107" s="16" t="s">
        <v>7286</v>
      </c>
      <c r="D1107" s="16" t="s">
        <v>16</v>
      </c>
      <c r="E1107" s="17" t="s">
        <v>7287</v>
      </c>
      <c r="F1107" s="16" t="s">
        <v>5788</v>
      </c>
      <c r="G1107" s="16">
        <v>23.61</v>
      </c>
      <c r="H1107" s="16"/>
      <c r="I1107" s="16"/>
      <c r="J1107" s="16" t="s">
        <v>7288</v>
      </c>
      <c r="K1107" s="16" t="s">
        <v>7289</v>
      </c>
      <c r="L1107" s="16"/>
      <c r="M1107" s="16"/>
      <c r="N1107" s="12"/>
      <c r="O1107" s="12"/>
      <c r="P1107" s="13">
        <f>IFERROR(__xludf.DUMMYFUNCTION("VALUE(SUBSTITUTE((INDEX(SPLIT(A1107,"",""),1)),""."","","",1))"),56.823213)</f>
        <v>56.823213</v>
      </c>
      <c r="Q1107" s="13">
        <f>IFERROR(__xludf.DUMMYFUNCTION("VALUE(SUBSTITUTE((INDEX(SPLIT(A1107,"",""),2)),""."","","",1))"),35.908662)</f>
        <v>35.908662</v>
      </c>
      <c r="R1107" s="14" t="b">
        <f t="shared" si="1"/>
        <v>0</v>
      </c>
      <c r="S1107" s="14" t="str">
        <f t="shared" si="2"/>
        <v>56.823213,35.908662</v>
      </c>
      <c r="T1107" s="12"/>
    </row>
    <row r="1108">
      <c r="A1108" s="18" t="s">
        <v>7290</v>
      </c>
      <c r="B1108" s="8" t="s">
        <v>7291</v>
      </c>
      <c r="C1108" s="8" t="s">
        <v>7292</v>
      </c>
      <c r="D1108" s="8" t="s">
        <v>16</v>
      </c>
      <c r="E1108" s="19" t="s">
        <v>7293</v>
      </c>
      <c r="F1108" s="8" t="s">
        <v>5788</v>
      </c>
      <c r="G1108" s="8">
        <v>23.61</v>
      </c>
      <c r="H1108" s="8"/>
      <c r="I1108" s="8"/>
      <c r="J1108" s="8" t="s">
        <v>7294</v>
      </c>
      <c r="K1108" s="8" t="s">
        <v>7295</v>
      </c>
      <c r="L1108" s="8"/>
      <c r="M1108" s="24" t="s">
        <v>7296</v>
      </c>
      <c r="N1108" s="12"/>
      <c r="O1108" s="12"/>
      <c r="P1108" s="13">
        <f>IFERROR(__xludf.DUMMYFUNCTION("VALUE(SUBSTITUTE((INDEX(SPLIT(A1108,"",""),1)),""."","","",1))"),56.859625)</f>
        <v>56.859625</v>
      </c>
      <c r="Q1108" s="13">
        <f>IFERROR(__xludf.DUMMYFUNCTION("VALUE(SUBSTITUTE((INDEX(SPLIT(A1108,"",""),2)),""."","","",1))"),35.91186)</f>
        <v>35.91186</v>
      </c>
      <c r="R1108" s="14" t="b">
        <f t="shared" si="1"/>
        <v>0</v>
      </c>
      <c r="S1108" s="14" t="str">
        <f t="shared" si="2"/>
        <v>56.859625,35.91186</v>
      </c>
      <c r="T1108" s="12"/>
    </row>
    <row r="1109">
      <c r="A1109" s="15" t="s">
        <v>7290</v>
      </c>
      <c r="B1109" s="16" t="s">
        <v>7297</v>
      </c>
      <c r="C1109" s="16" t="s">
        <v>7298</v>
      </c>
      <c r="D1109" s="16" t="s">
        <v>16</v>
      </c>
      <c r="E1109" s="17" t="s">
        <v>7299</v>
      </c>
      <c r="F1109" s="16" t="s">
        <v>5788</v>
      </c>
      <c r="G1109" s="16">
        <v>23.61</v>
      </c>
      <c r="H1109" s="16"/>
      <c r="I1109" s="16"/>
      <c r="J1109" s="16" t="s">
        <v>7300</v>
      </c>
      <c r="K1109" s="16" t="s">
        <v>7301</v>
      </c>
      <c r="L1109" s="16"/>
      <c r="M1109" s="16"/>
      <c r="N1109" s="12"/>
      <c r="O1109" s="12"/>
      <c r="P1109" s="13">
        <f>IFERROR(__xludf.DUMMYFUNCTION("VALUE(SUBSTITUTE((INDEX(SPLIT(A1109,"",""),1)),""."","","",1))"),56.859625)</f>
        <v>56.859625</v>
      </c>
      <c r="Q1109" s="13">
        <f>IFERROR(__xludf.DUMMYFUNCTION("VALUE(SUBSTITUTE((INDEX(SPLIT(A1109,"",""),2)),""."","","",1))"),35.91186)</f>
        <v>35.91186</v>
      </c>
      <c r="R1109" s="14" t="b">
        <f t="shared" si="1"/>
        <v>0</v>
      </c>
      <c r="S1109" s="14" t="str">
        <f t="shared" si="2"/>
        <v>56.859625,35.91186</v>
      </c>
      <c r="T1109" s="12"/>
    </row>
    <row r="1110">
      <c r="A1110" s="18" t="s">
        <v>7302</v>
      </c>
      <c r="B1110" s="8" t="s">
        <v>7303</v>
      </c>
      <c r="C1110" s="8" t="s">
        <v>7304</v>
      </c>
      <c r="D1110" s="8" t="s">
        <v>16</v>
      </c>
      <c r="E1110" s="19" t="s">
        <v>7305</v>
      </c>
      <c r="F1110" s="8" t="s">
        <v>5788</v>
      </c>
      <c r="G1110" s="8">
        <v>23.61</v>
      </c>
      <c r="H1110" s="8"/>
      <c r="I1110" s="8"/>
      <c r="J1110" s="8" t="s">
        <v>7306</v>
      </c>
      <c r="K1110" s="8" t="s">
        <v>7307</v>
      </c>
      <c r="L1110" s="8"/>
      <c r="M1110" s="8"/>
      <c r="N1110" s="12"/>
      <c r="O1110" s="12"/>
      <c r="P1110" s="13">
        <f>IFERROR(__xludf.DUMMYFUNCTION("VALUE(SUBSTITUTE((INDEX(SPLIT(A1110,"",""),1)),""."","","",1))"),56.852494)</f>
        <v>56.852494</v>
      </c>
      <c r="Q1110" s="13">
        <f>IFERROR(__xludf.DUMMYFUNCTION("VALUE(SUBSTITUTE((INDEX(SPLIT(A1110,"",""),2)),""."","","",1))"),35.919765)</f>
        <v>35.919765</v>
      </c>
      <c r="R1110" s="14" t="b">
        <f t="shared" si="1"/>
        <v>0</v>
      </c>
      <c r="S1110" s="14" t="str">
        <f t="shared" si="2"/>
        <v>56.852494,35.919765</v>
      </c>
      <c r="T1110" s="12"/>
    </row>
    <row r="1111">
      <c r="A1111" s="20" t="s">
        <v>7308</v>
      </c>
      <c r="B1111" s="16" t="s">
        <v>7309</v>
      </c>
      <c r="C1111" s="16" t="s">
        <v>7310</v>
      </c>
      <c r="D1111" s="16" t="s">
        <v>16</v>
      </c>
      <c r="E1111" s="21" t="s">
        <v>7311</v>
      </c>
      <c r="F1111" s="22" t="s">
        <v>3760</v>
      </c>
      <c r="G1111" s="16">
        <v>23.61</v>
      </c>
      <c r="H1111" s="16"/>
      <c r="I1111" s="28" t="s">
        <v>7312</v>
      </c>
      <c r="J1111" s="22" t="s">
        <v>7313</v>
      </c>
      <c r="K1111" s="22" t="s">
        <v>7314</v>
      </c>
      <c r="L1111" s="23" t="s">
        <v>7315</v>
      </c>
      <c r="M1111" s="22"/>
      <c r="N1111" s="12"/>
      <c r="O1111" s="12"/>
      <c r="P1111" s="13">
        <f>IFERROR(__xludf.DUMMYFUNCTION("VALUE(SUBSTITUTE((INDEX(SPLIT(A1111,"",""),1)),""."","","",1))"),55.991435)</f>
        <v>55.991435</v>
      </c>
      <c r="Q1111" s="13">
        <f>IFERROR(__xludf.DUMMYFUNCTION("VALUE(SUBSTITUTE((INDEX(SPLIT(A1111,"",""),2)),""."","","",1))"),35.924437)</f>
        <v>35.924437</v>
      </c>
      <c r="R1111" s="14" t="b">
        <f t="shared" si="1"/>
        <v>0</v>
      </c>
      <c r="S1111" s="14" t="str">
        <f t="shared" si="2"/>
        <v>55.991435,35.924437</v>
      </c>
      <c r="T1111" s="12"/>
    </row>
    <row r="1112">
      <c r="A1112" s="7" t="s">
        <v>7316</v>
      </c>
      <c r="B1112" s="8" t="s">
        <v>7317</v>
      </c>
      <c r="C1112" s="8" t="s">
        <v>7318</v>
      </c>
      <c r="D1112" s="8" t="s">
        <v>16</v>
      </c>
      <c r="E1112" s="9" t="s">
        <v>7319</v>
      </c>
      <c r="F1112" s="10" t="s">
        <v>5788</v>
      </c>
      <c r="G1112" s="8">
        <v>23.61</v>
      </c>
      <c r="H1112" s="8"/>
      <c r="I1112" s="10"/>
      <c r="J1112" s="10" t="s">
        <v>7320</v>
      </c>
      <c r="K1112" s="10" t="s">
        <v>7321</v>
      </c>
      <c r="L1112" s="11" t="s">
        <v>7322</v>
      </c>
      <c r="M1112" s="10"/>
      <c r="N1112" s="12"/>
      <c r="O1112" s="12"/>
      <c r="P1112" s="13">
        <f>IFERROR(__xludf.DUMMYFUNCTION("VALUE(SUBSTITUTE((INDEX(SPLIT(A1112,"",""),1)),""."","","",1))"),56.851776)</f>
        <v>56.851776</v>
      </c>
      <c r="Q1112" s="13">
        <f>IFERROR(__xludf.DUMMYFUNCTION("VALUE(SUBSTITUTE((INDEX(SPLIT(A1112,"",""),2)),""."","","",1))"),35.926126)</f>
        <v>35.926126</v>
      </c>
      <c r="R1112" s="14" t="b">
        <f t="shared" si="1"/>
        <v>0</v>
      </c>
      <c r="S1112" s="14" t="str">
        <f t="shared" si="2"/>
        <v>56.851776,35.926126</v>
      </c>
      <c r="T1112" s="12"/>
    </row>
    <row r="1113">
      <c r="A1113" s="15" t="s">
        <v>7323</v>
      </c>
      <c r="B1113" s="16" t="s">
        <v>7324</v>
      </c>
      <c r="C1113" s="16" t="s">
        <v>7325</v>
      </c>
      <c r="D1113" s="16" t="s">
        <v>16</v>
      </c>
      <c r="E1113" s="17" t="s">
        <v>7326</v>
      </c>
      <c r="F1113" s="16" t="s">
        <v>5788</v>
      </c>
      <c r="G1113" s="16">
        <v>23.61</v>
      </c>
      <c r="H1113" s="16"/>
      <c r="I1113" s="16"/>
      <c r="J1113" s="16" t="s">
        <v>7327</v>
      </c>
      <c r="K1113" s="16" t="s">
        <v>7328</v>
      </c>
      <c r="L1113" s="16"/>
      <c r="M1113" s="16"/>
      <c r="N1113" s="12"/>
      <c r="O1113" s="12"/>
      <c r="P1113" s="13">
        <f>IFERROR(__xludf.DUMMYFUNCTION("VALUE(SUBSTITUTE((INDEX(SPLIT(A1113,"",""),1)),""."","","",1))"),56.888972)</f>
        <v>56.888972</v>
      </c>
      <c r="Q1113" s="13">
        <f>IFERROR(__xludf.DUMMYFUNCTION("VALUE(SUBSTITUTE((INDEX(SPLIT(A1113,"",""),2)),""."","","",1))"),35.927769)</f>
        <v>35.927769</v>
      </c>
      <c r="R1113" s="14" t="b">
        <f t="shared" si="1"/>
        <v>0</v>
      </c>
      <c r="S1113" s="14" t="str">
        <f t="shared" si="2"/>
        <v>56.888972,35.927769</v>
      </c>
      <c r="T1113" s="12"/>
    </row>
    <row r="1114">
      <c r="A1114" s="18" t="s">
        <v>7323</v>
      </c>
      <c r="B1114" s="8" t="s">
        <v>7329</v>
      </c>
      <c r="C1114" s="8" t="s">
        <v>7330</v>
      </c>
      <c r="D1114" s="8" t="s">
        <v>16</v>
      </c>
      <c r="E1114" s="19" t="s">
        <v>7331</v>
      </c>
      <c r="F1114" s="8" t="s">
        <v>5788</v>
      </c>
      <c r="G1114" s="8">
        <v>23.61</v>
      </c>
      <c r="H1114" s="8"/>
      <c r="I1114" s="8"/>
      <c r="J1114" s="8" t="s">
        <v>7332</v>
      </c>
      <c r="K1114" s="8" t="s">
        <v>7333</v>
      </c>
      <c r="L1114" s="8"/>
      <c r="M1114" s="8"/>
      <c r="N1114" s="12"/>
      <c r="O1114" s="12"/>
      <c r="P1114" s="13">
        <f>IFERROR(__xludf.DUMMYFUNCTION("VALUE(SUBSTITUTE((INDEX(SPLIT(A1114,"",""),1)),""."","","",1))"),56.888972)</f>
        <v>56.888972</v>
      </c>
      <c r="Q1114" s="13">
        <f>IFERROR(__xludf.DUMMYFUNCTION("VALUE(SUBSTITUTE((INDEX(SPLIT(A1114,"",""),2)),""."","","",1))"),35.927769)</f>
        <v>35.927769</v>
      </c>
      <c r="R1114" s="14" t="b">
        <f t="shared" si="1"/>
        <v>0</v>
      </c>
      <c r="S1114" s="14" t="str">
        <f t="shared" si="2"/>
        <v>56.888972,35.927769</v>
      </c>
      <c r="T1114" s="12"/>
    </row>
    <row r="1115">
      <c r="A1115" s="15" t="s">
        <v>7334</v>
      </c>
      <c r="B1115" s="16" t="s">
        <v>7335</v>
      </c>
      <c r="C1115" s="16" t="s">
        <v>7336</v>
      </c>
      <c r="D1115" s="16" t="s">
        <v>16</v>
      </c>
      <c r="E1115" s="17" t="s">
        <v>7337</v>
      </c>
      <c r="F1115" s="16" t="s">
        <v>5788</v>
      </c>
      <c r="G1115" s="16">
        <v>23.61</v>
      </c>
      <c r="H1115" s="16"/>
      <c r="I1115" s="16"/>
      <c r="J1115" s="16" t="s">
        <v>7338</v>
      </c>
      <c r="K1115" s="16" t="s">
        <v>7339</v>
      </c>
      <c r="L1115" s="16"/>
      <c r="M1115" s="16"/>
      <c r="N1115" s="12"/>
      <c r="O1115" s="12"/>
      <c r="P1115" s="13">
        <f>IFERROR(__xludf.DUMMYFUNCTION("VALUE(SUBSTITUTE((INDEX(SPLIT(A1115,"",""),1)),""."","","",1))"),56.792528)</f>
        <v>56.792528</v>
      </c>
      <c r="Q1115" s="13">
        <f>IFERROR(__xludf.DUMMYFUNCTION("VALUE(SUBSTITUTE((INDEX(SPLIT(A1115,"",""),2)),""."","","",1))"),35.929054)</f>
        <v>35.929054</v>
      </c>
      <c r="R1115" s="14" t="b">
        <f t="shared" si="1"/>
        <v>0</v>
      </c>
      <c r="S1115" s="14" t="str">
        <f t="shared" si="2"/>
        <v>56.792528,35.929054</v>
      </c>
      <c r="T1115" s="12"/>
    </row>
    <row r="1116">
      <c r="A1116" s="18" t="s">
        <v>7340</v>
      </c>
      <c r="B1116" s="8" t="s">
        <v>7341</v>
      </c>
      <c r="C1116" s="8" t="s">
        <v>7342</v>
      </c>
      <c r="D1116" s="8" t="s">
        <v>16</v>
      </c>
      <c r="E1116" s="19" t="s">
        <v>7343</v>
      </c>
      <c r="F1116" s="8" t="s">
        <v>5788</v>
      </c>
      <c r="G1116" s="8">
        <v>23.61</v>
      </c>
      <c r="H1116" s="8"/>
      <c r="I1116" s="8"/>
      <c r="J1116" s="8" t="s">
        <v>7344</v>
      </c>
      <c r="K1116" s="8" t="s">
        <v>7345</v>
      </c>
      <c r="L1116" s="8"/>
      <c r="M1116" s="8"/>
      <c r="N1116" s="12"/>
      <c r="O1116" s="12"/>
      <c r="P1116" s="13">
        <f>IFERROR(__xludf.DUMMYFUNCTION("VALUE(SUBSTITUTE((INDEX(SPLIT(A1116,"",""),1)),""."","","",1))"),56.890462)</f>
        <v>56.890462</v>
      </c>
      <c r="Q1116" s="13">
        <f>IFERROR(__xludf.DUMMYFUNCTION("VALUE(SUBSTITUTE((INDEX(SPLIT(A1116,"",""),2)),""."","","",1))"),35.931138)</f>
        <v>35.931138</v>
      </c>
      <c r="R1116" s="14" t="b">
        <f t="shared" si="1"/>
        <v>0</v>
      </c>
      <c r="S1116" s="14" t="str">
        <f t="shared" si="2"/>
        <v>56.890462,35.931138</v>
      </c>
      <c r="T1116" s="12"/>
    </row>
    <row r="1117">
      <c r="A1117" s="20" t="s">
        <v>7346</v>
      </c>
      <c r="B1117" s="16" t="s">
        <v>7347</v>
      </c>
      <c r="C1117" s="16" t="s">
        <v>7348</v>
      </c>
      <c r="D1117" s="16" t="s">
        <v>16</v>
      </c>
      <c r="E1117" s="21" t="s">
        <v>7349</v>
      </c>
      <c r="F1117" s="22" t="s">
        <v>5788</v>
      </c>
      <c r="G1117" s="16">
        <v>23.61</v>
      </c>
      <c r="H1117" s="16"/>
      <c r="I1117" s="22"/>
      <c r="J1117" s="22" t="s">
        <v>7350</v>
      </c>
      <c r="K1117" s="22" t="s">
        <v>7351</v>
      </c>
      <c r="L1117" s="23" t="s">
        <v>7352</v>
      </c>
      <c r="M1117" s="22"/>
      <c r="N1117" s="12"/>
      <c r="O1117" s="12"/>
      <c r="P1117" s="13">
        <f>IFERROR(__xludf.DUMMYFUNCTION("VALUE(SUBSTITUTE((INDEX(SPLIT(A1117,"",""),1)),""."","","",1))"),56.827823)</f>
        <v>56.827823</v>
      </c>
      <c r="Q1117" s="13">
        <f>IFERROR(__xludf.DUMMYFUNCTION("VALUE(SUBSTITUTE((INDEX(SPLIT(A1117,"",""),2)),""."","","",1))"),35.931758)</f>
        <v>35.931758</v>
      </c>
      <c r="R1117" s="14" t="b">
        <f t="shared" si="1"/>
        <v>0</v>
      </c>
      <c r="S1117" s="14" t="str">
        <f t="shared" si="2"/>
        <v>56.827823,35.931758</v>
      </c>
      <c r="T1117" s="12"/>
    </row>
    <row r="1118">
      <c r="A1118" s="18" t="s">
        <v>7353</v>
      </c>
      <c r="B1118" s="8" t="s">
        <v>7354</v>
      </c>
      <c r="C1118" s="8" t="s">
        <v>7355</v>
      </c>
      <c r="D1118" s="8" t="s">
        <v>16</v>
      </c>
      <c r="E1118" s="19" t="s">
        <v>7356</v>
      </c>
      <c r="F1118" s="8" t="s">
        <v>6724</v>
      </c>
      <c r="G1118" s="8">
        <v>23.61</v>
      </c>
      <c r="H1118" s="8"/>
      <c r="I1118" s="8"/>
      <c r="J1118" s="8" t="s">
        <v>7357</v>
      </c>
      <c r="K1118" s="8" t="s">
        <v>7358</v>
      </c>
      <c r="L1118" s="8"/>
      <c r="M1118" s="8"/>
      <c r="N1118" s="12"/>
      <c r="O1118" s="12"/>
      <c r="P1118" s="13">
        <f>IFERROR(__xludf.DUMMYFUNCTION("VALUE(SUBSTITUTE((INDEX(SPLIT(A1118,"",""),1)),""."","","",1))"),54.784868)</f>
        <v>54.784868</v>
      </c>
      <c r="Q1118" s="13">
        <f>IFERROR(__xludf.DUMMYFUNCTION("VALUE(SUBSTITUTE((INDEX(SPLIT(A1118,"",""),2)),""."","","",1))"),35.948431)</f>
        <v>35.948431</v>
      </c>
      <c r="R1118" s="14" t="b">
        <f t="shared" si="1"/>
        <v>0</v>
      </c>
      <c r="S1118" s="14" t="str">
        <f t="shared" si="2"/>
        <v>54.784868,35.948431</v>
      </c>
      <c r="T1118" s="12"/>
    </row>
    <row r="1119">
      <c r="A1119" s="15" t="s">
        <v>7359</v>
      </c>
      <c r="B1119" s="16" t="s">
        <v>7360</v>
      </c>
      <c r="C1119" s="16" t="s">
        <v>7361</v>
      </c>
      <c r="D1119" s="16" t="s">
        <v>16</v>
      </c>
      <c r="E1119" s="17" t="s">
        <v>7362</v>
      </c>
      <c r="F1119" s="16" t="s">
        <v>5788</v>
      </c>
      <c r="G1119" s="16">
        <v>23.61</v>
      </c>
      <c r="H1119" s="16"/>
      <c r="I1119" s="16"/>
      <c r="J1119" s="16" t="s">
        <v>7363</v>
      </c>
      <c r="K1119" s="16" t="s">
        <v>7364</v>
      </c>
      <c r="L1119" s="16"/>
      <c r="M1119" s="16"/>
      <c r="N1119" s="12"/>
      <c r="O1119" s="12"/>
      <c r="P1119" s="13">
        <f>IFERROR(__xludf.DUMMYFUNCTION("VALUE(SUBSTITUTE((INDEX(SPLIT(A1119,"",""),1)),""."","","",1))"),56.852539)</f>
        <v>56.852539</v>
      </c>
      <c r="Q1119" s="13">
        <f>IFERROR(__xludf.DUMMYFUNCTION("VALUE(SUBSTITUTE((INDEX(SPLIT(A1119,"",""),2)),""."","","",1))"),35.952841)</f>
        <v>35.952841</v>
      </c>
      <c r="R1119" s="14" t="b">
        <f t="shared" si="1"/>
        <v>0</v>
      </c>
      <c r="S1119" s="14" t="str">
        <f t="shared" si="2"/>
        <v>56.852539,35.952841</v>
      </c>
      <c r="T1119" s="12"/>
    </row>
    <row r="1120">
      <c r="A1120" s="18" t="s">
        <v>7359</v>
      </c>
      <c r="B1120" s="8" t="s">
        <v>7365</v>
      </c>
      <c r="C1120" s="8" t="s">
        <v>7366</v>
      </c>
      <c r="D1120" s="8" t="s">
        <v>16</v>
      </c>
      <c r="E1120" s="19" t="s">
        <v>7367</v>
      </c>
      <c r="F1120" s="8" t="s">
        <v>5788</v>
      </c>
      <c r="G1120" s="8">
        <v>23.61</v>
      </c>
      <c r="H1120" s="8"/>
      <c r="I1120" s="8"/>
      <c r="J1120" s="8" t="s">
        <v>7368</v>
      </c>
      <c r="K1120" s="8" t="s">
        <v>7364</v>
      </c>
      <c r="L1120" s="8"/>
      <c r="M1120" s="8"/>
      <c r="N1120" s="12"/>
      <c r="O1120" s="12"/>
      <c r="P1120" s="13">
        <f>IFERROR(__xludf.DUMMYFUNCTION("VALUE(SUBSTITUTE((INDEX(SPLIT(A1120,"",""),1)),""."","","",1))"),56.852539)</f>
        <v>56.852539</v>
      </c>
      <c r="Q1120" s="13">
        <f>IFERROR(__xludf.DUMMYFUNCTION("VALUE(SUBSTITUTE((INDEX(SPLIT(A1120,"",""),2)),""."","","",1))"),35.952841)</f>
        <v>35.952841</v>
      </c>
      <c r="R1120" s="14" t="b">
        <f t="shared" si="1"/>
        <v>0</v>
      </c>
      <c r="S1120" s="14" t="str">
        <f t="shared" si="2"/>
        <v>56.852539,35.952841</v>
      </c>
      <c r="T1120" s="12"/>
    </row>
    <row r="1121">
      <c r="A1121" s="15" t="s">
        <v>7369</v>
      </c>
      <c r="B1121" s="16" t="s">
        <v>7370</v>
      </c>
      <c r="C1121" s="16" t="s">
        <v>7371</v>
      </c>
      <c r="D1121" s="16" t="s">
        <v>16</v>
      </c>
      <c r="E1121" s="17" t="s">
        <v>7372</v>
      </c>
      <c r="F1121" s="16" t="s">
        <v>5788</v>
      </c>
      <c r="G1121" s="16">
        <v>23.61</v>
      </c>
      <c r="H1121" s="16"/>
      <c r="I1121" s="16"/>
      <c r="J1121" s="16" t="s">
        <v>7373</v>
      </c>
      <c r="K1121" s="16" t="s">
        <v>7374</v>
      </c>
      <c r="L1121" s="16"/>
      <c r="M1121" s="16"/>
      <c r="N1121" s="12"/>
      <c r="O1121" s="12"/>
      <c r="P1121" s="13">
        <f>IFERROR(__xludf.DUMMYFUNCTION("VALUE(SUBSTITUTE((INDEX(SPLIT(A1121,"",""),1)),""."","","",1))"),56.832216)</f>
        <v>56.832216</v>
      </c>
      <c r="Q1121" s="13">
        <f>IFERROR(__xludf.DUMMYFUNCTION("VALUE(SUBSTITUTE((INDEX(SPLIT(A1121,"",""),2)),""."","","",1))"),35.955788)</f>
        <v>35.955788</v>
      </c>
      <c r="R1121" s="14" t="b">
        <f t="shared" si="1"/>
        <v>0</v>
      </c>
      <c r="S1121" s="14" t="str">
        <f t="shared" si="2"/>
        <v>56.832216,35.955788</v>
      </c>
      <c r="T1121" s="12"/>
    </row>
    <row r="1122">
      <c r="A1122" s="18" t="s">
        <v>7369</v>
      </c>
      <c r="B1122" s="8" t="s">
        <v>7375</v>
      </c>
      <c r="C1122" s="8" t="s">
        <v>7376</v>
      </c>
      <c r="D1122" s="8" t="s">
        <v>16</v>
      </c>
      <c r="E1122" s="19" t="s">
        <v>7377</v>
      </c>
      <c r="F1122" s="8" t="s">
        <v>5788</v>
      </c>
      <c r="G1122" s="8">
        <v>23.61</v>
      </c>
      <c r="H1122" s="8"/>
      <c r="I1122" s="8"/>
      <c r="J1122" s="8" t="s">
        <v>7378</v>
      </c>
      <c r="K1122" s="8" t="s">
        <v>7379</v>
      </c>
      <c r="L1122" s="8"/>
      <c r="M1122" s="8"/>
      <c r="N1122" s="12"/>
      <c r="O1122" s="12"/>
      <c r="P1122" s="13">
        <f>IFERROR(__xludf.DUMMYFUNCTION("VALUE(SUBSTITUTE((INDEX(SPLIT(A1122,"",""),1)),""."","","",1))"),56.832216)</f>
        <v>56.832216</v>
      </c>
      <c r="Q1122" s="13">
        <f>IFERROR(__xludf.DUMMYFUNCTION("VALUE(SUBSTITUTE((INDEX(SPLIT(A1122,"",""),2)),""."","","",1))"),35.955788)</f>
        <v>35.955788</v>
      </c>
      <c r="R1122" s="14" t="b">
        <f t="shared" si="1"/>
        <v>0</v>
      </c>
      <c r="S1122" s="14" t="str">
        <f t="shared" si="2"/>
        <v>56.832216,35.955788</v>
      </c>
      <c r="T1122" s="12"/>
    </row>
    <row r="1123">
      <c r="A1123" s="20" t="s">
        <v>7369</v>
      </c>
      <c r="B1123" s="16" t="s">
        <v>7380</v>
      </c>
      <c r="C1123" s="16" t="s">
        <v>7381</v>
      </c>
      <c r="D1123" s="16" t="s">
        <v>16</v>
      </c>
      <c r="E1123" s="21" t="s">
        <v>7382</v>
      </c>
      <c r="F1123" s="22" t="s">
        <v>5788</v>
      </c>
      <c r="G1123" s="16">
        <v>23.61</v>
      </c>
      <c r="H1123" s="16"/>
      <c r="I1123" s="22"/>
      <c r="J1123" s="22" t="s">
        <v>7383</v>
      </c>
      <c r="K1123" s="22" t="s">
        <v>7374</v>
      </c>
      <c r="L1123" s="23" t="s">
        <v>7384</v>
      </c>
      <c r="M1123" s="22"/>
      <c r="N1123" s="12"/>
      <c r="O1123" s="12"/>
      <c r="P1123" s="13">
        <f>IFERROR(__xludf.DUMMYFUNCTION("VALUE(SUBSTITUTE((INDEX(SPLIT(A1123,"",""),1)),""."","","",1))"),56.832216)</f>
        <v>56.832216</v>
      </c>
      <c r="Q1123" s="13">
        <f>IFERROR(__xludf.DUMMYFUNCTION("VALUE(SUBSTITUTE((INDEX(SPLIT(A1123,"",""),2)),""."","","",1))"),35.955788)</f>
        <v>35.955788</v>
      </c>
      <c r="R1123" s="14" t="b">
        <f t="shared" si="1"/>
        <v>0</v>
      </c>
      <c r="S1123" s="14" t="str">
        <f t="shared" si="2"/>
        <v>56.832216,35.955788</v>
      </c>
      <c r="T1123" s="12"/>
    </row>
    <row r="1124">
      <c r="A1124" s="18" t="s">
        <v>7385</v>
      </c>
      <c r="B1124" s="8" t="s">
        <v>7386</v>
      </c>
      <c r="C1124" s="8" t="s">
        <v>7387</v>
      </c>
      <c r="D1124" s="8" t="s">
        <v>16</v>
      </c>
      <c r="E1124" s="19" t="s">
        <v>7388</v>
      </c>
      <c r="F1124" s="8" t="s">
        <v>5788</v>
      </c>
      <c r="G1124" s="8">
        <v>23.61</v>
      </c>
      <c r="H1124" s="8"/>
      <c r="I1124" s="8"/>
      <c r="J1124" s="8" t="s">
        <v>7389</v>
      </c>
      <c r="K1124" s="8" t="s">
        <v>7390</v>
      </c>
      <c r="L1124" s="8"/>
      <c r="M1124" s="8"/>
      <c r="N1124" s="12"/>
      <c r="O1124" s="12"/>
      <c r="P1124" s="13">
        <f>IFERROR(__xludf.DUMMYFUNCTION("VALUE(SUBSTITUTE((INDEX(SPLIT(A1124,"",""),1)),""."","","",1))"),56.744367)</f>
        <v>56.744367</v>
      </c>
      <c r="Q1124" s="13">
        <f>IFERROR(__xludf.DUMMYFUNCTION("VALUE(SUBSTITUTE((INDEX(SPLIT(A1124,"",""),2)),""."","","",1))"),35.957414)</f>
        <v>35.957414</v>
      </c>
      <c r="R1124" s="14" t="b">
        <f t="shared" si="1"/>
        <v>0</v>
      </c>
      <c r="S1124" s="14" t="str">
        <f t="shared" si="2"/>
        <v>56.744367,35.957414</v>
      </c>
      <c r="T1124" s="12"/>
    </row>
    <row r="1125">
      <c r="A1125" s="15" t="s">
        <v>7391</v>
      </c>
      <c r="B1125" s="16" t="s">
        <v>7392</v>
      </c>
      <c r="C1125" s="16" t="s">
        <v>7393</v>
      </c>
      <c r="D1125" s="16" t="s">
        <v>16</v>
      </c>
      <c r="E1125" s="17" t="s">
        <v>7394</v>
      </c>
      <c r="F1125" s="16" t="s">
        <v>3760</v>
      </c>
      <c r="G1125" s="16">
        <v>23.61</v>
      </c>
      <c r="H1125" s="16"/>
      <c r="I1125" s="16"/>
      <c r="J1125" s="16" t="s">
        <v>7395</v>
      </c>
      <c r="K1125" s="16" t="s">
        <v>7396</v>
      </c>
      <c r="L1125" s="16"/>
      <c r="M1125" s="25" t="s">
        <v>7397</v>
      </c>
      <c r="N1125" s="12"/>
      <c r="O1125" s="12"/>
      <c r="P1125" s="13">
        <f>IFERROR(__xludf.DUMMYFUNCTION("VALUE(SUBSTITUTE((INDEX(SPLIT(A1125,"",""),1)),""."","","",1))"),56.030633)</f>
        <v>56.030633</v>
      </c>
      <c r="Q1125" s="13">
        <f>IFERROR(__xludf.DUMMYFUNCTION("VALUE(SUBSTITUTE((INDEX(SPLIT(A1125,"",""),2)),""."","","",1))"),35.959327)</f>
        <v>35.959327</v>
      </c>
      <c r="R1125" s="14" t="b">
        <f t="shared" si="1"/>
        <v>0</v>
      </c>
      <c r="S1125" s="14" t="str">
        <f t="shared" si="2"/>
        <v>56.030633,35.959327</v>
      </c>
      <c r="T1125" s="12"/>
    </row>
    <row r="1126">
      <c r="A1126" s="18" t="s">
        <v>7398</v>
      </c>
      <c r="B1126" s="8" t="s">
        <v>7399</v>
      </c>
      <c r="C1126" s="8" t="s">
        <v>7400</v>
      </c>
      <c r="D1126" s="8" t="s">
        <v>16</v>
      </c>
      <c r="E1126" s="19" t="s">
        <v>7401</v>
      </c>
      <c r="F1126" s="8" t="s">
        <v>5788</v>
      </c>
      <c r="G1126" s="8">
        <v>23.61</v>
      </c>
      <c r="H1126" s="8"/>
      <c r="I1126" s="8"/>
      <c r="J1126" s="8" t="s">
        <v>7402</v>
      </c>
      <c r="K1126" s="8" t="s">
        <v>7403</v>
      </c>
      <c r="L1126" s="8"/>
      <c r="M1126" s="8"/>
      <c r="N1126" s="12"/>
      <c r="O1126" s="12"/>
      <c r="P1126" s="13">
        <f>IFERROR(__xludf.DUMMYFUNCTION("VALUE(SUBSTITUTE((INDEX(SPLIT(A1126,"",""),1)),""."","","",1))"),56.846573)</f>
        <v>56.846573</v>
      </c>
      <c r="Q1126" s="13">
        <f>IFERROR(__xludf.DUMMYFUNCTION("VALUE(SUBSTITUTE((INDEX(SPLIT(A1126,"",""),2)),""."","","",1))"),35.961402)</f>
        <v>35.961402</v>
      </c>
      <c r="R1126" s="14" t="b">
        <f t="shared" si="1"/>
        <v>0</v>
      </c>
      <c r="S1126" s="14" t="str">
        <f t="shared" si="2"/>
        <v>56.846573,35.961402</v>
      </c>
      <c r="T1126" s="12"/>
    </row>
    <row r="1127">
      <c r="A1127" s="15" t="s">
        <v>7404</v>
      </c>
      <c r="B1127" s="16" t="s">
        <v>7405</v>
      </c>
      <c r="C1127" s="16" t="s">
        <v>7406</v>
      </c>
      <c r="D1127" s="16" t="s">
        <v>16</v>
      </c>
      <c r="E1127" s="17" t="s">
        <v>7407</v>
      </c>
      <c r="F1127" s="16" t="s">
        <v>5788</v>
      </c>
      <c r="G1127" s="16">
        <v>23.61</v>
      </c>
      <c r="H1127" s="16"/>
      <c r="I1127" s="32" t="s">
        <v>7408</v>
      </c>
      <c r="J1127" s="16" t="s">
        <v>7409</v>
      </c>
      <c r="K1127" s="16" t="s">
        <v>7410</v>
      </c>
      <c r="L1127" s="16"/>
      <c r="M1127" s="16"/>
      <c r="N1127" s="12"/>
      <c r="O1127" s="12"/>
      <c r="P1127" s="13">
        <f>IFERROR(__xludf.DUMMYFUNCTION("VALUE(SUBSTITUTE((INDEX(SPLIT(A1127,"",""),1)),""."","","",1))"),56.820681)</f>
        <v>56.820681</v>
      </c>
      <c r="Q1127" s="13">
        <f>IFERROR(__xludf.DUMMYFUNCTION("VALUE(SUBSTITUTE((INDEX(SPLIT(A1127,"",""),2)),""."","","",1))"),35.972038)</f>
        <v>35.972038</v>
      </c>
      <c r="R1127" s="14" t="b">
        <f t="shared" si="1"/>
        <v>0</v>
      </c>
      <c r="S1127" s="14" t="str">
        <f t="shared" si="2"/>
        <v>56.820681,35.972038</v>
      </c>
      <c r="T1127" s="12"/>
    </row>
    <row r="1128">
      <c r="A1128" s="18" t="s">
        <v>7404</v>
      </c>
      <c r="B1128" s="8" t="s">
        <v>7411</v>
      </c>
      <c r="C1128" s="8" t="s">
        <v>7412</v>
      </c>
      <c r="D1128" s="8" t="s">
        <v>16</v>
      </c>
      <c r="E1128" s="19" t="s">
        <v>7413</v>
      </c>
      <c r="F1128" s="8" t="s">
        <v>5788</v>
      </c>
      <c r="G1128" s="8">
        <v>23.61</v>
      </c>
      <c r="H1128" s="8"/>
      <c r="I1128" s="8"/>
      <c r="J1128" s="8" t="s">
        <v>7414</v>
      </c>
      <c r="K1128" s="8" t="s">
        <v>7415</v>
      </c>
      <c r="L1128" s="8"/>
      <c r="M1128" s="8"/>
      <c r="N1128" s="12"/>
      <c r="O1128" s="12"/>
      <c r="P1128" s="13">
        <f>IFERROR(__xludf.DUMMYFUNCTION("VALUE(SUBSTITUTE((INDEX(SPLIT(A1128,"",""),1)),""."","","",1))"),56.820681)</f>
        <v>56.820681</v>
      </c>
      <c r="Q1128" s="13">
        <f>IFERROR(__xludf.DUMMYFUNCTION("VALUE(SUBSTITUTE((INDEX(SPLIT(A1128,"",""),2)),""."","","",1))"),35.972038)</f>
        <v>35.972038</v>
      </c>
      <c r="R1128" s="14" t="b">
        <f t="shared" si="1"/>
        <v>0</v>
      </c>
      <c r="S1128" s="14" t="str">
        <f t="shared" si="2"/>
        <v>56.820681,35.972038</v>
      </c>
      <c r="T1128" s="12"/>
    </row>
    <row r="1129">
      <c r="A1129" s="15" t="s">
        <v>7416</v>
      </c>
      <c r="B1129" s="16" t="s">
        <v>7417</v>
      </c>
      <c r="C1129" s="16" t="s">
        <v>7418</v>
      </c>
      <c r="D1129" s="16" t="s">
        <v>16</v>
      </c>
      <c r="E1129" s="17" t="s">
        <v>7419</v>
      </c>
      <c r="F1129" s="16" t="s">
        <v>6724</v>
      </c>
      <c r="G1129" s="16">
        <v>23.61</v>
      </c>
      <c r="H1129" s="16"/>
      <c r="I1129" s="16"/>
      <c r="J1129" s="16" t="s">
        <v>7420</v>
      </c>
      <c r="K1129" s="16" t="s">
        <v>7421</v>
      </c>
      <c r="L1129" s="16"/>
      <c r="M1129" s="16"/>
      <c r="N1129" s="12"/>
      <c r="O1129" s="12"/>
      <c r="P1129" s="13">
        <f>IFERROR(__xludf.DUMMYFUNCTION("VALUE(SUBSTITUTE((INDEX(SPLIT(A1129,"",""),1)),""."","","",1))"),54.723996)</f>
        <v>54.723996</v>
      </c>
      <c r="Q1129" s="13">
        <f>IFERROR(__xludf.DUMMYFUNCTION("VALUE(SUBSTITUTE((INDEX(SPLIT(A1129,"",""),2)),""."","","",1))"),35.976979)</f>
        <v>35.976979</v>
      </c>
      <c r="R1129" s="14" t="b">
        <f t="shared" si="1"/>
        <v>0</v>
      </c>
      <c r="S1129" s="14" t="str">
        <f t="shared" si="2"/>
        <v>54.723996,35.976979</v>
      </c>
      <c r="T1129" s="12"/>
    </row>
    <row r="1130">
      <c r="A1130" s="18" t="s">
        <v>7422</v>
      </c>
      <c r="B1130" s="8" t="s">
        <v>7423</v>
      </c>
      <c r="C1130" s="8" t="s">
        <v>7424</v>
      </c>
      <c r="D1130" s="8" t="s">
        <v>16</v>
      </c>
      <c r="E1130" s="19" t="s">
        <v>7425</v>
      </c>
      <c r="F1130" s="8" t="s">
        <v>7157</v>
      </c>
      <c r="G1130" s="8">
        <v>23.61</v>
      </c>
      <c r="H1130" s="8"/>
      <c r="I1130" s="8"/>
      <c r="J1130" s="8" t="s">
        <v>7426</v>
      </c>
      <c r="K1130" s="8" t="s">
        <v>7427</v>
      </c>
      <c r="L1130" s="8"/>
      <c r="M1130" s="8"/>
      <c r="N1130" s="12"/>
      <c r="O1130" s="12"/>
      <c r="P1130" s="13">
        <f>IFERROR(__xludf.DUMMYFUNCTION("VALUE(SUBSTITUTE((INDEX(SPLIT(A1130,"",""),1)),""."","","",1))"),52.919249)</f>
        <v>52.919249</v>
      </c>
      <c r="Q1130" s="13">
        <f>IFERROR(__xludf.DUMMYFUNCTION("VALUE(SUBSTITUTE((INDEX(SPLIT(A1130,"",""),2)),""."","","",1))"),35.99517)</f>
        <v>35.99517</v>
      </c>
      <c r="R1130" s="14" t="b">
        <f t="shared" si="1"/>
        <v>0</v>
      </c>
      <c r="S1130" s="14" t="str">
        <f t="shared" si="2"/>
        <v>52.919249,35.99517</v>
      </c>
      <c r="T1130" s="12"/>
    </row>
    <row r="1131">
      <c r="A1131" s="15" t="s">
        <v>7422</v>
      </c>
      <c r="B1131" s="16" t="s">
        <v>789</v>
      </c>
      <c r="C1131" s="16" t="s">
        <v>790</v>
      </c>
      <c r="D1131" s="16" t="s">
        <v>16</v>
      </c>
      <c r="E1131" s="17" t="s">
        <v>7428</v>
      </c>
      <c r="F1131" s="16" t="s">
        <v>7157</v>
      </c>
      <c r="G1131" s="16">
        <v>23.61</v>
      </c>
      <c r="H1131" s="16"/>
      <c r="I1131" s="16"/>
      <c r="J1131" s="16" t="s">
        <v>7429</v>
      </c>
      <c r="K1131" s="16" t="s">
        <v>7427</v>
      </c>
      <c r="L1131" s="16"/>
      <c r="M1131" s="25" t="s">
        <v>7430</v>
      </c>
      <c r="N1131" s="12"/>
      <c r="O1131" s="12"/>
      <c r="P1131" s="13">
        <f>IFERROR(__xludf.DUMMYFUNCTION("VALUE(SUBSTITUTE((INDEX(SPLIT(A1131,"",""),1)),""."","","",1))"),52.919249)</f>
        <v>52.919249</v>
      </c>
      <c r="Q1131" s="13">
        <f>IFERROR(__xludf.DUMMYFUNCTION("VALUE(SUBSTITUTE((INDEX(SPLIT(A1131,"",""),2)),""."","","",1))"),35.99517)</f>
        <v>35.99517</v>
      </c>
      <c r="R1131" s="14" t="b">
        <f t="shared" si="1"/>
        <v>0</v>
      </c>
      <c r="S1131" s="14" t="str">
        <f t="shared" si="2"/>
        <v>52.919249,35.99517</v>
      </c>
      <c r="T1131" s="12"/>
    </row>
    <row r="1132">
      <c r="A1132" s="18" t="s">
        <v>7431</v>
      </c>
      <c r="B1132" s="8" t="s">
        <v>7432</v>
      </c>
      <c r="C1132" s="8" t="s">
        <v>7433</v>
      </c>
      <c r="D1132" s="8" t="s">
        <v>16</v>
      </c>
      <c r="E1132" s="19" t="s">
        <v>7434</v>
      </c>
      <c r="F1132" s="8" t="s">
        <v>7157</v>
      </c>
      <c r="G1132" s="8">
        <v>23.61</v>
      </c>
      <c r="H1132" s="8"/>
      <c r="I1132" s="8"/>
      <c r="J1132" s="8" t="s">
        <v>7435</v>
      </c>
      <c r="K1132" s="8" t="s">
        <v>7436</v>
      </c>
      <c r="L1132" s="8"/>
      <c r="M1132" s="24" t="s">
        <v>7437</v>
      </c>
      <c r="N1132" s="12"/>
      <c r="O1132" s="12"/>
      <c r="P1132" s="13">
        <f>IFERROR(__xludf.DUMMYFUNCTION("VALUE(SUBSTITUTE((INDEX(SPLIT(A1132,"",""),1)),""."","","",1))"),52.919347)</f>
        <v>52.919347</v>
      </c>
      <c r="Q1132" s="13">
        <f>IFERROR(__xludf.DUMMYFUNCTION("VALUE(SUBSTITUTE((INDEX(SPLIT(A1132,"",""),2)),""."","","",1))"),36.011735)</f>
        <v>36.011735</v>
      </c>
      <c r="R1132" s="14" t="b">
        <f t="shared" si="1"/>
        <v>0</v>
      </c>
      <c r="S1132" s="14" t="str">
        <f t="shared" si="2"/>
        <v>52.919347,36.011735</v>
      </c>
      <c r="T1132" s="12"/>
    </row>
    <row r="1133">
      <c r="A1133" s="15" t="s">
        <v>7438</v>
      </c>
      <c r="B1133" s="16" t="s">
        <v>7439</v>
      </c>
      <c r="C1133" s="16" t="s">
        <v>7440</v>
      </c>
      <c r="D1133" s="16" t="s">
        <v>16</v>
      </c>
      <c r="E1133" s="17" t="s">
        <v>7441</v>
      </c>
      <c r="F1133" s="16" t="s">
        <v>7157</v>
      </c>
      <c r="G1133" s="16">
        <v>23.61</v>
      </c>
      <c r="H1133" s="16"/>
      <c r="I1133" s="16"/>
      <c r="J1133" s="16" t="s">
        <v>7442</v>
      </c>
      <c r="K1133" s="16" t="s">
        <v>7427</v>
      </c>
      <c r="L1133" s="16"/>
      <c r="M1133" s="25" t="s">
        <v>7443</v>
      </c>
      <c r="N1133" s="12"/>
      <c r="O1133" s="12"/>
      <c r="P1133" s="13">
        <f>IFERROR(__xludf.DUMMYFUNCTION("VALUE(SUBSTITUTE((INDEX(SPLIT(A1133,"",""),1)),""."","","",1))"),52.929808)</f>
        <v>52.929808</v>
      </c>
      <c r="Q1133" s="13">
        <f>IFERROR(__xludf.DUMMYFUNCTION("VALUE(SUBSTITUTE((INDEX(SPLIT(A1133,"",""),2)),""."","","",1))"),36.014178)</f>
        <v>36.014178</v>
      </c>
      <c r="R1133" s="14" t="b">
        <f t="shared" si="1"/>
        <v>0</v>
      </c>
      <c r="S1133" s="14" t="str">
        <f t="shared" si="2"/>
        <v>52.929808,36.014178</v>
      </c>
      <c r="T1133" s="12"/>
    </row>
    <row r="1134">
      <c r="A1134" s="7" t="s">
        <v>7444</v>
      </c>
      <c r="B1134" s="8" t="s">
        <v>7445</v>
      </c>
      <c r="C1134" s="8" t="s">
        <v>7446</v>
      </c>
      <c r="D1134" s="8" t="s">
        <v>16</v>
      </c>
      <c r="E1134" s="9" t="s">
        <v>7447</v>
      </c>
      <c r="F1134" s="10" t="s">
        <v>3760</v>
      </c>
      <c r="G1134" s="8">
        <v>23.61</v>
      </c>
      <c r="H1134" s="8"/>
      <c r="I1134" s="10"/>
      <c r="J1134" s="10" t="s">
        <v>7448</v>
      </c>
      <c r="K1134" s="10" t="s">
        <v>7449</v>
      </c>
      <c r="L1134" s="11" t="s">
        <v>7450</v>
      </c>
      <c r="M1134" s="10"/>
      <c r="N1134" s="12"/>
      <c r="O1134" s="12"/>
      <c r="P1134" s="13">
        <f>IFERROR(__xludf.DUMMYFUNCTION("VALUE(SUBSTITUTE((INDEX(SPLIT(A1134,"",""),1)),""."","","",1))"),55.507948)</f>
        <v>55.507948</v>
      </c>
      <c r="Q1134" s="13">
        <f>IFERROR(__xludf.DUMMYFUNCTION("VALUE(SUBSTITUTE((INDEX(SPLIT(A1134,"",""),2)),""."","","",1))"),36.016792)</f>
        <v>36.016792</v>
      </c>
      <c r="R1134" s="14" t="b">
        <f t="shared" si="1"/>
        <v>0</v>
      </c>
      <c r="S1134" s="14" t="str">
        <f t="shared" si="2"/>
        <v>55.507948,36.016792</v>
      </c>
      <c r="T1134" s="12"/>
    </row>
    <row r="1135">
      <c r="A1135" s="15" t="s">
        <v>7451</v>
      </c>
      <c r="B1135" s="16" t="s">
        <v>7452</v>
      </c>
      <c r="C1135" s="16" t="s">
        <v>7453</v>
      </c>
      <c r="D1135" s="16" t="s">
        <v>16</v>
      </c>
      <c r="E1135" s="17" t="s">
        <v>7454</v>
      </c>
      <c r="F1135" s="16" t="s">
        <v>3760</v>
      </c>
      <c r="G1135" s="16">
        <v>23.61</v>
      </c>
      <c r="H1135" s="16"/>
      <c r="I1135" s="16"/>
      <c r="J1135" s="16" t="s">
        <v>7455</v>
      </c>
      <c r="K1135" s="16" t="s">
        <v>7456</v>
      </c>
      <c r="L1135" s="16"/>
      <c r="M1135" s="16"/>
      <c r="N1135" s="12"/>
      <c r="O1135" s="12"/>
      <c r="P1135" s="13">
        <f>IFERROR(__xludf.DUMMYFUNCTION("VALUE(SUBSTITUTE((INDEX(SPLIT(A1135,"",""),1)),""."","","",1))"),55.504221)</f>
        <v>55.504221</v>
      </c>
      <c r="Q1135" s="13">
        <f>IFERROR(__xludf.DUMMYFUNCTION("VALUE(SUBSTITUTE((INDEX(SPLIT(A1135,"",""),2)),""."","","",1))"),36.031696)</f>
        <v>36.031696</v>
      </c>
      <c r="R1135" s="14" t="b">
        <f t="shared" si="1"/>
        <v>0</v>
      </c>
      <c r="S1135" s="14" t="str">
        <f t="shared" si="2"/>
        <v>55.504221,36.031696</v>
      </c>
      <c r="T1135" s="12"/>
    </row>
    <row r="1136">
      <c r="A1136" s="18" t="s">
        <v>7457</v>
      </c>
      <c r="B1136" s="8" t="s">
        <v>7458</v>
      </c>
      <c r="C1136" s="8" t="s">
        <v>7459</v>
      </c>
      <c r="D1136" s="8" t="s">
        <v>16</v>
      </c>
      <c r="E1136" s="19" t="s">
        <v>7460</v>
      </c>
      <c r="F1136" s="8" t="s">
        <v>5788</v>
      </c>
      <c r="G1136" s="8">
        <v>23.61</v>
      </c>
      <c r="H1136" s="8"/>
      <c r="I1136" s="8"/>
      <c r="J1136" s="8" t="s">
        <v>7461</v>
      </c>
      <c r="K1136" s="8" t="s">
        <v>6323</v>
      </c>
      <c r="L1136" s="8"/>
      <c r="M1136" s="8"/>
      <c r="N1136" s="12"/>
      <c r="O1136" s="12"/>
      <c r="P1136" s="13">
        <f>IFERROR(__xludf.DUMMYFUNCTION("VALUE(SUBSTITUTE((INDEX(SPLIT(A1136,"",""),1)),""."","","",1))"),57.348602)</f>
        <v>57.348602</v>
      </c>
      <c r="Q1136" s="13">
        <f>IFERROR(__xludf.DUMMYFUNCTION("VALUE(SUBSTITUTE((INDEX(SPLIT(A1136,"",""),2)),""."","","",1))"),36.052132)</f>
        <v>36.052132</v>
      </c>
      <c r="R1136" s="14" t="b">
        <f t="shared" si="1"/>
        <v>0</v>
      </c>
      <c r="S1136" s="14" t="str">
        <f t="shared" si="2"/>
        <v>57.348602,36.052132</v>
      </c>
      <c r="T1136" s="12"/>
    </row>
    <row r="1137">
      <c r="A1137" s="20" t="s">
        <v>7462</v>
      </c>
      <c r="B1137" s="16" t="s">
        <v>7463</v>
      </c>
      <c r="C1137" s="16" t="s">
        <v>7464</v>
      </c>
      <c r="D1137" s="16" t="s">
        <v>16</v>
      </c>
      <c r="E1137" s="21" t="s">
        <v>7465</v>
      </c>
      <c r="F1137" s="22" t="s">
        <v>7157</v>
      </c>
      <c r="G1137" s="16">
        <v>23.61</v>
      </c>
      <c r="H1137" s="16"/>
      <c r="I1137" s="22"/>
      <c r="J1137" s="22" t="s">
        <v>7466</v>
      </c>
      <c r="K1137" s="22" t="s">
        <v>7467</v>
      </c>
      <c r="L1137" s="23" t="s">
        <v>7468</v>
      </c>
      <c r="M1137" s="22"/>
      <c r="N1137" s="12"/>
      <c r="O1137" s="12"/>
      <c r="P1137" s="13">
        <f>IFERROR(__xludf.DUMMYFUNCTION("VALUE(SUBSTITUTE((INDEX(SPLIT(A1137,"",""),1)),""."","","",1))"),52.95572)</f>
        <v>52.95572</v>
      </c>
      <c r="Q1137" s="13">
        <f>IFERROR(__xludf.DUMMYFUNCTION("VALUE(SUBSTITUTE((INDEX(SPLIT(A1137,"",""),2)),""."","","",1))"),36.068266)</f>
        <v>36.068266</v>
      </c>
      <c r="R1137" s="14" t="b">
        <f t="shared" si="1"/>
        <v>0</v>
      </c>
      <c r="S1137" s="14" t="str">
        <f t="shared" si="2"/>
        <v>52.95572,36.068266</v>
      </c>
      <c r="T1137" s="12"/>
    </row>
    <row r="1138">
      <c r="A1138" s="18" t="s">
        <v>7469</v>
      </c>
      <c r="B1138" s="8" t="s">
        <v>7470</v>
      </c>
      <c r="C1138" s="8" t="s">
        <v>7471</v>
      </c>
      <c r="D1138" s="8" t="s">
        <v>16</v>
      </c>
      <c r="E1138" s="19" t="s">
        <v>7472</v>
      </c>
      <c r="F1138" s="8" t="s">
        <v>7157</v>
      </c>
      <c r="G1138" s="8">
        <v>23.61</v>
      </c>
      <c r="H1138" s="8"/>
      <c r="I1138" s="8"/>
      <c r="J1138" s="8" t="s">
        <v>7473</v>
      </c>
      <c r="K1138" s="8" t="s">
        <v>7474</v>
      </c>
      <c r="L1138" s="8"/>
      <c r="M1138" s="8"/>
      <c r="N1138" s="12"/>
      <c r="O1138" s="12"/>
      <c r="P1138" s="13">
        <f>IFERROR(__xludf.DUMMYFUNCTION("VALUE(SUBSTITUTE((INDEX(SPLIT(A1138,"",""),1)),""."","","",1))"),52.96876)</f>
        <v>52.96876</v>
      </c>
      <c r="Q1138" s="13">
        <f>IFERROR(__xludf.DUMMYFUNCTION("VALUE(SUBSTITUTE((INDEX(SPLIT(A1138,"",""),2)),""."","","",1))"),36.07751)</f>
        <v>36.07751</v>
      </c>
      <c r="R1138" s="14" t="b">
        <f t="shared" si="1"/>
        <v>0</v>
      </c>
      <c r="S1138" s="14" t="str">
        <f t="shared" si="2"/>
        <v>52.96876,36.07751</v>
      </c>
      <c r="T1138" s="12"/>
    </row>
    <row r="1139">
      <c r="A1139" s="20" t="s">
        <v>7475</v>
      </c>
      <c r="B1139" s="16" t="s">
        <v>7476</v>
      </c>
      <c r="C1139" s="16" t="s">
        <v>7477</v>
      </c>
      <c r="D1139" s="16" t="s">
        <v>16</v>
      </c>
      <c r="E1139" s="21" t="s">
        <v>7478</v>
      </c>
      <c r="F1139" s="22" t="s">
        <v>7157</v>
      </c>
      <c r="G1139" s="16">
        <v>23.61</v>
      </c>
      <c r="H1139" s="16"/>
      <c r="I1139" s="22"/>
      <c r="J1139" s="22" t="s">
        <v>7479</v>
      </c>
      <c r="K1139" s="22" t="s">
        <v>7480</v>
      </c>
      <c r="L1139" s="23" t="s">
        <v>7481</v>
      </c>
      <c r="M1139" s="23" t="s">
        <v>7482</v>
      </c>
      <c r="N1139" s="12"/>
      <c r="O1139" s="12"/>
      <c r="P1139" s="13">
        <f>IFERROR(__xludf.DUMMYFUNCTION("VALUE(SUBSTITUTE((INDEX(SPLIT(A1139,"",""),1)),""."","","",1))"),52.967155)</f>
        <v>52.967155</v>
      </c>
      <c r="Q1139" s="13">
        <f>IFERROR(__xludf.DUMMYFUNCTION("VALUE(SUBSTITUTE((INDEX(SPLIT(A1139,"",""),2)),""."","","",1))"),36.082244)</f>
        <v>36.082244</v>
      </c>
      <c r="R1139" s="14" t="b">
        <f t="shared" si="1"/>
        <v>0</v>
      </c>
      <c r="S1139" s="14" t="str">
        <f t="shared" si="2"/>
        <v>52.967155,36.082244</v>
      </c>
      <c r="T1139" s="12"/>
    </row>
    <row r="1140">
      <c r="A1140" s="18" t="s">
        <v>7483</v>
      </c>
      <c r="B1140" s="8" t="s">
        <v>7484</v>
      </c>
      <c r="C1140" s="8" t="s">
        <v>7485</v>
      </c>
      <c r="D1140" s="8" t="s">
        <v>16</v>
      </c>
      <c r="E1140" s="19" t="s">
        <v>7486</v>
      </c>
      <c r="F1140" s="8" t="s">
        <v>7052</v>
      </c>
      <c r="G1140" s="8">
        <v>23.61</v>
      </c>
      <c r="H1140" s="8"/>
      <c r="I1140" s="8"/>
      <c r="J1140" s="8" t="s">
        <v>7487</v>
      </c>
      <c r="K1140" s="8" t="s">
        <v>7488</v>
      </c>
      <c r="L1140" s="8"/>
      <c r="M1140" s="8"/>
      <c r="N1140" s="12"/>
      <c r="O1140" s="12"/>
      <c r="P1140" s="13">
        <f>IFERROR(__xludf.DUMMYFUNCTION("VALUE(SUBSTITUTE((INDEX(SPLIT(A1140,"",""),1)),""."","","",1))"),51.652841)</f>
        <v>51.652841</v>
      </c>
      <c r="Q1140" s="13">
        <f>IFERROR(__xludf.DUMMYFUNCTION("VALUE(SUBSTITUTE((INDEX(SPLIT(A1140,"",""),2)),""."","","",1))"),36.100453)</f>
        <v>36.100453</v>
      </c>
      <c r="R1140" s="14" t="b">
        <f t="shared" si="1"/>
        <v>0</v>
      </c>
      <c r="S1140" s="14" t="str">
        <f t="shared" si="2"/>
        <v>51.652841,36.100453</v>
      </c>
      <c r="T1140" s="12"/>
    </row>
    <row r="1141">
      <c r="A1141" s="20" t="s">
        <v>7489</v>
      </c>
      <c r="B1141" s="16" t="s">
        <v>7490</v>
      </c>
      <c r="C1141" s="16" t="s">
        <v>7491</v>
      </c>
      <c r="D1141" s="16" t="s">
        <v>16</v>
      </c>
      <c r="E1141" s="21" t="s">
        <v>7492</v>
      </c>
      <c r="F1141" s="22" t="s">
        <v>7157</v>
      </c>
      <c r="G1141" s="16">
        <v>23.61</v>
      </c>
      <c r="H1141" s="16"/>
      <c r="I1141" s="22"/>
      <c r="J1141" s="22" t="s">
        <v>7493</v>
      </c>
      <c r="K1141" s="22" t="s">
        <v>7494</v>
      </c>
      <c r="L1141" s="23" t="s">
        <v>7495</v>
      </c>
      <c r="M1141" s="22"/>
      <c r="N1141" s="12"/>
      <c r="O1141" s="12"/>
      <c r="P1141" s="13">
        <f>IFERROR(__xludf.DUMMYFUNCTION("VALUE(SUBSTITUTE((INDEX(SPLIT(A1141,"",""),1)),""."","","",1))"),52.985623)</f>
        <v>52.985623</v>
      </c>
      <c r="Q1141" s="13">
        <f>IFERROR(__xludf.DUMMYFUNCTION("VALUE(SUBSTITUTE((INDEX(SPLIT(A1141,"",""),2)),""."","","",1))"),36.101513)</f>
        <v>36.101513</v>
      </c>
      <c r="R1141" s="14" t="b">
        <f t="shared" si="1"/>
        <v>0</v>
      </c>
      <c r="S1141" s="14" t="str">
        <f t="shared" si="2"/>
        <v>52.985623,36.101513</v>
      </c>
      <c r="T1141" s="12"/>
    </row>
    <row r="1142">
      <c r="A1142" s="7" t="s">
        <v>7496</v>
      </c>
      <c r="B1142" s="8" t="s">
        <v>7497</v>
      </c>
      <c r="C1142" s="8" t="s">
        <v>7498</v>
      </c>
      <c r="D1142" s="8" t="s">
        <v>16</v>
      </c>
      <c r="E1142" s="9" t="s">
        <v>7499</v>
      </c>
      <c r="F1142" s="10" t="s">
        <v>7157</v>
      </c>
      <c r="G1142" s="8">
        <v>23.61</v>
      </c>
      <c r="H1142" s="8"/>
      <c r="I1142" s="10"/>
      <c r="J1142" s="10" t="s">
        <v>7500</v>
      </c>
      <c r="K1142" s="10" t="s">
        <v>7501</v>
      </c>
      <c r="L1142" s="11" t="s">
        <v>7502</v>
      </c>
      <c r="M1142" s="10"/>
      <c r="N1142" s="12"/>
      <c r="O1142" s="12"/>
      <c r="P1142" s="13">
        <f>IFERROR(__xludf.DUMMYFUNCTION("VALUE(SUBSTITUTE((INDEX(SPLIT(A1142,"",""),1)),""."","","",1))"),52.983704)</f>
        <v>52.983704</v>
      </c>
      <c r="Q1142" s="13">
        <f>IFERROR(__xludf.DUMMYFUNCTION("VALUE(SUBSTITUTE((INDEX(SPLIT(A1142,"",""),2)),""."","","",1))"),36.103992)</f>
        <v>36.103992</v>
      </c>
      <c r="R1142" s="14" t="b">
        <f t="shared" si="1"/>
        <v>0</v>
      </c>
      <c r="S1142" s="14" t="str">
        <f t="shared" si="2"/>
        <v>52.983704,36.103992</v>
      </c>
      <c r="T1142" s="12"/>
    </row>
    <row r="1143">
      <c r="A1143" s="15" t="s">
        <v>7503</v>
      </c>
      <c r="B1143" s="16" t="s">
        <v>7504</v>
      </c>
      <c r="C1143" s="16" t="s">
        <v>7505</v>
      </c>
      <c r="D1143" s="16" t="s">
        <v>16</v>
      </c>
      <c r="E1143" s="17" t="s">
        <v>7506</v>
      </c>
      <c r="F1143" s="16" t="s">
        <v>6724</v>
      </c>
      <c r="G1143" s="16">
        <v>23.61</v>
      </c>
      <c r="H1143" s="16"/>
      <c r="I1143" s="16"/>
      <c r="J1143" s="16" t="s">
        <v>7507</v>
      </c>
      <c r="K1143" s="16" t="s">
        <v>7508</v>
      </c>
      <c r="L1143" s="16"/>
      <c r="M1143" s="16"/>
      <c r="N1143" s="12"/>
      <c r="O1143" s="12"/>
      <c r="P1143" s="13">
        <f>IFERROR(__xludf.DUMMYFUNCTION("VALUE(SUBSTITUTE((INDEX(SPLIT(A1143,"",""),1)),""."","","",1))"),54.533132)</f>
        <v>54.533132</v>
      </c>
      <c r="Q1143" s="13">
        <f>IFERROR(__xludf.DUMMYFUNCTION("VALUE(SUBSTITUTE((INDEX(SPLIT(A1143,"",""),2)),""."","","",1))"),36.110244)</f>
        <v>36.110244</v>
      </c>
      <c r="R1143" s="14" t="b">
        <f t="shared" si="1"/>
        <v>0</v>
      </c>
      <c r="S1143" s="14" t="str">
        <f t="shared" si="2"/>
        <v>54.533132,36.110244</v>
      </c>
      <c r="T1143" s="12"/>
    </row>
    <row r="1144">
      <c r="A1144" s="18" t="s">
        <v>7503</v>
      </c>
      <c r="B1144" s="8" t="s">
        <v>7509</v>
      </c>
      <c r="C1144" s="24" t="s">
        <v>7510</v>
      </c>
      <c r="D1144" s="8" t="s">
        <v>16</v>
      </c>
      <c r="E1144" s="19" t="s">
        <v>7511</v>
      </c>
      <c r="F1144" s="8" t="s">
        <v>6724</v>
      </c>
      <c r="G1144" s="8">
        <v>23.61</v>
      </c>
      <c r="H1144" s="8"/>
      <c r="I1144" s="8"/>
      <c r="J1144" s="8" t="s">
        <v>7512</v>
      </c>
      <c r="K1144" s="8" t="s">
        <v>7508</v>
      </c>
      <c r="L1144" s="8"/>
      <c r="M1144" s="8"/>
      <c r="N1144" s="12"/>
      <c r="O1144" s="12"/>
      <c r="P1144" s="13">
        <f>IFERROR(__xludf.DUMMYFUNCTION("VALUE(SUBSTITUTE((INDEX(SPLIT(A1144,"",""),1)),""."","","",1))"),54.533132)</f>
        <v>54.533132</v>
      </c>
      <c r="Q1144" s="13">
        <f>IFERROR(__xludf.DUMMYFUNCTION("VALUE(SUBSTITUTE((INDEX(SPLIT(A1144,"",""),2)),""."","","",1))"),36.110244)</f>
        <v>36.110244</v>
      </c>
      <c r="R1144" s="14" t="b">
        <f t="shared" si="1"/>
        <v>0</v>
      </c>
      <c r="S1144" s="14" t="str">
        <f t="shared" si="2"/>
        <v>54.533132,36.110244</v>
      </c>
      <c r="T1144" s="12"/>
    </row>
    <row r="1145">
      <c r="A1145" s="20" t="s">
        <v>7513</v>
      </c>
      <c r="B1145" s="16" t="s">
        <v>7514</v>
      </c>
      <c r="C1145" s="16" t="s">
        <v>7515</v>
      </c>
      <c r="D1145" s="16" t="s">
        <v>16</v>
      </c>
      <c r="E1145" s="21" t="s">
        <v>7516</v>
      </c>
      <c r="F1145" s="22" t="s">
        <v>7052</v>
      </c>
      <c r="G1145" s="16">
        <v>23.61</v>
      </c>
      <c r="H1145" s="16"/>
      <c r="I1145" s="22"/>
      <c r="J1145" s="22" t="s">
        <v>7517</v>
      </c>
      <c r="K1145" s="22" t="s">
        <v>7518</v>
      </c>
      <c r="L1145" s="23" t="s">
        <v>7519</v>
      </c>
      <c r="M1145" s="22"/>
      <c r="N1145" s="12"/>
      <c r="O1145" s="12"/>
      <c r="P1145" s="13">
        <f>IFERROR(__xludf.DUMMYFUNCTION("VALUE(SUBSTITUTE((INDEX(SPLIT(A1145,"",""),1)),""."","","",1))"),51.6554)</f>
        <v>51.6554</v>
      </c>
      <c r="Q1145" s="13">
        <f>IFERROR(__xludf.DUMMYFUNCTION("VALUE(SUBSTITUTE((INDEX(SPLIT(A1145,"",""),2)),""."","","",1))"),36.124222)</f>
        <v>36.124222</v>
      </c>
      <c r="R1145" s="14" t="b">
        <f t="shared" si="1"/>
        <v>0</v>
      </c>
      <c r="S1145" s="14" t="str">
        <f t="shared" si="2"/>
        <v>51.6554,36.124222</v>
      </c>
      <c r="T1145" s="12"/>
    </row>
    <row r="1146">
      <c r="A1146" s="18" t="s">
        <v>7520</v>
      </c>
      <c r="B1146" s="8" t="s">
        <v>4551</v>
      </c>
      <c r="C1146" s="8" t="s">
        <v>4552</v>
      </c>
      <c r="D1146" s="8" t="s">
        <v>16</v>
      </c>
      <c r="E1146" s="19" t="s">
        <v>7521</v>
      </c>
      <c r="F1146" s="8" t="s">
        <v>7052</v>
      </c>
      <c r="G1146" s="8">
        <v>23.61</v>
      </c>
      <c r="H1146" s="8"/>
      <c r="I1146" s="8"/>
      <c r="J1146" s="8" t="s">
        <v>7522</v>
      </c>
      <c r="K1146" s="8" t="s">
        <v>7523</v>
      </c>
      <c r="L1146" s="8"/>
      <c r="M1146" s="24" t="s">
        <v>7524</v>
      </c>
      <c r="N1146" s="12"/>
      <c r="O1146" s="12"/>
      <c r="P1146" s="13">
        <f>IFERROR(__xludf.DUMMYFUNCTION("VALUE(SUBSTITUTE((INDEX(SPLIT(A1146,"",""),1)),""."","","",1))"),51.733373)</f>
        <v>51.733373</v>
      </c>
      <c r="Q1146" s="13">
        <f>IFERROR(__xludf.DUMMYFUNCTION("VALUE(SUBSTITUTE((INDEX(SPLIT(A1146,"",""),2)),""."","","",1))"),36.125282)</f>
        <v>36.125282</v>
      </c>
      <c r="R1146" s="14" t="b">
        <f t="shared" si="1"/>
        <v>0</v>
      </c>
      <c r="S1146" s="14" t="str">
        <f t="shared" si="2"/>
        <v>51.733373,36.125282</v>
      </c>
      <c r="T1146" s="12"/>
    </row>
    <row r="1147">
      <c r="A1147" s="15" t="s">
        <v>7525</v>
      </c>
      <c r="B1147" s="16" t="s">
        <v>7526</v>
      </c>
      <c r="C1147" s="16" t="s">
        <v>7527</v>
      </c>
      <c r="D1147" s="16" t="s">
        <v>16</v>
      </c>
      <c r="E1147" s="17" t="s">
        <v>7528</v>
      </c>
      <c r="F1147" s="16" t="s">
        <v>6732</v>
      </c>
      <c r="G1147" s="16">
        <v>23.61</v>
      </c>
      <c r="H1147" s="16"/>
      <c r="I1147" s="16"/>
      <c r="J1147" s="16" t="s">
        <v>7529</v>
      </c>
      <c r="K1147" s="16" t="s">
        <v>7530</v>
      </c>
      <c r="L1147" s="16"/>
      <c r="M1147" s="25" t="s">
        <v>7531</v>
      </c>
      <c r="N1147" s="12"/>
      <c r="O1147" s="12"/>
      <c r="P1147" s="13">
        <f>IFERROR(__xludf.DUMMYFUNCTION("VALUE(SUBSTITUTE((INDEX(SPLIT(A1147,"",""),1)),""."","","",1))"),53.809445)</f>
        <v>53.809445</v>
      </c>
      <c r="Q1147" s="13">
        <f>IFERROR(__xludf.DUMMYFUNCTION("VALUE(SUBSTITUTE((INDEX(SPLIT(A1147,"",""),2)),""."","","",1))"),36.128929)</f>
        <v>36.128929</v>
      </c>
      <c r="R1147" s="14" t="b">
        <f t="shared" si="1"/>
        <v>0</v>
      </c>
      <c r="S1147" s="14" t="str">
        <f t="shared" si="2"/>
        <v>53.809445,36.128929</v>
      </c>
      <c r="T1147" s="12"/>
    </row>
    <row r="1148">
      <c r="A1148" s="7" t="s">
        <v>7532</v>
      </c>
      <c r="B1148" s="8" t="s">
        <v>7533</v>
      </c>
      <c r="C1148" s="8" t="s">
        <v>7534</v>
      </c>
      <c r="D1148" s="8" t="s">
        <v>16</v>
      </c>
      <c r="E1148" s="9" t="s">
        <v>7535</v>
      </c>
      <c r="F1148" s="10" t="s">
        <v>7052</v>
      </c>
      <c r="G1148" s="8">
        <v>23.61</v>
      </c>
      <c r="H1148" s="8"/>
      <c r="I1148" s="10"/>
      <c r="J1148" s="10" t="s">
        <v>7536</v>
      </c>
      <c r="K1148" s="10" t="s">
        <v>7537</v>
      </c>
      <c r="L1148" s="11" t="s">
        <v>7538</v>
      </c>
      <c r="M1148" s="10"/>
      <c r="N1148" s="12"/>
      <c r="O1148" s="12"/>
      <c r="P1148" s="13">
        <f>IFERROR(__xludf.DUMMYFUNCTION("VALUE(SUBSTITUTE((INDEX(SPLIT(A1148,"",""),1)),""."","","",1))"),51.655417)</f>
        <v>51.655417</v>
      </c>
      <c r="Q1148" s="13">
        <f>IFERROR(__xludf.DUMMYFUNCTION("VALUE(SUBSTITUTE((INDEX(SPLIT(A1148,"",""),2)),""."","","",1))"),36.130591)</f>
        <v>36.130591</v>
      </c>
      <c r="R1148" s="14" t="b">
        <f t="shared" si="1"/>
        <v>0</v>
      </c>
      <c r="S1148" s="14" t="str">
        <f t="shared" si="2"/>
        <v>51.655417,36.130591</v>
      </c>
      <c r="T1148" s="12"/>
    </row>
    <row r="1149">
      <c r="A1149" s="15" t="s">
        <v>7539</v>
      </c>
      <c r="B1149" s="16" t="s">
        <v>3784</v>
      </c>
      <c r="C1149" s="16" t="s">
        <v>3785</v>
      </c>
      <c r="D1149" s="16" t="s">
        <v>16</v>
      </c>
      <c r="E1149" s="17" t="s">
        <v>7540</v>
      </c>
      <c r="F1149" s="16" t="s">
        <v>7157</v>
      </c>
      <c r="G1149" s="16">
        <v>23.61</v>
      </c>
      <c r="H1149" s="16"/>
      <c r="I1149" s="16"/>
      <c r="J1149" s="16" t="s">
        <v>7541</v>
      </c>
      <c r="K1149" s="16" t="s">
        <v>7542</v>
      </c>
      <c r="L1149" s="16"/>
      <c r="M1149" s="16"/>
      <c r="N1149" s="12"/>
      <c r="O1149" s="12"/>
      <c r="P1149" s="13">
        <f>IFERROR(__xludf.DUMMYFUNCTION("VALUE(SUBSTITUTE((INDEX(SPLIT(A1149,"",""),1)),""."","","",1))"),53.022743)</f>
        <v>53.022743</v>
      </c>
      <c r="Q1149" s="13">
        <f>IFERROR(__xludf.DUMMYFUNCTION("VALUE(SUBSTITUTE((INDEX(SPLIT(A1149,"",""),2)),""."","","",1))"),36.13281)</f>
        <v>36.13281</v>
      </c>
      <c r="R1149" s="14" t="b">
        <f t="shared" si="1"/>
        <v>0</v>
      </c>
      <c r="S1149" s="14" t="str">
        <f t="shared" si="2"/>
        <v>53.022743,36.13281</v>
      </c>
      <c r="T1149" s="12"/>
    </row>
    <row r="1150">
      <c r="A1150" s="7" t="s">
        <v>7543</v>
      </c>
      <c r="B1150" s="8" t="s">
        <v>7544</v>
      </c>
      <c r="C1150" s="8" t="s">
        <v>7545</v>
      </c>
      <c r="D1150" s="8" t="s">
        <v>16</v>
      </c>
      <c r="E1150" s="9" t="s">
        <v>7546</v>
      </c>
      <c r="F1150" s="10" t="s">
        <v>7157</v>
      </c>
      <c r="G1150" s="8">
        <v>23.61</v>
      </c>
      <c r="H1150" s="8"/>
      <c r="I1150" s="10"/>
      <c r="J1150" s="10" t="s">
        <v>7547</v>
      </c>
      <c r="K1150" s="10" t="s">
        <v>7548</v>
      </c>
      <c r="L1150" s="11" t="s">
        <v>7549</v>
      </c>
      <c r="M1150" s="10"/>
      <c r="N1150" s="12"/>
      <c r="O1150" s="12"/>
      <c r="P1150" s="13">
        <f>IFERROR(__xludf.DUMMYFUNCTION("VALUE(SUBSTITUTE((INDEX(SPLIT(A1150,"",""),1)),""."","","",1))"),52.958107)</f>
        <v>52.958107</v>
      </c>
      <c r="Q1150" s="13">
        <f>IFERROR(__xludf.DUMMYFUNCTION("VALUE(SUBSTITUTE((INDEX(SPLIT(A1150,"",""),2)),""."","","",1))"),36.13979)</f>
        <v>36.13979</v>
      </c>
      <c r="R1150" s="14" t="b">
        <f t="shared" si="1"/>
        <v>0</v>
      </c>
      <c r="S1150" s="14" t="str">
        <f t="shared" si="2"/>
        <v>52.958107,36.13979</v>
      </c>
      <c r="T1150" s="12"/>
    </row>
    <row r="1151">
      <c r="A1151" s="20" t="s">
        <v>7550</v>
      </c>
      <c r="B1151" s="16" t="s">
        <v>7551</v>
      </c>
      <c r="C1151" s="16" t="s">
        <v>7552</v>
      </c>
      <c r="D1151" s="16" t="s">
        <v>16</v>
      </c>
      <c r="E1151" s="21" t="s">
        <v>7553</v>
      </c>
      <c r="F1151" s="22" t="s">
        <v>7052</v>
      </c>
      <c r="G1151" s="16">
        <v>23.61</v>
      </c>
      <c r="H1151" s="16"/>
      <c r="I1151" s="22"/>
      <c r="J1151" s="22" t="s">
        <v>7554</v>
      </c>
      <c r="K1151" s="22" t="s">
        <v>7555</v>
      </c>
      <c r="L1151" s="23" t="s">
        <v>7556</v>
      </c>
      <c r="M1151" s="22"/>
      <c r="N1151" s="12"/>
      <c r="O1151" s="12"/>
      <c r="P1151" s="13">
        <f>IFERROR(__xludf.DUMMYFUNCTION("VALUE(SUBSTITUTE((INDEX(SPLIT(A1151,"",""),1)),""."","","",1))"),51.712463)</f>
        <v>51.712463</v>
      </c>
      <c r="Q1151" s="13">
        <f>IFERROR(__xludf.DUMMYFUNCTION("VALUE(SUBSTITUTE((INDEX(SPLIT(A1151,"",""),2)),""."","","",1))"),36.140023)</f>
        <v>36.140023</v>
      </c>
      <c r="R1151" s="14" t="b">
        <f t="shared" si="1"/>
        <v>0</v>
      </c>
      <c r="S1151" s="14" t="str">
        <f t="shared" si="2"/>
        <v>51.712463,36.140023</v>
      </c>
      <c r="T1151" s="12"/>
    </row>
    <row r="1152">
      <c r="A1152" s="7" t="s">
        <v>7557</v>
      </c>
      <c r="B1152" s="8" t="s">
        <v>2881</v>
      </c>
      <c r="C1152" s="8" t="s">
        <v>2882</v>
      </c>
      <c r="D1152" s="8" t="s">
        <v>16</v>
      </c>
      <c r="E1152" s="9" t="s">
        <v>7558</v>
      </c>
      <c r="F1152" s="10" t="s">
        <v>7052</v>
      </c>
      <c r="G1152" s="8">
        <v>23.61</v>
      </c>
      <c r="H1152" s="8"/>
      <c r="I1152" s="10"/>
      <c r="J1152" s="10" t="s">
        <v>7559</v>
      </c>
      <c r="K1152" s="10" t="s">
        <v>7560</v>
      </c>
      <c r="L1152" s="11" t="s">
        <v>7561</v>
      </c>
      <c r="M1152" s="11" t="s">
        <v>7562</v>
      </c>
      <c r="N1152" s="12"/>
      <c r="O1152" s="12"/>
      <c r="P1152" s="13">
        <f>IFERROR(__xludf.DUMMYFUNCTION("VALUE(SUBSTITUTE((INDEX(SPLIT(A1152,"",""),1)),""."","","",1))"),51.734031)</f>
        <v>51.734031</v>
      </c>
      <c r="Q1152" s="13">
        <f>IFERROR(__xludf.DUMMYFUNCTION("VALUE(SUBSTITUTE((INDEX(SPLIT(A1152,"",""),2)),""."","","",1))"),36.141802)</f>
        <v>36.141802</v>
      </c>
      <c r="R1152" s="14" t="b">
        <f t="shared" si="1"/>
        <v>0</v>
      </c>
      <c r="S1152" s="14" t="str">
        <f t="shared" si="2"/>
        <v>51.734031,36.141802</v>
      </c>
      <c r="T1152" s="12"/>
    </row>
    <row r="1153">
      <c r="A1153" s="20" t="s">
        <v>7563</v>
      </c>
      <c r="B1153" s="16" t="s">
        <v>3744</v>
      </c>
      <c r="C1153" s="16" t="s">
        <v>3745</v>
      </c>
      <c r="D1153" s="16" t="s">
        <v>16</v>
      </c>
      <c r="E1153" s="21" t="s">
        <v>7564</v>
      </c>
      <c r="F1153" s="22" t="s">
        <v>7157</v>
      </c>
      <c r="G1153" s="16">
        <v>23.61</v>
      </c>
      <c r="H1153" s="16"/>
      <c r="I1153" s="22"/>
      <c r="J1153" s="22" t="s">
        <v>7565</v>
      </c>
      <c r="K1153" s="22" t="s">
        <v>7566</v>
      </c>
      <c r="L1153" s="23" t="s">
        <v>7567</v>
      </c>
      <c r="M1153" s="22"/>
      <c r="N1153" s="12"/>
      <c r="O1153" s="12"/>
      <c r="P1153" s="13">
        <f>IFERROR(__xludf.DUMMYFUNCTION("VALUE(SUBSTITUTE((INDEX(SPLIT(A1153,"",""),1)),""."","","",1))"),53.040478)</f>
        <v>53.040478</v>
      </c>
      <c r="Q1153" s="13">
        <f>IFERROR(__xludf.DUMMYFUNCTION("VALUE(SUBSTITUTE((INDEX(SPLIT(A1153,"",""),2)),""."","","",1))"),36.144623)</f>
        <v>36.144623</v>
      </c>
      <c r="R1153" s="14" t="b">
        <f t="shared" si="1"/>
        <v>0</v>
      </c>
      <c r="S1153" s="14" t="str">
        <f t="shared" si="2"/>
        <v>53.040478,36.144623</v>
      </c>
      <c r="T1153" s="12"/>
    </row>
    <row r="1154">
      <c r="A1154" s="7" t="s">
        <v>7568</v>
      </c>
      <c r="B1154" s="8" t="s">
        <v>827</v>
      </c>
      <c r="C1154" s="8" t="s">
        <v>828</v>
      </c>
      <c r="D1154" s="8" t="s">
        <v>16</v>
      </c>
      <c r="E1154" s="9" t="s">
        <v>7569</v>
      </c>
      <c r="F1154" s="10" t="s">
        <v>7052</v>
      </c>
      <c r="G1154" s="8">
        <v>23.61</v>
      </c>
      <c r="H1154" s="8"/>
      <c r="I1154" s="10"/>
      <c r="J1154" s="10" t="s">
        <v>7570</v>
      </c>
      <c r="K1154" s="10" t="s">
        <v>7571</v>
      </c>
      <c r="L1154" s="11" t="s">
        <v>7572</v>
      </c>
      <c r="M1154" s="10"/>
      <c r="N1154" s="12"/>
      <c r="O1154" s="12"/>
      <c r="P1154" s="13">
        <f>IFERROR(__xludf.DUMMYFUNCTION("VALUE(SUBSTITUTE((INDEX(SPLIT(A1154,"",""),1)),""."","","",1))"),51.730311)</f>
        <v>51.730311</v>
      </c>
      <c r="Q1154" s="13">
        <f>IFERROR(__xludf.DUMMYFUNCTION("VALUE(SUBSTITUTE((INDEX(SPLIT(A1154,"",""),2)),""."","","",1))"),36.147524)</f>
        <v>36.147524</v>
      </c>
      <c r="R1154" s="14" t="b">
        <f t="shared" si="1"/>
        <v>0</v>
      </c>
      <c r="S1154" s="14" t="str">
        <f t="shared" si="2"/>
        <v>51.730311,36.147524</v>
      </c>
      <c r="T1154" s="12"/>
    </row>
    <row r="1155">
      <c r="A1155" s="15" t="s">
        <v>7573</v>
      </c>
      <c r="B1155" s="16" t="s">
        <v>7574</v>
      </c>
      <c r="C1155" s="16" t="s">
        <v>7575</v>
      </c>
      <c r="D1155" s="16" t="s">
        <v>16</v>
      </c>
      <c r="E1155" s="17" t="s">
        <v>7576</v>
      </c>
      <c r="F1155" s="16" t="s">
        <v>7052</v>
      </c>
      <c r="G1155" s="16">
        <v>23.61</v>
      </c>
      <c r="H1155" s="16"/>
      <c r="I1155" s="16"/>
      <c r="J1155" s="16" t="s">
        <v>7577</v>
      </c>
      <c r="K1155" s="16" t="s">
        <v>7578</v>
      </c>
      <c r="L1155" s="16"/>
      <c r="M1155" s="25" t="s">
        <v>7579</v>
      </c>
      <c r="N1155" s="12"/>
      <c r="O1155" s="12"/>
      <c r="P1155" s="13">
        <f>IFERROR(__xludf.DUMMYFUNCTION("VALUE(SUBSTITUTE((INDEX(SPLIT(A1155,"",""),1)),""."","","",1))"),51.658132)</f>
        <v>51.658132</v>
      </c>
      <c r="Q1155" s="13">
        <f>IFERROR(__xludf.DUMMYFUNCTION("VALUE(SUBSTITUTE((INDEX(SPLIT(A1155,"",""),2)),""."","","",1))"),36.14871)</f>
        <v>36.14871</v>
      </c>
      <c r="R1155" s="14" t="b">
        <f t="shared" si="1"/>
        <v>0</v>
      </c>
      <c r="S1155" s="14" t="str">
        <f t="shared" si="2"/>
        <v>51.658132,36.14871</v>
      </c>
      <c r="T1155" s="12"/>
    </row>
    <row r="1156">
      <c r="A1156" s="18" t="s">
        <v>7580</v>
      </c>
      <c r="B1156" s="8" t="s">
        <v>7581</v>
      </c>
      <c r="C1156" s="8" t="s">
        <v>7582</v>
      </c>
      <c r="D1156" s="8" t="s">
        <v>16</v>
      </c>
      <c r="E1156" s="19" t="s">
        <v>7583</v>
      </c>
      <c r="F1156" s="8" t="s">
        <v>7052</v>
      </c>
      <c r="G1156" s="8">
        <v>23.61</v>
      </c>
      <c r="H1156" s="8"/>
      <c r="I1156" s="8"/>
      <c r="J1156" s="8" t="s">
        <v>7584</v>
      </c>
      <c r="K1156" s="8" t="s">
        <v>7585</v>
      </c>
      <c r="L1156" s="8"/>
      <c r="M1156" s="8"/>
      <c r="N1156" s="12"/>
      <c r="O1156" s="12"/>
      <c r="P1156" s="13">
        <f>IFERROR(__xludf.DUMMYFUNCTION("VALUE(SUBSTITUTE((INDEX(SPLIT(A1156,"",""),1)),""."","","",1))"),51.658417)</f>
        <v>51.658417</v>
      </c>
      <c r="Q1156" s="13">
        <f>IFERROR(__xludf.DUMMYFUNCTION("VALUE(SUBSTITUTE((INDEX(SPLIT(A1156,"",""),2)),""."","","",1))"),36.150237)</f>
        <v>36.150237</v>
      </c>
      <c r="R1156" s="14" t="b">
        <f t="shared" si="1"/>
        <v>0</v>
      </c>
      <c r="S1156" s="14" t="str">
        <f t="shared" si="2"/>
        <v>51.658417,36.150237</v>
      </c>
      <c r="T1156" s="12"/>
    </row>
    <row r="1157">
      <c r="A1157" s="15" t="s">
        <v>7586</v>
      </c>
      <c r="B1157" s="16" t="s">
        <v>7587</v>
      </c>
      <c r="C1157" s="16" t="s">
        <v>7588</v>
      </c>
      <c r="D1157" s="16" t="s">
        <v>16</v>
      </c>
      <c r="E1157" s="17" t="s">
        <v>7589</v>
      </c>
      <c r="F1157" s="16" t="s">
        <v>7052</v>
      </c>
      <c r="G1157" s="16">
        <v>23.61</v>
      </c>
      <c r="H1157" s="16"/>
      <c r="I1157" s="16"/>
      <c r="J1157" s="16" t="s">
        <v>7590</v>
      </c>
      <c r="K1157" s="16" t="s">
        <v>7591</v>
      </c>
      <c r="L1157" s="16"/>
      <c r="M1157" s="16"/>
      <c r="N1157" s="12"/>
      <c r="O1157" s="12"/>
      <c r="P1157" s="13">
        <f>IFERROR(__xludf.DUMMYFUNCTION("VALUE(SUBSTITUTE((INDEX(SPLIT(A1157,"",""),1)),""."","","",1))"),51.676728)</f>
        <v>51.676728</v>
      </c>
      <c r="Q1157" s="13">
        <f>IFERROR(__xludf.DUMMYFUNCTION("VALUE(SUBSTITUTE((INDEX(SPLIT(A1157,"",""),2)),""."","","",1))"),36.150749)</f>
        <v>36.150749</v>
      </c>
      <c r="R1157" s="14" t="b">
        <f t="shared" si="1"/>
        <v>0</v>
      </c>
      <c r="S1157" s="14" t="str">
        <f t="shared" si="2"/>
        <v>51.676728,36.150749</v>
      </c>
      <c r="T1157" s="12"/>
    </row>
    <row r="1158">
      <c r="A1158" s="18" t="s">
        <v>7592</v>
      </c>
      <c r="B1158" s="8" t="s">
        <v>7593</v>
      </c>
      <c r="C1158" s="8" t="s">
        <v>7594</v>
      </c>
      <c r="D1158" s="8" t="s">
        <v>16</v>
      </c>
      <c r="E1158" s="19" t="s">
        <v>7595</v>
      </c>
      <c r="F1158" s="8" t="s">
        <v>7052</v>
      </c>
      <c r="G1158" s="8">
        <v>23.61</v>
      </c>
      <c r="H1158" s="8"/>
      <c r="I1158" s="8"/>
      <c r="J1158" s="8" t="s">
        <v>7596</v>
      </c>
      <c r="K1158" s="8" t="s">
        <v>7597</v>
      </c>
      <c r="L1158" s="8"/>
      <c r="M1158" s="8"/>
      <c r="N1158" s="12"/>
      <c r="O1158" s="12"/>
      <c r="P1158" s="13">
        <f>IFERROR(__xludf.DUMMYFUNCTION("VALUE(SUBSTITUTE((INDEX(SPLIT(A1158,"",""),1)),""."","","",1))"),51.649237)</f>
        <v>51.649237</v>
      </c>
      <c r="Q1158" s="13">
        <f>IFERROR(__xludf.DUMMYFUNCTION("VALUE(SUBSTITUTE((INDEX(SPLIT(A1158,"",""),2)),""."","","",1))"),36.151324)</f>
        <v>36.151324</v>
      </c>
      <c r="R1158" s="14" t="b">
        <f t="shared" si="1"/>
        <v>0</v>
      </c>
      <c r="S1158" s="14" t="str">
        <f t="shared" si="2"/>
        <v>51.649237,36.151324</v>
      </c>
      <c r="T1158" s="12"/>
    </row>
    <row r="1159">
      <c r="A1159" s="15" t="s">
        <v>7598</v>
      </c>
      <c r="B1159" s="16" t="s">
        <v>7599</v>
      </c>
      <c r="C1159" s="16" t="s">
        <v>7600</v>
      </c>
      <c r="D1159" s="16" t="s">
        <v>16</v>
      </c>
      <c r="E1159" s="17" t="s">
        <v>7601</v>
      </c>
      <c r="F1159" s="16" t="s">
        <v>7052</v>
      </c>
      <c r="G1159" s="16">
        <v>23.61</v>
      </c>
      <c r="H1159" s="16"/>
      <c r="I1159" s="16"/>
      <c r="J1159" s="16" t="s">
        <v>7602</v>
      </c>
      <c r="K1159" s="16" t="s">
        <v>7603</v>
      </c>
      <c r="L1159" s="16"/>
      <c r="M1159" s="16"/>
      <c r="N1159" s="12"/>
      <c r="O1159" s="12"/>
      <c r="P1159" s="13">
        <f>IFERROR(__xludf.DUMMYFUNCTION("VALUE(SUBSTITUTE((INDEX(SPLIT(A1159,"",""),1)),""."","","",1))"),51.67336)</f>
        <v>51.67336</v>
      </c>
      <c r="Q1159" s="13">
        <f>IFERROR(__xludf.DUMMYFUNCTION("VALUE(SUBSTITUTE((INDEX(SPLIT(A1159,"",""),2)),""."","","",1))"),36.163398)</f>
        <v>36.163398</v>
      </c>
      <c r="R1159" s="14" t="b">
        <f t="shared" si="1"/>
        <v>0</v>
      </c>
      <c r="S1159" s="14" t="str">
        <f t="shared" si="2"/>
        <v>51.67336,36.163398</v>
      </c>
      <c r="T1159" s="12"/>
    </row>
    <row r="1160">
      <c r="A1160" s="7" t="s">
        <v>7604</v>
      </c>
      <c r="B1160" s="8" t="s">
        <v>4745</v>
      </c>
      <c r="C1160" s="8" t="s">
        <v>2779</v>
      </c>
      <c r="D1160" s="8" t="s">
        <v>16</v>
      </c>
      <c r="E1160" s="9" t="s">
        <v>7605</v>
      </c>
      <c r="F1160" s="10" t="s">
        <v>7157</v>
      </c>
      <c r="G1160" s="8">
        <v>23.61</v>
      </c>
      <c r="H1160" s="8"/>
      <c r="I1160" s="10"/>
      <c r="J1160" s="10" t="s">
        <v>7606</v>
      </c>
      <c r="K1160" s="10" t="s">
        <v>7607</v>
      </c>
      <c r="L1160" s="11" t="s">
        <v>7608</v>
      </c>
      <c r="M1160" s="10"/>
      <c r="N1160" s="12"/>
      <c r="O1160" s="12"/>
      <c r="P1160" s="13">
        <f>IFERROR(__xludf.DUMMYFUNCTION("VALUE(SUBSTITUTE((INDEX(SPLIT(A1160,"",""),1)),""."","","",1))"),53.052393)</f>
        <v>53.052393</v>
      </c>
      <c r="Q1160" s="13">
        <f>IFERROR(__xludf.DUMMYFUNCTION("VALUE(SUBSTITUTE((INDEX(SPLIT(A1160,"",""),2)),""."","","",1))"),36.167988)</f>
        <v>36.167988</v>
      </c>
      <c r="R1160" s="14" t="b">
        <f t="shared" si="1"/>
        <v>0</v>
      </c>
      <c r="S1160" s="14" t="str">
        <f t="shared" si="2"/>
        <v>53.052393,36.167988</v>
      </c>
      <c r="T1160" s="12"/>
    </row>
    <row r="1161">
      <c r="A1161" s="20" t="s">
        <v>7609</v>
      </c>
      <c r="B1161" s="16" t="s">
        <v>7610</v>
      </c>
      <c r="C1161" s="16" t="s">
        <v>7611</v>
      </c>
      <c r="D1161" s="16" t="s">
        <v>16</v>
      </c>
      <c r="E1161" s="21" t="s">
        <v>7612</v>
      </c>
      <c r="F1161" s="22" t="s">
        <v>7052</v>
      </c>
      <c r="G1161" s="16">
        <v>23.61</v>
      </c>
      <c r="H1161" s="16"/>
      <c r="I1161" s="22"/>
      <c r="J1161" s="22" t="s">
        <v>7613</v>
      </c>
      <c r="K1161" s="22" t="s">
        <v>7614</v>
      </c>
      <c r="L1161" s="23" t="s">
        <v>7615</v>
      </c>
      <c r="M1161" s="23" t="s">
        <v>7616</v>
      </c>
      <c r="N1161" s="12"/>
      <c r="O1161" s="12"/>
      <c r="P1161" s="13">
        <f>IFERROR(__xludf.DUMMYFUNCTION("VALUE(SUBSTITUTE((INDEX(SPLIT(A1161,"",""),1)),""."","","",1))"),51.705548)</f>
        <v>51.705548</v>
      </c>
      <c r="Q1161" s="13">
        <f>IFERROR(__xludf.DUMMYFUNCTION("VALUE(SUBSTITUTE((INDEX(SPLIT(A1161,"",""),2)),""."","","",1))"),36.171509)</f>
        <v>36.171509</v>
      </c>
      <c r="R1161" s="14" t="b">
        <f t="shared" si="1"/>
        <v>0</v>
      </c>
      <c r="S1161" s="14" t="str">
        <f t="shared" si="2"/>
        <v>51.705548,36.171509</v>
      </c>
      <c r="T1161" s="12"/>
    </row>
    <row r="1162">
      <c r="A1162" s="18" t="s">
        <v>7609</v>
      </c>
      <c r="B1162" s="8" t="s">
        <v>7617</v>
      </c>
      <c r="C1162" s="8" t="s">
        <v>7618</v>
      </c>
      <c r="D1162" s="8" t="s">
        <v>16</v>
      </c>
      <c r="E1162" s="19" t="s">
        <v>7619</v>
      </c>
      <c r="F1162" s="8" t="s">
        <v>7052</v>
      </c>
      <c r="G1162" s="8">
        <v>23.61</v>
      </c>
      <c r="H1162" s="8"/>
      <c r="I1162" s="8"/>
      <c r="J1162" s="8" t="s">
        <v>7620</v>
      </c>
      <c r="K1162" s="8" t="s">
        <v>7621</v>
      </c>
      <c r="L1162" s="8"/>
      <c r="M1162" s="24" t="s">
        <v>7622</v>
      </c>
      <c r="N1162" s="12"/>
      <c r="O1162" s="12"/>
      <c r="P1162" s="13">
        <f>IFERROR(__xludf.DUMMYFUNCTION("VALUE(SUBSTITUTE((INDEX(SPLIT(A1162,"",""),1)),""."","","",1))"),51.705548)</f>
        <v>51.705548</v>
      </c>
      <c r="Q1162" s="13">
        <f>IFERROR(__xludf.DUMMYFUNCTION("VALUE(SUBSTITUTE((INDEX(SPLIT(A1162,"",""),2)),""."","","",1))"),36.171509)</f>
        <v>36.171509</v>
      </c>
      <c r="R1162" s="14" t="b">
        <f t="shared" si="1"/>
        <v>0</v>
      </c>
      <c r="S1162" s="14" t="str">
        <f t="shared" si="2"/>
        <v>51.705548,36.171509</v>
      </c>
      <c r="T1162" s="12"/>
    </row>
    <row r="1163">
      <c r="A1163" s="15" t="s">
        <v>7623</v>
      </c>
      <c r="B1163" s="16" t="s">
        <v>7624</v>
      </c>
      <c r="C1163" s="16" t="s">
        <v>7625</v>
      </c>
      <c r="D1163" s="16" t="s">
        <v>16</v>
      </c>
      <c r="E1163" s="17" t="s">
        <v>7626</v>
      </c>
      <c r="F1163" s="16" t="s">
        <v>7157</v>
      </c>
      <c r="G1163" s="16">
        <v>23.61</v>
      </c>
      <c r="H1163" s="16"/>
      <c r="I1163" s="16"/>
      <c r="J1163" s="16" t="s">
        <v>7627</v>
      </c>
      <c r="K1163" s="16" t="s">
        <v>7628</v>
      </c>
      <c r="L1163" s="16"/>
      <c r="M1163" s="16"/>
      <c r="N1163" s="12"/>
      <c r="O1163" s="12"/>
      <c r="P1163" s="13">
        <f>IFERROR(__xludf.DUMMYFUNCTION("VALUE(SUBSTITUTE((INDEX(SPLIT(A1163,"",""),1)),""."","","",1))"),53.044728)</f>
        <v>53.044728</v>
      </c>
      <c r="Q1163" s="13">
        <f>IFERROR(__xludf.DUMMYFUNCTION("VALUE(SUBSTITUTE((INDEX(SPLIT(A1163,"",""),2)),""."","","",1))"),36.177501)</f>
        <v>36.177501</v>
      </c>
      <c r="R1163" s="14" t="b">
        <f t="shared" si="1"/>
        <v>0</v>
      </c>
      <c r="S1163" s="14" t="str">
        <f t="shared" si="2"/>
        <v>53.044728,36.177501</v>
      </c>
      <c r="T1163" s="12"/>
    </row>
    <row r="1164">
      <c r="A1164" s="18" t="s">
        <v>7629</v>
      </c>
      <c r="B1164" s="8" t="s">
        <v>7630</v>
      </c>
      <c r="C1164" s="8" t="s">
        <v>7631</v>
      </c>
      <c r="D1164" s="8" t="s">
        <v>16</v>
      </c>
      <c r="E1164" s="19" t="s">
        <v>7632</v>
      </c>
      <c r="F1164" s="8" t="s">
        <v>3760</v>
      </c>
      <c r="G1164" s="8">
        <v>23.61</v>
      </c>
      <c r="H1164" s="8"/>
      <c r="I1164" s="8"/>
      <c r="J1164" s="8" t="s">
        <v>7633</v>
      </c>
      <c r="K1164" s="8" t="s">
        <v>7634</v>
      </c>
      <c r="L1164" s="8"/>
      <c r="M1164" s="24" t="s">
        <v>7635</v>
      </c>
      <c r="N1164" s="12"/>
      <c r="O1164" s="12"/>
      <c r="P1164" s="13">
        <f>IFERROR(__xludf.DUMMYFUNCTION("VALUE(SUBSTITUTE((INDEX(SPLIT(A1164,"",""),1)),""."","","",1))"),55.962876)</f>
        <v>55.962876</v>
      </c>
      <c r="Q1164" s="13">
        <f>IFERROR(__xludf.DUMMYFUNCTION("VALUE(SUBSTITUTE((INDEX(SPLIT(A1164,"",""),2)),""."","","",1))"),36.201774)</f>
        <v>36.201774</v>
      </c>
      <c r="R1164" s="14" t="b">
        <f t="shared" si="1"/>
        <v>0</v>
      </c>
      <c r="S1164" s="14" t="str">
        <f t="shared" si="2"/>
        <v>55.962876,36.201774</v>
      </c>
      <c r="T1164" s="12"/>
    </row>
    <row r="1165">
      <c r="A1165" s="20" t="s">
        <v>7636</v>
      </c>
      <c r="B1165" s="16" t="s">
        <v>7637</v>
      </c>
      <c r="C1165" s="16" t="s">
        <v>7638</v>
      </c>
      <c r="D1165" s="16" t="s">
        <v>16</v>
      </c>
      <c r="E1165" s="21" t="s">
        <v>7639</v>
      </c>
      <c r="F1165" s="22" t="s">
        <v>3760</v>
      </c>
      <c r="G1165" s="16">
        <v>23.61</v>
      </c>
      <c r="H1165" s="16"/>
      <c r="I1165" s="22"/>
      <c r="J1165" s="22" t="s">
        <v>7640</v>
      </c>
      <c r="K1165" s="22" t="s">
        <v>7641</v>
      </c>
      <c r="L1165" s="23" t="s">
        <v>7642</v>
      </c>
      <c r="M1165" s="22"/>
      <c r="N1165" s="12"/>
      <c r="O1165" s="12"/>
      <c r="P1165" s="13">
        <f>IFERROR(__xludf.DUMMYFUNCTION("VALUE(SUBSTITUTE((INDEX(SPLIT(A1165,"",""),1)),""."","","",1))"),55.709637)</f>
        <v>55.709637</v>
      </c>
      <c r="Q1165" s="13">
        <f>IFERROR(__xludf.DUMMYFUNCTION("VALUE(SUBSTITUTE((INDEX(SPLIT(A1165,"",""),2)),""."","","",1))"),36.215293)</f>
        <v>36.215293</v>
      </c>
      <c r="R1165" s="14" t="b">
        <f t="shared" si="1"/>
        <v>0</v>
      </c>
      <c r="S1165" s="14" t="str">
        <f t="shared" si="2"/>
        <v>55.709637,36.215293</v>
      </c>
      <c r="T1165" s="12"/>
    </row>
    <row r="1166">
      <c r="A1166" s="18" t="s">
        <v>7636</v>
      </c>
      <c r="B1166" s="8" t="s">
        <v>7643</v>
      </c>
      <c r="C1166" s="8" t="s">
        <v>7644</v>
      </c>
      <c r="D1166" s="8" t="s">
        <v>16</v>
      </c>
      <c r="E1166" s="19" t="s">
        <v>7645</v>
      </c>
      <c r="F1166" s="8" t="s">
        <v>3760</v>
      </c>
      <c r="G1166" s="8">
        <v>23.61</v>
      </c>
      <c r="H1166" s="8"/>
      <c r="I1166" s="8"/>
      <c r="J1166" s="8" t="s">
        <v>7646</v>
      </c>
      <c r="K1166" s="8" t="s">
        <v>7647</v>
      </c>
      <c r="L1166" s="8"/>
      <c r="M1166" s="8"/>
      <c r="N1166" s="12"/>
      <c r="O1166" s="12"/>
      <c r="P1166" s="13">
        <f>IFERROR(__xludf.DUMMYFUNCTION("VALUE(SUBSTITUTE((INDEX(SPLIT(A1166,"",""),1)),""."","","",1))"),55.709637)</f>
        <v>55.709637</v>
      </c>
      <c r="Q1166" s="13">
        <f>IFERROR(__xludf.DUMMYFUNCTION("VALUE(SUBSTITUTE((INDEX(SPLIT(A1166,"",""),2)),""."","","",1))"),36.215293)</f>
        <v>36.215293</v>
      </c>
      <c r="R1166" s="14" t="b">
        <f t="shared" si="1"/>
        <v>0</v>
      </c>
      <c r="S1166" s="14" t="str">
        <f t="shared" si="2"/>
        <v>55.709637,36.215293</v>
      </c>
      <c r="T1166" s="12"/>
    </row>
    <row r="1167">
      <c r="A1167" s="15" t="s">
        <v>7648</v>
      </c>
      <c r="B1167" s="16" t="s">
        <v>7649</v>
      </c>
      <c r="C1167" s="16" t="s">
        <v>7650</v>
      </c>
      <c r="D1167" s="16" t="s">
        <v>16</v>
      </c>
      <c r="E1167" s="17" t="s">
        <v>7651</v>
      </c>
      <c r="F1167" s="16" t="s">
        <v>7052</v>
      </c>
      <c r="G1167" s="16">
        <v>23.61</v>
      </c>
      <c r="H1167" s="16"/>
      <c r="I1167" s="16"/>
      <c r="J1167" s="16" t="s">
        <v>7652</v>
      </c>
      <c r="K1167" s="16" t="s">
        <v>7653</v>
      </c>
      <c r="L1167" s="16"/>
      <c r="M1167" s="16"/>
      <c r="N1167" s="12"/>
      <c r="O1167" s="12"/>
      <c r="P1167" s="13">
        <f>IFERROR(__xludf.DUMMYFUNCTION("VALUE(SUBSTITUTE((INDEX(SPLIT(A1167,"",""),1)),""."","","",1))"),51.722713)</f>
        <v>51.722713</v>
      </c>
      <c r="Q1167" s="13">
        <f>IFERROR(__xludf.DUMMYFUNCTION("VALUE(SUBSTITUTE((INDEX(SPLIT(A1167,"",""),2)),""."","","",1))"),36.220405)</f>
        <v>36.220405</v>
      </c>
      <c r="R1167" s="14" t="b">
        <f t="shared" si="1"/>
        <v>0</v>
      </c>
      <c r="S1167" s="14" t="str">
        <f t="shared" si="2"/>
        <v>51.722713,36.220405</v>
      </c>
      <c r="T1167" s="12"/>
    </row>
    <row r="1168">
      <c r="A1168" s="18" t="s">
        <v>7654</v>
      </c>
      <c r="B1168" s="8" t="s">
        <v>7655</v>
      </c>
      <c r="C1168" s="8" t="s">
        <v>7656</v>
      </c>
      <c r="D1168" s="8" t="s">
        <v>16</v>
      </c>
      <c r="E1168" s="19" t="s">
        <v>7657</v>
      </c>
      <c r="F1168" s="8" t="s">
        <v>3760</v>
      </c>
      <c r="G1168" s="8">
        <v>23.61</v>
      </c>
      <c r="H1168" s="8"/>
      <c r="I1168" s="8"/>
      <c r="J1168" s="8" t="s">
        <v>7658</v>
      </c>
      <c r="K1168" s="8" t="s">
        <v>7659</v>
      </c>
      <c r="L1168" s="8"/>
      <c r="M1168" s="8"/>
      <c r="N1168" s="12"/>
      <c r="O1168" s="12"/>
      <c r="P1168" s="13">
        <f>IFERROR(__xludf.DUMMYFUNCTION("VALUE(SUBSTITUTE((INDEX(SPLIT(A1168,"",""),1)),""."","","",1))"),55.705128)</f>
        <v>55.705128</v>
      </c>
      <c r="Q1168" s="13">
        <f>IFERROR(__xludf.DUMMYFUNCTION("VALUE(SUBSTITUTE((INDEX(SPLIT(A1168,"",""),2)),""."","","",1))"),36.223854)</f>
        <v>36.223854</v>
      </c>
      <c r="R1168" s="14" t="b">
        <f t="shared" si="1"/>
        <v>0</v>
      </c>
      <c r="S1168" s="14" t="str">
        <f t="shared" si="2"/>
        <v>55.705128,36.223854</v>
      </c>
      <c r="T1168" s="12"/>
    </row>
    <row r="1169">
      <c r="A1169" s="20" t="s">
        <v>7660</v>
      </c>
      <c r="B1169" s="16" t="s">
        <v>7661</v>
      </c>
      <c r="C1169" s="16" t="s">
        <v>7662</v>
      </c>
      <c r="D1169" s="16" t="s">
        <v>16</v>
      </c>
      <c r="E1169" s="21" t="s">
        <v>7663</v>
      </c>
      <c r="F1169" s="22" t="s">
        <v>7052</v>
      </c>
      <c r="G1169" s="16">
        <v>23.61</v>
      </c>
      <c r="H1169" s="16"/>
      <c r="I1169" s="22"/>
      <c r="J1169" s="22" t="s">
        <v>7664</v>
      </c>
      <c r="K1169" s="22" t="s">
        <v>7665</v>
      </c>
      <c r="L1169" s="23" t="s">
        <v>7666</v>
      </c>
      <c r="M1169" s="22"/>
      <c r="N1169" s="12"/>
      <c r="O1169" s="12"/>
      <c r="P1169" s="13">
        <f>IFERROR(__xludf.DUMMYFUNCTION("VALUE(SUBSTITUTE((INDEX(SPLIT(A1169,"",""),1)),""."","","",1))"),51.749541)</f>
        <v>51.749541</v>
      </c>
      <c r="Q1169" s="13">
        <f>IFERROR(__xludf.DUMMYFUNCTION("VALUE(SUBSTITUTE((INDEX(SPLIT(A1169,"",""),2)),""."","","",1))"),36.24023)</f>
        <v>36.24023</v>
      </c>
      <c r="R1169" s="14" t="b">
        <f t="shared" si="1"/>
        <v>0</v>
      </c>
      <c r="S1169" s="14" t="str">
        <f t="shared" si="2"/>
        <v>51.749541,36.24023</v>
      </c>
      <c r="T1169" s="12"/>
    </row>
    <row r="1170">
      <c r="A1170" s="7" t="s">
        <v>7667</v>
      </c>
      <c r="B1170" s="8" t="s">
        <v>7668</v>
      </c>
      <c r="C1170" s="8" t="s">
        <v>7669</v>
      </c>
      <c r="D1170" s="8" t="s">
        <v>16</v>
      </c>
      <c r="E1170" s="9" t="s">
        <v>7670</v>
      </c>
      <c r="F1170" s="10" t="s">
        <v>6724</v>
      </c>
      <c r="G1170" s="8">
        <v>23.61</v>
      </c>
      <c r="H1170" s="8"/>
      <c r="I1170" s="10"/>
      <c r="J1170" s="10" t="s">
        <v>7671</v>
      </c>
      <c r="K1170" s="10" t="s">
        <v>7672</v>
      </c>
      <c r="L1170" s="11" t="s">
        <v>7673</v>
      </c>
      <c r="M1170" s="10"/>
      <c r="N1170" s="12"/>
      <c r="O1170" s="12"/>
      <c r="P1170" s="13">
        <f>IFERROR(__xludf.DUMMYFUNCTION("VALUE(SUBSTITUTE((INDEX(SPLIT(A1170,"",""),1)),""."","","",1))"),54.515732)</f>
        <v>54.515732</v>
      </c>
      <c r="Q1170" s="13">
        <f>IFERROR(__xludf.DUMMYFUNCTION("VALUE(SUBSTITUTE((INDEX(SPLIT(A1170,"",""),2)),""."","","",1))"),36.242368)</f>
        <v>36.242368</v>
      </c>
      <c r="R1170" s="14" t="b">
        <f t="shared" si="1"/>
        <v>0</v>
      </c>
      <c r="S1170" s="14" t="str">
        <f t="shared" si="2"/>
        <v>54.515732,36.242368</v>
      </c>
      <c r="T1170" s="12"/>
    </row>
    <row r="1171">
      <c r="A1171" s="15" t="s">
        <v>7674</v>
      </c>
      <c r="B1171" s="16" t="s">
        <v>7675</v>
      </c>
      <c r="C1171" s="16" t="s">
        <v>7676</v>
      </c>
      <c r="D1171" s="16" t="s">
        <v>16</v>
      </c>
      <c r="E1171" s="17" t="s">
        <v>7677</v>
      </c>
      <c r="F1171" s="16" t="s">
        <v>6724</v>
      </c>
      <c r="G1171" s="16">
        <v>23.61</v>
      </c>
      <c r="H1171" s="16"/>
      <c r="I1171" s="16"/>
      <c r="J1171" s="16" t="s">
        <v>7678</v>
      </c>
      <c r="K1171" s="16" t="s">
        <v>7679</v>
      </c>
      <c r="L1171" s="16"/>
      <c r="M1171" s="16"/>
      <c r="N1171" s="12"/>
      <c r="O1171" s="12"/>
      <c r="P1171" s="13">
        <f>IFERROR(__xludf.DUMMYFUNCTION("VALUE(SUBSTITUTE((INDEX(SPLIT(A1171,"",""),1)),""."","","",1))"),54.509565)</f>
        <v>54.509565</v>
      </c>
      <c r="Q1171" s="13">
        <f>IFERROR(__xludf.DUMMYFUNCTION("VALUE(SUBSTITUTE((INDEX(SPLIT(A1171,"",""),2)),""."","","",1))"),36.252034)</f>
        <v>36.252034</v>
      </c>
      <c r="R1171" s="14" t="b">
        <f t="shared" si="1"/>
        <v>0</v>
      </c>
      <c r="S1171" s="14" t="str">
        <f t="shared" si="2"/>
        <v>54.509565,36.252034</v>
      </c>
      <c r="T1171" s="12"/>
    </row>
    <row r="1172">
      <c r="A1172" s="7" t="s">
        <v>7680</v>
      </c>
      <c r="B1172" s="8" t="s">
        <v>7681</v>
      </c>
      <c r="C1172" s="8" t="s">
        <v>7682</v>
      </c>
      <c r="D1172" s="8" t="s">
        <v>16</v>
      </c>
      <c r="E1172" s="9" t="s">
        <v>7683</v>
      </c>
      <c r="F1172" s="10" t="s">
        <v>6724</v>
      </c>
      <c r="G1172" s="8">
        <v>23.61</v>
      </c>
      <c r="H1172" s="8"/>
      <c r="I1172" s="10"/>
      <c r="J1172" s="10" t="s">
        <v>7684</v>
      </c>
      <c r="K1172" s="10" t="s">
        <v>7685</v>
      </c>
      <c r="L1172" s="11" t="s">
        <v>7686</v>
      </c>
      <c r="M1172" s="10"/>
      <c r="N1172" s="12"/>
      <c r="O1172" s="12"/>
      <c r="P1172" s="13">
        <f>IFERROR(__xludf.DUMMYFUNCTION("VALUE(SUBSTITUTE((INDEX(SPLIT(A1172,"",""),1)),""."","","",1))"),54.529925)</f>
        <v>54.529925</v>
      </c>
      <c r="Q1172" s="13">
        <f>IFERROR(__xludf.DUMMYFUNCTION("VALUE(SUBSTITUTE((INDEX(SPLIT(A1172,"",""),2)),""."","","",1))"),36.25508)</f>
        <v>36.25508</v>
      </c>
      <c r="R1172" s="14" t="b">
        <f t="shared" si="1"/>
        <v>0</v>
      </c>
      <c r="S1172" s="14" t="str">
        <f t="shared" si="2"/>
        <v>54.529925,36.25508</v>
      </c>
      <c r="T1172" s="12"/>
    </row>
    <row r="1173">
      <c r="A1173" s="15" t="s">
        <v>7687</v>
      </c>
      <c r="B1173" s="16" t="s">
        <v>7688</v>
      </c>
      <c r="C1173" s="16" t="s">
        <v>7689</v>
      </c>
      <c r="D1173" s="16" t="s">
        <v>16</v>
      </c>
      <c r="E1173" s="17" t="s">
        <v>7690</v>
      </c>
      <c r="F1173" s="16" t="s">
        <v>6724</v>
      </c>
      <c r="G1173" s="16">
        <v>23.61</v>
      </c>
      <c r="H1173" s="16"/>
      <c r="I1173" s="16"/>
      <c r="J1173" s="16" t="s">
        <v>7691</v>
      </c>
      <c r="K1173" s="16" t="s">
        <v>7692</v>
      </c>
      <c r="L1173" s="16"/>
      <c r="M1173" s="16"/>
      <c r="N1173" s="12"/>
      <c r="O1173" s="12"/>
      <c r="P1173" s="13">
        <f>IFERROR(__xludf.DUMMYFUNCTION("VALUE(SUBSTITUTE((INDEX(SPLIT(A1173,"",""),1)),""."","","",1))"),54.516521)</f>
        <v>54.516521</v>
      </c>
      <c r="Q1173" s="13">
        <f>IFERROR(__xludf.DUMMYFUNCTION("VALUE(SUBSTITUTE((INDEX(SPLIT(A1173,"",""),2)),""."","","",1))"),36.259823)</f>
        <v>36.259823</v>
      </c>
      <c r="R1173" s="14" t="b">
        <f t="shared" si="1"/>
        <v>0</v>
      </c>
      <c r="S1173" s="14" t="str">
        <f t="shared" si="2"/>
        <v>54.516521,36.259823</v>
      </c>
      <c r="T1173" s="12"/>
    </row>
    <row r="1174">
      <c r="A1174" s="7" t="s">
        <v>7693</v>
      </c>
      <c r="B1174" s="8" t="s">
        <v>7694</v>
      </c>
      <c r="C1174" s="8" t="s">
        <v>7695</v>
      </c>
      <c r="D1174" s="8" t="s">
        <v>16</v>
      </c>
      <c r="E1174" s="9" t="s">
        <v>7696</v>
      </c>
      <c r="F1174" s="10" t="s">
        <v>6724</v>
      </c>
      <c r="G1174" s="8">
        <v>23.61</v>
      </c>
      <c r="H1174" s="8"/>
      <c r="I1174" s="10"/>
      <c r="J1174" s="10" t="s">
        <v>7697</v>
      </c>
      <c r="K1174" s="10" t="s">
        <v>7698</v>
      </c>
      <c r="L1174" s="11" t="s">
        <v>7699</v>
      </c>
      <c r="M1174" s="10"/>
      <c r="N1174" s="12"/>
      <c r="O1174" s="12"/>
      <c r="P1174" s="13">
        <f>IFERROR(__xludf.DUMMYFUNCTION("VALUE(SUBSTITUTE((INDEX(SPLIT(A1174,"",""),1)),""."","","",1))"),54.500264)</f>
        <v>54.500264</v>
      </c>
      <c r="Q1174" s="13">
        <f>IFERROR(__xludf.DUMMYFUNCTION("VALUE(SUBSTITUTE((INDEX(SPLIT(A1174,"",""),2)),""."","","",1))"),36.260631)</f>
        <v>36.260631</v>
      </c>
      <c r="R1174" s="14" t="b">
        <f t="shared" si="1"/>
        <v>0</v>
      </c>
      <c r="S1174" s="14" t="str">
        <f t="shared" si="2"/>
        <v>54.500264,36.260631</v>
      </c>
      <c r="T1174" s="12"/>
    </row>
    <row r="1175">
      <c r="A1175" s="15" t="s">
        <v>7700</v>
      </c>
      <c r="B1175" s="16" t="s">
        <v>7701</v>
      </c>
      <c r="C1175" s="16" t="s">
        <v>7702</v>
      </c>
      <c r="D1175" s="16" t="s">
        <v>16</v>
      </c>
      <c r="E1175" s="17" t="s">
        <v>7703</v>
      </c>
      <c r="F1175" s="16" t="s">
        <v>6724</v>
      </c>
      <c r="G1175" s="16">
        <v>23.61</v>
      </c>
      <c r="H1175" s="16"/>
      <c r="I1175" s="16"/>
      <c r="J1175" s="16" t="s">
        <v>7704</v>
      </c>
      <c r="K1175" s="16" t="s">
        <v>7705</v>
      </c>
      <c r="L1175" s="16"/>
      <c r="M1175" s="16"/>
      <c r="N1175" s="12"/>
      <c r="O1175" s="12"/>
      <c r="P1175" s="13">
        <f>IFERROR(__xludf.DUMMYFUNCTION("VALUE(SUBSTITUTE((INDEX(SPLIT(A1175,"",""),1)),""."","","",1))"),54.513678)</f>
        <v>54.513678</v>
      </c>
      <c r="Q1175" s="13">
        <f>IFERROR(__xludf.DUMMYFUNCTION("VALUE(SUBSTITUTE((INDEX(SPLIT(A1175,"",""),2)),""."","","",1))"),36.261341)</f>
        <v>36.261341</v>
      </c>
      <c r="R1175" s="14" t="b">
        <f t="shared" si="1"/>
        <v>0</v>
      </c>
      <c r="S1175" s="14" t="str">
        <f t="shared" si="2"/>
        <v>54.513678,36.261341</v>
      </c>
      <c r="T1175" s="12"/>
    </row>
    <row r="1176">
      <c r="A1176" s="18" t="s">
        <v>7700</v>
      </c>
      <c r="B1176" s="8" t="s">
        <v>7706</v>
      </c>
      <c r="C1176" s="8" t="s">
        <v>7707</v>
      </c>
      <c r="D1176" s="8" t="s">
        <v>16</v>
      </c>
      <c r="E1176" s="19" t="s">
        <v>7708</v>
      </c>
      <c r="F1176" s="8" t="s">
        <v>6724</v>
      </c>
      <c r="G1176" s="8">
        <v>23.61</v>
      </c>
      <c r="H1176" s="8"/>
      <c r="I1176" s="8"/>
      <c r="J1176" s="8" t="s">
        <v>7709</v>
      </c>
      <c r="K1176" s="8" t="s">
        <v>7710</v>
      </c>
      <c r="L1176" s="8"/>
      <c r="M1176" s="8"/>
      <c r="N1176" s="12"/>
      <c r="O1176" s="12"/>
      <c r="P1176" s="13">
        <f>IFERROR(__xludf.DUMMYFUNCTION("VALUE(SUBSTITUTE((INDEX(SPLIT(A1176,"",""),1)),""."","","",1))"),54.513678)</f>
        <v>54.513678</v>
      </c>
      <c r="Q1176" s="13">
        <f>IFERROR(__xludf.DUMMYFUNCTION("VALUE(SUBSTITUTE((INDEX(SPLIT(A1176,"",""),2)),""."","","",1))"),36.261341)</f>
        <v>36.261341</v>
      </c>
      <c r="R1176" s="14" t="b">
        <f t="shared" si="1"/>
        <v>0</v>
      </c>
      <c r="S1176" s="14" t="str">
        <f t="shared" si="2"/>
        <v>54.513678,36.261341</v>
      </c>
      <c r="T1176" s="12"/>
    </row>
    <row r="1177">
      <c r="A1177" s="20" t="s">
        <v>7711</v>
      </c>
      <c r="B1177" s="16" t="s">
        <v>7712</v>
      </c>
      <c r="C1177" s="16" t="s">
        <v>7713</v>
      </c>
      <c r="D1177" s="16" t="s">
        <v>16</v>
      </c>
      <c r="E1177" s="21" t="s">
        <v>7714</v>
      </c>
      <c r="F1177" s="22" t="s">
        <v>6724</v>
      </c>
      <c r="G1177" s="16">
        <v>23.61</v>
      </c>
      <c r="H1177" s="16"/>
      <c r="I1177" s="22"/>
      <c r="J1177" s="22" t="s">
        <v>7715</v>
      </c>
      <c r="K1177" s="22" t="s">
        <v>7716</v>
      </c>
      <c r="L1177" s="23" t="s">
        <v>7717</v>
      </c>
      <c r="M1177" s="22"/>
      <c r="N1177" s="12"/>
      <c r="O1177" s="12"/>
      <c r="P1177" s="13">
        <f>IFERROR(__xludf.DUMMYFUNCTION("VALUE(SUBSTITUTE((INDEX(SPLIT(A1177,"",""),1)),""."","","",1))"),54.560628)</f>
        <v>54.560628</v>
      </c>
      <c r="Q1177" s="13">
        <f>IFERROR(__xludf.DUMMYFUNCTION("VALUE(SUBSTITUTE((INDEX(SPLIT(A1177,"",""),2)),""."","","",1))"),36.261565)</f>
        <v>36.261565</v>
      </c>
      <c r="R1177" s="14" t="b">
        <f t="shared" si="1"/>
        <v>0</v>
      </c>
      <c r="S1177" s="14" t="str">
        <f t="shared" si="2"/>
        <v>54.560628,36.261565</v>
      </c>
      <c r="T1177" s="12"/>
    </row>
    <row r="1178">
      <c r="A1178" s="18" t="s">
        <v>7718</v>
      </c>
      <c r="B1178" s="8" t="s">
        <v>6103</v>
      </c>
      <c r="C1178" s="8" t="s">
        <v>6104</v>
      </c>
      <c r="D1178" s="8" t="s">
        <v>16</v>
      </c>
      <c r="E1178" s="19" t="s">
        <v>7719</v>
      </c>
      <c r="F1178" s="8" t="s">
        <v>6724</v>
      </c>
      <c r="G1178" s="8">
        <v>23.61</v>
      </c>
      <c r="H1178" s="8"/>
      <c r="I1178" s="8"/>
      <c r="J1178" s="8" t="s">
        <v>7720</v>
      </c>
      <c r="K1178" s="8" t="s">
        <v>7721</v>
      </c>
      <c r="L1178" s="8"/>
      <c r="M1178" s="8"/>
      <c r="N1178" s="12"/>
      <c r="O1178" s="12"/>
      <c r="P1178" s="13">
        <f>IFERROR(__xludf.DUMMYFUNCTION("VALUE(SUBSTITUTE((INDEX(SPLIT(A1178,"",""),1)),""."","","",1))"),54.543929)</f>
        <v>54.543929</v>
      </c>
      <c r="Q1178" s="13">
        <f>IFERROR(__xludf.DUMMYFUNCTION("VALUE(SUBSTITUTE((INDEX(SPLIT(A1178,"",""),2)),""."","","",1))"),36.264278)</f>
        <v>36.264278</v>
      </c>
      <c r="R1178" s="14" t="b">
        <f t="shared" si="1"/>
        <v>0</v>
      </c>
      <c r="S1178" s="14" t="str">
        <f t="shared" si="2"/>
        <v>54.543929,36.264278</v>
      </c>
      <c r="T1178" s="12"/>
    </row>
    <row r="1179">
      <c r="A1179" s="15" t="s">
        <v>7722</v>
      </c>
      <c r="B1179" s="16" t="s">
        <v>7723</v>
      </c>
      <c r="C1179" s="16" t="s">
        <v>7724</v>
      </c>
      <c r="D1179" s="16" t="s">
        <v>16</v>
      </c>
      <c r="E1179" s="17" t="s">
        <v>7725</v>
      </c>
      <c r="F1179" s="16" t="s">
        <v>6724</v>
      </c>
      <c r="G1179" s="16">
        <v>23.61</v>
      </c>
      <c r="H1179" s="16"/>
      <c r="I1179" s="32" t="s">
        <v>7726</v>
      </c>
      <c r="J1179" s="16" t="s">
        <v>7727</v>
      </c>
      <c r="K1179" s="16" t="s">
        <v>7728</v>
      </c>
      <c r="L1179" s="16"/>
      <c r="M1179" s="16"/>
      <c r="N1179" s="12"/>
      <c r="O1179" s="12"/>
      <c r="P1179" s="13">
        <f>IFERROR(__xludf.DUMMYFUNCTION("VALUE(SUBSTITUTE((INDEX(SPLIT(A1179,"",""),1)),""."","","",1))"),54.551434)</f>
        <v>54.551434</v>
      </c>
      <c r="Q1179" s="13">
        <f>IFERROR(__xludf.DUMMYFUNCTION("VALUE(SUBSTITUTE((INDEX(SPLIT(A1179,"",""),2)),""."","","",1))"),36.267054)</f>
        <v>36.267054</v>
      </c>
      <c r="R1179" s="14" t="b">
        <f t="shared" si="1"/>
        <v>0</v>
      </c>
      <c r="S1179" s="14" t="str">
        <f t="shared" si="2"/>
        <v>54.551434,36.267054</v>
      </c>
      <c r="T1179" s="12"/>
    </row>
    <row r="1180">
      <c r="A1180" s="18" t="s">
        <v>7729</v>
      </c>
      <c r="B1180" s="8" t="s">
        <v>7730</v>
      </c>
      <c r="C1180" s="8" t="s">
        <v>7731</v>
      </c>
      <c r="D1180" s="8" t="s">
        <v>16</v>
      </c>
      <c r="E1180" s="19" t="s">
        <v>7732</v>
      </c>
      <c r="F1180" s="8" t="s">
        <v>6724</v>
      </c>
      <c r="G1180" s="8">
        <v>23.61</v>
      </c>
      <c r="H1180" s="8"/>
      <c r="I1180" s="8"/>
      <c r="J1180" s="8" t="s">
        <v>7733</v>
      </c>
      <c r="K1180" s="8" t="s">
        <v>7734</v>
      </c>
      <c r="L1180" s="8"/>
      <c r="M1180" s="8"/>
      <c r="N1180" s="12"/>
      <c r="O1180" s="12"/>
      <c r="P1180" s="13">
        <f>IFERROR(__xludf.DUMMYFUNCTION("VALUE(SUBSTITUTE((INDEX(SPLIT(A1180,"",""),1)),""."","","",1))"),54.551951)</f>
        <v>54.551951</v>
      </c>
      <c r="Q1180" s="13">
        <f>IFERROR(__xludf.DUMMYFUNCTION("VALUE(SUBSTITUTE((INDEX(SPLIT(A1180,"",""),2)),""."","","",1))"),36.26921)</f>
        <v>36.26921</v>
      </c>
      <c r="R1180" s="14" t="b">
        <f t="shared" si="1"/>
        <v>0</v>
      </c>
      <c r="S1180" s="14" t="str">
        <f t="shared" si="2"/>
        <v>54.551951,36.26921</v>
      </c>
      <c r="T1180" s="12"/>
    </row>
    <row r="1181">
      <c r="A1181" s="15" t="s">
        <v>7735</v>
      </c>
      <c r="B1181" s="16" t="s">
        <v>7736</v>
      </c>
      <c r="C1181" s="16" t="s">
        <v>7737</v>
      </c>
      <c r="D1181" s="16" t="s">
        <v>16</v>
      </c>
      <c r="E1181" s="17" t="s">
        <v>7738</v>
      </c>
      <c r="F1181" s="16" t="s">
        <v>6724</v>
      </c>
      <c r="G1181" s="16">
        <v>23.61</v>
      </c>
      <c r="H1181" s="16"/>
      <c r="I1181" s="16"/>
      <c r="J1181" s="16" t="s">
        <v>7739</v>
      </c>
      <c r="K1181" s="16" t="s">
        <v>7740</v>
      </c>
      <c r="L1181" s="16"/>
      <c r="M1181" s="16"/>
      <c r="N1181" s="12"/>
      <c r="O1181" s="12"/>
      <c r="P1181" s="13">
        <f>IFERROR(__xludf.DUMMYFUNCTION("VALUE(SUBSTITUTE((INDEX(SPLIT(A1181,"",""),1)),""."","","",1))"),54.548321)</f>
        <v>54.548321</v>
      </c>
      <c r="Q1181" s="13">
        <f>IFERROR(__xludf.DUMMYFUNCTION("VALUE(SUBSTITUTE((INDEX(SPLIT(A1181,"",""),2)),""."","","",1))"),36.269542)</f>
        <v>36.269542</v>
      </c>
      <c r="R1181" s="14" t="b">
        <f t="shared" si="1"/>
        <v>0</v>
      </c>
      <c r="S1181" s="14" t="str">
        <f t="shared" si="2"/>
        <v>54.548321,36.269542</v>
      </c>
      <c r="T1181" s="12"/>
    </row>
    <row r="1182">
      <c r="A1182" s="18" t="s">
        <v>7741</v>
      </c>
      <c r="B1182" s="8" t="s">
        <v>7742</v>
      </c>
      <c r="C1182" s="8" t="s">
        <v>7743</v>
      </c>
      <c r="D1182" s="8" t="s">
        <v>16</v>
      </c>
      <c r="E1182" s="19" t="s">
        <v>7744</v>
      </c>
      <c r="F1182" s="8" t="s">
        <v>6724</v>
      </c>
      <c r="G1182" s="8">
        <v>23.61</v>
      </c>
      <c r="H1182" s="8"/>
      <c r="I1182" s="8"/>
      <c r="J1182" s="8" t="s">
        <v>7745</v>
      </c>
      <c r="K1182" s="8" t="s">
        <v>7746</v>
      </c>
      <c r="L1182" s="8"/>
      <c r="M1182" s="8"/>
      <c r="N1182" s="12"/>
      <c r="O1182" s="12"/>
      <c r="P1182" s="13">
        <f>IFERROR(__xludf.DUMMYFUNCTION("VALUE(SUBSTITUTE((INDEX(SPLIT(A1182,"",""),1)),""."","","",1))"),54.546702)</f>
        <v>54.546702</v>
      </c>
      <c r="Q1182" s="13">
        <f>IFERROR(__xludf.DUMMYFUNCTION("VALUE(SUBSTITUTE((INDEX(SPLIT(A1182,"",""),2)),""."","","",1))"),36.275193)</f>
        <v>36.275193</v>
      </c>
      <c r="R1182" s="14" t="b">
        <f t="shared" si="1"/>
        <v>0</v>
      </c>
      <c r="S1182" s="14" t="str">
        <f t="shared" si="2"/>
        <v>54.546702,36.275193</v>
      </c>
      <c r="T1182" s="12"/>
    </row>
    <row r="1183">
      <c r="A1183" s="15" t="s">
        <v>7747</v>
      </c>
      <c r="B1183" s="16" t="s">
        <v>3889</v>
      </c>
      <c r="C1183" s="16" t="s">
        <v>3890</v>
      </c>
      <c r="D1183" s="16" t="s">
        <v>16</v>
      </c>
      <c r="E1183" s="17" t="s">
        <v>7748</v>
      </c>
      <c r="F1183" s="16" t="s">
        <v>6724</v>
      </c>
      <c r="G1183" s="16">
        <v>23.61</v>
      </c>
      <c r="H1183" s="16"/>
      <c r="I1183" s="16"/>
      <c r="J1183" s="16" t="s">
        <v>7749</v>
      </c>
      <c r="K1183" s="16" t="s">
        <v>7750</v>
      </c>
      <c r="L1183" s="16"/>
      <c r="M1183" s="16"/>
      <c r="N1183" s="12"/>
      <c r="O1183" s="12"/>
      <c r="P1183" s="13">
        <f>IFERROR(__xludf.DUMMYFUNCTION("VALUE(SUBSTITUTE((INDEX(SPLIT(A1183,"",""),1)),""."","","",1))"),54.505916)</f>
        <v>54.505916</v>
      </c>
      <c r="Q1183" s="13">
        <f>IFERROR(__xludf.DUMMYFUNCTION("VALUE(SUBSTITUTE((INDEX(SPLIT(A1183,"",""),2)),""."","","",1))"),36.276298)</f>
        <v>36.276298</v>
      </c>
      <c r="R1183" s="14" t="b">
        <f t="shared" si="1"/>
        <v>0</v>
      </c>
      <c r="S1183" s="14" t="str">
        <f t="shared" si="2"/>
        <v>54.505916,36.276298</v>
      </c>
      <c r="T1183" s="12"/>
    </row>
    <row r="1184">
      <c r="A1184" s="18" t="s">
        <v>7751</v>
      </c>
      <c r="B1184" s="8" t="s">
        <v>7752</v>
      </c>
      <c r="C1184" s="8" t="s">
        <v>7753</v>
      </c>
      <c r="D1184" s="8" t="s">
        <v>16</v>
      </c>
      <c r="E1184" s="19" t="s">
        <v>7754</v>
      </c>
      <c r="F1184" s="8" t="s">
        <v>6724</v>
      </c>
      <c r="G1184" s="8">
        <v>23.61</v>
      </c>
      <c r="H1184" s="8"/>
      <c r="I1184" s="8"/>
      <c r="J1184" s="8" t="s">
        <v>7755</v>
      </c>
      <c r="K1184" s="8" t="s">
        <v>7756</v>
      </c>
      <c r="L1184" s="8"/>
      <c r="M1184" s="24" t="s">
        <v>7757</v>
      </c>
      <c r="N1184" s="12"/>
      <c r="O1184" s="12"/>
      <c r="P1184" s="13">
        <f>IFERROR(__xludf.DUMMYFUNCTION("VALUE(SUBSTITUTE((INDEX(SPLIT(A1184,"",""),1)),""."","","",1))"),54.546739)</f>
        <v>54.546739</v>
      </c>
      <c r="Q1184" s="13">
        <f>IFERROR(__xludf.DUMMYFUNCTION("VALUE(SUBSTITUTE((INDEX(SPLIT(A1184,"",""),2)),""."","","",1))"),36.286637)</f>
        <v>36.286637</v>
      </c>
      <c r="R1184" s="14" t="b">
        <f t="shared" si="1"/>
        <v>0</v>
      </c>
      <c r="S1184" s="14" t="str">
        <f t="shared" si="2"/>
        <v>54.546739,36.286637</v>
      </c>
      <c r="T1184" s="12"/>
    </row>
    <row r="1185">
      <c r="A1185" s="15" t="s">
        <v>7758</v>
      </c>
      <c r="B1185" s="16" t="s">
        <v>7759</v>
      </c>
      <c r="C1185" s="16" t="s">
        <v>7760</v>
      </c>
      <c r="D1185" s="16" t="s">
        <v>16</v>
      </c>
      <c r="E1185" s="17" t="s">
        <v>7761</v>
      </c>
      <c r="F1185" s="16" t="s">
        <v>6724</v>
      </c>
      <c r="G1185" s="16">
        <v>23.61</v>
      </c>
      <c r="H1185" s="16"/>
      <c r="I1185" s="16"/>
      <c r="J1185" s="16" t="s">
        <v>7762</v>
      </c>
      <c r="K1185" s="16" t="s">
        <v>7763</v>
      </c>
      <c r="L1185" s="16"/>
      <c r="M1185" s="16"/>
      <c r="N1185" s="12"/>
      <c r="O1185" s="12"/>
      <c r="P1185" s="13">
        <f>IFERROR(__xludf.DUMMYFUNCTION("VALUE(SUBSTITUTE((INDEX(SPLIT(A1185,"",""),1)),""."","","",1))"),54.512105)</f>
        <v>54.512105</v>
      </c>
      <c r="Q1185" s="13">
        <f>IFERROR(__xludf.DUMMYFUNCTION("VALUE(SUBSTITUTE((INDEX(SPLIT(A1185,"",""),2)),""."","","",1))"),36.287248)</f>
        <v>36.287248</v>
      </c>
      <c r="R1185" s="14" t="b">
        <f t="shared" si="1"/>
        <v>0</v>
      </c>
      <c r="S1185" s="14" t="str">
        <f t="shared" si="2"/>
        <v>54.512105,36.287248</v>
      </c>
      <c r="T1185" s="12"/>
    </row>
    <row r="1186">
      <c r="A1186" s="7" t="s">
        <v>7764</v>
      </c>
      <c r="B1186" s="8" t="s">
        <v>7765</v>
      </c>
      <c r="C1186" s="8" t="s">
        <v>7766</v>
      </c>
      <c r="D1186" s="8" t="s">
        <v>16</v>
      </c>
      <c r="E1186" s="9" t="s">
        <v>7767</v>
      </c>
      <c r="F1186" s="10" t="s">
        <v>6724</v>
      </c>
      <c r="G1186" s="8">
        <v>23.61</v>
      </c>
      <c r="H1186" s="8"/>
      <c r="I1186" s="10"/>
      <c r="J1186" s="10" t="s">
        <v>7768</v>
      </c>
      <c r="K1186" s="10" t="s">
        <v>7769</v>
      </c>
      <c r="L1186" s="11" t="s">
        <v>7770</v>
      </c>
      <c r="M1186" s="10"/>
      <c r="N1186" s="12"/>
      <c r="O1186" s="12"/>
      <c r="P1186" s="13">
        <f>IFERROR(__xludf.DUMMYFUNCTION("VALUE(SUBSTITUTE((INDEX(SPLIT(A1186,"",""),1)),""."","","",1))"),54.461488)</f>
        <v>54.461488</v>
      </c>
      <c r="Q1186" s="13">
        <f>IFERROR(__xludf.DUMMYFUNCTION("VALUE(SUBSTITUTE((INDEX(SPLIT(A1186,"",""),2)),""."","","",1))"),36.299034)</f>
        <v>36.299034</v>
      </c>
      <c r="R1186" s="14" t="b">
        <f t="shared" si="1"/>
        <v>0</v>
      </c>
      <c r="S1186" s="14" t="str">
        <f t="shared" si="2"/>
        <v>54.461488,36.299034</v>
      </c>
      <c r="T1186" s="12"/>
    </row>
    <row r="1187">
      <c r="A1187" s="15" t="s">
        <v>7771</v>
      </c>
      <c r="B1187" s="16" t="s">
        <v>7772</v>
      </c>
      <c r="C1187" s="16" t="s">
        <v>7773</v>
      </c>
      <c r="D1187" s="16" t="s">
        <v>16</v>
      </c>
      <c r="E1187" s="17" t="s">
        <v>7774</v>
      </c>
      <c r="F1187" s="16" t="s">
        <v>6724</v>
      </c>
      <c r="G1187" s="16">
        <v>23.61</v>
      </c>
      <c r="H1187" s="16"/>
      <c r="I1187" s="16"/>
      <c r="J1187" s="16" t="s">
        <v>7775</v>
      </c>
      <c r="K1187" s="16" t="s">
        <v>7776</v>
      </c>
      <c r="L1187" s="16"/>
      <c r="M1187" s="16"/>
      <c r="N1187" s="12"/>
      <c r="O1187" s="12"/>
      <c r="P1187" s="13">
        <f>IFERROR(__xludf.DUMMYFUNCTION("VALUE(SUBSTITUTE((INDEX(SPLIT(A1187,"",""),1)),""."","","",1))"),54.505576)</f>
        <v>54.505576</v>
      </c>
      <c r="Q1187" s="13">
        <f>IFERROR(__xludf.DUMMYFUNCTION("VALUE(SUBSTITUTE((INDEX(SPLIT(A1187,"",""),2)),""."","","",1))"),36.30154)</f>
        <v>36.30154</v>
      </c>
      <c r="R1187" s="14" t="b">
        <f t="shared" si="1"/>
        <v>0</v>
      </c>
      <c r="S1187" s="14" t="str">
        <f t="shared" si="2"/>
        <v>54.505576,36.30154</v>
      </c>
      <c r="T1187" s="12"/>
    </row>
    <row r="1188">
      <c r="A1188" s="18" t="s">
        <v>7777</v>
      </c>
      <c r="B1188" s="8" t="s">
        <v>7778</v>
      </c>
      <c r="C1188" s="8" t="s">
        <v>7779</v>
      </c>
      <c r="D1188" s="8" t="s">
        <v>16</v>
      </c>
      <c r="E1188" s="19" t="s">
        <v>7780</v>
      </c>
      <c r="F1188" s="8" t="s">
        <v>6724</v>
      </c>
      <c r="G1188" s="8">
        <v>23.61</v>
      </c>
      <c r="H1188" s="8"/>
      <c r="I1188" s="8"/>
      <c r="J1188" s="8" t="s">
        <v>7781</v>
      </c>
      <c r="K1188" s="8" t="s">
        <v>7782</v>
      </c>
      <c r="L1188" s="8"/>
      <c r="M1188" s="8"/>
      <c r="N1188" s="12"/>
      <c r="O1188" s="12"/>
      <c r="P1188" s="13">
        <f>IFERROR(__xludf.DUMMYFUNCTION("VALUE(SUBSTITUTE((INDEX(SPLIT(A1188,"",""),1)),""."","","",1))"),54.503396)</f>
        <v>54.503396</v>
      </c>
      <c r="Q1188" s="13">
        <f>IFERROR(__xludf.DUMMYFUNCTION("VALUE(SUBSTITUTE((INDEX(SPLIT(A1188,"",""),2)),""."","","",1))"),36.303041)</f>
        <v>36.303041</v>
      </c>
      <c r="R1188" s="14" t="b">
        <f t="shared" si="1"/>
        <v>0</v>
      </c>
      <c r="S1188" s="14" t="str">
        <f t="shared" si="2"/>
        <v>54.503396,36.303041</v>
      </c>
      <c r="T1188" s="12"/>
    </row>
    <row r="1189">
      <c r="A1189" s="15" t="s">
        <v>7783</v>
      </c>
      <c r="B1189" s="16" t="s">
        <v>7784</v>
      </c>
      <c r="C1189" s="16" t="s">
        <v>7785</v>
      </c>
      <c r="D1189" s="16" t="s">
        <v>16</v>
      </c>
      <c r="E1189" s="17" t="s">
        <v>7786</v>
      </c>
      <c r="F1189" s="16" t="s">
        <v>6724</v>
      </c>
      <c r="G1189" s="16">
        <v>23.61</v>
      </c>
      <c r="H1189" s="16"/>
      <c r="I1189" s="16"/>
      <c r="J1189" s="16" t="s">
        <v>7787</v>
      </c>
      <c r="K1189" s="16" t="s">
        <v>7788</v>
      </c>
      <c r="L1189" s="16"/>
      <c r="M1189" s="16"/>
      <c r="N1189" s="12"/>
      <c r="O1189" s="12"/>
      <c r="P1189" s="13">
        <f>IFERROR(__xludf.DUMMYFUNCTION("VALUE(SUBSTITUTE((INDEX(SPLIT(A1189,"",""),1)),""."","","",1))"),54.516443)</f>
        <v>54.516443</v>
      </c>
      <c r="Q1189" s="13">
        <f>IFERROR(__xludf.DUMMYFUNCTION("VALUE(SUBSTITUTE((INDEX(SPLIT(A1189,"",""),2)),""."","","",1))"),36.335739)</f>
        <v>36.335739</v>
      </c>
      <c r="R1189" s="14" t="b">
        <f t="shared" si="1"/>
        <v>0</v>
      </c>
      <c r="S1189" s="14" t="str">
        <f t="shared" si="2"/>
        <v>54.516443,36.335739</v>
      </c>
      <c r="T1189" s="12"/>
    </row>
    <row r="1190">
      <c r="A1190" s="7" t="s">
        <v>7789</v>
      </c>
      <c r="B1190" s="8" t="s">
        <v>7790</v>
      </c>
      <c r="C1190" s="8" t="s">
        <v>7791</v>
      </c>
      <c r="D1190" s="8" t="s">
        <v>16</v>
      </c>
      <c r="E1190" s="9" t="s">
        <v>7792</v>
      </c>
      <c r="F1190" s="10" t="s">
        <v>4881</v>
      </c>
      <c r="G1190" s="8">
        <v>23.61</v>
      </c>
      <c r="H1190" s="8"/>
      <c r="I1190" s="10"/>
      <c r="J1190" s="10" t="s">
        <v>7793</v>
      </c>
      <c r="K1190" s="10" t="s">
        <v>7794</v>
      </c>
      <c r="L1190" s="11" t="s">
        <v>7795</v>
      </c>
      <c r="M1190" s="11" t="s">
        <v>7796</v>
      </c>
      <c r="N1190" s="12"/>
      <c r="O1190" s="12"/>
      <c r="P1190" s="13">
        <f>IFERROR(__xludf.DUMMYFUNCTION("VALUE(SUBSTITUTE((INDEX(SPLIT(A1190,"",""),1)),""."","","",1))"),45.273894)</f>
        <v>45.273894</v>
      </c>
      <c r="Q1190" s="13">
        <f>IFERROR(__xludf.DUMMYFUNCTION("VALUE(SUBSTITUTE((INDEX(SPLIT(A1190,"",""),2)),""."","","",1))"),36.405224)</f>
        <v>36.405224</v>
      </c>
      <c r="R1190" s="14" t="b">
        <f t="shared" si="1"/>
        <v>0</v>
      </c>
      <c r="S1190" s="14" t="str">
        <f t="shared" si="2"/>
        <v>45.273894,36.405224</v>
      </c>
      <c r="T1190" s="12"/>
    </row>
    <row r="1191">
      <c r="A1191" s="15" t="s">
        <v>7797</v>
      </c>
      <c r="B1191" s="16" t="s">
        <v>7798</v>
      </c>
      <c r="C1191" s="16" t="s">
        <v>7799</v>
      </c>
      <c r="D1191" s="16" t="s">
        <v>16</v>
      </c>
      <c r="E1191" s="17" t="s">
        <v>7800</v>
      </c>
      <c r="F1191" s="16" t="s">
        <v>3883</v>
      </c>
      <c r="G1191" s="16">
        <v>23.61</v>
      </c>
      <c r="H1191" s="16"/>
      <c r="I1191" s="16"/>
      <c r="J1191" s="16" t="s">
        <v>7801</v>
      </c>
      <c r="K1191" s="16" t="s">
        <v>7802</v>
      </c>
      <c r="L1191" s="16"/>
      <c r="M1191" s="16"/>
      <c r="N1191" s="12"/>
      <c r="O1191" s="12"/>
      <c r="P1191" s="13">
        <f>IFERROR(__xludf.DUMMYFUNCTION("VALUE(SUBSTITUTE((INDEX(SPLIT(A1191,"",""),1)),""."","","",1))"),55.944314)</f>
        <v>55.944314</v>
      </c>
      <c r="Q1191" s="13">
        <f>IFERROR(__xludf.DUMMYFUNCTION("VALUE(SUBSTITUTE((INDEX(SPLIT(A1191,"",""),2)),""."","","",1))"),36.407084)</f>
        <v>36.407084</v>
      </c>
      <c r="R1191" s="14" t="b">
        <f t="shared" si="1"/>
        <v>0</v>
      </c>
      <c r="S1191" s="14" t="str">
        <f t="shared" si="2"/>
        <v>55.944314,36.407084</v>
      </c>
      <c r="T1191" s="12"/>
    </row>
    <row r="1192">
      <c r="A1192" s="18" t="s">
        <v>7797</v>
      </c>
      <c r="B1192" s="8" t="s">
        <v>7803</v>
      </c>
      <c r="C1192" s="8" t="s">
        <v>7804</v>
      </c>
      <c r="D1192" s="8" t="s">
        <v>16</v>
      </c>
      <c r="E1192" s="19" t="s">
        <v>7805</v>
      </c>
      <c r="F1192" s="8" t="s">
        <v>3883</v>
      </c>
      <c r="G1192" s="8">
        <v>23.61</v>
      </c>
      <c r="H1192" s="8"/>
      <c r="I1192" s="8"/>
      <c r="J1192" s="8" t="s">
        <v>7806</v>
      </c>
      <c r="K1192" s="8" t="s">
        <v>7807</v>
      </c>
      <c r="L1192" s="8"/>
      <c r="M1192" s="24" t="s">
        <v>7808</v>
      </c>
      <c r="N1192" s="12"/>
      <c r="O1192" s="12"/>
      <c r="P1192" s="13">
        <f>IFERROR(__xludf.DUMMYFUNCTION("VALUE(SUBSTITUTE((INDEX(SPLIT(A1192,"",""),1)),""."","","",1))"),55.944314)</f>
        <v>55.944314</v>
      </c>
      <c r="Q1192" s="13">
        <f>IFERROR(__xludf.DUMMYFUNCTION("VALUE(SUBSTITUTE((INDEX(SPLIT(A1192,"",""),2)),""."","","",1))"),36.407084)</f>
        <v>36.407084</v>
      </c>
      <c r="R1192" s="14" t="b">
        <f t="shared" si="1"/>
        <v>0</v>
      </c>
      <c r="S1192" s="14" t="str">
        <f t="shared" si="2"/>
        <v>55.944314,36.407084</v>
      </c>
      <c r="T1192" s="12"/>
    </row>
    <row r="1193">
      <c r="A1193" s="20" t="s">
        <v>7809</v>
      </c>
      <c r="B1193" s="16" t="s">
        <v>7810</v>
      </c>
      <c r="C1193" s="16" t="s">
        <v>7811</v>
      </c>
      <c r="D1193" s="16" t="s">
        <v>16</v>
      </c>
      <c r="E1193" s="21" t="s">
        <v>7812</v>
      </c>
      <c r="F1193" s="22" t="s">
        <v>3760</v>
      </c>
      <c r="G1193" s="16">
        <v>23.61</v>
      </c>
      <c r="H1193" s="16"/>
      <c r="I1193" s="22"/>
      <c r="J1193" s="22" t="s">
        <v>7813</v>
      </c>
      <c r="K1193" s="22" t="s">
        <v>7814</v>
      </c>
      <c r="L1193" s="23" t="s">
        <v>7815</v>
      </c>
      <c r="M1193" s="22"/>
      <c r="N1193" s="12"/>
      <c r="O1193" s="12"/>
      <c r="P1193" s="13">
        <f>IFERROR(__xludf.DUMMYFUNCTION("VALUE(SUBSTITUTE((INDEX(SPLIT(A1193,"",""),1)),""."","","",1))"),55.643658)</f>
        <v>55.643658</v>
      </c>
      <c r="Q1193" s="13">
        <f>IFERROR(__xludf.DUMMYFUNCTION("VALUE(SUBSTITUTE((INDEX(SPLIT(A1193,"",""),2)),""."","","",1))"),36.426676)</f>
        <v>36.426676</v>
      </c>
      <c r="R1193" s="14" t="b">
        <f t="shared" si="1"/>
        <v>0</v>
      </c>
      <c r="S1193" s="14" t="str">
        <f t="shared" si="2"/>
        <v>55.643658,36.426676</v>
      </c>
      <c r="T1193" s="12"/>
    </row>
    <row r="1194">
      <c r="A1194" s="7" t="s">
        <v>7816</v>
      </c>
      <c r="B1194" s="8" t="s">
        <v>7817</v>
      </c>
      <c r="C1194" s="8" t="s">
        <v>7818</v>
      </c>
      <c r="D1194" s="8" t="s">
        <v>16</v>
      </c>
      <c r="E1194" s="9" t="s">
        <v>7819</v>
      </c>
      <c r="F1194" s="10" t="s">
        <v>3760</v>
      </c>
      <c r="G1194" s="8">
        <v>23.61</v>
      </c>
      <c r="H1194" s="8"/>
      <c r="I1194" s="10"/>
      <c r="J1194" s="10" t="s">
        <v>7820</v>
      </c>
      <c r="K1194" s="10" t="s">
        <v>7821</v>
      </c>
      <c r="L1194" s="11" t="s">
        <v>7822</v>
      </c>
      <c r="M1194" s="10"/>
      <c r="N1194" s="12"/>
      <c r="O1194" s="12"/>
      <c r="P1194" s="13">
        <f>IFERROR(__xludf.DUMMYFUNCTION("VALUE(SUBSTITUTE((INDEX(SPLIT(A1194,"",""),1)),""."","","",1))"),55.580141)</f>
        <v>55.580141</v>
      </c>
      <c r="Q1194" s="13">
        <f>IFERROR(__xludf.DUMMYFUNCTION("VALUE(SUBSTITUTE((INDEX(SPLIT(A1194,"",""),2)),""."","","",1))"),36.44042)</f>
        <v>36.44042</v>
      </c>
      <c r="R1194" s="14" t="b">
        <f t="shared" si="1"/>
        <v>0</v>
      </c>
      <c r="S1194" s="14" t="str">
        <f t="shared" si="2"/>
        <v>55.580141,36.44042</v>
      </c>
      <c r="T1194" s="12"/>
    </row>
    <row r="1195">
      <c r="A1195" s="20" t="s">
        <v>7823</v>
      </c>
      <c r="B1195" s="16" t="s">
        <v>89</v>
      </c>
      <c r="C1195" s="16" t="s">
        <v>90</v>
      </c>
      <c r="D1195" s="16" t="s">
        <v>16</v>
      </c>
      <c r="E1195" s="21" t="s">
        <v>7824</v>
      </c>
      <c r="F1195" s="22" t="s">
        <v>4327</v>
      </c>
      <c r="G1195" s="16">
        <v>23.61</v>
      </c>
      <c r="H1195" s="16"/>
      <c r="I1195" s="22"/>
      <c r="J1195" s="22" t="s">
        <v>7825</v>
      </c>
      <c r="K1195" s="22" t="s">
        <v>7826</v>
      </c>
      <c r="L1195" s="23" t="s">
        <v>7827</v>
      </c>
      <c r="M1195" s="22"/>
      <c r="N1195" s="12"/>
      <c r="O1195" s="12"/>
      <c r="P1195" s="13">
        <f>IFERROR(__xludf.DUMMYFUNCTION("VALUE(SUBSTITUTE((INDEX(SPLIT(A1195,"",""),1)),""."","","",1))"),50.677223)</f>
        <v>50.677223</v>
      </c>
      <c r="Q1195" s="13">
        <f>IFERROR(__xludf.DUMMYFUNCTION("VALUE(SUBSTITUTE((INDEX(SPLIT(A1195,"",""),2)),""."","","",1))"),36.450742)</f>
        <v>36.450742</v>
      </c>
      <c r="R1195" s="14" t="b">
        <f t="shared" si="1"/>
        <v>0</v>
      </c>
      <c r="S1195" s="14" t="str">
        <f t="shared" si="2"/>
        <v>50.677223,36.450742</v>
      </c>
      <c r="T1195" s="12"/>
    </row>
    <row r="1196">
      <c r="A1196" s="7" t="s">
        <v>7828</v>
      </c>
      <c r="B1196" s="8" t="s">
        <v>7829</v>
      </c>
      <c r="C1196" s="8" t="s">
        <v>7830</v>
      </c>
      <c r="D1196" s="8" t="s">
        <v>16</v>
      </c>
      <c r="E1196" s="9" t="s">
        <v>7831</v>
      </c>
      <c r="F1196" s="10" t="s">
        <v>3760</v>
      </c>
      <c r="G1196" s="8">
        <v>23.61</v>
      </c>
      <c r="H1196" s="8"/>
      <c r="I1196" s="10"/>
      <c r="J1196" s="10" t="s">
        <v>7832</v>
      </c>
      <c r="K1196" s="10" t="s">
        <v>7833</v>
      </c>
      <c r="L1196" s="11" t="s">
        <v>7834</v>
      </c>
      <c r="M1196" s="10"/>
      <c r="N1196" s="12"/>
      <c r="O1196" s="12"/>
      <c r="P1196" s="13">
        <f>IFERROR(__xludf.DUMMYFUNCTION("VALUE(SUBSTITUTE((INDEX(SPLIT(A1196,"",""),1)),""."","","",1))"),55.597378)</f>
        <v>55.597378</v>
      </c>
      <c r="Q1196" s="13">
        <f>IFERROR(__xludf.DUMMYFUNCTION("VALUE(SUBSTITUTE((INDEX(SPLIT(A1196,"",""),2)),""."","","",1))"),36.467046)</f>
        <v>36.467046</v>
      </c>
      <c r="R1196" s="14" t="b">
        <f t="shared" si="1"/>
        <v>0</v>
      </c>
      <c r="S1196" s="14" t="str">
        <f t="shared" si="2"/>
        <v>55.597378,36.467046</v>
      </c>
      <c r="T1196" s="12"/>
    </row>
    <row r="1197">
      <c r="A1197" s="15" t="s">
        <v>7835</v>
      </c>
      <c r="B1197" s="16" t="s">
        <v>7836</v>
      </c>
      <c r="C1197" s="16" t="s">
        <v>7837</v>
      </c>
      <c r="D1197" s="16" t="s">
        <v>16</v>
      </c>
      <c r="E1197" s="17" t="s">
        <v>7838</v>
      </c>
      <c r="F1197" s="16" t="s">
        <v>3760</v>
      </c>
      <c r="G1197" s="16">
        <v>23.61</v>
      </c>
      <c r="H1197" s="16"/>
      <c r="I1197" s="16"/>
      <c r="J1197" s="16" t="s">
        <v>7839</v>
      </c>
      <c r="K1197" s="16" t="s">
        <v>7840</v>
      </c>
      <c r="L1197" s="16"/>
      <c r="M1197" s="16"/>
      <c r="N1197" s="12"/>
      <c r="O1197" s="12"/>
      <c r="P1197" s="13">
        <f>IFERROR(__xludf.DUMMYFUNCTION("VALUE(SUBSTITUTE((INDEX(SPLIT(A1197,"",""),1)),""."","","",1))"),55.602978)</f>
        <v>55.602978</v>
      </c>
      <c r="Q1197" s="13">
        <f>IFERROR(__xludf.DUMMYFUNCTION("VALUE(SUBSTITUTE((INDEX(SPLIT(A1197,"",""),2)),""."","","",1))"),36.4686)</f>
        <v>36.4686</v>
      </c>
      <c r="R1197" s="14" t="b">
        <f t="shared" si="1"/>
        <v>0</v>
      </c>
      <c r="S1197" s="14" t="str">
        <f t="shared" si="2"/>
        <v>55.602978,36.4686</v>
      </c>
      <c r="T1197" s="12"/>
    </row>
    <row r="1198">
      <c r="A1198" s="7" t="s">
        <v>7841</v>
      </c>
      <c r="B1198" s="8" t="s">
        <v>7842</v>
      </c>
      <c r="C1198" s="8" t="s">
        <v>7843</v>
      </c>
      <c r="D1198" s="8" t="s">
        <v>16</v>
      </c>
      <c r="E1198" s="9" t="s">
        <v>7844</v>
      </c>
      <c r="F1198" s="10" t="s">
        <v>4881</v>
      </c>
      <c r="G1198" s="8">
        <v>23.61</v>
      </c>
      <c r="H1198" s="8"/>
      <c r="I1198" s="10"/>
      <c r="J1198" s="10" t="s">
        <v>7845</v>
      </c>
      <c r="K1198" s="10" t="s">
        <v>7846</v>
      </c>
      <c r="L1198" s="11" t="s">
        <v>7847</v>
      </c>
      <c r="M1198" s="10"/>
      <c r="N1198" s="12"/>
      <c r="O1198" s="12"/>
      <c r="P1198" s="13">
        <f>IFERROR(__xludf.DUMMYFUNCTION("VALUE(SUBSTITUTE((INDEX(SPLIT(A1198,"",""),1)),""."","","",1))"),45.3548)</f>
        <v>45.3548</v>
      </c>
      <c r="Q1198" s="13">
        <f>IFERROR(__xludf.DUMMYFUNCTION("VALUE(SUBSTITUTE((INDEX(SPLIT(A1198,"",""),2)),""."","","",1))"),36.469238)</f>
        <v>36.469238</v>
      </c>
      <c r="R1198" s="14" t="b">
        <f t="shared" si="1"/>
        <v>0</v>
      </c>
      <c r="S1198" s="14" t="str">
        <f t="shared" si="2"/>
        <v>45.3548,36.469238</v>
      </c>
      <c r="T1198" s="12"/>
    </row>
    <row r="1199">
      <c r="A1199" s="20" t="s">
        <v>7848</v>
      </c>
      <c r="B1199" s="16" t="s">
        <v>7849</v>
      </c>
      <c r="C1199" s="16" t="s">
        <v>7850</v>
      </c>
      <c r="D1199" s="16" t="s">
        <v>16</v>
      </c>
      <c r="E1199" s="21" t="s">
        <v>7851</v>
      </c>
      <c r="F1199" s="22" t="s">
        <v>4881</v>
      </c>
      <c r="G1199" s="16">
        <v>23.61</v>
      </c>
      <c r="H1199" s="16"/>
      <c r="I1199" s="22"/>
      <c r="J1199" s="22" t="s">
        <v>7852</v>
      </c>
      <c r="K1199" s="22" t="s">
        <v>7853</v>
      </c>
      <c r="L1199" s="23" t="s">
        <v>7854</v>
      </c>
      <c r="M1199" s="22"/>
      <c r="N1199" s="12"/>
      <c r="O1199" s="12"/>
      <c r="P1199" s="13">
        <f>IFERROR(__xludf.DUMMYFUNCTION("VALUE(SUBSTITUTE((INDEX(SPLIT(A1199,"",""),1)),""."","","",1))"),45.355789)</f>
        <v>45.355789</v>
      </c>
      <c r="Q1199" s="13">
        <f>IFERROR(__xludf.DUMMYFUNCTION("VALUE(SUBSTITUTE((INDEX(SPLIT(A1199,"",""),2)),""."","","",1))"),36.470325)</f>
        <v>36.470325</v>
      </c>
      <c r="R1199" s="14" t="b">
        <f t="shared" si="1"/>
        <v>0</v>
      </c>
      <c r="S1199" s="14" t="str">
        <f t="shared" si="2"/>
        <v>45.355789,36.470325</v>
      </c>
      <c r="T1199" s="12"/>
    </row>
    <row r="1200">
      <c r="A1200" s="18" t="s">
        <v>7855</v>
      </c>
      <c r="B1200" s="8" t="s">
        <v>7856</v>
      </c>
      <c r="C1200" s="8" t="s">
        <v>7857</v>
      </c>
      <c r="D1200" s="8" t="s">
        <v>16</v>
      </c>
      <c r="E1200" s="19" t="s">
        <v>7858</v>
      </c>
      <c r="F1200" s="8" t="s">
        <v>3760</v>
      </c>
      <c r="G1200" s="8">
        <v>23.61</v>
      </c>
      <c r="H1200" s="8"/>
      <c r="I1200" s="8"/>
      <c r="J1200" s="8" t="s">
        <v>7859</v>
      </c>
      <c r="K1200" s="8" t="s">
        <v>7860</v>
      </c>
      <c r="L1200" s="8"/>
      <c r="M1200" s="8"/>
      <c r="N1200" s="12"/>
      <c r="O1200" s="12"/>
      <c r="P1200" s="13">
        <f>IFERROR(__xludf.DUMMYFUNCTION("VALUE(SUBSTITUTE((INDEX(SPLIT(A1200,"",""),1)),""."","","",1))"),55.996591)</f>
        <v>55.996591</v>
      </c>
      <c r="Q1200" s="13">
        <f>IFERROR(__xludf.DUMMYFUNCTION("VALUE(SUBSTITUTE((INDEX(SPLIT(A1200,"",""),2)),""."","","",1))"),36.475364)</f>
        <v>36.475364</v>
      </c>
      <c r="R1200" s="14" t="b">
        <f t="shared" si="1"/>
        <v>0</v>
      </c>
      <c r="S1200" s="14" t="str">
        <f t="shared" si="2"/>
        <v>55.996591,36.475364</v>
      </c>
      <c r="T1200" s="12"/>
    </row>
    <row r="1201">
      <c r="A1201" s="15" t="s">
        <v>7861</v>
      </c>
      <c r="B1201" s="16" t="s">
        <v>7862</v>
      </c>
      <c r="C1201" s="16" t="s">
        <v>7863</v>
      </c>
      <c r="D1201" s="16" t="s">
        <v>16</v>
      </c>
      <c r="E1201" s="17" t="s">
        <v>7864</v>
      </c>
      <c r="F1201" s="16" t="s">
        <v>3760</v>
      </c>
      <c r="G1201" s="16">
        <v>23.61</v>
      </c>
      <c r="H1201" s="16"/>
      <c r="I1201" s="16"/>
      <c r="J1201" s="16" t="s">
        <v>7865</v>
      </c>
      <c r="K1201" s="16" t="s">
        <v>7866</v>
      </c>
      <c r="L1201" s="16"/>
      <c r="M1201" s="16"/>
      <c r="N1201" s="12"/>
      <c r="O1201" s="12"/>
      <c r="P1201" s="13">
        <f>IFERROR(__xludf.DUMMYFUNCTION("VALUE(SUBSTITUTE((INDEX(SPLIT(A1201,"",""),1)),""."","","",1))"),55.599448)</f>
        <v>55.599448</v>
      </c>
      <c r="Q1201" s="13">
        <f>IFERROR(__xludf.DUMMYFUNCTION("VALUE(SUBSTITUTE((INDEX(SPLIT(A1201,"",""),2)),""."","","",1))"),36.476389)</f>
        <v>36.476389</v>
      </c>
      <c r="R1201" s="14" t="b">
        <f t="shared" si="1"/>
        <v>0</v>
      </c>
      <c r="S1201" s="14" t="str">
        <f t="shared" si="2"/>
        <v>55.599448,36.476389</v>
      </c>
      <c r="T1201" s="12"/>
    </row>
    <row r="1202">
      <c r="A1202" s="7" t="s">
        <v>7867</v>
      </c>
      <c r="B1202" s="8" t="s">
        <v>7868</v>
      </c>
      <c r="C1202" s="8" t="s">
        <v>7869</v>
      </c>
      <c r="D1202" s="8" t="s">
        <v>16</v>
      </c>
      <c r="E1202" s="9" t="s">
        <v>7870</v>
      </c>
      <c r="F1202" s="10" t="s">
        <v>6724</v>
      </c>
      <c r="G1202" s="8">
        <v>23.61</v>
      </c>
      <c r="H1202" s="8"/>
      <c r="I1202" s="10"/>
      <c r="J1202" s="10" t="s">
        <v>7871</v>
      </c>
      <c r="K1202" s="10" t="s">
        <v>7872</v>
      </c>
      <c r="L1202" s="11" t="s">
        <v>7873</v>
      </c>
      <c r="M1202" s="10"/>
      <c r="N1202" s="12"/>
      <c r="O1202" s="12"/>
      <c r="P1202" s="13">
        <f>IFERROR(__xludf.DUMMYFUNCTION("VALUE(SUBSTITUTE((INDEX(SPLIT(A1202,"",""),1)),""."","","",1))"),55.142648)</f>
        <v>55.142648</v>
      </c>
      <c r="Q1202" s="13">
        <f>IFERROR(__xludf.DUMMYFUNCTION("VALUE(SUBSTITUTE((INDEX(SPLIT(A1202,"",""),2)),""."","","",1))"),36.479685)</f>
        <v>36.479685</v>
      </c>
      <c r="R1202" s="14" t="b">
        <f t="shared" si="1"/>
        <v>0</v>
      </c>
      <c r="S1202" s="14" t="str">
        <f t="shared" si="2"/>
        <v>55.142648,36.479685</v>
      </c>
      <c r="T1202" s="12"/>
    </row>
    <row r="1203">
      <c r="A1203" s="20" t="s">
        <v>7874</v>
      </c>
      <c r="B1203" s="16" t="s">
        <v>7875</v>
      </c>
      <c r="C1203" s="16" t="s">
        <v>7876</v>
      </c>
      <c r="D1203" s="16" t="s">
        <v>16</v>
      </c>
      <c r="E1203" s="21" t="s">
        <v>7877</v>
      </c>
      <c r="F1203" s="22" t="s">
        <v>4327</v>
      </c>
      <c r="G1203" s="16">
        <v>23.61</v>
      </c>
      <c r="H1203" s="16"/>
      <c r="I1203" s="22"/>
      <c r="J1203" s="22" t="s">
        <v>7878</v>
      </c>
      <c r="K1203" s="22" t="s">
        <v>7879</v>
      </c>
      <c r="L1203" s="23" t="s">
        <v>7880</v>
      </c>
      <c r="M1203" s="22"/>
      <c r="N1203" s="12"/>
      <c r="O1203" s="12"/>
      <c r="P1203" s="13">
        <f>IFERROR(__xludf.DUMMYFUNCTION("VALUE(SUBSTITUTE((INDEX(SPLIT(A1203,"",""),1)),""."","","",1))"),50.784597)</f>
        <v>50.784597</v>
      </c>
      <c r="Q1203" s="13">
        <f>IFERROR(__xludf.DUMMYFUNCTION("VALUE(SUBSTITUTE((INDEX(SPLIT(A1203,"",""),2)),""."","","",1))"),36.480018)</f>
        <v>36.480018</v>
      </c>
      <c r="R1203" s="14" t="b">
        <f t="shared" si="1"/>
        <v>0</v>
      </c>
      <c r="S1203" s="14" t="str">
        <f t="shared" si="2"/>
        <v>50.784597,36.480018</v>
      </c>
      <c r="T1203" s="12"/>
    </row>
    <row r="1204">
      <c r="A1204" s="18" t="s">
        <v>7874</v>
      </c>
      <c r="B1204" s="8" t="s">
        <v>7881</v>
      </c>
      <c r="C1204" s="8" t="s">
        <v>7882</v>
      </c>
      <c r="D1204" s="8" t="s">
        <v>16</v>
      </c>
      <c r="E1204" s="19" t="s">
        <v>7883</v>
      </c>
      <c r="F1204" s="8" t="s">
        <v>4327</v>
      </c>
      <c r="G1204" s="8">
        <v>23.61</v>
      </c>
      <c r="H1204" s="8"/>
      <c r="I1204" s="8"/>
      <c r="J1204" s="8" t="s">
        <v>7884</v>
      </c>
      <c r="K1204" s="8" t="s">
        <v>7885</v>
      </c>
      <c r="L1204" s="8"/>
      <c r="M1204" s="8"/>
      <c r="N1204" s="12"/>
      <c r="O1204" s="12"/>
      <c r="P1204" s="13">
        <f>IFERROR(__xludf.DUMMYFUNCTION("VALUE(SUBSTITUTE((INDEX(SPLIT(A1204,"",""),1)),""."","","",1))"),50.784597)</f>
        <v>50.784597</v>
      </c>
      <c r="Q1204" s="13">
        <f>IFERROR(__xludf.DUMMYFUNCTION("VALUE(SUBSTITUTE((INDEX(SPLIT(A1204,"",""),2)),""."","","",1))"),36.480018)</f>
        <v>36.480018</v>
      </c>
      <c r="R1204" s="14" t="b">
        <f t="shared" si="1"/>
        <v>0</v>
      </c>
      <c r="S1204" s="14" t="str">
        <f t="shared" si="2"/>
        <v>50.784597,36.480018</v>
      </c>
      <c r="T1204" s="12"/>
    </row>
    <row r="1205">
      <c r="A1205" s="15" t="s">
        <v>7886</v>
      </c>
      <c r="B1205" s="16" t="s">
        <v>7887</v>
      </c>
      <c r="C1205" s="16" t="s">
        <v>7888</v>
      </c>
      <c r="D1205" s="16" t="s">
        <v>16</v>
      </c>
      <c r="E1205" s="17" t="s">
        <v>7889</v>
      </c>
      <c r="F1205" s="16" t="s">
        <v>3760</v>
      </c>
      <c r="G1205" s="16">
        <v>23.61</v>
      </c>
      <c r="H1205" s="16"/>
      <c r="I1205" s="16"/>
      <c r="J1205" s="16" t="s">
        <v>7890</v>
      </c>
      <c r="K1205" s="16" t="s">
        <v>7891</v>
      </c>
      <c r="L1205" s="16"/>
      <c r="M1205" s="16"/>
      <c r="N1205" s="12"/>
      <c r="O1205" s="12"/>
      <c r="P1205" s="13">
        <f>IFERROR(__xludf.DUMMYFUNCTION("VALUE(SUBSTITUTE((INDEX(SPLIT(A1205,"",""),1)),""."","","",1))"),55.601223)</f>
        <v>55.601223</v>
      </c>
      <c r="Q1205" s="13">
        <f>IFERROR(__xludf.DUMMYFUNCTION("VALUE(SUBSTITUTE((INDEX(SPLIT(A1205,"",""),2)),""."","","",1))"),36.484213)</f>
        <v>36.484213</v>
      </c>
      <c r="R1205" s="14" t="b">
        <f t="shared" si="1"/>
        <v>0</v>
      </c>
      <c r="S1205" s="14" t="str">
        <f t="shared" si="2"/>
        <v>55.601223,36.484213</v>
      </c>
      <c r="T1205" s="12"/>
    </row>
    <row r="1206">
      <c r="A1206" s="18" t="s">
        <v>7892</v>
      </c>
      <c r="B1206" s="8" t="s">
        <v>7893</v>
      </c>
      <c r="C1206" s="8" t="s">
        <v>7894</v>
      </c>
      <c r="D1206" s="8" t="s">
        <v>16</v>
      </c>
      <c r="E1206" s="19" t="s">
        <v>7895</v>
      </c>
      <c r="F1206" s="8" t="s">
        <v>3760</v>
      </c>
      <c r="G1206" s="8">
        <v>23.61</v>
      </c>
      <c r="H1206" s="8"/>
      <c r="I1206" s="8"/>
      <c r="J1206" s="8" t="s">
        <v>7896</v>
      </c>
      <c r="K1206" s="8" t="s">
        <v>7897</v>
      </c>
      <c r="L1206" s="8"/>
      <c r="M1206" s="24" t="s">
        <v>7898</v>
      </c>
      <c r="N1206" s="12"/>
      <c r="O1206" s="12"/>
      <c r="P1206" s="13">
        <f>IFERROR(__xludf.DUMMYFUNCTION("VALUE(SUBSTITUTE((INDEX(SPLIT(A1206,"",""),1)),""."","","",1))"),55.592596)</f>
        <v>55.592596</v>
      </c>
      <c r="Q1206" s="13">
        <f>IFERROR(__xludf.DUMMYFUNCTION("VALUE(SUBSTITUTE((INDEX(SPLIT(A1206,"",""),2)),""."","","",1))"),36.486351)</f>
        <v>36.486351</v>
      </c>
      <c r="R1206" s="14" t="b">
        <f t="shared" si="1"/>
        <v>0</v>
      </c>
      <c r="S1206" s="14" t="str">
        <f t="shared" si="2"/>
        <v>55.592596,36.486351</v>
      </c>
      <c r="T1206" s="12"/>
    </row>
    <row r="1207">
      <c r="A1207" s="20" t="s">
        <v>7899</v>
      </c>
      <c r="B1207" s="16" t="s">
        <v>969</v>
      </c>
      <c r="C1207" s="16" t="s">
        <v>970</v>
      </c>
      <c r="D1207" s="16" t="s">
        <v>16</v>
      </c>
      <c r="E1207" s="21" t="s">
        <v>7900</v>
      </c>
      <c r="F1207" s="22" t="s">
        <v>3760</v>
      </c>
      <c r="G1207" s="16">
        <v>23.61</v>
      </c>
      <c r="H1207" s="16"/>
      <c r="I1207" s="22"/>
      <c r="J1207" s="22" t="s">
        <v>7901</v>
      </c>
      <c r="K1207" s="22" t="s">
        <v>7902</v>
      </c>
      <c r="L1207" s="23" t="s">
        <v>7903</v>
      </c>
      <c r="M1207" s="22"/>
      <c r="N1207" s="12"/>
      <c r="O1207" s="12"/>
      <c r="P1207" s="13">
        <f>IFERROR(__xludf.DUMMYFUNCTION("VALUE(SUBSTITUTE((INDEX(SPLIT(A1207,"",""),1)),""."","","",1))"),55.988182)</f>
        <v>55.988182</v>
      </c>
      <c r="Q1207" s="13">
        <f>IFERROR(__xludf.DUMMYFUNCTION("VALUE(SUBSTITUTE((INDEX(SPLIT(A1207,"",""),2)),""."","","",1))"),36.486459)</f>
        <v>36.486459</v>
      </c>
      <c r="R1207" s="14" t="b">
        <f t="shared" si="1"/>
        <v>0</v>
      </c>
      <c r="S1207" s="14" t="str">
        <f t="shared" si="2"/>
        <v>55.988182,36.486459</v>
      </c>
      <c r="T1207" s="12"/>
    </row>
    <row r="1208">
      <c r="A1208" s="18" t="s">
        <v>7899</v>
      </c>
      <c r="B1208" s="8" t="s">
        <v>7904</v>
      </c>
      <c r="C1208" s="8" t="s">
        <v>7905</v>
      </c>
      <c r="D1208" s="8" t="s">
        <v>16</v>
      </c>
      <c r="E1208" s="19" t="s">
        <v>7906</v>
      </c>
      <c r="F1208" s="8" t="s">
        <v>3760</v>
      </c>
      <c r="G1208" s="8">
        <v>23.61</v>
      </c>
      <c r="H1208" s="8"/>
      <c r="I1208" s="8"/>
      <c r="J1208" s="8" t="s">
        <v>7907</v>
      </c>
      <c r="K1208" s="8" t="s">
        <v>7908</v>
      </c>
      <c r="L1208" s="8"/>
      <c r="M1208" s="8"/>
      <c r="N1208" s="12"/>
      <c r="O1208" s="12"/>
      <c r="P1208" s="13">
        <f>IFERROR(__xludf.DUMMYFUNCTION("VALUE(SUBSTITUTE((INDEX(SPLIT(A1208,"",""),1)),""."","","",1))"),55.988182)</f>
        <v>55.988182</v>
      </c>
      <c r="Q1208" s="13">
        <f>IFERROR(__xludf.DUMMYFUNCTION("VALUE(SUBSTITUTE((INDEX(SPLIT(A1208,"",""),2)),""."","","",1))"),36.486459)</f>
        <v>36.486459</v>
      </c>
      <c r="R1208" s="14" t="b">
        <f t="shared" si="1"/>
        <v>0</v>
      </c>
      <c r="S1208" s="14" t="str">
        <f t="shared" si="2"/>
        <v>55.988182,36.486459</v>
      </c>
      <c r="T1208" s="12"/>
    </row>
    <row r="1209">
      <c r="A1209" s="15" t="s">
        <v>7899</v>
      </c>
      <c r="B1209" s="16" t="s">
        <v>7909</v>
      </c>
      <c r="C1209" s="16" t="s">
        <v>7910</v>
      </c>
      <c r="D1209" s="16" t="s">
        <v>16</v>
      </c>
      <c r="E1209" s="17" t="s">
        <v>7911</v>
      </c>
      <c r="F1209" s="16" t="s">
        <v>3883</v>
      </c>
      <c r="G1209" s="16">
        <v>23.61</v>
      </c>
      <c r="H1209" s="16"/>
      <c r="I1209" s="16"/>
      <c r="J1209" s="16" t="s">
        <v>7912</v>
      </c>
      <c r="K1209" s="16" t="s">
        <v>7913</v>
      </c>
      <c r="L1209" s="16"/>
      <c r="M1209" s="25" t="s">
        <v>7914</v>
      </c>
      <c r="N1209" s="12"/>
      <c r="O1209" s="12"/>
      <c r="P1209" s="13">
        <f>IFERROR(__xludf.DUMMYFUNCTION("VALUE(SUBSTITUTE((INDEX(SPLIT(A1209,"",""),1)),""."","","",1))"),55.988182)</f>
        <v>55.988182</v>
      </c>
      <c r="Q1209" s="13">
        <f>IFERROR(__xludf.DUMMYFUNCTION("VALUE(SUBSTITUTE((INDEX(SPLIT(A1209,"",""),2)),""."","","",1))"),36.486459)</f>
        <v>36.486459</v>
      </c>
      <c r="R1209" s="14" t="b">
        <f t="shared" si="1"/>
        <v>0</v>
      </c>
      <c r="S1209" s="14" t="str">
        <f t="shared" si="2"/>
        <v>55.988182,36.486459</v>
      </c>
      <c r="T1209" s="12"/>
    </row>
    <row r="1210">
      <c r="A1210" s="18" t="s">
        <v>7915</v>
      </c>
      <c r="B1210" s="8" t="s">
        <v>7916</v>
      </c>
      <c r="C1210" s="8" t="s">
        <v>7917</v>
      </c>
      <c r="D1210" s="8" t="s">
        <v>16</v>
      </c>
      <c r="E1210" s="19" t="s">
        <v>7918</v>
      </c>
      <c r="F1210" s="8" t="s">
        <v>4327</v>
      </c>
      <c r="G1210" s="8">
        <v>23.61</v>
      </c>
      <c r="H1210" s="8"/>
      <c r="I1210" s="8"/>
      <c r="J1210" s="8" t="s">
        <v>7919</v>
      </c>
      <c r="K1210" s="8" t="s">
        <v>7826</v>
      </c>
      <c r="L1210" s="8"/>
      <c r="M1210" s="8"/>
      <c r="N1210" s="12"/>
      <c r="O1210" s="12"/>
      <c r="P1210" s="13">
        <f>IFERROR(__xludf.DUMMYFUNCTION("VALUE(SUBSTITUTE((INDEX(SPLIT(A1210,"",""),1)),""."","","",1))"),50.59076)</f>
        <v>50.59076</v>
      </c>
      <c r="Q1210" s="13">
        <f>IFERROR(__xludf.DUMMYFUNCTION("VALUE(SUBSTITUTE((INDEX(SPLIT(A1210,"",""),2)),""."","","",1))"),36.489926)</f>
        <v>36.489926</v>
      </c>
      <c r="R1210" s="14" t="b">
        <f t="shared" si="1"/>
        <v>0</v>
      </c>
      <c r="S1210" s="14" t="str">
        <f t="shared" si="2"/>
        <v>50.59076,36.489926</v>
      </c>
      <c r="T1210" s="12"/>
    </row>
    <row r="1211">
      <c r="A1211" s="20" t="s">
        <v>7920</v>
      </c>
      <c r="B1211" s="16" t="s">
        <v>7921</v>
      </c>
      <c r="C1211" s="16" t="s">
        <v>7922</v>
      </c>
      <c r="D1211" s="16" t="s">
        <v>16</v>
      </c>
      <c r="E1211" s="21" t="s">
        <v>7923</v>
      </c>
      <c r="F1211" s="22" t="s">
        <v>3760</v>
      </c>
      <c r="G1211" s="16">
        <v>23.61</v>
      </c>
      <c r="H1211" s="16"/>
      <c r="I1211" s="22"/>
      <c r="J1211" s="22" t="s">
        <v>7924</v>
      </c>
      <c r="K1211" s="22" t="s">
        <v>7925</v>
      </c>
      <c r="L1211" s="23" t="s">
        <v>7926</v>
      </c>
      <c r="M1211" s="22"/>
      <c r="N1211" s="12"/>
      <c r="O1211" s="12"/>
      <c r="P1211" s="13">
        <f>IFERROR(__xludf.DUMMYFUNCTION("VALUE(SUBSTITUTE((INDEX(SPLIT(A1211,"",""),1)),""."","","",1))"),55.582324)</f>
        <v>55.582324</v>
      </c>
      <c r="Q1211" s="13">
        <f>IFERROR(__xludf.DUMMYFUNCTION("VALUE(SUBSTITUTE((INDEX(SPLIT(A1211,"",""),2)),""."","","",1))"),36.491166)</f>
        <v>36.491166</v>
      </c>
      <c r="R1211" s="14" t="b">
        <f t="shared" si="1"/>
        <v>0</v>
      </c>
      <c r="S1211" s="14" t="str">
        <f t="shared" si="2"/>
        <v>55.582324,36.491166</v>
      </c>
      <c r="T1211" s="12"/>
    </row>
    <row r="1212">
      <c r="A1212" s="18" t="s">
        <v>7927</v>
      </c>
      <c r="B1212" s="8" t="s">
        <v>7928</v>
      </c>
      <c r="C1212" s="8" t="s">
        <v>7929</v>
      </c>
      <c r="D1212" s="8" t="s">
        <v>16</v>
      </c>
      <c r="E1212" s="19" t="s">
        <v>7930</v>
      </c>
      <c r="F1212" s="8" t="s">
        <v>3760</v>
      </c>
      <c r="G1212" s="8">
        <v>23.61</v>
      </c>
      <c r="H1212" s="8"/>
      <c r="I1212" s="8"/>
      <c r="J1212" s="8" t="s">
        <v>7931</v>
      </c>
      <c r="K1212" s="8" t="s">
        <v>7932</v>
      </c>
      <c r="L1212" s="8"/>
      <c r="M1212" s="8"/>
      <c r="N1212" s="12"/>
      <c r="O1212" s="12"/>
      <c r="P1212" s="13">
        <f>IFERROR(__xludf.DUMMYFUNCTION("VALUE(SUBSTITUTE((INDEX(SPLIT(A1212,"",""),1)),""."","","",1))"),55.584823)</f>
        <v>55.584823</v>
      </c>
      <c r="Q1212" s="13">
        <f>IFERROR(__xludf.DUMMYFUNCTION("VALUE(SUBSTITUTE((INDEX(SPLIT(A1212,"",""),2)),""."","","",1))"),36.492172)</f>
        <v>36.492172</v>
      </c>
      <c r="R1212" s="14" t="b">
        <f t="shared" si="1"/>
        <v>0</v>
      </c>
      <c r="S1212" s="14" t="str">
        <f t="shared" si="2"/>
        <v>55.584823,36.492172</v>
      </c>
      <c r="T1212" s="12"/>
    </row>
    <row r="1213">
      <c r="A1213" s="15" t="s">
        <v>7927</v>
      </c>
      <c r="B1213" s="16" t="s">
        <v>7933</v>
      </c>
      <c r="C1213" s="16" t="s">
        <v>7934</v>
      </c>
      <c r="D1213" s="16" t="s">
        <v>16</v>
      </c>
      <c r="E1213" s="17" t="s">
        <v>7935</v>
      </c>
      <c r="F1213" s="16" t="s">
        <v>3883</v>
      </c>
      <c r="G1213" s="16">
        <v>23.61</v>
      </c>
      <c r="H1213" s="16"/>
      <c r="I1213" s="16"/>
      <c r="J1213" s="16" t="s">
        <v>7936</v>
      </c>
      <c r="K1213" s="16" t="s">
        <v>7937</v>
      </c>
      <c r="L1213" s="16"/>
      <c r="M1213" s="16"/>
      <c r="N1213" s="12"/>
      <c r="O1213" s="12"/>
      <c r="P1213" s="13">
        <f>IFERROR(__xludf.DUMMYFUNCTION("VALUE(SUBSTITUTE((INDEX(SPLIT(A1213,"",""),1)),""."","","",1))"),55.584823)</f>
        <v>55.584823</v>
      </c>
      <c r="Q1213" s="13">
        <f>IFERROR(__xludf.DUMMYFUNCTION("VALUE(SUBSTITUTE((INDEX(SPLIT(A1213,"",""),2)),""."","","",1))"),36.492172)</f>
        <v>36.492172</v>
      </c>
      <c r="R1213" s="14" t="b">
        <f t="shared" si="1"/>
        <v>0</v>
      </c>
      <c r="S1213" s="14" t="str">
        <f t="shared" si="2"/>
        <v>55.584823,36.492172</v>
      </c>
      <c r="T1213" s="12"/>
    </row>
    <row r="1214">
      <c r="A1214" s="18" t="s">
        <v>7938</v>
      </c>
      <c r="B1214" s="8" t="s">
        <v>7939</v>
      </c>
      <c r="C1214" s="8" t="s">
        <v>7940</v>
      </c>
      <c r="D1214" s="8" t="s">
        <v>16</v>
      </c>
      <c r="E1214" s="19" t="s">
        <v>7941</v>
      </c>
      <c r="F1214" s="8" t="s">
        <v>3760</v>
      </c>
      <c r="G1214" s="8">
        <v>23.61</v>
      </c>
      <c r="H1214" s="8"/>
      <c r="I1214" s="8"/>
      <c r="J1214" s="8" t="s">
        <v>7942</v>
      </c>
      <c r="K1214" s="8" t="s">
        <v>7943</v>
      </c>
      <c r="L1214" s="8"/>
      <c r="M1214" s="24" t="s">
        <v>5164</v>
      </c>
      <c r="N1214" s="12"/>
      <c r="O1214" s="12"/>
      <c r="P1214" s="13">
        <f>IFERROR(__xludf.DUMMYFUNCTION("VALUE(SUBSTITUTE((INDEX(SPLIT(A1214,"",""),1)),""."","","",1))"),55.577505)</f>
        <v>55.577505</v>
      </c>
      <c r="Q1214" s="13">
        <f>IFERROR(__xludf.DUMMYFUNCTION("VALUE(SUBSTITUTE((INDEX(SPLIT(A1214,"",""),2)),""."","","",1))"),36.498658)</f>
        <v>36.498658</v>
      </c>
      <c r="R1214" s="14" t="b">
        <f t="shared" si="1"/>
        <v>0</v>
      </c>
      <c r="S1214" s="14" t="str">
        <f t="shared" si="2"/>
        <v>55.577505,36.498658</v>
      </c>
      <c r="T1214" s="12"/>
    </row>
    <row r="1215">
      <c r="A1215" s="20" t="s">
        <v>7944</v>
      </c>
      <c r="B1215" s="16" t="s">
        <v>7945</v>
      </c>
      <c r="C1215" s="16" t="s">
        <v>7946</v>
      </c>
      <c r="D1215" s="16" t="s">
        <v>16</v>
      </c>
      <c r="E1215" s="21" t="s">
        <v>7947</v>
      </c>
      <c r="F1215" s="22" t="s">
        <v>4881</v>
      </c>
      <c r="G1215" s="16">
        <v>23.61</v>
      </c>
      <c r="H1215" s="16"/>
      <c r="I1215" s="22"/>
      <c r="J1215" s="22" t="s">
        <v>7948</v>
      </c>
      <c r="K1215" s="22" t="s">
        <v>7949</v>
      </c>
      <c r="L1215" s="23" t="s">
        <v>7112</v>
      </c>
      <c r="M1215" s="23" t="s">
        <v>7950</v>
      </c>
      <c r="N1215" s="12"/>
      <c r="O1215" s="12"/>
      <c r="P1215" s="13">
        <f>IFERROR(__xludf.DUMMYFUNCTION("VALUE(SUBSTITUTE((INDEX(SPLIT(A1215,"",""),1)),""."","","",1))"),45.366212)</f>
        <v>45.366212</v>
      </c>
      <c r="Q1215" s="13">
        <f>IFERROR(__xludf.DUMMYFUNCTION("VALUE(SUBSTITUTE((INDEX(SPLIT(A1215,"",""),2)),""."","","",1))"),36.533234)</f>
        <v>36.533234</v>
      </c>
      <c r="R1215" s="14" t="b">
        <f t="shared" si="1"/>
        <v>0</v>
      </c>
      <c r="S1215" s="14" t="str">
        <f t="shared" si="2"/>
        <v>45.366212,36.533234</v>
      </c>
      <c r="T1215" s="12"/>
    </row>
    <row r="1216">
      <c r="A1216" s="18" t="s">
        <v>7951</v>
      </c>
      <c r="B1216" s="8" t="s">
        <v>7952</v>
      </c>
      <c r="C1216" s="8" t="s">
        <v>7953</v>
      </c>
      <c r="D1216" s="8" t="s">
        <v>16</v>
      </c>
      <c r="E1216" s="19" t="s">
        <v>7954</v>
      </c>
      <c r="F1216" s="8" t="s">
        <v>4327</v>
      </c>
      <c r="G1216" s="8">
        <v>23.61</v>
      </c>
      <c r="H1216" s="8"/>
      <c r="I1216" s="8"/>
      <c r="J1216" s="8" t="s">
        <v>7955</v>
      </c>
      <c r="K1216" s="8" t="s">
        <v>7956</v>
      </c>
      <c r="L1216" s="8"/>
      <c r="M1216" s="8"/>
      <c r="N1216" s="12"/>
      <c r="O1216" s="12"/>
      <c r="P1216" s="13">
        <f>IFERROR(__xludf.DUMMYFUNCTION("VALUE(SUBSTITUTE((INDEX(SPLIT(A1216,"",""),1)),""."","","",1))"),50.546895)</f>
        <v>50.546895</v>
      </c>
      <c r="Q1216" s="13">
        <f>IFERROR(__xludf.DUMMYFUNCTION("VALUE(SUBSTITUTE((INDEX(SPLIT(A1216,"",""),2)),""."","","",1))"),36.541193)</f>
        <v>36.541193</v>
      </c>
      <c r="R1216" s="14" t="b">
        <f t="shared" si="1"/>
        <v>0</v>
      </c>
      <c r="S1216" s="14" t="str">
        <f t="shared" si="2"/>
        <v>50.546895,36.541193</v>
      </c>
      <c r="T1216" s="12"/>
    </row>
    <row r="1217">
      <c r="A1217" s="15" t="s">
        <v>7957</v>
      </c>
      <c r="B1217" s="16" t="s">
        <v>7958</v>
      </c>
      <c r="C1217" s="16" t="s">
        <v>7959</v>
      </c>
      <c r="D1217" s="16" t="s">
        <v>16</v>
      </c>
      <c r="E1217" s="17" t="s">
        <v>7960</v>
      </c>
      <c r="F1217" s="16" t="s">
        <v>3760</v>
      </c>
      <c r="G1217" s="16">
        <v>23.61</v>
      </c>
      <c r="H1217" s="16"/>
      <c r="I1217" s="16"/>
      <c r="J1217" s="16" t="s">
        <v>7961</v>
      </c>
      <c r="K1217" s="16" t="s">
        <v>7962</v>
      </c>
      <c r="L1217" s="16"/>
      <c r="M1217" s="25" t="s">
        <v>7963</v>
      </c>
      <c r="N1217" s="12"/>
      <c r="O1217" s="12"/>
      <c r="P1217" s="13">
        <f>IFERROR(__xludf.DUMMYFUNCTION("VALUE(SUBSTITUTE((INDEX(SPLIT(A1217,"",""),1)),""."","","",1))"),55.670229)</f>
        <v>55.670229</v>
      </c>
      <c r="Q1217" s="13">
        <f>IFERROR(__xludf.DUMMYFUNCTION("VALUE(SUBSTITUTE((INDEX(SPLIT(A1217,"",""),2)),""."","","",1))"),36.542936)</f>
        <v>36.542936</v>
      </c>
      <c r="R1217" s="14" t="b">
        <f t="shared" si="1"/>
        <v>0</v>
      </c>
      <c r="S1217" s="14" t="str">
        <f t="shared" si="2"/>
        <v>55.670229,36.542936</v>
      </c>
      <c r="T1217" s="12"/>
    </row>
    <row r="1218">
      <c r="A1218" s="18" t="s">
        <v>7964</v>
      </c>
      <c r="B1218" s="8" t="s">
        <v>7965</v>
      </c>
      <c r="C1218" s="8" t="s">
        <v>7966</v>
      </c>
      <c r="D1218" s="8" t="s">
        <v>16</v>
      </c>
      <c r="E1218" s="19" t="s">
        <v>7967</v>
      </c>
      <c r="F1218" s="8" t="s">
        <v>4327</v>
      </c>
      <c r="G1218" s="8">
        <v>23.61</v>
      </c>
      <c r="H1218" s="8"/>
      <c r="I1218" s="8"/>
      <c r="J1218" s="8" t="s">
        <v>7968</v>
      </c>
      <c r="K1218" s="8" t="s">
        <v>7969</v>
      </c>
      <c r="L1218" s="8"/>
      <c r="M1218" s="24" t="s">
        <v>7970</v>
      </c>
      <c r="N1218" s="12"/>
      <c r="O1218" s="12"/>
      <c r="P1218" s="13">
        <f>IFERROR(__xludf.DUMMYFUNCTION("VALUE(SUBSTITUTE((INDEX(SPLIT(A1218,"",""),1)),""."","","",1))"),50.624881)</f>
        <v>50.624881</v>
      </c>
      <c r="Q1218" s="13">
        <f>IFERROR(__xludf.DUMMYFUNCTION("VALUE(SUBSTITUTE((INDEX(SPLIT(A1218,"",""),2)),""."","","",1))"),36.549808)</f>
        <v>36.549808</v>
      </c>
      <c r="R1218" s="14" t="b">
        <f t="shared" si="1"/>
        <v>0</v>
      </c>
      <c r="S1218" s="14" t="str">
        <f t="shared" si="2"/>
        <v>50.624881,36.549808</v>
      </c>
      <c r="T1218" s="12"/>
    </row>
    <row r="1219">
      <c r="A1219" s="20" t="s">
        <v>7971</v>
      </c>
      <c r="B1219" s="16" t="s">
        <v>7972</v>
      </c>
      <c r="C1219" s="16" t="s">
        <v>7973</v>
      </c>
      <c r="D1219" s="16" t="s">
        <v>16</v>
      </c>
      <c r="E1219" s="21" t="s">
        <v>7974</v>
      </c>
      <c r="F1219" s="22" t="s">
        <v>4327</v>
      </c>
      <c r="G1219" s="16">
        <v>23.61</v>
      </c>
      <c r="H1219" s="16"/>
      <c r="I1219" s="22"/>
      <c r="J1219" s="22" t="s">
        <v>7975</v>
      </c>
      <c r="K1219" s="22" t="s">
        <v>7976</v>
      </c>
      <c r="L1219" s="23" t="s">
        <v>7977</v>
      </c>
      <c r="M1219" s="23" t="s">
        <v>7978</v>
      </c>
      <c r="N1219" s="12"/>
      <c r="O1219" s="12"/>
      <c r="P1219" s="13">
        <f>IFERROR(__xludf.DUMMYFUNCTION("VALUE(SUBSTITUTE((INDEX(SPLIT(A1219,"",""),1)),""."","","",1))"),50.607472)</f>
        <v>50.607472</v>
      </c>
      <c r="Q1219" s="13">
        <f>IFERROR(__xludf.DUMMYFUNCTION("VALUE(SUBSTITUTE((INDEX(SPLIT(A1219,"",""),2)),""."","","",1))"),36.550553)</f>
        <v>36.550553</v>
      </c>
      <c r="R1219" s="14" t="b">
        <f t="shared" si="1"/>
        <v>0</v>
      </c>
      <c r="S1219" s="14" t="str">
        <f t="shared" si="2"/>
        <v>50.607472,36.550553</v>
      </c>
      <c r="T1219" s="12"/>
    </row>
    <row r="1220">
      <c r="A1220" s="7" t="s">
        <v>7971</v>
      </c>
      <c r="B1220" s="8" t="s">
        <v>7979</v>
      </c>
      <c r="C1220" s="8" t="s">
        <v>7980</v>
      </c>
      <c r="D1220" s="8" t="s">
        <v>16</v>
      </c>
      <c r="E1220" s="9" t="s">
        <v>7981</v>
      </c>
      <c r="F1220" s="10" t="s">
        <v>4327</v>
      </c>
      <c r="G1220" s="8">
        <v>23.61</v>
      </c>
      <c r="H1220" s="8"/>
      <c r="I1220" s="10"/>
      <c r="J1220" s="10" t="s">
        <v>7982</v>
      </c>
      <c r="K1220" s="10" t="s">
        <v>7976</v>
      </c>
      <c r="L1220" s="11" t="s">
        <v>7977</v>
      </c>
      <c r="M1220" s="10"/>
      <c r="N1220" s="12"/>
      <c r="O1220" s="12"/>
      <c r="P1220" s="13">
        <f>IFERROR(__xludf.DUMMYFUNCTION("VALUE(SUBSTITUTE((INDEX(SPLIT(A1220,"",""),1)),""."","","",1))"),50.607472)</f>
        <v>50.607472</v>
      </c>
      <c r="Q1220" s="13">
        <f>IFERROR(__xludf.DUMMYFUNCTION("VALUE(SUBSTITUTE((INDEX(SPLIT(A1220,"",""),2)),""."","","",1))"),36.550553)</f>
        <v>36.550553</v>
      </c>
      <c r="R1220" s="14" t="b">
        <f t="shared" si="1"/>
        <v>0</v>
      </c>
      <c r="S1220" s="14" t="str">
        <f t="shared" si="2"/>
        <v>50.607472,36.550553</v>
      </c>
      <c r="T1220" s="12"/>
    </row>
    <row r="1221">
      <c r="A1221" s="20" t="s">
        <v>7983</v>
      </c>
      <c r="B1221" s="16" t="s">
        <v>7984</v>
      </c>
      <c r="C1221" s="16" t="s">
        <v>7985</v>
      </c>
      <c r="D1221" s="16" t="s">
        <v>16</v>
      </c>
      <c r="E1221" s="21" t="s">
        <v>7986</v>
      </c>
      <c r="F1221" s="22" t="s">
        <v>4327</v>
      </c>
      <c r="G1221" s="16">
        <v>23.61</v>
      </c>
      <c r="H1221" s="16"/>
      <c r="I1221" s="22"/>
      <c r="J1221" s="22" t="s">
        <v>7987</v>
      </c>
      <c r="K1221" s="22" t="s">
        <v>7988</v>
      </c>
      <c r="L1221" s="23" t="s">
        <v>7989</v>
      </c>
      <c r="M1221" s="22"/>
      <c r="N1221" s="12"/>
      <c r="O1221" s="12"/>
      <c r="P1221" s="13">
        <f>IFERROR(__xludf.DUMMYFUNCTION("VALUE(SUBSTITUTE((INDEX(SPLIT(A1221,"",""),1)),""."","","",1))"),50.604408)</f>
        <v>50.604408</v>
      </c>
      <c r="Q1221" s="13">
        <f>IFERROR(__xludf.DUMMYFUNCTION("VALUE(SUBSTITUTE((INDEX(SPLIT(A1221,"",""),2)),""."","","",1))"),36.554883)</f>
        <v>36.554883</v>
      </c>
      <c r="R1221" s="14" t="b">
        <f t="shared" si="1"/>
        <v>0</v>
      </c>
      <c r="S1221" s="14" t="str">
        <f t="shared" si="2"/>
        <v>50.604408,36.554883</v>
      </c>
      <c r="T1221" s="12"/>
    </row>
    <row r="1222">
      <c r="A1222" s="7" t="s">
        <v>7990</v>
      </c>
      <c r="B1222" s="8" t="s">
        <v>7991</v>
      </c>
      <c r="C1222" s="8" t="s">
        <v>7992</v>
      </c>
      <c r="D1222" s="8" t="s">
        <v>16</v>
      </c>
      <c r="E1222" s="9" t="s">
        <v>7993</v>
      </c>
      <c r="F1222" s="10" t="s">
        <v>4327</v>
      </c>
      <c r="G1222" s="8">
        <v>23.61</v>
      </c>
      <c r="H1222" s="8"/>
      <c r="I1222" s="10"/>
      <c r="J1222" s="10" t="s">
        <v>7994</v>
      </c>
      <c r="K1222" s="10" t="s">
        <v>7995</v>
      </c>
      <c r="L1222" s="11" t="s">
        <v>7996</v>
      </c>
      <c r="M1222" s="10"/>
      <c r="N1222" s="12"/>
      <c r="O1222" s="12"/>
      <c r="P1222" s="13">
        <f>IFERROR(__xludf.DUMMYFUNCTION("VALUE(SUBSTITUTE((INDEX(SPLIT(A1222,"",""),1)),""."","","",1))"),50.636068)</f>
        <v>50.636068</v>
      </c>
      <c r="Q1222" s="13">
        <f>IFERROR(__xludf.DUMMYFUNCTION("VALUE(SUBSTITUTE((INDEX(SPLIT(A1222,"",""),2)),""."","","",1))"),36.555126)</f>
        <v>36.555126</v>
      </c>
      <c r="R1222" s="14" t="b">
        <f t="shared" si="1"/>
        <v>0</v>
      </c>
      <c r="S1222" s="14" t="str">
        <f t="shared" si="2"/>
        <v>50.636068,36.555126</v>
      </c>
      <c r="T1222" s="12"/>
    </row>
    <row r="1223">
      <c r="A1223" s="20" t="s">
        <v>7997</v>
      </c>
      <c r="B1223" s="16" t="s">
        <v>7998</v>
      </c>
      <c r="C1223" s="16" t="s">
        <v>7999</v>
      </c>
      <c r="D1223" s="16" t="s">
        <v>16</v>
      </c>
      <c r="E1223" s="21" t="s">
        <v>8000</v>
      </c>
      <c r="F1223" s="22" t="s">
        <v>4327</v>
      </c>
      <c r="G1223" s="16">
        <v>23.61</v>
      </c>
      <c r="H1223" s="16"/>
      <c r="I1223" s="22"/>
      <c r="J1223" s="22" t="s">
        <v>8001</v>
      </c>
      <c r="K1223" s="22" t="s">
        <v>8002</v>
      </c>
      <c r="L1223" s="23" t="s">
        <v>8003</v>
      </c>
      <c r="M1223" s="22"/>
      <c r="N1223" s="12"/>
      <c r="O1223" s="12"/>
      <c r="P1223" s="13">
        <f>IFERROR(__xludf.DUMMYFUNCTION("VALUE(SUBSTITUTE((INDEX(SPLIT(A1223,"",""),1)),""."","","",1))"),50.618629)</f>
        <v>50.618629</v>
      </c>
      <c r="Q1223" s="13">
        <f>IFERROR(__xludf.DUMMYFUNCTION("VALUE(SUBSTITUTE((INDEX(SPLIT(A1223,"",""),2)),""."","","",1))"),36.561154)</f>
        <v>36.561154</v>
      </c>
      <c r="R1223" s="14" t="b">
        <f t="shared" si="1"/>
        <v>0</v>
      </c>
      <c r="S1223" s="14" t="str">
        <f t="shared" si="2"/>
        <v>50.618629,36.561154</v>
      </c>
      <c r="T1223" s="12"/>
    </row>
    <row r="1224">
      <c r="A1224" s="18" t="s">
        <v>8004</v>
      </c>
      <c r="B1224" s="8" t="s">
        <v>8005</v>
      </c>
      <c r="C1224" s="8" t="s">
        <v>8006</v>
      </c>
      <c r="D1224" s="8" t="s">
        <v>16</v>
      </c>
      <c r="E1224" s="19" t="s">
        <v>8007</v>
      </c>
      <c r="F1224" s="8" t="s">
        <v>4327</v>
      </c>
      <c r="G1224" s="8">
        <v>23.61</v>
      </c>
      <c r="H1224" s="8"/>
      <c r="I1224" s="8"/>
      <c r="J1224" s="8" t="s">
        <v>8008</v>
      </c>
      <c r="K1224" s="8" t="s">
        <v>8009</v>
      </c>
      <c r="L1224" s="8"/>
      <c r="M1224" s="8"/>
      <c r="N1224" s="12"/>
      <c r="O1224" s="12"/>
      <c r="P1224" s="13">
        <f>IFERROR(__xludf.DUMMYFUNCTION("VALUE(SUBSTITUTE((INDEX(SPLIT(A1224,"",""),1)),""."","","",1))"),50.576741)</f>
        <v>50.576741</v>
      </c>
      <c r="Q1224" s="13">
        <f>IFERROR(__xludf.DUMMYFUNCTION("VALUE(SUBSTITUTE((INDEX(SPLIT(A1224,"",""),2)),""."","","",1))"),36.562178)</f>
        <v>36.562178</v>
      </c>
      <c r="R1224" s="14" t="b">
        <f t="shared" si="1"/>
        <v>0</v>
      </c>
      <c r="S1224" s="14" t="str">
        <f t="shared" si="2"/>
        <v>50.576741,36.562178</v>
      </c>
      <c r="T1224" s="12"/>
    </row>
    <row r="1225">
      <c r="A1225" s="15" t="s">
        <v>8010</v>
      </c>
      <c r="B1225" s="16" t="s">
        <v>8011</v>
      </c>
      <c r="C1225" s="16" t="s">
        <v>8012</v>
      </c>
      <c r="D1225" s="16" t="s">
        <v>16</v>
      </c>
      <c r="E1225" s="17" t="s">
        <v>8013</v>
      </c>
      <c r="F1225" s="16" t="s">
        <v>4327</v>
      </c>
      <c r="G1225" s="16">
        <v>23.61</v>
      </c>
      <c r="H1225" s="16"/>
      <c r="I1225" s="16"/>
      <c r="J1225" s="16" t="s">
        <v>8014</v>
      </c>
      <c r="K1225" s="16" t="s">
        <v>8015</v>
      </c>
      <c r="L1225" s="16"/>
      <c r="M1225" s="16"/>
      <c r="N1225" s="12"/>
      <c r="O1225" s="12"/>
      <c r="P1225" s="13">
        <f>IFERROR(__xludf.DUMMYFUNCTION("VALUE(SUBSTITUTE((INDEX(SPLIT(A1225,"",""),1)),""."","","",1))"),50.612416)</f>
        <v>50.612416</v>
      </c>
      <c r="Q1225" s="13">
        <f>IFERROR(__xludf.DUMMYFUNCTION("VALUE(SUBSTITUTE((INDEX(SPLIT(A1225,"",""),2)),""."","","",1))"),36.56242)</f>
        <v>36.56242</v>
      </c>
      <c r="R1225" s="14" t="b">
        <f t="shared" si="1"/>
        <v>0</v>
      </c>
      <c r="S1225" s="14" t="str">
        <f t="shared" si="2"/>
        <v>50.612416,36.56242</v>
      </c>
      <c r="T1225" s="12"/>
    </row>
    <row r="1226">
      <c r="A1226" s="18" t="s">
        <v>8016</v>
      </c>
      <c r="B1226" s="8" t="s">
        <v>8017</v>
      </c>
      <c r="C1226" s="8" t="s">
        <v>8018</v>
      </c>
      <c r="D1226" s="8" t="s">
        <v>16</v>
      </c>
      <c r="E1226" s="19" t="s">
        <v>8019</v>
      </c>
      <c r="F1226" s="8" t="s">
        <v>4327</v>
      </c>
      <c r="G1226" s="8">
        <v>23.61</v>
      </c>
      <c r="H1226" s="8"/>
      <c r="I1226" s="8"/>
      <c r="J1226" s="8" t="s">
        <v>8020</v>
      </c>
      <c r="K1226" s="8" t="s">
        <v>8021</v>
      </c>
      <c r="L1226" s="8"/>
      <c r="M1226" s="8"/>
      <c r="N1226" s="12"/>
      <c r="O1226" s="12"/>
      <c r="P1226" s="13">
        <f>IFERROR(__xludf.DUMMYFUNCTION("VALUE(SUBSTITUTE((INDEX(SPLIT(A1226,"",""),1)),""."","","",1))"),50.541618)</f>
        <v>50.541618</v>
      </c>
      <c r="Q1226" s="13">
        <f>IFERROR(__xludf.DUMMYFUNCTION("VALUE(SUBSTITUTE((INDEX(SPLIT(A1226,"",""),2)),""."","","",1))"),36.568708)</f>
        <v>36.568708</v>
      </c>
      <c r="R1226" s="14" t="b">
        <f t="shared" si="1"/>
        <v>0</v>
      </c>
      <c r="S1226" s="14" t="str">
        <f t="shared" si="2"/>
        <v>50.541618,36.568708</v>
      </c>
      <c r="T1226" s="12"/>
    </row>
    <row r="1227">
      <c r="A1227" s="15" t="s">
        <v>8022</v>
      </c>
      <c r="B1227" s="16" t="s">
        <v>8023</v>
      </c>
      <c r="C1227" s="16" t="s">
        <v>8024</v>
      </c>
      <c r="D1227" s="16" t="s">
        <v>16</v>
      </c>
      <c r="E1227" s="17" t="s">
        <v>8025</v>
      </c>
      <c r="F1227" s="16" t="s">
        <v>4327</v>
      </c>
      <c r="G1227" s="16">
        <v>23.61</v>
      </c>
      <c r="H1227" s="16"/>
      <c r="I1227" s="16"/>
      <c r="J1227" s="16" t="s">
        <v>8026</v>
      </c>
      <c r="K1227" s="16" t="s">
        <v>8027</v>
      </c>
      <c r="L1227" s="16"/>
      <c r="M1227" s="16"/>
      <c r="N1227" s="12"/>
      <c r="O1227" s="12"/>
      <c r="P1227" s="13">
        <f>IFERROR(__xludf.DUMMYFUNCTION("VALUE(SUBSTITUTE((INDEX(SPLIT(A1227,"",""),1)),""."","","",1))"),50.63268)</f>
        <v>50.63268</v>
      </c>
      <c r="Q1227" s="13">
        <f>IFERROR(__xludf.DUMMYFUNCTION("VALUE(SUBSTITUTE((INDEX(SPLIT(A1227,"",""),2)),""."","","",1))"),36.568924)</f>
        <v>36.568924</v>
      </c>
      <c r="R1227" s="14" t="b">
        <f t="shared" si="1"/>
        <v>0</v>
      </c>
      <c r="S1227" s="14" t="str">
        <f t="shared" si="2"/>
        <v>50.63268,36.568924</v>
      </c>
      <c r="T1227" s="12"/>
    </row>
    <row r="1228">
      <c r="A1228" s="7" t="s">
        <v>8028</v>
      </c>
      <c r="B1228" s="8" t="s">
        <v>8029</v>
      </c>
      <c r="C1228" s="8" t="s">
        <v>8030</v>
      </c>
      <c r="D1228" s="8" t="s">
        <v>16</v>
      </c>
      <c r="E1228" s="9" t="s">
        <v>8031</v>
      </c>
      <c r="F1228" s="10" t="s">
        <v>4327</v>
      </c>
      <c r="G1228" s="8">
        <v>23.61</v>
      </c>
      <c r="H1228" s="8"/>
      <c r="I1228" s="10"/>
      <c r="J1228" s="10" t="s">
        <v>8032</v>
      </c>
      <c r="K1228" s="10" t="s">
        <v>8033</v>
      </c>
      <c r="L1228" s="11" t="s">
        <v>8034</v>
      </c>
      <c r="M1228" s="10"/>
      <c r="N1228" s="12"/>
      <c r="O1228" s="12"/>
      <c r="P1228" s="13">
        <f>IFERROR(__xludf.DUMMYFUNCTION("VALUE(SUBSTITUTE((INDEX(SPLIT(A1228,"",""),1)),""."","","",1))"),50.481415)</f>
        <v>50.481415</v>
      </c>
      <c r="Q1228" s="13">
        <f>IFERROR(__xludf.DUMMYFUNCTION("VALUE(SUBSTITUTE((INDEX(SPLIT(A1228,"",""),2)),""."","","",1))"),36.574808)</f>
        <v>36.574808</v>
      </c>
      <c r="R1228" s="14" t="b">
        <f t="shared" si="1"/>
        <v>0</v>
      </c>
      <c r="S1228" s="14" t="str">
        <f t="shared" si="2"/>
        <v>50.481415,36.574808</v>
      </c>
      <c r="T1228" s="12"/>
    </row>
    <row r="1229">
      <c r="A1229" s="20" t="s">
        <v>8035</v>
      </c>
      <c r="B1229" s="16" t="s">
        <v>8036</v>
      </c>
      <c r="C1229" s="16" t="s">
        <v>8037</v>
      </c>
      <c r="D1229" s="16" t="s">
        <v>16</v>
      </c>
      <c r="E1229" s="21" t="s">
        <v>8038</v>
      </c>
      <c r="F1229" s="22" t="s">
        <v>4327</v>
      </c>
      <c r="G1229" s="16">
        <v>23.61</v>
      </c>
      <c r="H1229" s="16"/>
      <c r="I1229" s="22"/>
      <c r="J1229" s="22" t="s">
        <v>8039</v>
      </c>
      <c r="K1229" s="22" t="s">
        <v>8040</v>
      </c>
      <c r="L1229" s="23" t="s">
        <v>8041</v>
      </c>
      <c r="M1229" s="23" t="s">
        <v>8042</v>
      </c>
      <c r="N1229" s="12"/>
      <c r="O1229" s="12"/>
      <c r="P1229" s="13">
        <f>IFERROR(__xludf.DUMMYFUNCTION("VALUE(SUBSTITUTE((INDEX(SPLIT(A1229,"",""),1)),""."","","",1))"),50.615457)</f>
        <v>50.615457</v>
      </c>
      <c r="Q1229" s="13">
        <f>IFERROR(__xludf.DUMMYFUNCTION("VALUE(SUBSTITUTE((INDEX(SPLIT(A1229,"",""),2)),""."","","",1))"),36.576874)</f>
        <v>36.576874</v>
      </c>
      <c r="R1229" s="14" t="b">
        <f t="shared" si="1"/>
        <v>0</v>
      </c>
      <c r="S1229" s="14" t="str">
        <f t="shared" si="2"/>
        <v>50.615457,36.576874</v>
      </c>
      <c r="T1229" s="12"/>
    </row>
    <row r="1230">
      <c r="A1230" s="7" t="s">
        <v>8043</v>
      </c>
      <c r="B1230" s="8" t="s">
        <v>8044</v>
      </c>
      <c r="C1230" s="8" t="s">
        <v>8045</v>
      </c>
      <c r="D1230" s="8" t="s">
        <v>16</v>
      </c>
      <c r="E1230" s="9" t="s">
        <v>8046</v>
      </c>
      <c r="F1230" s="10" t="s">
        <v>6724</v>
      </c>
      <c r="G1230" s="8">
        <v>23.61</v>
      </c>
      <c r="H1230" s="8"/>
      <c r="I1230" s="10"/>
      <c r="J1230" s="10" t="s">
        <v>8047</v>
      </c>
      <c r="K1230" s="10" t="s">
        <v>8048</v>
      </c>
      <c r="L1230" s="11" t="s">
        <v>8049</v>
      </c>
      <c r="M1230" s="10"/>
      <c r="N1230" s="12"/>
      <c r="O1230" s="12"/>
      <c r="P1230" s="13">
        <f>IFERROR(__xludf.DUMMYFUNCTION("VALUE(SUBSTITUTE((INDEX(SPLIT(A1230,"",""),1)),""."","","",1))"),55.11202)</f>
        <v>55.11202</v>
      </c>
      <c r="Q1230" s="13">
        <f>IFERROR(__xludf.DUMMYFUNCTION("VALUE(SUBSTITUTE((INDEX(SPLIT(A1230,"",""),2)),""."","","",1))"),36.586459)</f>
        <v>36.586459</v>
      </c>
      <c r="R1230" s="14" t="b">
        <f t="shared" si="1"/>
        <v>0</v>
      </c>
      <c r="S1230" s="14" t="str">
        <f t="shared" si="2"/>
        <v>55.11202,36.586459</v>
      </c>
      <c r="T1230" s="12"/>
    </row>
    <row r="1231">
      <c r="A1231" s="15" t="s">
        <v>8050</v>
      </c>
      <c r="B1231" s="16" t="s">
        <v>8051</v>
      </c>
      <c r="C1231" s="16" t="s">
        <v>8052</v>
      </c>
      <c r="D1231" s="16" t="s">
        <v>16</v>
      </c>
      <c r="E1231" s="17" t="s">
        <v>8053</v>
      </c>
      <c r="F1231" s="16" t="s">
        <v>6724</v>
      </c>
      <c r="G1231" s="16">
        <v>23.61</v>
      </c>
      <c r="H1231" s="16"/>
      <c r="I1231" s="16"/>
      <c r="J1231" s="16" t="s">
        <v>8054</v>
      </c>
      <c r="K1231" s="16" t="s">
        <v>8055</v>
      </c>
      <c r="L1231" s="16"/>
      <c r="M1231" s="16"/>
      <c r="N1231" s="12"/>
      <c r="O1231" s="12"/>
      <c r="P1231" s="13">
        <f>IFERROR(__xludf.DUMMYFUNCTION("VALUE(SUBSTITUTE((INDEX(SPLIT(A1231,"",""),1)),""."","","",1))"),55.117479)</f>
        <v>55.117479</v>
      </c>
      <c r="Q1231" s="13">
        <f>IFERROR(__xludf.DUMMYFUNCTION("VALUE(SUBSTITUTE((INDEX(SPLIT(A1231,"",""),2)),""."","","",1))"),36.591454)</f>
        <v>36.591454</v>
      </c>
      <c r="R1231" s="14" t="b">
        <f t="shared" si="1"/>
        <v>0</v>
      </c>
      <c r="S1231" s="14" t="str">
        <f t="shared" si="2"/>
        <v>55.117479,36.591454</v>
      </c>
      <c r="T1231" s="12"/>
    </row>
    <row r="1232">
      <c r="A1232" s="7" t="s">
        <v>8056</v>
      </c>
      <c r="B1232" s="8" t="s">
        <v>8057</v>
      </c>
      <c r="C1232" s="8" t="s">
        <v>8058</v>
      </c>
      <c r="D1232" s="8" t="s">
        <v>16</v>
      </c>
      <c r="E1232" s="9" t="s">
        <v>8059</v>
      </c>
      <c r="F1232" s="10" t="s">
        <v>6724</v>
      </c>
      <c r="G1232" s="8">
        <v>23.61</v>
      </c>
      <c r="H1232" s="8"/>
      <c r="I1232" s="10"/>
      <c r="J1232" s="10" t="s">
        <v>8060</v>
      </c>
      <c r="K1232" s="10" t="s">
        <v>8061</v>
      </c>
      <c r="L1232" s="11" t="s">
        <v>8062</v>
      </c>
      <c r="M1232" s="10"/>
      <c r="N1232" s="12"/>
      <c r="O1232" s="12"/>
      <c r="P1232" s="13">
        <f>IFERROR(__xludf.DUMMYFUNCTION("VALUE(SUBSTITUTE((INDEX(SPLIT(A1232,"",""),1)),""."","","",1))"),55.12988)</f>
        <v>55.12988</v>
      </c>
      <c r="Q1232" s="13">
        <f>IFERROR(__xludf.DUMMYFUNCTION("VALUE(SUBSTITUTE((INDEX(SPLIT(A1232,"",""),2)),""."","","",1))"),36.597437)</f>
        <v>36.597437</v>
      </c>
      <c r="R1232" s="14" t="b">
        <f t="shared" si="1"/>
        <v>0</v>
      </c>
      <c r="S1232" s="14" t="str">
        <f t="shared" si="2"/>
        <v>55.12988,36.597437</v>
      </c>
      <c r="T1232" s="12"/>
    </row>
    <row r="1233">
      <c r="A1233" s="15" t="s">
        <v>8063</v>
      </c>
      <c r="B1233" s="16" t="s">
        <v>8064</v>
      </c>
      <c r="C1233" s="16" t="s">
        <v>8065</v>
      </c>
      <c r="D1233" s="16" t="s">
        <v>16</v>
      </c>
      <c r="E1233" s="17" t="s">
        <v>8066</v>
      </c>
      <c r="F1233" s="16" t="s">
        <v>4327</v>
      </c>
      <c r="G1233" s="16">
        <v>23.61</v>
      </c>
      <c r="H1233" s="16"/>
      <c r="I1233" s="16"/>
      <c r="J1233" s="16" t="s">
        <v>8067</v>
      </c>
      <c r="K1233" s="16" t="s">
        <v>8068</v>
      </c>
      <c r="L1233" s="16"/>
      <c r="M1233" s="16"/>
      <c r="N1233" s="12"/>
      <c r="O1233" s="12"/>
      <c r="P1233" s="13">
        <f>IFERROR(__xludf.DUMMYFUNCTION("VALUE(SUBSTITUTE((INDEX(SPLIT(A1233,"",""),1)),""."","","",1))"),50.5914)</f>
        <v>50.5914</v>
      </c>
      <c r="Q1233" s="13">
        <f>IFERROR(__xludf.DUMMYFUNCTION("VALUE(SUBSTITUTE((INDEX(SPLIT(A1233,"",""),2)),""."","","",1))"),36.598029)</f>
        <v>36.598029</v>
      </c>
      <c r="R1233" s="14" t="b">
        <f t="shared" si="1"/>
        <v>0</v>
      </c>
      <c r="S1233" s="14" t="str">
        <f t="shared" si="2"/>
        <v>50.5914,36.598029</v>
      </c>
      <c r="T1233" s="12"/>
    </row>
    <row r="1234">
      <c r="A1234" s="7" t="s">
        <v>8069</v>
      </c>
      <c r="B1234" s="8" t="s">
        <v>8070</v>
      </c>
      <c r="C1234" s="8" t="s">
        <v>8071</v>
      </c>
      <c r="D1234" s="8" t="s">
        <v>16</v>
      </c>
      <c r="E1234" s="9" t="s">
        <v>8072</v>
      </c>
      <c r="F1234" s="10" t="s">
        <v>4327</v>
      </c>
      <c r="G1234" s="8">
        <v>23.61</v>
      </c>
      <c r="H1234" s="8"/>
      <c r="I1234" s="10"/>
      <c r="J1234" s="10" t="s">
        <v>8073</v>
      </c>
      <c r="K1234" s="10" t="s">
        <v>8074</v>
      </c>
      <c r="L1234" s="11" t="s">
        <v>8075</v>
      </c>
      <c r="M1234" s="11" t="s">
        <v>8076</v>
      </c>
      <c r="N1234" s="12"/>
      <c r="O1234" s="12"/>
      <c r="P1234" s="13">
        <f>IFERROR(__xludf.DUMMYFUNCTION("VALUE(SUBSTITUTE((INDEX(SPLIT(A1234,"",""),1)),""."","","",1))"),50.583211)</f>
        <v>50.583211</v>
      </c>
      <c r="Q1234" s="13">
        <f>IFERROR(__xludf.DUMMYFUNCTION("VALUE(SUBSTITUTE((INDEX(SPLIT(A1234,"",""),2)),""."","","",1))"),36.620335)</f>
        <v>36.620335</v>
      </c>
      <c r="R1234" s="14" t="b">
        <f t="shared" si="1"/>
        <v>0</v>
      </c>
      <c r="S1234" s="14" t="str">
        <f t="shared" si="2"/>
        <v>50.583211,36.620335</v>
      </c>
      <c r="T1234" s="12"/>
    </row>
    <row r="1235">
      <c r="A1235" s="20" t="s">
        <v>8077</v>
      </c>
      <c r="B1235" s="16" t="s">
        <v>8078</v>
      </c>
      <c r="C1235" s="16" t="s">
        <v>8079</v>
      </c>
      <c r="D1235" s="16" t="s">
        <v>16</v>
      </c>
      <c r="E1235" s="21" t="s">
        <v>8080</v>
      </c>
      <c r="F1235" s="22" t="s">
        <v>7157</v>
      </c>
      <c r="G1235" s="16">
        <v>23.61</v>
      </c>
      <c r="H1235" s="16"/>
      <c r="I1235" s="22"/>
      <c r="J1235" s="22" t="s">
        <v>8081</v>
      </c>
      <c r="K1235" s="22" t="s">
        <v>8082</v>
      </c>
      <c r="L1235" s="30" t="s">
        <v>8083</v>
      </c>
      <c r="M1235" s="22"/>
      <c r="N1235" s="12"/>
      <c r="O1235" s="12"/>
      <c r="P1235" s="13">
        <f>IFERROR(__xludf.DUMMYFUNCTION("VALUE(SUBSTITUTE((INDEX(SPLIT(A1235,"",""),1)),""."","","",1))"),53.246655)</f>
        <v>53.246655</v>
      </c>
      <c r="Q1235" s="13">
        <f>IFERROR(__xludf.DUMMYFUNCTION("VALUE(SUBSTITUTE((INDEX(SPLIT(A1235,"",""),2)),""."","","",1))"),36.623973)</f>
        <v>36.623973</v>
      </c>
      <c r="R1235" s="14" t="b">
        <f t="shared" si="1"/>
        <v>0</v>
      </c>
      <c r="S1235" s="14" t="str">
        <f t="shared" si="2"/>
        <v>53.246655,36.623973</v>
      </c>
      <c r="T1235" s="12"/>
    </row>
    <row r="1236">
      <c r="A1236" s="7" t="s">
        <v>8084</v>
      </c>
      <c r="B1236" s="8" t="s">
        <v>8085</v>
      </c>
      <c r="C1236" s="8" t="s">
        <v>8086</v>
      </c>
      <c r="D1236" s="8" t="s">
        <v>16</v>
      </c>
      <c r="E1236" s="9" t="s">
        <v>8087</v>
      </c>
      <c r="F1236" s="10" t="s">
        <v>4327</v>
      </c>
      <c r="G1236" s="8">
        <v>23.61</v>
      </c>
      <c r="H1236" s="8"/>
      <c r="I1236" s="10"/>
      <c r="J1236" s="10" t="s">
        <v>8088</v>
      </c>
      <c r="K1236" s="10" t="s">
        <v>8089</v>
      </c>
      <c r="L1236" s="11" t="s">
        <v>8090</v>
      </c>
      <c r="M1236" s="10"/>
      <c r="N1236" s="12"/>
      <c r="O1236" s="12"/>
      <c r="P1236" s="13">
        <f>IFERROR(__xludf.DUMMYFUNCTION("VALUE(SUBSTITUTE((INDEX(SPLIT(A1236,"",""),1)),""."","","",1))"),50.581741)</f>
        <v>50.581741</v>
      </c>
      <c r="Q1236" s="13">
        <f>IFERROR(__xludf.DUMMYFUNCTION("VALUE(SUBSTITUTE((INDEX(SPLIT(A1236,"",""),2)),""."","","",1))"),36.642882)</f>
        <v>36.642882</v>
      </c>
      <c r="R1236" s="14" t="b">
        <f t="shared" si="1"/>
        <v>0</v>
      </c>
      <c r="S1236" s="14" t="str">
        <f t="shared" si="2"/>
        <v>50.581741,36.642882</v>
      </c>
      <c r="T1236" s="12"/>
    </row>
    <row r="1237">
      <c r="A1237" s="15" t="s">
        <v>8091</v>
      </c>
      <c r="B1237" s="16" t="s">
        <v>8092</v>
      </c>
      <c r="C1237" s="16" t="s">
        <v>8093</v>
      </c>
      <c r="D1237" s="16" t="s">
        <v>16</v>
      </c>
      <c r="E1237" s="17" t="s">
        <v>8094</v>
      </c>
      <c r="F1237" s="16" t="s">
        <v>4327</v>
      </c>
      <c r="G1237" s="16">
        <v>23.61</v>
      </c>
      <c r="H1237" s="16"/>
      <c r="I1237" s="16"/>
      <c r="J1237" s="16" t="s">
        <v>8095</v>
      </c>
      <c r="K1237" s="16" t="s">
        <v>8096</v>
      </c>
      <c r="L1237" s="16"/>
      <c r="M1237" s="25" t="s">
        <v>8097</v>
      </c>
      <c r="N1237" s="12"/>
      <c r="O1237" s="12"/>
      <c r="P1237" s="13">
        <f>IFERROR(__xludf.DUMMYFUNCTION("VALUE(SUBSTITUTE((INDEX(SPLIT(A1237,"",""),1)),""."","","",1))"),50.552928)</f>
        <v>50.552928</v>
      </c>
      <c r="Q1237" s="13">
        <f>IFERROR(__xludf.DUMMYFUNCTION("VALUE(SUBSTITUTE((INDEX(SPLIT(A1237,"",""),2)),""."","","",1))"),36.649)</f>
        <v>36.649</v>
      </c>
      <c r="R1237" s="14" t="b">
        <f t="shared" si="1"/>
        <v>0</v>
      </c>
      <c r="S1237" s="14" t="str">
        <f t="shared" si="2"/>
        <v>50.552928,36.649</v>
      </c>
      <c r="T1237" s="12"/>
    </row>
    <row r="1238">
      <c r="A1238" s="18" t="s">
        <v>8098</v>
      </c>
      <c r="B1238" s="8" t="s">
        <v>8099</v>
      </c>
      <c r="C1238" s="8" t="s">
        <v>8100</v>
      </c>
      <c r="D1238" s="8" t="s">
        <v>16</v>
      </c>
      <c r="E1238" s="19" t="s">
        <v>8101</v>
      </c>
      <c r="F1238" s="8" t="s">
        <v>4327</v>
      </c>
      <c r="G1238" s="8">
        <v>23.61</v>
      </c>
      <c r="H1238" s="8"/>
      <c r="I1238" s="8"/>
      <c r="J1238" s="8" t="s">
        <v>8102</v>
      </c>
      <c r="K1238" s="8" t="s">
        <v>8103</v>
      </c>
      <c r="L1238" s="8"/>
      <c r="M1238" s="24" t="s">
        <v>8104</v>
      </c>
      <c r="N1238" s="12"/>
      <c r="O1238" s="12"/>
      <c r="P1238" s="13">
        <f>IFERROR(__xludf.DUMMYFUNCTION("VALUE(SUBSTITUTE((INDEX(SPLIT(A1238,"",""),1)),""."","","",1))"),50.589667)</f>
        <v>50.589667</v>
      </c>
      <c r="Q1238" s="13">
        <f>IFERROR(__xludf.DUMMYFUNCTION("VALUE(SUBSTITUTE((INDEX(SPLIT(A1238,"",""),2)),""."","","",1))"),36.659025)</f>
        <v>36.659025</v>
      </c>
      <c r="R1238" s="14" t="b">
        <f t="shared" si="1"/>
        <v>0</v>
      </c>
      <c r="S1238" s="14" t="str">
        <f t="shared" si="2"/>
        <v>50.589667,36.659025</v>
      </c>
      <c r="T1238" s="12"/>
    </row>
    <row r="1239">
      <c r="A1239" s="20" t="s">
        <v>8105</v>
      </c>
      <c r="B1239" s="16" t="s">
        <v>8106</v>
      </c>
      <c r="C1239" s="16" t="s">
        <v>8107</v>
      </c>
      <c r="D1239" s="16" t="s">
        <v>16</v>
      </c>
      <c r="E1239" s="21" t="s">
        <v>8108</v>
      </c>
      <c r="F1239" s="22" t="s">
        <v>6732</v>
      </c>
      <c r="G1239" s="16">
        <v>23.61</v>
      </c>
      <c r="H1239" s="16"/>
      <c r="I1239" s="22"/>
      <c r="J1239" s="22" t="s">
        <v>8109</v>
      </c>
      <c r="K1239" s="22" t="s">
        <v>8110</v>
      </c>
      <c r="L1239" s="23" t="s">
        <v>8111</v>
      </c>
      <c r="M1239" s="22"/>
      <c r="N1239" s="12"/>
      <c r="O1239" s="12"/>
      <c r="P1239" s="13">
        <f>IFERROR(__xludf.DUMMYFUNCTION("VALUE(SUBSTITUTE((INDEX(SPLIT(A1239,"",""),1)),""."","","",1))"),53.736158)</f>
        <v>53.736158</v>
      </c>
      <c r="Q1239" s="13">
        <f>IFERROR(__xludf.DUMMYFUNCTION("VALUE(SUBSTITUTE((INDEX(SPLIT(A1239,"",""),2)),""."","","",1))"),36.661846)</f>
        <v>36.661846</v>
      </c>
      <c r="R1239" s="14" t="b">
        <f t="shared" si="1"/>
        <v>0</v>
      </c>
      <c r="S1239" s="14" t="str">
        <f t="shared" si="2"/>
        <v>53.736158,36.661846</v>
      </c>
      <c r="T1239" s="12"/>
    </row>
    <row r="1240">
      <c r="A1240" s="18" t="s">
        <v>8112</v>
      </c>
      <c r="B1240" s="8" t="s">
        <v>8113</v>
      </c>
      <c r="C1240" s="8" t="s">
        <v>8114</v>
      </c>
      <c r="D1240" s="8" t="s">
        <v>16</v>
      </c>
      <c r="E1240" s="19" t="s">
        <v>8115</v>
      </c>
      <c r="F1240" s="8" t="s">
        <v>4327</v>
      </c>
      <c r="G1240" s="8">
        <v>23.61</v>
      </c>
      <c r="H1240" s="8"/>
      <c r="I1240" s="8"/>
      <c r="J1240" s="8" t="s">
        <v>8116</v>
      </c>
      <c r="K1240" s="8" t="s">
        <v>8117</v>
      </c>
      <c r="L1240" s="8"/>
      <c r="M1240" s="8"/>
      <c r="N1240" s="12"/>
      <c r="O1240" s="12"/>
      <c r="P1240" s="13">
        <f>IFERROR(__xludf.DUMMYFUNCTION("VALUE(SUBSTITUTE((INDEX(SPLIT(A1240,"",""),1)),""."","","",1))"),50.581094)</f>
        <v>50.581094</v>
      </c>
      <c r="Q1240" s="13">
        <f>IFERROR(__xludf.DUMMYFUNCTION("VALUE(SUBSTITUTE((INDEX(SPLIT(A1240,"",""),2)),""."","","",1))"),36.664469)</f>
        <v>36.664469</v>
      </c>
      <c r="R1240" s="14" t="b">
        <f t="shared" si="1"/>
        <v>0</v>
      </c>
      <c r="S1240" s="14" t="str">
        <f t="shared" si="2"/>
        <v>50.581094,36.664469</v>
      </c>
      <c r="T1240" s="12"/>
    </row>
    <row r="1241">
      <c r="A1241" s="15" t="s">
        <v>8112</v>
      </c>
      <c r="B1241" s="16" t="s">
        <v>8118</v>
      </c>
      <c r="C1241" s="16" t="s">
        <v>8119</v>
      </c>
      <c r="D1241" s="16" t="s">
        <v>16</v>
      </c>
      <c r="E1241" s="17" t="s">
        <v>8120</v>
      </c>
      <c r="F1241" s="16" t="s">
        <v>4327</v>
      </c>
      <c r="G1241" s="16">
        <v>23.61</v>
      </c>
      <c r="H1241" s="16"/>
      <c r="I1241" s="16"/>
      <c r="J1241" s="16" t="s">
        <v>8121</v>
      </c>
      <c r="K1241" s="16" t="s">
        <v>8122</v>
      </c>
      <c r="L1241" s="16"/>
      <c r="M1241" s="16"/>
      <c r="N1241" s="12"/>
      <c r="O1241" s="12"/>
      <c r="P1241" s="13">
        <f>IFERROR(__xludf.DUMMYFUNCTION("VALUE(SUBSTITUTE((INDEX(SPLIT(A1241,"",""),1)),""."","","",1))"),50.581094)</f>
        <v>50.581094</v>
      </c>
      <c r="Q1241" s="13">
        <f>IFERROR(__xludf.DUMMYFUNCTION("VALUE(SUBSTITUTE((INDEX(SPLIT(A1241,"",""),2)),""."","","",1))"),36.664469)</f>
        <v>36.664469</v>
      </c>
      <c r="R1241" s="14" t="b">
        <f t="shared" si="1"/>
        <v>0</v>
      </c>
      <c r="S1241" s="14" t="str">
        <f t="shared" si="2"/>
        <v>50.581094,36.664469</v>
      </c>
      <c r="T1241" s="12"/>
    </row>
    <row r="1242">
      <c r="A1242" s="18" t="s">
        <v>8123</v>
      </c>
      <c r="B1242" s="8" t="s">
        <v>8124</v>
      </c>
      <c r="C1242" s="8" t="s">
        <v>8125</v>
      </c>
      <c r="D1242" s="8" t="s">
        <v>16</v>
      </c>
      <c r="E1242" s="19" t="s">
        <v>8126</v>
      </c>
      <c r="F1242" s="8" t="s">
        <v>4327</v>
      </c>
      <c r="G1242" s="8">
        <v>23.61</v>
      </c>
      <c r="H1242" s="8"/>
      <c r="I1242" s="8"/>
      <c r="J1242" s="8" t="s">
        <v>8127</v>
      </c>
      <c r="K1242" s="8" t="s">
        <v>8128</v>
      </c>
      <c r="L1242" s="8"/>
      <c r="M1242" s="24" t="s">
        <v>8129</v>
      </c>
      <c r="N1242" s="12"/>
      <c r="O1242" s="12"/>
      <c r="P1242" s="13">
        <f>IFERROR(__xludf.DUMMYFUNCTION("VALUE(SUBSTITUTE((INDEX(SPLIT(A1242,"",""),1)),""."","","",1))"),50.57514)</f>
        <v>50.57514</v>
      </c>
      <c r="Q1242" s="13">
        <f>IFERROR(__xludf.DUMMYFUNCTION("VALUE(SUBSTITUTE((INDEX(SPLIT(A1242,"",""),2)),""."","","",1))"),36.668898)</f>
        <v>36.668898</v>
      </c>
      <c r="R1242" s="14" t="b">
        <f t="shared" si="1"/>
        <v>0</v>
      </c>
      <c r="S1242" s="14" t="str">
        <f t="shared" si="2"/>
        <v>50.57514,36.668898</v>
      </c>
      <c r="T1242" s="12"/>
    </row>
    <row r="1243">
      <c r="A1243" s="15" t="s">
        <v>8130</v>
      </c>
      <c r="B1243" s="16" t="s">
        <v>8131</v>
      </c>
      <c r="C1243" s="16" t="s">
        <v>8132</v>
      </c>
      <c r="D1243" s="16" t="s">
        <v>16</v>
      </c>
      <c r="E1243" s="17" t="s">
        <v>8133</v>
      </c>
      <c r="F1243" s="16" t="s">
        <v>4327</v>
      </c>
      <c r="G1243" s="16">
        <v>23.61</v>
      </c>
      <c r="H1243" s="16"/>
      <c r="I1243" s="16"/>
      <c r="J1243" s="16" t="s">
        <v>8134</v>
      </c>
      <c r="K1243" s="16" t="s">
        <v>8009</v>
      </c>
      <c r="L1243" s="16"/>
      <c r="M1243" s="16"/>
      <c r="N1243" s="12"/>
      <c r="O1243" s="12"/>
      <c r="P1243" s="13">
        <f>IFERROR(__xludf.DUMMYFUNCTION("VALUE(SUBSTITUTE((INDEX(SPLIT(A1243,"",""),1)),""."","","",1))"),50.654809)</f>
        <v>50.654809</v>
      </c>
      <c r="Q1243" s="13">
        <f>IFERROR(__xludf.DUMMYFUNCTION("VALUE(SUBSTITUTE((INDEX(SPLIT(A1243,"",""),2)),""."","","",1))"),36.669931)</f>
        <v>36.669931</v>
      </c>
      <c r="R1243" s="14" t="b">
        <f t="shared" si="1"/>
        <v>0</v>
      </c>
      <c r="S1243" s="14" t="str">
        <f t="shared" si="2"/>
        <v>50.654809,36.669931</v>
      </c>
      <c r="T1243" s="12"/>
    </row>
    <row r="1244">
      <c r="A1244" s="7" t="s">
        <v>8135</v>
      </c>
      <c r="B1244" s="8" t="s">
        <v>8136</v>
      </c>
      <c r="C1244" s="8" t="s">
        <v>8137</v>
      </c>
      <c r="D1244" s="8" t="s">
        <v>16</v>
      </c>
      <c r="E1244" s="9" t="s">
        <v>8138</v>
      </c>
      <c r="F1244" s="10" t="s">
        <v>6724</v>
      </c>
      <c r="G1244" s="8">
        <v>23.61</v>
      </c>
      <c r="H1244" s="8"/>
      <c r="I1244" s="10"/>
      <c r="J1244" s="10" t="s">
        <v>8139</v>
      </c>
      <c r="K1244" s="10" t="s">
        <v>8140</v>
      </c>
      <c r="L1244" s="11" t="s">
        <v>8141</v>
      </c>
      <c r="M1244" s="11" t="s">
        <v>8142</v>
      </c>
      <c r="N1244" s="12"/>
      <c r="O1244" s="12"/>
      <c r="P1244" s="13">
        <f>IFERROR(__xludf.DUMMYFUNCTION("VALUE(SUBSTITUTE((INDEX(SPLIT(A1244,"",""),1)),""."","","",1))"),55.249017)</f>
        <v>55.249017</v>
      </c>
      <c r="Q1244" s="13">
        <f>IFERROR(__xludf.DUMMYFUNCTION("VALUE(SUBSTITUTE((INDEX(SPLIT(A1244,"",""),2)),""."","","",1))"),36.678285)</f>
        <v>36.678285</v>
      </c>
      <c r="R1244" s="14" t="b">
        <f t="shared" si="1"/>
        <v>0</v>
      </c>
      <c r="S1244" s="14" t="str">
        <f t="shared" si="2"/>
        <v>55.249017,36.678285</v>
      </c>
      <c r="T1244" s="12"/>
    </row>
    <row r="1245">
      <c r="A1245" s="20" t="s">
        <v>8143</v>
      </c>
      <c r="B1245" s="16" t="s">
        <v>8144</v>
      </c>
      <c r="C1245" s="16" t="s">
        <v>8145</v>
      </c>
      <c r="D1245" s="16" t="s">
        <v>16</v>
      </c>
      <c r="E1245" s="21" t="s">
        <v>8146</v>
      </c>
      <c r="F1245" s="22" t="s">
        <v>4327</v>
      </c>
      <c r="G1245" s="16">
        <v>23.61</v>
      </c>
      <c r="H1245" s="16"/>
      <c r="I1245" s="28" t="s">
        <v>8147</v>
      </c>
      <c r="J1245" s="22" t="s">
        <v>8148</v>
      </c>
      <c r="K1245" s="22" t="s">
        <v>8149</v>
      </c>
      <c r="L1245" s="23" t="s">
        <v>8150</v>
      </c>
      <c r="M1245" s="22"/>
      <c r="N1245" s="12"/>
      <c r="O1245" s="12"/>
      <c r="P1245" s="13">
        <f>IFERROR(__xludf.DUMMYFUNCTION("VALUE(SUBSTITUTE((INDEX(SPLIT(A1245,"",""),1)),""."","","",1))"),50.601229)</f>
        <v>50.601229</v>
      </c>
      <c r="Q1245" s="13">
        <f>IFERROR(__xludf.DUMMYFUNCTION("VALUE(SUBSTITUTE((INDEX(SPLIT(A1245,"",""),2)),""."","","",1))"),36.679318)</f>
        <v>36.679318</v>
      </c>
      <c r="R1245" s="14" t="b">
        <f t="shared" si="1"/>
        <v>0</v>
      </c>
      <c r="S1245" s="14" t="str">
        <f t="shared" si="2"/>
        <v>50.601229,36.679318</v>
      </c>
      <c r="T1245" s="12"/>
    </row>
    <row r="1246">
      <c r="A1246" s="7" t="s">
        <v>8151</v>
      </c>
      <c r="B1246" s="8" t="s">
        <v>8152</v>
      </c>
      <c r="C1246" s="8" t="s">
        <v>8153</v>
      </c>
      <c r="D1246" s="8" t="s">
        <v>16</v>
      </c>
      <c r="E1246" s="9" t="s">
        <v>8154</v>
      </c>
      <c r="F1246" s="10" t="s">
        <v>3760</v>
      </c>
      <c r="G1246" s="8">
        <v>23.61</v>
      </c>
      <c r="H1246" s="8"/>
      <c r="I1246" s="10"/>
      <c r="J1246" s="10" t="s">
        <v>8155</v>
      </c>
      <c r="K1246" s="10" t="s">
        <v>8156</v>
      </c>
      <c r="L1246" s="11" t="s">
        <v>8157</v>
      </c>
      <c r="M1246" s="11" t="s">
        <v>8158</v>
      </c>
      <c r="N1246" s="12"/>
      <c r="O1246" s="12"/>
      <c r="P1246" s="13">
        <f>IFERROR(__xludf.DUMMYFUNCTION("VALUE(SUBSTITUTE((INDEX(SPLIT(A1246,"",""),1)),""."","","",1))"),56.28328)</f>
        <v>56.28328</v>
      </c>
      <c r="Q1246" s="13">
        <f>IFERROR(__xludf.DUMMYFUNCTION("VALUE(SUBSTITUTE((INDEX(SPLIT(A1246,"",""),2)),""."","","",1))"),36.679327)</f>
        <v>36.679327</v>
      </c>
      <c r="R1246" s="14" t="b">
        <f t="shared" si="1"/>
        <v>0</v>
      </c>
      <c r="S1246" s="14" t="str">
        <f t="shared" si="2"/>
        <v>56.28328,36.679327</v>
      </c>
      <c r="T1246" s="12"/>
    </row>
    <row r="1247">
      <c r="A1247" s="15" t="s">
        <v>8159</v>
      </c>
      <c r="B1247" s="16" t="s">
        <v>8160</v>
      </c>
      <c r="C1247" s="16" t="s">
        <v>8161</v>
      </c>
      <c r="D1247" s="16" t="s">
        <v>16</v>
      </c>
      <c r="E1247" s="17" t="s">
        <v>8162</v>
      </c>
      <c r="F1247" s="16" t="s">
        <v>3760</v>
      </c>
      <c r="G1247" s="16">
        <v>23.61</v>
      </c>
      <c r="H1247" s="16"/>
      <c r="I1247" s="16"/>
      <c r="J1247" s="16" t="s">
        <v>8163</v>
      </c>
      <c r="K1247" s="16" t="s">
        <v>8164</v>
      </c>
      <c r="L1247" s="16"/>
      <c r="M1247" s="25" t="s">
        <v>8165</v>
      </c>
      <c r="N1247" s="12"/>
      <c r="O1247" s="12"/>
      <c r="P1247" s="13">
        <f>IFERROR(__xludf.DUMMYFUNCTION("VALUE(SUBSTITUTE((INDEX(SPLIT(A1247,"",""),1)),""."","","",1))"),56.280551)</f>
        <v>56.280551</v>
      </c>
      <c r="Q1247" s="13">
        <f>IFERROR(__xludf.DUMMYFUNCTION("VALUE(SUBSTITUTE((INDEX(SPLIT(A1247,"",""),2)),""."","","",1))"),36.684358)</f>
        <v>36.684358</v>
      </c>
      <c r="R1247" s="14" t="b">
        <f t="shared" si="1"/>
        <v>0</v>
      </c>
      <c r="S1247" s="14" t="str">
        <f t="shared" si="2"/>
        <v>56.280551,36.684358</v>
      </c>
      <c r="T1247" s="12"/>
    </row>
    <row r="1248">
      <c r="A1248" s="18" t="s">
        <v>8166</v>
      </c>
      <c r="B1248" s="8" t="s">
        <v>8167</v>
      </c>
      <c r="C1248" s="8" t="s">
        <v>8168</v>
      </c>
      <c r="D1248" s="8" t="s">
        <v>16</v>
      </c>
      <c r="E1248" s="19" t="s">
        <v>8169</v>
      </c>
      <c r="F1248" s="8" t="s">
        <v>4327</v>
      </c>
      <c r="G1248" s="8">
        <v>23.61</v>
      </c>
      <c r="H1248" s="8"/>
      <c r="I1248" s="8"/>
      <c r="J1248" s="8" t="s">
        <v>8170</v>
      </c>
      <c r="K1248" s="8" t="s">
        <v>8171</v>
      </c>
      <c r="L1248" s="8"/>
      <c r="M1248" s="8"/>
      <c r="N1248" s="12"/>
      <c r="O1248" s="12"/>
      <c r="P1248" s="13">
        <f>IFERROR(__xludf.DUMMYFUNCTION("VALUE(SUBSTITUTE((INDEX(SPLIT(A1248,"",""),1)),""."","","",1))"),50.553225)</f>
        <v>50.553225</v>
      </c>
      <c r="Q1248" s="13">
        <f>IFERROR(__xludf.DUMMYFUNCTION("VALUE(SUBSTITUTE((INDEX(SPLIT(A1248,"",""),2)),""."","","",1))"),36.68946)</f>
        <v>36.68946</v>
      </c>
      <c r="R1248" s="14" t="b">
        <f t="shared" si="1"/>
        <v>0</v>
      </c>
      <c r="S1248" s="14" t="str">
        <f t="shared" si="2"/>
        <v>50.553225,36.68946</v>
      </c>
      <c r="T1248" s="12"/>
    </row>
    <row r="1249">
      <c r="A1249" s="20" t="s">
        <v>8172</v>
      </c>
      <c r="B1249" s="16" t="s">
        <v>8173</v>
      </c>
      <c r="C1249" s="16" t="s">
        <v>8174</v>
      </c>
      <c r="D1249" s="16" t="s">
        <v>16</v>
      </c>
      <c r="E1249" s="21" t="s">
        <v>8175</v>
      </c>
      <c r="F1249" s="22" t="s">
        <v>3760</v>
      </c>
      <c r="G1249" s="16">
        <v>23.61</v>
      </c>
      <c r="H1249" s="16"/>
      <c r="I1249" s="22"/>
      <c r="J1249" s="22" t="s">
        <v>8176</v>
      </c>
      <c r="K1249" s="22" t="s">
        <v>8177</v>
      </c>
      <c r="L1249" s="23" t="s">
        <v>8178</v>
      </c>
      <c r="M1249" s="23" t="s">
        <v>8179</v>
      </c>
      <c r="N1249" s="12"/>
      <c r="O1249" s="12"/>
      <c r="P1249" s="13">
        <f>IFERROR(__xludf.DUMMYFUNCTION("VALUE(SUBSTITUTE((INDEX(SPLIT(A1249,"",""),1)),""."","","",1))"),56.3534)</f>
        <v>56.3534</v>
      </c>
      <c r="Q1249" s="13">
        <f>IFERROR(__xludf.DUMMYFUNCTION("VALUE(SUBSTITUTE((INDEX(SPLIT(A1249,"",""),2)),""."","","",1))"),36.698281)</f>
        <v>36.698281</v>
      </c>
      <c r="R1249" s="14" t="b">
        <f t="shared" si="1"/>
        <v>0</v>
      </c>
      <c r="S1249" s="14" t="str">
        <f t="shared" si="2"/>
        <v>56.3534,36.698281</v>
      </c>
      <c r="T1249" s="12"/>
    </row>
    <row r="1250">
      <c r="A1250" s="7" t="s">
        <v>8180</v>
      </c>
      <c r="B1250" s="8" t="s">
        <v>7463</v>
      </c>
      <c r="C1250" s="8" t="s">
        <v>7464</v>
      </c>
      <c r="D1250" s="8" t="s">
        <v>16</v>
      </c>
      <c r="E1250" s="9" t="s">
        <v>8181</v>
      </c>
      <c r="F1250" s="10" t="s">
        <v>4327</v>
      </c>
      <c r="G1250" s="8">
        <v>23.61</v>
      </c>
      <c r="H1250" s="8"/>
      <c r="I1250" s="10"/>
      <c r="J1250" s="10" t="s">
        <v>8182</v>
      </c>
      <c r="K1250" s="10" t="s">
        <v>8183</v>
      </c>
      <c r="L1250" s="11" t="s">
        <v>8184</v>
      </c>
      <c r="M1250" s="10"/>
      <c r="N1250" s="12"/>
      <c r="O1250" s="12"/>
      <c r="P1250" s="13">
        <f>IFERROR(__xludf.DUMMYFUNCTION("VALUE(SUBSTITUTE((INDEX(SPLIT(A1250,"",""),1)),""."","","",1))"),50.532933)</f>
        <v>50.532933</v>
      </c>
      <c r="Q1250" s="13">
        <f>IFERROR(__xludf.DUMMYFUNCTION("VALUE(SUBSTITUTE((INDEX(SPLIT(A1250,"",""),2)),""."","","",1))"),36.701911)</f>
        <v>36.701911</v>
      </c>
      <c r="R1250" s="14" t="b">
        <f t="shared" si="1"/>
        <v>0</v>
      </c>
      <c r="S1250" s="14" t="str">
        <f t="shared" si="2"/>
        <v>50.532933,36.701911</v>
      </c>
      <c r="T1250" s="12"/>
    </row>
    <row r="1251">
      <c r="A1251" s="15" t="s">
        <v>8185</v>
      </c>
      <c r="B1251" s="16" t="s">
        <v>8186</v>
      </c>
      <c r="C1251" s="16" t="s">
        <v>8187</v>
      </c>
      <c r="D1251" s="16" t="s">
        <v>16</v>
      </c>
      <c r="E1251" s="17" t="s">
        <v>8188</v>
      </c>
      <c r="F1251" s="16" t="s">
        <v>3760</v>
      </c>
      <c r="G1251" s="16">
        <v>23.61</v>
      </c>
      <c r="H1251" s="16"/>
      <c r="I1251" s="16"/>
      <c r="J1251" s="16" t="s">
        <v>8189</v>
      </c>
      <c r="K1251" s="16" t="s">
        <v>8190</v>
      </c>
      <c r="L1251" s="16"/>
      <c r="M1251" s="25" t="s">
        <v>8191</v>
      </c>
      <c r="N1251" s="12"/>
      <c r="O1251" s="12"/>
      <c r="P1251" s="13">
        <f>IFERROR(__xludf.DUMMYFUNCTION("VALUE(SUBSTITUTE((INDEX(SPLIT(A1251,"",""),1)),""."","","",1))"),55.561996)</f>
        <v>55.561996</v>
      </c>
      <c r="Q1251" s="13">
        <f>IFERROR(__xludf.DUMMYFUNCTION("VALUE(SUBSTITUTE((INDEX(SPLIT(A1251,"",""),2)),""."","","",1))"),36.701982)</f>
        <v>36.701982</v>
      </c>
      <c r="R1251" s="14" t="b">
        <f t="shared" si="1"/>
        <v>0</v>
      </c>
      <c r="S1251" s="14" t="str">
        <f t="shared" si="2"/>
        <v>55.561996,36.701982</v>
      </c>
      <c r="T1251" s="12"/>
    </row>
    <row r="1252">
      <c r="A1252" s="7" t="s">
        <v>8192</v>
      </c>
      <c r="B1252" s="8" t="s">
        <v>8193</v>
      </c>
      <c r="C1252" s="8" t="s">
        <v>8194</v>
      </c>
      <c r="D1252" s="8" t="s">
        <v>16</v>
      </c>
      <c r="E1252" s="9" t="s">
        <v>8195</v>
      </c>
      <c r="F1252" s="10" t="s">
        <v>5788</v>
      </c>
      <c r="G1252" s="8">
        <v>23.61</v>
      </c>
      <c r="H1252" s="8"/>
      <c r="I1252" s="10"/>
      <c r="J1252" s="10" t="s">
        <v>8196</v>
      </c>
      <c r="K1252" s="10" t="s">
        <v>8197</v>
      </c>
      <c r="L1252" s="11" t="s">
        <v>8198</v>
      </c>
      <c r="M1252" s="10"/>
      <c r="N1252" s="12"/>
      <c r="O1252" s="12"/>
      <c r="P1252" s="13">
        <f>IFERROR(__xludf.DUMMYFUNCTION("VALUE(SUBSTITUTE((INDEX(SPLIT(A1252,"",""),1)),""."","","",1))"),57.81099)</f>
        <v>57.81099</v>
      </c>
      <c r="Q1252" s="13">
        <f>IFERROR(__xludf.DUMMYFUNCTION("VALUE(SUBSTITUTE((INDEX(SPLIT(A1252,"",""),2)),""."","","",1))"),36.704695)</f>
        <v>36.704695</v>
      </c>
      <c r="R1252" s="14" t="b">
        <f t="shared" si="1"/>
        <v>0</v>
      </c>
      <c r="S1252" s="14" t="str">
        <f t="shared" si="2"/>
        <v>57.81099,36.704695</v>
      </c>
      <c r="T1252" s="12"/>
    </row>
    <row r="1253">
      <c r="A1253" s="15" t="s">
        <v>8199</v>
      </c>
      <c r="B1253" s="16" t="s">
        <v>8200</v>
      </c>
      <c r="C1253" s="16" t="s">
        <v>8201</v>
      </c>
      <c r="D1253" s="16" t="s">
        <v>16</v>
      </c>
      <c r="E1253" s="17" t="s">
        <v>8202</v>
      </c>
      <c r="F1253" s="16" t="s">
        <v>6724</v>
      </c>
      <c r="G1253" s="16">
        <v>23.61</v>
      </c>
      <c r="H1253" s="16"/>
      <c r="I1253" s="16"/>
      <c r="J1253" s="16" t="s">
        <v>8203</v>
      </c>
      <c r="K1253" s="16" t="s">
        <v>8204</v>
      </c>
      <c r="L1253" s="16"/>
      <c r="M1253" s="16"/>
      <c r="N1253" s="12"/>
      <c r="O1253" s="12"/>
      <c r="P1253" s="13">
        <f>IFERROR(__xludf.DUMMYFUNCTION("VALUE(SUBSTITUTE((INDEX(SPLIT(A1253,"",""),1)),""."","","",1))"),55.235138)</f>
        <v>55.235138</v>
      </c>
      <c r="Q1253" s="13">
        <f>IFERROR(__xludf.DUMMYFUNCTION("VALUE(SUBSTITUTE((INDEX(SPLIT(A1253,"",""),2)),""."","","",1))"),36.706187)</f>
        <v>36.706187</v>
      </c>
      <c r="R1253" s="14" t="b">
        <f t="shared" si="1"/>
        <v>0</v>
      </c>
      <c r="S1253" s="14" t="str">
        <f t="shared" si="2"/>
        <v>55.235138,36.706187</v>
      </c>
      <c r="T1253" s="12"/>
    </row>
    <row r="1254">
      <c r="A1254" s="7" t="s">
        <v>8205</v>
      </c>
      <c r="B1254" s="8" t="s">
        <v>8206</v>
      </c>
      <c r="C1254" s="8" t="s">
        <v>8207</v>
      </c>
      <c r="D1254" s="8" t="s">
        <v>16</v>
      </c>
      <c r="E1254" s="9" t="s">
        <v>8208</v>
      </c>
      <c r="F1254" s="10" t="s">
        <v>3760</v>
      </c>
      <c r="G1254" s="8">
        <v>23.61</v>
      </c>
      <c r="H1254" s="8"/>
      <c r="I1254" s="10"/>
      <c r="J1254" s="10" t="s">
        <v>8209</v>
      </c>
      <c r="K1254" s="10" t="s">
        <v>8210</v>
      </c>
      <c r="L1254" s="11" t="s">
        <v>8211</v>
      </c>
      <c r="M1254" s="10"/>
      <c r="N1254" s="12"/>
      <c r="O1254" s="12"/>
      <c r="P1254" s="13">
        <f>IFERROR(__xludf.DUMMYFUNCTION("VALUE(SUBSTITUTE((INDEX(SPLIT(A1254,"",""),1)),""."","","",1))"),55.938007)</f>
        <v>55.938007</v>
      </c>
      <c r="Q1254" s="13">
        <f>IFERROR(__xludf.DUMMYFUNCTION("VALUE(SUBSTITUTE((INDEX(SPLIT(A1254,"",""),2)),""."","","",1))"),36.707049)</f>
        <v>36.707049</v>
      </c>
      <c r="R1254" s="14" t="b">
        <f t="shared" si="1"/>
        <v>0</v>
      </c>
      <c r="S1254" s="14" t="str">
        <f t="shared" si="2"/>
        <v>55.938007,36.707049</v>
      </c>
      <c r="T1254" s="12"/>
    </row>
    <row r="1255">
      <c r="A1255" s="20" t="s">
        <v>8212</v>
      </c>
      <c r="B1255" s="16" t="s">
        <v>8213</v>
      </c>
      <c r="C1255" s="16" t="s">
        <v>8214</v>
      </c>
      <c r="D1255" s="16" t="s">
        <v>16</v>
      </c>
      <c r="E1255" s="21" t="s">
        <v>8215</v>
      </c>
      <c r="F1255" s="22" t="s">
        <v>5788</v>
      </c>
      <c r="G1255" s="16">
        <v>23.61</v>
      </c>
      <c r="H1255" s="16"/>
      <c r="I1255" s="22"/>
      <c r="J1255" s="22" t="s">
        <v>8216</v>
      </c>
      <c r="K1255" s="22" t="s">
        <v>8217</v>
      </c>
      <c r="L1255" s="23" t="s">
        <v>8218</v>
      </c>
      <c r="M1255" s="22"/>
      <c r="N1255" s="12"/>
      <c r="O1255" s="12"/>
      <c r="P1255" s="13">
        <f>IFERROR(__xludf.DUMMYFUNCTION("VALUE(SUBSTITUTE((INDEX(SPLIT(A1255,"",""),1)),""."","","",1))"),57.811388)</f>
        <v>57.811388</v>
      </c>
      <c r="Q1255" s="13">
        <f>IFERROR(__xludf.DUMMYFUNCTION("VALUE(SUBSTITUTE((INDEX(SPLIT(A1255,"",""),2)),""."","","",1))"),36.720191)</f>
        <v>36.720191</v>
      </c>
      <c r="R1255" s="14" t="b">
        <f t="shared" si="1"/>
        <v>0</v>
      </c>
      <c r="S1255" s="14" t="str">
        <f t="shared" si="2"/>
        <v>57.811388,36.720191</v>
      </c>
      <c r="T1255" s="12"/>
    </row>
    <row r="1256">
      <c r="A1256" s="18" t="s">
        <v>8219</v>
      </c>
      <c r="B1256" s="8" t="s">
        <v>8220</v>
      </c>
      <c r="C1256" s="8" t="s">
        <v>8221</v>
      </c>
      <c r="D1256" s="8" t="s">
        <v>16</v>
      </c>
      <c r="E1256" s="19" t="s">
        <v>8222</v>
      </c>
      <c r="F1256" s="8" t="s">
        <v>4327</v>
      </c>
      <c r="G1256" s="8">
        <v>23.61</v>
      </c>
      <c r="H1256" s="8"/>
      <c r="I1256" s="8"/>
      <c r="J1256" s="8" t="s">
        <v>8223</v>
      </c>
      <c r="K1256" s="8" t="s">
        <v>8224</v>
      </c>
      <c r="L1256" s="8"/>
      <c r="M1256" s="8"/>
      <c r="N1256" s="12"/>
      <c r="O1256" s="12"/>
      <c r="P1256" s="13">
        <f>IFERROR(__xludf.DUMMYFUNCTION("VALUE(SUBSTITUTE((INDEX(SPLIT(A1256,"",""),1)),""."","","",1))"),50.582141)</f>
        <v>50.582141</v>
      </c>
      <c r="Q1256" s="13">
        <f>IFERROR(__xludf.DUMMYFUNCTION("VALUE(SUBSTITUTE((INDEX(SPLIT(A1256,"",""),2)),""."","","",1))"),36.723731)</f>
        <v>36.723731</v>
      </c>
      <c r="R1256" s="14" t="b">
        <f t="shared" si="1"/>
        <v>0</v>
      </c>
      <c r="S1256" s="14" t="str">
        <f t="shared" si="2"/>
        <v>50.582141,36.723731</v>
      </c>
      <c r="T1256" s="12"/>
    </row>
    <row r="1257">
      <c r="A1257" s="20" t="s">
        <v>8225</v>
      </c>
      <c r="B1257" s="16" t="s">
        <v>8226</v>
      </c>
      <c r="C1257" s="16" t="s">
        <v>8227</v>
      </c>
      <c r="D1257" s="16" t="s">
        <v>16</v>
      </c>
      <c r="E1257" s="21" t="s">
        <v>8228</v>
      </c>
      <c r="F1257" s="22" t="s">
        <v>3760</v>
      </c>
      <c r="G1257" s="16">
        <v>23.61</v>
      </c>
      <c r="H1257" s="16"/>
      <c r="I1257" s="22"/>
      <c r="J1257" s="22" t="s">
        <v>8229</v>
      </c>
      <c r="K1257" s="22" t="s">
        <v>8230</v>
      </c>
      <c r="L1257" s="23" t="s">
        <v>8231</v>
      </c>
      <c r="M1257" s="23" t="s">
        <v>8232</v>
      </c>
      <c r="N1257" s="12"/>
      <c r="O1257" s="12"/>
      <c r="P1257" s="13">
        <f>IFERROR(__xludf.DUMMYFUNCTION("VALUE(SUBSTITUTE((INDEX(SPLIT(A1257,"",""),1)),""."","","",1))"),56.336049)</f>
        <v>56.336049</v>
      </c>
      <c r="Q1257" s="13">
        <f>IFERROR(__xludf.DUMMYFUNCTION("VALUE(SUBSTITUTE((INDEX(SPLIT(A1257,"",""),2)),""."","","",1))"),36.734717)</f>
        <v>36.734717</v>
      </c>
      <c r="R1257" s="14" t="b">
        <f t="shared" si="1"/>
        <v>0</v>
      </c>
      <c r="S1257" s="14" t="str">
        <f t="shared" si="2"/>
        <v>56.336049,36.734717</v>
      </c>
      <c r="T1257" s="12"/>
    </row>
    <row r="1258">
      <c r="A1258" s="7" t="s">
        <v>8233</v>
      </c>
      <c r="B1258" s="8" t="s">
        <v>8234</v>
      </c>
      <c r="C1258" s="8" t="s">
        <v>8235</v>
      </c>
      <c r="D1258" s="8" t="s">
        <v>16</v>
      </c>
      <c r="E1258" s="9" t="s">
        <v>8236</v>
      </c>
      <c r="F1258" s="10" t="s">
        <v>4327</v>
      </c>
      <c r="G1258" s="8">
        <v>23.61</v>
      </c>
      <c r="H1258" s="8"/>
      <c r="I1258" s="10"/>
      <c r="J1258" s="10" t="s">
        <v>8237</v>
      </c>
      <c r="K1258" s="10" t="s">
        <v>8238</v>
      </c>
      <c r="L1258" s="11" t="s">
        <v>8239</v>
      </c>
      <c r="M1258" s="10"/>
      <c r="N1258" s="12"/>
      <c r="O1258" s="12"/>
      <c r="P1258" s="13">
        <f>IFERROR(__xludf.DUMMYFUNCTION("VALUE(SUBSTITUTE((INDEX(SPLIT(A1258,"",""),1)),""."","","",1))"),51.050888)</f>
        <v>51.050888</v>
      </c>
      <c r="Q1258" s="13">
        <f>IFERROR(__xludf.DUMMYFUNCTION("VALUE(SUBSTITUTE((INDEX(SPLIT(A1258,"",""),2)),""."","","",1))"),36.741131)</f>
        <v>36.741131</v>
      </c>
      <c r="R1258" s="14" t="b">
        <f t="shared" si="1"/>
        <v>0</v>
      </c>
      <c r="S1258" s="14" t="str">
        <f t="shared" si="2"/>
        <v>51.050888,36.741131</v>
      </c>
      <c r="T1258" s="12"/>
    </row>
    <row r="1259">
      <c r="A1259" s="20" t="s">
        <v>8240</v>
      </c>
      <c r="B1259" s="16" t="s">
        <v>8241</v>
      </c>
      <c r="C1259" s="16" t="s">
        <v>8242</v>
      </c>
      <c r="D1259" s="16" t="s">
        <v>16</v>
      </c>
      <c r="E1259" s="21" t="s">
        <v>8243</v>
      </c>
      <c r="F1259" s="22" t="s">
        <v>4327</v>
      </c>
      <c r="G1259" s="16">
        <v>23.61</v>
      </c>
      <c r="H1259" s="16"/>
      <c r="I1259" s="22"/>
      <c r="J1259" s="22" t="s">
        <v>8244</v>
      </c>
      <c r="K1259" s="22" t="s">
        <v>8245</v>
      </c>
      <c r="L1259" s="23" t="s">
        <v>8246</v>
      </c>
      <c r="M1259" s="22"/>
      <c r="N1259" s="12"/>
      <c r="O1259" s="12"/>
      <c r="P1259" s="13">
        <f>IFERROR(__xludf.DUMMYFUNCTION("VALUE(SUBSTITUTE((INDEX(SPLIT(A1259,"",""),1)),""."","","",1))"),50.468453)</f>
        <v>50.468453</v>
      </c>
      <c r="Q1259" s="13">
        <f>IFERROR(__xludf.DUMMYFUNCTION("VALUE(SUBSTITUTE((INDEX(SPLIT(A1259,"",""),2)),""."","","",1))"),36.742056)</f>
        <v>36.742056</v>
      </c>
      <c r="R1259" s="14" t="b">
        <f t="shared" si="1"/>
        <v>0</v>
      </c>
      <c r="S1259" s="14" t="str">
        <f t="shared" si="2"/>
        <v>50.468453,36.742056</v>
      </c>
      <c r="T1259" s="12"/>
    </row>
    <row r="1260">
      <c r="A1260" s="18" t="s">
        <v>8247</v>
      </c>
      <c r="B1260" s="8" t="s">
        <v>8248</v>
      </c>
      <c r="C1260" s="8" t="s">
        <v>8249</v>
      </c>
      <c r="D1260" s="8" t="s">
        <v>16</v>
      </c>
      <c r="E1260" s="19" t="s">
        <v>8250</v>
      </c>
      <c r="F1260" s="8" t="s">
        <v>3760</v>
      </c>
      <c r="G1260" s="8">
        <v>23.61</v>
      </c>
      <c r="H1260" s="8"/>
      <c r="I1260" s="8"/>
      <c r="J1260" s="8" t="s">
        <v>8251</v>
      </c>
      <c r="K1260" s="8" t="s">
        <v>8252</v>
      </c>
      <c r="L1260" s="8"/>
      <c r="M1260" s="8"/>
      <c r="N1260" s="12"/>
      <c r="O1260" s="12"/>
      <c r="P1260" s="13">
        <f>IFERROR(__xludf.DUMMYFUNCTION("VALUE(SUBSTITUTE((INDEX(SPLIT(A1260,"",""),1)),""."","","",1))"),55.32602)</f>
        <v>55.32602</v>
      </c>
      <c r="Q1260" s="13">
        <f>IFERROR(__xludf.DUMMYFUNCTION("VALUE(SUBSTITUTE((INDEX(SPLIT(A1260,"",""),2)),""."","","",1))"),36.746503)</f>
        <v>36.746503</v>
      </c>
      <c r="R1260" s="14" t="b">
        <f t="shared" si="1"/>
        <v>0</v>
      </c>
      <c r="S1260" s="14" t="str">
        <f t="shared" si="2"/>
        <v>55.32602,36.746503</v>
      </c>
      <c r="T1260" s="12"/>
    </row>
    <row r="1261">
      <c r="A1261" s="15" t="s">
        <v>8253</v>
      </c>
      <c r="B1261" s="16" t="s">
        <v>8254</v>
      </c>
      <c r="C1261" s="16" t="s">
        <v>8255</v>
      </c>
      <c r="D1261" s="16" t="s">
        <v>16</v>
      </c>
      <c r="E1261" s="17" t="s">
        <v>8256</v>
      </c>
      <c r="F1261" s="16" t="s">
        <v>6724</v>
      </c>
      <c r="G1261" s="16">
        <v>23.61</v>
      </c>
      <c r="H1261" s="16"/>
      <c r="I1261" s="32" t="s">
        <v>8257</v>
      </c>
      <c r="J1261" s="16" t="s">
        <v>8258</v>
      </c>
      <c r="K1261" s="16" t="s">
        <v>8259</v>
      </c>
      <c r="L1261" s="16"/>
      <c r="M1261" s="16"/>
      <c r="N1261" s="12"/>
      <c r="O1261" s="12"/>
      <c r="P1261" s="13">
        <f>IFERROR(__xludf.DUMMYFUNCTION("VALUE(SUBSTITUTE((INDEX(SPLIT(A1261,"",""),1)),""."","","",1))"),55.019274)</f>
        <v>55.019274</v>
      </c>
      <c r="Q1261" s="13">
        <f>IFERROR(__xludf.DUMMYFUNCTION("VALUE(SUBSTITUTE((INDEX(SPLIT(A1261,"",""),2)),""."","","",1))"),36.751111)</f>
        <v>36.751111</v>
      </c>
      <c r="R1261" s="14" t="b">
        <f t="shared" si="1"/>
        <v>0</v>
      </c>
      <c r="S1261" s="14" t="str">
        <f t="shared" si="2"/>
        <v>55.019274,36.751111</v>
      </c>
      <c r="T1261" s="12"/>
    </row>
    <row r="1262">
      <c r="A1262" s="7" t="s">
        <v>8260</v>
      </c>
      <c r="B1262" s="8" t="s">
        <v>8261</v>
      </c>
      <c r="C1262" s="8" t="s">
        <v>8262</v>
      </c>
      <c r="D1262" s="8" t="s">
        <v>16</v>
      </c>
      <c r="E1262" s="9" t="s">
        <v>8263</v>
      </c>
      <c r="F1262" s="10" t="s">
        <v>6724</v>
      </c>
      <c r="G1262" s="8">
        <v>23.61</v>
      </c>
      <c r="H1262" s="8"/>
      <c r="I1262" s="10"/>
      <c r="J1262" s="10" t="s">
        <v>8264</v>
      </c>
      <c r="K1262" s="10" t="s">
        <v>8265</v>
      </c>
      <c r="L1262" s="11" t="s">
        <v>8266</v>
      </c>
      <c r="M1262" s="10"/>
      <c r="N1262" s="12"/>
      <c r="O1262" s="12"/>
      <c r="P1262" s="13">
        <f>IFERROR(__xludf.DUMMYFUNCTION("VALUE(SUBSTITUTE((INDEX(SPLIT(A1262,"",""),1)),""."","","",1))"),55.039512)</f>
        <v>55.039512</v>
      </c>
      <c r="Q1262" s="13">
        <f>IFERROR(__xludf.DUMMYFUNCTION("VALUE(SUBSTITUTE((INDEX(SPLIT(A1262,"",""),2)),""."","","",1))"),36.752297)</f>
        <v>36.752297</v>
      </c>
      <c r="R1262" s="14" t="b">
        <f t="shared" si="1"/>
        <v>0</v>
      </c>
      <c r="S1262" s="14" t="str">
        <f t="shared" si="2"/>
        <v>55.039512,36.752297</v>
      </c>
      <c r="T1262" s="12"/>
    </row>
    <row r="1263">
      <c r="A1263" s="20" t="s">
        <v>8267</v>
      </c>
      <c r="B1263" s="16" t="s">
        <v>8268</v>
      </c>
      <c r="C1263" s="16" t="s">
        <v>8269</v>
      </c>
      <c r="D1263" s="16" t="s">
        <v>16</v>
      </c>
      <c r="E1263" s="21" t="s">
        <v>8270</v>
      </c>
      <c r="F1263" s="22" t="s">
        <v>3760</v>
      </c>
      <c r="G1263" s="16">
        <v>23.61</v>
      </c>
      <c r="H1263" s="16"/>
      <c r="I1263" s="22"/>
      <c r="J1263" s="22" t="s">
        <v>8271</v>
      </c>
      <c r="K1263" s="22" t="s">
        <v>8272</v>
      </c>
      <c r="L1263" s="23" t="s">
        <v>8273</v>
      </c>
      <c r="M1263" s="22"/>
      <c r="N1263" s="12"/>
      <c r="O1263" s="12"/>
      <c r="P1263" s="13">
        <f>IFERROR(__xludf.DUMMYFUNCTION("VALUE(SUBSTITUTE((INDEX(SPLIT(A1263,"",""),1)),""."","","",1))"),56.338833)</f>
        <v>56.338833</v>
      </c>
      <c r="Q1263" s="13">
        <f>IFERROR(__xludf.DUMMYFUNCTION("VALUE(SUBSTITUTE((INDEX(SPLIT(A1263,"",""),2)),""."","","",1))"),36.762215)</f>
        <v>36.762215</v>
      </c>
      <c r="R1263" s="14" t="b">
        <f t="shared" si="1"/>
        <v>0</v>
      </c>
      <c r="S1263" s="14" t="str">
        <f t="shared" si="2"/>
        <v>56.338833,36.762215</v>
      </c>
      <c r="T1263" s="12"/>
    </row>
    <row r="1264">
      <c r="A1264" s="18" t="s">
        <v>8274</v>
      </c>
      <c r="B1264" s="8" t="s">
        <v>6129</v>
      </c>
      <c r="C1264" s="8" t="s">
        <v>6130</v>
      </c>
      <c r="D1264" s="8" t="s">
        <v>16</v>
      </c>
      <c r="E1264" s="19" t="s">
        <v>8275</v>
      </c>
      <c r="F1264" s="8" t="s">
        <v>3760</v>
      </c>
      <c r="G1264" s="8">
        <v>23.61</v>
      </c>
      <c r="H1264" s="8"/>
      <c r="I1264" s="8"/>
      <c r="J1264" s="8" t="s">
        <v>8276</v>
      </c>
      <c r="K1264" s="8" t="s">
        <v>8277</v>
      </c>
      <c r="L1264" s="8"/>
      <c r="M1264" s="8"/>
      <c r="N1264" s="12"/>
      <c r="O1264" s="12"/>
      <c r="P1264" s="13">
        <f>IFERROR(__xludf.DUMMYFUNCTION("VALUE(SUBSTITUTE((INDEX(SPLIT(A1264,"",""),1)),""."","","",1))"),56.319225)</f>
        <v>56.319225</v>
      </c>
      <c r="Q1264" s="13">
        <f>IFERROR(__xludf.DUMMYFUNCTION("VALUE(SUBSTITUTE((INDEX(SPLIT(A1264,"",""),2)),""."","","",1))"),36.766508)</f>
        <v>36.766508</v>
      </c>
      <c r="R1264" s="14" t="b">
        <f t="shared" si="1"/>
        <v>0</v>
      </c>
      <c r="S1264" s="14" t="str">
        <f t="shared" si="2"/>
        <v>56.319225,36.766508</v>
      </c>
      <c r="T1264" s="12"/>
    </row>
    <row r="1265">
      <c r="A1265" s="20" t="s">
        <v>8278</v>
      </c>
      <c r="B1265" s="16" t="s">
        <v>8279</v>
      </c>
      <c r="C1265" s="16" t="s">
        <v>8280</v>
      </c>
      <c r="D1265" s="16" t="s">
        <v>16</v>
      </c>
      <c r="E1265" s="21" t="s">
        <v>8281</v>
      </c>
      <c r="F1265" s="22" t="s">
        <v>3883</v>
      </c>
      <c r="G1265" s="16">
        <v>23.61</v>
      </c>
      <c r="H1265" s="16"/>
      <c r="I1265" s="22"/>
      <c r="J1265" s="22" t="s">
        <v>8282</v>
      </c>
      <c r="K1265" s="22" t="s">
        <v>8283</v>
      </c>
      <c r="L1265" s="23" t="s">
        <v>8284</v>
      </c>
      <c r="M1265" s="22"/>
      <c r="N1265" s="12"/>
      <c r="O1265" s="12"/>
      <c r="P1265" s="13">
        <f>IFERROR(__xludf.DUMMYFUNCTION("VALUE(SUBSTITUTE((INDEX(SPLIT(A1265,"",""),1)),""."","","",1))"),56.709764)</f>
        <v>56.709764</v>
      </c>
      <c r="Q1265" s="13">
        <f>IFERROR(__xludf.DUMMYFUNCTION("VALUE(SUBSTITUTE((INDEX(SPLIT(A1265,"",""),2)),""."","","",1))"),36.793674)</f>
        <v>36.793674</v>
      </c>
      <c r="R1265" s="14" t="b">
        <f t="shared" si="1"/>
        <v>0</v>
      </c>
      <c r="S1265" s="14" t="str">
        <f t="shared" si="2"/>
        <v>56.709764,36.793674</v>
      </c>
      <c r="T1265" s="12"/>
    </row>
    <row r="1266">
      <c r="A1266" s="18" t="s">
        <v>8285</v>
      </c>
      <c r="B1266" s="8" t="s">
        <v>8286</v>
      </c>
      <c r="C1266" s="8" t="s">
        <v>8287</v>
      </c>
      <c r="D1266" s="8" t="s">
        <v>16</v>
      </c>
      <c r="E1266" s="19" t="s">
        <v>8288</v>
      </c>
      <c r="F1266" s="8" t="s">
        <v>3760</v>
      </c>
      <c r="G1266" s="8">
        <v>23.61</v>
      </c>
      <c r="H1266" s="8"/>
      <c r="I1266" s="8"/>
      <c r="J1266" s="8" t="s">
        <v>8289</v>
      </c>
      <c r="K1266" s="8" t="s">
        <v>8290</v>
      </c>
      <c r="L1266" s="8"/>
      <c r="M1266" s="8"/>
      <c r="N1266" s="12"/>
      <c r="O1266" s="12"/>
      <c r="P1266" s="13">
        <f>IFERROR(__xludf.DUMMYFUNCTION("VALUE(SUBSTITUTE((INDEX(SPLIT(A1266,"",""),1)),""."","","",1))"),55.739934)</f>
        <v>55.739934</v>
      </c>
      <c r="Q1266" s="13">
        <f>IFERROR(__xludf.DUMMYFUNCTION("VALUE(SUBSTITUTE((INDEX(SPLIT(A1266,"",""),2)),""."","","",1))"),36.856035)</f>
        <v>36.856035</v>
      </c>
      <c r="R1266" s="14" t="b">
        <f t="shared" si="1"/>
        <v>0</v>
      </c>
      <c r="S1266" s="14" t="str">
        <f t="shared" si="2"/>
        <v>55.739934,36.856035</v>
      </c>
      <c r="T1266" s="12"/>
    </row>
    <row r="1267">
      <c r="A1267" s="15" t="s">
        <v>8291</v>
      </c>
      <c r="B1267" s="16" t="s">
        <v>8292</v>
      </c>
      <c r="C1267" s="16" t="s">
        <v>8293</v>
      </c>
      <c r="D1267" s="16" t="s">
        <v>16</v>
      </c>
      <c r="E1267" s="17" t="s">
        <v>8294</v>
      </c>
      <c r="F1267" s="16" t="s">
        <v>3760</v>
      </c>
      <c r="G1267" s="16">
        <v>23.61</v>
      </c>
      <c r="H1267" s="16"/>
      <c r="I1267" s="16"/>
      <c r="J1267" s="16" t="s">
        <v>8295</v>
      </c>
      <c r="K1267" s="16" t="s">
        <v>8296</v>
      </c>
      <c r="L1267" s="16"/>
      <c r="M1267" s="25" t="s">
        <v>8297</v>
      </c>
      <c r="N1267" s="12"/>
      <c r="O1267" s="12"/>
      <c r="P1267" s="13">
        <f>IFERROR(__xludf.DUMMYFUNCTION("VALUE(SUBSTITUTE((INDEX(SPLIT(A1267,"",""),1)),""."","","",1))"),55.701268)</f>
        <v>55.701268</v>
      </c>
      <c r="Q1267" s="13">
        <f>IFERROR(__xludf.DUMMYFUNCTION("VALUE(SUBSTITUTE((INDEX(SPLIT(A1267,"",""),2)),""."","","",1))"),36.877477)</f>
        <v>36.877477</v>
      </c>
      <c r="R1267" s="14" t="b">
        <f t="shared" si="1"/>
        <v>0</v>
      </c>
      <c r="S1267" s="14" t="str">
        <f t="shared" si="2"/>
        <v>55.701268,36.877477</v>
      </c>
      <c r="T1267" s="12"/>
    </row>
    <row r="1268">
      <c r="A1268" s="7" t="s">
        <v>8298</v>
      </c>
      <c r="B1268" s="8" t="s">
        <v>8299</v>
      </c>
      <c r="C1268" s="8" t="s">
        <v>8300</v>
      </c>
      <c r="D1268" s="8" t="s">
        <v>16</v>
      </c>
      <c r="E1268" s="9" t="s">
        <v>8301</v>
      </c>
      <c r="F1268" s="10" t="s">
        <v>3760</v>
      </c>
      <c r="G1268" s="8">
        <v>23.61</v>
      </c>
      <c r="H1268" s="8"/>
      <c r="I1268" s="31" t="s">
        <v>8302</v>
      </c>
      <c r="J1268" s="10" t="s">
        <v>8303</v>
      </c>
      <c r="K1268" s="10" t="s">
        <v>8304</v>
      </c>
      <c r="L1268" s="11" t="s">
        <v>8305</v>
      </c>
      <c r="M1268" s="11" t="s">
        <v>8306</v>
      </c>
      <c r="N1268" s="12"/>
      <c r="O1268" s="12"/>
      <c r="P1268" s="13">
        <f>IFERROR(__xludf.DUMMYFUNCTION("VALUE(SUBSTITUTE((INDEX(SPLIT(A1268,"",""),1)),""."","","",1))"),55.924013)</f>
        <v>55.924013</v>
      </c>
      <c r="Q1268" s="13">
        <f>IFERROR(__xludf.DUMMYFUNCTION("VALUE(SUBSTITUTE((INDEX(SPLIT(A1268,"",""),2)),""."","","",1))"),36.881151)</f>
        <v>36.881151</v>
      </c>
      <c r="R1268" s="14" t="b">
        <f t="shared" si="1"/>
        <v>0</v>
      </c>
      <c r="S1268" s="14" t="str">
        <f t="shared" si="2"/>
        <v>55.924013,36.881151</v>
      </c>
      <c r="T1268" s="12"/>
    </row>
    <row r="1269">
      <c r="A1269" s="20" t="s">
        <v>8307</v>
      </c>
      <c r="B1269" s="16" t="s">
        <v>8308</v>
      </c>
      <c r="C1269" s="16" t="s">
        <v>8309</v>
      </c>
      <c r="D1269" s="16" t="s">
        <v>16</v>
      </c>
      <c r="E1269" s="21" t="s">
        <v>8310</v>
      </c>
      <c r="F1269" s="22" t="s">
        <v>6724</v>
      </c>
      <c r="G1269" s="16">
        <v>23.61</v>
      </c>
      <c r="H1269" s="16"/>
      <c r="I1269" s="22"/>
      <c r="J1269" s="22" t="s">
        <v>8311</v>
      </c>
      <c r="K1269" s="22" t="s">
        <v>8312</v>
      </c>
      <c r="L1269" s="23" t="s">
        <v>8313</v>
      </c>
      <c r="M1269" s="22"/>
      <c r="N1269" s="12"/>
      <c r="O1269" s="12"/>
      <c r="P1269" s="13">
        <f>IFERROR(__xludf.DUMMYFUNCTION("VALUE(SUBSTITUTE((INDEX(SPLIT(A1269,"",""),1)),""."","","",1))"),55.210361)</f>
        <v>55.210361</v>
      </c>
      <c r="Q1269" s="13">
        <f>IFERROR(__xludf.DUMMYFUNCTION("VALUE(SUBSTITUTE((INDEX(SPLIT(A1269,"",""),2)),""."","","",1))"),36.882391)</f>
        <v>36.882391</v>
      </c>
      <c r="R1269" s="14" t="b">
        <f t="shared" si="1"/>
        <v>0</v>
      </c>
      <c r="S1269" s="14" t="str">
        <f t="shared" si="2"/>
        <v>55.210361,36.882391</v>
      </c>
      <c r="T1269" s="12"/>
    </row>
    <row r="1270">
      <c r="A1270" s="7" t="s">
        <v>8314</v>
      </c>
      <c r="B1270" s="8" t="s">
        <v>8315</v>
      </c>
      <c r="C1270" s="8" t="s">
        <v>8316</v>
      </c>
      <c r="D1270" s="8" t="s">
        <v>16</v>
      </c>
      <c r="E1270" s="9" t="s">
        <v>8317</v>
      </c>
      <c r="F1270" s="10" t="s">
        <v>7052</v>
      </c>
      <c r="G1270" s="8">
        <v>23.61</v>
      </c>
      <c r="H1270" s="8"/>
      <c r="I1270" s="10"/>
      <c r="J1270" s="10" t="s">
        <v>8318</v>
      </c>
      <c r="K1270" s="10" t="s">
        <v>8319</v>
      </c>
      <c r="L1270" s="11" t="s">
        <v>8320</v>
      </c>
      <c r="M1270" s="10"/>
      <c r="N1270" s="12"/>
      <c r="O1270" s="12"/>
      <c r="P1270" s="13">
        <f>IFERROR(__xludf.DUMMYFUNCTION("VALUE(SUBSTITUTE((INDEX(SPLIT(A1270,"",""),1)),""."","","",1))"),51.880877)</f>
        <v>51.880877</v>
      </c>
      <c r="Q1270" s="13">
        <f>IFERROR(__xludf.DUMMYFUNCTION("VALUE(SUBSTITUTE((INDEX(SPLIT(A1270,"",""),2)),""."","","",1))"),36.891105)</f>
        <v>36.891105</v>
      </c>
      <c r="R1270" s="14" t="b">
        <f t="shared" si="1"/>
        <v>0</v>
      </c>
      <c r="S1270" s="14" t="str">
        <f t="shared" si="2"/>
        <v>51.880877,36.891105</v>
      </c>
      <c r="T1270" s="12"/>
    </row>
    <row r="1271">
      <c r="A1271" s="20" t="s">
        <v>8321</v>
      </c>
      <c r="B1271" s="16" t="s">
        <v>8322</v>
      </c>
      <c r="C1271" s="16" t="s">
        <v>8323</v>
      </c>
      <c r="D1271" s="16" t="s">
        <v>16</v>
      </c>
      <c r="E1271" s="21" t="s">
        <v>8324</v>
      </c>
      <c r="F1271" s="22" t="s">
        <v>3883</v>
      </c>
      <c r="G1271" s="16">
        <v>23.61</v>
      </c>
      <c r="H1271" s="16"/>
      <c r="I1271" s="22"/>
      <c r="J1271" s="22" t="s">
        <v>8325</v>
      </c>
      <c r="K1271" s="22" t="s">
        <v>8326</v>
      </c>
      <c r="L1271" s="23" t="s">
        <v>8327</v>
      </c>
      <c r="M1271" s="22"/>
      <c r="N1271" s="12"/>
      <c r="O1271" s="12"/>
      <c r="P1271" s="13">
        <f>IFERROR(__xludf.DUMMYFUNCTION("VALUE(SUBSTITUTE((INDEX(SPLIT(A1271,"",""),1)),""."","","",1))"),56.038474)</f>
        <v>56.038474</v>
      </c>
      <c r="Q1271" s="13">
        <f>IFERROR(__xludf.DUMMYFUNCTION("VALUE(SUBSTITUTE((INDEX(SPLIT(A1271,"",""),2)),""."","","",1))"),36.913473)</f>
        <v>36.913473</v>
      </c>
      <c r="R1271" s="14" t="b">
        <f t="shared" si="1"/>
        <v>0</v>
      </c>
      <c r="S1271" s="14" t="str">
        <f t="shared" si="2"/>
        <v>56.038474,36.913473</v>
      </c>
      <c r="T1271" s="12"/>
    </row>
    <row r="1272">
      <c r="A1272" s="7" t="s">
        <v>8328</v>
      </c>
      <c r="B1272" s="8" t="s">
        <v>8329</v>
      </c>
      <c r="C1272" s="8" t="s">
        <v>8330</v>
      </c>
      <c r="D1272" s="8" t="s">
        <v>16</v>
      </c>
      <c r="E1272" s="9" t="s">
        <v>8331</v>
      </c>
      <c r="F1272" s="10" t="s">
        <v>3883</v>
      </c>
      <c r="G1272" s="8">
        <v>23.61</v>
      </c>
      <c r="H1272" s="8"/>
      <c r="I1272" s="10"/>
      <c r="J1272" s="10" t="s">
        <v>8332</v>
      </c>
      <c r="K1272" s="10" t="s">
        <v>8333</v>
      </c>
      <c r="L1272" s="11" t="s">
        <v>8334</v>
      </c>
      <c r="M1272" s="10"/>
      <c r="N1272" s="12"/>
      <c r="O1272" s="12"/>
      <c r="P1272" s="13">
        <f>IFERROR(__xludf.DUMMYFUNCTION("VALUE(SUBSTITUTE((INDEX(SPLIT(A1272,"",""),1)),""."","","",1))"),55.455688)</f>
        <v>55.455688</v>
      </c>
      <c r="Q1272" s="13">
        <f>IFERROR(__xludf.DUMMYFUNCTION("VALUE(SUBSTITUTE((INDEX(SPLIT(A1272,"",""),2)),""."","","",1))"),36.938051)</f>
        <v>36.938051</v>
      </c>
      <c r="R1272" s="14" t="b">
        <f t="shared" si="1"/>
        <v>0</v>
      </c>
      <c r="S1272" s="14" t="str">
        <f t="shared" si="2"/>
        <v>55.455688,36.938051</v>
      </c>
      <c r="T1272" s="12"/>
    </row>
    <row r="1273">
      <c r="A1273" s="20" t="s">
        <v>8328</v>
      </c>
      <c r="B1273" s="16" t="s">
        <v>8335</v>
      </c>
      <c r="C1273" s="16" t="s">
        <v>8336</v>
      </c>
      <c r="D1273" s="16" t="s">
        <v>16</v>
      </c>
      <c r="E1273" s="21" t="s">
        <v>8337</v>
      </c>
      <c r="F1273" s="22" t="s">
        <v>3883</v>
      </c>
      <c r="G1273" s="16">
        <v>23.61</v>
      </c>
      <c r="H1273" s="16"/>
      <c r="I1273" s="22"/>
      <c r="J1273" s="22" t="s">
        <v>8338</v>
      </c>
      <c r="K1273" s="22" t="s">
        <v>8339</v>
      </c>
      <c r="L1273" s="23" t="s">
        <v>8340</v>
      </c>
      <c r="M1273" s="23" t="s">
        <v>8341</v>
      </c>
      <c r="N1273" s="12"/>
      <c r="O1273" s="12"/>
      <c r="P1273" s="13">
        <f>IFERROR(__xludf.DUMMYFUNCTION("VALUE(SUBSTITUTE((INDEX(SPLIT(A1273,"",""),1)),""."","","",1))"),55.455688)</f>
        <v>55.455688</v>
      </c>
      <c r="Q1273" s="13">
        <f>IFERROR(__xludf.DUMMYFUNCTION("VALUE(SUBSTITUTE((INDEX(SPLIT(A1273,"",""),2)),""."","","",1))"),36.938051)</f>
        <v>36.938051</v>
      </c>
      <c r="R1273" s="14" t="b">
        <f t="shared" si="1"/>
        <v>0</v>
      </c>
      <c r="S1273" s="14" t="str">
        <f t="shared" si="2"/>
        <v>55.455688,36.938051</v>
      </c>
      <c r="T1273" s="12"/>
    </row>
    <row r="1274">
      <c r="A1274" s="7" t="s">
        <v>8342</v>
      </c>
      <c r="B1274" s="8" t="s">
        <v>8343</v>
      </c>
      <c r="C1274" s="8" t="s">
        <v>8344</v>
      </c>
      <c r="D1274" s="8" t="s">
        <v>16</v>
      </c>
      <c r="E1274" s="9" t="s">
        <v>8345</v>
      </c>
      <c r="F1274" s="10" t="s">
        <v>3760</v>
      </c>
      <c r="G1274" s="8">
        <v>23.61</v>
      </c>
      <c r="H1274" s="8"/>
      <c r="I1274" s="10"/>
      <c r="J1274" s="10" t="s">
        <v>8346</v>
      </c>
      <c r="K1274" s="10" t="s">
        <v>8347</v>
      </c>
      <c r="L1274" s="11" t="s">
        <v>8348</v>
      </c>
      <c r="M1274" s="11" t="s">
        <v>8349</v>
      </c>
      <c r="N1274" s="12"/>
      <c r="O1274" s="12"/>
      <c r="P1274" s="13">
        <f>IFERROR(__xludf.DUMMYFUNCTION("VALUE(SUBSTITUTE((INDEX(SPLIT(A1274,"",""),1)),""."","","",1))"),55.927044)</f>
        <v>55.927044</v>
      </c>
      <c r="Q1274" s="13">
        <f>IFERROR(__xludf.DUMMYFUNCTION("VALUE(SUBSTITUTE((INDEX(SPLIT(A1274,"",""),2)),""."","","",1))"),36.95767)</f>
        <v>36.95767</v>
      </c>
      <c r="R1274" s="14" t="b">
        <f t="shared" si="1"/>
        <v>0</v>
      </c>
      <c r="S1274" s="14" t="str">
        <f t="shared" si="2"/>
        <v>55.927044,36.95767</v>
      </c>
      <c r="T1274" s="12"/>
    </row>
    <row r="1275">
      <c r="A1275" s="15" t="s">
        <v>8350</v>
      </c>
      <c r="B1275" s="16" t="s">
        <v>8351</v>
      </c>
      <c r="C1275" s="16" t="s">
        <v>8352</v>
      </c>
      <c r="D1275" s="16" t="s">
        <v>16</v>
      </c>
      <c r="E1275" s="17" t="s">
        <v>8353</v>
      </c>
      <c r="F1275" s="16" t="s">
        <v>3760</v>
      </c>
      <c r="G1275" s="16">
        <v>23.61</v>
      </c>
      <c r="H1275" s="16"/>
      <c r="I1275" s="16"/>
      <c r="J1275" s="16" t="s">
        <v>8354</v>
      </c>
      <c r="K1275" s="16" t="s">
        <v>8355</v>
      </c>
      <c r="L1275" s="16"/>
      <c r="M1275" s="16"/>
      <c r="N1275" s="12"/>
      <c r="O1275" s="12"/>
      <c r="P1275" s="13">
        <f>IFERROR(__xludf.DUMMYFUNCTION("VALUE(SUBSTITUTE((INDEX(SPLIT(A1275,"",""),1)),""."","","",1))"),55.629694)</f>
        <v>55.629694</v>
      </c>
      <c r="Q1275" s="13">
        <f>IFERROR(__xludf.DUMMYFUNCTION("VALUE(SUBSTITUTE((INDEX(SPLIT(A1275,"",""),2)),""."","","",1))"),36.965072)</f>
        <v>36.965072</v>
      </c>
      <c r="R1275" s="14" t="b">
        <f t="shared" si="1"/>
        <v>0</v>
      </c>
      <c r="S1275" s="14" t="str">
        <f t="shared" si="2"/>
        <v>55.629694,36.965072</v>
      </c>
      <c r="T1275" s="12"/>
    </row>
    <row r="1276">
      <c r="A1276" s="18" t="s">
        <v>8356</v>
      </c>
      <c r="B1276" s="8" t="s">
        <v>8357</v>
      </c>
      <c r="C1276" s="8" t="s">
        <v>8358</v>
      </c>
      <c r="D1276" s="8" t="s">
        <v>16</v>
      </c>
      <c r="E1276" s="19" t="s">
        <v>8359</v>
      </c>
      <c r="F1276" s="8" t="s">
        <v>3760</v>
      </c>
      <c r="G1276" s="8">
        <v>23.61</v>
      </c>
      <c r="H1276" s="8"/>
      <c r="I1276" s="8"/>
      <c r="J1276" s="8" t="s">
        <v>8360</v>
      </c>
      <c r="K1276" s="8" t="s">
        <v>8361</v>
      </c>
      <c r="L1276" s="8"/>
      <c r="M1276" s="8"/>
      <c r="N1276" s="12"/>
      <c r="O1276" s="12"/>
      <c r="P1276" s="13">
        <f>IFERROR(__xludf.DUMMYFUNCTION("VALUE(SUBSTITUTE((INDEX(SPLIT(A1276,"",""),1)),""."","","",1))"),55.639893)</f>
        <v>55.639893</v>
      </c>
      <c r="Q1276" s="13">
        <f>IFERROR(__xludf.DUMMYFUNCTION("VALUE(SUBSTITUTE((INDEX(SPLIT(A1276,"",""),2)),""."","","",1))"),36.96783)</f>
        <v>36.96783</v>
      </c>
      <c r="R1276" s="14" t="b">
        <f t="shared" si="1"/>
        <v>0</v>
      </c>
      <c r="S1276" s="14" t="str">
        <f t="shared" si="2"/>
        <v>55.639893,36.96783</v>
      </c>
      <c r="T1276" s="12"/>
    </row>
    <row r="1277">
      <c r="A1277" s="15" t="s">
        <v>8362</v>
      </c>
      <c r="B1277" s="16" t="s">
        <v>2741</v>
      </c>
      <c r="C1277" s="16" t="s">
        <v>2742</v>
      </c>
      <c r="D1277" s="16" t="s">
        <v>16</v>
      </c>
      <c r="E1277" s="17" t="s">
        <v>8363</v>
      </c>
      <c r="F1277" s="16" t="s">
        <v>3760</v>
      </c>
      <c r="G1277" s="16">
        <v>23.61</v>
      </c>
      <c r="H1277" s="16"/>
      <c r="I1277" s="16"/>
      <c r="J1277" s="16" t="s">
        <v>8364</v>
      </c>
      <c r="K1277" s="16" t="s">
        <v>8365</v>
      </c>
      <c r="L1277" s="16"/>
      <c r="M1277" s="16"/>
      <c r="N1277" s="12"/>
      <c r="O1277" s="12"/>
      <c r="P1277" s="13">
        <f>IFERROR(__xludf.DUMMYFUNCTION("VALUE(SUBSTITUTE((INDEX(SPLIT(A1277,"",""),1)),""."","","",1))"),55.516196)</f>
        <v>55.516196</v>
      </c>
      <c r="Q1277" s="13">
        <f>IFERROR(__xludf.DUMMYFUNCTION("VALUE(SUBSTITUTE((INDEX(SPLIT(A1277,"",""),2)),""."","","",1))"),36.969986)</f>
        <v>36.969986</v>
      </c>
      <c r="R1277" s="14" t="b">
        <f t="shared" si="1"/>
        <v>0</v>
      </c>
      <c r="S1277" s="14" t="str">
        <f t="shared" si="2"/>
        <v>55.516196,36.969986</v>
      </c>
      <c r="T1277" s="12"/>
    </row>
    <row r="1278">
      <c r="A1278" s="18" t="s">
        <v>8366</v>
      </c>
      <c r="B1278" s="8" t="s">
        <v>8367</v>
      </c>
      <c r="C1278" s="8" t="s">
        <v>8368</v>
      </c>
      <c r="D1278" s="8" t="s">
        <v>16</v>
      </c>
      <c r="E1278" s="19" t="s">
        <v>8369</v>
      </c>
      <c r="F1278" s="8" t="s">
        <v>3760</v>
      </c>
      <c r="G1278" s="8">
        <v>23.61</v>
      </c>
      <c r="H1278" s="8"/>
      <c r="I1278" s="8"/>
      <c r="J1278" s="8" t="s">
        <v>8370</v>
      </c>
      <c r="K1278" s="8" t="s">
        <v>8371</v>
      </c>
      <c r="L1278" s="8"/>
      <c r="M1278" s="8"/>
      <c r="N1278" s="12"/>
      <c r="O1278" s="12"/>
      <c r="P1278" s="13">
        <f>IFERROR(__xludf.DUMMYFUNCTION("VALUE(SUBSTITUTE((INDEX(SPLIT(A1278,"",""),1)),""."","","",1))"),55.640304)</f>
        <v>55.640304</v>
      </c>
      <c r="Q1278" s="13">
        <f>IFERROR(__xludf.DUMMYFUNCTION("VALUE(SUBSTITUTE((INDEX(SPLIT(A1278,"",""),2)),""."","","",1))"),36.972277)</f>
        <v>36.972277</v>
      </c>
      <c r="R1278" s="14" t="b">
        <f t="shared" si="1"/>
        <v>0</v>
      </c>
      <c r="S1278" s="14" t="str">
        <f t="shared" si="2"/>
        <v>55.640304,36.972277</v>
      </c>
      <c r="T1278" s="12"/>
    </row>
    <row r="1279">
      <c r="A1279" s="20" t="s">
        <v>8372</v>
      </c>
      <c r="B1279" s="16" t="s">
        <v>8373</v>
      </c>
      <c r="C1279" s="16" t="s">
        <v>8374</v>
      </c>
      <c r="D1279" s="16" t="s">
        <v>16</v>
      </c>
      <c r="E1279" s="21" t="s">
        <v>8375</v>
      </c>
      <c r="F1279" s="22" t="s">
        <v>3760</v>
      </c>
      <c r="G1279" s="16">
        <v>23.61</v>
      </c>
      <c r="H1279" s="16"/>
      <c r="I1279" s="28" t="s">
        <v>8376</v>
      </c>
      <c r="J1279" s="22" t="s">
        <v>8377</v>
      </c>
      <c r="K1279" s="22" t="s">
        <v>8378</v>
      </c>
      <c r="L1279" s="23" t="s">
        <v>8379</v>
      </c>
      <c r="M1279" s="22"/>
      <c r="N1279" s="12"/>
      <c r="O1279" s="12"/>
      <c r="P1279" s="13">
        <f>IFERROR(__xludf.DUMMYFUNCTION("VALUE(SUBSTITUTE((INDEX(SPLIT(A1279,"",""),1)),""."","","",1))"),56.185107)</f>
        <v>56.185107</v>
      </c>
      <c r="Q1279" s="13">
        <f>IFERROR(__xludf.DUMMYFUNCTION("VALUE(SUBSTITUTE((INDEX(SPLIT(A1279,"",""),2)),""."","","",1))"),36.977631)</f>
        <v>36.977631</v>
      </c>
      <c r="R1279" s="14" t="b">
        <f t="shared" si="1"/>
        <v>0</v>
      </c>
      <c r="S1279" s="14" t="str">
        <f t="shared" si="2"/>
        <v>56.185107,36.977631</v>
      </c>
      <c r="T1279" s="12"/>
    </row>
    <row r="1280">
      <c r="A1280" s="18" t="s">
        <v>8380</v>
      </c>
      <c r="B1280" s="8" t="s">
        <v>8381</v>
      </c>
      <c r="C1280" s="8" t="s">
        <v>8382</v>
      </c>
      <c r="D1280" s="8" t="s">
        <v>16</v>
      </c>
      <c r="E1280" s="19" t="s">
        <v>8383</v>
      </c>
      <c r="F1280" s="8" t="s">
        <v>3760</v>
      </c>
      <c r="G1280" s="8">
        <v>23.61</v>
      </c>
      <c r="H1280" s="8"/>
      <c r="I1280" s="8"/>
      <c r="J1280" s="8" t="s">
        <v>8384</v>
      </c>
      <c r="K1280" s="8" t="s">
        <v>8385</v>
      </c>
      <c r="L1280" s="8"/>
      <c r="M1280" s="8"/>
      <c r="N1280" s="12"/>
      <c r="O1280" s="12"/>
      <c r="P1280" s="13">
        <f>IFERROR(__xludf.DUMMYFUNCTION("VALUE(SUBSTITUTE((INDEX(SPLIT(A1280,"",""),1)),""."","","",1))"),55.644389)</f>
        <v>55.644389</v>
      </c>
      <c r="Q1280" s="13">
        <f>IFERROR(__xludf.DUMMYFUNCTION("VALUE(SUBSTITUTE((INDEX(SPLIT(A1280,"",""),2)),""."","","",1))"),36.977666)</f>
        <v>36.977666</v>
      </c>
      <c r="R1280" s="14" t="b">
        <f t="shared" si="1"/>
        <v>0</v>
      </c>
      <c r="S1280" s="14" t="str">
        <f t="shared" si="2"/>
        <v>55.644389,36.977666</v>
      </c>
      <c r="T1280" s="12"/>
    </row>
    <row r="1281">
      <c r="A1281" s="20" t="s">
        <v>8386</v>
      </c>
      <c r="B1281" s="16" t="s">
        <v>8387</v>
      </c>
      <c r="C1281" s="16" t="s">
        <v>156</v>
      </c>
      <c r="D1281" s="16" t="s">
        <v>16</v>
      </c>
      <c r="E1281" s="21" t="s">
        <v>8388</v>
      </c>
      <c r="F1281" s="22" t="s">
        <v>3760</v>
      </c>
      <c r="G1281" s="16">
        <v>23.61</v>
      </c>
      <c r="H1281" s="16"/>
      <c r="I1281" s="22"/>
      <c r="J1281" s="22" t="s">
        <v>8389</v>
      </c>
      <c r="K1281" s="22" t="s">
        <v>8390</v>
      </c>
      <c r="L1281" s="23" t="s">
        <v>8391</v>
      </c>
      <c r="M1281" s="22"/>
      <c r="N1281" s="12"/>
      <c r="O1281" s="12"/>
      <c r="P1281" s="13">
        <f>IFERROR(__xludf.DUMMYFUNCTION("VALUE(SUBSTITUTE((INDEX(SPLIT(A1281,"",""),1)),""."","","",1))"),56.186664)</f>
        <v>56.186664</v>
      </c>
      <c r="Q1281" s="13">
        <f>IFERROR(__xludf.DUMMYFUNCTION("VALUE(SUBSTITUTE((INDEX(SPLIT(A1281,"",""),2)),""."","","",1))"),36.984341)</f>
        <v>36.984341</v>
      </c>
      <c r="R1281" s="14" t="b">
        <f t="shared" si="1"/>
        <v>0</v>
      </c>
      <c r="S1281" s="14" t="str">
        <f t="shared" si="2"/>
        <v>56.186664,36.984341</v>
      </c>
      <c r="T1281" s="12"/>
    </row>
    <row r="1282">
      <c r="A1282" s="7" t="s">
        <v>8392</v>
      </c>
      <c r="B1282" s="8" t="s">
        <v>8393</v>
      </c>
      <c r="C1282" s="8" t="s">
        <v>8394</v>
      </c>
      <c r="D1282" s="8" t="s">
        <v>16</v>
      </c>
      <c r="E1282" s="9" t="s">
        <v>8395</v>
      </c>
      <c r="F1282" s="10" t="s">
        <v>3760</v>
      </c>
      <c r="G1282" s="8">
        <v>23.61</v>
      </c>
      <c r="H1282" s="8"/>
      <c r="I1282" s="10"/>
      <c r="J1282" s="10" t="s">
        <v>8396</v>
      </c>
      <c r="K1282" s="10" t="s">
        <v>8397</v>
      </c>
      <c r="L1282" s="11" t="s">
        <v>8398</v>
      </c>
      <c r="M1282" s="10"/>
      <c r="N1282" s="12"/>
      <c r="O1282" s="12"/>
      <c r="P1282" s="13">
        <f>IFERROR(__xludf.DUMMYFUNCTION("VALUE(SUBSTITUTE((INDEX(SPLIT(A1282,"",""),1)),""."","","",1))"),56.178493)</f>
        <v>56.178493</v>
      </c>
      <c r="Q1282" s="13">
        <f>IFERROR(__xludf.DUMMYFUNCTION("VALUE(SUBSTITUTE((INDEX(SPLIT(A1282,"",""),2)),""."","","",1))"),36.985266)</f>
        <v>36.985266</v>
      </c>
      <c r="R1282" s="14" t="b">
        <f t="shared" si="1"/>
        <v>0</v>
      </c>
      <c r="S1282" s="14" t="str">
        <f t="shared" si="2"/>
        <v>56.178493,36.985266</v>
      </c>
      <c r="T1282" s="12"/>
    </row>
    <row r="1283">
      <c r="A1283" s="20" t="s">
        <v>8399</v>
      </c>
      <c r="B1283" s="16" t="s">
        <v>8400</v>
      </c>
      <c r="C1283" s="16" t="s">
        <v>8401</v>
      </c>
      <c r="D1283" s="16" t="s">
        <v>16</v>
      </c>
      <c r="E1283" s="21" t="s">
        <v>8402</v>
      </c>
      <c r="F1283" s="22" t="s">
        <v>3760</v>
      </c>
      <c r="G1283" s="16">
        <v>23.61</v>
      </c>
      <c r="H1283" s="16"/>
      <c r="I1283" s="22"/>
      <c r="J1283" s="22" t="s">
        <v>8403</v>
      </c>
      <c r="K1283" s="22" t="s">
        <v>8404</v>
      </c>
      <c r="L1283" s="23" t="s">
        <v>8405</v>
      </c>
      <c r="M1283" s="22"/>
      <c r="N1283" s="12"/>
      <c r="O1283" s="12"/>
      <c r="P1283" s="13">
        <f>IFERROR(__xludf.DUMMYFUNCTION("VALUE(SUBSTITUTE((INDEX(SPLIT(A1283,"",""),1)),""."","","",1))"),56.184365)</f>
        <v>56.184365</v>
      </c>
      <c r="Q1283" s="13">
        <f>IFERROR(__xludf.DUMMYFUNCTION("VALUE(SUBSTITUTE((INDEX(SPLIT(A1283,"",""),2)),""."","","",1))"),36.98559)</f>
        <v>36.98559</v>
      </c>
      <c r="R1283" s="14" t="b">
        <f t="shared" si="1"/>
        <v>0</v>
      </c>
      <c r="S1283" s="14" t="str">
        <f t="shared" si="2"/>
        <v>56.184365,36.98559</v>
      </c>
      <c r="T1283" s="12"/>
    </row>
    <row r="1284">
      <c r="A1284" s="18" t="s">
        <v>8406</v>
      </c>
      <c r="B1284" s="8" t="s">
        <v>8407</v>
      </c>
      <c r="C1284" s="8" t="s">
        <v>8408</v>
      </c>
      <c r="D1284" s="8" t="s">
        <v>16</v>
      </c>
      <c r="E1284" s="19" t="s">
        <v>8409</v>
      </c>
      <c r="F1284" s="8" t="s">
        <v>3760</v>
      </c>
      <c r="G1284" s="8">
        <v>23.61</v>
      </c>
      <c r="H1284" s="8"/>
      <c r="I1284" s="8"/>
      <c r="J1284" s="8" t="s">
        <v>8410</v>
      </c>
      <c r="K1284" s="8" t="s">
        <v>8411</v>
      </c>
      <c r="L1284" s="8"/>
      <c r="M1284" s="8"/>
      <c r="N1284" s="12"/>
      <c r="O1284" s="12"/>
      <c r="P1284" s="13">
        <f>IFERROR(__xludf.DUMMYFUNCTION("VALUE(SUBSTITUTE((INDEX(SPLIT(A1284,"",""),1)),""."","","",1))"),55.641895)</f>
        <v>55.641895</v>
      </c>
      <c r="Q1284" s="13">
        <f>IFERROR(__xludf.DUMMYFUNCTION("VALUE(SUBSTITUTE((INDEX(SPLIT(A1284,"",""),2)),""."","","",1))"),36.986712)</f>
        <v>36.986712</v>
      </c>
      <c r="R1284" s="14" t="b">
        <f t="shared" si="1"/>
        <v>0</v>
      </c>
      <c r="S1284" s="14" t="str">
        <f t="shared" si="2"/>
        <v>55.641895,36.986712</v>
      </c>
      <c r="T1284" s="12"/>
    </row>
    <row r="1285">
      <c r="A1285" s="20" t="s">
        <v>8412</v>
      </c>
      <c r="B1285" s="16" t="s">
        <v>1620</v>
      </c>
      <c r="C1285" s="16" t="s">
        <v>1621</v>
      </c>
      <c r="D1285" s="16" t="s">
        <v>16</v>
      </c>
      <c r="E1285" s="21" t="s">
        <v>8413</v>
      </c>
      <c r="F1285" s="22" t="s">
        <v>3760</v>
      </c>
      <c r="G1285" s="16">
        <v>23.61</v>
      </c>
      <c r="H1285" s="16"/>
      <c r="I1285" s="22"/>
      <c r="J1285" s="22" t="s">
        <v>8414</v>
      </c>
      <c r="K1285" s="22" t="s">
        <v>8415</v>
      </c>
      <c r="L1285" s="23" t="s">
        <v>8416</v>
      </c>
      <c r="M1285" s="22"/>
      <c r="N1285" s="12"/>
      <c r="O1285" s="12"/>
      <c r="P1285" s="13">
        <f>IFERROR(__xludf.DUMMYFUNCTION("VALUE(SUBSTITUTE((INDEX(SPLIT(A1285,"",""),1)),""."","","",1))"),55.5254)</f>
        <v>55.5254</v>
      </c>
      <c r="Q1285" s="13">
        <f>IFERROR(__xludf.DUMMYFUNCTION("VALUE(SUBSTITUTE((INDEX(SPLIT(A1285,"",""),2)),""."","","",1))"),37.000852)</f>
        <v>37.000852</v>
      </c>
      <c r="R1285" s="14" t="b">
        <f t="shared" si="1"/>
        <v>0</v>
      </c>
      <c r="S1285" s="14" t="str">
        <f t="shared" si="2"/>
        <v>55.5254,37.000852</v>
      </c>
      <c r="T1285" s="12"/>
    </row>
    <row r="1286">
      <c r="A1286" s="18" t="s">
        <v>8417</v>
      </c>
      <c r="B1286" s="8" t="s">
        <v>8418</v>
      </c>
      <c r="C1286" s="8" t="s">
        <v>8419</v>
      </c>
      <c r="D1286" s="8" t="s">
        <v>16</v>
      </c>
      <c r="E1286" s="19" t="s">
        <v>8420</v>
      </c>
      <c r="F1286" s="8" t="s">
        <v>3760</v>
      </c>
      <c r="G1286" s="8">
        <v>23.61</v>
      </c>
      <c r="H1286" s="8"/>
      <c r="I1286" s="8"/>
      <c r="J1286" s="8" t="s">
        <v>8421</v>
      </c>
      <c r="K1286" s="8" t="s">
        <v>8422</v>
      </c>
      <c r="L1286" s="8"/>
      <c r="M1286" s="8"/>
      <c r="N1286" s="12"/>
      <c r="O1286" s="12"/>
      <c r="P1286" s="13">
        <f>IFERROR(__xludf.DUMMYFUNCTION("VALUE(SUBSTITUTE((INDEX(SPLIT(A1286,"",""),1)),""."","","",1))"),56.177757)</f>
        <v>56.177757</v>
      </c>
      <c r="Q1286" s="13">
        <f>IFERROR(__xludf.DUMMYFUNCTION("VALUE(SUBSTITUTE((INDEX(SPLIT(A1286,"",""),2)),""."","","",1))"),37.000888)</f>
        <v>37.000888</v>
      </c>
      <c r="R1286" s="14" t="b">
        <f t="shared" si="1"/>
        <v>0</v>
      </c>
      <c r="S1286" s="14" t="str">
        <f t="shared" si="2"/>
        <v>56.177757,37.000888</v>
      </c>
      <c r="T1286" s="12"/>
    </row>
    <row r="1287">
      <c r="A1287" s="15" t="s">
        <v>8423</v>
      </c>
      <c r="B1287" s="16" t="s">
        <v>8424</v>
      </c>
      <c r="C1287" s="16" t="s">
        <v>8425</v>
      </c>
      <c r="D1287" s="16" t="s">
        <v>16</v>
      </c>
      <c r="E1287" s="17" t="s">
        <v>8426</v>
      </c>
      <c r="F1287" s="16" t="s">
        <v>3760</v>
      </c>
      <c r="G1287" s="16">
        <v>23.61</v>
      </c>
      <c r="H1287" s="16"/>
      <c r="I1287" s="16"/>
      <c r="J1287" s="16" t="s">
        <v>8427</v>
      </c>
      <c r="K1287" s="16" t="s">
        <v>8428</v>
      </c>
      <c r="L1287" s="16"/>
      <c r="M1287" s="16"/>
      <c r="N1287" s="12"/>
      <c r="O1287" s="12"/>
      <c r="P1287" s="13">
        <f>IFERROR(__xludf.DUMMYFUNCTION("VALUE(SUBSTITUTE((INDEX(SPLIT(A1287,"",""),1)),""."","","",1))"),55.621948)</f>
        <v>55.621948</v>
      </c>
      <c r="Q1287" s="13">
        <f>IFERROR(__xludf.DUMMYFUNCTION("VALUE(SUBSTITUTE((INDEX(SPLIT(A1287,"",""),2)),""."","","",1))"),37.004041)</f>
        <v>37.004041</v>
      </c>
      <c r="R1287" s="14" t="b">
        <f t="shared" si="1"/>
        <v>0</v>
      </c>
      <c r="S1287" s="14" t="str">
        <f t="shared" si="2"/>
        <v>55.621948,37.004041</v>
      </c>
      <c r="T1287" s="12"/>
    </row>
    <row r="1288">
      <c r="A1288" s="18" t="s">
        <v>8429</v>
      </c>
      <c r="B1288" s="8" t="s">
        <v>8430</v>
      </c>
      <c r="C1288" s="8" t="s">
        <v>8431</v>
      </c>
      <c r="D1288" s="8" t="s">
        <v>16</v>
      </c>
      <c r="E1288" s="19" t="s">
        <v>8432</v>
      </c>
      <c r="F1288" s="8" t="s">
        <v>3760</v>
      </c>
      <c r="G1288" s="8">
        <v>23.61</v>
      </c>
      <c r="H1288" s="8"/>
      <c r="I1288" s="8"/>
      <c r="J1288" s="8" t="s">
        <v>8433</v>
      </c>
      <c r="K1288" s="8" t="s">
        <v>8434</v>
      </c>
      <c r="L1288" s="8"/>
      <c r="M1288" s="24" t="s">
        <v>8435</v>
      </c>
      <c r="N1288" s="12"/>
      <c r="O1288" s="12"/>
      <c r="P1288" s="13">
        <f>IFERROR(__xludf.DUMMYFUNCTION("VALUE(SUBSTITUTE((INDEX(SPLIT(A1288,"",""),1)),""."","","",1))"),55.637804)</f>
        <v>55.637804</v>
      </c>
      <c r="Q1288" s="13">
        <f>IFERROR(__xludf.DUMMYFUNCTION("VALUE(SUBSTITUTE((INDEX(SPLIT(A1288,"",""),2)),""."","","",1))"),37.017606)</f>
        <v>37.017606</v>
      </c>
      <c r="R1288" s="14" t="b">
        <f t="shared" si="1"/>
        <v>0</v>
      </c>
      <c r="S1288" s="14" t="str">
        <f t="shared" si="2"/>
        <v>55.637804,37.017606</v>
      </c>
      <c r="T1288" s="12"/>
    </row>
    <row r="1289">
      <c r="A1289" s="15" t="s">
        <v>8436</v>
      </c>
      <c r="B1289" s="16" t="s">
        <v>8367</v>
      </c>
      <c r="C1289" s="16" t="s">
        <v>8368</v>
      </c>
      <c r="D1289" s="16" t="s">
        <v>16</v>
      </c>
      <c r="E1289" s="17" t="s">
        <v>8437</v>
      </c>
      <c r="F1289" s="16" t="s">
        <v>3760</v>
      </c>
      <c r="G1289" s="16">
        <v>23.61</v>
      </c>
      <c r="H1289" s="16"/>
      <c r="I1289" s="16"/>
      <c r="J1289" s="16" t="s">
        <v>8438</v>
      </c>
      <c r="K1289" s="16" t="s">
        <v>8439</v>
      </c>
      <c r="L1289" s="16"/>
      <c r="M1289" s="16"/>
      <c r="N1289" s="12"/>
      <c r="O1289" s="12"/>
      <c r="P1289" s="13">
        <f>IFERROR(__xludf.DUMMYFUNCTION("VALUE(SUBSTITUTE((INDEX(SPLIT(A1289,"",""),1)),""."","","",1))"),55.639695)</f>
        <v>55.639695</v>
      </c>
      <c r="Q1289" s="13">
        <f>IFERROR(__xludf.DUMMYFUNCTION("VALUE(SUBSTITUTE((INDEX(SPLIT(A1289,"",""),2)),""."","","",1))"),37.028134)</f>
        <v>37.028134</v>
      </c>
      <c r="R1289" s="14" t="b">
        <f t="shared" si="1"/>
        <v>0</v>
      </c>
      <c r="S1289" s="14" t="str">
        <f t="shared" si="2"/>
        <v>55.639695,37.028134</v>
      </c>
      <c r="T1289" s="12"/>
    </row>
    <row r="1290">
      <c r="A1290" s="18" t="s">
        <v>8440</v>
      </c>
      <c r="B1290" s="8" t="s">
        <v>8441</v>
      </c>
      <c r="C1290" s="8" t="s">
        <v>8442</v>
      </c>
      <c r="D1290" s="8" t="s">
        <v>16</v>
      </c>
      <c r="E1290" s="19" t="s">
        <v>8443</v>
      </c>
      <c r="F1290" s="8" t="s">
        <v>3760</v>
      </c>
      <c r="G1290" s="8">
        <v>23.61</v>
      </c>
      <c r="H1290" s="8"/>
      <c r="I1290" s="8"/>
      <c r="J1290" s="8" t="s">
        <v>8444</v>
      </c>
      <c r="K1290" s="8" t="s">
        <v>8445</v>
      </c>
      <c r="L1290" s="8"/>
      <c r="M1290" s="24" t="s">
        <v>8446</v>
      </c>
      <c r="N1290" s="12"/>
      <c r="O1290" s="12"/>
      <c r="P1290" s="13">
        <f>IFERROR(__xludf.DUMMYFUNCTION("VALUE(SUBSTITUTE((INDEX(SPLIT(A1290,"",""),1)),""."","","",1))"),55.863414)</f>
        <v>55.863414</v>
      </c>
      <c r="Q1290" s="13">
        <f>IFERROR(__xludf.DUMMYFUNCTION("VALUE(SUBSTITUTE((INDEX(SPLIT(A1290,"",""),2)),""."","","",1))"),37.043037)</f>
        <v>37.043037</v>
      </c>
      <c r="R1290" s="14" t="b">
        <f t="shared" si="1"/>
        <v>0</v>
      </c>
      <c r="S1290" s="14" t="str">
        <f t="shared" si="2"/>
        <v>55.863414,37.043037</v>
      </c>
      <c r="T1290" s="12"/>
    </row>
    <row r="1291">
      <c r="A1291" s="20" t="s">
        <v>8447</v>
      </c>
      <c r="B1291" s="16" t="s">
        <v>8448</v>
      </c>
      <c r="C1291" s="16" t="s">
        <v>8449</v>
      </c>
      <c r="D1291" s="16" t="s">
        <v>16</v>
      </c>
      <c r="E1291" s="21" t="s">
        <v>8450</v>
      </c>
      <c r="F1291" s="22" t="s">
        <v>3760</v>
      </c>
      <c r="G1291" s="16">
        <v>23.61</v>
      </c>
      <c r="H1291" s="16"/>
      <c r="I1291" s="22"/>
      <c r="J1291" s="22" t="s">
        <v>8451</v>
      </c>
      <c r="K1291" s="22" t="s">
        <v>8452</v>
      </c>
      <c r="L1291" s="23" t="s">
        <v>8453</v>
      </c>
      <c r="M1291" s="22"/>
      <c r="N1291" s="12"/>
      <c r="O1291" s="12"/>
      <c r="P1291" s="13">
        <f>IFERROR(__xludf.DUMMYFUNCTION("VALUE(SUBSTITUTE((INDEX(SPLIT(A1291,"",""),1)),""."","","",1))"),55.831635)</f>
        <v>55.831635</v>
      </c>
      <c r="Q1291" s="13">
        <f>IFERROR(__xludf.DUMMYFUNCTION("VALUE(SUBSTITUTE((INDEX(SPLIT(A1291,"",""),2)),""."","","",1))"),37.048615)</f>
        <v>37.048615</v>
      </c>
      <c r="R1291" s="14" t="b">
        <f t="shared" si="1"/>
        <v>0</v>
      </c>
      <c r="S1291" s="14" t="str">
        <f t="shared" si="2"/>
        <v>55.831635,37.048615</v>
      </c>
      <c r="T1291" s="12"/>
    </row>
    <row r="1292">
      <c r="A1292" s="7" t="s">
        <v>8454</v>
      </c>
      <c r="B1292" s="8" t="s">
        <v>8455</v>
      </c>
      <c r="C1292" s="8" t="s">
        <v>8456</v>
      </c>
      <c r="D1292" s="8" t="s">
        <v>16</v>
      </c>
      <c r="E1292" s="9" t="s">
        <v>8457</v>
      </c>
      <c r="F1292" s="10" t="s">
        <v>6732</v>
      </c>
      <c r="G1292" s="8">
        <v>23.61</v>
      </c>
      <c r="H1292" s="8"/>
      <c r="I1292" s="10"/>
      <c r="J1292" s="10" t="s">
        <v>8458</v>
      </c>
      <c r="K1292" s="10" t="s">
        <v>8459</v>
      </c>
      <c r="L1292" s="11" t="s">
        <v>8460</v>
      </c>
      <c r="M1292" s="10"/>
      <c r="N1292" s="12"/>
      <c r="O1292" s="12"/>
      <c r="P1292" s="13">
        <f>IFERROR(__xludf.DUMMYFUNCTION("VALUE(SUBSTITUTE((INDEX(SPLIT(A1292,"",""),1)),""."","","",1))"),54.504933)</f>
        <v>54.504933</v>
      </c>
      <c r="Q1292" s="13">
        <f>IFERROR(__xludf.DUMMYFUNCTION("VALUE(SUBSTITUTE((INDEX(SPLIT(A1292,"",""),2)),""."","","",1))"),37.051409)</f>
        <v>37.051409</v>
      </c>
      <c r="R1292" s="14" t="b">
        <f t="shared" si="1"/>
        <v>0</v>
      </c>
      <c r="S1292" s="14" t="str">
        <f t="shared" si="2"/>
        <v>54.504933,37.051409</v>
      </c>
      <c r="T1292" s="12"/>
    </row>
    <row r="1293">
      <c r="A1293" s="15" t="s">
        <v>8461</v>
      </c>
      <c r="B1293" s="16" t="s">
        <v>8462</v>
      </c>
      <c r="C1293" s="16" t="s">
        <v>8463</v>
      </c>
      <c r="D1293" s="16" t="s">
        <v>16</v>
      </c>
      <c r="E1293" s="17" t="s">
        <v>8464</v>
      </c>
      <c r="F1293" s="16" t="s">
        <v>6732</v>
      </c>
      <c r="G1293" s="16">
        <v>23.61</v>
      </c>
      <c r="H1293" s="16"/>
      <c r="I1293" s="16"/>
      <c r="J1293" s="16" t="s">
        <v>8465</v>
      </c>
      <c r="K1293" s="16" t="s">
        <v>8466</v>
      </c>
      <c r="L1293" s="16"/>
      <c r="M1293" s="25" t="s">
        <v>8467</v>
      </c>
      <c r="N1293" s="12"/>
      <c r="O1293" s="12"/>
      <c r="P1293" s="13">
        <f>IFERROR(__xludf.DUMMYFUNCTION("VALUE(SUBSTITUTE((INDEX(SPLIT(A1293,"",""),1)),""."","","",1))"),54.491501)</f>
        <v>54.491501</v>
      </c>
      <c r="Q1293" s="13">
        <f>IFERROR(__xludf.DUMMYFUNCTION("VALUE(SUBSTITUTE((INDEX(SPLIT(A1293,"",""),2)),""."","","",1))"),37.055326)</f>
        <v>37.055326</v>
      </c>
      <c r="R1293" s="14" t="b">
        <f t="shared" si="1"/>
        <v>0</v>
      </c>
      <c r="S1293" s="14" t="str">
        <f t="shared" si="2"/>
        <v>54.491501,37.055326</v>
      </c>
      <c r="T1293" s="12"/>
    </row>
    <row r="1294">
      <c r="A1294" s="18" t="s">
        <v>8468</v>
      </c>
      <c r="B1294" s="8" t="s">
        <v>8469</v>
      </c>
      <c r="C1294" s="8" t="s">
        <v>8470</v>
      </c>
      <c r="D1294" s="8" t="s">
        <v>16</v>
      </c>
      <c r="E1294" s="19" t="s">
        <v>8471</v>
      </c>
      <c r="F1294" s="8" t="s">
        <v>6732</v>
      </c>
      <c r="G1294" s="8">
        <v>23.61</v>
      </c>
      <c r="H1294" s="8"/>
      <c r="I1294" s="8"/>
      <c r="J1294" s="8" t="s">
        <v>8472</v>
      </c>
      <c r="K1294" s="8" t="s">
        <v>8473</v>
      </c>
      <c r="L1294" s="8"/>
      <c r="M1294" s="24" t="s">
        <v>8474</v>
      </c>
      <c r="N1294" s="12"/>
      <c r="O1294" s="12"/>
      <c r="P1294" s="13">
        <f>IFERROR(__xludf.DUMMYFUNCTION("VALUE(SUBSTITUTE((INDEX(SPLIT(A1294,"",""),1)),""."","","",1))"),54.490073)</f>
        <v>54.490073</v>
      </c>
      <c r="Q1294" s="13">
        <f>IFERROR(__xludf.DUMMYFUNCTION("VALUE(SUBSTITUTE((INDEX(SPLIT(A1294,"",""),2)),""."","","",1))"),37.059395)</f>
        <v>37.059395</v>
      </c>
      <c r="R1294" s="14" t="b">
        <f t="shared" si="1"/>
        <v>0</v>
      </c>
      <c r="S1294" s="14" t="str">
        <f t="shared" si="2"/>
        <v>54.490073,37.059395</v>
      </c>
      <c r="T1294" s="12"/>
    </row>
    <row r="1295">
      <c r="A1295" s="20" t="s">
        <v>8475</v>
      </c>
      <c r="B1295" s="16" t="s">
        <v>8476</v>
      </c>
      <c r="C1295" s="16" t="s">
        <v>8477</v>
      </c>
      <c r="D1295" s="16" t="s">
        <v>16</v>
      </c>
      <c r="E1295" s="21" t="s">
        <v>8478</v>
      </c>
      <c r="F1295" s="22" t="s">
        <v>3760</v>
      </c>
      <c r="G1295" s="16">
        <v>23.61</v>
      </c>
      <c r="H1295" s="16"/>
      <c r="I1295" s="22"/>
      <c r="J1295" s="22" t="s">
        <v>8479</v>
      </c>
      <c r="K1295" s="22" t="s">
        <v>8480</v>
      </c>
      <c r="L1295" s="23" t="s">
        <v>8481</v>
      </c>
      <c r="M1295" s="22"/>
      <c r="N1295" s="12"/>
      <c r="O1295" s="12"/>
      <c r="P1295" s="13">
        <f>IFERROR(__xludf.DUMMYFUNCTION("VALUE(SUBSTITUTE((INDEX(SPLIT(A1295,"",""),1)),""."","","",1))"),55.547616)</f>
        <v>55.547616</v>
      </c>
      <c r="Q1295" s="13">
        <f>IFERROR(__xludf.DUMMYFUNCTION("VALUE(SUBSTITUTE((INDEX(SPLIT(A1295,"",""),2)),""."","","",1))"),37.063177)</f>
        <v>37.063177</v>
      </c>
      <c r="R1295" s="14" t="b">
        <f t="shared" si="1"/>
        <v>0</v>
      </c>
      <c r="S1295" s="14" t="str">
        <f t="shared" si="2"/>
        <v>55.547616,37.063177</v>
      </c>
      <c r="T1295" s="12"/>
    </row>
    <row r="1296">
      <c r="A1296" s="7" t="s">
        <v>8482</v>
      </c>
      <c r="B1296" s="8" t="s">
        <v>8483</v>
      </c>
      <c r="C1296" s="8" t="s">
        <v>8484</v>
      </c>
      <c r="D1296" s="8" t="s">
        <v>16</v>
      </c>
      <c r="E1296" s="9" t="s">
        <v>8485</v>
      </c>
      <c r="F1296" s="10" t="s">
        <v>6732</v>
      </c>
      <c r="G1296" s="8">
        <v>23.61</v>
      </c>
      <c r="H1296" s="8"/>
      <c r="I1296" s="10"/>
      <c r="J1296" s="10" t="s">
        <v>8486</v>
      </c>
      <c r="K1296" s="10" t="s">
        <v>8487</v>
      </c>
      <c r="L1296" s="11" t="s">
        <v>8488</v>
      </c>
      <c r="M1296" s="10"/>
      <c r="N1296" s="12"/>
      <c r="O1296" s="12"/>
      <c r="P1296" s="13">
        <f>IFERROR(__xludf.DUMMYFUNCTION("VALUE(SUBSTITUTE((INDEX(SPLIT(A1296,"",""),1)),""."","","",1))"),54.502429)</f>
        <v>54.502429</v>
      </c>
      <c r="Q1296" s="13">
        <f>IFERROR(__xludf.DUMMYFUNCTION("VALUE(SUBSTITUTE((INDEX(SPLIT(A1296,"",""),2)),""."","","",1))"),37.066034)</f>
        <v>37.066034</v>
      </c>
      <c r="R1296" s="14" t="b">
        <f t="shared" si="1"/>
        <v>0</v>
      </c>
      <c r="S1296" s="14" t="str">
        <f t="shared" si="2"/>
        <v>54.502429,37.066034</v>
      </c>
      <c r="T1296" s="12"/>
    </row>
    <row r="1297">
      <c r="A1297" s="15" t="s">
        <v>8489</v>
      </c>
      <c r="B1297" s="16" t="s">
        <v>8490</v>
      </c>
      <c r="C1297" s="16" t="s">
        <v>8491</v>
      </c>
      <c r="D1297" s="16" t="s">
        <v>16</v>
      </c>
      <c r="E1297" s="17" t="s">
        <v>8492</v>
      </c>
      <c r="F1297" s="16" t="s">
        <v>3760</v>
      </c>
      <c r="G1297" s="16">
        <v>23.61</v>
      </c>
      <c r="H1297" s="16"/>
      <c r="I1297" s="16"/>
      <c r="J1297" s="16" t="s">
        <v>8493</v>
      </c>
      <c r="K1297" s="16" t="s">
        <v>8494</v>
      </c>
      <c r="L1297" s="16"/>
      <c r="M1297" s="16"/>
      <c r="N1297" s="12"/>
      <c r="O1297" s="12"/>
      <c r="P1297" s="13">
        <f>IFERROR(__xludf.DUMMYFUNCTION("VALUE(SUBSTITUTE((INDEX(SPLIT(A1297,"",""),1)),""."","","",1))"),55.555026)</f>
        <v>55.555026</v>
      </c>
      <c r="Q1297" s="13">
        <f>IFERROR(__xludf.DUMMYFUNCTION("VALUE(SUBSTITUTE((INDEX(SPLIT(A1297,"",""),2)),""."","","",1))"),37.067291)</f>
        <v>37.067291</v>
      </c>
      <c r="R1297" s="14" t="b">
        <f t="shared" si="1"/>
        <v>0</v>
      </c>
      <c r="S1297" s="14" t="str">
        <f t="shared" si="2"/>
        <v>55.555026,37.067291</v>
      </c>
      <c r="T1297" s="12"/>
    </row>
    <row r="1298">
      <c r="A1298" s="18" t="s">
        <v>8495</v>
      </c>
      <c r="B1298" s="8" t="s">
        <v>89</v>
      </c>
      <c r="C1298" s="8" t="s">
        <v>90</v>
      </c>
      <c r="D1298" s="8" t="s">
        <v>16</v>
      </c>
      <c r="E1298" s="19" t="s">
        <v>8496</v>
      </c>
      <c r="F1298" s="8" t="s">
        <v>3760</v>
      </c>
      <c r="G1298" s="8">
        <v>23.61</v>
      </c>
      <c r="H1298" s="8"/>
      <c r="I1298" s="8"/>
      <c r="J1298" s="8" t="s">
        <v>8497</v>
      </c>
      <c r="K1298" s="8" t="s">
        <v>8498</v>
      </c>
      <c r="L1298" s="8"/>
      <c r="M1298" s="8"/>
      <c r="N1298" s="12"/>
      <c r="O1298" s="12"/>
      <c r="P1298" s="13">
        <f>IFERROR(__xludf.DUMMYFUNCTION("VALUE(SUBSTITUTE((INDEX(SPLIT(A1298,"",""),1)),""."","","",1))"),55.551084)</f>
        <v>55.551084</v>
      </c>
      <c r="Q1298" s="13">
        <f>IFERROR(__xludf.DUMMYFUNCTION("VALUE(SUBSTITUTE((INDEX(SPLIT(A1298,"",""),2)),""."","","",1))"),37.071495)</f>
        <v>37.071495</v>
      </c>
      <c r="R1298" s="14" t="b">
        <f t="shared" si="1"/>
        <v>0</v>
      </c>
      <c r="S1298" s="14" t="str">
        <f t="shared" si="2"/>
        <v>55.551084,37.071495</v>
      </c>
      <c r="T1298" s="12"/>
    </row>
    <row r="1299">
      <c r="A1299" s="15" t="s">
        <v>8499</v>
      </c>
      <c r="B1299" s="16" t="s">
        <v>8500</v>
      </c>
      <c r="C1299" s="16" t="s">
        <v>8501</v>
      </c>
      <c r="D1299" s="16" t="s">
        <v>16</v>
      </c>
      <c r="E1299" s="17" t="s">
        <v>8502</v>
      </c>
      <c r="F1299" s="16" t="s">
        <v>3760</v>
      </c>
      <c r="G1299" s="16">
        <v>23.61</v>
      </c>
      <c r="H1299" s="16"/>
      <c r="I1299" s="16"/>
      <c r="J1299" s="16" t="s">
        <v>8503</v>
      </c>
      <c r="K1299" s="16" t="s">
        <v>8504</v>
      </c>
      <c r="L1299" s="16"/>
      <c r="M1299" s="16"/>
      <c r="N1299" s="12"/>
      <c r="O1299" s="12"/>
      <c r="P1299" s="13">
        <f>IFERROR(__xludf.DUMMYFUNCTION("VALUE(SUBSTITUTE((INDEX(SPLIT(A1299,"",""),1)),""."","","",1))"),55.710803)</f>
        <v>55.710803</v>
      </c>
      <c r="Q1299" s="13">
        <f>IFERROR(__xludf.DUMMYFUNCTION("VALUE(SUBSTITUTE((INDEX(SPLIT(A1299,"",""),2)),""."","","",1))"),37.08276)</f>
        <v>37.08276</v>
      </c>
      <c r="R1299" s="14" t="b">
        <f t="shared" si="1"/>
        <v>0</v>
      </c>
      <c r="S1299" s="14" t="str">
        <f t="shared" si="2"/>
        <v>55.710803,37.08276</v>
      </c>
      <c r="T1299" s="12"/>
    </row>
    <row r="1300">
      <c r="A1300" s="7" t="s">
        <v>8505</v>
      </c>
      <c r="B1300" s="8" t="s">
        <v>8506</v>
      </c>
      <c r="C1300" s="8" t="s">
        <v>8507</v>
      </c>
      <c r="D1300" s="8" t="s">
        <v>16</v>
      </c>
      <c r="E1300" s="9" t="s">
        <v>8508</v>
      </c>
      <c r="F1300" s="10" t="s">
        <v>3760</v>
      </c>
      <c r="G1300" s="8">
        <v>23.61</v>
      </c>
      <c r="H1300" s="8"/>
      <c r="I1300" s="10"/>
      <c r="J1300" s="10" t="s">
        <v>8509</v>
      </c>
      <c r="K1300" s="10" t="s">
        <v>8510</v>
      </c>
      <c r="L1300" s="11" t="s">
        <v>8511</v>
      </c>
      <c r="M1300" s="11" t="s">
        <v>8512</v>
      </c>
      <c r="N1300" s="12"/>
      <c r="O1300" s="12"/>
      <c r="P1300" s="13">
        <f>IFERROR(__xludf.DUMMYFUNCTION("VALUE(SUBSTITUTE((INDEX(SPLIT(A1300,"",""),1)),""."","","",1))"),55.980059)</f>
        <v>55.980059</v>
      </c>
      <c r="Q1300" s="13">
        <f>IFERROR(__xludf.DUMMYFUNCTION("VALUE(SUBSTITUTE((INDEX(SPLIT(A1300,"",""),2)),""."","","",1))"),37.082994)</f>
        <v>37.082994</v>
      </c>
      <c r="R1300" s="14" t="b">
        <f t="shared" si="1"/>
        <v>0</v>
      </c>
      <c r="S1300" s="14" t="str">
        <f t="shared" si="2"/>
        <v>55.980059,37.082994</v>
      </c>
      <c r="T1300" s="12"/>
    </row>
    <row r="1301">
      <c r="A1301" s="15" t="s">
        <v>8513</v>
      </c>
      <c r="B1301" s="16" t="s">
        <v>8514</v>
      </c>
      <c r="C1301" s="16" t="s">
        <v>8515</v>
      </c>
      <c r="D1301" s="16" t="s">
        <v>16</v>
      </c>
      <c r="E1301" s="17" t="s">
        <v>8516</v>
      </c>
      <c r="F1301" s="16" t="s">
        <v>3760</v>
      </c>
      <c r="G1301" s="16">
        <v>23.61</v>
      </c>
      <c r="H1301" s="16"/>
      <c r="I1301" s="16"/>
      <c r="J1301" s="16" t="s">
        <v>8517</v>
      </c>
      <c r="K1301" s="16" t="s">
        <v>7146</v>
      </c>
      <c r="L1301" s="16"/>
      <c r="M1301" s="25" t="s">
        <v>8518</v>
      </c>
      <c r="N1301" s="12"/>
      <c r="O1301" s="12"/>
      <c r="P1301" s="13">
        <f>IFERROR(__xludf.DUMMYFUNCTION("VALUE(SUBSTITUTE((INDEX(SPLIT(A1301,"",""),1)),""."","","",1))"),55.818255)</f>
        <v>55.818255</v>
      </c>
      <c r="Q1301" s="13">
        <f>IFERROR(__xludf.DUMMYFUNCTION("VALUE(SUBSTITUTE((INDEX(SPLIT(A1301,"",""),2)),""."","","",1))"),37.087234)</f>
        <v>37.087234</v>
      </c>
      <c r="R1301" s="14" t="b">
        <f t="shared" si="1"/>
        <v>0</v>
      </c>
      <c r="S1301" s="14" t="str">
        <f t="shared" si="2"/>
        <v>55.818255,37.087234</v>
      </c>
      <c r="T1301" s="12"/>
    </row>
    <row r="1302">
      <c r="A1302" s="7" t="s">
        <v>8519</v>
      </c>
      <c r="B1302" s="8" t="s">
        <v>8520</v>
      </c>
      <c r="C1302" s="8" t="s">
        <v>8521</v>
      </c>
      <c r="D1302" s="8" t="s">
        <v>16</v>
      </c>
      <c r="E1302" s="9" t="s">
        <v>8522</v>
      </c>
      <c r="F1302" s="10" t="s">
        <v>6732</v>
      </c>
      <c r="G1302" s="8">
        <v>23.61</v>
      </c>
      <c r="H1302" s="8"/>
      <c r="I1302" s="31" t="s">
        <v>8523</v>
      </c>
      <c r="J1302" s="10" t="s">
        <v>8524</v>
      </c>
      <c r="K1302" s="10" t="s">
        <v>8525</v>
      </c>
      <c r="L1302" s="11" t="s">
        <v>8526</v>
      </c>
      <c r="M1302" s="10"/>
      <c r="N1302" s="12"/>
      <c r="O1302" s="12"/>
      <c r="P1302" s="13">
        <f>IFERROR(__xludf.DUMMYFUNCTION("VALUE(SUBSTITUTE((INDEX(SPLIT(A1302,"",""),1)),""."","","",1))"),54.514509)</f>
        <v>54.514509</v>
      </c>
      <c r="Q1302" s="13">
        <f>IFERROR(__xludf.DUMMYFUNCTION("VALUE(SUBSTITUTE((INDEX(SPLIT(A1302,"",""),2)),""."","","",1))"),37.091312)</f>
        <v>37.091312</v>
      </c>
      <c r="R1302" s="14" t="b">
        <f t="shared" si="1"/>
        <v>0</v>
      </c>
      <c r="S1302" s="14" t="str">
        <f t="shared" si="2"/>
        <v>54.514509,37.091312</v>
      </c>
      <c r="T1302" s="12"/>
    </row>
    <row r="1303">
      <c r="A1303" s="20" t="s">
        <v>8527</v>
      </c>
      <c r="B1303" s="16" t="s">
        <v>8528</v>
      </c>
      <c r="C1303" s="16" t="s">
        <v>8529</v>
      </c>
      <c r="D1303" s="16" t="s">
        <v>16</v>
      </c>
      <c r="E1303" s="21" t="s">
        <v>8530</v>
      </c>
      <c r="F1303" s="22" t="s">
        <v>3760</v>
      </c>
      <c r="G1303" s="16">
        <v>23.61</v>
      </c>
      <c r="H1303" s="16"/>
      <c r="I1303" s="22"/>
      <c r="J1303" s="22" t="s">
        <v>8531</v>
      </c>
      <c r="K1303" s="22" t="s">
        <v>8532</v>
      </c>
      <c r="L1303" s="23" t="s">
        <v>8533</v>
      </c>
      <c r="M1303" s="22"/>
      <c r="N1303" s="12"/>
      <c r="O1303" s="12"/>
      <c r="P1303" s="13">
        <f>IFERROR(__xludf.DUMMYFUNCTION("VALUE(SUBSTITUTE((INDEX(SPLIT(A1303,"",""),1)),""."","","",1))"),56.061384)</f>
        <v>56.061384</v>
      </c>
      <c r="Q1303" s="13">
        <f>IFERROR(__xludf.DUMMYFUNCTION("VALUE(SUBSTITUTE((INDEX(SPLIT(A1303,"",""),2)),""."","","",1))"),37.095804)</f>
        <v>37.095804</v>
      </c>
      <c r="R1303" s="14" t="b">
        <f t="shared" si="1"/>
        <v>0</v>
      </c>
      <c r="S1303" s="14" t="str">
        <f t="shared" si="2"/>
        <v>56.061384,37.095804</v>
      </c>
      <c r="T1303" s="12"/>
    </row>
    <row r="1304">
      <c r="A1304" s="7" t="s">
        <v>8534</v>
      </c>
      <c r="B1304" s="8" t="s">
        <v>8535</v>
      </c>
      <c r="C1304" s="8" t="s">
        <v>8536</v>
      </c>
      <c r="D1304" s="8" t="s">
        <v>16</v>
      </c>
      <c r="E1304" s="9" t="s">
        <v>8537</v>
      </c>
      <c r="F1304" s="10" t="s">
        <v>3760</v>
      </c>
      <c r="G1304" s="8">
        <v>23.61</v>
      </c>
      <c r="H1304" s="8"/>
      <c r="I1304" s="10"/>
      <c r="J1304" s="10" t="s">
        <v>8538</v>
      </c>
      <c r="K1304" s="10" t="s">
        <v>8539</v>
      </c>
      <c r="L1304" s="11" t="s">
        <v>8540</v>
      </c>
      <c r="M1304" s="11" t="s">
        <v>8541</v>
      </c>
      <c r="N1304" s="12"/>
      <c r="O1304" s="12"/>
      <c r="P1304" s="13">
        <f>IFERROR(__xludf.DUMMYFUNCTION("VALUE(SUBSTITUTE((INDEX(SPLIT(A1304,"",""),1)),""."","","",1))"),56.08991)</f>
        <v>56.08991</v>
      </c>
      <c r="Q1304" s="13">
        <f>IFERROR(__xludf.DUMMYFUNCTION("VALUE(SUBSTITUTE((INDEX(SPLIT(A1304,"",""),2)),""."","","",1))"),37.100412)</f>
        <v>37.100412</v>
      </c>
      <c r="R1304" s="14" t="b">
        <f t="shared" si="1"/>
        <v>0</v>
      </c>
      <c r="S1304" s="14" t="str">
        <f t="shared" si="2"/>
        <v>56.08991,37.100412</v>
      </c>
      <c r="T1304" s="12"/>
    </row>
    <row r="1305">
      <c r="A1305" s="15" t="s">
        <v>8542</v>
      </c>
      <c r="B1305" s="16" t="s">
        <v>8543</v>
      </c>
      <c r="C1305" s="16" t="s">
        <v>8544</v>
      </c>
      <c r="D1305" s="16" t="s">
        <v>16</v>
      </c>
      <c r="E1305" s="17" t="s">
        <v>8545</v>
      </c>
      <c r="F1305" s="16" t="s">
        <v>3760</v>
      </c>
      <c r="G1305" s="16">
        <v>23.61</v>
      </c>
      <c r="H1305" s="16"/>
      <c r="I1305" s="16"/>
      <c r="J1305" s="16" t="s">
        <v>8546</v>
      </c>
      <c r="K1305" s="16" t="s">
        <v>8547</v>
      </c>
      <c r="L1305" s="16"/>
      <c r="M1305" s="16"/>
      <c r="N1305" s="12"/>
      <c r="O1305" s="12"/>
      <c r="P1305" s="13">
        <f>IFERROR(__xludf.DUMMYFUNCTION("VALUE(SUBSTITUTE((INDEX(SPLIT(A1305,"",""),1)),""."","","",1))"),56.099315)</f>
        <v>56.099315</v>
      </c>
      <c r="Q1305" s="13">
        <f>IFERROR(__xludf.DUMMYFUNCTION("VALUE(SUBSTITUTE((INDEX(SPLIT(A1305,"",""),2)),""."","","",1))"),37.106943)</f>
        <v>37.106943</v>
      </c>
      <c r="R1305" s="14" t="b">
        <f t="shared" si="1"/>
        <v>0</v>
      </c>
      <c r="S1305" s="14" t="str">
        <f t="shared" si="2"/>
        <v>56.099315,37.106943</v>
      </c>
      <c r="T1305" s="12"/>
    </row>
    <row r="1306">
      <c r="A1306" s="7" t="s">
        <v>8548</v>
      </c>
      <c r="B1306" s="8" t="s">
        <v>8549</v>
      </c>
      <c r="C1306" s="8" t="s">
        <v>8550</v>
      </c>
      <c r="D1306" s="8" t="s">
        <v>16</v>
      </c>
      <c r="E1306" s="9" t="s">
        <v>8551</v>
      </c>
      <c r="F1306" s="10" t="s">
        <v>6732</v>
      </c>
      <c r="G1306" s="8">
        <v>23.61</v>
      </c>
      <c r="H1306" s="8"/>
      <c r="I1306" s="10"/>
      <c r="J1306" s="10" t="s">
        <v>8552</v>
      </c>
      <c r="K1306" s="10" t="s">
        <v>8553</v>
      </c>
      <c r="L1306" s="11" t="s">
        <v>8554</v>
      </c>
      <c r="M1306" s="10"/>
      <c r="N1306" s="12"/>
      <c r="O1306" s="12"/>
      <c r="P1306" s="13">
        <f>IFERROR(__xludf.DUMMYFUNCTION("VALUE(SUBSTITUTE((INDEX(SPLIT(A1306,"",""),1)),""."","","",1))"),54.509711)</f>
        <v>54.509711</v>
      </c>
      <c r="Q1306" s="13">
        <f>IFERROR(__xludf.DUMMYFUNCTION("VALUE(SUBSTITUTE((INDEX(SPLIT(A1306,"",""),2)),""."","","",1))"),37.118109)</f>
        <v>37.118109</v>
      </c>
      <c r="R1306" s="14" t="b">
        <f t="shared" si="1"/>
        <v>0</v>
      </c>
      <c r="S1306" s="14" t="str">
        <f t="shared" si="2"/>
        <v>54.509711,37.118109</v>
      </c>
      <c r="T1306" s="12"/>
    </row>
    <row r="1307">
      <c r="A1307" s="20" t="s">
        <v>8555</v>
      </c>
      <c r="B1307" s="16" t="s">
        <v>8556</v>
      </c>
      <c r="C1307" s="16" t="s">
        <v>8557</v>
      </c>
      <c r="D1307" s="16" t="s">
        <v>16</v>
      </c>
      <c r="E1307" s="21" t="s">
        <v>8558</v>
      </c>
      <c r="F1307" s="22" t="s">
        <v>3760</v>
      </c>
      <c r="G1307" s="16">
        <v>23.61</v>
      </c>
      <c r="H1307" s="16"/>
      <c r="I1307" s="22"/>
      <c r="J1307" s="22" t="s">
        <v>8559</v>
      </c>
      <c r="K1307" s="22" t="s">
        <v>8560</v>
      </c>
      <c r="L1307" s="23" t="s">
        <v>8561</v>
      </c>
      <c r="M1307" s="22"/>
      <c r="N1307" s="12"/>
      <c r="O1307" s="12"/>
      <c r="P1307" s="13">
        <f>IFERROR(__xludf.DUMMYFUNCTION("VALUE(SUBSTITUTE((INDEX(SPLIT(A1307,"",""),1)),""."","","",1))"),55.860337)</f>
        <v>55.860337</v>
      </c>
      <c r="Q1307" s="13">
        <f>IFERROR(__xludf.DUMMYFUNCTION("VALUE(SUBSTITUTE((INDEX(SPLIT(A1307,"",""),2)),""."","","",1))"),37.121388)</f>
        <v>37.121388</v>
      </c>
      <c r="R1307" s="14" t="b">
        <f t="shared" si="1"/>
        <v>0</v>
      </c>
      <c r="S1307" s="14" t="str">
        <f t="shared" si="2"/>
        <v>55.860337,37.121388</v>
      </c>
      <c r="T1307" s="12"/>
    </row>
    <row r="1308">
      <c r="A1308" s="7" t="s">
        <v>8562</v>
      </c>
      <c r="B1308" s="8" t="s">
        <v>8563</v>
      </c>
      <c r="C1308" s="8" t="s">
        <v>8564</v>
      </c>
      <c r="D1308" s="8" t="s">
        <v>16</v>
      </c>
      <c r="E1308" s="9" t="s">
        <v>8565</v>
      </c>
      <c r="F1308" s="10" t="s">
        <v>8566</v>
      </c>
      <c r="G1308" s="8">
        <v>23.61</v>
      </c>
      <c r="H1308" s="8"/>
      <c r="I1308" s="10"/>
      <c r="J1308" s="10" t="s">
        <v>8567</v>
      </c>
      <c r="K1308" s="10" t="s">
        <v>8568</v>
      </c>
      <c r="L1308" s="11" t="s">
        <v>8569</v>
      </c>
      <c r="M1308" s="10"/>
      <c r="N1308" s="12"/>
      <c r="O1308" s="12"/>
      <c r="P1308" s="13">
        <f>IFERROR(__xludf.DUMMYFUNCTION("VALUE(SUBSTITUTE((INDEX(SPLIT(A1308,"",""),1)),""."","","",1))"),45.345705)</f>
        <v>45.345705</v>
      </c>
      <c r="Q1308" s="13">
        <f>IFERROR(__xludf.DUMMYFUNCTION("VALUE(SUBSTITUTE((INDEX(SPLIT(A1308,"",""),2)),""."","","",1))"),37.12605)</f>
        <v>37.12605</v>
      </c>
      <c r="R1308" s="14" t="b">
        <f t="shared" si="1"/>
        <v>0</v>
      </c>
      <c r="S1308" s="14" t="str">
        <f t="shared" si="2"/>
        <v>45.345705,37.12605</v>
      </c>
      <c r="T1308" s="12"/>
    </row>
    <row r="1309">
      <c r="A1309" s="15" t="s">
        <v>8570</v>
      </c>
      <c r="B1309" s="16" t="s">
        <v>8571</v>
      </c>
      <c r="C1309" s="16" t="s">
        <v>8572</v>
      </c>
      <c r="D1309" s="16" t="s">
        <v>16</v>
      </c>
      <c r="E1309" s="17" t="s">
        <v>8573</v>
      </c>
      <c r="F1309" s="16" t="s">
        <v>3760</v>
      </c>
      <c r="G1309" s="16">
        <v>23.61</v>
      </c>
      <c r="H1309" s="16"/>
      <c r="I1309" s="16"/>
      <c r="J1309" s="16" t="s">
        <v>8574</v>
      </c>
      <c r="K1309" s="16" t="s">
        <v>8575</v>
      </c>
      <c r="L1309" s="16"/>
      <c r="M1309" s="25" t="s">
        <v>8576</v>
      </c>
      <c r="N1309" s="12"/>
      <c r="O1309" s="12"/>
      <c r="P1309" s="13">
        <f>IFERROR(__xludf.DUMMYFUNCTION("VALUE(SUBSTITUTE((INDEX(SPLIT(A1309,"",""),1)),""."","","",1))"),55.620164)</f>
        <v>55.620164</v>
      </c>
      <c r="Q1309" s="13">
        <f>IFERROR(__xludf.DUMMYFUNCTION("VALUE(SUBSTITUTE((INDEX(SPLIT(A1309,"",""),2)),""."","","",1))"),37.135195)</f>
        <v>37.135195</v>
      </c>
      <c r="R1309" s="14" t="b">
        <f t="shared" si="1"/>
        <v>0</v>
      </c>
      <c r="S1309" s="14" t="str">
        <f t="shared" si="2"/>
        <v>55.620164,37.135195</v>
      </c>
      <c r="T1309" s="12"/>
    </row>
    <row r="1310">
      <c r="A1310" s="18" t="s">
        <v>8577</v>
      </c>
      <c r="B1310" s="8" t="s">
        <v>4958</v>
      </c>
      <c r="C1310" s="8" t="s">
        <v>4959</v>
      </c>
      <c r="D1310" s="8" t="s">
        <v>16</v>
      </c>
      <c r="E1310" s="19" t="s">
        <v>8578</v>
      </c>
      <c r="F1310" s="8" t="s">
        <v>3760</v>
      </c>
      <c r="G1310" s="8">
        <v>23.61</v>
      </c>
      <c r="H1310" s="8"/>
      <c r="I1310" s="8"/>
      <c r="J1310" s="8" t="s">
        <v>8579</v>
      </c>
      <c r="K1310" s="8" t="s">
        <v>8580</v>
      </c>
      <c r="L1310" s="8"/>
      <c r="M1310" s="8"/>
      <c r="N1310" s="12"/>
      <c r="O1310" s="12"/>
      <c r="P1310" s="13">
        <f>IFERROR(__xludf.DUMMYFUNCTION("VALUE(SUBSTITUTE((INDEX(SPLIT(A1310,"",""),1)),""."","","",1))"),56.725057)</f>
        <v>56.725057</v>
      </c>
      <c r="Q1310" s="13">
        <f>IFERROR(__xludf.DUMMYFUNCTION("VALUE(SUBSTITUTE((INDEX(SPLIT(A1310,"",""),2)),""."","","",1))"),37.141079)</f>
        <v>37.141079</v>
      </c>
      <c r="R1310" s="14" t="b">
        <f t="shared" si="1"/>
        <v>0</v>
      </c>
      <c r="S1310" s="14" t="str">
        <f t="shared" si="2"/>
        <v>56.725057,37.141079</v>
      </c>
      <c r="T1310" s="12"/>
    </row>
    <row r="1311">
      <c r="A1311" s="15" t="s">
        <v>8581</v>
      </c>
      <c r="B1311" s="16" t="s">
        <v>8582</v>
      </c>
      <c r="C1311" s="16" t="s">
        <v>8583</v>
      </c>
      <c r="D1311" s="16" t="s">
        <v>16</v>
      </c>
      <c r="E1311" s="17" t="s">
        <v>8584</v>
      </c>
      <c r="F1311" s="16" t="s">
        <v>3883</v>
      </c>
      <c r="G1311" s="16">
        <v>23.61</v>
      </c>
      <c r="H1311" s="16"/>
      <c r="I1311" s="16"/>
      <c r="J1311" s="16" t="s">
        <v>8585</v>
      </c>
      <c r="K1311" s="16" t="s">
        <v>8586</v>
      </c>
      <c r="L1311" s="16"/>
      <c r="M1311" s="25" t="s">
        <v>8587</v>
      </c>
      <c r="N1311" s="12"/>
      <c r="O1311" s="12"/>
      <c r="P1311" s="13">
        <f>IFERROR(__xludf.DUMMYFUNCTION("VALUE(SUBSTITUTE((INDEX(SPLIT(A1311,"",""),1)),""."","","",1))"),55.536451)</f>
        <v>55.536451</v>
      </c>
      <c r="Q1311" s="13">
        <f>IFERROR(__xludf.DUMMYFUNCTION("VALUE(SUBSTITUTE((INDEX(SPLIT(A1311,"",""),2)),""."","","",1))"),37.154877)</f>
        <v>37.154877</v>
      </c>
      <c r="R1311" s="14" t="b">
        <f t="shared" si="1"/>
        <v>0</v>
      </c>
      <c r="S1311" s="14" t="str">
        <f t="shared" si="2"/>
        <v>55.536451,37.154877</v>
      </c>
      <c r="T1311" s="12"/>
    </row>
    <row r="1312">
      <c r="A1312" s="18" t="s">
        <v>8588</v>
      </c>
      <c r="B1312" s="8" t="s">
        <v>8589</v>
      </c>
      <c r="C1312" s="8" t="s">
        <v>8590</v>
      </c>
      <c r="D1312" s="8" t="s">
        <v>16</v>
      </c>
      <c r="E1312" s="19" t="s">
        <v>8591</v>
      </c>
      <c r="F1312" s="8" t="s">
        <v>3883</v>
      </c>
      <c r="G1312" s="8">
        <v>23.61</v>
      </c>
      <c r="H1312" s="8"/>
      <c r="I1312" s="8"/>
      <c r="J1312" s="8" t="s">
        <v>8592</v>
      </c>
      <c r="K1312" s="8" t="s">
        <v>8593</v>
      </c>
      <c r="L1312" s="8"/>
      <c r="M1312" s="8"/>
      <c r="N1312" s="12"/>
      <c r="O1312" s="12"/>
      <c r="P1312" s="13">
        <f>IFERROR(__xludf.DUMMYFUNCTION("VALUE(SUBSTITUTE((INDEX(SPLIT(A1312,"",""),1)),""."","","",1))"),55.833304)</f>
        <v>55.833304</v>
      </c>
      <c r="Q1312" s="13">
        <f>IFERROR(__xludf.DUMMYFUNCTION("VALUE(SUBSTITUTE((INDEX(SPLIT(A1312,"",""),2)),""."","","",1))"),37.156476)</f>
        <v>37.156476</v>
      </c>
      <c r="R1312" s="14" t="b">
        <f t="shared" si="1"/>
        <v>0</v>
      </c>
      <c r="S1312" s="14" t="str">
        <f t="shared" si="2"/>
        <v>55.833304,37.156476</v>
      </c>
      <c r="T1312" s="12"/>
    </row>
    <row r="1313">
      <c r="A1313" s="15" t="s">
        <v>8594</v>
      </c>
      <c r="B1313" s="16" t="s">
        <v>8595</v>
      </c>
      <c r="C1313" s="16" t="s">
        <v>8596</v>
      </c>
      <c r="D1313" s="16" t="s">
        <v>16</v>
      </c>
      <c r="E1313" s="17" t="s">
        <v>8597</v>
      </c>
      <c r="F1313" s="16" t="s">
        <v>3883</v>
      </c>
      <c r="G1313" s="16">
        <v>23.61</v>
      </c>
      <c r="H1313" s="16"/>
      <c r="I1313" s="16"/>
      <c r="J1313" s="16" t="s">
        <v>8598</v>
      </c>
      <c r="K1313" s="16" t="s">
        <v>8599</v>
      </c>
      <c r="L1313" s="16"/>
      <c r="M1313" s="16"/>
      <c r="N1313" s="12"/>
      <c r="O1313" s="12"/>
      <c r="P1313" s="13">
        <f>IFERROR(__xludf.DUMMYFUNCTION("VALUE(SUBSTITUTE((INDEX(SPLIT(A1313,"",""),1)),""."","","",1))"),55.535926)</f>
        <v>55.535926</v>
      </c>
      <c r="Q1313" s="13">
        <f>IFERROR(__xludf.DUMMYFUNCTION("VALUE(SUBSTITUTE((INDEX(SPLIT(A1313,"",""),2)),""."","","",1))"),37.158425)</f>
        <v>37.158425</v>
      </c>
      <c r="R1313" s="14" t="b">
        <f t="shared" si="1"/>
        <v>0</v>
      </c>
      <c r="S1313" s="14" t="str">
        <f t="shared" si="2"/>
        <v>55.535926,37.158425</v>
      </c>
      <c r="T1313" s="12"/>
    </row>
    <row r="1314">
      <c r="A1314" s="18" t="s">
        <v>8600</v>
      </c>
      <c r="B1314" s="8" t="s">
        <v>8601</v>
      </c>
      <c r="C1314" s="8" t="s">
        <v>8602</v>
      </c>
      <c r="D1314" s="8" t="s">
        <v>16</v>
      </c>
      <c r="E1314" s="19" t="s">
        <v>8603</v>
      </c>
      <c r="F1314" s="8" t="s">
        <v>3760</v>
      </c>
      <c r="G1314" s="8">
        <v>23.61</v>
      </c>
      <c r="H1314" s="8"/>
      <c r="I1314" s="8"/>
      <c r="J1314" s="8" t="s">
        <v>8604</v>
      </c>
      <c r="K1314" s="8" t="s">
        <v>8605</v>
      </c>
      <c r="L1314" s="8"/>
      <c r="M1314" s="24" t="s">
        <v>8606</v>
      </c>
      <c r="N1314" s="12"/>
      <c r="O1314" s="12"/>
      <c r="P1314" s="13">
        <f>IFERROR(__xludf.DUMMYFUNCTION("VALUE(SUBSTITUTE((INDEX(SPLIT(A1314,"",""),1)),""."","","",1))"),55.861974)</f>
        <v>55.861974</v>
      </c>
      <c r="Q1314" s="13">
        <f>IFERROR(__xludf.DUMMYFUNCTION("VALUE(SUBSTITUTE((INDEX(SPLIT(A1314,"",""),2)),""."","","",1))"),37.175098)</f>
        <v>37.175098</v>
      </c>
      <c r="R1314" s="14" t="b">
        <f t="shared" si="1"/>
        <v>0</v>
      </c>
      <c r="S1314" s="14" t="str">
        <f t="shared" si="2"/>
        <v>55.861974,37.175098</v>
      </c>
      <c r="T1314" s="12"/>
    </row>
    <row r="1315">
      <c r="A1315" s="20" t="s">
        <v>8607</v>
      </c>
      <c r="B1315" s="16" t="s">
        <v>8608</v>
      </c>
      <c r="C1315" s="16" t="s">
        <v>8609</v>
      </c>
      <c r="D1315" s="16" t="s">
        <v>16</v>
      </c>
      <c r="E1315" s="21" t="s">
        <v>8610</v>
      </c>
      <c r="F1315" s="22" t="s">
        <v>3760</v>
      </c>
      <c r="G1315" s="16">
        <v>23.61</v>
      </c>
      <c r="H1315" s="16"/>
      <c r="I1315" s="22"/>
      <c r="J1315" s="22" t="s">
        <v>8611</v>
      </c>
      <c r="K1315" s="22" t="s">
        <v>8612</v>
      </c>
      <c r="L1315" s="23" t="s">
        <v>8613</v>
      </c>
      <c r="M1315" s="23" t="s">
        <v>8606</v>
      </c>
      <c r="N1315" s="12"/>
      <c r="O1315" s="12"/>
      <c r="P1315" s="13">
        <f>IFERROR(__xludf.DUMMYFUNCTION("VALUE(SUBSTITUTE((INDEX(SPLIT(A1315,"",""),1)),""."","","",1))"),55.862055)</f>
        <v>55.862055</v>
      </c>
      <c r="Q1315" s="13">
        <f>IFERROR(__xludf.DUMMYFUNCTION("VALUE(SUBSTITUTE((INDEX(SPLIT(A1315,"",""),2)),""."","","",1))"),37.176356)</f>
        <v>37.176356</v>
      </c>
      <c r="R1315" s="14" t="b">
        <f t="shared" si="1"/>
        <v>0</v>
      </c>
      <c r="S1315" s="14" t="str">
        <f t="shared" si="2"/>
        <v>55.862055,37.176356</v>
      </c>
      <c r="T1315" s="12"/>
    </row>
    <row r="1316">
      <c r="A1316" s="18" t="s">
        <v>8614</v>
      </c>
      <c r="B1316" s="8" t="s">
        <v>8615</v>
      </c>
      <c r="C1316" s="8" t="s">
        <v>8616</v>
      </c>
      <c r="D1316" s="8" t="s">
        <v>16</v>
      </c>
      <c r="E1316" s="19" t="s">
        <v>8617</v>
      </c>
      <c r="F1316" s="8" t="s">
        <v>3760</v>
      </c>
      <c r="G1316" s="8">
        <v>23.61</v>
      </c>
      <c r="H1316" s="8"/>
      <c r="I1316" s="8"/>
      <c r="J1316" s="8" t="s">
        <v>8618</v>
      </c>
      <c r="K1316" s="8" t="s">
        <v>8619</v>
      </c>
      <c r="L1316" s="8"/>
      <c r="M1316" s="8"/>
      <c r="N1316" s="12"/>
      <c r="O1316" s="12"/>
      <c r="P1316" s="13">
        <f>IFERROR(__xludf.DUMMYFUNCTION("VALUE(SUBSTITUTE((INDEX(SPLIT(A1316,"",""),1)),""."","","",1))"),55.846876)</f>
        <v>55.846876</v>
      </c>
      <c r="Q1316" s="13">
        <f>IFERROR(__xludf.DUMMYFUNCTION("VALUE(SUBSTITUTE((INDEX(SPLIT(A1316,"",""),2)),""."","","",1))"),37.176742)</f>
        <v>37.176742</v>
      </c>
      <c r="R1316" s="14" t="b">
        <f t="shared" si="1"/>
        <v>0</v>
      </c>
      <c r="S1316" s="14" t="str">
        <f t="shared" si="2"/>
        <v>55.846876,37.176742</v>
      </c>
      <c r="T1316" s="12"/>
    </row>
    <row r="1317">
      <c r="A1317" s="15" t="s">
        <v>8620</v>
      </c>
      <c r="B1317" s="16" t="s">
        <v>8621</v>
      </c>
      <c r="C1317" s="16" t="s">
        <v>8622</v>
      </c>
      <c r="D1317" s="16" t="s">
        <v>16</v>
      </c>
      <c r="E1317" s="17" t="s">
        <v>8623</v>
      </c>
      <c r="F1317" s="16" t="s">
        <v>3760</v>
      </c>
      <c r="G1317" s="16">
        <v>23.61</v>
      </c>
      <c r="H1317" s="16"/>
      <c r="I1317" s="16"/>
      <c r="J1317" s="16" t="s">
        <v>8624</v>
      </c>
      <c r="K1317" s="16" t="s">
        <v>8625</v>
      </c>
      <c r="L1317" s="16"/>
      <c r="M1317" s="16"/>
      <c r="N1317" s="12"/>
      <c r="O1317" s="12"/>
      <c r="P1317" s="13">
        <f>IFERROR(__xludf.DUMMYFUNCTION("VALUE(SUBSTITUTE((INDEX(SPLIT(A1317,"",""),1)),""."","","",1))"),55.850555)</f>
        <v>55.850555</v>
      </c>
      <c r="Q1317" s="13">
        <f>IFERROR(__xludf.DUMMYFUNCTION("VALUE(SUBSTITUTE((INDEX(SPLIT(A1317,"",""),2)),""."","","",1))"),37.176904)</f>
        <v>37.176904</v>
      </c>
      <c r="R1317" s="14" t="b">
        <f t="shared" si="1"/>
        <v>0</v>
      </c>
      <c r="S1317" s="14" t="str">
        <f t="shared" si="2"/>
        <v>55.850555,37.176904</v>
      </c>
      <c r="T1317" s="12"/>
    </row>
    <row r="1318">
      <c r="A1318" s="18" t="s">
        <v>8626</v>
      </c>
      <c r="B1318" s="8" t="s">
        <v>8627</v>
      </c>
      <c r="C1318" s="8" t="s">
        <v>8628</v>
      </c>
      <c r="D1318" s="8" t="s">
        <v>16</v>
      </c>
      <c r="E1318" s="19" t="s">
        <v>8629</v>
      </c>
      <c r="F1318" s="8" t="s">
        <v>3760</v>
      </c>
      <c r="G1318" s="8">
        <v>23.61</v>
      </c>
      <c r="H1318" s="8"/>
      <c r="I1318" s="8"/>
      <c r="J1318" s="8" t="s">
        <v>8630</v>
      </c>
      <c r="K1318" s="8" t="s">
        <v>8631</v>
      </c>
      <c r="L1318" s="8"/>
      <c r="M1318" s="24" t="s">
        <v>8632</v>
      </c>
      <c r="N1318" s="12"/>
      <c r="O1318" s="12"/>
      <c r="P1318" s="13">
        <f>IFERROR(__xludf.DUMMYFUNCTION("VALUE(SUBSTITUTE((INDEX(SPLIT(A1318,"",""),1)),""."","","",1))"),55.751371)</f>
        <v>55.751371</v>
      </c>
      <c r="Q1318" s="13">
        <f>IFERROR(__xludf.DUMMYFUNCTION("VALUE(SUBSTITUTE((INDEX(SPLIT(A1318,"",""),2)),""."","","",1))"),37.178691)</f>
        <v>37.178691</v>
      </c>
      <c r="R1318" s="14" t="b">
        <f t="shared" si="1"/>
        <v>0</v>
      </c>
      <c r="S1318" s="14" t="str">
        <f t="shared" si="2"/>
        <v>55.751371,37.178691</v>
      </c>
      <c r="T1318" s="12"/>
    </row>
    <row r="1319">
      <c r="A1319" s="15" t="s">
        <v>8633</v>
      </c>
      <c r="B1319" s="16" t="s">
        <v>8634</v>
      </c>
      <c r="C1319" s="16" t="s">
        <v>8635</v>
      </c>
      <c r="D1319" s="16" t="s">
        <v>16</v>
      </c>
      <c r="E1319" s="17" t="s">
        <v>8636</v>
      </c>
      <c r="F1319" s="16" t="s">
        <v>3883</v>
      </c>
      <c r="G1319" s="16">
        <v>23.61</v>
      </c>
      <c r="H1319" s="16"/>
      <c r="I1319" s="16"/>
      <c r="J1319" s="16" t="s">
        <v>8637</v>
      </c>
      <c r="K1319" s="16" t="s">
        <v>8638</v>
      </c>
      <c r="L1319" s="16"/>
      <c r="M1319" s="16"/>
      <c r="N1319" s="12"/>
      <c r="O1319" s="12"/>
      <c r="P1319" s="13">
        <f>IFERROR(__xludf.DUMMYFUNCTION("VALUE(SUBSTITUTE((INDEX(SPLIT(A1319,"",""),1)),""."","","",1))"),55.577169)</f>
        <v>55.577169</v>
      </c>
      <c r="Q1319" s="13">
        <f>IFERROR(__xludf.DUMMYFUNCTION("VALUE(SUBSTITUTE((INDEX(SPLIT(A1319,"",""),2)),""."","","",1))"),37.179832)</f>
        <v>37.179832</v>
      </c>
      <c r="R1319" s="14" t="b">
        <f t="shared" si="1"/>
        <v>0</v>
      </c>
      <c r="S1319" s="14" t="str">
        <f t="shared" si="2"/>
        <v>55.577169,37.179832</v>
      </c>
      <c r="T1319" s="12"/>
    </row>
    <row r="1320">
      <c r="A1320" s="18" t="s">
        <v>8639</v>
      </c>
      <c r="B1320" s="8" t="s">
        <v>8640</v>
      </c>
      <c r="C1320" s="8" t="s">
        <v>8641</v>
      </c>
      <c r="D1320" s="8" t="s">
        <v>16</v>
      </c>
      <c r="E1320" s="19" t="s">
        <v>8642</v>
      </c>
      <c r="F1320" s="8" t="s">
        <v>3883</v>
      </c>
      <c r="G1320" s="8">
        <v>23.61</v>
      </c>
      <c r="H1320" s="8"/>
      <c r="I1320" s="8"/>
      <c r="J1320" s="8" t="s">
        <v>8643</v>
      </c>
      <c r="K1320" s="8" t="s">
        <v>8644</v>
      </c>
      <c r="L1320" s="8"/>
      <c r="M1320" s="24" t="s">
        <v>8645</v>
      </c>
      <c r="N1320" s="12"/>
      <c r="O1320" s="12"/>
      <c r="P1320" s="13">
        <f>IFERROR(__xludf.DUMMYFUNCTION("VALUE(SUBSTITUTE((INDEX(SPLIT(A1320,"",""),1)),""."","","",1))"),56.01087)</f>
        <v>56.01087</v>
      </c>
      <c r="Q1320" s="13">
        <f>IFERROR(__xludf.DUMMYFUNCTION("VALUE(SUBSTITUTE((INDEX(SPLIT(A1320,"",""),2)),""."","","",1))"),37.184638)</f>
        <v>37.184638</v>
      </c>
      <c r="R1320" s="14" t="b">
        <f t="shared" si="1"/>
        <v>0</v>
      </c>
      <c r="S1320" s="14" t="str">
        <f t="shared" si="2"/>
        <v>56.01087,37.184638</v>
      </c>
      <c r="T1320" s="12"/>
    </row>
    <row r="1321">
      <c r="A1321" s="15" t="s">
        <v>8646</v>
      </c>
      <c r="B1321" s="16" t="s">
        <v>8647</v>
      </c>
      <c r="C1321" s="16" t="s">
        <v>8648</v>
      </c>
      <c r="D1321" s="16" t="s">
        <v>16</v>
      </c>
      <c r="E1321" s="17" t="s">
        <v>8649</v>
      </c>
      <c r="F1321" s="16" t="s">
        <v>3883</v>
      </c>
      <c r="G1321" s="16">
        <v>23.61</v>
      </c>
      <c r="H1321" s="16"/>
      <c r="I1321" s="16"/>
      <c r="J1321" s="16" t="s">
        <v>8650</v>
      </c>
      <c r="K1321" s="16" t="s">
        <v>8651</v>
      </c>
      <c r="L1321" s="16"/>
      <c r="M1321" s="16"/>
      <c r="N1321" s="12"/>
      <c r="O1321" s="12"/>
      <c r="P1321" s="13">
        <f>IFERROR(__xludf.DUMMYFUNCTION("VALUE(SUBSTITUTE((INDEX(SPLIT(A1321,"",""),1)),""."","","",1))"),55.320729)</f>
        <v>55.320729</v>
      </c>
      <c r="Q1321" s="13">
        <f>IFERROR(__xludf.DUMMYFUNCTION("VALUE(SUBSTITUTE((INDEX(SPLIT(A1321,"",""),2)),""."","","",1))"),37.187809)</f>
        <v>37.187809</v>
      </c>
      <c r="R1321" s="14" t="b">
        <f t="shared" si="1"/>
        <v>0</v>
      </c>
      <c r="S1321" s="14" t="str">
        <f t="shared" si="2"/>
        <v>55.320729,37.187809</v>
      </c>
      <c r="T1321" s="12"/>
    </row>
    <row r="1322">
      <c r="A1322" s="18" t="s">
        <v>8652</v>
      </c>
      <c r="B1322" s="8" t="s">
        <v>8653</v>
      </c>
      <c r="C1322" s="8" t="s">
        <v>8654</v>
      </c>
      <c r="D1322" s="8" t="s">
        <v>16</v>
      </c>
      <c r="E1322" s="19" t="s">
        <v>8655</v>
      </c>
      <c r="F1322" s="8" t="s">
        <v>3760</v>
      </c>
      <c r="G1322" s="8">
        <v>23.61</v>
      </c>
      <c r="H1322" s="8"/>
      <c r="I1322" s="8"/>
      <c r="J1322" s="8" t="s">
        <v>8656</v>
      </c>
      <c r="K1322" s="8" t="s">
        <v>8657</v>
      </c>
      <c r="L1322" s="8"/>
      <c r="M1322" s="8"/>
      <c r="N1322" s="12"/>
      <c r="O1322" s="12"/>
      <c r="P1322" s="13">
        <f>IFERROR(__xludf.DUMMYFUNCTION("VALUE(SUBSTITUTE((INDEX(SPLIT(A1322,"",""),1)),""."","","",1))"),55.656768)</f>
        <v>55.656768</v>
      </c>
      <c r="Q1322" s="13">
        <f>IFERROR(__xludf.DUMMYFUNCTION("VALUE(SUBSTITUTE((INDEX(SPLIT(A1322,"",""),2)),""."","","",1))"),37.194942)</f>
        <v>37.194942</v>
      </c>
      <c r="R1322" s="14" t="b">
        <f t="shared" si="1"/>
        <v>0</v>
      </c>
      <c r="S1322" s="14" t="str">
        <f t="shared" si="2"/>
        <v>55.656768,37.194942</v>
      </c>
      <c r="T1322" s="12"/>
    </row>
    <row r="1323">
      <c r="A1323" s="15" t="s">
        <v>8658</v>
      </c>
      <c r="B1323" s="16" t="s">
        <v>8659</v>
      </c>
      <c r="C1323" s="16" t="s">
        <v>8660</v>
      </c>
      <c r="D1323" s="16" t="s">
        <v>16</v>
      </c>
      <c r="E1323" s="17" t="s">
        <v>8661</v>
      </c>
      <c r="F1323" s="16" t="s">
        <v>3760</v>
      </c>
      <c r="G1323" s="16">
        <v>23.61</v>
      </c>
      <c r="H1323" s="16"/>
      <c r="I1323" s="16"/>
      <c r="J1323" s="16" t="s">
        <v>8662</v>
      </c>
      <c r="K1323" s="16" t="s">
        <v>8663</v>
      </c>
      <c r="L1323" s="16"/>
      <c r="M1323" s="16"/>
      <c r="N1323" s="12"/>
      <c r="O1323" s="12"/>
      <c r="P1323" s="13">
        <f>IFERROR(__xludf.DUMMYFUNCTION("VALUE(SUBSTITUTE((INDEX(SPLIT(A1323,"",""),1)),""."","","",1))"),55.658032)</f>
        <v>55.658032</v>
      </c>
      <c r="Q1323" s="13">
        <f>IFERROR(__xludf.DUMMYFUNCTION("VALUE(SUBSTITUTE((INDEX(SPLIT(A1323,"",""),2)),""."","","",1))"),37.195948)</f>
        <v>37.195948</v>
      </c>
      <c r="R1323" s="14" t="b">
        <f t="shared" si="1"/>
        <v>0</v>
      </c>
      <c r="S1323" s="14" t="str">
        <f t="shared" si="2"/>
        <v>55.658032,37.195948</v>
      </c>
      <c r="T1323" s="12"/>
    </row>
    <row r="1324">
      <c r="A1324" s="18" t="s">
        <v>8664</v>
      </c>
      <c r="B1324" s="8" t="s">
        <v>8665</v>
      </c>
      <c r="C1324" s="8" t="s">
        <v>8666</v>
      </c>
      <c r="D1324" s="8" t="s">
        <v>16</v>
      </c>
      <c r="E1324" s="19" t="s">
        <v>8667</v>
      </c>
      <c r="F1324" s="8" t="s">
        <v>3760</v>
      </c>
      <c r="G1324" s="8">
        <v>23.61</v>
      </c>
      <c r="H1324" s="8"/>
      <c r="I1324" s="8"/>
      <c r="J1324" s="8" t="s">
        <v>8668</v>
      </c>
      <c r="K1324" s="8" t="s">
        <v>8669</v>
      </c>
      <c r="L1324" s="8"/>
      <c r="M1324" s="8"/>
      <c r="N1324" s="12"/>
      <c r="O1324" s="12"/>
      <c r="P1324" s="13">
        <f>IFERROR(__xludf.DUMMYFUNCTION("VALUE(SUBSTITUTE((INDEX(SPLIT(A1324,"",""),1)),""."","","",1))"),54.884866)</f>
        <v>54.884866</v>
      </c>
      <c r="Q1324" s="13">
        <f>IFERROR(__xludf.DUMMYFUNCTION("VALUE(SUBSTITUTE((INDEX(SPLIT(A1324,"",""),2)),""."","","",1))"),37.200215)</f>
        <v>37.200215</v>
      </c>
      <c r="R1324" s="14" t="b">
        <f t="shared" si="1"/>
        <v>0</v>
      </c>
      <c r="S1324" s="14" t="str">
        <f t="shared" si="2"/>
        <v>54.884866,37.200215</v>
      </c>
      <c r="T1324" s="12"/>
    </row>
    <row r="1325">
      <c r="A1325" s="20" t="s">
        <v>8670</v>
      </c>
      <c r="B1325" s="16" t="s">
        <v>8671</v>
      </c>
      <c r="C1325" s="16" t="s">
        <v>8672</v>
      </c>
      <c r="D1325" s="16" t="s">
        <v>16</v>
      </c>
      <c r="E1325" s="21" t="s">
        <v>8673</v>
      </c>
      <c r="F1325" s="22" t="s">
        <v>3760</v>
      </c>
      <c r="G1325" s="16">
        <v>23.61</v>
      </c>
      <c r="H1325" s="16"/>
      <c r="I1325" s="22"/>
      <c r="J1325" s="22" t="s">
        <v>8674</v>
      </c>
      <c r="K1325" s="22" t="s">
        <v>8675</v>
      </c>
      <c r="L1325" s="23" t="s">
        <v>8676</v>
      </c>
      <c r="M1325" s="22"/>
      <c r="N1325" s="12"/>
      <c r="O1325" s="12"/>
      <c r="P1325" s="13">
        <f>IFERROR(__xludf.DUMMYFUNCTION("VALUE(SUBSTITUTE((INDEX(SPLIT(A1325,"",""),1)),""."","","",1))"),55.656864)</f>
        <v>55.656864</v>
      </c>
      <c r="Q1325" s="13">
        <f>IFERROR(__xludf.DUMMYFUNCTION("VALUE(SUBSTITUTE((INDEX(SPLIT(A1325,"",""),2)),""."","","",1))"),37.200503)</f>
        <v>37.200503</v>
      </c>
      <c r="R1325" s="14" t="b">
        <f t="shared" si="1"/>
        <v>0</v>
      </c>
      <c r="S1325" s="14" t="str">
        <f t="shared" si="2"/>
        <v>55.656864,37.200503</v>
      </c>
      <c r="T1325" s="12"/>
    </row>
    <row r="1326">
      <c r="A1326" s="7" t="s">
        <v>8677</v>
      </c>
      <c r="B1326" s="8" t="s">
        <v>8678</v>
      </c>
      <c r="C1326" s="8" t="s">
        <v>439</v>
      </c>
      <c r="D1326" s="8" t="s">
        <v>16</v>
      </c>
      <c r="E1326" s="9" t="s">
        <v>8679</v>
      </c>
      <c r="F1326" s="10" t="s">
        <v>3883</v>
      </c>
      <c r="G1326" s="8">
        <v>23.61</v>
      </c>
      <c r="H1326" s="8"/>
      <c r="I1326" s="10"/>
      <c r="J1326" s="10" t="s">
        <v>8680</v>
      </c>
      <c r="K1326" s="10" t="s">
        <v>8681</v>
      </c>
      <c r="L1326" s="11" t="s">
        <v>8682</v>
      </c>
      <c r="M1326" s="10"/>
      <c r="N1326" s="12"/>
      <c r="O1326" s="12"/>
      <c r="P1326" s="13">
        <f>IFERROR(__xludf.DUMMYFUNCTION("VALUE(SUBSTITUTE((INDEX(SPLIT(A1326,"",""),1)),""."","","",1))"),55.574747)</f>
        <v>55.574747</v>
      </c>
      <c r="Q1326" s="13">
        <f>IFERROR(__xludf.DUMMYFUNCTION("VALUE(SUBSTITUTE((INDEX(SPLIT(A1326,"",""),2)),""."","","",1))"),37.206378)</f>
        <v>37.206378</v>
      </c>
      <c r="R1326" s="14" t="b">
        <f t="shared" si="1"/>
        <v>0</v>
      </c>
      <c r="S1326" s="14" t="str">
        <f t="shared" si="2"/>
        <v>55.574747,37.206378</v>
      </c>
      <c r="T1326" s="12"/>
    </row>
    <row r="1327">
      <c r="A1327" s="20" t="s">
        <v>8683</v>
      </c>
      <c r="B1327" s="16" t="s">
        <v>8684</v>
      </c>
      <c r="C1327" s="16" t="s">
        <v>8685</v>
      </c>
      <c r="D1327" s="16" t="s">
        <v>16</v>
      </c>
      <c r="E1327" s="21" t="s">
        <v>8686</v>
      </c>
      <c r="F1327" s="22" t="s">
        <v>3760</v>
      </c>
      <c r="G1327" s="16">
        <v>23.61</v>
      </c>
      <c r="H1327" s="16"/>
      <c r="I1327" s="22"/>
      <c r="J1327" s="22" t="s">
        <v>8687</v>
      </c>
      <c r="K1327" s="22" t="s">
        <v>8688</v>
      </c>
      <c r="L1327" s="23" t="s">
        <v>8689</v>
      </c>
      <c r="M1327" s="22"/>
      <c r="N1327" s="12"/>
      <c r="O1327" s="12"/>
      <c r="P1327" s="13">
        <f>IFERROR(__xludf.DUMMYFUNCTION("VALUE(SUBSTITUTE((INDEX(SPLIT(A1327,"",""),1)),""."","","",1))"),54.976261)</f>
        <v>54.976261</v>
      </c>
      <c r="Q1327" s="13">
        <f>IFERROR(__xludf.DUMMYFUNCTION("VALUE(SUBSTITUTE((INDEX(SPLIT(A1327,"",""),2)),""."","","",1))"),37.215945)</f>
        <v>37.215945</v>
      </c>
      <c r="R1327" s="14" t="b">
        <f t="shared" si="1"/>
        <v>0</v>
      </c>
      <c r="S1327" s="14" t="str">
        <f t="shared" si="2"/>
        <v>54.976261,37.215945</v>
      </c>
      <c r="T1327" s="12"/>
    </row>
    <row r="1328">
      <c r="A1328" s="18" t="s">
        <v>8690</v>
      </c>
      <c r="B1328" s="8" t="s">
        <v>8691</v>
      </c>
      <c r="C1328" s="8" t="s">
        <v>8692</v>
      </c>
      <c r="D1328" s="8" t="s">
        <v>16</v>
      </c>
      <c r="E1328" s="19" t="s">
        <v>8693</v>
      </c>
      <c r="F1328" s="8" t="s">
        <v>3760</v>
      </c>
      <c r="G1328" s="8">
        <v>23.61</v>
      </c>
      <c r="H1328" s="8"/>
      <c r="I1328" s="8"/>
      <c r="J1328" s="8" t="s">
        <v>8694</v>
      </c>
      <c r="K1328" s="8" t="s">
        <v>8695</v>
      </c>
      <c r="L1328" s="8"/>
      <c r="M1328" s="24" t="s">
        <v>8696</v>
      </c>
      <c r="N1328" s="12"/>
      <c r="O1328" s="12"/>
      <c r="P1328" s="13">
        <f>IFERROR(__xludf.DUMMYFUNCTION("VALUE(SUBSTITUTE((INDEX(SPLIT(A1328,"",""),1)),""."","","",1))"),55.634979)</f>
        <v>55.634979</v>
      </c>
      <c r="Q1328" s="13">
        <f>IFERROR(__xludf.DUMMYFUNCTION("VALUE(SUBSTITUTE((INDEX(SPLIT(A1328,"",""),2)),""."","","",1))"),37.216016)</f>
        <v>37.216016</v>
      </c>
      <c r="R1328" s="14" t="b">
        <f t="shared" si="1"/>
        <v>0</v>
      </c>
      <c r="S1328" s="14" t="str">
        <f t="shared" si="2"/>
        <v>55.634979,37.216016</v>
      </c>
      <c r="T1328" s="12"/>
    </row>
    <row r="1329">
      <c r="A1329" s="15" t="s">
        <v>8697</v>
      </c>
      <c r="B1329" s="16" t="s">
        <v>8698</v>
      </c>
      <c r="C1329" s="16" t="s">
        <v>8699</v>
      </c>
      <c r="D1329" s="16" t="s">
        <v>16</v>
      </c>
      <c r="E1329" s="17" t="s">
        <v>8700</v>
      </c>
      <c r="F1329" s="16" t="s">
        <v>3760</v>
      </c>
      <c r="G1329" s="16">
        <v>23.61</v>
      </c>
      <c r="H1329" s="16"/>
      <c r="I1329" s="16"/>
      <c r="J1329" s="16" t="s">
        <v>8701</v>
      </c>
      <c r="K1329" s="16" t="s">
        <v>8702</v>
      </c>
      <c r="L1329" s="16"/>
      <c r="M1329" s="25" t="s">
        <v>8703</v>
      </c>
      <c r="N1329" s="12"/>
      <c r="O1329" s="12"/>
      <c r="P1329" s="13">
        <f>IFERROR(__xludf.DUMMYFUNCTION("VALUE(SUBSTITUTE((INDEX(SPLIT(A1329,"",""),1)),""."","","",1))"),54.862254)</f>
        <v>54.862254</v>
      </c>
      <c r="Q1329" s="13">
        <f>IFERROR(__xludf.DUMMYFUNCTION("VALUE(SUBSTITUTE((INDEX(SPLIT(A1329,"",""),2)),""."","","",1))"),37.216286)</f>
        <v>37.216286</v>
      </c>
      <c r="R1329" s="14" t="b">
        <f t="shared" si="1"/>
        <v>0</v>
      </c>
      <c r="S1329" s="14" t="str">
        <f t="shared" si="2"/>
        <v>54.862254,37.216286</v>
      </c>
      <c r="T1329" s="12"/>
    </row>
    <row r="1330">
      <c r="A1330" s="7" t="s">
        <v>8704</v>
      </c>
      <c r="B1330" s="8" t="s">
        <v>8705</v>
      </c>
      <c r="C1330" s="8" t="s">
        <v>8706</v>
      </c>
      <c r="D1330" s="8" t="s">
        <v>16</v>
      </c>
      <c r="E1330" s="9" t="s">
        <v>8707</v>
      </c>
      <c r="F1330" s="10" t="s">
        <v>3760</v>
      </c>
      <c r="G1330" s="8">
        <v>23.61</v>
      </c>
      <c r="H1330" s="8"/>
      <c r="I1330" s="10"/>
      <c r="J1330" s="10" t="s">
        <v>8708</v>
      </c>
      <c r="K1330" s="10" t="s">
        <v>8709</v>
      </c>
      <c r="L1330" s="11" t="s">
        <v>8710</v>
      </c>
      <c r="M1330" s="10"/>
      <c r="N1330" s="12"/>
      <c r="O1330" s="12"/>
      <c r="P1330" s="13">
        <f>IFERROR(__xludf.DUMMYFUNCTION("VALUE(SUBSTITUTE((INDEX(SPLIT(A1330,"",""),1)),""."","","",1))"),55.636986)</f>
        <v>55.636986</v>
      </c>
      <c r="Q1330" s="13">
        <f>IFERROR(__xludf.DUMMYFUNCTION("VALUE(SUBSTITUTE((INDEX(SPLIT(A1330,"",""),2)),""."","","",1))"),37.222179)</f>
        <v>37.222179</v>
      </c>
      <c r="R1330" s="14" t="b">
        <f t="shared" si="1"/>
        <v>0</v>
      </c>
      <c r="S1330" s="14" t="str">
        <f t="shared" si="2"/>
        <v>55.636986,37.222179</v>
      </c>
      <c r="T1330" s="12"/>
    </row>
    <row r="1331">
      <c r="A1331" s="15" t="s">
        <v>8711</v>
      </c>
      <c r="B1331" s="16" t="s">
        <v>8712</v>
      </c>
      <c r="C1331" s="16" t="s">
        <v>8713</v>
      </c>
      <c r="D1331" s="16" t="s">
        <v>16</v>
      </c>
      <c r="E1331" s="17" t="s">
        <v>8714</v>
      </c>
      <c r="F1331" s="16" t="s">
        <v>3760</v>
      </c>
      <c r="G1331" s="16">
        <v>23.61</v>
      </c>
      <c r="H1331" s="16"/>
      <c r="I1331" s="16"/>
      <c r="J1331" s="16" t="s">
        <v>8715</v>
      </c>
      <c r="K1331" s="16" t="s">
        <v>8716</v>
      </c>
      <c r="L1331" s="16"/>
      <c r="M1331" s="16"/>
      <c r="N1331" s="12"/>
      <c r="O1331" s="12"/>
      <c r="P1331" s="13">
        <f>IFERROR(__xludf.DUMMYFUNCTION("VALUE(SUBSTITUTE((INDEX(SPLIT(A1331,"",""),1)),""."","","",1))"),55.756817)</f>
        <v>55.756817</v>
      </c>
      <c r="Q1331" s="13">
        <f>IFERROR(__xludf.DUMMYFUNCTION("VALUE(SUBSTITUTE((INDEX(SPLIT(A1331,"",""),2)),""."","","",1))"),37.236866)</f>
        <v>37.236866</v>
      </c>
      <c r="R1331" s="14" t="b">
        <f t="shared" si="1"/>
        <v>0</v>
      </c>
      <c r="S1331" s="14" t="str">
        <f t="shared" si="2"/>
        <v>55.756817,37.236866</v>
      </c>
      <c r="T1331" s="12"/>
    </row>
    <row r="1332">
      <c r="A1332" s="7" t="s">
        <v>8717</v>
      </c>
      <c r="B1332" s="8" t="s">
        <v>8718</v>
      </c>
      <c r="C1332" s="8" t="s">
        <v>8719</v>
      </c>
      <c r="D1332" s="8" t="s">
        <v>16</v>
      </c>
      <c r="E1332" s="9" t="s">
        <v>8720</v>
      </c>
      <c r="F1332" s="10" t="s">
        <v>3760</v>
      </c>
      <c r="G1332" s="8">
        <v>23.61</v>
      </c>
      <c r="H1332" s="8"/>
      <c r="I1332" s="10"/>
      <c r="J1332" s="10" t="s">
        <v>8721</v>
      </c>
      <c r="K1332" s="10" t="s">
        <v>8722</v>
      </c>
      <c r="L1332" s="11" t="s">
        <v>8723</v>
      </c>
      <c r="M1332" s="10"/>
      <c r="N1332" s="12"/>
      <c r="O1332" s="12"/>
      <c r="P1332" s="13">
        <f>IFERROR(__xludf.DUMMYFUNCTION("VALUE(SUBSTITUTE((INDEX(SPLIT(A1332,"",""),1)),""."","","",1))"),55.662517)</f>
        <v>55.662517</v>
      </c>
      <c r="Q1332" s="13">
        <f>IFERROR(__xludf.DUMMYFUNCTION("VALUE(SUBSTITUTE((INDEX(SPLIT(A1332,"",""),2)),""."","","",1))"),37.244592)</f>
        <v>37.244592</v>
      </c>
      <c r="R1332" s="14" t="b">
        <f t="shared" si="1"/>
        <v>0</v>
      </c>
      <c r="S1332" s="14" t="str">
        <f t="shared" si="2"/>
        <v>55.662517,37.244592</v>
      </c>
      <c r="T1332" s="12"/>
    </row>
    <row r="1333">
      <c r="A1333" s="15" t="s">
        <v>8717</v>
      </c>
      <c r="B1333" s="16" t="s">
        <v>8724</v>
      </c>
      <c r="C1333" s="16" t="s">
        <v>8725</v>
      </c>
      <c r="D1333" s="16" t="s">
        <v>16</v>
      </c>
      <c r="E1333" s="17" t="s">
        <v>8726</v>
      </c>
      <c r="F1333" s="16" t="s">
        <v>3760</v>
      </c>
      <c r="G1333" s="16">
        <v>23.61</v>
      </c>
      <c r="H1333" s="16"/>
      <c r="I1333" s="16"/>
      <c r="J1333" s="16" t="s">
        <v>8727</v>
      </c>
      <c r="K1333" s="16" t="s">
        <v>8722</v>
      </c>
      <c r="L1333" s="16"/>
      <c r="M1333" s="16"/>
      <c r="N1333" s="12"/>
      <c r="O1333" s="12"/>
      <c r="P1333" s="13">
        <f>IFERROR(__xludf.DUMMYFUNCTION("VALUE(SUBSTITUTE((INDEX(SPLIT(A1333,"",""),1)),""."","","",1))"),55.662517)</f>
        <v>55.662517</v>
      </c>
      <c r="Q1333" s="13">
        <f>IFERROR(__xludf.DUMMYFUNCTION("VALUE(SUBSTITUTE((INDEX(SPLIT(A1333,"",""),2)),""."","","",1))"),37.244592)</f>
        <v>37.244592</v>
      </c>
      <c r="R1333" s="14" t="b">
        <f t="shared" si="1"/>
        <v>0</v>
      </c>
      <c r="S1333" s="14" t="str">
        <f t="shared" si="2"/>
        <v>55.662517,37.244592</v>
      </c>
      <c r="T1333" s="12"/>
    </row>
    <row r="1334">
      <c r="A1334" s="7" t="s">
        <v>8728</v>
      </c>
      <c r="B1334" s="8" t="s">
        <v>8729</v>
      </c>
      <c r="C1334" s="8" t="s">
        <v>8730</v>
      </c>
      <c r="D1334" s="8" t="s">
        <v>16</v>
      </c>
      <c r="E1334" s="9" t="s">
        <v>8731</v>
      </c>
      <c r="F1334" s="10" t="s">
        <v>3883</v>
      </c>
      <c r="G1334" s="8">
        <v>23.61</v>
      </c>
      <c r="H1334" s="8"/>
      <c r="I1334" s="10"/>
      <c r="J1334" s="10" t="s">
        <v>8732</v>
      </c>
      <c r="K1334" s="10" t="s">
        <v>8733</v>
      </c>
      <c r="L1334" s="11" t="s">
        <v>8734</v>
      </c>
      <c r="M1334" s="10"/>
      <c r="N1334" s="12"/>
      <c r="O1334" s="12"/>
      <c r="P1334" s="13">
        <f>IFERROR(__xludf.DUMMYFUNCTION("VALUE(SUBSTITUTE((INDEX(SPLIT(A1334,"",""),1)),""."","","",1))"),55.668442)</f>
        <v>55.668442</v>
      </c>
      <c r="Q1334" s="13">
        <f>IFERROR(__xludf.DUMMYFUNCTION("VALUE(SUBSTITUTE((INDEX(SPLIT(A1334,"",""),2)),""."","","",1))"),37.254572)</f>
        <v>37.254572</v>
      </c>
      <c r="R1334" s="14" t="b">
        <f t="shared" si="1"/>
        <v>0</v>
      </c>
      <c r="S1334" s="14" t="str">
        <f t="shared" si="2"/>
        <v>55.668442,37.254572</v>
      </c>
      <c r="T1334" s="12"/>
    </row>
    <row r="1335">
      <c r="A1335" s="20" t="s">
        <v>8735</v>
      </c>
      <c r="B1335" s="16" t="s">
        <v>8736</v>
      </c>
      <c r="C1335" s="16" t="s">
        <v>8737</v>
      </c>
      <c r="D1335" s="16" t="s">
        <v>16</v>
      </c>
      <c r="E1335" s="21" t="s">
        <v>8738</v>
      </c>
      <c r="F1335" s="22" t="s">
        <v>3760</v>
      </c>
      <c r="G1335" s="16">
        <v>23.61</v>
      </c>
      <c r="H1335" s="16"/>
      <c r="I1335" s="22"/>
      <c r="J1335" s="22" t="s">
        <v>8739</v>
      </c>
      <c r="K1335" s="22" t="s">
        <v>8740</v>
      </c>
      <c r="L1335" s="23" t="s">
        <v>8741</v>
      </c>
      <c r="M1335" s="22"/>
      <c r="N1335" s="12"/>
      <c r="O1335" s="12"/>
      <c r="P1335" s="13">
        <f>IFERROR(__xludf.DUMMYFUNCTION("VALUE(SUBSTITUTE((INDEX(SPLIT(A1335,"",""),1)),""."","","",1))"),55.677022)</f>
        <v>55.677022</v>
      </c>
      <c r="Q1335" s="13">
        <f>IFERROR(__xludf.DUMMYFUNCTION("VALUE(SUBSTITUTE((INDEX(SPLIT(A1335,"",""),2)),""."","","",1))"),37.25874)</f>
        <v>37.25874</v>
      </c>
      <c r="R1335" s="14" t="b">
        <f t="shared" si="1"/>
        <v>0</v>
      </c>
      <c r="S1335" s="14" t="str">
        <f t="shared" si="2"/>
        <v>55.677022,37.25874</v>
      </c>
      <c r="T1335" s="12"/>
    </row>
    <row r="1336">
      <c r="A1336" s="18" t="s">
        <v>8742</v>
      </c>
      <c r="B1336" s="8" t="s">
        <v>8743</v>
      </c>
      <c r="C1336" s="8" t="s">
        <v>8744</v>
      </c>
      <c r="D1336" s="8" t="s">
        <v>16</v>
      </c>
      <c r="E1336" s="19" t="s">
        <v>8745</v>
      </c>
      <c r="F1336" s="8" t="s">
        <v>3760</v>
      </c>
      <c r="G1336" s="8">
        <v>23.61</v>
      </c>
      <c r="H1336" s="8"/>
      <c r="I1336" s="8"/>
      <c r="J1336" s="8" t="s">
        <v>8746</v>
      </c>
      <c r="K1336" s="8" t="s">
        <v>8747</v>
      </c>
      <c r="L1336" s="8"/>
      <c r="M1336" s="8"/>
      <c r="N1336" s="12"/>
      <c r="O1336" s="12"/>
      <c r="P1336" s="13">
        <f>IFERROR(__xludf.DUMMYFUNCTION("VALUE(SUBSTITUTE((INDEX(SPLIT(A1336,"",""),1)),""."","","",1))"),55.66926)</f>
        <v>55.66926</v>
      </c>
      <c r="Q1336" s="13">
        <f>IFERROR(__xludf.DUMMYFUNCTION("VALUE(SUBSTITUTE((INDEX(SPLIT(A1336,"",""),2)),""."","","",1))"),37.262055)</f>
        <v>37.262055</v>
      </c>
      <c r="R1336" s="14" t="b">
        <f t="shared" si="1"/>
        <v>0</v>
      </c>
      <c r="S1336" s="14" t="str">
        <f t="shared" si="2"/>
        <v>55.66926,37.262055</v>
      </c>
      <c r="T1336" s="12"/>
    </row>
    <row r="1337">
      <c r="A1337" s="15" t="s">
        <v>8748</v>
      </c>
      <c r="B1337" s="16" t="s">
        <v>8749</v>
      </c>
      <c r="C1337" s="16" t="s">
        <v>8750</v>
      </c>
      <c r="D1337" s="16" t="s">
        <v>16</v>
      </c>
      <c r="E1337" s="17" t="s">
        <v>8751</v>
      </c>
      <c r="F1337" s="16" t="s">
        <v>3760</v>
      </c>
      <c r="G1337" s="16">
        <v>23.61</v>
      </c>
      <c r="H1337" s="16"/>
      <c r="I1337" s="16"/>
      <c r="J1337" s="16" t="s">
        <v>8752</v>
      </c>
      <c r="K1337" s="16" t="s">
        <v>8753</v>
      </c>
      <c r="L1337" s="16"/>
      <c r="M1337" s="16"/>
      <c r="N1337" s="12"/>
      <c r="O1337" s="12"/>
      <c r="P1337" s="13">
        <f>IFERROR(__xludf.DUMMYFUNCTION("VALUE(SUBSTITUTE((INDEX(SPLIT(A1337,"",""),1)),""."","","",1))"),55.679138)</f>
        <v>55.679138</v>
      </c>
      <c r="Q1337" s="13">
        <f>IFERROR(__xludf.DUMMYFUNCTION("VALUE(SUBSTITUTE((INDEX(SPLIT(A1337,"",""),2)),""."","","",1))"),37.263663)</f>
        <v>37.263663</v>
      </c>
      <c r="R1337" s="14" t="b">
        <f t="shared" si="1"/>
        <v>0</v>
      </c>
      <c r="S1337" s="14" t="str">
        <f t="shared" si="2"/>
        <v>55.679138,37.263663</v>
      </c>
      <c r="T1337" s="12"/>
    </row>
    <row r="1338">
      <c r="A1338" s="18" t="s">
        <v>8748</v>
      </c>
      <c r="B1338" s="8" t="s">
        <v>866</v>
      </c>
      <c r="C1338" s="8" t="s">
        <v>867</v>
      </c>
      <c r="D1338" s="8" t="s">
        <v>16</v>
      </c>
      <c r="E1338" s="19" t="s">
        <v>8754</v>
      </c>
      <c r="F1338" s="8" t="s">
        <v>3760</v>
      </c>
      <c r="G1338" s="8">
        <v>23.61</v>
      </c>
      <c r="H1338" s="8"/>
      <c r="I1338" s="8"/>
      <c r="J1338" s="8" t="s">
        <v>8755</v>
      </c>
      <c r="K1338" s="8" t="s">
        <v>8740</v>
      </c>
      <c r="L1338" s="8"/>
      <c r="M1338" s="24" t="s">
        <v>8756</v>
      </c>
      <c r="N1338" s="12"/>
      <c r="O1338" s="12"/>
      <c r="P1338" s="13">
        <f>IFERROR(__xludf.DUMMYFUNCTION("VALUE(SUBSTITUTE((INDEX(SPLIT(A1338,"",""),1)),""."","","",1))"),55.679138)</f>
        <v>55.679138</v>
      </c>
      <c r="Q1338" s="13">
        <f>IFERROR(__xludf.DUMMYFUNCTION("VALUE(SUBSTITUTE((INDEX(SPLIT(A1338,"",""),2)),""."","","",1))"),37.263663)</f>
        <v>37.263663</v>
      </c>
      <c r="R1338" s="14" t="b">
        <f t="shared" si="1"/>
        <v>0</v>
      </c>
      <c r="S1338" s="14" t="str">
        <f t="shared" si="2"/>
        <v>55.679138,37.263663</v>
      </c>
      <c r="T1338" s="12"/>
    </row>
    <row r="1339">
      <c r="A1339" s="20" t="s">
        <v>8748</v>
      </c>
      <c r="B1339" s="16" t="s">
        <v>8757</v>
      </c>
      <c r="C1339" s="16" t="s">
        <v>8758</v>
      </c>
      <c r="D1339" s="16" t="s">
        <v>16</v>
      </c>
      <c r="E1339" s="21" t="s">
        <v>8759</v>
      </c>
      <c r="F1339" s="22" t="s">
        <v>3883</v>
      </c>
      <c r="G1339" s="16">
        <v>23.61</v>
      </c>
      <c r="H1339" s="16"/>
      <c r="I1339" s="22"/>
      <c r="J1339" s="22" t="s">
        <v>8760</v>
      </c>
      <c r="K1339" s="22" t="s">
        <v>8761</v>
      </c>
      <c r="L1339" s="23" t="s">
        <v>8762</v>
      </c>
      <c r="M1339" s="22"/>
      <c r="N1339" s="12"/>
      <c r="O1339" s="12"/>
      <c r="P1339" s="13">
        <f>IFERROR(__xludf.DUMMYFUNCTION("VALUE(SUBSTITUTE((INDEX(SPLIT(A1339,"",""),1)),""."","","",1))"),55.679138)</f>
        <v>55.679138</v>
      </c>
      <c r="Q1339" s="13">
        <f>IFERROR(__xludf.DUMMYFUNCTION("VALUE(SUBSTITUTE((INDEX(SPLIT(A1339,"",""),2)),""."","","",1))"),37.263663)</f>
        <v>37.263663</v>
      </c>
      <c r="R1339" s="14" t="b">
        <f t="shared" si="1"/>
        <v>0</v>
      </c>
      <c r="S1339" s="14" t="str">
        <f t="shared" si="2"/>
        <v>55.679138,37.263663</v>
      </c>
      <c r="T1339" s="12"/>
    </row>
    <row r="1340">
      <c r="A1340" s="7" t="s">
        <v>8763</v>
      </c>
      <c r="B1340" s="8" t="s">
        <v>8764</v>
      </c>
      <c r="C1340" s="8" t="s">
        <v>8765</v>
      </c>
      <c r="D1340" s="8" t="s">
        <v>16</v>
      </c>
      <c r="E1340" s="9" t="s">
        <v>8766</v>
      </c>
      <c r="F1340" s="10" t="s">
        <v>3760</v>
      </c>
      <c r="G1340" s="8">
        <v>23.61</v>
      </c>
      <c r="H1340" s="8"/>
      <c r="I1340" s="10"/>
      <c r="J1340" s="10" t="s">
        <v>8767</v>
      </c>
      <c r="K1340" s="10" t="s">
        <v>8768</v>
      </c>
      <c r="L1340" s="11" t="s">
        <v>8769</v>
      </c>
      <c r="M1340" s="10"/>
      <c r="N1340" s="12"/>
      <c r="O1340" s="12"/>
      <c r="P1340" s="13">
        <f>IFERROR(__xludf.DUMMYFUNCTION("VALUE(SUBSTITUTE((INDEX(SPLIT(A1340,"",""),1)),""."","","",1))"),55.658566)</f>
        <v>55.658566</v>
      </c>
      <c r="Q1340" s="13">
        <f>IFERROR(__xludf.DUMMYFUNCTION("VALUE(SUBSTITUTE((INDEX(SPLIT(A1340,"",""),2)),""."","","",1))"),37.269412)</f>
        <v>37.269412</v>
      </c>
      <c r="R1340" s="14" t="b">
        <f t="shared" si="1"/>
        <v>0</v>
      </c>
      <c r="S1340" s="14" t="str">
        <f t="shared" si="2"/>
        <v>55.658566,37.269412</v>
      </c>
      <c r="T1340" s="12"/>
    </row>
    <row r="1341">
      <c r="A1341" s="20" t="s">
        <v>8770</v>
      </c>
      <c r="B1341" s="16" t="s">
        <v>8771</v>
      </c>
      <c r="C1341" s="16" t="s">
        <v>8772</v>
      </c>
      <c r="D1341" s="16" t="s">
        <v>16</v>
      </c>
      <c r="E1341" s="21" t="s">
        <v>8773</v>
      </c>
      <c r="F1341" s="22" t="s">
        <v>3883</v>
      </c>
      <c r="G1341" s="16">
        <v>23.61</v>
      </c>
      <c r="H1341" s="16"/>
      <c r="I1341" s="22"/>
      <c r="J1341" s="22" t="s">
        <v>8774</v>
      </c>
      <c r="K1341" s="22" t="s">
        <v>8775</v>
      </c>
      <c r="L1341" s="23" t="s">
        <v>8776</v>
      </c>
      <c r="M1341" s="23" t="s">
        <v>8777</v>
      </c>
      <c r="N1341" s="12"/>
      <c r="O1341" s="12"/>
      <c r="P1341" s="13">
        <f>IFERROR(__xludf.DUMMYFUNCTION("VALUE(SUBSTITUTE((INDEX(SPLIT(A1341,"",""),1)),""."","","",1))"),55.429185)</f>
        <v>55.429185</v>
      </c>
      <c r="Q1341" s="13">
        <f>IFERROR(__xludf.DUMMYFUNCTION("VALUE(SUBSTITUTE((INDEX(SPLIT(A1341,"",""),2)),""."","","",1))"),37.269547)</f>
        <v>37.269547</v>
      </c>
      <c r="R1341" s="14" t="b">
        <f t="shared" si="1"/>
        <v>0</v>
      </c>
      <c r="S1341" s="14" t="str">
        <f t="shared" si="2"/>
        <v>55.429185,37.269547</v>
      </c>
      <c r="T1341" s="12"/>
    </row>
    <row r="1342">
      <c r="A1342" s="18" t="s">
        <v>8778</v>
      </c>
      <c r="B1342" s="8" t="s">
        <v>8779</v>
      </c>
      <c r="C1342" s="8" t="s">
        <v>8780</v>
      </c>
      <c r="D1342" s="8" t="s">
        <v>16</v>
      </c>
      <c r="E1342" s="19" t="s">
        <v>8781</v>
      </c>
      <c r="F1342" s="8" t="s">
        <v>3760</v>
      </c>
      <c r="G1342" s="8">
        <v>23.61</v>
      </c>
      <c r="H1342" s="8"/>
      <c r="I1342" s="8"/>
      <c r="J1342" s="8" t="s">
        <v>8782</v>
      </c>
      <c r="K1342" s="8" t="s">
        <v>8783</v>
      </c>
      <c r="L1342" s="8"/>
      <c r="M1342" s="8"/>
      <c r="N1342" s="12"/>
      <c r="O1342" s="12"/>
      <c r="P1342" s="13">
        <f>IFERROR(__xludf.DUMMYFUNCTION("VALUE(SUBSTITUTE((INDEX(SPLIT(A1342,"",""),1)),""."","","",1))"),55.948357)</f>
        <v>55.948357</v>
      </c>
      <c r="Q1342" s="13">
        <f>IFERROR(__xludf.DUMMYFUNCTION("VALUE(SUBSTITUTE((INDEX(SPLIT(A1342,"",""),2)),""."","","",1))"),37.269987)</f>
        <v>37.269987</v>
      </c>
      <c r="R1342" s="14" t="b">
        <f t="shared" si="1"/>
        <v>0</v>
      </c>
      <c r="S1342" s="14" t="str">
        <f t="shared" si="2"/>
        <v>55.948357,37.269987</v>
      </c>
      <c r="T1342" s="12"/>
    </row>
    <row r="1343">
      <c r="A1343" s="20" t="s">
        <v>8778</v>
      </c>
      <c r="B1343" s="16" t="s">
        <v>8784</v>
      </c>
      <c r="C1343" s="16" t="s">
        <v>8785</v>
      </c>
      <c r="D1343" s="16" t="s">
        <v>16</v>
      </c>
      <c r="E1343" s="21" t="s">
        <v>8786</v>
      </c>
      <c r="F1343" s="22" t="s">
        <v>3883</v>
      </c>
      <c r="G1343" s="16">
        <v>23.61</v>
      </c>
      <c r="H1343" s="16"/>
      <c r="I1343" s="22"/>
      <c r="J1343" s="22" t="s">
        <v>8787</v>
      </c>
      <c r="K1343" s="22" t="s">
        <v>8788</v>
      </c>
      <c r="L1343" s="23" t="s">
        <v>8789</v>
      </c>
      <c r="M1343" s="22"/>
      <c r="N1343" s="12"/>
      <c r="O1343" s="12"/>
      <c r="P1343" s="13">
        <f>IFERROR(__xludf.DUMMYFUNCTION("VALUE(SUBSTITUTE((INDEX(SPLIT(A1343,"",""),1)),""."","","",1))"),55.948357)</f>
        <v>55.948357</v>
      </c>
      <c r="Q1343" s="13">
        <f>IFERROR(__xludf.DUMMYFUNCTION("VALUE(SUBSTITUTE((INDEX(SPLIT(A1343,"",""),2)),""."","","",1))"),37.269987)</f>
        <v>37.269987</v>
      </c>
      <c r="R1343" s="14" t="b">
        <f t="shared" si="1"/>
        <v>0</v>
      </c>
      <c r="S1343" s="14" t="str">
        <f t="shared" si="2"/>
        <v>55.948357,37.269987</v>
      </c>
      <c r="T1343" s="12"/>
    </row>
    <row r="1344">
      <c r="A1344" s="7" t="s">
        <v>8790</v>
      </c>
      <c r="B1344" s="8" t="s">
        <v>8791</v>
      </c>
      <c r="C1344" s="8" t="s">
        <v>8792</v>
      </c>
      <c r="D1344" s="8" t="s">
        <v>16</v>
      </c>
      <c r="E1344" s="9" t="s">
        <v>8793</v>
      </c>
      <c r="F1344" s="10" t="s">
        <v>3760</v>
      </c>
      <c r="G1344" s="8">
        <v>23.61</v>
      </c>
      <c r="H1344" s="8"/>
      <c r="I1344" s="10"/>
      <c r="J1344" s="10" t="s">
        <v>8794</v>
      </c>
      <c r="K1344" s="10" t="s">
        <v>8795</v>
      </c>
      <c r="L1344" s="11" t="s">
        <v>8796</v>
      </c>
      <c r="M1344" s="10"/>
      <c r="N1344" s="12"/>
      <c r="O1344" s="12"/>
      <c r="P1344" s="13">
        <f>IFERROR(__xludf.DUMMYFUNCTION("VALUE(SUBSTITUTE((INDEX(SPLIT(A1344,"",""),1)),""."","","",1))"),55.669808)</f>
        <v>55.669808</v>
      </c>
      <c r="Q1344" s="13">
        <f>IFERROR(__xludf.DUMMYFUNCTION("VALUE(SUBSTITUTE((INDEX(SPLIT(A1344,"",""),2)),""."","","",1))"),37.274407)</f>
        <v>37.274407</v>
      </c>
      <c r="R1344" s="14" t="b">
        <f t="shared" si="1"/>
        <v>0</v>
      </c>
      <c r="S1344" s="14" t="str">
        <f t="shared" si="2"/>
        <v>55.669808,37.274407</v>
      </c>
      <c r="T1344" s="12"/>
    </row>
    <row r="1345">
      <c r="A1345" s="20" t="s">
        <v>8797</v>
      </c>
      <c r="B1345" s="16" t="s">
        <v>8798</v>
      </c>
      <c r="C1345" s="16" t="s">
        <v>8799</v>
      </c>
      <c r="D1345" s="16" t="s">
        <v>16</v>
      </c>
      <c r="E1345" s="21" t="s">
        <v>8800</v>
      </c>
      <c r="F1345" s="22" t="s">
        <v>3760</v>
      </c>
      <c r="G1345" s="16">
        <v>23.61</v>
      </c>
      <c r="H1345" s="16"/>
      <c r="I1345" s="22"/>
      <c r="J1345" s="22" t="s">
        <v>8801</v>
      </c>
      <c r="K1345" s="22" t="s">
        <v>8802</v>
      </c>
      <c r="L1345" s="23" t="s">
        <v>8803</v>
      </c>
      <c r="M1345" s="22"/>
      <c r="N1345" s="12"/>
      <c r="O1345" s="12"/>
      <c r="P1345" s="13">
        <f>IFERROR(__xludf.DUMMYFUNCTION("VALUE(SUBSTITUTE((INDEX(SPLIT(A1345,"",""),1)),""."","","",1))"),55.666015)</f>
        <v>55.666015</v>
      </c>
      <c r="Q1345" s="13">
        <f>IFERROR(__xludf.DUMMYFUNCTION("VALUE(SUBSTITUTE((INDEX(SPLIT(A1345,"",""),2)),""."","","",1))"),37.279932)</f>
        <v>37.279932</v>
      </c>
      <c r="R1345" s="14" t="b">
        <f t="shared" si="1"/>
        <v>0</v>
      </c>
      <c r="S1345" s="14" t="str">
        <f t="shared" si="2"/>
        <v>55.666015,37.279932</v>
      </c>
      <c r="T1345" s="12"/>
    </row>
    <row r="1346">
      <c r="A1346" s="18" t="s">
        <v>8804</v>
      </c>
      <c r="B1346" s="8" t="s">
        <v>4622</v>
      </c>
      <c r="C1346" s="8" t="s">
        <v>4623</v>
      </c>
      <c r="D1346" s="8" t="s">
        <v>16</v>
      </c>
      <c r="E1346" s="19" t="s">
        <v>8805</v>
      </c>
      <c r="F1346" s="8" t="s">
        <v>3760</v>
      </c>
      <c r="G1346" s="8">
        <v>23.61</v>
      </c>
      <c r="H1346" s="8"/>
      <c r="I1346" s="8"/>
      <c r="J1346" s="8" t="s">
        <v>8806</v>
      </c>
      <c r="K1346" s="8" t="s">
        <v>8807</v>
      </c>
      <c r="L1346" s="8"/>
      <c r="M1346" s="24" t="s">
        <v>8808</v>
      </c>
      <c r="N1346" s="12"/>
      <c r="O1346" s="12"/>
      <c r="P1346" s="13">
        <f>IFERROR(__xludf.DUMMYFUNCTION("VALUE(SUBSTITUTE((INDEX(SPLIT(A1346,"",""),1)),""."","","",1))"),55.67191)</f>
        <v>55.67191</v>
      </c>
      <c r="Q1346" s="13">
        <f>IFERROR(__xludf.DUMMYFUNCTION("VALUE(SUBSTITUTE((INDEX(SPLIT(A1346,"",""),2)),""."","","",1))"),37.284693)</f>
        <v>37.284693</v>
      </c>
      <c r="R1346" s="14" t="b">
        <f t="shared" si="1"/>
        <v>0</v>
      </c>
      <c r="S1346" s="14" t="str">
        <f t="shared" si="2"/>
        <v>55.67191,37.284693</v>
      </c>
      <c r="T1346" s="12"/>
    </row>
    <row r="1347">
      <c r="A1347" s="20" t="s">
        <v>8809</v>
      </c>
      <c r="B1347" s="16" t="s">
        <v>8810</v>
      </c>
      <c r="C1347" s="16" t="s">
        <v>8811</v>
      </c>
      <c r="D1347" s="16" t="s">
        <v>16</v>
      </c>
      <c r="E1347" s="21" t="s">
        <v>8812</v>
      </c>
      <c r="F1347" s="22" t="s">
        <v>3760</v>
      </c>
      <c r="G1347" s="16">
        <v>23.61</v>
      </c>
      <c r="H1347" s="16"/>
      <c r="I1347" s="22"/>
      <c r="J1347" s="22" t="s">
        <v>8813</v>
      </c>
      <c r="K1347" s="22" t="s">
        <v>8814</v>
      </c>
      <c r="L1347" s="23" t="s">
        <v>8815</v>
      </c>
      <c r="M1347" s="23" t="s">
        <v>8816</v>
      </c>
      <c r="N1347" s="12"/>
      <c r="O1347" s="12"/>
      <c r="P1347" s="13">
        <f>IFERROR(__xludf.DUMMYFUNCTION("VALUE(SUBSTITUTE((INDEX(SPLIT(A1347,"",""),1)),""."","","",1))"),55.455504)</f>
        <v>55.455504</v>
      </c>
      <c r="Q1347" s="13">
        <f>IFERROR(__xludf.DUMMYFUNCTION("VALUE(SUBSTITUTE((INDEX(SPLIT(A1347,"",""),2)),""."","","",1))"),37.2894)</f>
        <v>37.2894</v>
      </c>
      <c r="R1347" s="14" t="b">
        <f t="shared" si="1"/>
        <v>0</v>
      </c>
      <c r="S1347" s="14" t="str">
        <f t="shared" si="2"/>
        <v>55.455504,37.2894</v>
      </c>
      <c r="T1347" s="12"/>
    </row>
    <row r="1348">
      <c r="A1348" s="7" t="s">
        <v>8817</v>
      </c>
      <c r="B1348" s="8" t="s">
        <v>8818</v>
      </c>
      <c r="C1348" s="8" t="s">
        <v>8819</v>
      </c>
      <c r="D1348" s="8" t="s">
        <v>16</v>
      </c>
      <c r="E1348" s="9" t="s">
        <v>8820</v>
      </c>
      <c r="F1348" s="10" t="s">
        <v>3162</v>
      </c>
      <c r="G1348" s="8">
        <v>23.61</v>
      </c>
      <c r="H1348" s="8"/>
      <c r="I1348" s="10"/>
      <c r="J1348" s="10" t="s">
        <v>8821</v>
      </c>
      <c r="K1348" s="10" t="s">
        <v>8822</v>
      </c>
      <c r="L1348" s="11" t="s">
        <v>8823</v>
      </c>
      <c r="M1348" s="10"/>
      <c r="N1348" s="12"/>
      <c r="O1348" s="12"/>
      <c r="P1348" s="13">
        <f>IFERROR(__xludf.DUMMYFUNCTION("VALUE(SUBSTITUTE((INDEX(SPLIT(A1348,"",""),1)),""."","","",1))"),54.791601)</f>
        <v>54.791601</v>
      </c>
      <c r="Q1348" s="13">
        <f>IFERROR(__xludf.DUMMYFUNCTION("VALUE(SUBSTITUTE((INDEX(SPLIT(A1348,"",""),2)),""."","","",1))"),37.29152)</f>
        <v>37.29152</v>
      </c>
      <c r="R1348" s="14" t="b">
        <f t="shared" si="1"/>
        <v>0</v>
      </c>
      <c r="S1348" s="14" t="str">
        <f t="shared" si="2"/>
        <v>54.791601,37.29152</v>
      </c>
      <c r="T1348" s="12"/>
    </row>
    <row r="1349">
      <c r="A1349" s="20" t="s">
        <v>8824</v>
      </c>
      <c r="B1349" s="16" t="s">
        <v>8825</v>
      </c>
      <c r="C1349" s="16" t="s">
        <v>8826</v>
      </c>
      <c r="D1349" s="16" t="s">
        <v>16</v>
      </c>
      <c r="E1349" s="21" t="s">
        <v>8827</v>
      </c>
      <c r="F1349" s="22" t="s">
        <v>3760</v>
      </c>
      <c r="G1349" s="16">
        <v>23.61</v>
      </c>
      <c r="H1349" s="16"/>
      <c r="I1349" s="22"/>
      <c r="J1349" s="22" t="s">
        <v>8828</v>
      </c>
      <c r="K1349" s="22" t="s">
        <v>8829</v>
      </c>
      <c r="L1349" s="23" t="s">
        <v>8830</v>
      </c>
      <c r="M1349" s="22"/>
      <c r="N1349" s="12"/>
      <c r="O1349" s="12"/>
      <c r="P1349" s="13">
        <f>IFERROR(__xludf.DUMMYFUNCTION("VALUE(SUBSTITUTE((INDEX(SPLIT(A1349,"",""),1)),""."","","",1))"),55.681803)</f>
        <v>55.681803</v>
      </c>
      <c r="Q1349" s="13">
        <f>IFERROR(__xludf.DUMMYFUNCTION("VALUE(SUBSTITUTE((INDEX(SPLIT(A1349,"",""),2)),""."","","",1))"),37.295652)</f>
        <v>37.295652</v>
      </c>
      <c r="R1349" s="14" t="b">
        <f t="shared" si="1"/>
        <v>0</v>
      </c>
      <c r="S1349" s="14" t="str">
        <f t="shared" si="2"/>
        <v>55.681803,37.295652</v>
      </c>
      <c r="T1349" s="12"/>
    </row>
    <row r="1350">
      <c r="A1350" s="7" t="s">
        <v>8831</v>
      </c>
      <c r="B1350" s="8" t="s">
        <v>8832</v>
      </c>
      <c r="C1350" s="8" t="s">
        <v>8833</v>
      </c>
      <c r="D1350" s="8" t="s">
        <v>16</v>
      </c>
      <c r="E1350" s="9" t="s">
        <v>8834</v>
      </c>
      <c r="F1350" s="10" t="s">
        <v>3760</v>
      </c>
      <c r="G1350" s="8">
        <v>23.61</v>
      </c>
      <c r="H1350" s="8"/>
      <c r="I1350" s="31" t="s">
        <v>8835</v>
      </c>
      <c r="J1350" s="10" t="s">
        <v>8836</v>
      </c>
      <c r="K1350" s="10" t="s">
        <v>8837</v>
      </c>
      <c r="L1350" s="11" t="s">
        <v>8838</v>
      </c>
      <c r="M1350" s="10"/>
      <c r="N1350" s="12"/>
      <c r="O1350" s="12"/>
      <c r="P1350" s="13">
        <f>IFERROR(__xludf.DUMMYFUNCTION("VALUE(SUBSTITUTE((INDEX(SPLIT(A1350,"",""),1)),""."","","",1))"),55.675539)</f>
        <v>55.675539</v>
      </c>
      <c r="Q1350" s="13">
        <f>IFERROR(__xludf.DUMMYFUNCTION("VALUE(SUBSTITUTE((INDEX(SPLIT(A1350,"",""),2)),""."","","",1))"),37.298284)</f>
        <v>37.298284</v>
      </c>
      <c r="R1350" s="14" t="b">
        <f t="shared" si="1"/>
        <v>0</v>
      </c>
      <c r="S1350" s="14" t="str">
        <f t="shared" si="2"/>
        <v>55.675539,37.298284</v>
      </c>
      <c r="T1350" s="12"/>
    </row>
    <row r="1351">
      <c r="A1351" s="15" t="s">
        <v>8839</v>
      </c>
      <c r="B1351" s="16" t="s">
        <v>8840</v>
      </c>
      <c r="C1351" s="16" t="s">
        <v>8841</v>
      </c>
      <c r="D1351" s="16" t="s">
        <v>16</v>
      </c>
      <c r="E1351" s="17" t="s">
        <v>8842</v>
      </c>
      <c r="F1351" s="16" t="s">
        <v>3883</v>
      </c>
      <c r="G1351" s="16">
        <v>23.61</v>
      </c>
      <c r="H1351" s="16"/>
      <c r="I1351" s="16"/>
      <c r="J1351" s="16" t="s">
        <v>8843</v>
      </c>
      <c r="K1351" s="16" t="s">
        <v>8844</v>
      </c>
      <c r="L1351" s="16"/>
      <c r="M1351" s="16"/>
      <c r="N1351" s="12"/>
      <c r="O1351" s="12"/>
      <c r="P1351" s="13">
        <f>IFERROR(__xludf.DUMMYFUNCTION("VALUE(SUBSTITUTE((INDEX(SPLIT(A1351,"",""),1)),""."","","",1))"),55.488295)</f>
        <v>55.488295</v>
      </c>
      <c r="Q1351" s="13">
        <f>IFERROR(__xludf.DUMMYFUNCTION("VALUE(SUBSTITUTE((INDEX(SPLIT(A1351,"",""),2)),""."","","",1))"),37.298302)</f>
        <v>37.298302</v>
      </c>
      <c r="R1351" s="14" t="b">
        <f t="shared" si="1"/>
        <v>0</v>
      </c>
      <c r="S1351" s="14" t="str">
        <f t="shared" si="2"/>
        <v>55.488295,37.298302</v>
      </c>
      <c r="T1351" s="12"/>
    </row>
    <row r="1352">
      <c r="A1352" s="7" t="s">
        <v>8845</v>
      </c>
      <c r="B1352" s="8" t="s">
        <v>8846</v>
      </c>
      <c r="C1352" s="8" t="s">
        <v>8847</v>
      </c>
      <c r="D1352" s="8" t="s">
        <v>16</v>
      </c>
      <c r="E1352" s="9" t="s">
        <v>8848</v>
      </c>
      <c r="F1352" s="10" t="s">
        <v>3760</v>
      </c>
      <c r="G1352" s="8">
        <v>23.61</v>
      </c>
      <c r="H1352" s="8"/>
      <c r="I1352" s="10"/>
      <c r="J1352" s="10" t="s">
        <v>8849</v>
      </c>
      <c r="K1352" s="10" t="s">
        <v>8802</v>
      </c>
      <c r="L1352" s="29" t="s">
        <v>8850</v>
      </c>
      <c r="M1352" s="10"/>
      <c r="N1352" s="12"/>
      <c r="O1352" s="12"/>
      <c r="P1352" s="13">
        <f>IFERROR(__xludf.DUMMYFUNCTION("VALUE(SUBSTITUTE((INDEX(SPLIT(A1352,"",""),1)),""."","","",1))"),55.670991)</f>
        <v>55.670991</v>
      </c>
      <c r="Q1352" s="13">
        <f>IFERROR(__xludf.DUMMYFUNCTION("VALUE(SUBSTITUTE((INDEX(SPLIT(A1352,"",""),2)),""."","","",1))"),37.304258)</f>
        <v>37.304258</v>
      </c>
      <c r="R1352" s="14" t="b">
        <f t="shared" si="1"/>
        <v>0</v>
      </c>
      <c r="S1352" s="14" t="str">
        <f t="shared" si="2"/>
        <v>55.670991,37.304258</v>
      </c>
      <c r="T1352" s="12"/>
    </row>
    <row r="1353">
      <c r="A1353" s="15" t="s">
        <v>8851</v>
      </c>
      <c r="B1353" s="16" t="s">
        <v>8852</v>
      </c>
      <c r="C1353" s="16" t="s">
        <v>8853</v>
      </c>
      <c r="D1353" s="16" t="s">
        <v>16</v>
      </c>
      <c r="E1353" s="17" t="s">
        <v>8854</v>
      </c>
      <c r="F1353" s="16" t="s">
        <v>3760</v>
      </c>
      <c r="G1353" s="16">
        <v>23.61</v>
      </c>
      <c r="H1353" s="16"/>
      <c r="I1353" s="32" t="s">
        <v>8855</v>
      </c>
      <c r="J1353" s="16" t="s">
        <v>8856</v>
      </c>
      <c r="K1353" s="16" t="s">
        <v>8857</v>
      </c>
      <c r="L1353" s="16"/>
      <c r="M1353" s="16"/>
      <c r="N1353" s="12"/>
      <c r="O1353" s="12"/>
      <c r="P1353" s="13">
        <f>IFERROR(__xludf.DUMMYFUNCTION("VALUE(SUBSTITUTE((INDEX(SPLIT(A1353,"",""),1)),""."","","",1))"),55.48452)</f>
        <v>55.48452</v>
      </c>
      <c r="Q1353" s="13">
        <f>IFERROR(__xludf.DUMMYFUNCTION("VALUE(SUBSTITUTE((INDEX(SPLIT(A1353,"",""),2)),""."","","",1))"),37.304923)</f>
        <v>37.304923</v>
      </c>
      <c r="R1353" s="14" t="b">
        <f t="shared" si="1"/>
        <v>0</v>
      </c>
      <c r="S1353" s="14" t="str">
        <f t="shared" si="2"/>
        <v>55.48452,37.304923</v>
      </c>
      <c r="T1353" s="12"/>
    </row>
    <row r="1354">
      <c r="A1354" s="18" t="s">
        <v>8858</v>
      </c>
      <c r="B1354" s="8" t="s">
        <v>8859</v>
      </c>
      <c r="C1354" s="8" t="s">
        <v>8860</v>
      </c>
      <c r="D1354" s="8" t="s">
        <v>16</v>
      </c>
      <c r="E1354" s="19" t="s">
        <v>8861</v>
      </c>
      <c r="F1354" s="8" t="s">
        <v>3883</v>
      </c>
      <c r="G1354" s="8">
        <v>23.61</v>
      </c>
      <c r="H1354" s="8"/>
      <c r="I1354" s="8"/>
      <c r="J1354" s="8" t="s">
        <v>8862</v>
      </c>
      <c r="K1354" s="8" t="s">
        <v>8863</v>
      </c>
      <c r="L1354" s="8"/>
      <c r="M1354" s="24" t="s">
        <v>8864</v>
      </c>
      <c r="N1354" s="12"/>
      <c r="O1354" s="12"/>
      <c r="P1354" s="13">
        <f>IFERROR(__xludf.DUMMYFUNCTION("VALUE(SUBSTITUTE((INDEX(SPLIT(A1354,"",""),1)),""."","","",1))"),55.485724)</f>
        <v>55.485724</v>
      </c>
      <c r="Q1354" s="13">
        <f>IFERROR(__xludf.DUMMYFUNCTION("VALUE(SUBSTITUTE((INDEX(SPLIT(A1354,"",""),2)),""."","","",1))"),37.308175)</f>
        <v>37.308175</v>
      </c>
      <c r="R1354" s="14" t="b">
        <f t="shared" si="1"/>
        <v>0</v>
      </c>
      <c r="S1354" s="14" t="str">
        <f t="shared" si="2"/>
        <v>55.485724,37.308175</v>
      </c>
      <c r="T1354" s="12"/>
    </row>
    <row r="1355">
      <c r="A1355" s="20" t="s">
        <v>8865</v>
      </c>
      <c r="B1355" s="16" t="s">
        <v>8866</v>
      </c>
      <c r="C1355" s="16" t="s">
        <v>8867</v>
      </c>
      <c r="D1355" s="16" t="s">
        <v>16</v>
      </c>
      <c r="E1355" s="21" t="s">
        <v>8868</v>
      </c>
      <c r="F1355" s="22" t="s">
        <v>3760</v>
      </c>
      <c r="G1355" s="16">
        <v>23.61</v>
      </c>
      <c r="H1355" s="16"/>
      <c r="I1355" s="22"/>
      <c r="J1355" s="22" t="s">
        <v>8869</v>
      </c>
      <c r="K1355" s="22" t="s">
        <v>8870</v>
      </c>
      <c r="L1355" s="23" t="s">
        <v>8871</v>
      </c>
      <c r="M1355" s="23" t="s">
        <v>8872</v>
      </c>
      <c r="N1355" s="12"/>
      <c r="O1355" s="12"/>
      <c r="P1355" s="13">
        <f>IFERROR(__xludf.DUMMYFUNCTION("VALUE(SUBSTITUTE((INDEX(SPLIT(A1355,"",""),1)),""."","","",1))"),56.00546)</f>
        <v>56.00546</v>
      </c>
      <c r="Q1355" s="13">
        <f>IFERROR(__xludf.DUMMYFUNCTION("VALUE(SUBSTITUTE((INDEX(SPLIT(A1355,"",""),2)),""."","","",1))"),37.314732)</f>
        <v>37.314732</v>
      </c>
      <c r="R1355" s="14" t="b">
        <f t="shared" si="1"/>
        <v>0</v>
      </c>
      <c r="S1355" s="14" t="str">
        <f t="shared" si="2"/>
        <v>56.00546,37.314732</v>
      </c>
      <c r="T1355" s="12"/>
    </row>
    <row r="1356">
      <c r="A1356" s="18" t="s">
        <v>8873</v>
      </c>
      <c r="B1356" s="8" t="s">
        <v>8874</v>
      </c>
      <c r="C1356" s="8" t="s">
        <v>8875</v>
      </c>
      <c r="D1356" s="8" t="s">
        <v>16</v>
      </c>
      <c r="E1356" s="19" t="s">
        <v>8876</v>
      </c>
      <c r="F1356" s="8" t="s">
        <v>3883</v>
      </c>
      <c r="G1356" s="8">
        <v>23.61</v>
      </c>
      <c r="H1356" s="8"/>
      <c r="I1356" s="8"/>
      <c r="J1356" s="8" t="s">
        <v>8877</v>
      </c>
      <c r="K1356" s="8" t="s">
        <v>8878</v>
      </c>
      <c r="L1356" s="8"/>
      <c r="M1356" s="24" t="s">
        <v>8879</v>
      </c>
      <c r="N1356" s="12"/>
      <c r="O1356" s="12"/>
      <c r="P1356" s="13">
        <f>IFERROR(__xludf.DUMMYFUNCTION("VALUE(SUBSTITUTE((INDEX(SPLIT(A1356,"",""),1)),""."","","",1))"),55.492217)</f>
        <v>55.492217</v>
      </c>
      <c r="Q1356" s="13">
        <f>IFERROR(__xludf.DUMMYFUNCTION("VALUE(SUBSTITUTE((INDEX(SPLIT(A1356,"",""),2)),""."","","",1))"),37.314822)</f>
        <v>37.314822</v>
      </c>
      <c r="R1356" s="14" t="b">
        <f t="shared" si="1"/>
        <v>0</v>
      </c>
      <c r="S1356" s="14" t="str">
        <f t="shared" si="2"/>
        <v>55.492217,37.314822</v>
      </c>
      <c r="T1356" s="12"/>
    </row>
    <row r="1357">
      <c r="A1357" s="15" t="s">
        <v>8880</v>
      </c>
      <c r="B1357" s="16" t="s">
        <v>8881</v>
      </c>
      <c r="C1357" s="16" t="s">
        <v>8882</v>
      </c>
      <c r="D1357" s="16" t="s">
        <v>16</v>
      </c>
      <c r="E1357" s="17" t="s">
        <v>8883</v>
      </c>
      <c r="F1357" s="16" t="s">
        <v>6732</v>
      </c>
      <c r="G1357" s="16">
        <v>23.61</v>
      </c>
      <c r="H1357" s="16"/>
      <c r="I1357" s="16"/>
      <c r="J1357" s="16" t="s">
        <v>8884</v>
      </c>
      <c r="K1357" s="16" t="s">
        <v>8885</v>
      </c>
      <c r="L1357" s="16"/>
      <c r="M1357" s="25" t="s">
        <v>8886</v>
      </c>
      <c r="N1357" s="12"/>
      <c r="O1357" s="12"/>
      <c r="P1357" s="13">
        <f>IFERROR(__xludf.DUMMYFUNCTION("VALUE(SUBSTITUTE((INDEX(SPLIT(A1357,"",""),1)),""."","","",1))"),54.295868)</f>
        <v>54.295868</v>
      </c>
      <c r="Q1357" s="13">
        <f>IFERROR(__xludf.DUMMYFUNCTION("VALUE(SUBSTITUTE((INDEX(SPLIT(A1357,"",""),2)),""."","","",1))"),37.320167)</f>
        <v>37.320167</v>
      </c>
      <c r="R1357" s="14" t="b">
        <f t="shared" si="1"/>
        <v>0</v>
      </c>
      <c r="S1357" s="14" t="str">
        <f t="shared" si="2"/>
        <v>54.295868,37.320167</v>
      </c>
      <c r="T1357" s="12"/>
    </row>
    <row r="1358">
      <c r="A1358" s="18" t="s">
        <v>8887</v>
      </c>
      <c r="B1358" s="8" t="s">
        <v>8888</v>
      </c>
      <c r="C1358" s="8" t="s">
        <v>8889</v>
      </c>
      <c r="D1358" s="8" t="s">
        <v>16</v>
      </c>
      <c r="E1358" s="19" t="s">
        <v>8890</v>
      </c>
      <c r="F1358" s="8" t="s">
        <v>3760</v>
      </c>
      <c r="G1358" s="8">
        <v>23.61</v>
      </c>
      <c r="H1358" s="8"/>
      <c r="I1358" s="8"/>
      <c r="J1358" s="8" t="s">
        <v>8891</v>
      </c>
      <c r="K1358" s="8" t="s">
        <v>8892</v>
      </c>
      <c r="L1358" s="8"/>
      <c r="M1358" s="8"/>
      <c r="N1358" s="12"/>
      <c r="O1358" s="12"/>
      <c r="P1358" s="13">
        <f>IFERROR(__xludf.DUMMYFUNCTION("VALUE(SUBSTITUTE((INDEX(SPLIT(A1358,"",""),1)),""."","","",1))"),56.889439)</f>
        <v>56.889439</v>
      </c>
      <c r="Q1358" s="13">
        <f>IFERROR(__xludf.DUMMYFUNCTION("VALUE(SUBSTITUTE((INDEX(SPLIT(A1358,"",""),2)),""."","","",1))"),37.330327)</f>
        <v>37.330327</v>
      </c>
      <c r="R1358" s="14" t="b">
        <f t="shared" si="1"/>
        <v>0</v>
      </c>
      <c r="S1358" s="14" t="str">
        <f t="shared" si="2"/>
        <v>56.889439,37.330327</v>
      </c>
      <c r="T1358" s="12"/>
    </row>
    <row r="1359">
      <c r="A1359" s="15" t="s">
        <v>8893</v>
      </c>
      <c r="B1359" s="16" t="s">
        <v>8894</v>
      </c>
      <c r="C1359" s="16" t="s">
        <v>8895</v>
      </c>
      <c r="D1359" s="16" t="s">
        <v>16</v>
      </c>
      <c r="E1359" s="17" t="s">
        <v>8896</v>
      </c>
      <c r="F1359" s="16" t="s">
        <v>3760</v>
      </c>
      <c r="G1359" s="16">
        <v>23.61</v>
      </c>
      <c r="H1359" s="16"/>
      <c r="I1359" s="16"/>
      <c r="J1359" s="16" t="s">
        <v>8897</v>
      </c>
      <c r="K1359" s="16" t="s">
        <v>8898</v>
      </c>
      <c r="L1359" s="16"/>
      <c r="M1359" s="16"/>
      <c r="N1359" s="12"/>
      <c r="O1359" s="12"/>
      <c r="P1359" s="13">
        <f>IFERROR(__xludf.DUMMYFUNCTION("VALUE(SUBSTITUTE((INDEX(SPLIT(A1359,"",""),1)),""."","","",1))"),55.695768)</f>
        <v>55.695768</v>
      </c>
      <c r="Q1359" s="13">
        <f>IFERROR(__xludf.DUMMYFUNCTION("VALUE(SUBSTITUTE((INDEX(SPLIT(A1359,"",""),2)),""."","","",1))"),37.330956)</f>
        <v>37.330956</v>
      </c>
      <c r="R1359" s="14" t="b">
        <f t="shared" si="1"/>
        <v>0</v>
      </c>
      <c r="S1359" s="14" t="str">
        <f t="shared" si="2"/>
        <v>55.695768,37.330956</v>
      </c>
      <c r="T1359" s="12"/>
    </row>
    <row r="1360">
      <c r="A1360" s="18" t="s">
        <v>8899</v>
      </c>
      <c r="B1360" s="8" t="s">
        <v>8900</v>
      </c>
      <c r="C1360" s="8" t="s">
        <v>8901</v>
      </c>
      <c r="D1360" s="8" t="s">
        <v>16</v>
      </c>
      <c r="E1360" s="19" t="s">
        <v>8902</v>
      </c>
      <c r="F1360" s="8" t="s">
        <v>8566</v>
      </c>
      <c r="G1360" s="8">
        <v>23.61</v>
      </c>
      <c r="H1360" s="8"/>
      <c r="I1360" s="8"/>
      <c r="J1360" s="8" t="s">
        <v>8903</v>
      </c>
      <c r="K1360" s="8" t="s">
        <v>8904</v>
      </c>
      <c r="L1360" s="8"/>
      <c r="M1360" s="8"/>
      <c r="N1360" s="12"/>
      <c r="O1360" s="12"/>
      <c r="P1360" s="13">
        <f>IFERROR(__xludf.DUMMYFUNCTION("VALUE(SUBSTITUTE((INDEX(SPLIT(A1360,"",""),1)),""."","","",1))"),44.900264)</f>
        <v>44.900264</v>
      </c>
      <c r="Q1360" s="13">
        <f>IFERROR(__xludf.DUMMYFUNCTION("VALUE(SUBSTITUTE((INDEX(SPLIT(A1360,"",""),2)),""."","","",1))"),37.334325)</f>
        <v>37.334325</v>
      </c>
      <c r="R1360" s="14" t="b">
        <f t="shared" si="1"/>
        <v>0</v>
      </c>
      <c r="S1360" s="14" t="str">
        <f t="shared" si="2"/>
        <v>44.900264,37.334325</v>
      </c>
      <c r="T1360" s="12"/>
    </row>
    <row r="1361">
      <c r="A1361" s="20" t="s">
        <v>8905</v>
      </c>
      <c r="B1361" s="16" t="s">
        <v>8906</v>
      </c>
      <c r="C1361" s="16" t="s">
        <v>8907</v>
      </c>
      <c r="D1361" s="16" t="s">
        <v>16</v>
      </c>
      <c r="E1361" s="21" t="s">
        <v>8908</v>
      </c>
      <c r="F1361" s="22" t="s">
        <v>3883</v>
      </c>
      <c r="G1361" s="16">
        <v>23.61</v>
      </c>
      <c r="H1361" s="16"/>
      <c r="I1361" s="22"/>
      <c r="J1361" s="22" t="s">
        <v>8909</v>
      </c>
      <c r="K1361" s="22" t="s">
        <v>8910</v>
      </c>
      <c r="L1361" s="23" t="s">
        <v>8911</v>
      </c>
      <c r="M1361" s="23" t="s">
        <v>8912</v>
      </c>
      <c r="N1361" s="12"/>
      <c r="O1361" s="12"/>
      <c r="P1361" s="13">
        <f>IFERROR(__xludf.DUMMYFUNCTION("VALUE(SUBSTITUTE((INDEX(SPLIT(A1361,"",""),1)),""."","","",1))"),54.472995)</f>
        <v>54.472995</v>
      </c>
      <c r="Q1361" s="13">
        <f>IFERROR(__xludf.DUMMYFUNCTION("VALUE(SUBSTITUTE((INDEX(SPLIT(A1361,"",""),2)),""."","","",1))"),37.340101)</f>
        <v>37.340101</v>
      </c>
      <c r="R1361" s="14" t="b">
        <f t="shared" si="1"/>
        <v>0</v>
      </c>
      <c r="S1361" s="14" t="str">
        <f t="shared" si="2"/>
        <v>54.472995,37.340101</v>
      </c>
      <c r="T1361" s="12"/>
    </row>
    <row r="1362">
      <c r="A1362" s="7" t="s">
        <v>8913</v>
      </c>
      <c r="B1362" s="8" t="s">
        <v>8914</v>
      </c>
      <c r="C1362" s="8" t="s">
        <v>8915</v>
      </c>
      <c r="D1362" s="8" t="s">
        <v>16</v>
      </c>
      <c r="E1362" s="9" t="s">
        <v>8916</v>
      </c>
      <c r="F1362" s="10" t="s">
        <v>8566</v>
      </c>
      <c r="G1362" s="8">
        <v>23.61</v>
      </c>
      <c r="H1362" s="8"/>
      <c r="I1362" s="10"/>
      <c r="J1362" s="10" t="s">
        <v>8917</v>
      </c>
      <c r="K1362" s="10" t="s">
        <v>8918</v>
      </c>
      <c r="L1362" s="11" t="s">
        <v>8919</v>
      </c>
      <c r="M1362" s="10"/>
      <c r="N1362" s="12"/>
      <c r="O1362" s="12"/>
      <c r="P1362" s="13">
        <f>IFERROR(__xludf.DUMMYFUNCTION("VALUE(SUBSTITUTE((INDEX(SPLIT(A1362,"",""),1)),""."","","",1))"),45.127346)</f>
        <v>45.127346</v>
      </c>
      <c r="Q1362" s="13">
        <f>IFERROR(__xludf.DUMMYFUNCTION("VALUE(SUBSTITUTE((INDEX(SPLIT(A1362,"",""),2)),""."","","",1))"),37.344529)</f>
        <v>37.344529</v>
      </c>
      <c r="R1362" s="14" t="b">
        <f t="shared" si="1"/>
        <v>0</v>
      </c>
      <c r="S1362" s="14" t="str">
        <f t="shared" si="2"/>
        <v>45.127346,37.344529</v>
      </c>
      <c r="T1362" s="12"/>
    </row>
    <row r="1363">
      <c r="A1363" s="15" t="s">
        <v>8920</v>
      </c>
      <c r="B1363" s="16" t="s">
        <v>8921</v>
      </c>
      <c r="C1363" s="16" t="s">
        <v>8922</v>
      </c>
      <c r="D1363" s="16" t="s">
        <v>16</v>
      </c>
      <c r="E1363" s="17" t="s">
        <v>8923</v>
      </c>
      <c r="F1363" s="16" t="s">
        <v>3883</v>
      </c>
      <c r="G1363" s="16">
        <v>23.61</v>
      </c>
      <c r="H1363" s="16"/>
      <c r="I1363" s="16"/>
      <c r="J1363" s="16" t="s">
        <v>8924</v>
      </c>
      <c r="K1363" s="16" t="s">
        <v>8925</v>
      </c>
      <c r="L1363" s="16"/>
      <c r="M1363" s="16"/>
      <c r="N1363" s="12"/>
      <c r="O1363" s="12"/>
      <c r="P1363" s="13">
        <f>IFERROR(__xludf.DUMMYFUNCTION("VALUE(SUBSTITUTE((INDEX(SPLIT(A1363,"",""),1)),""."","","",1))"),55.8468)</f>
        <v>55.8468</v>
      </c>
      <c r="Q1363" s="13">
        <f>IFERROR(__xludf.DUMMYFUNCTION("VALUE(SUBSTITUTE((INDEX(SPLIT(A1363,"",""),2)),""."","","",1))"),37.350494)</f>
        <v>37.350494</v>
      </c>
      <c r="R1363" s="14" t="b">
        <f t="shared" si="1"/>
        <v>0</v>
      </c>
      <c r="S1363" s="14" t="str">
        <f t="shared" si="2"/>
        <v>55.8468,37.350494</v>
      </c>
      <c r="T1363" s="12"/>
    </row>
    <row r="1364">
      <c r="A1364" s="18" t="s">
        <v>8926</v>
      </c>
      <c r="B1364" s="8" t="s">
        <v>8927</v>
      </c>
      <c r="C1364" s="8" t="s">
        <v>8928</v>
      </c>
      <c r="D1364" s="8" t="s">
        <v>16</v>
      </c>
      <c r="E1364" s="19" t="s">
        <v>8929</v>
      </c>
      <c r="F1364" s="8" t="s">
        <v>3883</v>
      </c>
      <c r="G1364" s="8">
        <v>23.61</v>
      </c>
      <c r="H1364" s="8"/>
      <c r="I1364" s="8"/>
      <c r="J1364" s="8" t="s">
        <v>8930</v>
      </c>
      <c r="K1364" s="8" t="s">
        <v>8931</v>
      </c>
      <c r="L1364" s="8"/>
      <c r="M1364" s="8"/>
      <c r="N1364" s="12"/>
      <c r="O1364" s="12"/>
      <c r="P1364" s="13">
        <f>IFERROR(__xludf.DUMMYFUNCTION("VALUE(SUBSTITUTE((INDEX(SPLIT(A1364,"",""),1)),""."","","",1))"),55.593873)</f>
        <v>55.593873</v>
      </c>
      <c r="Q1364" s="13">
        <f>IFERROR(__xludf.DUMMYFUNCTION("VALUE(SUBSTITUTE((INDEX(SPLIT(A1364,"",""),2)),""."","","",1))"),37.351905)</f>
        <v>37.351905</v>
      </c>
      <c r="R1364" s="14" t="b">
        <f t="shared" si="1"/>
        <v>0</v>
      </c>
      <c r="S1364" s="14" t="str">
        <f t="shared" si="2"/>
        <v>55.593873,37.351905</v>
      </c>
      <c r="T1364" s="12"/>
    </row>
    <row r="1365">
      <c r="A1365" s="15" t="s">
        <v>8932</v>
      </c>
      <c r="B1365" s="16" t="s">
        <v>8933</v>
      </c>
      <c r="C1365" s="16" t="s">
        <v>8934</v>
      </c>
      <c r="D1365" s="16" t="s">
        <v>16</v>
      </c>
      <c r="E1365" s="17" t="s">
        <v>8935</v>
      </c>
      <c r="F1365" s="16" t="s">
        <v>3883</v>
      </c>
      <c r="G1365" s="16">
        <v>23.61</v>
      </c>
      <c r="H1365" s="16"/>
      <c r="I1365" s="16"/>
      <c r="J1365" s="16" t="s">
        <v>8936</v>
      </c>
      <c r="K1365" s="16" t="s">
        <v>8937</v>
      </c>
      <c r="L1365" s="16"/>
      <c r="M1365" s="16"/>
      <c r="N1365" s="12"/>
      <c r="O1365" s="12"/>
      <c r="P1365" s="13">
        <f>IFERROR(__xludf.DUMMYFUNCTION("VALUE(SUBSTITUTE((INDEX(SPLIT(A1365,"",""),1)),""."","","",1))"),55.637703)</f>
        <v>55.637703</v>
      </c>
      <c r="Q1365" s="13">
        <f>IFERROR(__xludf.DUMMYFUNCTION("VALUE(SUBSTITUTE((INDEX(SPLIT(A1365,"",""),2)),""."","","",1))"),37.355651)</f>
        <v>37.355651</v>
      </c>
      <c r="R1365" s="14" t="b">
        <f t="shared" si="1"/>
        <v>0</v>
      </c>
      <c r="S1365" s="14" t="str">
        <f t="shared" si="2"/>
        <v>55.637703,37.355651</v>
      </c>
      <c r="T1365" s="12"/>
    </row>
    <row r="1366">
      <c r="A1366" s="18" t="s">
        <v>8938</v>
      </c>
      <c r="B1366" s="8" t="s">
        <v>8939</v>
      </c>
      <c r="C1366" s="8" t="s">
        <v>8940</v>
      </c>
      <c r="D1366" s="8" t="s">
        <v>16</v>
      </c>
      <c r="E1366" s="19" t="s">
        <v>8941</v>
      </c>
      <c r="F1366" s="8" t="s">
        <v>6732</v>
      </c>
      <c r="G1366" s="8">
        <v>23.61</v>
      </c>
      <c r="H1366" s="8"/>
      <c r="I1366" s="8"/>
      <c r="J1366" s="8" t="s">
        <v>8942</v>
      </c>
      <c r="K1366" s="8" t="s">
        <v>8943</v>
      </c>
      <c r="L1366" s="8"/>
      <c r="M1366" s="8"/>
      <c r="N1366" s="12"/>
      <c r="O1366" s="12"/>
      <c r="P1366" s="13">
        <f>IFERROR(__xludf.DUMMYFUNCTION("VALUE(SUBSTITUTE((INDEX(SPLIT(A1366,"",""),1)),""."","","",1))"),54.735781)</f>
        <v>54.735781</v>
      </c>
      <c r="Q1366" s="13">
        <f>IFERROR(__xludf.DUMMYFUNCTION("VALUE(SUBSTITUTE((INDEX(SPLIT(A1366,"",""),2)),""."","","",1))"),37.356738)</f>
        <v>37.356738</v>
      </c>
      <c r="R1366" s="14" t="b">
        <f t="shared" si="1"/>
        <v>0</v>
      </c>
      <c r="S1366" s="14" t="str">
        <f t="shared" si="2"/>
        <v>54.735781,37.356738</v>
      </c>
      <c r="T1366" s="12"/>
    </row>
    <row r="1367">
      <c r="A1367" s="15" t="s">
        <v>8944</v>
      </c>
      <c r="B1367" s="16" t="s">
        <v>8945</v>
      </c>
      <c r="C1367" s="16" t="s">
        <v>8946</v>
      </c>
      <c r="D1367" s="16" t="s">
        <v>16</v>
      </c>
      <c r="E1367" s="17" t="s">
        <v>8947</v>
      </c>
      <c r="F1367" s="16" t="s">
        <v>3883</v>
      </c>
      <c r="G1367" s="16">
        <v>23.61</v>
      </c>
      <c r="H1367" s="16"/>
      <c r="I1367" s="16"/>
      <c r="J1367" s="16" t="s">
        <v>8948</v>
      </c>
      <c r="K1367" s="16" t="s">
        <v>8949</v>
      </c>
      <c r="L1367" s="16"/>
      <c r="M1367" s="25" t="s">
        <v>8950</v>
      </c>
      <c r="N1367" s="12"/>
      <c r="O1367" s="12"/>
      <c r="P1367" s="13">
        <f>IFERROR(__xludf.DUMMYFUNCTION("VALUE(SUBSTITUTE((INDEX(SPLIT(A1367,"",""),1)),""."","","",1))"),55.560138)</f>
        <v>55.560138</v>
      </c>
      <c r="Q1367" s="13">
        <f>IFERROR(__xludf.DUMMYFUNCTION("VALUE(SUBSTITUTE((INDEX(SPLIT(A1367,"",""),2)),""."","","",1))"),37.357708)</f>
        <v>37.357708</v>
      </c>
      <c r="R1367" s="14" t="b">
        <f t="shared" si="1"/>
        <v>0</v>
      </c>
      <c r="S1367" s="14" t="str">
        <f t="shared" si="2"/>
        <v>55.560138,37.357708</v>
      </c>
      <c r="T1367" s="12"/>
    </row>
    <row r="1368">
      <c r="A1368" s="7" t="s">
        <v>8951</v>
      </c>
      <c r="B1368" s="8" t="s">
        <v>8952</v>
      </c>
      <c r="C1368" s="8" t="s">
        <v>8953</v>
      </c>
      <c r="D1368" s="8" t="s">
        <v>16</v>
      </c>
      <c r="E1368" s="9" t="s">
        <v>8954</v>
      </c>
      <c r="F1368" s="10" t="s">
        <v>3883</v>
      </c>
      <c r="G1368" s="8">
        <v>23.61</v>
      </c>
      <c r="H1368" s="8"/>
      <c r="I1368" s="10"/>
      <c r="J1368" s="10" t="s">
        <v>8955</v>
      </c>
      <c r="K1368" s="10" t="s">
        <v>8956</v>
      </c>
      <c r="L1368" s="11" t="s">
        <v>8957</v>
      </c>
      <c r="M1368" s="11" t="s">
        <v>8958</v>
      </c>
      <c r="N1368" s="12"/>
      <c r="O1368" s="12"/>
      <c r="P1368" s="13">
        <f>IFERROR(__xludf.DUMMYFUNCTION("VALUE(SUBSTITUTE((INDEX(SPLIT(A1368,"",""),1)),""."","","",1))"),55.944339)</f>
        <v>55.944339</v>
      </c>
      <c r="Q1368" s="13">
        <f>IFERROR(__xludf.DUMMYFUNCTION("VALUE(SUBSTITUTE((INDEX(SPLIT(A1368,"",""),2)),""."","","",1))"),37.359522)</f>
        <v>37.359522</v>
      </c>
      <c r="R1368" s="14" t="b">
        <f t="shared" si="1"/>
        <v>0</v>
      </c>
      <c r="S1368" s="14" t="str">
        <f t="shared" si="2"/>
        <v>55.944339,37.359522</v>
      </c>
      <c r="T1368" s="12"/>
    </row>
    <row r="1369">
      <c r="A1369" s="15" t="s">
        <v>8951</v>
      </c>
      <c r="B1369" s="16" t="s">
        <v>8959</v>
      </c>
      <c r="C1369" s="16" t="s">
        <v>8960</v>
      </c>
      <c r="D1369" s="16" t="s">
        <v>16</v>
      </c>
      <c r="E1369" s="17" t="s">
        <v>8961</v>
      </c>
      <c r="F1369" s="16" t="s">
        <v>3883</v>
      </c>
      <c r="G1369" s="16">
        <v>23.61</v>
      </c>
      <c r="H1369" s="16"/>
      <c r="I1369" s="16"/>
      <c r="J1369" s="16" t="s">
        <v>8962</v>
      </c>
      <c r="K1369" s="16" t="s">
        <v>8963</v>
      </c>
      <c r="L1369" s="16"/>
      <c r="M1369" s="16"/>
      <c r="N1369" s="12"/>
      <c r="O1369" s="12"/>
      <c r="P1369" s="13">
        <f>IFERROR(__xludf.DUMMYFUNCTION("VALUE(SUBSTITUTE((INDEX(SPLIT(A1369,"",""),1)),""."","","",1))"),55.944339)</f>
        <v>55.944339</v>
      </c>
      <c r="Q1369" s="13">
        <f>IFERROR(__xludf.DUMMYFUNCTION("VALUE(SUBSTITUTE((INDEX(SPLIT(A1369,"",""),2)),""."","","",1))"),37.359522)</f>
        <v>37.359522</v>
      </c>
      <c r="R1369" s="14" t="b">
        <f t="shared" si="1"/>
        <v>0</v>
      </c>
      <c r="S1369" s="14" t="str">
        <f t="shared" si="2"/>
        <v>55.944339,37.359522</v>
      </c>
      <c r="T1369" s="12"/>
    </row>
    <row r="1370">
      <c r="A1370" s="18" t="s">
        <v>8964</v>
      </c>
      <c r="B1370" s="8" t="s">
        <v>8965</v>
      </c>
      <c r="C1370" s="8" t="s">
        <v>8966</v>
      </c>
      <c r="D1370" s="8" t="s">
        <v>16</v>
      </c>
      <c r="E1370" s="19" t="s">
        <v>8967</v>
      </c>
      <c r="F1370" s="8" t="s">
        <v>3883</v>
      </c>
      <c r="G1370" s="8">
        <v>23.61</v>
      </c>
      <c r="H1370" s="8"/>
      <c r="I1370" s="8"/>
      <c r="J1370" s="8" t="s">
        <v>8968</v>
      </c>
      <c r="K1370" s="8" t="s">
        <v>8969</v>
      </c>
      <c r="L1370" s="8"/>
      <c r="M1370" s="8"/>
      <c r="N1370" s="12"/>
      <c r="O1370" s="12"/>
      <c r="P1370" s="13">
        <f>IFERROR(__xludf.DUMMYFUNCTION("VALUE(SUBSTITUTE((INDEX(SPLIT(A1370,"",""),1)),""."","","",1))"),55.85296)</f>
        <v>55.85296</v>
      </c>
      <c r="Q1370" s="13">
        <f>IFERROR(__xludf.DUMMYFUNCTION("VALUE(SUBSTITUTE((INDEX(SPLIT(A1370,"",""),2)),""."","","",1))"),37.360016)</f>
        <v>37.360016</v>
      </c>
      <c r="R1370" s="14" t="b">
        <f t="shared" si="1"/>
        <v>0</v>
      </c>
      <c r="S1370" s="14" t="str">
        <f t="shared" si="2"/>
        <v>55.85296,37.360016</v>
      </c>
      <c r="T1370" s="12"/>
    </row>
    <row r="1371">
      <c r="A1371" s="20" t="s">
        <v>8970</v>
      </c>
      <c r="B1371" s="16" t="s">
        <v>8971</v>
      </c>
      <c r="C1371" s="16" t="s">
        <v>8972</v>
      </c>
      <c r="D1371" s="16" t="s">
        <v>16</v>
      </c>
      <c r="E1371" s="21" t="s">
        <v>8973</v>
      </c>
      <c r="F1371" s="22" t="s">
        <v>3760</v>
      </c>
      <c r="G1371" s="16">
        <v>23.61</v>
      </c>
      <c r="H1371" s="16"/>
      <c r="I1371" s="22"/>
      <c r="J1371" s="22" t="s">
        <v>8974</v>
      </c>
      <c r="K1371" s="22" t="s">
        <v>8975</v>
      </c>
      <c r="L1371" s="23" t="s">
        <v>8976</v>
      </c>
      <c r="M1371" s="22"/>
      <c r="N1371" s="12"/>
      <c r="O1371" s="12"/>
      <c r="P1371" s="13">
        <f>IFERROR(__xludf.DUMMYFUNCTION("VALUE(SUBSTITUTE((INDEX(SPLIT(A1371,"",""),1)),""."","","",1))"),56.088077)</f>
        <v>56.088077</v>
      </c>
      <c r="Q1371" s="13">
        <f>IFERROR(__xludf.DUMMYFUNCTION("VALUE(SUBSTITUTE((INDEX(SPLIT(A1371,"",""),2)),""."","","",1))"),37.362011)</f>
        <v>37.362011</v>
      </c>
      <c r="R1371" s="14" t="b">
        <f t="shared" si="1"/>
        <v>0</v>
      </c>
      <c r="S1371" s="14" t="str">
        <f t="shared" si="2"/>
        <v>56.088077,37.362011</v>
      </c>
      <c r="T1371" s="12"/>
    </row>
    <row r="1372">
      <c r="A1372" s="18" t="s">
        <v>8977</v>
      </c>
      <c r="B1372" s="8" t="s">
        <v>8978</v>
      </c>
      <c r="C1372" s="8" t="s">
        <v>8979</v>
      </c>
      <c r="D1372" s="8" t="s">
        <v>16</v>
      </c>
      <c r="E1372" s="19" t="s">
        <v>8980</v>
      </c>
      <c r="F1372" s="8" t="s">
        <v>3760</v>
      </c>
      <c r="G1372" s="8">
        <v>23.61</v>
      </c>
      <c r="H1372" s="8"/>
      <c r="I1372" s="8"/>
      <c r="J1372" s="8" t="s">
        <v>8981</v>
      </c>
      <c r="K1372" s="8" t="s">
        <v>8982</v>
      </c>
      <c r="L1372" s="8"/>
      <c r="M1372" s="8"/>
      <c r="N1372" s="12"/>
      <c r="O1372" s="12"/>
      <c r="P1372" s="13">
        <f>IFERROR(__xludf.DUMMYFUNCTION("VALUE(SUBSTITUTE((INDEX(SPLIT(A1372,"",""),1)),""."","","",1))"),55.704392)</f>
        <v>55.704392</v>
      </c>
      <c r="Q1372" s="13">
        <f>IFERROR(__xludf.DUMMYFUNCTION("VALUE(SUBSTITUTE((INDEX(SPLIT(A1372,"",""),2)),""."","","",1))"),37.367032)</f>
        <v>37.367032</v>
      </c>
      <c r="R1372" s="14" t="b">
        <f t="shared" si="1"/>
        <v>0</v>
      </c>
      <c r="S1372" s="14" t="str">
        <f t="shared" si="2"/>
        <v>55.704392,37.367032</v>
      </c>
      <c r="T1372" s="12"/>
    </row>
    <row r="1373">
      <c r="A1373" s="20" t="s">
        <v>8983</v>
      </c>
      <c r="B1373" s="16" t="s">
        <v>4080</v>
      </c>
      <c r="C1373" s="16" t="s">
        <v>4081</v>
      </c>
      <c r="D1373" s="16" t="s">
        <v>16</v>
      </c>
      <c r="E1373" s="21" t="s">
        <v>8984</v>
      </c>
      <c r="F1373" s="22" t="s">
        <v>8566</v>
      </c>
      <c r="G1373" s="16">
        <v>23.61</v>
      </c>
      <c r="H1373" s="16"/>
      <c r="I1373" s="22"/>
      <c r="J1373" s="22" t="s">
        <v>8985</v>
      </c>
      <c r="K1373" s="22" t="s">
        <v>8986</v>
      </c>
      <c r="L1373" s="23" t="s">
        <v>8987</v>
      </c>
      <c r="M1373" s="22"/>
      <c r="N1373" s="12"/>
      <c r="O1373" s="12"/>
      <c r="P1373" s="13">
        <f>IFERROR(__xludf.DUMMYFUNCTION("VALUE(SUBSTITUTE((INDEX(SPLIT(A1373,"",""),1)),""."","","",1))"),45.280002)</f>
        <v>45.280002</v>
      </c>
      <c r="Q1373" s="13">
        <f>IFERROR(__xludf.DUMMYFUNCTION("VALUE(SUBSTITUTE((INDEX(SPLIT(A1373,"",""),2)),""."","","",1))"),37.367122)</f>
        <v>37.367122</v>
      </c>
      <c r="R1373" s="14" t="b">
        <f t="shared" si="1"/>
        <v>0</v>
      </c>
      <c r="S1373" s="14" t="str">
        <f t="shared" si="2"/>
        <v>45.280002,37.367122</v>
      </c>
      <c r="T1373" s="12"/>
    </row>
    <row r="1374">
      <c r="A1374" s="18" t="s">
        <v>8988</v>
      </c>
      <c r="B1374" s="8" t="s">
        <v>2881</v>
      </c>
      <c r="C1374" s="8" t="s">
        <v>2882</v>
      </c>
      <c r="D1374" s="8" t="s">
        <v>16</v>
      </c>
      <c r="E1374" s="19" t="s">
        <v>8989</v>
      </c>
      <c r="F1374" s="8" t="s">
        <v>3883</v>
      </c>
      <c r="G1374" s="8">
        <v>23.61</v>
      </c>
      <c r="H1374" s="8"/>
      <c r="I1374" s="8"/>
      <c r="J1374" s="8" t="s">
        <v>8990</v>
      </c>
      <c r="K1374" s="8" t="s">
        <v>8991</v>
      </c>
      <c r="L1374" s="8"/>
      <c r="M1374" s="8"/>
      <c r="N1374" s="12"/>
      <c r="O1374" s="12"/>
      <c r="P1374" s="13">
        <f>IFERROR(__xludf.DUMMYFUNCTION("VALUE(SUBSTITUTE((INDEX(SPLIT(A1374,"",""),1)),""."","","",1))"),55.861595)</f>
        <v>55.861595</v>
      </c>
      <c r="Q1374" s="13">
        <f>IFERROR(__xludf.DUMMYFUNCTION("VALUE(SUBSTITUTE((INDEX(SPLIT(A1374,"",""),2)),""."","","",1))"),37.367266)</f>
        <v>37.367266</v>
      </c>
      <c r="R1374" s="14" t="b">
        <f t="shared" si="1"/>
        <v>0</v>
      </c>
      <c r="S1374" s="14" t="str">
        <f t="shared" si="2"/>
        <v>55.861595,37.367266</v>
      </c>
      <c r="T1374" s="12"/>
    </row>
    <row r="1375">
      <c r="A1375" s="20" t="s">
        <v>8992</v>
      </c>
      <c r="B1375" s="16" t="s">
        <v>8993</v>
      </c>
      <c r="C1375" s="16" t="s">
        <v>8994</v>
      </c>
      <c r="D1375" s="16" t="s">
        <v>16</v>
      </c>
      <c r="E1375" s="21" t="s">
        <v>8995</v>
      </c>
      <c r="F1375" s="22" t="s">
        <v>3760</v>
      </c>
      <c r="G1375" s="16">
        <v>23.61</v>
      </c>
      <c r="H1375" s="16"/>
      <c r="I1375" s="22"/>
      <c r="J1375" s="22" t="s">
        <v>8996</v>
      </c>
      <c r="K1375" s="22" t="s">
        <v>8997</v>
      </c>
      <c r="L1375" s="23" t="s">
        <v>8998</v>
      </c>
      <c r="M1375" s="23" t="s">
        <v>8999</v>
      </c>
      <c r="N1375" s="12"/>
      <c r="O1375" s="12"/>
      <c r="P1375" s="13">
        <f>IFERROR(__xludf.DUMMYFUNCTION("VALUE(SUBSTITUTE((INDEX(SPLIT(A1375,"",""),1)),""."","","",1))"),54.9029)</f>
        <v>54.9029</v>
      </c>
      <c r="Q1375" s="13">
        <f>IFERROR(__xludf.DUMMYFUNCTION("VALUE(SUBSTITUTE((INDEX(SPLIT(A1375,"",""),2)),""."","","",1))"),37.370257)</f>
        <v>37.370257</v>
      </c>
      <c r="R1375" s="14" t="b">
        <f t="shared" si="1"/>
        <v>0</v>
      </c>
      <c r="S1375" s="14" t="str">
        <f t="shared" si="2"/>
        <v>54.9029,37.370257</v>
      </c>
      <c r="T1375" s="12"/>
    </row>
    <row r="1376">
      <c r="A1376" s="18" t="s">
        <v>9000</v>
      </c>
      <c r="B1376" s="8" t="s">
        <v>9001</v>
      </c>
      <c r="C1376" s="8" t="s">
        <v>9002</v>
      </c>
      <c r="D1376" s="8" t="s">
        <v>16</v>
      </c>
      <c r="E1376" s="19" t="s">
        <v>9003</v>
      </c>
      <c r="F1376" s="8" t="s">
        <v>5788</v>
      </c>
      <c r="G1376" s="8">
        <v>23.61</v>
      </c>
      <c r="H1376" s="8"/>
      <c r="I1376" s="8"/>
      <c r="J1376" s="8" t="s">
        <v>9004</v>
      </c>
      <c r="K1376" s="8" t="s">
        <v>9005</v>
      </c>
      <c r="L1376" s="8"/>
      <c r="M1376" s="8"/>
      <c r="N1376" s="12"/>
      <c r="O1376" s="12"/>
      <c r="P1376" s="13">
        <f>IFERROR(__xludf.DUMMYFUNCTION("VALUE(SUBSTITUTE((INDEX(SPLIT(A1376,"",""),1)),""."","","",1))"),56.866691)</f>
        <v>56.866691</v>
      </c>
      <c r="Q1376" s="13">
        <f>IFERROR(__xludf.DUMMYFUNCTION("VALUE(SUBSTITUTE((INDEX(SPLIT(A1376,"",""),2)),""."","","",1))"),37.372629)</f>
        <v>37.372629</v>
      </c>
      <c r="R1376" s="14" t="b">
        <f t="shared" si="1"/>
        <v>0</v>
      </c>
      <c r="S1376" s="14" t="str">
        <f t="shared" si="2"/>
        <v>56.866691,37.372629</v>
      </c>
      <c r="T1376" s="12"/>
    </row>
    <row r="1377">
      <c r="A1377" s="15" t="s">
        <v>9006</v>
      </c>
      <c r="B1377" s="16" t="s">
        <v>9007</v>
      </c>
      <c r="C1377" s="16" t="s">
        <v>9008</v>
      </c>
      <c r="D1377" s="16" t="s">
        <v>16</v>
      </c>
      <c r="E1377" s="17" t="s">
        <v>9009</v>
      </c>
      <c r="F1377" s="16" t="s">
        <v>3883</v>
      </c>
      <c r="G1377" s="16">
        <v>23.61</v>
      </c>
      <c r="H1377" s="16"/>
      <c r="I1377" s="16"/>
      <c r="J1377" s="16" t="s">
        <v>9010</v>
      </c>
      <c r="K1377" s="16" t="s">
        <v>9011</v>
      </c>
      <c r="L1377" s="16"/>
      <c r="M1377" s="16"/>
      <c r="N1377" s="12"/>
      <c r="O1377" s="12"/>
      <c r="P1377" s="13">
        <f>IFERROR(__xludf.DUMMYFUNCTION("VALUE(SUBSTITUTE((INDEX(SPLIT(A1377,"",""),1)),""."","","",1))"),55.590317)</f>
        <v>55.590317</v>
      </c>
      <c r="Q1377" s="13">
        <f>IFERROR(__xludf.DUMMYFUNCTION("VALUE(SUBSTITUTE((INDEX(SPLIT(A1377,"",""),2)),""."","","",1))"),37.373087)</f>
        <v>37.373087</v>
      </c>
      <c r="R1377" s="14" t="b">
        <f t="shared" si="1"/>
        <v>0</v>
      </c>
      <c r="S1377" s="14" t="str">
        <f t="shared" si="2"/>
        <v>55.590317,37.373087</v>
      </c>
      <c r="T1377" s="12"/>
    </row>
    <row r="1378">
      <c r="A1378" s="18" t="s">
        <v>9012</v>
      </c>
      <c r="B1378" s="8" t="s">
        <v>9013</v>
      </c>
      <c r="C1378" s="8" t="s">
        <v>9014</v>
      </c>
      <c r="D1378" s="8" t="s">
        <v>16</v>
      </c>
      <c r="E1378" s="19" t="s">
        <v>9015</v>
      </c>
      <c r="F1378" s="8" t="s">
        <v>3760</v>
      </c>
      <c r="G1378" s="8">
        <v>23.61</v>
      </c>
      <c r="H1378" s="8"/>
      <c r="I1378" s="8"/>
      <c r="J1378" s="8" t="s">
        <v>9016</v>
      </c>
      <c r="K1378" s="8" t="s">
        <v>9017</v>
      </c>
      <c r="L1378" s="8"/>
      <c r="M1378" s="8"/>
      <c r="N1378" s="12"/>
      <c r="O1378" s="12"/>
      <c r="P1378" s="13">
        <f>IFERROR(__xludf.DUMMYFUNCTION("VALUE(SUBSTITUTE((INDEX(SPLIT(A1378,"",""),1)),""."","","",1))"),54.93992)</f>
        <v>54.93992</v>
      </c>
      <c r="Q1378" s="13">
        <f>IFERROR(__xludf.DUMMYFUNCTION("VALUE(SUBSTITUTE((INDEX(SPLIT(A1378,"",""),2)),""."","","",1))"),37.378432)</f>
        <v>37.378432</v>
      </c>
      <c r="R1378" s="14" t="b">
        <f t="shared" si="1"/>
        <v>0</v>
      </c>
      <c r="S1378" s="14" t="str">
        <f t="shared" si="2"/>
        <v>54.93992,37.378432</v>
      </c>
      <c r="T1378" s="12"/>
    </row>
    <row r="1379">
      <c r="A1379" s="20" t="s">
        <v>9018</v>
      </c>
      <c r="B1379" s="16" t="s">
        <v>9019</v>
      </c>
      <c r="C1379" s="16" t="s">
        <v>9020</v>
      </c>
      <c r="D1379" s="16" t="s">
        <v>16</v>
      </c>
      <c r="E1379" s="21" t="s">
        <v>9021</v>
      </c>
      <c r="F1379" s="22" t="s">
        <v>3760</v>
      </c>
      <c r="G1379" s="16">
        <v>23.61</v>
      </c>
      <c r="H1379" s="16"/>
      <c r="I1379" s="22"/>
      <c r="J1379" s="22" t="s">
        <v>9022</v>
      </c>
      <c r="K1379" s="22" t="s">
        <v>9023</v>
      </c>
      <c r="L1379" s="23" t="s">
        <v>9024</v>
      </c>
      <c r="M1379" s="22"/>
      <c r="N1379" s="12"/>
      <c r="O1379" s="12"/>
      <c r="P1379" s="13">
        <f>IFERROR(__xludf.DUMMYFUNCTION("VALUE(SUBSTITUTE((INDEX(SPLIT(A1379,"",""),1)),""."","","",1))"),54.73864)</f>
        <v>54.73864</v>
      </c>
      <c r="Q1379" s="13">
        <f>IFERROR(__xludf.DUMMYFUNCTION("VALUE(SUBSTITUTE((INDEX(SPLIT(A1379,"",""),2)),""."","","",1))"),37.390272)</f>
        <v>37.390272</v>
      </c>
      <c r="R1379" s="14" t="b">
        <f t="shared" si="1"/>
        <v>0</v>
      </c>
      <c r="S1379" s="14" t="str">
        <f t="shared" si="2"/>
        <v>54.73864,37.390272</v>
      </c>
      <c r="T1379" s="12"/>
    </row>
    <row r="1380">
      <c r="A1380" s="7" t="s">
        <v>9025</v>
      </c>
      <c r="B1380" s="8" t="s">
        <v>9026</v>
      </c>
      <c r="C1380" s="8" t="s">
        <v>9027</v>
      </c>
      <c r="D1380" s="8" t="s">
        <v>16</v>
      </c>
      <c r="E1380" s="9" t="s">
        <v>9028</v>
      </c>
      <c r="F1380" s="10" t="s">
        <v>3760</v>
      </c>
      <c r="G1380" s="8">
        <v>23.61</v>
      </c>
      <c r="H1380" s="8"/>
      <c r="I1380" s="10"/>
      <c r="J1380" s="10" t="s">
        <v>9029</v>
      </c>
      <c r="K1380" s="10" t="s">
        <v>9030</v>
      </c>
      <c r="L1380" s="11" t="s">
        <v>9031</v>
      </c>
      <c r="M1380" s="10"/>
      <c r="N1380" s="12"/>
      <c r="O1380" s="12"/>
      <c r="P1380" s="13">
        <f>IFERROR(__xludf.DUMMYFUNCTION("VALUE(SUBSTITUTE((INDEX(SPLIT(A1380,"",""),1)),""."","","",1))"),54.932876)</f>
        <v>54.932876</v>
      </c>
      <c r="Q1380" s="13">
        <f>IFERROR(__xludf.DUMMYFUNCTION("VALUE(SUBSTITUTE((INDEX(SPLIT(A1380,"",""),2)),""."","","",1))"),37.391934)</f>
        <v>37.391934</v>
      </c>
      <c r="R1380" s="14" t="b">
        <f t="shared" si="1"/>
        <v>0</v>
      </c>
      <c r="S1380" s="14" t="str">
        <f t="shared" si="2"/>
        <v>54.932876,37.391934</v>
      </c>
      <c r="T1380" s="12"/>
    </row>
    <row r="1381">
      <c r="A1381" s="15" t="s">
        <v>9032</v>
      </c>
      <c r="B1381" s="16" t="s">
        <v>6155</v>
      </c>
      <c r="C1381" s="16" t="s">
        <v>6156</v>
      </c>
      <c r="D1381" s="16" t="s">
        <v>16</v>
      </c>
      <c r="E1381" s="17" t="s">
        <v>9033</v>
      </c>
      <c r="F1381" s="16" t="s">
        <v>3883</v>
      </c>
      <c r="G1381" s="16">
        <v>23.61</v>
      </c>
      <c r="H1381" s="16"/>
      <c r="I1381" s="16"/>
      <c r="J1381" s="16" t="s">
        <v>9034</v>
      </c>
      <c r="K1381" s="16" t="s">
        <v>9035</v>
      </c>
      <c r="L1381" s="16"/>
      <c r="M1381" s="16"/>
      <c r="N1381" s="12"/>
      <c r="O1381" s="12"/>
      <c r="P1381" s="13">
        <f>IFERROR(__xludf.DUMMYFUNCTION("VALUE(SUBSTITUTE((INDEX(SPLIT(A1381,"",""),1)),""."","","",1))"),55.796476)</f>
        <v>55.796476</v>
      </c>
      <c r="Q1381" s="13">
        <f>IFERROR(__xludf.DUMMYFUNCTION("VALUE(SUBSTITUTE((INDEX(SPLIT(A1381,"",""),2)),""."","","",1))"),37.392149)</f>
        <v>37.392149</v>
      </c>
      <c r="R1381" s="14" t="b">
        <f t="shared" si="1"/>
        <v>0</v>
      </c>
      <c r="S1381" s="14" t="str">
        <f t="shared" si="2"/>
        <v>55.796476,37.392149</v>
      </c>
      <c r="T1381" s="12"/>
    </row>
    <row r="1382">
      <c r="A1382" s="18" t="s">
        <v>9036</v>
      </c>
      <c r="B1382" s="8" t="s">
        <v>9037</v>
      </c>
      <c r="C1382" s="8" t="s">
        <v>9038</v>
      </c>
      <c r="D1382" s="8" t="s">
        <v>16</v>
      </c>
      <c r="E1382" s="19" t="s">
        <v>9039</v>
      </c>
      <c r="F1382" s="8" t="s">
        <v>4881</v>
      </c>
      <c r="G1382" s="8">
        <v>23.61</v>
      </c>
      <c r="H1382" s="8"/>
      <c r="I1382" s="8"/>
      <c r="J1382" s="8" t="s">
        <v>9040</v>
      </c>
      <c r="K1382" s="8" t="s">
        <v>9041</v>
      </c>
      <c r="L1382" s="8"/>
      <c r="M1382" s="24" t="s">
        <v>9042</v>
      </c>
      <c r="N1382" s="12"/>
      <c r="O1382" s="12"/>
      <c r="P1382" s="13">
        <f>IFERROR(__xludf.DUMMYFUNCTION("VALUE(SUBSTITUTE((INDEX(SPLIT(A1382,"",""),1)),""."","","",1))"),55.646833)</f>
        <v>55.646833</v>
      </c>
      <c r="Q1382" s="13">
        <f>IFERROR(__xludf.DUMMYFUNCTION("VALUE(SUBSTITUTE((INDEX(SPLIT(A1382,"",""),2)),""."","","",1))"),37.392562)</f>
        <v>37.392562</v>
      </c>
      <c r="R1382" s="14" t="b">
        <f t="shared" si="1"/>
        <v>0</v>
      </c>
      <c r="S1382" s="14" t="str">
        <f t="shared" si="2"/>
        <v>55.646833,37.392562</v>
      </c>
      <c r="T1382" s="12"/>
    </row>
    <row r="1383">
      <c r="A1383" s="15" t="s">
        <v>9043</v>
      </c>
      <c r="B1383" s="16" t="s">
        <v>9044</v>
      </c>
      <c r="C1383" s="16" t="s">
        <v>9045</v>
      </c>
      <c r="D1383" s="16" t="s">
        <v>16</v>
      </c>
      <c r="E1383" s="17" t="s">
        <v>9046</v>
      </c>
      <c r="F1383" s="16" t="s">
        <v>6732</v>
      </c>
      <c r="G1383" s="16">
        <v>23.61</v>
      </c>
      <c r="H1383" s="16"/>
      <c r="I1383" s="16"/>
      <c r="J1383" s="16" t="s">
        <v>9047</v>
      </c>
      <c r="K1383" s="16" t="s">
        <v>9048</v>
      </c>
      <c r="L1383" s="16"/>
      <c r="M1383" s="25" t="s">
        <v>9049</v>
      </c>
      <c r="N1383" s="12"/>
      <c r="O1383" s="12"/>
      <c r="P1383" s="13">
        <f>IFERROR(__xludf.DUMMYFUNCTION("VALUE(SUBSTITUTE((INDEX(SPLIT(A1383,"",""),1)),""."","","",1))"),54.729527)</f>
        <v>54.729527</v>
      </c>
      <c r="Q1383" s="13">
        <f>IFERROR(__xludf.DUMMYFUNCTION("VALUE(SUBSTITUTE((INDEX(SPLIT(A1383,"",""),2)),""."","","",1))"),37.393012)</f>
        <v>37.393012</v>
      </c>
      <c r="R1383" s="14" t="b">
        <f t="shared" si="1"/>
        <v>0</v>
      </c>
      <c r="S1383" s="14" t="str">
        <f t="shared" si="2"/>
        <v>54.729527,37.393012</v>
      </c>
      <c r="T1383" s="12"/>
    </row>
    <row r="1384">
      <c r="A1384" s="18" t="s">
        <v>9050</v>
      </c>
      <c r="B1384" s="8" t="s">
        <v>9051</v>
      </c>
      <c r="C1384" s="8" t="s">
        <v>9052</v>
      </c>
      <c r="D1384" s="8" t="s">
        <v>16</v>
      </c>
      <c r="E1384" s="19" t="s">
        <v>9053</v>
      </c>
      <c r="F1384" s="8" t="s">
        <v>3883</v>
      </c>
      <c r="G1384" s="8">
        <v>23.61</v>
      </c>
      <c r="H1384" s="8"/>
      <c r="I1384" s="8"/>
      <c r="J1384" s="8" t="s">
        <v>9054</v>
      </c>
      <c r="K1384" s="8" t="s">
        <v>9055</v>
      </c>
      <c r="L1384" s="8"/>
      <c r="M1384" s="8"/>
      <c r="N1384" s="12"/>
      <c r="O1384" s="12"/>
      <c r="P1384" s="13">
        <f>IFERROR(__xludf.DUMMYFUNCTION("VALUE(SUBSTITUTE((INDEX(SPLIT(A1384,"",""),1)),""."","","",1))"),55.711189)</f>
        <v>55.711189</v>
      </c>
      <c r="Q1384" s="13">
        <f>IFERROR(__xludf.DUMMYFUNCTION("VALUE(SUBSTITUTE((INDEX(SPLIT(A1384,"",""),2)),""."","","",1))"),37.394611)</f>
        <v>37.394611</v>
      </c>
      <c r="R1384" s="14" t="b">
        <f t="shared" si="1"/>
        <v>0</v>
      </c>
      <c r="S1384" s="14" t="str">
        <f t="shared" si="2"/>
        <v>55.711189,37.394611</v>
      </c>
      <c r="T1384" s="12"/>
    </row>
    <row r="1385">
      <c r="A1385" s="15" t="s">
        <v>9056</v>
      </c>
      <c r="B1385" s="16" t="s">
        <v>9057</v>
      </c>
      <c r="C1385" s="16" t="s">
        <v>9058</v>
      </c>
      <c r="D1385" s="16" t="s">
        <v>16</v>
      </c>
      <c r="E1385" s="17" t="s">
        <v>9059</v>
      </c>
      <c r="F1385" s="16" t="s">
        <v>3760</v>
      </c>
      <c r="G1385" s="16">
        <v>23.61</v>
      </c>
      <c r="H1385" s="16"/>
      <c r="I1385" s="16"/>
      <c r="J1385" s="16" t="s">
        <v>9060</v>
      </c>
      <c r="K1385" s="16" t="s">
        <v>9061</v>
      </c>
      <c r="L1385" s="16"/>
      <c r="M1385" s="16"/>
      <c r="N1385" s="12"/>
      <c r="O1385" s="12"/>
      <c r="P1385" s="13">
        <f>IFERROR(__xludf.DUMMYFUNCTION("VALUE(SUBSTITUTE((INDEX(SPLIT(A1385,"",""),1)),""."","","",1))"),54.916444)</f>
        <v>54.916444</v>
      </c>
      <c r="Q1385" s="13">
        <f>IFERROR(__xludf.DUMMYFUNCTION("VALUE(SUBSTITUTE((INDEX(SPLIT(A1385,"",""),2)),""."","","",1))"),37.394637)</f>
        <v>37.394637</v>
      </c>
      <c r="R1385" s="14" t="b">
        <f t="shared" si="1"/>
        <v>0</v>
      </c>
      <c r="S1385" s="14" t="str">
        <f t="shared" si="2"/>
        <v>54.916444,37.394637</v>
      </c>
      <c r="T1385" s="12"/>
    </row>
    <row r="1386">
      <c r="A1386" s="18" t="s">
        <v>9062</v>
      </c>
      <c r="B1386" s="8" t="s">
        <v>9063</v>
      </c>
      <c r="C1386" s="8" t="s">
        <v>9064</v>
      </c>
      <c r="D1386" s="8" t="s">
        <v>16</v>
      </c>
      <c r="E1386" s="19" t="s">
        <v>9065</v>
      </c>
      <c r="F1386" s="8" t="s">
        <v>3760</v>
      </c>
      <c r="G1386" s="8">
        <v>23.61</v>
      </c>
      <c r="H1386" s="8"/>
      <c r="I1386" s="8"/>
      <c r="J1386" s="8" t="s">
        <v>9066</v>
      </c>
      <c r="K1386" s="8" t="s">
        <v>9067</v>
      </c>
      <c r="L1386" s="8"/>
      <c r="M1386" s="8"/>
      <c r="N1386" s="12"/>
      <c r="O1386" s="12"/>
      <c r="P1386" s="13">
        <f>IFERROR(__xludf.DUMMYFUNCTION("VALUE(SUBSTITUTE((INDEX(SPLIT(A1386,"",""),1)),""."","","",1))"),55.874026)</f>
        <v>55.874026</v>
      </c>
      <c r="Q1386" s="13">
        <f>IFERROR(__xludf.DUMMYFUNCTION("VALUE(SUBSTITUTE((INDEX(SPLIT(A1386,"",""),2)),""."","","",1))"),37.396847)</f>
        <v>37.396847</v>
      </c>
      <c r="R1386" s="14" t="b">
        <f t="shared" si="1"/>
        <v>0</v>
      </c>
      <c r="S1386" s="14" t="str">
        <f t="shared" si="2"/>
        <v>55.874026,37.396847</v>
      </c>
      <c r="T1386" s="12"/>
    </row>
    <row r="1387">
      <c r="A1387" s="15" t="s">
        <v>9068</v>
      </c>
      <c r="B1387" s="16" t="s">
        <v>9069</v>
      </c>
      <c r="C1387" s="16" t="s">
        <v>9070</v>
      </c>
      <c r="D1387" s="16" t="s">
        <v>16</v>
      </c>
      <c r="E1387" s="17" t="s">
        <v>9071</v>
      </c>
      <c r="F1387" s="16" t="s">
        <v>3883</v>
      </c>
      <c r="G1387" s="16">
        <v>23.61</v>
      </c>
      <c r="H1387" s="16"/>
      <c r="I1387" s="16"/>
      <c r="J1387" s="16" t="s">
        <v>9072</v>
      </c>
      <c r="K1387" s="16" t="s">
        <v>9073</v>
      </c>
      <c r="L1387" s="16"/>
      <c r="M1387" s="16"/>
      <c r="N1387" s="12"/>
      <c r="O1387" s="12"/>
      <c r="P1387" s="13">
        <f>IFERROR(__xludf.DUMMYFUNCTION("VALUE(SUBSTITUTE((INDEX(SPLIT(A1387,"",""),1)),""."","","",1))"),55.736022)</f>
        <v>55.736022</v>
      </c>
      <c r="Q1387" s="13">
        <f>IFERROR(__xludf.DUMMYFUNCTION("VALUE(SUBSTITUTE((INDEX(SPLIT(A1387,"",""),2)),""."","","",1))"),37.397054)</f>
        <v>37.397054</v>
      </c>
      <c r="R1387" s="14" t="b">
        <f t="shared" si="1"/>
        <v>0</v>
      </c>
      <c r="S1387" s="14" t="str">
        <f t="shared" si="2"/>
        <v>55.736022,37.397054</v>
      </c>
      <c r="T1387" s="12"/>
    </row>
    <row r="1388">
      <c r="A1388" s="18" t="s">
        <v>9074</v>
      </c>
      <c r="B1388" s="8" t="s">
        <v>9075</v>
      </c>
      <c r="C1388" s="8" t="s">
        <v>9076</v>
      </c>
      <c r="D1388" s="8" t="s">
        <v>16</v>
      </c>
      <c r="E1388" s="19" t="s">
        <v>9077</v>
      </c>
      <c r="F1388" s="8" t="s">
        <v>3883</v>
      </c>
      <c r="G1388" s="8">
        <v>23.61</v>
      </c>
      <c r="H1388" s="8"/>
      <c r="I1388" s="8"/>
      <c r="J1388" s="8" t="s">
        <v>9078</v>
      </c>
      <c r="K1388" s="8" t="s">
        <v>9079</v>
      </c>
      <c r="L1388" s="8"/>
      <c r="M1388" s="8"/>
      <c r="N1388" s="12"/>
      <c r="O1388" s="12"/>
      <c r="P1388" s="13">
        <f>IFERROR(__xludf.DUMMYFUNCTION("VALUE(SUBSTITUTE((INDEX(SPLIT(A1388,"",""),1)),""."","","",1))"),55.72632)</f>
        <v>55.72632</v>
      </c>
      <c r="Q1388" s="13">
        <f>IFERROR(__xludf.DUMMYFUNCTION("VALUE(SUBSTITUTE((INDEX(SPLIT(A1388,"",""),2)),""."","","",1))"),37.399399)</f>
        <v>37.399399</v>
      </c>
      <c r="R1388" s="14" t="b">
        <f t="shared" si="1"/>
        <v>0</v>
      </c>
      <c r="S1388" s="14" t="str">
        <f t="shared" si="2"/>
        <v>55.72632,37.399399</v>
      </c>
      <c r="T1388" s="12"/>
    </row>
    <row r="1389">
      <c r="A1389" s="15" t="s">
        <v>9074</v>
      </c>
      <c r="B1389" s="16" t="s">
        <v>9080</v>
      </c>
      <c r="C1389" s="16" t="s">
        <v>9081</v>
      </c>
      <c r="D1389" s="16" t="s">
        <v>16</v>
      </c>
      <c r="E1389" s="17" t="s">
        <v>9082</v>
      </c>
      <c r="F1389" s="16" t="s">
        <v>4881</v>
      </c>
      <c r="G1389" s="16">
        <v>23.61</v>
      </c>
      <c r="H1389" s="16"/>
      <c r="I1389" s="16"/>
      <c r="J1389" s="16" t="s">
        <v>9083</v>
      </c>
      <c r="K1389" s="16" t="s">
        <v>9084</v>
      </c>
      <c r="L1389" s="16"/>
      <c r="M1389" s="16"/>
      <c r="N1389" s="12"/>
      <c r="O1389" s="12"/>
      <c r="P1389" s="13">
        <f>IFERROR(__xludf.DUMMYFUNCTION("VALUE(SUBSTITUTE((INDEX(SPLIT(A1389,"",""),1)),""."","","",1))"),55.72632)</f>
        <v>55.72632</v>
      </c>
      <c r="Q1389" s="13">
        <f>IFERROR(__xludf.DUMMYFUNCTION("VALUE(SUBSTITUTE((INDEX(SPLIT(A1389,"",""),2)),""."","","",1))"),37.399399)</f>
        <v>37.399399</v>
      </c>
      <c r="R1389" s="14" t="b">
        <f t="shared" si="1"/>
        <v>0</v>
      </c>
      <c r="S1389" s="14" t="str">
        <f t="shared" si="2"/>
        <v>55.72632,37.399399</v>
      </c>
      <c r="T1389" s="12"/>
    </row>
    <row r="1390">
      <c r="A1390" s="18" t="s">
        <v>9074</v>
      </c>
      <c r="B1390" s="8" t="s">
        <v>9085</v>
      </c>
      <c r="C1390" s="8" t="s">
        <v>9086</v>
      </c>
      <c r="D1390" s="8" t="s">
        <v>16</v>
      </c>
      <c r="E1390" s="19" t="s">
        <v>9087</v>
      </c>
      <c r="F1390" s="8" t="s">
        <v>4881</v>
      </c>
      <c r="G1390" s="8">
        <v>23.61</v>
      </c>
      <c r="H1390" s="8"/>
      <c r="I1390" s="8"/>
      <c r="J1390" s="8" t="s">
        <v>9088</v>
      </c>
      <c r="K1390" s="8" t="s">
        <v>9089</v>
      </c>
      <c r="L1390" s="8"/>
      <c r="M1390" s="8"/>
      <c r="N1390" s="12"/>
      <c r="O1390" s="12"/>
      <c r="P1390" s="13">
        <f>IFERROR(__xludf.DUMMYFUNCTION("VALUE(SUBSTITUTE((INDEX(SPLIT(A1390,"",""),1)),""."","","",1))"),55.72632)</f>
        <v>55.72632</v>
      </c>
      <c r="Q1390" s="13">
        <f>IFERROR(__xludf.DUMMYFUNCTION("VALUE(SUBSTITUTE((INDEX(SPLIT(A1390,"",""),2)),""."","","",1))"),37.399399)</f>
        <v>37.399399</v>
      </c>
      <c r="R1390" s="14" t="b">
        <f t="shared" si="1"/>
        <v>0</v>
      </c>
      <c r="S1390" s="14" t="str">
        <f t="shared" si="2"/>
        <v>55.72632,37.399399</v>
      </c>
      <c r="T1390" s="12"/>
    </row>
    <row r="1391">
      <c r="A1391" s="15" t="s">
        <v>9074</v>
      </c>
      <c r="B1391" s="16" t="s">
        <v>9090</v>
      </c>
      <c r="C1391" s="16" t="s">
        <v>9091</v>
      </c>
      <c r="D1391" s="16" t="s">
        <v>16</v>
      </c>
      <c r="E1391" s="17" t="s">
        <v>9092</v>
      </c>
      <c r="F1391" s="16" t="s">
        <v>4881</v>
      </c>
      <c r="G1391" s="16">
        <v>23.61</v>
      </c>
      <c r="H1391" s="16"/>
      <c r="I1391" s="16"/>
      <c r="J1391" s="16" t="s">
        <v>9093</v>
      </c>
      <c r="K1391" s="16" t="s">
        <v>9094</v>
      </c>
      <c r="L1391" s="16"/>
      <c r="M1391" s="16"/>
      <c r="N1391" s="12"/>
      <c r="O1391" s="12"/>
      <c r="P1391" s="13">
        <f>IFERROR(__xludf.DUMMYFUNCTION("VALUE(SUBSTITUTE((INDEX(SPLIT(A1391,"",""),1)),""."","","",1))"),55.72632)</f>
        <v>55.72632</v>
      </c>
      <c r="Q1391" s="13">
        <f>IFERROR(__xludf.DUMMYFUNCTION("VALUE(SUBSTITUTE((INDEX(SPLIT(A1391,"",""),2)),""."","","",1))"),37.399399)</f>
        <v>37.399399</v>
      </c>
      <c r="R1391" s="14" t="b">
        <f t="shared" si="1"/>
        <v>0</v>
      </c>
      <c r="S1391" s="14" t="str">
        <f t="shared" si="2"/>
        <v>55.72632,37.399399</v>
      </c>
      <c r="T1391" s="12"/>
    </row>
    <row r="1392">
      <c r="A1392" s="18" t="s">
        <v>9095</v>
      </c>
      <c r="B1392" s="8" t="s">
        <v>9096</v>
      </c>
      <c r="C1392" s="8" t="s">
        <v>9097</v>
      </c>
      <c r="D1392" s="8" t="s">
        <v>16</v>
      </c>
      <c r="E1392" s="19" t="s">
        <v>9098</v>
      </c>
      <c r="F1392" s="8" t="s">
        <v>3883</v>
      </c>
      <c r="G1392" s="8">
        <v>23.61</v>
      </c>
      <c r="H1392" s="8"/>
      <c r="I1392" s="8"/>
      <c r="J1392" s="8" t="s">
        <v>9099</v>
      </c>
      <c r="K1392" s="8" t="s">
        <v>9100</v>
      </c>
      <c r="L1392" s="8"/>
      <c r="M1392" s="8"/>
      <c r="N1392" s="12"/>
      <c r="O1392" s="12"/>
      <c r="P1392" s="13">
        <f>IFERROR(__xludf.DUMMYFUNCTION("VALUE(SUBSTITUTE((INDEX(SPLIT(A1392,"",""),1)),""."","","",1))"),55.72595)</f>
        <v>55.72595</v>
      </c>
      <c r="Q1392" s="13">
        <f>IFERROR(__xludf.DUMMYFUNCTION("VALUE(SUBSTITUTE((INDEX(SPLIT(A1392,"",""),2)),""."","","",1))"),37.399884)</f>
        <v>37.399884</v>
      </c>
      <c r="R1392" s="14" t="b">
        <f t="shared" si="1"/>
        <v>0</v>
      </c>
      <c r="S1392" s="14" t="str">
        <f t="shared" si="2"/>
        <v>55.72595,37.399884</v>
      </c>
      <c r="T1392" s="12"/>
    </row>
    <row r="1393">
      <c r="A1393" s="15" t="s">
        <v>9101</v>
      </c>
      <c r="B1393" s="16" t="s">
        <v>9102</v>
      </c>
      <c r="C1393" s="16" t="s">
        <v>7999</v>
      </c>
      <c r="D1393" s="16" t="s">
        <v>16</v>
      </c>
      <c r="E1393" s="17" t="s">
        <v>9103</v>
      </c>
      <c r="F1393" s="16" t="s">
        <v>3883</v>
      </c>
      <c r="G1393" s="16">
        <v>23.61</v>
      </c>
      <c r="H1393" s="16"/>
      <c r="I1393" s="16"/>
      <c r="J1393" s="16" t="s">
        <v>9104</v>
      </c>
      <c r="K1393" s="16" t="s">
        <v>9105</v>
      </c>
      <c r="L1393" s="16"/>
      <c r="M1393" s="25" t="s">
        <v>9106</v>
      </c>
      <c r="N1393" s="12"/>
      <c r="O1393" s="12"/>
      <c r="P1393" s="13">
        <f>IFERROR(__xludf.DUMMYFUNCTION("VALUE(SUBSTITUTE((INDEX(SPLIT(A1393,"",""),1)),""."","","",1))"),55.837924)</f>
        <v>55.837924</v>
      </c>
      <c r="Q1393" s="13">
        <f>IFERROR(__xludf.DUMMYFUNCTION("VALUE(SUBSTITUTE((INDEX(SPLIT(A1393,"",""),2)),""."","","",1))"),37.403001)</f>
        <v>37.403001</v>
      </c>
      <c r="R1393" s="14" t="b">
        <f t="shared" si="1"/>
        <v>0</v>
      </c>
      <c r="S1393" s="14" t="str">
        <f t="shared" si="2"/>
        <v>55.837924,37.403001</v>
      </c>
      <c r="T1393" s="12"/>
    </row>
    <row r="1394">
      <c r="A1394" s="18" t="s">
        <v>9107</v>
      </c>
      <c r="B1394" s="8" t="s">
        <v>9108</v>
      </c>
      <c r="C1394" s="8" t="s">
        <v>9109</v>
      </c>
      <c r="D1394" s="8" t="s">
        <v>16</v>
      </c>
      <c r="E1394" s="19" t="s">
        <v>9110</v>
      </c>
      <c r="F1394" s="8" t="s">
        <v>3883</v>
      </c>
      <c r="G1394" s="8">
        <v>23.61</v>
      </c>
      <c r="H1394" s="8"/>
      <c r="I1394" s="8"/>
      <c r="J1394" s="8" t="s">
        <v>9111</v>
      </c>
      <c r="K1394" s="8" t="s">
        <v>9112</v>
      </c>
      <c r="L1394" s="8"/>
      <c r="M1394" s="24" t="s">
        <v>9113</v>
      </c>
      <c r="N1394" s="12"/>
      <c r="O1394" s="12"/>
      <c r="P1394" s="13">
        <f>IFERROR(__xludf.DUMMYFUNCTION("VALUE(SUBSTITUTE((INDEX(SPLIT(A1394,"",""),1)),""."","","",1))"),55.7668)</f>
        <v>55.7668</v>
      </c>
      <c r="Q1394" s="13">
        <f>IFERROR(__xludf.DUMMYFUNCTION("VALUE(SUBSTITUTE((INDEX(SPLIT(A1394,"",""),2)),""."","","",1))"),37.40424)</f>
        <v>37.40424</v>
      </c>
      <c r="R1394" s="14" t="b">
        <f t="shared" si="1"/>
        <v>0</v>
      </c>
      <c r="S1394" s="14" t="str">
        <f t="shared" si="2"/>
        <v>55.7668,37.40424</v>
      </c>
      <c r="T1394" s="12"/>
    </row>
    <row r="1395">
      <c r="A1395" s="15" t="s">
        <v>9114</v>
      </c>
      <c r="B1395" s="16" t="s">
        <v>9115</v>
      </c>
      <c r="C1395" s="16" t="s">
        <v>9116</v>
      </c>
      <c r="D1395" s="16" t="s">
        <v>16</v>
      </c>
      <c r="E1395" s="17" t="s">
        <v>9117</v>
      </c>
      <c r="F1395" s="16" t="s">
        <v>3760</v>
      </c>
      <c r="G1395" s="16">
        <v>23.61</v>
      </c>
      <c r="H1395" s="16"/>
      <c r="I1395" s="16"/>
      <c r="J1395" s="16" t="s">
        <v>9118</v>
      </c>
      <c r="K1395" s="16" t="s">
        <v>9119</v>
      </c>
      <c r="L1395" s="16"/>
      <c r="M1395" s="16"/>
      <c r="N1395" s="12"/>
      <c r="O1395" s="12"/>
      <c r="P1395" s="13">
        <f>IFERROR(__xludf.DUMMYFUNCTION("VALUE(SUBSTITUTE((INDEX(SPLIT(A1395,"",""),1)),""."","","",1))"),55.894702)</f>
        <v>55.894702</v>
      </c>
      <c r="Q1395" s="13">
        <f>IFERROR(__xludf.DUMMYFUNCTION("VALUE(SUBSTITUTE((INDEX(SPLIT(A1395,"",""),2)),""."","","",1))"),37.404465)</f>
        <v>37.404465</v>
      </c>
      <c r="R1395" s="14" t="b">
        <f t="shared" si="1"/>
        <v>0</v>
      </c>
      <c r="S1395" s="14" t="str">
        <f t="shared" si="2"/>
        <v>55.894702,37.404465</v>
      </c>
      <c r="T1395" s="12"/>
    </row>
    <row r="1396">
      <c r="A1396" s="18" t="s">
        <v>9120</v>
      </c>
      <c r="B1396" s="8" t="s">
        <v>5812</v>
      </c>
      <c r="C1396" s="8" t="s">
        <v>5813</v>
      </c>
      <c r="D1396" s="8" t="s">
        <v>16</v>
      </c>
      <c r="E1396" s="19" t="s">
        <v>9121</v>
      </c>
      <c r="F1396" s="8" t="s">
        <v>3760</v>
      </c>
      <c r="G1396" s="8">
        <v>23.61</v>
      </c>
      <c r="H1396" s="8"/>
      <c r="I1396" s="8"/>
      <c r="J1396" s="8" t="s">
        <v>9122</v>
      </c>
      <c r="K1396" s="8" t="s">
        <v>9123</v>
      </c>
      <c r="L1396" s="8"/>
      <c r="M1396" s="24" t="s">
        <v>9124</v>
      </c>
      <c r="N1396" s="12"/>
      <c r="O1396" s="12"/>
      <c r="P1396" s="13">
        <f>IFERROR(__xludf.DUMMYFUNCTION("VALUE(SUBSTITUTE((INDEX(SPLIT(A1396,"",""),1)),""."","","",1))"),56.365543)</f>
        <v>56.365543</v>
      </c>
      <c r="Q1396" s="13">
        <f>IFERROR(__xludf.DUMMYFUNCTION("VALUE(SUBSTITUTE((INDEX(SPLIT(A1396,"",""),2)),""."","","",1))"),37.405956)</f>
        <v>37.405956</v>
      </c>
      <c r="R1396" s="14" t="b">
        <f t="shared" si="1"/>
        <v>0</v>
      </c>
      <c r="S1396" s="14" t="str">
        <f t="shared" si="2"/>
        <v>56.365543,37.405956</v>
      </c>
      <c r="T1396" s="12"/>
    </row>
    <row r="1397">
      <c r="A1397" s="15" t="s">
        <v>9125</v>
      </c>
      <c r="B1397" s="16" t="s">
        <v>9126</v>
      </c>
      <c r="C1397" s="16" t="s">
        <v>9127</v>
      </c>
      <c r="D1397" s="16" t="s">
        <v>16</v>
      </c>
      <c r="E1397" s="17" t="s">
        <v>9128</v>
      </c>
      <c r="F1397" s="16" t="s">
        <v>3883</v>
      </c>
      <c r="G1397" s="16">
        <v>23.61</v>
      </c>
      <c r="H1397" s="16"/>
      <c r="I1397" s="16"/>
      <c r="J1397" s="16" t="s">
        <v>9129</v>
      </c>
      <c r="K1397" s="16" t="s">
        <v>9130</v>
      </c>
      <c r="L1397" s="16"/>
      <c r="M1397" s="16"/>
      <c r="N1397" s="12"/>
      <c r="O1397" s="12"/>
      <c r="P1397" s="13">
        <f>IFERROR(__xludf.DUMMYFUNCTION("VALUE(SUBSTITUTE((INDEX(SPLIT(A1397,"",""),1)),""."","","",1))"),55.733087)</f>
        <v>55.733087</v>
      </c>
      <c r="Q1397" s="13">
        <f>IFERROR(__xludf.DUMMYFUNCTION("VALUE(SUBSTITUTE((INDEX(SPLIT(A1397,"",""),2)),""."","","",1))"),37.408723)</f>
        <v>37.408723</v>
      </c>
      <c r="R1397" s="14" t="b">
        <f t="shared" si="1"/>
        <v>0</v>
      </c>
      <c r="S1397" s="14" t="str">
        <f t="shared" si="2"/>
        <v>55.733087,37.408723</v>
      </c>
      <c r="T1397" s="12"/>
    </row>
    <row r="1398">
      <c r="A1398" s="18" t="s">
        <v>9131</v>
      </c>
      <c r="B1398" s="8" t="s">
        <v>9132</v>
      </c>
      <c r="C1398" s="8" t="s">
        <v>9133</v>
      </c>
      <c r="D1398" s="8" t="s">
        <v>16</v>
      </c>
      <c r="E1398" s="19" t="s">
        <v>9134</v>
      </c>
      <c r="F1398" s="8" t="s">
        <v>3883</v>
      </c>
      <c r="G1398" s="8">
        <v>23.61</v>
      </c>
      <c r="H1398" s="8"/>
      <c r="I1398" s="8"/>
      <c r="J1398" s="8" t="s">
        <v>9135</v>
      </c>
      <c r="K1398" s="8" t="s">
        <v>9136</v>
      </c>
      <c r="L1398" s="8"/>
      <c r="M1398" s="24" t="s">
        <v>9137</v>
      </c>
      <c r="N1398" s="12"/>
      <c r="O1398" s="12"/>
      <c r="P1398" s="13">
        <f>IFERROR(__xludf.DUMMYFUNCTION("VALUE(SUBSTITUTE((INDEX(SPLIT(A1398,"",""),1)),""."","","",1))"),55.767499)</f>
        <v>55.767499</v>
      </c>
      <c r="Q1398" s="13">
        <f>IFERROR(__xludf.DUMMYFUNCTION("VALUE(SUBSTITUTE((INDEX(SPLIT(A1398,"",""),2)),""."","","",1))"),37.408948)</f>
        <v>37.408948</v>
      </c>
      <c r="R1398" s="14" t="b">
        <f t="shared" si="1"/>
        <v>0</v>
      </c>
      <c r="S1398" s="14" t="str">
        <f t="shared" si="2"/>
        <v>55.767499,37.408948</v>
      </c>
      <c r="T1398" s="12"/>
    </row>
    <row r="1399">
      <c r="A1399" s="20" t="s">
        <v>9138</v>
      </c>
      <c r="B1399" s="16" t="s">
        <v>3587</v>
      </c>
      <c r="C1399" s="16" t="s">
        <v>3588</v>
      </c>
      <c r="D1399" s="16" t="s">
        <v>16</v>
      </c>
      <c r="E1399" s="21" t="s">
        <v>9139</v>
      </c>
      <c r="F1399" s="22" t="s">
        <v>8566</v>
      </c>
      <c r="G1399" s="16">
        <v>23.61</v>
      </c>
      <c r="H1399" s="16"/>
      <c r="I1399" s="22"/>
      <c r="J1399" s="22" t="s">
        <v>9140</v>
      </c>
      <c r="K1399" s="22" t="s">
        <v>9141</v>
      </c>
      <c r="L1399" s="23" t="s">
        <v>9142</v>
      </c>
      <c r="M1399" s="22"/>
      <c r="N1399" s="12"/>
      <c r="O1399" s="12"/>
      <c r="P1399" s="13">
        <f>IFERROR(__xludf.DUMMYFUNCTION("VALUE(SUBSTITUTE((INDEX(SPLIT(A1399,"",""),1)),""."","","",1))"),45.254184)</f>
        <v>45.254184</v>
      </c>
      <c r="Q1399" s="13">
        <f>IFERROR(__xludf.DUMMYFUNCTION("VALUE(SUBSTITUTE((INDEX(SPLIT(A1399,"",""),2)),""."","","",1))"),37.411113)</f>
        <v>37.411113</v>
      </c>
      <c r="R1399" s="14" t="b">
        <f t="shared" si="1"/>
        <v>0</v>
      </c>
      <c r="S1399" s="14" t="str">
        <f t="shared" si="2"/>
        <v>45.254184,37.411113</v>
      </c>
      <c r="T1399" s="12"/>
    </row>
    <row r="1400">
      <c r="A1400" s="7" t="s">
        <v>9143</v>
      </c>
      <c r="B1400" s="8" t="s">
        <v>9144</v>
      </c>
      <c r="C1400" s="8" t="s">
        <v>9145</v>
      </c>
      <c r="D1400" s="8" t="s">
        <v>16</v>
      </c>
      <c r="E1400" s="9" t="s">
        <v>9146</v>
      </c>
      <c r="F1400" s="10" t="s">
        <v>3760</v>
      </c>
      <c r="G1400" s="8">
        <v>23.61</v>
      </c>
      <c r="H1400" s="8"/>
      <c r="I1400" s="10"/>
      <c r="J1400" s="10" t="s">
        <v>9147</v>
      </c>
      <c r="K1400" s="10" t="s">
        <v>9148</v>
      </c>
      <c r="L1400" s="11" t="s">
        <v>9149</v>
      </c>
      <c r="M1400" s="10"/>
      <c r="N1400" s="12"/>
      <c r="O1400" s="12"/>
      <c r="P1400" s="13">
        <f>IFERROR(__xludf.DUMMYFUNCTION("VALUE(SUBSTITUTE((INDEX(SPLIT(A1400,"",""),1)),""."","","",1))"),55.922389)</f>
        <v>55.922389</v>
      </c>
      <c r="Q1400" s="13">
        <f>IFERROR(__xludf.DUMMYFUNCTION("VALUE(SUBSTITUTE((INDEX(SPLIT(A1400,"",""),2)),""."","","",1))"),37.411966)</f>
        <v>37.411966</v>
      </c>
      <c r="R1400" s="14" t="b">
        <f t="shared" si="1"/>
        <v>0</v>
      </c>
      <c r="S1400" s="14" t="str">
        <f t="shared" si="2"/>
        <v>55.922389,37.411966</v>
      </c>
      <c r="T1400" s="12"/>
    </row>
    <row r="1401">
      <c r="A1401" s="20" t="s">
        <v>9150</v>
      </c>
      <c r="B1401" s="16" t="s">
        <v>9151</v>
      </c>
      <c r="C1401" s="16" t="s">
        <v>9152</v>
      </c>
      <c r="D1401" s="16" t="s">
        <v>16</v>
      </c>
      <c r="E1401" s="21" t="s">
        <v>9153</v>
      </c>
      <c r="F1401" s="22" t="s">
        <v>3883</v>
      </c>
      <c r="G1401" s="16">
        <v>23.61</v>
      </c>
      <c r="H1401" s="16"/>
      <c r="I1401" s="22"/>
      <c r="J1401" s="22" t="s">
        <v>9154</v>
      </c>
      <c r="K1401" s="22" t="s">
        <v>9155</v>
      </c>
      <c r="L1401" s="23" t="s">
        <v>9156</v>
      </c>
      <c r="M1401" s="22"/>
      <c r="N1401" s="12"/>
      <c r="O1401" s="12"/>
      <c r="P1401" s="13">
        <f>IFERROR(__xludf.DUMMYFUNCTION("VALUE(SUBSTITUTE((INDEX(SPLIT(A1401,"",""),1)),""."","","",1))"),54.837706)</f>
        <v>54.837706</v>
      </c>
      <c r="Q1401" s="13">
        <f>IFERROR(__xludf.DUMMYFUNCTION("VALUE(SUBSTITUTE((INDEX(SPLIT(A1401,"",""),2)),""."","","",1))"),37.417311)</f>
        <v>37.417311</v>
      </c>
      <c r="R1401" s="14" t="b">
        <f t="shared" si="1"/>
        <v>0</v>
      </c>
      <c r="S1401" s="14" t="str">
        <f t="shared" si="2"/>
        <v>54.837706,37.417311</v>
      </c>
      <c r="T1401" s="12"/>
    </row>
    <row r="1402">
      <c r="A1402" s="18" t="s">
        <v>9157</v>
      </c>
      <c r="B1402" s="8" t="s">
        <v>9158</v>
      </c>
      <c r="C1402" s="8" t="s">
        <v>9159</v>
      </c>
      <c r="D1402" s="8" t="s">
        <v>16</v>
      </c>
      <c r="E1402" s="19" t="s">
        <v>9160</v>
      </c>
      <c r="F1402" s="8" t="s">
        <v>3760</v>
      </c>
      <c r="G1402" s="8">
        <v>23.61</v>
      </c>
      <c r="H1402" s="8"/>
      <c r="I1402" s="8"/>
      <c r="J1402" s="8" t="s">
        <v>9161</v>
      </c>
      <c r="K1402" s="8" t="s">
        <v>9162</v>
      </c>
      <c r="L1402" s="8"/>
      <c r="M1402" s="8"/>
      <c r="N1402" s="12"/>
      <c r="O1402" s="12"/>
      <c r="P1402" s="13">
        <f>IFERROR(__xludf.DUMMYFUNCTION("VALUE(SUBSTITUTE((INDEX(SPLIT(A1402,"",""),1)),""."","","",1))"),55.903302)</f>
        <v>55.903302</v>
      </c>
      <c r="Q1402" s="13">
        <f>IFERROR(__xludf.DUMMYFUNCTION("VALUE(SUBSTITUTE((INDEX(SPLIT(A1402,"",""),2)),""."","","",1))"),37.420365)</f>
        <v>37.420365</v>
      </c>
      <c r="R1402" s="14" t="b">
        <f t="shared" si="1"/>
        <v>0</v>
      </c>
      <c r="S1402" s="14" t="str">
        <f t="shared" si="2"/>
        <v>55.903302,37.420365</v>
      </c>
      <c r="T1402" s="12"/>
    </row>
    <row r="1403">
      <c r="A1403" s="15" t="s">
        <v>9163</v>
      </c>
      <c r="B1403" s="16" t="s">
        <v>9164</v>
      </c>
      <c r="C1403" s="16" t="s">
        <v>9165</v>
      </c>
      <c r="D1403" s="16" t="s">
        <v>16</v>
      </c>
      <c r="E1403" s="17" t="s">
        <v>9166</v>
      </c>
      <c r="F1403" s="16" t="s">
        <v>3883</v>
      </c>
      <c r="G1403" s="16">
        <v>23.61</v>
      </c>
      <c r="H1403" s="16"/>
      <c r="I1403" s="16"/>
      <c r="J1403" s="16" t="s">
        <v>9167</v>
      </c>
      <c r="K1403" s="16" t="s">
        <v>9168</v>
      </c>
      <c r="L1403" s="16"/>
      <c r="M1403" s="16"/>
      <c r="N1403" s="12"/>
      <c r="O1403" s="12"/>
      <c r="P1403" s="13">
        <f>IFERROR(__xludf.DUMMYFUNCTION("VALUE(SUBSTITUTE((INDEX(SPLIT(A1403,"",""),1)),""."","","",1))"),55.691668)</f>
        <v>55.691668</v>
      </c>
      <c r="Q1403" s="13">
        <f>IFERROR(__xludf.DUMMYFUNCTION("VALUE(SUBSTITUTE((INDEX(SPLIT(A1403,"",""),2)),""."","","",1))"),37.42068)</f>
        <v>37.42068</v>
      </c>
      <c r="R1403" s="14" t="b">
        <f t="shared" si="1"/>
        <v>0</v>
      </c>
      <c r="S1403" s="14" t="str">
        <f t="shared" si="2"/>
        <v>55.691668,37.42068</v>
      </c>
      <c r="T1403" s="12"/>
    </row>
    <row r="1404">
      <c r="A1404" s="7" t="s">
        <v>9169</v>
      </c>
      <c r="B1404" s="8" t="s">
        <v>9170</v>
      </c>
      <c r="C1404" s="8" t="s">
        <v>9171</v>
      </c>
      <c r="D1404" s="8" t="s">
        <v>16</v>
      </c>
      <c r="E1404" s="9" t="s">
        <v>9172</v>
      </c>
      <c r="F1404" s="10" t="s">
        <v>4881</v>
      </c>
      <c r="G1404" s="8">
        <v>23.61</v>
      </c>
      <c r="H1404" s="8"/>
      <c r="I1404" s="10"/>
      <c r="J1404" s="10" t="s">
        <v>9173</v>
      </c>
      <c r="K1404" s="10" t="s">
        <v>9174</v>
      </c>
      <c r="L1404" s="11" t="s">
        <v>9175</v>
      </c>
      <c r="M1404" s="10"/>
      <c r="N1404" s="12"/>
      <c r="O1404" s="12"/>
      <c r="P1404" s="13">
        <f>IFERROR(__xludf.DUMMYFUNCTION("VALUE(SUBSTITUTE((INDEX(SPLIT(A1404,"",""),1)),""."","","",1))"),55.6928)</f>
        <v>55.6928</v>
      </c>
      <c r="Q1404" s="13">
        <f>IFERROR(__xludf.DUMMYFUNCTION("VALUE(SUBSTITUTE((INDEX(SPLIT(A1404,"",""),2)),""."","","",1))"),37.42156)</f>
        <v>37.42156</v>
      </c>
      <c r="R1404" s="14" t="b">
        <f t="shared" si="1"/>
        <v>0</v>
      </c>
      <c r="S1404" s="14" t="str">
        <f t="shared" si="2"/>
        <v>55.6928,37.42156</v>
      </c>
      <c r="T1404" s="12"/>
    </row>
    <row r="1405">
      <c r="A1405" s="20" t="s">
        <v>9176</v>
      </c>
      <c r="B1405" s="16" t="s">
        <v>9177</v>
      </c>
      <c r="C1405" s="16" t="s">
        <v>9178</v>
      </c>
      <c r="D1405" s="16" t="s">
        <v>16</v>
      </c>
      <c r="E1405" s="21" t="s">
        <v>9179</v>
      </c>
      <c r="F1405" s="22" t="s">
        <v>3883</v>
      </c>
      <c r="G1405" s="16">
        <v>23.61</v>
      </c>
      <c r="H1405" s="16"/>
      <c r="I1405" s="22"/>
      <c r="J1405" s="22" t="s">
        <v>9180</v>
      </c>
      <c r="K1405" s="22" t="s">
        <v>9181</v>
      </c>
      <c r="L1405" s="23" t="s">
        <v>9182</v>
      </c>
      <c r="M1405" s="22"/>
      <c r="N1405" s="12"/>
      <c r="O1405" s="12"/>
      <c r="P1405" s="13">
        <f>IFERROR(__xludf.DUMMYFUNCTION("VALUE(SUBSTITUTE((INDEX(SPLIT(A1405,"",""),1)),""."","","",1))"),55.69558)</f>
        <v>55.69558</v>
      </c>
      <c r="Q1405" s="13">
        <f>IFERROR(__xludf.DUMMYFUNCTION("VALUE(SUBSTITUTE((INDEX(SPLIT(A1405,"",""),2)),""."","","",1))"),37.421847)</f>
        <v>37.421847</v>
      </c>
      <c r="R1405" s="14" t="b">
        <f t="shared" si="1"/>
        <v>0</v>
      </c>
      <c r="S1405" s="14" t="str">
        <f t="shared" si="2"/>
        <v>55.69558,37.421847</v>
      </c>
      <c r="T1405" s="12"/>
    </row>
    <row r="1406">
      <c r="A1406" s="18" t="s">
        <v>9183</v>
      </c>
      <c r="B1406" s="8" t="s">
        <v>9184</v>
      </c>
      <c r="C1406" s="8" t="s">
        <v>9185</v>
      </c>
      <c r="D1406" s="8" t="s">
        <v>16</v>
      </c>
      <c r="E1406" s="19" t="s">
        <v>9186</v>
      </c>
      <c r="F1406" s="8" t="s">
        <v>3760</v>
      </c>
      <c r="G1406" s="8">
        <v>23.61</v>
      </c>
      <c r="H1406" s="8"/>
      <c r="I1406" s="8"/>
      <c r="J1406" s="8" t="s">
        <v>9187</v>
      </c>
      <c r="K1406" s="8" t="s">
        <v>9188</v>
      </c>
      <c r="L1406" s="8"/>
      <c r="M1406" s="24" t="s">
        <v>9189</v>
      </c>
      <c r="N1406" s="12"/>
      <c r="O1406" s="12"/>
      <c r="P1406" s="13">
        <f>IFERROR(__xludf.DUMMYFUNCTION("VALUE(SUBSTITUTE((INDEX(SPLIT(A1406,"",""),1)),""."","","",1))"),56.027434)</f>
        <v>56.027434</v>
      </c>
      <c r="Q1406" s="13">
        <f>IFERROR(__xludf.DUMMYFUNCTION("VALUE(SUBSTITUTE((INDEX(SPLIT(A1406,"",""),2)),""."","","",1))"),37.422027)</f>
        <v>37.422027</v>
      </c>
      <c r="R1406" s="14" t="b">
        <f t="shared" si="1"/>
        <v>0</v>
      </c>
      <c r="S1406" s="14" t="str">
        <f t="shared" si="2"/>
        <v>56.027434,37.422027</v>
      </c>
      <c r="T1406" s="12"/>
    </row>
    <row r="1407">
      <c r="A1407" s="15" t="s">
        <v>9190</v>
      </c>
      <c r="B1407" s="16" t="s">
        <v>9191</v>
      </c>
      <c r="C1407" s="16" t="s">
        <v>9192</v>
      </c>
      <c r="D1407" s="16" t="s">
        <v>16</v>
      </c>
      <c r="E1407" s="17" t="s">
        <v>9193</v>
      </c>
      <c r="F1407" s="16" t="s">
        <v>3883</v>
      </c>
      <c r="G1407" s="16">
        <v>23.61</v>
      </c>
      <c r="H1407" s="16"/>
      <c r="I1407" s="16"/>
      <c r="J1407" s="16" t="s">
        <v>9194</v>
      </c>
      <c r="K1407" s="16" t="s">
        <v>9195</v>
      </c>
      <c r="L1407" s="16"/>
      <c r="M1407" s="25" t="s">
        <v>9196</v>
      </c>
      <c r="N1407" s="12"/>
      <c r="O1407" s="12"/>
      <c r="P1407" s="13">
        <f>IFERROR(__xludf.DUMMYFUNCTION("VALUE(SUBSTITUTE((INDEX(SPLIT(A1407,"",""),1)),""."","","",1))"),55.847942)</f>
        <v>55.847942</v>
      </c>
      <c r="Q1407" s="13">
        <f>IFERROR(__xludf.DUMMYFUNCTION("VALUE(SUBSTITUTE((INDEX(SPLIT(A1407,"",""),2)),""."","","",1))"),37.42297)</f>
        <v>37.42297</v>
      </c>
      <c r="R1407" s="14" t="b">
        <f t="shared" si="1"/>
        <v>0</v>
      </c>
      <c r="S1407" s="14" t="str">
        <f t="shared" si="2"/>
        <v>55.847942,37.42297</v>
      </c>
      <c r="T1407" s="12"/>
    </row>
    <row r="1408">
      <c r="A1408" s="18" t="s">
        <v>9197</v>
      </c>
      <c r="B1408" s="8" t="s">
        <v>9198</v>
      </c>
      <c r="C1408" s="8" t="s">
        <v>9199</v>
      </c>
      <c r="D1408" s="8" t="s">
        <v>16</v>
      </c>
      <c r="E1408" s="19" t="s">
        <v>9200</v>
      </c>
      <c r="F1408" s="8" t="s">
        <v>8566</v>
      </c>
      <c r="G1408" s="8">
        <v>23.61</v>
      </c>
      <c r="H1408" s="8"/>
      <c r="I1408" s="8"/>
      <c r="J1408" s="8" t="s">
        <v>9201</v>
      </c>
      <c r="K1408" s="8" t="s">
        <v>9202</v>
      </c>
      <c r="L1408" s="8"/>
      <c r="M1408" s="8"/>
      <c r="N1408" s="12"/>
      <c r="O1408" s="12"/>
      <c r="P1408" s="13">
        <f>IFERROR(__xludf.DUMMYFUNCTION("VALUE(SUBSTITUTE((INDEX(SPLIT(A1408,"",""),1)),""."","","",1))"),44.800437)</f>
        <v>44.800437</v>
      </c>
      <c r="Q1408" s="13">
        <f>IFERROR(__xludf.DUMMYFUNCTION("VALUE(SUBSTITUTE((INDEX(SPLIT(A1408,"",""),2)),""."","","",1))"),37.423851)</f>
        <v>37.423851</v>
      </c>
      <c r="R1408" s="14" t="b">
        <f t="shared" si="1"/>
        <v>0</v>
      </c>
      <c r="S1408" s="14" t="str">
        <f t="shared" si="2"/>
        <v>44.800437,37.423851</v>
      </c>
      <c r="T1408" s="12"/>
    </row>
    <row r="1409">
      <c r="A1409" s="15" t="s">
        <v>9203</v>
      </c>
      <c r="B1409" s="16" t="s">
        <v>9204</v>
      </c>
      <c r="C1409" s="16" t="s">
        <v>9205</v>
      </c>
      <c r="D1409" s="16" t="s">
        <v>16</v>
      </c>
      <c r="E1409" s="17" t="s">
        <v>9206</v>
      </c>
      <c r="F1409" s="16" t="s">
        <v>3883</v>
      </c>
      <c r="G1409" s="16">
        <v>23.61</v>
      </c>
      <c r="H1409" s="16"/>
      <c r="I1409" s="16"/>
      <c r="J1409" s="16" t="s">
        <v>9207</v>
      </c>
      <c r="K1409" s="16" t="s">
        <v>9208</v>
      </c>
      <c r="L1409" s="16"/>
      <c r="M1409" s="16"/>
      <c r="N1409" s="12"/>
      <c r="O1409" s="12"/>
      <c r="P1409" s="13">
        <f>IFERROR(__xludf.DUMMYFUNCTION("VALUE(SUBSTITUTE((INDEX(SPLIT(A1409,"",""),1)),""."","","",1))"),55.833819)</f>
        <v>55.833819</v>
      </c>
      <c r="Q1409" s="13">
        <f>IFERROR(__xludf.DUMMYFUNCTION("VALUE(SUBSTITUTE((INDEX(SPLIT(A1409,"",""),2)),""."","","",1))"),37.426168)</f>
        <v>37.426168</v>
      </c>
      <c r="R1409" s="14" t="b">
        <f t="shared" si="1"/>
        <v>0</v>
      </c>
      <c r="S1409" s="14" t="str">
        <f t="shared" si="2"/>
        <v>55.833819,37.426168</v>
      </c>
      <c r="T1409" s="12"/>
    </row>
    <row r="1410">
      <c r="A1410" s="18" t="s">
        <v>9209</v>
      </c>
      <c r="B1410" s="8" t="s">
        <v>9210</v>
      </c>
      <c r="C1410" s="8" t="s">
        <v>9211</v>
      </c>
      <c r="D1410" s="8" t="s">
        <v>16</v>
      </c>
      <c r="E1410" s="19" t="s">
        <v>9212</v>
      </c>
      <c r="F1410" s="8" t="s">
        <v>3883</v>
      </c>
      <c r="G1410" s="8">
        <v>23.61</v>
      </c>
      <c r="H1410" s="8"/>
      <c r="I1410" s="8"/>
      <c r="J1410" s="8" t="s">
        <v>9213</v>
      </c>
      <c r="K1410" s="8" t="s">
        <v>9214</v>
      </c>
      <c r="L1410" s="8"/>
      <c r="M1410" s="8"/>
      <c r="N1410" s="12"/>
      <c r="O1410" s="12"/>
      <c r="P1410" s="13">
        <f>IFERROR(__xludf.DUMMYFUNCTION("VALUE(SUBSTITUTE((INDEX(SPLIT(A1410,"",""),1)),""."","","",1))"),55.830715)</f>
        <v>55.830715</v>
      </c>
      <c r="Q1410" s="13">
        <f>IFERROR(__xludf.DUMMYFUNCTION("VALUE(SUBSTITUTE((INDEX(SPLIT(A1410,"",""),2)),""."","","",1))"),37.430947)</f>
        <v>37.430947</v>
      </c>
      <c r="R1410" s="14" t="b">
        <f t="shared" si="1"/>
        <v>0</v>
      </c>
      <c r="S1410" s="14" t="str">
        <f t="shared" si="2"/>
        <v>55.830715,37.430947</v>
      </c>
      <c r="T1410" s="12"/>
    </row>
    <row r="1411">
      <c r="A1411" s="15" t="s">
        <v>9215</v>
      </c>
      <c r="B1411" s="16" t="s">
        <v>9216</v>
      </c>
      <c r="C1411" s="16" t="s">
        <v>9217</v>
      </c>
      <c r="D1411" s="16" t="s">
        <v>16</v>
      </c>
      <c r="E1411" s="17" t="s">
        <v>9218</v>
      </c>
      <c r="F1411" s="16" t="s">
        <v>3760</v>
      </c>
      <c r="G1411" s="16">
        <v>23.61</v>
      </c>
      <c r="H1411" s="16"/>
      <c r="I1411" s="16"/>
      <c r="J1411" s="16" t="s">
        <v>9219</v>
      </c>
      <c r="K1411" s="16" t="s">
        <v>9220</v>
      </c>
      <c r="L1411" s="16"/>
      <c r="M1411" s="16"/>
      <c r="N1411" s="12"/>
      <c r="O1411" s="12"/>
      <c r="P1411" s="13">
        <f>IFERROR(__xludf.DUMMYFUNCTION("VALUE(SUBSTITUTE((INDEX(SPLIT(A1411,"",""),1)),""."","","",1))"),54.920299)</f>
        <v>54.920299</v>
      </c>
      <c r="Q1411" s="13">
        <f>IFERROR(__xludf.DUMMYFUNCTION("VALUE(SUBSTITUTE((INDEX(SPLIT(A1411,"",""),2)),""."","","",1))"),37.431891)</f>
        <v>37.431891</v>
      </c>
      <c r="R1411" s="14" t="b">
        <f t="shared" si="1"/>
        <v>0</v>
      </c>
      <c r="S1411" s="14" t="str">
        <f t="shared" si="2"/>
        <v>54.920299,37.431891</v>
      </c>
      <c r="T1411" s="12"/>
    </row>
    <row r="1412">
      <c r="A1412" s="18" t="s">
        <v>9221</v>
      </c>
      <c r="B1412" s="8" t="s">
        <v>9222</v>
      </c>
      <c r="C1412" s="8" t="s">
        <v>9223</v>
      </c>
      <c r="D1412" s="8" t="s">
        <v>16</v>
      </c>
      <c r="E1412" s="19" t="s">
        <v>9224</v>
      </c>
      <c r="F1412" s="8" t="s">
        <v>3760</v>
      </c>
      <c r="G1412" s="8">
        <v>23.61</v>
      </c>
      <c r="H1412" s="8"/>
      <c r="I1412" s="8"/>
      <c r="J1412" s="8" t="s">
        <v>9225</v>
      </c>
      <c r="K1412" s="8" t="s">
        <v>9226</v>
      </c>
      <c r="L1412" s="8"/>
      <c r="M1412" s="8"/>
      <c r="N1412" s="12"/>
      <c r="O1412" s="12"/>
      <c r="P1412" s="13">
        <f>IFERROR(__xludf.DUMMYFUNCTION("VALUE(SUBSTITUTE((INDEX(SPLIT(A1412,"",""),1)),""."","","",1))"),55.90913)</f>
        <v>55.90913</v>
      </c>
      <c r="Q1412" s="13">
        <f>IFERROR(__xludf.DUMMYFUNCTION("VALUE(SUBSTITUTE((INDEX(SPLIT(A1412,"",""),2)),""."","","",1))"),37.432115)</f>
        <v>37.432115</v>
      </c>
      <c r="R1412" s="14" t="b">
        <f t="shared" si="1"/>
        <v>0</v>
      </c>
      <c r="S1412" s="14" t="str">
        <f t="shared" si="2"/>
        <v>55.90913,37.432115</v>
      </c>
      <c r="T1412" s="12"/>
    </row>
    <row r="1413">
      <c r="A1413" s="15" t="s">
        <v>9221</v>
      </c>
      <c r="B1413" s="16" t="s">
        <v>9227</v>
      </c>
      <c r="C1413" s="16" t="s">
        <v>9228</v>
      </c>
      <c r="D1413" s="16" t="s">
        <v>16</v>
      </c>
      <c r="E1413" s="17" t="s">
        <v>9229</v>
      </c>
      <c r="F1413" s="16" t="s">
        <v>3760</v>
      </c>
      <c r="G1413" s="16">
        <v>23.61</v>
      </c>
      <c r="H1413" s="16"/>
      <c r="I1413" s="16"/>
      <c r="J1413" s="16" t="s">
        <v>9230</v>
      </c>
      <c r="K1413" s="16" t="s">
        <v>9226</v>
      </c>
      <c r="L1413" s="16"/>
      <c r="M1413" s="25" t="s">
        <v>9231</v>
      </c>
      <c r="N1413" s="12"/>
      <c r="O1413" s="12"/>
      <c r="P1413" s="13">
        <f>IFERROR(__xludf.DUMMYFUNCTION("VALUE(SUBSTITUTE((INDEX(SPLIT(A1413,"",""),1)),""."","","",1))"),55.90913)</f>
        <v>55.90913</v>
      </c>
      <c r="Q1413" s="13">
        <f>IFERROR(__xludf.DUMMYFUNCTION("VALUE(SUBSTITUTE((INDEX(SPLIT(A1413,"",""),2)),""."","","",1))"),37.432115)</f>
        <v>37.432115</v>
      </c>
      <c r="R1413" s="14" t="b">
        <f t="shared" si="1"/>
        <v>0</v>
      </c>
      <c r="S1413" s="14" t="str">
        <f t="shared" si="2"/>
        <v>55.90913,37.432115</v>
      </c>
      <c r="T1413" s="12"/>
    </row>
    <row r="1414">
      <c r="A1414" s="7" t="s">
        <v>9232</v>
      </c>
      <c r="B1414" s="8" t="s">
        <v>9233</v>
      </c>
      <c r="C1414" s="8" t="s">
        <v>9234</v>
      </c>
      <c r="D1414" s="8" t="s">
        <v>16</v>
      </c>
      <c r="E1414" s="9" t="s">
        <v>9235</v>
      </c>
      <c r="F1414" s="10" t="s">
        <v>3883</v>
      </c>
      <c r="G1414" s="8">
        <v>23.61</v>
      </c>
      <c r="H1414" s="8"/>
      <c r="I1414" s="10"/>
      <c r="J1414" s="10" t="s">
        <v>9236</v>
      </c>
      <c r="K1414" s="10" t="s">
        <v>9237</v>
      </c>
      <c r="L1414" s="29" t="s">
        <v>9238</v>
      </c>
      <c r="M1414" s="10"/>
      <c r="N1414" s="12"/>
      <c r="O1414" s="12"/>
      <c r="P1414" s="13">
        <f>IFERROR(__xludf.DUMMYFUNCTION("VALUE(SUBSTITUTE((INDEX(SPLIT(A1414,"",""),1)),""."","","",1))"),55.740193)</f>
        <v>55.740193</v>
      </c>
      <c r="Q1414" s="13">
        <f>IFERROR(__xludf.DUMMYFUNCTION("VALUE(SUBSTITUTE((INDEX(SPLIT(A1414,"",""),2)),""."","","",1))"),37.43437)</f>
        <v>37.43437</v>
      </c>
      <c r="R1414" s="14" t="b">
        <f t="shared" si="1"/>
        <v>0</v>
      </c>
      <c r="S1414" s="14" t="str">
        <f t="shared" si="2"/>
        <v>55.740193,37.43437</v>
      </c>
      <c r="T1414" s="12"/>
    </row>
    <row r="1415">
      <c r="A1415" s="15" t="s">
        <v>9239</v>
      </c>
      <c r="B1415" s="16" t="s">
        <v>9051</v>
      </c>
      <c r="C1415" s="16" t="s">
        <v>9052</v>
      </c>
      <c r="D1415" s="16" t="s">
        <v>16</v>
      </c>
      <c r="E1415" s="17" t="s">
        <v>9240</v>
      </c>
      <c r="F1415" s="16" t="s">
        <v>4881</v>
      </c>
      <c r="G1415" s="16">
        <v>23.61</v>
      </c>
      <c r="H1415" s="16"/>
      <c r="I1415" s="16"/>
      <c r="J1415" s="16" t="s">
        <v>9241</v>
      </c>
      <c r="K1415" s="16" t="s">
        <v>9242</v>
      </c>
      <c r="L1415" s="16"/>
      <c r="M1415" s="16"/>
      <c r="N1415" s="12"/>
      <c r="O1415" s="12"/>
      <c r="P1415" s="13">
        <f>IFERROR(__xludf.DUMMYFUNCTION("VALUE(SUBSTITUTE((INDEX(SPLIT(A1415,"",""),1)),""."","","",1))"),55.678453)</f>
        <v>55.678453</v>
      </c>
      <c r="Q1415" s="13">
        <f>IFERROR(__xludf.DUMMYFUNCTION("VALUE(SUBSTITUTE((INDEX(SPLIT(A1415,"",""),2)),""."","","",1))"),37.436858)</f>
        <v>37.436858</v>
      </c>
      <c r="R1415" s="14" t="b">
        <f t="shared" si="1"/>
        <v>0</v>
      </c>
      <c r="S1415" s="14" t="str">
        <f t="shared" si="2"/>
        <v>55.678453,37.436858</v>
      </c>
      <c r="T1415" s="12"/>
    </row>
    <row r="1416">
      <c r="A1416" s="7" t="s">
        <v>9243</v>
      </c>
      <c r="B1416" s="8" t="s">
        <v>9244</v>
      </c>
      <c r="C1416" s="8" t="s">
        <v>9245</v>
      </c>
      <c r="D1416" s="8" t="s">
        <v>16</v>
      </c>
      <c r="E1416" s="9" t="s">
        <v>9246</v>
      </c>
      <c r="F1416" s="10" t="s">
        <v>3760</v>
      </c>
      <c r="G1416" s="8">
        <v>23.61</v>
      </c>
      <c r="H1416" s="8"/>
      <c r="I1416" s="31" t="s">
        <v>9247</v>
      </c>
      <c r="J1416" s="10" t="s">
        <v>9248</v>
      </c>
      <c r="K1416" s="10" t="s">
        <v>9249</v>
      </c>
      <c r="L1416" s="11" t="s">
        <v>9250</v>
      </c>
      <c r="M1416" s="11" t="s">
        <v>9251</v>
      </c>
      <c r="N1416" s="12"/>
      <c r="O1416" s="12"/>
      <c r="P1416" s="13">
        <f>IFERROR(__xludf.DUMMYFUNCTION("VALUE(SUBSTITUTE((INDEX(SPLIT(A1416,"",""),1)),""."","","",1))"),56.020708)</f>
        <v>56.020708</v>
      </c>
      <c r="Q1416" s="13">
        <f>IFERROR(__xludf.DUMMYFUNCTION("VALUE(SUBSTITUTE((INDEX(SPLIT(A1416,"",""),2)),""."","","",1))"),37.438906)</f>
        <v>37.438906</v>
      </c>
      <c r="R1416" s="14" t="b">
        <f t="shared" si="1"/>
        <v>0</v>
      </c>
      <c r="S1416" s="14" t="str">
        <f t="shared" si="2"/>
        <v>56.020708,37.438906</v>
      </c>
      <c r="T1416" s="12"/>
    </row>
    <row r="1417">
      <c r="A1417" s="15" t="s">
        <v>9252</v>
      </c>
      <c r="B1417" s="16" t="s">
        <v>9253</v>
      </c>
      <c r="C1417" s="16" t="s">
        <v>9254</v>
      </c>
      <c r="D1417" s="16" t="s">
        <v>16</v>
      </c>
      <c r="E1417" s="17" t="s">
        <v>9255</v>
      </c>
      <c r="F1417" s="16" t="s">
        <v>3760</v>
      </c>
      <c r="G1417" s="16">
        <v>23.61</v>
      </c>
      <c r="H1417" s="16"/>
      <c r="I1417" s="16"/>
      <c r="J1417" s="16" t="s">
        <v>9256</v>
      </c>
      <c r="K1417" s="16" t="s">
        <v>9257</v>
      </c>
      <c r="L1417" s="16"/>
      <c r="M1417" s="16"/>
      <c r="N1417" s="12"/>
      <c r="O1417" s="12"/>
      <c r="P1417" s="13">
        <f>IFERROR(__xludf.DUMMYFUNCTION("VALUE(SUBSTITUTE((INDEX(SPLIT(A1417,"",""),1)),""."","","",1))"),55.896196)</f>
        <v>55.896196</v>
      </c>
      <c r="Q1417" s="13">
        <f>IFERROR(__xludf.DUMMYFUNCTION("VALUE(SUBSTITUTE((INDEX(SPLIT(A1417,"",""),2)),""."","","",1))"),37.441)</f>
        <v>37.441</v>
      </c>
      <c r="R1417" s="14" t="b">
        <f t="shared" si="1"/>
        <v>0</v>
      </c>
      <c r="S1417" s="14" t="str">
        <f t="shared" si="2"/>
        <v>55.896196,37.441</v>
      </c>
      <c r="T1417" s="12"/>
    </row>
    <row r="1418">
      <c r="A1418" s="18" t="s">
        <v>9258</v>
      </c>
      <c r="B1418" s="8" t="s">
        <v>9170</v>
      </c>
      <c r="C1418" s="8" t="s">
        <v>9171</v>
      </c>
      <c r="D1418" s="8" t="s">
        <v>16</v>
      </c>
      <c r="E1418" s="19" t="s">
        <v>9259</v>
      </c>
      <c r="F1418" s="8" t="s">
        <v>3883</v>
      </c>
      <c r="G1418" s="8">
        <v>23.61</v>
      </c>
      <c r="H1418" s="8"/>
      <c r="I1418" s="27" t="s">
        <v>9260</v>
      </c>
      <c r="J1418" s="8" t="s">
        <v>9261</v>
      </c>
      <c r="K1418" s="8" t="s">
        <v>9262</v>
      </c>
      <c r="L1418" s="8"/>
      <c r="M1418" s="8"/>
      <c r="N1418" s="12"/>
      <c r="O1418" s="12"/>
      <c r="P1418" s="13">
        <f>IFERROR(__xludf.DUMMYFUNCTION("VALUE(SUBSTITUTE((INDEX(SPLIT(A1418,"",""),1)),""."","","",1))"),55.685802)</f>
        <v>55.685802</v>
      </c>
      <c r="Q1418" s="13">
        <f>IFERROR(__xludf.DUMMYFUNCTION("VALUE(SUBSTITUTE((INDEX(SPLIT(A1418,"",""),2)),""."","","",1))"),37.441817)</f>
        <v>37.441817</v>
      </c>
      <c r="R1418" s="14" t="b">
        <f t="shared" si="1"/>
        <v>0</v>
      </c>
      <c r="S1418" s="14" t="str">
        <f t="shared" si="2"/>
        <v>55.685802,37.441817</v>
      </c>
      <c r="T1418" s="12"/>
    </row>
    <row r="1419">
      <c r="A1419" s="15" t="s">
        <v>9263</v>
      </c>
      <c r="B1419" s="16" t="s">
        <v>9264</v>
      </c>
      <c r="C1419" s="16" t="s">
        <v>9265</v>
      </c>
      <c r="D1419" s="16" t="s">
        <v>16</v>
      </c>
      <c r="E1419" s="17" t="s">
        <v>9266</v>
      </c>
      <c r="F1419" s="16" t="s">
        <v>4881</v>
      </c>
      <c r="G1419" s="16">
        <v>23.61</v>
      </c>
      <c r="H1419" s="16"/>
      <c r="I1419" s="16"/>
      <c r="J1419" s="16" t="s">
        <v>9267</v>
      </c>
      <c r="K1419" s="16" t="s">
        <v>9268</v>
      </c>
      <c r="L1419" s="16"/>
      <c r="M1419" s="16"/>
      <c r="N1419" s="12"/>
      <c r="O1419" s="12"/>
      <c r="P1419" s="13">
        <f>IFERROR(__xludf.DUMMYFUNCTION("VALUE(SUBSTITUTE((INDEX(SPLIT(A1419,"",""),1)),""."","","",1))"),55.723146)</f>
        <v>55.723146</v>
      </c>
      <c r="Q1419" s="13">
        <f>IFERROR(__xludf.DUMMYFUNCTION("VALUE(SUBSTITUTE((INDEX(SPLIT(A1419,"",""),2)),""."","","",1))"),37.44373)</f>
        <v>37.44373</v>
      </c>
      <c r="R1419" s="14" t="b">
        <f t="shared" si="1"/>
        <v>0</v>
      </c>
      <c r="S1419" s="14" t="str">
        <f t="shared" si="2"/>
        <v>55.723146,37.44373</v>
      </c>
      <c r="T1419" s="12"/>
    </row>
    <row r="1420">
      <c r="A1420" s="18" t="s">
        <v>9269</v>
      </c>
      <c r="B1420" s="8" t="s">
        <v>9270</v>
      </c>
      <c r="C1420" s="8" t="s">
        <v>9271</v>
      </c>
      <c r="D1420" s="8" t="s">
        <v>16</v>
      </c>
      <c r="E1420" s="19" t="s">
        <v>9272</v>
      </c>
      <c r="F1420" s="8" t="s">
        <v>3883</v>
      </c>
      <c r="G1420" s="8">
        <v>23.61</v>
      </c>
      <c r="H1420" s="8"/>
      <c r="I1420" s="8"/>
      <c r="J1420" s="8" t="s">
        <v>9273</v>
      </c>
      <c r="K1420" s="8" t="s">
        <v>9274</v>
      </c>
      <c r="L1420" s="8"/>
      <c r="M1420" s="8"/>
      <c r="N1420" s="12"/>
      <c r="O1420" s="12"/>
      <c r="P1420" s="13">
        <f>IFERROR(__xludf.DUMMYFUNCTION("VALUE(SUBSTITUTE((INDEX(SPLIT(A1420,"",""),1)),""."","","",1))"),55.716737)</f>
        <v>55.716737</v>
      </c>
      <c r="Q1420" s="13">
        <f>IFERROR(__xludf.DUMMYFUNCTION("VALUE(SUBSTITUTE((INDEX(SPLIT(A1420,"",""),2)),""."","","",1))"),37.44488)</f>
        <v>37.44488</v>
      </c>
      <c r="R1420" s="14" t="b">
        <f t="shared" si="1"/>
        <v>0</v>
      </c>
      <c r="S1420" s="14" t="str">
        <f t="shared" si="2"/>
        <v>55.716737,37.44488</v>
      </c>
      <c r="T1420" s="12"/>
    </row>
    <row r="1421">
      <c r="A1421" s="20" t="s">
        <v>9275</v>
      </c>
      <c r="B1421" s="16" t="s">
        <v>9276</v>
      </c>
      <c r="C1421" s="16" t="s">
        <v>9277</v>
      </c>
      <c r="D1421" s="16" t="s">
        <v>16</v>
      </c>
      <c r="E1421" s="21" t="s">
        <v>9278</v>
      </c>
      <c r="F1421" s="22" t="s">
        <v>3883</v>
      </c>
      <c r="G1421" s="16">
        <v>23.61</v>
      </c>
      <c r="H1421" s="16"/>
      <c r="I1421" s="22"/>
      <c r="J1421" s="22" t="s">
        <v>9279</v>
      </c>
      <c r="K1421" s="22" t="s">
        <v>9280</v>
      </c>
      <c r="L1421" s="23" t="s">
        <v>9281</v>
      </c>
      <c r="M1421" s="22"/>
      <c r="N1421" s="12"/>
      <c r="O1421" s="12"/>
      <c r="P1421" s="13">
        <f>IFERROR(__xludf.DUMMYFUNCTION("VALUE(SUBSTITUTE((INDEX(SPLIT(A1421,"",""),1)),""."","","",1))"),55.571805)</f>
        <v>55.571805</v>
      </c>
      <c r="Q1421" s="13">
        <f>IFERROR(__xludf.DUMMYFUNCTION("VALUE(SUBSTITUTE((INDEX(SPLIT(A1421,"",""),2)),""."","","",1))"),37.445168)</f>
        <v>37.445168</v>
      </c>
      <c r="R1421" s="14" t="b">
        <f t="shared" si="1"/>
        <v>0</v>
      </c>
      <c r="S1421" s="14" t="str">
        <f t="shared" si="2"/>
        <v>55.571805,37.445168</v>
      </c>
      <c r="T1421" s="12"/>
    </row>
    <row r="1422">
      <c r="A1422" s="18" t="s">
        <v>9282</v>
      </c>
      <c r="B1422" s="8" t="s">
        <v>9283</v>
      </c>
      <c r="C1422" s="8" t="s">
        <v>9284</v>
      </c>
      <c r="D1422" s="8" t="s">
        <v>16</v>
      </c>
      <c r="E1422" s="19" t="s">
        <v>9285</v>
      </c>
      <c r="F1422" s="8" t="s">
        <v>3883</v>
      </c>
      <c r="G1422" s="8">
        <v>23.61</v>
      </c>
      <c r="H1422" s="8"/>
      <c r="I1422" s="8"/>
      <c r="J1422" s="8" t="s">
        <v>9286</v>
      </c>
      <c r="K1422" s="8" t="s">
        <v>9287</v>
      </c>
      <c r="L1422" s="8"/>
      <c r="M1422" s="8"/>
      <c r="N1422" s="12"/>
      <c r="O1422" s="12"/>
      <c r="P1422" s="13">
        <f>IFERROR(__xludf.DUMMYFUNCTION("VALUE(SUBSTITUTE((INDEX(SPLIT(A1422,"",""),1)),""."","","",1))"),55.671331)</f>
        <v>55.671331</v>
      </c>
      <c r="Q1422" s="13">
        <f>IFERROR(__xludf.DUMMYFUNCTION("VALUE(SUBSTITUTE((INDEX(SPLIT(A1422,"",""),2)),""."","","",1))"),37.445814)</f>
        <v>37.445814</v>
      </c>
      <c r="R1422" s="14" t="b">
        <f t="shared" si="1"/>
        <v>0</v>
      </c>
      <c r="S1422" s="14" t="str">
        <f t="shared" si="2"/>
        <v>55.671331,37.445814</v>
      </c>
      <c r="T1422" s="12"/>
    </row>
    <row r="1423">
      <c r="A1423" s="15" t="s">
        <v>9288</v>
      </c>
      <c r="B1423" s="16" t="s">
        <v>9289</v>
      </c>
      <c r="C1423" s="16" t="s">
        <v>9290</v>
      </c>
      <c r="D1423" s="16" t="s">
        <v>16</v>
      </c>
      <c r="E1423" s="17" t="s">
        <v>9291</v>
      </c>
      <c r="F1423" s="16" t="s">
        <v>4881</v>
      </c>
      <c r="G1423" s="16">
        <v>23.61</v>
      </c>
      <c r="H1423" s="16"/>
      <c r="I1423" s="16"/>
      <c r="J1423" s="16" t="s">
        <v>9292</v>
      </c>
      <c r="K1423" s="16" t="s">
        <v>9293</v>
      </c>
      <c r="L1423" s="16"/>
      <c r="M1423" s="16"/>
      <c r="N1423" s="12"/>
      <c r="O1423" s="12"/>
      <c r="P1423" s="13">
        <f>IFERROR(__xludf.DUMMYFUNCTION("VALUE(SUBSTITUTE((INDEX(SPLIT(A1423,"",""),1)),""."","","",1))"),55.678697)</f>
        <v>55.678697</v>
      </c>
      <c r="Q1423" s="13">
        <f>IFERROR(__xludf.DUMMYFUNCTION("VALUE(SUBSTITUTE((INDEX(SPLIT(A1423,"",""),2)),""."","","",1))"),37.453217)</f>
        <v>37.453217</v>
      </c>
      <c r="R1423" s="14" t="b">
        <f t="shared" si="1"/>
        <v>0</v>
      </c>
      <c r="S1423" s="14" t="str">
        <f t="shared" si="2"/>
        <v>55.678697,37.453217</v>
      </c>
      <c r="T1423" s="12"/>
    </row>
    <row r="1424">
      <c r="A1424" s="18" t="s">
        <v>9288</v>
      </c>
      <c r="B1424" s="8" t="s">
        <v>9294</v>
      </c>
      <c r="C1424" s="8" t="s">
        <v>9295</v>
      </c>
      <c r="D1424" s="8" t="s">
        <v>16</v>
      </c>
      <c r="E1424" s="19" t="s">
        <v>9296</v>
      </c>
      <c r="F1424" s="8" t="s">
        <v>4881</v>
      </c>
      <c r="G1424" s="8">
        <v>23.61</v>
      </c>
      <c r="H1424" s="8"/>
      <c r="I1424" s="8"/>
      <c r="J1424" s="8" t="s">
        <v>9297</v>
      </c>
      <c r="K1424" s="8" t="s">
        <v>9298</v>
      </c>
      <c r="L1424" s="8"/>
      <c r="M1424" s="8"/>
      <c r="N1424" s="12"/>
      <c r="O1424" s="12"/>
      <c r="P1424" s="13">
        <f>IFERROR(__xludf.DUMMYFUNCTION("VALUE(SUBSTITUTE((INDEX(SPLIT(A1424,"",""),1)),""."","","",1))"),55.678697)</f>
        <v>55.678697</v>
      </c>
      <c r="Q1424" s="13">
        <f>IFERROR(__xludf.DUMMYFUNCTION("VALUE(SUBSTITUTE((INDEX(SPLIT(A1424,"",""),2)),""."","","",1))"),37.453217)</f>
        <v>37.453217</v>
      </c>
      <c r="R1424" s="14" t="b">
        <f t="shared" si="1"/>
        <v>0</v>
      </c>
      <c r="S1424" s="14" t="str">
        <f t="shared" si="2"/>
        <v>55.678697,37.453217</v>
      </c>
      <c r="T1424" s="12"/>
    </row>
    <row r="1425">
      <c r="A1425" s="15" t="s">
        <v>9299</v>
      </c>
      <c r="B1425" s="16" t="s">
        <v>9300</v>
      </c>
      <c r="C1425" s="16" t="s">
        <v>9301</v>
      </c>
      <c r="D1425" s="16" t="s">
        <v>16</v>
      </c>
      <c r="E1425" s="17" t="s">
        <v>9302</v>
      </c>
      <c r="F1425" s="16" t="s">
        <v>3883</v>
      </c>
      <c r="G1425" s="16">
        <v>23.61</v>
      </c>
      <c r="H1425" s="16"/>
      <c r="I1425" s="16"/>
      <c r="J1425" s="16" t="s">
        <v>9303</v>
      </c>
      <c r="K1425" s="16" t="s">
        <v>9304</v>
      </c>
      <c r="L1425" s="16"/>
      <c r="M1425" s="16"/>
      <c r="N1425" s="12"/>
      <c r="O1425" s="12"/>
      <c r="P1425" s="13">
        <f>IFERROR(__xludf.DUMMYFUNCTION("VALUE(SUBSTITUTE((INDEX(SPLIT(A1425,"",""),1)),""."","","",1))"),55.832369)</f>
        <v>55.832369</v>
      </c>
      <c r="Q1425" s="13">
        <f>IFERROR(__xludf.DUMMYFUNCTION("VALUE(SUBSTITUTE((INDEX(SPLIT(A1425,"",""),2)),""."","","",1))"),37.454438)</f>
        <v>37.454438</v>
      </c>
      <c r="R1425" s="14" t="b">
        <f t="shared" si="1"/>
        <v>0</v>
      </c>
      <c r="S1425" s="14" t="str">
        <f t="shared" si="2"/>
        <v>55.832369,37.454438</v>
      </c>
      <c r="T1425" s="12"/>
    </row>
    <row r="1426">
      <c r="A1426" s="18" t="s">
        <v>9305</v>
      </c>
      <c r="B1426" s="8" t="s">
        <v>9306</v>
      </c>
      <c r="C1426" s="8" t="s">
        <v>9307</v>
      </c>
      <c r="D1426" s="8" t="s">
        <v>16</v>
      </c>
      <c r="E1426" s="19" t="s">
        <v>9308</v>
      </c>
      <c r="F1426" s="8" t="s">
        <v>3760</v>
      </c>
      <c r="G1426" s="8">
        <v>23.61</v>
      </c>
      <c r="H1426" s="8"/>
      <c r="I1426" s="27" t="s">
        <v>9309</v>
      </c>
      <c r="J1426" s="8" t="s">
        <v>9310</v>
      </c>
      <c r="K1426" s="8" t="s">
        <v>9311</v>
      </c>
      <c r="L1426" s="8"/>
      <c r="M1426" s="24" t="s">
        <v>9312</v>
      </c>
      <c r="N1426" s="12"/>
      <c r="O1426" s="12"/>
      <c r="P1426" s="13">
        <f>IFERROR(__xludf.DUMMYFUNCTION("VALUE(SUBSTITUTE((INDEX(SPLIT(A1426,"",""),1)),""."","","",1))"),54.922979)</f>
        <v>54.922979</v>
      </c>
      <c r="Q1426" s="13">
        <f>IFERROR(__xludf.DUMMYFUNCTION("VALUE(SUBSTITUTE((INDEX(SPLIT(A1426,"",""),2)),""."","","",1))"),37.454968)</f>
        <v>37.454968</v>
      </c>
      <c r="R1426" s="14" t="b">
        <f t="shared" si="1"/>
        <v>0</v>
      </c>
      <c r="S1426" s="14" t="str">
        <f t="shared" si="2"/>
        <v>54.922979,37.454968</v>
      </c>
      <c r="T1426" s="12"/>
    </row>
    <row r="1427">
      <c r="A1427" s="15" t="s">
        <v>9313</v>
      </c>
      <c r="B1427" s="16" t="s">
        <v>9314</v>
      </c>
      <c r="C1427" s="16" t="s">
        <v>9315</v>
      </c>
      <c r="D1427" s="16" t="s">
        <v>16</v>
      </c>
      <c r="E1427" s="17" t="s">
        <v>9316</v>
      </c>
      <c r="F1427" s="16" t="s">
        <v>3883</v>
      </c>
      <c r="G1427" s="16">
        <v>23.61</v>
      </c>
      <c r="H1427" s="16"/>
      <c r="I1427" s="16"/>
      <c r="J1427" s="16" t="s">
        <v>9317</v>
      </c>
      <c r="K1427" s="16" t="s">
        <v>9318</v>
      </c>
      <c r="L1427" s="16"/>
      <c r="M1427" s="16"/>
      <c r="N1427" s="12"/>
      <c r="O1427" s="12"/>
      <c r="P1427" s="13">
        <f>IFERROR(__xludf.DUMMYFUNCTION("VALUE(SUBSTITUTE((INDEX(SPLIT(A1427,"",""),1)),""."","","",1))"),55.591538)</f>
        <v>55.591538</v>
      </c>
      <c r="Q1427" s="13">
        <f>IFERROR(__xludf.DUMMYFUNCTION("VALUE(SUBSTITUTE((INDEX(SPLIT(A1427,"",""),2)),""."","","",1))"),37.455714)</f>
        <v>37.455714</v>
      </c>
      <c r="R1427" s="14" t="b">
        <f t="shared" si="1"/>
        <v>0</v>
      </c>
      <c r="S1427" s="14" t="str">
        <f t="shared" si="2"/>
        <v>55.591538,37.455714</v>
      </c>
      <c r="T1427" s="12"/>
    </row>
    <row r="1428">
      <c r="A1428" s="18" t="s">
        <v>9319</v>
      </c>
      <c r="B1428" s="8" t="s">
        <v>9320</v>
      </c>
      <c r="C1428" s="8" t="s">
        <v>9321</v>
      </c>
      <c r="D1428" s="8" t="s">
        <v>16</v>
      </c>
      <c r="E1428" s="19" t="s">
        <v>9322</v>
      </c>
      <c r="F1428" s="8" t="s">
        <v>3883</v>
      </c>
      <c r="G1428" s="8">
        <v>23.61</v>
      </c>
      <c r="H1428" s="8"/>
      <c r="I1428" s="8"/>
      <c r="J1428" s="8" t="s">
        <v>9323</v>
      </c>
      <c r="K1428" s="8" t="s">
        <v>9324</v>
      </c>
      <c r="L1428" s="8"/>
      <c r="M1428" s="8"/>
      <c r="N1428" s="12"/>
      <c r="O1428" s="12"/>
      <c r="P1428" s="13">
        <f>IFERROR(__xludf.DUMMYFUNCTION("VALUE(SUBSTITUTE((INDEX(SPLIT(A1428,"",""),1)),""."","","",1))"),55.812039)</f>
        <v>55.812039</v>
      </c>
      <c r="Q1428" s="13">
        <f>IFERROR(__xludf.DUMMYFUNCTION("VALUE(SUBSTITUTE((INDEX(SPLIT(A1428,"",""),2)),""."","","",1))"),37.456549)</f>
        <v>37.456549</v>
      </c>
      <c r="R1428" s="14" t="b">
        <f t="shared" si="1"/>
        <v>0</v>
      </c>
      <c r="S1428" s="14" t="str">
        <f t="shared" si="2"/>
        <v>55.812039,37.456549</v>
      </c>
      <c r="T1428" s="12"/>
    </row>
    <row r="1429">
      <c r="A1429" s="20" t="s">
        <v>9325</v>
      </c>
      <c r="B1429" s="16" t="s">
        <v>9326</v>
      </c>
      <c r="C1429" s="16" t="s">
        <v>9327</v>
      </c>
      <c r="D1429" s="16" t="s">
        <v>16</v>
      </c>
      <c r="E1429" s="21" t="s">
        <v>9328</v>
      </c>
      <c r="F1429" s="22" t="s">
        <v>3760</v>
      </c>
      <c r="G1429" s="16">
        <v>23.61</v>
      </c>
      <c r="H1429" s="16"/>
      <c r="I1429" s="22"/>
      <c r="J1429" s="22" t="s">
        <v>9329</v>
      </c>
      <c r="K1429" s="22" t="s">
        <v>9330</v>
      </c>
      <c r="L1429" s="23" t="s">
        <v>9331</v>
      </c>
      <c r="M1429" s="22"/>
      <c r="N1429" s="12"/>
      <c r="O1429" s="12"/>
      <c r="P1429" s="13">
        <f>IFERROR(__xludf.DUMMYFUNCTION("VALUE(SUBSTITUTE((INDEX(SPLIT(A1429,"",""),1)),""."","","",1))"),55.117808)</f>
        <v>55.117808</v>
      </c>
      <c r="Q1429" s="13">
        <f>IFERROR(__xludf.DUMMYFUNCTION("VALUE(SUBSTITUTE((INDEX(SPLIT(A1429,"",""),2)),""."","","",1))"),37.460475)</f>
        <v>37.460475</v>
      </c>
      <c r="R1429" s="14" t="b">
        <f t="shared" si="1"/>
        <v>0</v>
      </c>
      <c r="S1429" s="14" t="str">
        <f t="shared" si="2"/>
        <v>55.117808,37.460475</v>
      </c>
      <c r="T1429" s="12"/>
    </row>
    <row r="1430">
      <c r="A1430" s="7" t="s">
        <v>9332</v>
      </c>
      <c r="B1430" s="8" t="s">
        <v>9333</v>
      </c>
      <c r="C1430" s="8" t="s">
        <v>9334</v>
      </c>
      <c r="D1430" s="8" t="s">
        <v>16</v>
      </c>
      <c r="E1430" s="9" t="s">
        <v>9335</v>
      </c>
      <c r="F1430" s="10" t="s">
        <v>3760</v>
      </c>
      <c r="G1430" s="8">
        <v>23.61</v>
      </c>
      <c r="H1430" s="8"/>
      <c r="I1430" s="10"/>
      <c r="J1430" s="10" t="s">
        <v>9336</v>
      </c>
      <c r="K1430" s="10" t="s">
        <v>9337</v>
      </c>
      <c r="L1430" s="11" t="s">
        <v>9338</v>
      </c>
      <c r="M1430" s="11" t="s">
        <v>9339</v>
      </c>
      <c r="N1430" s="12"/>
      <c r="O1430" s="12"/>
      <c r="P1430" s="13">
        <f>IFERROR(__xludf.DUMMYFUNCTION("VALUE(SUBSTITUTE((INDEX(SPLIT(A1430,"",""),1)),""."","","",1))"),56.023917)</f>
        <v>56.023917</v>
      </c>
      <c r="Q1430" s="13">
        <f>IFERROR(__xludf.DUMMYFUNCTION("VALUE(SUBSTITUTE((INDEX(SPLIT(A1430,"",""),2)),""."","","",1))"),37.461616)</f>
        <v>37.461616</v>
      </c>
      <c r="R1430" s="14" t="b">
        <f t="shared" si="1"/>
        <v>0</v>
      </c>
      <c r="S1430" s="14" t="str">
        <f t="shared" si="2"/>
        <v>56.023917,37.461616</v>
      </c>
      <c r="T1430" s="12"/>
    </row>
    <row r="1431">
      <c r="A1431" s="15" t="s">
        <v>9340</v>
      </c>
      <c r="B1431" s="16" t="s">
        <v>9341</v>
      </c>
      <c r="C1431" s="16" t="s">
        <v>9342</v>
      </c>
      <c r="D1431" s="16" t="s">
        <v>16</v>
      </c>
      <c r="E1431" s="17" t="s">
        <v>9343</v>
      </c>
      <c r="F1431" s="16" t="s">
        <v>3883</v>
      </c>
      <c r="G1431" s="16">
        <v>23.61</v>
      </c>
      <c r="H1431" s="16"/>
      <c r="I1431" s="16"/>
      <c r="J1431" s="16" t="s">
        <v>9344</v>
      </c>
      <c r="K1431" s="16" t="s">
        <v>9345</v>
      </c>
      <c r="L1431" s="16"/>
      <c r="M1431" s="16"/>
      <c r="N1431" s="12"/>
      <c r="O1431" s="12"/>
      <c r="P1431" s="13">
        <f>IFERROR(__xludf.DUMMYFUNCTION("VALUE(SUBSTITUTE((INDEX(SPLIT(A1431,"",""),1)),""."","","",1))"),55.682508)</f>
        <v>55.682508</v>
      </c>
      <c r="Q1431" s="13">
        <f>IFERROR(__xludf.DUMMYFUNCTION("VALUE(SUBSTITUTE((INDEX(SPLIT(A1431,"",""),2)),""."","","",1))"),37.461742)</f>
        <v>37.461742</v>
      </c>
      <c r="R1431" s="14" t="b">
        <f t="shared" si="1"/>
        <v>0</v>
      </c>
      <c r="S1431" s="14" t="str">
        <f t="shared" si="2"/>
        <v>55.682508,37.461742</v>
      </c>
      <c r="T1431" s="12"/>
    </row>
    <row r="1432">
      <c r="A1432" s="18" t="s">
        <v>9346</v>
      </c>
      <c r="B1432" s="8" t="s">
        <v>9347</v>
      </c>
      <c r="C1432" s="8" t="s">
        <v>9348</v>
      </c>
      <c r="D1432" s="8" t="s">
        <v>16</v>
      </c>
      <c r="E1432" s="19" t="s">
        <v>9349</v>
      </c>
      <c r="F1432" s="8" t="s">
        <v>8566</v>
      </c>
      <c r="G1432" s="8">
        <v>23.61</v>
      </c>
      <c r="H1432" s="8"/>
      <c r="I1432" s="8"/>
      <c r="J1432" s="8" t="s">
        <v>9350</v>
      </c>
      <c r="K1432" s="8" t="s">
        <v>9351</v>
      </c>
      <c r="L1432" s="8"/>
      <c r="M1432" s="8"/>
      <c r="N1432" s="12"/>
      <c r="O1432" s="12"/>
      <c r="P1432" s="13">
        <f>IFERROR(__xludf.DUMMYFUNCTION("VALUE(SUBSTITUTE((INDEX(SPLIT(A1432,"",""),1)),""."","","",1))"),44.891478)</f>
        <v>44.891478</v>
      </c>
      <c r="Q1432" s="13">
        <f>IFERROR(__xludf.DUMMYFUNCTION("VALUE(SUBSTITUTE((INDEX(SPLIT(A1432,"",""),2)),""."","","",1))"),37.462227)</f>
        <v>37.462227</v>
      </c>
      <c r="R1432" s="14" t="b">
        <f t="shared" si="1"/>
        <v>0</v>
      </c>
      <c r="S1432" s="14" t="str">
        <f t="shared" si="2"/>
        <v>44.891478,37.462227</v>
      </c>
      <c r="T1432" s="12"/>
    </row>
    <row r="1433">
      <c r="A1433" s="15" t="s">
        <v>9352</v>
      </c>
      <c r="B1433" s="16" t="s">
        <v>9353</v>
      </c>
      <c r="C1433" s="16" t="s">
        <v>9354</v>
      </c>
      <c r="D1433" s="16" t="s">
        <v>16</v>
      </c>
      <c r="E1433" s="17" t="s">
        <v>9355</v>
      </c>
      <c r="F1433" s="16" t="s">
        <v>3760</v>
      </c>
      <c r="G1433" s="16">
        <v>23.61</v>
      </c>
      <c r="H1433" s="16"/>
      <c r="I1433" s="16"/>
      <c r="J1433" s="16" t="s">
        <v>9356</v>
      </c>
      <c r="K1433" s="16" t="s">
        <v>9357</v>
      </c>
      <c r="L1433" s="16"/>
      <c r="M1433" s="25" t="s">
        <v>9358</v>
      </c>
      <c r="N1433" s="12"/>
      <c r="O1433" s="12"/>
      <c r="P1433" s="13">
        <f>IFERROR(__xludf.DUMMYFUNCTION("VALUE(SUBSTITUTE((INDEX(SPLIT(A1433,"",""),1)),""."","","",1))"),55.167493)</f>
        <v>55.167493</v>
      </c>
      <c r="Q1433" s="13">
        <f>IFERROR(__xludf.DUMMYFUNCTION("VALUE(SUBSTITUTE((INDEX(SPLIT(A1433,"",""),2)),""."","","",1))"),37.463377)</f>
        <v>37.463377</v>
      </c>
      <c r="R1433" s="14" t="b">
        <f t="shared" si="1"/>
        <v>0</v>
      </c>
      <c r="S1433" s="14" t="str">
        <f t="shared" si="2"/>
        <v>55.167493,37.463377</v>
      </c>
      <c r="T1433" s="12"/>
    </row>
    <row r="1434">
      <c r="A1434" s="18" t="s">
        <v>9359</v>
      </c>
      <c r="B1434" s="8" t="s">
        <v>9360</v>
      </c>
      <c r="C1434" s="8" t="s">
        <v>9361</v>
      </c>
      <c r="D1434" s="8" t="s">
        <v>16</v>
      </c>
      <c r="E1434" s="19" t="s">
        <v>9362</v>
      </c>
      <c r="F1434" s="8" t="s">
        <v>4881</v>
      </c>
      <c r="G1434" s="8">
        <v>23.61</v>
      </c>
      <c r="H1434" s="8"/>
      <c r="I1434" s="8"/>
      <c r="J1434" s="8" t="s">
        <v>9363</v>
      </c>
      <c r="K1434" s="8" t="s">
        <v>9364</v>
      </c>
      <c r="L1434" s="8"/>
      <c r="M1434" s="8"/>
      <c r="N1434" s="12"/>
      <c r="O1434" s="12"/>
      <c r="P1434" s="13">
        <f>IFERROR(__xludf.DUMMYFUNCTION("VALUE(SUBSTITUTE((INDEX(SPLIT(A1434,"",""),1)),""."","","",1))"),55.731404)</f>
        <v>55.731404</v>
      </c>
      <c r="Q1434" s="13">
        <f>IFERROR(__xludf.DUMMYFUNCTION("VALUE(SUBSTITUTE((INDEX(SPLIT(A1434,"",""),2)),""."","","",1))"),37.46432)</f>
        <v>37.46432</v>
      </c>
      <c r="R1434" s="14" t="b">
        <f t="shared" si="1"/>
        <v>0</v>
      </c>
      <c r="S1434" s="14" t="str">
        <f t="shared" si="2"/>
        <v>55.731404,37.46432</v>
      </c>
      <c r="T1434" s="12"/>
    </row>
    <row r="1435">
      <c r="A1435" s="15" t="s">
        <v>9365</v>
      </c>
      <c r="B1435" s="16" t="s">
        <v>9366</v>
      </c>
      <c r="C1435" s="16" t="s">
        <v>9367</v>
      </c>
      <c r="D1435" s="16" t="s">
        <v>16</v>
      </c>
      <c r="E1435" s="17" t="s">
        <v>9368</v>
      </c>
      <c r="F1435" s="16" t="s">
        <v>3883</v>
      </c>
      <c r="G1435" s="16">
        <v>23.61</v>
      </c>
      <c r="H1435" s="16"/>
      <c r="I1435" s="16"/>
      <c r="J1435" s="16" t="s">
        <v>9369</v>
      </c>
      <c r="K1435" s="16" t="s">
        <v>9370</v>
      </c>
      <c r="L1435" s="16"/>
      <c r="M1435" s="25" t="s">
        <v>9371</v>
      </c>
      <c r="N1435" s="12"/>
      <c r="O1435" s="12"/>
      <c r="P1435" s="13">
        <f>IFERROR(__xludf.DUMMYFUNCTION("VALUE(SUBSTITUTE((INDEX(SPLIT(A1435,"",""),1)),""."","","",1))"),55.854891)</f>
        <v>55.854891</v>
      </c>
      <c r="Q1435" s="13">
        <f>IFERROR(__xludf.DUMMYFUNCTION("VALUE(SUBSTITUTE((INDEX(SPLIT(A1435,"",""),2)),""."","","",1))"),37.465524)</f>
        <v>37.465524</v>
      </c>
      <c r="R1435" s="14" t="b">
        <f t="shared" si="1"/>
        <v>0</v>
      </c>
      <c r="S1435" s="14" t="str">
        <f t="shared" si="2"/>
        <v>55.854891,37.465524</v>
      </c>
      <c r="T1435" s="12"/>
    </row>
    <row r="1436">
      <c r="A1436" s="7" t="s">
        <v>9372</v>
      </c>
      <c r="B1436" s="8" t="s">
        <v>9373</v>
      </c>
      <c r="C1436" s="8" t="s">
        <v>9374</v>
      </c>
      <c r="D1436" s="8" t="s">
        <v>16</v>
      </c>
      <c r="E1436" s="9" t="s">
        <v>9375</v>
      </c>
      <c r="F1436" s="10" t="s">
        <v>7157</v>
      </c>
      <c r="G1436" s="8">
        <v>23.61</v>
      </c>
      <c r="H1436" s="8"/>
      <c r="I1436" s="10"/>
      <c r="J1436" s="10" t="s">
        <v>9376</v>
      </c>
      <c r="K1436" s="10" t="s">
        <v>9377</v>
      </c>
      <c r="L1436" s="11" t="s">
        <v>9378</v>
      </c>
      <c r="M1436" s="10"/>
      <c r="N1436" s="12"/>
      <c r="O1436" s="12"/>
      <c r="P1436" s="13">
        <f>IFERROR(__xludf.DUMMYFUNCTION("VALUE(SUBSTITUTE((INDEX(SPLIT(A1436,"",""),1)),""."","","",1))"),52.369621)</f>
        <v>52.369621</v>
      </c>
      <c r="Q1436" s="13">
        <f>IFERROR(__xludf.DUMMYFUNCTION("VALUE(SUBSTITUTE((INDEX(SPLIT(A1436,"",""),2)),""."","","",1))"),37.465748)</f>
        <v>37.465748</v>
      </c>
      <c r="R1436" s="14" t="b">
        <f t="shared" si="1"/>
        <v>0</v>
      </c>
      <c r="S1436" s="14" t="str">
        <f t="shared" si="2"/>
        <v>52.369621,37.465748</v>
      </c>
      <c r="T1436" s="12"/>
    </row>
    <row r="1437">
      <c r="A1437" s="15" t="s">
        <v>9379</v>
      </c>
      <c r="B1437" s="16" t="s">
        <v>9380</v>
      </c>
      <c r="C1437" s="16" t="s">
        <v>9381</v>
      </c>
      <c r="D1437" s="16" t="s">
        <v>16</v>
      </c>
      <c r="E1437" s="17" t="s">
        <v>9382</v>
      </c>
      <c r="F1437" s="16" t="s">
        <v>3883</v>
      </c>
      <c r="G1437" s="16">
        <v>23.61</v>
      </c>
      <c r="H1437" s="16"/>
      <c r="I1437" s="16"/>
      <c r="J1437" s="16" t="s">
        <v>9383</v>
      </c>
      <c r="K1437" s="16" t="s">
        <v>9384</v>
      </c>
      <c r="L1437" s="16"/>
      <c r="M1437" s="16"/>
      <c r="N1437" s="12"/>
      <c r="O1437" s="12"/>
      <c r="P1437" s="13">
        <f>IFERROR(__xludf.DUMMYFUNCTION("VALUE(SUBSTITUTE((INDEX(SPLIT(A1437,"",""),1)),""."","","",1))"),55.57833)</f>
        <v>55.57833</v>
      </c>
      <c r="Q1437" s="13">
        <f>IFERROR(__xludf.DUMMYFUNCTION("VALUE(SUBSTITUTE((INDEX(SPLIT(A1437,"",""),2)),""."","","",1))"),37.465892)</f>
        <v>37.465892</v>
      </c>
      <c r="R1437" s="14" t="b">
        <f t="shared" si="1"/>
        <v>0</v>
      </c>
      <c r="S1437" s="14" t="str">
        <f t="shared" si="2"/>
        <v>55.57833,37.465892</v>
      </c>
      <c r="T1437" s="12"/>
    </row>
    <row r="1438">
      <c r="A1438" s="18" t="s">
        <v>9379</v>
      </c>
      <c r="B1438" s="8" t="s">
        <v>9385</v>
      </c>
      <c r="C1438" s="8" t="s">
        <v>9386</v>
      </c>
      <c r="D1438" s="8" t="s">
        <v>16</v>
      </c>
      <c r="E1438" s="19" t="s">
        <v>9387</v>
      </c>
      <c r="F1438" s="8" t="s">
        <v>3883</v>
      </c>
      <c r="G1438" s="8">
        <v>23.61</v>
      </c>
      <c r="H1438" s="8"/>
      <c r="I1438" s="8"/>
      <c r="J1438" s="8" t="s">
        <v>9383</v>
      </c>
      <c r="K1438" s="8" t="s">
        <v>9384</v>
      </c>
      <c r="L1438" s="8"/>
      <c r="M1438" s="8"/>
      <c r="N1438" s="12"/>
      <c r="O1438" s="12"/>
      <c r="P1438" s="13">
        <f>IFERROR(__xludf.DUMMYFUNCTION("VALUE(SUBSTITUTE((INDEX(SPLIT(A1438,"",""),1)),""."","","",1))"),55.57833)</f>
        <v>55.57833</v>
      </c>
      <c r="Q1438" s="13">
        <f>IFERROR(__xludf.DUMMYFUNCTION("VALUE(SUBSTITUTE((INDEX(SPLIT(A1438,"",""),2)),""."","","",1))"),37.465892)</f>
        <v>37.465892</v>
      </c>
      <c r="R1438" s="14" t="b">
        <f t="shared" si="1"/>
        <v>0</v>
      </c>
      <c r="S1438" s="14" t="str">
        <f t="shared" si="2"/>
        <v>55.57833,37.465892</v>
      </c>
      <c r="T1438" s="12"/>
    </row>
    <row r="1439">
      <c r="A1439" s="15" t="s">
        <v>9388</v>
      </c>
      <c r="B1439" s="16" t="s">
        <v>9389</v>
      </c>
      <c r="C1439" s="16" t="s">
        <v>9390</v>
      </c>
      <c r="D1439" s="16" t="s">
        <v>16</v>
      </c>
      <c r="E1439" s="17" t="s">
        <v>9391</v>
      </c>
      <c r="F1439" s="16" t="s">
        <v>6732</v>
      </c>
      <c r="G1439" s="16">
        <v>23.61</v>
      </c>
      <c r="H1439" s="16"/>
      <c r="I1439" s="16"/>
      <c r="J1439" s="16" t="s">
        <v>9392</v>
      </c>
      <c r="K1439" s="16" t="s">
        <v>9393</v>
      </c>
      <c r="L1439" s="16"/>
      <c r="M1439" s="25" t="s">
        <v>9394</v>
      </c>
      <c r="N1439" s="12"/>
      <c r="O1439" s="12"/>
      <c r="P1439" s="13">
        <f>IFERROR(__xludf.DUMMYFUNCTION("VALUE(SUBSTITUTE((INDEX(SPLIT(A1439,"",""),1)),""."","","",1))"),54.165773)</f>
        <v>54.165773</v>
      </c>
      <c r="Q1439" s="13">
        <f>IFERROR(__xludf.DUMMYFUNCTION("VALUE(SUBSTITUTE((INDEX(SPLIT(A1439,"",""),2)),""."","","",1))"),37.468775)</f>
        <v>37.468775</v>
      </c>
      <c r="R1439" s="14" t="b">
        <f t="shared" si="1"/>
        <v>0</v>
      </c>
      <c r="S1439" s="14" t="str">
        <f t="shared" si="2"/>
        <v>54.165773,37.468775</v>
      </c>
      <c r="T1439" s="12"/>
    </row>
    <row r="1440">
      <c r="A1440" s="18" t="s">
        <v>9395</v>
      </c>
      <c r="B1440" s="8" t="s">
        <v>9396</v>
      </c>
      <c r="C1440" s="8" t="s">
        <v>9397</v>
      </c>
      <c r="D1440" s="8" t="s">
        <v>16</v>
      </c>
      <c r="E1440" s="19" t="s">
        <v>9398</v>
      </c>
      <c r="F1440" s="8" t="s">
        <v>3883</v>
      </c>
      <c r="G1440" s="8">
        <v>23.61</v>
      </c>
      <c r="H1440" s="8"/>
      <c r="I1440" s="8"/>
      <c r="J1440" s="8" t="s">
        <v>9399</v>
      </c>
      <c r="K1440" s="8" t="s">
        <v>9400</v>
      </c>
      <c r="L1440" s="8"/>
      <c r="M1440" s="8"/>
      <c r="N1440" s="12"/>
      <c r="O1440" s="12"/>
      <c r="P1440" s="13">
        <f>IFERROR(__xludf.DUMMYFUNCTION("VALUE(SUBSTITUTE((INDEX(SPLIT(A1440,"",""),1)),""."","","",1))"),55.789725)</f>
        <v>55.789725</v>
      </c>
      <c r="Q1440" s="13">
        <f>IFERROR(__xludf.DUMMYFUNCTION("VALUE(SUBSTITUTE((INDEX(SPLIT(A1440,"",""),2)),""."","","",1))"),37.471039)</f>
        <v>37.471039</v>
      </c>
      <c r="R1440" s="14" t="b">
        <f t="shared" si="1"/>
        <v>0</v>
      </c>
      <c r="S1440" s="14" t="str">
        <f t="shared" si="2"/>
        <v>55.789725,37.471039</v>
      </c>
      <c r="T1440" s="12"/>
    </row>
    <row r="1441">
      <c r="A1441" s="15" t="s">
        <v>9401</v>
      </c>
      <c r="B1441" s="16" t="s">
        <v>9402</v>
      </c>
      <c r="C1441" s="16" t="s">
        <v>9403</v>
      </c>
      <c r="D1441" s="16" t="s">
        <v>16</v>
      </c>
      <c r="E1441" s="17" t="s">
        <v>9404</v>
      </c>
      <c r="F1441" s="16" t="s">
        <v>3760</v>
      </c>
      <c r="G1441" s="16">
        <v>23.61</v>
      </c>
      <c r="H1441" s="16"/>
      <c r="I1441" s="16"/>
      <c r="J1441" s="16" t="s">
        <v>9405</v>
      </c>
      <c r="K1441" s="16" t="s">
        <v>9406</v>
      </c>
      <c r="L1441" s="16"/>
      <c r="M1441" s="16"/>
      <c r="N1441" s="12"/>
      <c r="O1441" s="12"/>
      <c r="P1441" s="13">
        <f>IFERROR(__xludf.DUMMYFUNCTION("VALUE(SUBSTITUTE((INDEX(SPLIT(A1441,"",""),1)),""."","","",1))"),56.017966)</f>
        <v>56.017966</v>
      </c>
      <c r="Q1441" s="13">
        <f>IFERROR(__xludf.DUMMYFUNCTION("VALUE(SUBSTITUTE((INDEX(SPLIT(A1441,"",""),2)),""."","","",1))"),37.471084)</f>
        <v>37.471084</v>
      </c>
      <c r="R1441" s="14" t="b">
        <f t="shared" si="1"/>
        <v>0</v>
      </c>
      <c r="S1441" s="14" t="str">
        <f t="shared" si="2"/>
        <v>56.017966,37.471084</v>
      </c>
      <c r="T1441" s="12"/>
    </row>
    <row r="1442">
      <c r="A1442" s="7" t="s">
        <v>9407</v>
      </c>
      <c r="B1442" s="8" t="s">
        <v>9408</v>
      </c>
      <c r="C1442" s="8" t="s">
        <v>9409</v>
      </c>
      <c r="D1442" s="8" t="s">
        <v>16</v>
      </c>
      <c r="E1442" s="9" t="s">
        <v>9410</v>
      </c>
      <c r="F1442" s="10" t="s">
        <v>3883</v>
      </c>
      <c r="G1442" s="8">
        <v>23.61</v>
      </c>
      <c r="H1442" s="8"/>
      <c r="I1442" s="10"/>
      <c r="J1442" s="10" t="s">
        <v>9411</v>
      </c>
      <c r="K1442" s="10" t="s">
        <v>9412</v>
      </c>
      <c r="L1442" s="11" t="s">
        <v>9413</v>
      </c>
      <c r="M1442" s="11" t="s">
        <v>9414</v>
      </c>
      <c r="N1442" s="12"/>
      <c r="O1442" s="12"/>
      <c r="P1442" s="13">
        <f>IFERROR(__xludf.DUMMYFUNCTION("VALUE(SUBSTITUTE((INDEX(SPLIT(A1442,"",""),1)),""."","","",1))"),55.861615)</f>
        <v>55.861615</v>
      </c>
      <c r="Q1442" s="13">
        <f>IFERROR(__xludf.DUMMYFUNCTION("VALUE(SUBSTITUTE((INDEX(SPLIT(A1442,"",""),2)),""."","","",1))"),37.471192)</f>
        <v>37.471192</v>
      </c>
      <c r="R1442" s="14" t="b">
        <f t="shared" si="1"/>
        <v>0</v>
      </c>
      <c r="S1442" s="14" t="str">
        <f t="shared" si="2"/>
        <v>55.861615,37.471192</v>
      </c>
      <c r="T1442" s="12"/>
    </row>
    <row r="1443">
      <c r="A1443" s="20" t="s">
        <v>9415</v>
      </c>
      <c r="B1443" s="16" t="s">
        <v>9416</v>
      </c>
      <c r="C1443" s="16" t="s">
        <v>9417</v>
      </c>
      <c r="D1443" s="16" t="s">
        <v>16</v>
      </c>
      <c r="E1443" s="21" t="s">
        <v>9418</v>
      </c>
      <c r="F1443" s="22" t="s">
        <v>3760</v>
      </c>
      <c r="G1443" s="16">
        <v>23.61</v>
      </c>
      <c r="H1443" s="16"/>
      <c r="I1443" s="22"/>
      <c r="J1443" s="22" t="s">
        <v>9419</v>
      </c>
      <c r="K1443" s="22" t="s">
        <v>9420</v>
      </c>
      <c r="L1443" s="23" t="s">
        <v>9421</v>
      </c>
      <c r="M1443" s="22"/>
      <c r="N1443" s="12"/>
      <c r="O1443" s="12"/>
      <c r="P1443" s="13">
        <f>IFERROR(__xludf.DUMMYFUNCTION("VALUE(SUBSTITUTE((INDEX(SPLIT(A1443,"",""),1)),""."","","",1))"),55.575485)</f>
        <v>55.575485</v>
      </c>
      <c r="Q1443" s="13">
        <f>IFERROR(__xludf.DUMMYFUNCTION("VALUE(SUBSTITUTE((INDEX(SPLIT(A1443,"",""),2)),""."","","",1))"),37.471605)</f>
        <v>37.471605</v>
      </c>
      <c r="R1443" s="14" t="b">
        <f t="shared" si="1"/>
        <v>0</v>
      </c>
      <c r="S1443" s="14" t="str">
        <f t="shared" si="2"/>
        <v>55.575485,37.471605</v>
      </c>
      <c r="T1443" s="12"/>
    </row>
    <row r="1444">
      <c r="A1444" s="7" t="s">
        <v>9422</v>
      </c>
      <c r="B1444" s="8" t="s">
        <v>9423</v>
      </c>
      <c r="C1444" s="8" t="s">
        <v>9424</v>
      </c>
      <c r="D1444" s="8" t="s">
        <v>16</v>
      </c>
      <c r="E1444" s="9" t="s">
        <v>9425</v>
      </c>
      <c r="F1444" s="10" t="s">
        <v>3883</v>
      </c>
      <c r="G1444" s="8">
        <v>23.61</v>
      </c>
      <c r="H1444" s="8"/>
      <c r="I1444" s="10"/>
      <c r="J1444" s="10" t="s">
        <v>9426</v>
      </c>
      <c r="K1444" s="10" t="s">
        <v>9427</v>
      </c>
      <c r="L1444" s="11" t="s">
        <v>9428</v>
      </c>
      <c r="M1444" s="10"/>
      <c r="N1444" s="12"/>
      <c r="O1444" s="12"/>
      <c r="P1444" s="13">
        <f>IFERROR(__xludf.DUMMYFUNCTION("VALUE(SUBSTITUTE((INDEX(SPLIT(A1444,"",""),1)),""."","","",1))"),55.704382)</f>
        <v>55.704382</v>
      </c>
      <c r="Q1444" s="13">
        <f>IFERROR(__xludf.DUMMYFUNCTION("VALUE(SUBSTITUTE((INDEX(SPLIT(A1444,"",""),2)),""."","","",1))"),37.471776)</f>
        <v>37.471776</v>
      </c>
      <c r="R1444" s="14" t="b">
        <f t="shared" si="1"/>
        <v>0</v>
      </c>
      <c r="S1444" s="14" t="str">
        <f t="shared" si="2"/>
        <v>55.704382,37.471776</v>
      </c>
      <c r="T1444" s="12"/>
    </row>
    <row r="1445">
      <c r="A1445" s="15" t="s">
        <v>9429</v>
      </c>
      <c r="B1445" s="16" t="s">
        <v>9430</v>
      </c>
      <c r="C1445" s="16" t="s">
        <v>9431</v>
      </c>
      <c r="D1445" s="16" t="s">
        <v>16</v>
      </c>
      <c r="E1445" s="17" t="s">
        <v>9432</v>
      </c>
      <c r="F1445" s="16" t="s">
        <v>4881</v>
      </c>
      <c r="G1445" s="16">
        <v>23.61</v>
      </c>
      <c r="H1445" s="16"/>
      <c r="I1445" s="16"/>
      <c r="J1445" s="16" t="s">
        <v>9433</v>
      </c>
      <c r="K1445" s="16" t="s">
        <v>9434</v>
      </c>
      <c r="L1445" s="16"/>
      <c r="M1445" s="25" t="s">
        <v>9435</v>
      </c>
      <c r="N1445" s="12"/>
      <c r="O1445" s="12"/>
      <c r="P1445" s="13">
        <f>IFERROR(__xludf.DUMMYFUNCTION("VALUE(SUBSTITUTE((INDEX(SPLIT(A1445,"",""),1)),""."","","",1))"),55.656285)</f>
        <v>55.656285</v>
      </c>
      <c r="Q1445" s="13">
        <f>IFERROR(__xludf.DUMMYFUNCTION("VALUE(SUBSTITUTE((INDEX(SPLIT(A1445,"",""),2)),""."","","",1))"),37.472584)</f>
        <v>37.472584</v>
      </c>
      <c r="R1445" s="14" t="b">
        <f t="shared" si="1"/>
        <v>0</v>
      </c>
      <c r="S1445" s="14" t="str">
        <f t="shared" si="2"/>
        <v>55.656285,37.472584</v>
      </c>
      <c r="T1445" s="12"/>
    </row>
    <row r="1446">
      <c r="A1446" s="18" t="s">
        <v>9436</v>
      </c>
      <c r="B1446" s="8" t="s">
        <v>9437</v>
      </c>
      <c r="C1446" s="8" t="s">
        <v>9438</v>
      </c>
      <c r="D1446" s="8" t="s">
        <v>16</v>
      </c>
      <c r="E1446" s="19" t="s">
        <v>9439</v>
      </c>
      <c r="F1446" s="8" t="s">
        <v>3883</v>
      </c>
      <c r="G1446" s="8">
        <v>23.61</v>
      </c>
      <c r="H1446" s="8"/>
      <c r="I1446" s="8"/>
      <c r="J1446" s="8" t="s">
        <v>9440</v>
      </c>
      <c r="K1446" s="8" t="s">
        <v>9441</v>
      </c>
      <c r="L1446" s="8"/>
      <c r="M1446" s="8"/>
      <c r="N1446" s="12"/>
      <c r="O1446" s="12"/>
      <c r="P1446" s="13">
        <f>IFERROR(__xludf.DUMMYFUNCTION("VALUE(SUBSTITUTE((INDEX(SPLIT(A1446,"",""),1)),""."","","",1))"),55.630141)</f>
        <v>55.630141</v>
      </c>
      <c r="Q1446" s="13">
        <f>IFERROR(__xludf.DUMMYFUNCTION("VALUE(SUBSTITUTE((INDEX(SPLIT(A1446,"",""),2)),""."","","",1))"),37.474453)</f>
        <v>37.474453</v>
      </c>
      <c r="R1446" s="14" t="b">
        <f t="shared" si="1"/>
        <v>0</v>
      </c>
      <c r="S1446" s="14" t="str">
        <f t="shared" si="2"/>
        <v>55.630141,37.474453</v>
      </c>
      <c r="T1446" s="12"/>
    </row>
    <row r="1447">
      <c r="A1447" s="20" t="s">
        <v>9442</v>
      </c>
      <c r="B1447" s="16" t="s">
        <v>9443</v>
      </c>
      <c r="C1447" s="16" t="s">
        <v>9444</v>
      </c>
      <c r="D1447" s="16" t="s">
        <v>16</v>
      </c>
      <c r="E1447" s="21" t="s">
        <v>9445</v>
      </c>
      <c r="F1447" s="22" t="s">
        <v>3883</v>
      </c>
      <c r="G1447" s="16">
        <v>23.61</v>
      </c>
      <c r="H1447" s="16"/>
      <c r="I1447" s="22"/>
      <c r="J1447" s="22" t="s">
        <v>9446</v>
      </c>
      <c r="K1447" s="22" t="s">
        <v>9447</v>
      </c>
      <c r="L1447" s="23" t="s">
        <v>9448</v>
      </c>
      <c r="M1447" s="22"/>
      <c r="N1447" s="12"/>
      <c r="O1447" s="12"/>
      <c r="P1447" s="13">
        <f>IFERROR(__xludf.DUMMYFUNCTION("VALUE(SUBSTITUTE((INDEX(SPLIT(A1447,"",""),1)),""."","","",1))"),55.645893)</f>
        <v>55.645893</v>
      </c>
      <c r="Q1447" s="13">
        <f>IFERROR(__xludf.DUMMYFUNCTION("VALUE(SUBSTITUTE((INDEX(SPLIT(A1447,"",""),2)),""."","","",1))"),37.477031)</f>
        <v>37.477031</v>
      </c>
      <c r="R1447" s="14" t="b">
        <f t="shared" si="1"/>
        <v>0</v>
      </c>
      <c r="S1447" s="14" t="str">
        <f t="shared" si="2"/>
        <v>55.645893,37.477031</v>
      </c>
      <c r="T1447" s="12"/>
    </row>
    <row r="1448">
      <c r="A1448" s="18" t="s">
        <v>9449</v>
      </c>
      <c r="B1448" s="8" t="s">
        <v>9450</v>
      </c>
      <c r="C1448" s="8" t="s">
        <v>9451</v>
      </c>
      <c r="D1448" s="8" t="s">
        <v>16</v>
      </c>
      <c r="E1448" s="19" t="s">
        <v>9452</v>
      </c>
      <c r="F1448" s="8" t="s">
        <v>6732</v>
      </c>
      <c r="G1448" s="8">
        <v>23.61</v>
      </c>
      <c r="H1448" s="8"/>
      <c r="I1448" s="8"/>
      <c r="J1448" s="8" t="s">
        <v>9453</v>
      </c>
      <c r="K1448" s="8" t="s">
        <v>9454</v>
      </c>
      <c r="L1448" s="8"/>
      <c r="M1448" s="8"/>
      <c r="N1448" s="12"/>
      <c r="O1448" s="12"/>
      <c r="P1448" s="13">
        <f>IFERROR(__xludf.DUMMYFUNCTION("VALUE(SUBSTITUTE((INDEX(SPLIT(A1448,"",""),1)),""."","","",1))"),54.223706)</f>
        <v>54.223706</v>
      </c>
      <c r="Q1448" s="13">
        <f>IFERROR(__xludf.DUMMYFUNCTION("VALUE(SUBSTITUTE((INDEX(SPLIT(A1448,"",""),2)),""."","","",1))"),37.478504)</f>
        <v>37.478504</v>
      </c>
      <c r="R1448" s="14" t="b">
        <f t="shared" si="1"/>
        <v>0</v>
      </c>
      <c r="S1448" s="14" t="str">
        <f t="shared" si="2"/>
        <v>54.223706,37.478504</v>
      </c>
      <c r="T1448" s="12"/>
    </row>
    <row r="1449">
      <c r="A1449" s="15" t="s">
        <v>9455</v>
      </c>
      <c r="B1449" s="16" t="s">
        <v>9456</v>
      </c>
      <c r="C1449" s="16" t="s">
        <v>9457</v>
      </c>
      <c r="D1449" s="16" t="s">
        <v>16</v>
      </c>
      <c r="E1449" s="17" t="s">
        <v>9458</v>
      </c>
      <c r="F1449" s="16" t="s">
        <v>6732</v>
      </c>
      <c r="G1449" s="16">
        <v>23.61</v>
      </c>
      <c r="H1449" s="16"/>
      <c r="I1449" s="16"/>
      <c r="J1449" s="16" t="s">
        <v>9459</v>
      </c>
      <c r="K1449" s="16" t="s">
        <v>9460</v>
      </c>
      <c r="L1449" s="16"/>
      <c r="M1449" s="16"/>
      <c r="N1449" s="12"/>
      <c r="O1449" s="12"/>
      <c r="P1449" s="13">
        <f>IFERROR(__xludf.DUMMYFUNCTION("VALUE(SUBSTITUTE((INDEX(SPLIT(A1449,"",""),1)),""."","","",1))"),54.274749)</f>
        <v>54.274749</v>
      </c>
      <c r="Q1449" s="13">
        <f>IFERROR(__xludf.DUMMYFUNCTION("VALUE(SUBSTITUTE((INDEX(SPLIT(A1449,"",""),2)),""."","","",1))"),37.479402)</f>
        <v>37.479402</v>
      </c>
      <c r="R1449" s="14" t="b">
        <f t="shared" si="1"/>
        <v>0</v>
      </c>
      <c r="S1449" s="14" t="str">
        <f t="shared" si="2"/>
        <v>54.274749,37.479402</v>
      </c>
      <c r="T1449" s="12"/>
    </row>
    <row r="1450">
      <c r="A1450" s="18" t="s">
        <v>9461</v>
      </c>
      <c r="B1450" s="8" t="s">
        <v>9462</v>
      </c>
      <c r="C1450" s="8" t="s">
        <v>9463</v>
      </c>
      <c r="D1450" s="8" t="s">
        <v>16</v>
      </c>
      <c r="E1450" s="19" t="s">
        <v>9464</v>
      </c>
      <c r="F1450" s="8" t="s">
        <v>3883</v>
      </c>
      <c r="G1450" s="8">
        <v>23.61</v>
      </c>
      <c r="H1450" s="8"/>
      <c r="I1450" s="8"/>
      <c r="J1450" s="8" t="s">
        <v>9465</v>
      </c>
      <c r="K1450" s="8" t="s">
        <v>9466</v>
      </c>
      <c r="L1450" s="8"/>
      <c r="M1450" s="8"/>
      <c r="N1450" s="12"/>
      <c r="O1450" s="12"/>
      <c r="P1450" s="13">
        <f>IFERROR(__xludf.DUMMYFUNCTION("VALUE(SUBSTITUTE((INDEX(SPLIT(A1450,"",""),1)),""."","","",1))"),56.008012)</f>
        <v>56.008012</v>
      </c>
      <c r="Q1450" s="13">
        <f>IFERROR(__xludf.DUMMYFUNCTION("VALUE(SUBSTITUTE((INDEX(SPLIT(A1450,"",""),2)),""."","","",1))"),37.481451)</f>
        <v>37.481451</v>
      </c>
      <c r="R1450" s="14" t="b">
        <f t="shared" si="1"/>
        <v>0</v>
      </c>
      <c r="S1450" s="14" t="str">
        <f t="shared" si="2"/>
        <v>56.008012,37.481451</v>
      </c>
      <c r="T1450" s="12"/>
    </row>
    <row r="1451">
      <c r="A1451" s="20" t="s">
        <v>9467</v>
      </c>
      <c r="B1451" s="16" t="s">
        <v>9360</v>
      </c>
      <c r="C1451" s="16" t="s">
        <v>9361</v>
      </c>
      <c r="D1451" s="16" t="s">
        <v>16</v>
      </c>
      <c r="E1451" s="21" t="s">
        <v>9468</v>
      </c>
      <c r="F1451" s="22" t="s">
        <v>3883</v>
      </c>
      <c r="G1451" s="16">
        <v>23.61</v>
      </c>
      <c r="H1451" s="16"/>
      <c r="I1451" s="22"/>
      <c r="J1451" s="22" t="s">
        <v>9469</v>
      </c>
      <c r="K1451" s="22" t="s">
        <v>9470</v>
      </c>
      <c r="L1451" s="23" t="s">
        <v>9471</v>
      </c>
      <c r="M1451" s="22"/>
      <c r="N1451" s="12"/>
      <c r="O1451" s="12"/>
      <c r="P1451" s="13">
        <f>IFERROR(__xludf.DUMMYFUNCTION("VALUE(SUBSTITUTE((INDEX(SPLIT(A1451,"",""),1)),""."","","",1))"),55.791071)</f>
        <v>55.791071</v>
      </c>
      <c r="Q1451" s="13">
        <f>IFERROR(__xludf.DUMMYFUNCTION("VALUE(SUBSTITUTE((INDEX(SPLIT(A1451,"",""),2)),""."","","",1))"),37.481505)</f>
        <v>37.481505</v>
      </c>
      <c r="R1451" s="14" t="b">
        <f t="shared" si="1"/>
        <v>0</v>
      </c>
      <c r="S1451" s="14" t="str">
        <f t="shared" si="2"/>
        <v>55.791071,37.481505</v>
      </c>
      <c r="T1451" s="12"/>
    </row>
    <row r="1452">
      <c r="A1452" s="7" t="s">
        <v>9472</v>
      </c>
      <c r="B1452" s="8" t="s">
        <v>9473</v>
      </c>
      <c r="C1452" s="8" t="s">
        <v>9474</v>
      </c>
      <c r="D1452" s="8" t="s">
        <v>16</v>
      </c>
      <c r="E1452" s="9" t="s">
        <v>9475</v>
      </c>
      <c r="F1452" s="10" t="s">
        <v>6732</v>
      </c>
      <c r="G1452" s="8">
        <v>23.61</v>
      </c>
      <c r="H1452" s="8"/>
      <c r="I1452" s="10"/>
      <c r="J1452" s="10" t="s">
        <v>9476</v>
      </c>
      <c r="K1452" s="10" t="s">
        <v>9477</v>
      </c>
      <c r="L1452" s="11" t="s">
        <v>9478</v>
      </c>
      <c r="M1452" s="10"/>
      <c r="N1452" s="12"/>
      <c r="O1452" s="12"/>
      <c r="P1452" s="13">
        <f>IFERROR(__xludf.DUMMYFUNCTION("VALUE(SUBSTITUTE((INDEX(SPLIT(A1452,"",""),1)),""."","","",1))"),53.99843)</f>
        <v>53.99843</v>
      </c>
      <c r="Q1452" s="13">
        <f>IFERROR(__xludf.DUMMYFUNCTION("VALUE(SUBSTITUTE((INDEX(SPLIT(A1452,"",""),2)),""."","","",1))"),37.482088)</f>
        <v>37.482088</v>
      </c>
      <c r="R1452" s="14" t="b">
        <f t="shared" si="1"/>
        <v>0</v>
      </c>
      <c r="S1452" s="14" t="str">
        <f t="shared" si="2"/>
        <v>53.99843,37.482088</v>
      </c>
      <c r="T1452" s="12"/>
    </row>
    <row r="1453">
      <c r="A1453" s="15" t="s">
        <v>9479</v>
      </c>
      <c r="B1453" s="16" t="s">
        <v>9480</v>
      </c>
      <c r="C1453" s="16" t="s">
        <v>9481</v>
      </c>
      <c r="D1453" s="16" t="s">
        <v>16</v>
      </c>
      <c r="E1453" s="17" t="s">
        <v>9482</v>
      </c>
      <c r="F1453" s="16" t="s">
        <v>3883</v>
      </c>
      <c r="G1453" s="16">
        <v>23.61</v>
      </c>
      <c r="H1453" s="16"/>
      <c r="I1453" s="16"/>
      <c r="J1453" s="16" t="s">
        <v>9483</v>
      </c>
      <c r="K1453" s="16" t="s">
        <v>9484</v>
      </c>
      <c r="L1453" s="16"/>
      <c r="M1453" s="16"/>
      <c r="N1453" s="12"/>
      <c r="O1453" s="12"/>
      <c r="P1453" s="13">
        <f>IFERROR(__xludf.DUMMYFUNCTION("VALUE(SUBSTITUTE((INDEX(SPLIT(A1453,"",""),1)),""."","","",1))"),55.742955)</f>
        <v>55.742955</v>
      </c>
      <c r="Q1453" s="13">
        <f>IFERROR(__xludf.DUMMYFUNCTION("VALUE(SUBSTITUTE((INDEX(SPLIT(A1453,"",""),2)),""."","","",1))"),37.483175)</f>
        <v>37.483175</v>
      </c>
      <c r="R1453" s="14" t="b">
        <f t="shared" si="1"/>
        <v>0</v>
      </c>
      <c r="S1453" s="14" t="str">
        <f t="shared" si="2"/>
        <v>55.742955,37.483175</v>
      </c>
      <c r="T1453" s="12"/>
    </row>
    <row r="1454">
      <c r="A1454" s="18" t="s">
        <v>9485</v>
      </c>
      <c r="B1454" s="8" t="s">
        <v>9486</v>
      </c>
      <c r="C1454" s="8" t="s">
        <v>9487</v>
      </c>
      <c r="D1454" s="8" t="s">
        <v>16</v>
      </c>
      <c r="E1454" s="19" t="s">
        <v>9488</v>
      </c>
      <c r="F1454" s="8" t="s">
        <v>3883</v>
      </c>
      <c r="G1454" s="8">
        <v>23.61</v>
      </c>
      <c r="H1454" s="8"/>
      <c r="I1454" s="8"/>
      <c r="J1454" s="8" t="s">
        <v>9489</v>
      </c>
      <c r="K1454" s="8" t="s">
        <v>9490</v>
      </c>
      <c r="L1454" s="8"/>
      <c r="M1454" s="8"/>
      <c r="N1454" s="12"/>
      <c r="O1454" s="12"/>
      <c r="P1454" s="13">
        <f>IFERROR(__xludf.DUMMYFUNCTION("VALUE(SUBSTITUTE((INDEX(SPLIT(A1454,"",""),1)),""."","","",1))"),55.860565)</f>
        <v>55.860565</v>
      </c>
      <c r="Q1454" s="13">
        <f>IFERROR(__xludf.DUMMYFUNCTION("VALUE(SUBSTITUTE((INDEX(SPLIT(A1454,"",""),2)),""."","","",1))"),37.483265)</f>
        <v>37.483265</v>
      </c>
      <c r="R1454" s="14" t="b">
        <f t="shared" si="1"/>
        <v>0</v>
      </c>
      <c r="S1454" s="14" t="str">
        <f t="shared" si="2"/>
        <v>55.860565,37.483265</v>
      </c>
      <c r="T1454" s="12"/>
    </row>
    <row r="1455">
      <c r="A1455" s="15" t="s">
        <v>9491</v>
      </c>
      <c r="B1455" s="16" t="s">
        <v>9492</v>
      </c>
      <c r="C1455" s="16" t="s">
        <v>9493</v>
      </c>
      <c r="D1455" s="16" t="s">
        <v>16</v>
      </c>
      <c r="E1455" s="17" t="s">
        <v>9494</v>
      </c>
      <c r="F1455" s="16" t="s">
        <v>3883</v>
      </c>
      <c r="G1455" s="16">
        <v>23.61</v>
      </c>
      <c r="H1455" s="16"/>
      <c r="I1455" s="16"/>
      <c r="J1455" s="16" t="s">
        <v>9495</v>
      </c>
      <c r="K1455" s="16" t="s">
        <v>9496</v>
      </c>
      <c r="L1455" s="16"/>
      <c r="M1455" s="16"/>
      <c r="N1455" s="12"/>
      <c r="O1455" s="12"/>
      <c r="P1455" s="13">
        <f>IFERROR(__xludf.DUMMYFUNCTION("VALUE(SUBSTITUTE((INDEX(SPLIT(A1455,"",""),1)),""."","","",1))"),55.785539)</f>
        <v>55.785539</v>
      </c>
      <c r="Q1455" s="13">
        <f>IFERROR(__xludf.DUMMYFUNCTION("VALUE(SUBSTITUTE((INDEX(SPLIT(A1455,"",""),2)),""."","","",1))"),37.484891)</f>
        <v>37.484891</v>
      </c>
      <c r="R1455" s="14" t="b">
        <f t="shared" si="1"/>
        <v>0</v>
      </c>
      <c r="S1455" s="14" t="str">
        <f t="shared" si="2"/>
        <v>55.785539,37.484891</v>
      </c>
      <c r="T1455" s="12"/>
    </row>
    <row r="1456">
      <c r="A1456" s="7" t="s">
        <v>9491</v>
      </c>
      <c r="B1456" s="8" t="s">
        <v>9497</v>
      </c>
      <c r="C1456" s="8" t="s">
        <v>9498</v>
      </c>
      <c r="D1456" s="8" t="s">
        <v>16</v>
      </c>
      <c r="E1456" s="9" t="s">
        <v>9499</v>
      </c>
      <c r="F1456" s="10" t="s">
        <v>3883</v>
      </c>
      <c r="G1456" s="8">
        <v>23.61</v>
      </c>
      <c r="H1456" s="8"/>
      <c r="I1456" s="10"/>
      <c r="J1456" s="10" t="s">
        <v>9500</v>
      </c>
      <c r="K1456" s="10" t="s">
        <v>9501</v>
      </c>
      <c r="L1456" s="11" t="s">
        <v>9502</v>
      </c>
      <c r="M1456" s="10"/>
      <c r="N1456" s="12"/>
      <c r="O1456" s="12"/>
      <c r="P1456" s="13">
        <f>IFERROR(__xludf.DUMMYFUNCTION("VALUE(SUBSTITUTE((INDEX(SPLIT(A1456,"",""),1)),""."","","",1))"),55.785539)</f>
        <v>55.785539</v>
      </c>
      <c r="Q1456" s="13">
        <f>IFERROR(__xludf.DUMMYFUNCTION("VALUE(SUBSTITUTE((INDEX(SPLIT(A1456,"",""),2)),""."","","",1))"),37.484891)</f>
        <v>37.484891</v>
      </c>
      <c r="R1456" s="14" t="b">
        <f t="shared" si="1"/>
        <v>0</v>
      </c>
      <c r="S1456" s="14" t="str">
        <f t="shared" si="2"/>
        <v>55.785539,37.484891</v>
      </c>
      <c r="T1456" s="12"/>
    </row>
    <row r="1457">
      <c r="A1457" s="15" t="s">
        <v>9503</v>
      </c>
      <c r="B1457" s="16" t="s">
        <v>1620</v>
      </c>
      <c r="C1457" s="16" t="s">
        <v>1621</v>
      </c>
      <c r="D1457" s="16" t="s">
        <v>16</v>
      </c>
      <c r="E1457" s="17" t="s">
        <v>9504</v>
      </c>
      <c r="F1457" s="16" t="s">
        <v>3883</v>
      </c>
      <c r="G1457" s="16">
        <v>23.61</v>
      </c>
      <c r="H1457" s="16"/>
      <c r="I1457" s="16"/>
      <c r="J1457" s="16" t="s">
        <v>9505</v>
      </c>
      <c r="K1457" s="16" t="s">
        <v>9506</v>
      </c>
      <c r="L1457" s="16"/>
      <c r="M1457" s="25" t="s">
        <v>9507</v>
      </c>
      <c r="N1457" s="12"/>
      <c r="O1457" s="12"/>
      <c r="P1457" s="13">
        <f>IFERROR(__xludf.DUMMYFUNCTION("VALUE(SUBSTITUTE((INDEX(SPLIT(A1457,"",""),1)),""."","","",1))"),55.773034)</f>
        <v>55.773034</v>
      </c>
      <c r="Q1457" s="13">
        <f>IFERROR(__xludf.DUMMYFUNCTION("VALUE(SUBSTITUTE((INDEX(SPLIT(A1457,"",""),2)),""."","","",1))"),37.485035)</f>
        <v>37.485035</v>
      </c>
      <c r="R1457" s="14" t="b">
        <f t="shared" si="1"/>
        <v>0</v>
      </c>
      <c r="S1457" s="14" t="str">
        <f t="shared" si="2"/>
        <v>55.773034,37.485035</v>
      </c>
      <c r="T1457" s="12"/>
    </row>
    <row r="1458">
      <c r="A1458" s="18" t="s">
        <v>9508</v>
      </c>
      <c r="B1458" s="8" t="s">
        <v>9509</v>
      </c>
      <c r="C1458" s="8" t="s">
        <v>9510</v>
      </c>
      <c r="D1458" s="8" t="s">
        <v>16</v>
      </c>
      <c r="E1458" s="19" t="s">
        <v>9511</v>
      </c>
      <c r="F1458" s="8" t="s">
        <v>3883</v>
      </c>
      <c r="G1458" s="8">
        <v>23.61</v>
      </c>
      <c r="H1458" s="8"/>
      <c r="I1458" s="8"/>
      <c r="J1458" s="8" t="s">
        <v>9512</v>
      </c>
      <c r="K1458" s="8" t="s">
        <v>9513</v>
      </c>
      <c r="L1458" s="8"/>
      <c r="M1458" s="8"/>
      <c r="N1458" s="12"/>
      <c r="O1458" s="12"/>
      <c r="P1458" s="13">
        <f>IFERROR(__xludf.DUMMYFUNCTION("VALUE(SUBSTITUTE((INDEX(SPLIT(A1458,"",""),1)),""."","","",1))"),55.842393)</f>
        <v>55.842393</v>
      </c>
      <c r="Q1458" s="13">
        <f>IFERROR(__xludf.DUMMYFUNCTION("VALUE(SUBSTITUTE((INDEX(SPLIT(A1458,"",""),2)),""."","","",1))"),37.486266)</f>
        <v>37.486266</v>
      </c>
      <c r="R1458" s="14" t="b">
        <f t="shared" si="1"/>
        <v>0</v>
      </c>
      <c r="S1458" s="14" t="str">
        <f t="shared" si="2"/>
        <v>55.842393,37.486266</v>
      </c>
      <c r="T1458" s="12"/>
    </row>
    <row r="1459">
      <c r="A1459" s="15" t="s">
        <v>9514</v>
      </c>
      <c r="B1459" s="16" t="s">
        <v>9515</v>
      </c>
      <c r="C1459" s="16" t="s">
        <v>9516</v>
      </c>
      <c r="D1459" s="16" t="s">
        <v>16</v>
      </c>
      <c r="E1459" s="17" t="s">
        <v>9517</v>
      </c>
      <c r="F1459" s="16" t="s">
        <v>3883</v>
      </c>
      <c r="G1459" s="16">
        <v>23.61</v>
      </c>
      <c r="H1459" s="16"/>
      <c r="I1459" s="16"/>
      <c r="J1459" s="16" t="s">
        <v>9518</v>
      </c>
      <c r="K1459" s="16" t="s">
        <v>9519</v>
      </c>
      <c r="L1459" s="16"/>
      <c r="M1459" s="25" t="s">
        <v>9520</v>
      </c>
      <c r="N1459" s="12"/>
      <c r="O1459" s="12"/>
      <c r="P1459" s="13">
        <f>IFERROR(__xludf.DUMMYFUNCTION("VALUE(SUBSTITUTE((INDEX(SPLIT(A1459,"",""),1)),""."","","",1))"),55.712249)</f>
        <v>55.712249</v>
      </c>
      <c r="Q1459" s="13">
        <f>IFERROR(__xludf.DUMMYFUNCTION("VALUE(SUBSTITUTE((INDEX(SPLIT(A1459,"",""),2)),""."","","",1))"),37.488341)</f>
        <v>37.488341</v>
      </c>
      <c r="R1459" s="14" t="b">
        <f t="shared" si="1"/>
        <v>0</v>
      </c>
      <c r="S1459" s="14" t="str">
        <f t="shared" si="2"/>
        <v>55.712249,37.488341</v>
      </c>
      <c r="T1459" s="12"/>
    </row>
    <row r="1460">
      <c r="A1460" s="18" t="s">
        <v>9521</v>
      </c>
      <c r="B1460" s="8" t="s">
        <v>9522</v>
      </c>
      <c r="C1460" s="8" t="s">
        <v>9523</v>
      </c>
      <c r="D1460" s="8" t="s">
        <v>16</v>
      </c>
      <c r="E1460" s="19" t="s">
        <v>9524</v>
      </c>
      <c r="F1460" s="8" t="s">
        <v>3883</v>
      </c>
      <c r="G1460" s="8">
        <v>23.61</v>
      </c>
      <c r="H1460" s="8"/>
      <c r="I1460" s="8"/>
      <c r="J1460" s="8" t="s">
        <v>9525</v>
      </c>
      <c r="K1460" s="8" t="s">
        <v>9526</v>
      </c>
      <c r="L1460" s="8"/>
      <c r="M1460" s="8"/>
      <c r="N1460" s="12"/>
      <c r="O1460" s="12"/>
      <c r="P1460" s="13">
        <f>IFERROR(__xludf.DUMMYFUNCTION("VALUE(SUBSTITUTE((INDEX(SPLIT(A1460,"",""),1)),""."","","",1))"),55.83566)</f>
        <v>55.83566</v>
      </c>
      <c r="Q1460" s="13">
        <f>IFERROR(__xludf.DUMMYFUNCTION("VALUE(SUBSTITUTE((INDEX(SPLIT(A1460,"",""),2)),""."","","",1))"),37.490497)</f>
        <v>37.490497</v>
      </c>
      <c r="R1460" s="14" t="b">
        <f t="shared" si="1"/>
        <v>0</v>
      </c>
      <c r="S1460" s="14" t="str">
        <f t="shared" si="2"/>
        <v>55.83566,37.490497</v>
      </c>
      <c r="T1460" s="12"/>
    </row>
    <row r="1461">
      <c r="A1461" s="15" t="s">
        <v>9527</v>
      </c>
      <c r="B1461" s="16" t="s">
        <v>9528</v>
      </c>
      <c r="C1461" s="16" t="s">
        <v>9529</v>
      </c>
      <c r="D1461" s="16" t="s">
        <v>16</v>
      </c>
      <c r="E1461" s="17" t="s">
        <v>9530</v>
      </c>
      <c r="F1461" s="16" t="s">
        <v>3883</v>
      </c>
      <c r="G1461" s="16">
        <v>23.61</v>
      </c>
      <c r="H1461" s="16"/>
      <c r="I1461" s="16"/>
      <c r="J1461" s="16" t="s">
        <v>9531</v>
      </c>
      <c r="K1461" s="16" t="s">
        <v>9532</v>
      </c>
      <c r="L1461" s="16"/>
      <c r="M1461" s="16"/>
      <c r="N1461" s="12"/>
      <c r="O1461" s="12"/>
      <c r="P1461" s="13">
        <f>IFERROR(__xludf.DUMMYFUNCTION("VALUE(SUBSTITUTE((INDEX(SPLIT(A1461,"",""),1)),""."","","",1))"),55.736954)</f>
        <v>55.736954</v>
      </c>
      <c r="Q1461" s="13">
        <f>IFERROR(__xludf.DUMMYFUNCTION("VALUE(SUBSTITUTE((INDEX(SPLIT(A1461,"",""),2)),""."","","",1))"),37.494207)</f>
        <v>37.494207</v>
      </c>
      <c r="R1461" s="14" t="b">
        <f t="shared" si="1"/>
        <v>0</v>
      </c>
      <c r="S1461" s="14" t="str">
        <f t="shared" si="2"/>
        <v>55.736954,37.494207</v>
      </c>
      <c r="T1461" s="12"/>
    </row>
    <row r="1462">
      <c r="A1462" s="18" t="s">
        <v>9533</v>
      </c>
      <c r="B1462" s="8" t="s">
        <v>9534</v>
      </c>
      <c r="C1462" s="8" t="s">
        <v>9535</v>
      </c>
      <c r="D1462" s="8" t="s">
        <v>16</v>
      </c>
      <c r="E1462" s="19" t="s">
        <v>9536</v>
      </c>
      <c r="F1462" s="8" t="s">
        <v>3883</v>
      </c>
      <c r="G1462" s="8">
        <v>23.61</v>
      </c>
      <c r="H1462" s="8"/>
      <c r="I1462" s="8"/>
      <c r="J1462" s="8" t="s">
        <v>9537</v>
      </c>
      <c r="K1462" s="8" t="s">
        <v>9538</v>
      </c>
      <c r="L1462" s="8"/>
      <c r="M1462" s="8"/>
      <c r="N1462" s="12"/>
      <c r="O1462" s="12"/>
      <c r="P1462" s="13">
        <f>IFERROR(__xludf.DUMMYFUNCTION("VALUE(SUBSTITUTE((INDEX(SPLIT(A1462,"",""),1)),""."","","",1))"),55.859211)</f>
        <v>55.859211</v>
      </c>
      <c r="Q1462" s="13">
        <f>IFERROR(__xludf.DUMMYFUNCTION("VALUE(SUBSTITUTE((INDEX(SPLIT(A1462,"",""),2)),""."","","",1))"),37.494602)</f>
        <v>37.494602</v>
      </c>
      <c r="R1462" s="14" t="b">
        <f t="shared" si="1"/>
        <v>0</v>
      </c>
      <c r="S1462" s="14" t="str">
        <f t="shared" si="2"/>
        <v>55.859211,37.494602</v>
      </c>
      <c r="T1462" s="12"/>
    </row>
    <row r="1463">
      <c r="A1463" s="20" t="s">
        <v>9539</v>
      </c>
      <c r="B1463" s="16" t="s">
        <v>9540</v>
      </c>
      <c r="C1463" s="16" t="s">
        <v>9541</v>
      </c>
      <c r="D1463" s="16" t="s">
        <v>16</v>
      </c>
      <c r="E1463" s="21" t="s">
        <v>9542</v>
      </c>
      <c r="F1463" s="22" t="s">
        <v>3883</v>
      </c>
      <c r="G1463" s="16">
        <v>23.61</v>
      </c>
      <c r="H1463" s="16"/>
      <c r="I1463" s="22"/>
      <c r="J1463" s="22" t="s">
        <v>9543</v>
      </c>
      <c r="K1463" s="22" t="s">
        <v>9544</v>
      </c>
      <c r="L1463" s="23" t="s">
        <v>9545</v>
      </c>
      <c r="M1463" s="22"/>
      <c r="N1463" s="12"/>
      <c r="O1463" s="12"/>
      <c r="P1463" s="13">
        <f>IFERROR(__xludf.DUMMYFUNCTION("VALUE(SUBSTITUTE((INDEX(SPLIT(A1463,"",""),1)),""."","","",1))"),55.699309)</f>
        <v>55.699309</v>
      </c>
      <c r="Q1463" s="13">
        <f>IFERROR(__xludf.DUMMYFUNCTION("VALUE(SUBSTITUTE((INDEX(SPLIT(A1463,"",""),2)),""."","","",1))"),37.496444)</f>
        <v>37.496444</v>
      </c>
      <c r="R1463" s="14" t="b">
        <f t="shared" si="1"/>
        <v>0</v>
      </c>
      <c r="S1463" s="14" t="str">
        <f t="shared" si="2"/>
        <v>55.699309,37.496444</v>
      </c>
      <c r="T1463" s="12"/>
    </row>
    <row r="1464">
      <c r="A1464" s="7" t="s">
        <v>9546</v>
      </c>
      <c r="B1464" s="8" t="s">
        <v>9547</v>
      </c>
      <c r="C1464" s="8" t="s">
        <v>9548</v>
      </c>
      <c r="D1464" s="8" t="s">
        <v>16</v>
      </c>
      <c r="E1464" s="9" t="s">
        <v>9549</v>
      </c>
      <c r="F1464" s="10" t="s">
        <v>18</v>
      </c>
      <c r="G1464" s="8">
        <v>23.61</v>
      </c>
      <c r="H1464" s="8"/>
      <c r="I1464" s="10"/>
      <c r="J1464" s="10" t="s">
        <v>9550</v>
      </c>
      <c r="K1464" s="10" t="s">
        <v>9551</v>
      </c>
      <c r="L1464" s="11" t="s">
        <v>9552</v>
      </c>
      <c r="M1464" s="10"/>
      <c r="N1464" s="12"/>
      <c r="O1464" s="12"/>
      <c r="P1464" s="13">
        <f>IFERROR(__xludf.DUMMYFUNCTION("VALUE(SUBSTITUTE((INDEX(SPLIT(A1464,"",""),1)),""."","","",1))"),55.833637)</f>
        <v>55.833637</v>
      </c>
      <c r="Q1464" s="13">
        <f>IFERROR(__xludf.DUMMYFUNCTION("VALUE(SUBSTITUTE((INDEX(SPLIT(A1464,"",""),2)),""."","","",1))"),37.497351)</f>
        <v>37.497351</v>
      </c>
      <c r="R1464" s="14" t="b">
        <f t="shared" si="1"/>
        <v>0</v>
      </c>
      <c r="S1464" s="14" t="str">
        <f t="shared" si="2"/>
        <v>55.833637,37.497351</v>
      </c>
      <c r="T1464" s="12"/>
    </row>
    <row r="1465">
      <c r="A1465" s="15" t="s">
        <v>9553</v>
      </c>
      <c r="B1465" s="16" t="s">
        <v>9554</v>
      </c>
      <c r="C1465" s="16" t="s">
        <v>9555</v>
      </c>
      <c r="D1465" s="16" t="s">
        <v>16</v>
      </c>
      <c r="E1465" s="17" t="s">
        <v>9556</v>
      </c>
      <c r="F1465" s="16" t="s">
        <v>3883</v>
      </c>
      <c r="G1465" s="16">
        <v>23.61</v>
      </c>
      <c r="H1465" s="16"/>
      <c r="I1465" s="16"/>
      <c r="J1465" s="16" t="s">
        <v>9557</v>
      </c>
      <c r="K1465" s="16" t="s">
        <v>9558</v>
      </c>
      <c r="L1465" s="16"/>
      <c r="M1465" s="16"/>
      <c r="N1465" s="12"/>
      <c r="O1465" s="12"/>
      <c r="P1465" s="13">
        <f>IFERROR(__xludf.DUMMYFUNCTION("VALUE(SUBSTITUTE((INDEX(SPLIT(A1465,"",""),1)),""."","","",1))"),55.549684)</f>
        <v>55.549684</v>
      </c>
      <c r="Q1465" s="13">
        <f>IFERROR(__xludf.DUMMYFUNCTION("VALUE(SUBSTITUTE((INDEX(SPLIT(A1465,"",""),2)),""."","","",1))"),37.497926)</f>
        <v>37.497926</v>
      </c>
      <c r="R1465" s="14" t="b">
        <f t="shared" si="1"/>
        <v>0</v>
      </c>
      <c r="S1465" s="14" t="str">
        <f t="shared" si="2"/>
        <v>55.549684,37.497926</v>
      </c>
      <c r="T1465" s="12"/>
    </row>
    <row r="1466">
      <c r="A1466" s="18" t="s">
        <v>9559</v>
      </c>
      <c r="B1466" s="8" t="s">
        <v>9560</v>
      </c>
      <c r="C1466" s="8" t="s">
        <v>9561</v>
      </c>
      <c r="D1466" s="8" t="s">
        <v>16</v>
      </c>
      <c r="E1466" s="19" t="s">
        <v>9562</v>
      </c>
      <c r="F1466" s="8" t="s">
        <v>9563</v>
      </c>
      <c r="G1466" s="8">
        <v>23.61</v>
      </c>
      <c r="H1466" s="8"/>
      <c r="I1466" s="8"/>
      <c r="J1466" s="8" t="s">
        <v>9564</v>
      </c>
      <c r="K1466" s="8" t="s">
        <v>9565</v>
      </c>
      <c r="L1466" s="8"/>
      <c r="M1466" s="8"/>
      <c r="N1466" s="12"/>
      <c r="O1466" s="12"/>
      <c r="P1466" s="13">
        <f>IFERROR(__xludf.DUMMYFUNCTION("VALUE(SUBSTITUTE((INDEX(SPLIT(A1466,"",""),1)),""."","","",1))"),55.736184)</f>
        <v>55.736184</v>
      </c>
      <c r="Q1466" s="13">
        <f>IFERROR(__xludf.DUMMYFUNCTION("VALUE(SUBSTITUTE((INDEX(SPLIT(A1466,"",""),2)),""."","","",1))"),37.499875)</f>
        <v>37.499875</v>
      </c>
      <c r="R1466" s="14" t="b">
        <f t="shared" si="1"/>
        <v>0</v>
      </c>
      <c r="S1466" s="14" t="str">
        <f t="shared" si="2"/>
        <v>55.736184,37.499875</v>
      </c>
      <c r="T1466" s="12"/>
    </row>
    <row r="1467">
      <c r="A1467" s="20" t="s">
        <v>9566</v>
      </c>
      <c r="B1467" s="16" t="s">
        <v>9567</v>
      </c>
      <c r="C1467" s="16" t="s">
        <v>9568</v>
      </c>
      <c r="D1467" s="16" t="s">
        <v>16</v>
      </c>
      <c r="E1467" s="21" t="s">
        <v>9569</v>
      </c>
      <c r="F1467" s="22" t="s">
        <v>3760</v>
      </c>
      <c r="G1467" s="16">
        <v>23.61</v>
      </c>
      <c r="H1467" s="16"/>
      <c r="I1467" s="22"/>
      <c r="J1467" s="22" t="s">
        <v>9570</v>
      </c>
      <c r="K1467" s="22" t="s">
        <v>9571</v>
      </c>
      <c r="L1467" s="23" t="s">
        <v>9572</v>
      </c>
      <c r="M1467" s="22"/>
      <c r="N1467" s="12"/>
      <c r="O1467" s="12"/>
      <c r="P1467" s="13">
        <f>IFERROR(__xludf.DUMMYFUNCTION("VALUE(SUBSTITUTE((INDEX(SPLIT(A1467,"",""),1)),""."","","",1))"),56.12836)</f>
        <v>56.12836</v>
      </c>
      <c r="Q1467" s="13">
        <f>IFERROR(__xludf.DUMMYFUNCTION("VALUE(SUBSTITUTE((INDEX(SPLIT(A1467,"",""),2)),""."","","",1))"),37.50072)</f>
        <v>37.50072</v>
      </c>
      <c r="R1467" s="14" t="b">
        <f t="shared" si="1"/>
        <v>0</v>
      </c>
      <c r="S1467" s="14" t="str">
        <f t="shared" si="2"/>
        <v>56.12836,37.50072</v>
      </c>
      <c r="T1467" s="12"/>
    </row>
    <row r="1468">
      <c r="A1468" s="7" t="s">
        <v>9566</v>
      </c>
      <c r="B1468" s="8" t="s">
        <v>9573</v>
      </c>
      <c r="C1468" s="8" t="s">
        <v>9574</v>
      </c>
      <c r="D1468" s="8" t="s">
        <v>16</v>
      </c>
      <c r="E1468" s="9" t="s">
        <v>9575</v>
      </c>
      <c r="F1468" s="10" t="s">
        <v>3760</v>
      </c>
      <c r="G1468" s="8">
        <v>23.61</v>
      </c>
      <c r="H1468" s="8"/>
      <c r="I1468" s="10"/>
      <c r="J1468" s="10" t="s">
        <v>9576</v>
      </c>
      <c r="K1468" s="10" t="s">
        <v>9577</v>
      </c>
      <c r="L1468" s="11" t="s">
        <v>9578</v>
      </c>
      <c r="M1468" s="11" t="s">
        <v>9579</v>
      </c>
      <c r="N1468" s="12"/>
      <c r="O1468" s="12"/>
      <c r="P1468" s="13">
        <f>IFERROR(__xludf.DUMMYFUNCTION("VALUE(SUBSTITUTE((INDEX(SPLIT(A1468,"",""),1)),""."","","",1))"),56.12836)</f>
        <v>56.12836</v>
      </c>
      <c r="Q1468" s="13">
        <f>IFERROR(__xludf.DUMMYFUNCTION("VALUE(SUBSTITUTE((INDEX(SPLIT(A1468,"",""),2)),""."","","",1))"),37.50072)</f>
        <v>37.50072</v>
      </c>
      <c r="R1468" s="14" t="b">
        <f t="shared" si="1"/>
        <v>0</v>
      </c>
      <c r="S1468" s="14" t="str">
        <f t="shared" si="2"/>
        <v>56.12836,37.50072</v>
      </c>
      <c r="T1468" s="12"/>
    </row>
    <row r="1469">
      <c r="A1469" s="15" t="s">
        <v>9580</v>
      </c>
      <c r="B1469" s="16" t="s">
        <v>9581</v>
      </c>
      <c r="C1469" s="16" t="s">
        <v>9582</v>
      </c>
      <c r="D1469" s="16" t="s">
        <v>16</v>
      </c>
      <c r="E1469" s="17" t="s">
        <v>9583</v>
      </c>
      <c r="F1469" s="16" t="s">
        <v>3883</v>
      </c>
      <c r="G1469" s="16">
        <v>23.61</v>
      </c>
      <c r="H1469" s="16"/>
      <c r="I1469" s="16"/>
      <c r="J1469" s="16" t="s">
        <v>9584</v>
      </c>
      <c r="K1469" s="16" t="s">
        <v>9585</v>
      </c>
      <c r="L1469" s="16"/>
      <c r="M1469" s="16"/>
      <c r="N1469" s="12"/>
      <c r="O1469" s="12"/>
      <c r="P1469" s="13">
        <f>IFERROR(__xludf.DUMMYFUNCTION("VALUE(SUBSTITUTE((INDEX(SPLIT(A1469,"",""),1)),""."","","",1))"),55.551257)</f>
        <v>55.551257</v>
      </c>
      <c r="Q1469" s="13">
        <f>IFERROR(__xludf.DUMMYFUNCTION("VALUE(SUBSTITUTE((INDEX(SPLIT(A1469,"",""),2)),""."","","",1))"),37.500728)</f>
        <v>37.500728</v>
      </c>
      <c r="R1469" s="14" t="b">
        <f t="shared" si="1"/>
        <v>0</v>
      </c>
      <c r="S1469" s="14" t="str">
        <f t="shared" si="2"/>
        <v>55.551257,37.500728</v>
      </c>
      <c r="T1469" s="12"/>
    </row>
    <row r="1470">
      <c r="A1470" s="18" t="s">
        <v>9586</v>
      </c>
      <c r="B1470" s="8" t="s">
        <v>9587</v>
      </c>
      <c r="C1470" s="8" t="s">
        <v>9588</v>
      </c>
      <c r="D1470" s="8" t="s">
        <v>16</v>
      </c>
      <c r="E1470" s="19" t="s">
        <v>9589</v>
      </c>
      <c r="F1470" s="8" t="s">
        <v>8566</v>
      </c>
      <c r="G1470" s="8">
        <v>23.61</v>
      </c>
      <c r="H1470" s="8"/>
      <c r="I1470" s="8"/>
      <c r="J1470" s="8" t="s">
        <v>9590</v>
      </c>
      <c r="K1470" s="8" t="s">
        <v>9591</v>
      </c>
      <c r="L1470" s="8"/>
      <c r="M1470" s="8"/>
      <c r="N1470" s="12"/>
      <c r="O1470" s="12"/>
      <c r="P1470" s="13">
        <f>IFERROR(__xludf.DUMMYFUNCTION("VALUE(SUBSTITUTE((INDEX(SPLIT(A1470,"",""),1)),""."","","",1))"),45.025151)</f>
        <v>45.025151</v>
      </c>
      <c r="Q1470" s="13">
        <f>IFERROR(__xludf.DUMMYFUNCTION("VALUE(SUBSTITUTE((INDEX(SPLIT(A1470,"",""),2)),""."","","",1))"),37.503477)</f>
        <v>37.503477</v>
      </c>
      <c r="R1470" s="14" t="b">
        <f t="shared" si="1"/>
        <v>0</v>
      </c>
      <c r="S1470" s="14" t="str">
        <f t="shared" si="2"/>
        <v>45.025151,37.503477</v>
      </c>
      <c r="T1470" s="12"/>
    </row>
    <row r="1471">
      <c r="A1471" s="20" t="s">
        <v>9592</v>
      </c>
      <c r="B1471" s="16" t="s">
        <v>9593</v>
      </c>
      <c r="C1471" s="16" t="s">
        <v>9594</v>
      </c>
      <c r="D1471" s="16" t="s">
        <v>16</v>
      </c>
      <c r="E1471" s="21" t="s">
        <v>9595</v>
      </c>
      <c r="F1471" s="22" t="s">
        <v>3883</v>
      </c>
      <c r="G1471" s="16">
        <v>23.61</v>
      </c>
      <c r="H1471" s="16"/>
      <c r="I1471" s="22"/>
      <c r="J1471" s="22" t="s">
        <v>9596</v>
      </c>
      <c r="K1471" s="22" t="s">
        <v>9597</v>
      </c>
      <c r="L1471" s="23" t="s">
        <v>9598</v>
      </c>
      <c r="M1471" s="22"/>
      <c r="N1471" s="12"/>
      <c r="O1471" s="12"/>
      <c r="P1471" s="13">
        <f>IFERROR(__xludf.DUMMYFUNCTION("VALUE(SUBSTITUTE((INDEX(SPLIT(A1471,"",""),1)),""."","","",1))"),55.80653)</f>
        <v>55.80653</v>
      </c>
      <c r="Q1471" s="13">
        <f>IFERROR(__xludf.DUMMYFUNCTION("VALUE(SUBSTITUTE((INDEX(SPLIT(A1471,"",""),2)),""."","","",1))"),37.504681)</f>
        <v>37.504681</v>
      </c>
      <c r="R1471" s="14" t="b">
        <f t="shared" si="1"/>
        <v>0</v>
      </c>
      <c r="S1471" s="14" t="str">
        <f t="shared" si="2"/>
        <v>55.80653,37.504681</v>
      </c>
      <c r="T1471" s="12"/>
    </row>
    <row r="1472">
      <c r="A1472" s="18" t="s">
        <v>9599</v>
      </c>
      <c r="B1472" s="8" t="s">
        <v>9600</v>
      </c>
      <c r="C1472" s="8" t="s">
        <v>9601</v>
      </c>
      <c r="D1472" s="8" t="s">
        <v>16</v>
      </c>
      <c r="E1472" s="19" t="s">
        <v>9602</v>
      </c>
      <c r="F1472" s="8" t="s">
        <v>3883</v>
      </c>
      <c r="G1472" s="8">
        <v>23.61</v>
      </c>
      <c r="H1472" s="8"/>
      <c r="I1472" s="8"/>
      <c r="J1472" s="8" t="s">
        <v>9603</v>
      </c>
      <c r="K1472" s="8" t="s">
        <v>9604</v>
      </c>
      <c r="L1472" s="8"/>
      <c r="M1472" s="24" t="s">
        <v>9605</v>
      </c>
      <c r="N1472" s="12"/>
      <c r="O1472" s="12"/>
      <c r="P1472" s="13">
        <f>IFERROR(__xludf.DUMMYFUNCTION("VALUE(SUBSTITUTE((INDEX(SPLIT(A1472,"",""),1)),""."","","",1))"),55.777864)</f>
        <v>55.777864</v>
      </c>
      <c r="Q1472" s="13">
        <f>IFERROR(__xludf.DUMMYFUNCTION("VALUE(SUBSTITUTE((INDEX(SPLIT(A1472,"",""),2)),""."","","",1))"),37.50496)</f>
        <v>37.50496</v>
      </c>
      <c r="R1472" s="14" t="b">
        <f t="shared" si="1"/>
        <v>0</v>
      </c>
      <c r="S1472" s="14" t="str">
        <f t="shared" si="2"/>
        <v>55.777864,37.50496</v>
      </c>
      <c r="T1472" s="12"/>
    </row>
    <row r="1473">
      <c r="A1473" s="15" t="s">
        <v>9606</v>
      </c>
      <c r="B1473" s="16" t="s">
        <v>5103</v>
      </c>
      <c r="C1473" s="16" t="s">
        <v>5104</v>
      </c>
      <c r="D1473" s="16" t="s">
        <v>16</v>
      </c>
      <c r="E1473" s="17" t="s">
        <v>9607</v>
      </c>
      <c r="F1473" s="16" t="s">
        <v>3883</v>
      </c>
      <c r="G1473" s="16">
        <v>23.61</v>
      </c>
      <c r="H1473" s="16"/>
      <c r="I1473" s="16"/>
      <c r="J1473" s="16" t="s">
        <v>9608</v>
      </c>
      <c r="K1473" s="16" t="s">
        <v>9609</v>
      </c>
      <c r="L1473" s="16"/>
      <c r="M1473" s="16"/>
      <c r="N1473" s="12"/>
      <c r="O1473" s="12"/>
      <c r="P1473" s="13">
        <f>IFERROR(__xludf.DUMMYFUNCTION("VALUE(SUBSTITUTE((INDEX(SPLIT(A1473,"",""),1)),""."","","",1))"),55.739255)</f>
        <v>55.739255</v>
      </c>
      <c r="Q1473" s="13">
        <f>IFERROR(__xludf.DUMMYFUNCTION("VALUE(SUBSTITUTE((INDEX(SPLIT(A1473,"",""),2)),""."","","",1))"),37.508229)</f>
        <v>37.508229</v>
      </c>
      <c r="R1473" s="14" t="b">
        <f t="shared" si="1"/>
        <v>0</v>
      </c>
      <c r="S1473" s="14" t="str">
        <f t="shared" si="2"/>
        <v>55.739255,37.508229</v>
      </c>
      <c r="T1473" s="12"/>
    </row>
    <row r="1474">
      <c r="A1474" s="18" t="s">
        <v>9610</v>
      </c>
      <c r="B1474" s="8" t="s">
        <v>2411</v>
      </c>
      <c r="C1474" s="8" t="s">
        <v>2412</v>
      </c>
      <c r="D1474" s="8" t="s">
        <v>16</v>
      </c>
      <c r="E1474" s="19" t="s">
        <v>9611</v>
      </c>
      <c r="F1474" s="8" t="s">
        <v>3883</v>
      </c>
      <c r="G1474" s="8">
        <v>23.61</v>
      </c>
      <c r="H1474" s="8"/>
      <c r="I1474" s="8"/>
      <c r="J1474" s="8" t="s">
        <v>9612</v>
      </c>
      <c r="K1474" s="8" t="s">
        <v>9613</v>
      </c>
      <c r="L1474" s="8"/>
      <c r="M1474" s="8"/>
      <c r="N1474" s="12"/>
      <c r="O1474" s="12"/>
      <c r="P1474" s="13">
        <f>IFERROR(__xludf.DUMMYFUNCTION("VALUE(SUBSTITUTE((INDEX(SPLIT(A1474,"",""),1)),""."","","",1))"),55.756381)</f>
        <v>55.756381</v>
      </c>
      <c r="Q1474" s="13">
        <f>IFERROR(__xludf.DUMMYFUNCTION("VALUE(SUBSTITUTE((INDEX(SPLIT(A1474,"",""),2)),""."","","",1))"),37.508975)</f>
        <v>37.508975</v>
      </c>
      <c r="R1474" s="14" t="b">
        <f t="shared" si="1"/>
        <v>0</v>
      </c>
      <c r="S1474" s="14" t="str">
        <f t="shared" si="2"/>
        <v>55.756381,37.508975</v>
      </c>
      <c r="T1474" s="12"/>
    </row>
    <row r="1475">
      <c r="A1475" s="15" t="s">
        <v>9614</v>
      </c>
      <c r="B1475" s="16" t="s">
        <v>9615</v>
      </c>
      <c r="C1475" s="16" t="s">
        <v>9616</v>
      </c>
      <c r="D1475" s="16" t="s">
        <v>16</v>
      </c>
      <c r="E1475" s="17" t="s">
        <v>9617</v>
      </c>
      <c r="F1475" s="16" t="s">
        <v>4881</v>
      </c>
      <c r="G1475" s="16">
        <v>23.61</v>
      </c>
      <c r="H1475" s="16"/>
      <c r="I1475" s="16"/>
      <c r="J1475" s="16" t="s">
        <v>9618</v>
      </c>
      <c r="K1475" s="16" t="s">
        <v>9619</v>
      </c>
      <c r="L1475" s="16"/>
      <c r="M1475" s="16"/>
      <c r="N1475" s="12"/>
      <c r="O1475" s="12"/>
      <c r="P1475" s="13">
        <f>IFERROR(__xludf.DUMMYFUNCTION("VALUE(SUBSTITUTE((INDEX(SPLIT(A1475,"",""),1)),""."","","",1))"),55.661333)</f>
        <v>55.661333</v>
      </c>
      <c r="Q1475" s="13">
        <f>IFERROR(__xludf.DUMMYFUNCTION("VALUE(SUBSTITUTE((INDEX(SPLIT(A1475,"",""),2)),""."","","",1))"),37.509352)</f>
        <v>37.509352</v>
      </c>
      <c r="R1475" s="14" t="b">
        <f t="shared" si="1"/>
        <v>0</v>
      </c>
      <c r="S1475" s="14" t="str">
        <f t="shared" si="2"/>
        <v>55.661333,37.509352</v>
      </c>
      <c r="T1475" s="12"/>
    </row>
    <row r="1476">
      <c r="A1476" s="18" t="s">
        <v>9620</v>
      </c>
      <c r="B1476" s="8" t="s">
        <v>9621</v>
      </c>
      <c r="C1476" s="8" t="s">
        <v>9622</v>
      </c>
      <c r="D1476" s="8" t="s">
        <v>16</v>
      </c>
      <c r="E1476" s="19" t="s">
        <v>9623</v>
      </c>
      <c r="F1476" s="8" t="s">
        <v>4881</v>
      </c>
      <c r="G1476" s="8">
        <v>23.61</v>
      </c>
      <c r="H1476" s="8"/>
      <c r="I1476" s="8"/>
      <c r="J1476" s="8" t="s">
        <v>9624</v>
      </c>
      <c r="K1476" s="8" t="s">
        <v>9625</v>
      </c>
      <c r="L1476" s="8"/>
      <c r="M1476" s="8"/>
      <c r="N1476" s="12"/>
      <c r="O1476" s="12"/>
      <c r="P1476" s="13">
        <f>IFERROR(__xludf.DUMMYFUNCTION("VALUE(SUBSTITUTE((INDEX(SPLIT(A1476,"",""),1)),""."","","",1))"),55.660912)</f>
        <v>55.660912</v>
      </c>
      <c r="Q1476" s="13">
        <f>IFERROR(__xludf.DUMMYFUNCTION("VALUE(SUBSTITUTE((INDEX(SPLIT(A1476,"",""),2)),""."","","",1))"),37.509595)</f>
        <v>37.509595</v>
      </c>
      <c r="R1476" s="14" t="b">
        <f t="shared" si="1"/>
        <v>0</v>
      </c>
      <c r="S1476" s="14" t="str">
        <f t="shared" si="2"/>
        <v>55.660912,37.509595</v>
      </c>
      <c r="T1476" s="12"/>
    </row>
    <row r="1477">
      <c r="A1477" s="15" t="s">
        <v>9626</v>
      </c>
      <c r="B1477" s="16" t="s">
        <v>9627</v>
      </c>
      <c r="C1477" s="16" t="s">
        <v>9628</v>
      </c>
      <c r="D1477" s="16" t="s">
        <v>16</v>
      </c>
      <c r="E1477" s="17" t="s">
        <v>9629</v>
      </c>
      <c r="F1477" s="16" t="s">
        <v>4327</v>
      </c>
      <c r="G1477" s="16">
        <v>23.61</v>
      </c>
      <c r="H1477" s="16"/>
      <c r="I1477" s="16"/>
      <c r="J1477" s="16" t="s">
        <v>9630</v>
      </c>
      <c r="K1477" s="16" t="s">
        <v>9631</v>
      </c>
      <c r="L1477" s="16"/>
      <c r="M1477" s="16"/>
      <c r="N1477" s="12"/>
      <c r="O1477" s="12"/>
      <c r="P1477" s="13">
        <f>IFERROR(__xludf.DUMMYFUNCTION("VALUE(SUBSTITUTE((INDEX(SPLIT(A1477,"",""),1)),""."","","",1))"),51.276016)</f>
        <v>51.276016</v>
      </c>
      <c r="Q1477" s="13">
        <f>IFERROR(__xludf.DUMMYFUNCTION("VALUE(SUBSTITUTE((INDEX(SPLIT(A1477,"",""),2)),""."","","",1))"),37.509864)</f>
        <v>37.509864</v>
      </c>
      <c r="R1477" s="14" t="b">
        <f t="shared" si="1"/>
        <v>0</v>
      </c>
      <c r="S1477" s="14" t="str">
        <f t="shared" si="2"/>
        <v>51.276016,37.509864</v>
      </c>
      <c r="T1477" s="12"/>
    </row>
    <row r="1478">
      <c r="A1478" s="18" t="s">
        <v>9632</v>
      </c>
      <c r="B1478" s="8" t="s">
        <v>9633</v>
      </c>
      <c r="C1478" s="8" t="s">
        <v>9634</v>
      </c>
      <c r="D1478" s="8" t="s">
        <v>16</v>
      </c>
      <c r="E1478" s="19" t="s">
        <v>9635</v>
      </c>
      <c r="F1478" s="8" t="s">
        <v>3760</v>
      </c>
      <c r="G1478" s="8">
        <v>23.61</v>
      </c>
      <c r="H1478" s="8"/>
      <c r="I1478" s="8"/>
      <c r="J1478" s="8" t="s">
        <v>9636</v>
      </c>
      <c r="K1478" s="8" t="s">
        <v>9637</v>
      </c>
      <c r="L1478" s="8"/>
      <c r="M1478" s="8"/>
      <c r="N1478" s="12"/>
      <c r="O1478" s="12"/>
      <c r="P1478" s="13">
        <f>IFERROR(__xludf.DUMMYFUNCTION("VALUE(SUBSTITUTE((INDEX(SPLIT(A1478,"",""),1)),""."","","",1))"),56.335765)</f>
        <v>56.335765</v>
      </c>
      <c r="Q1478" s="13">
        <f>IFERROR(__xludf.DUMMYFUNCTION("VALUE(SUBSTITUTE((INDEX(SPLIT(A1478,"",""),2)),""."","","",1))"),37.511904)</f>
        <v>37.511904</v>
      </c>
      <c r="R1478" s="14" t="b">
        <f t="shared" si="1"/>
        <v>0</v>
      </c>
      <c r="S1478" s="14" t="str">
        <f t="shared" si="2"/>
        <v>56.335765,37.511904</v>
      </c>
      <c r="T1478" s="12"/>
    </row>
    <row r="1479">
      <c r="A1479" s="15" t="s">
        <v>9638</v>
      </c>
      <c r="B1479" s="16" t="s">
        <v>9639</v>
      </c>
      <c r="C1479" s="16" t="s">
        <v>9640</v>
      </c>
      <c r="D1479" s="16" t="s">
        <v>16</v>
      </c>
      <c r="E1479" s="17" t="s">
        <v>9641</v>
      </c>
      <c r="F1479" s="16" t="s">
        <v>3883</v>
      </c>
      <c r="G1479" s="16">
        <v>23.61</v>
      </c>
      <c r="H1479" s="16"/>
      <c r="I1479" s="16"/>
      <c r="J1479" s="16" t="s">
        <v>9642</v>
      </c>
      <c r="K1479" s="16" t="s">
        <v>9643</v>
      </c>
      <c r="L1479" s="16"/>
      <c r="M1479" s="16"/>
      <c r="N1479" s="12"/>
      <c r="O1479" s="12"/>
      <c r="P1479" s="13">
        <f>IFERROR(__xludf.DUMMYFUNCTION("VALUE(SUBSTITUTE((INDEX(SPLIT(A1479,"",""),1)),""."","","",1))"),55.778385)</f>
        <v>55.778385</v>
      </c>
      <c r="Q1479" s="13">
        <f>IFERROR(__xludf.DUMMYFUNCTION("VALUE(SUBSTITUTE((INDEX(SPLIT(A1479,"",""),2)),""."","","",1))"),37.516449)</f>
        <v>37.516449</v>
      </c>
      <c r="R1479" s="14" t="b">
        <f t="shared" si="1"/>
        <v>0</v>
      </c>
      <c r="S1479" s="14" t="str">
        <f t="shared" si="2"/>
        <v>55.778385,37.516449</v>
      </c>
      <c r="T1479" s="12"/>
    </row>
    <row r="1480">
      <c r="A1480" s="7" t="s">
        <v>9644</v>
      </c>
      <c r="B1480" s="8" t="s">
        <v>9645</v>
      </c>
      <c r="C1480" s="8" t="s">
        <v>9646</v>
      </c>
      <c r="D1480" s="8" t="s">
        <v>16</v>
      </c>
      <c r="E1480" s="9" t="s">
        <v>9647</v>
      </c>
      <c r="F1480" s="10" t="s">
        <v>9648</v>
      </c>
      <c r="G1480" s="8">
        <v>23.61</v>
      </c>
      <c r="H1480" s="8"/>
      <c r="I1480" s="10"/>
      <c r="J1480" s="10" t="s">
        <v>9649</v>
      </c>
      <c r="K1480" s="10" t="s">
        <v>9650</v>
      </c>
      <c r="L1480" s="29" t="s">
        <v>9651</v>
      </c>
      <c r="M1480" s="10"/>
      <c r="N1480" s="12"/>
      <c r="O1480" s="12"/>
      <c r="P1480" s="13">
        <f>IFERROR(__xludf.DUMMYFUNCTION("VALUE(SUBSTITUTE((INDEX(SPLIT(A1480,"",""),1)),""."","","",1))"),55.889215)</f>
        <v>55.889215</v>
      </c>
      <c r="Q1480" s="13">
        <f>IFERROR(__xludf.DUMMYFUNCTION("VALUE(SUBSTITUTE((INDEX(SPLIT(A1480,"",""),2)),""."","","",1))"),37.51741)</f>
        <v>37.51741</v>
      </c>
      <c r="R1480" s="14" t="b">
        <f t="shared" si="1"/>
        <v>0</v>
      </c>
      <c r="S1480" s="14" t="str">
        <f t="shared" si="2"/>
        <v>55.889215,37.51741</v>
      </c>
      <c r="T1480" s="12"/>
    </row>
    <row r="1481">
      <c r="A1481" s="15" t="s">
        <v>9652</v>
      </c>
      <c r="B1481" s="16" t="s">
        <v>9653</v>
      </c>
      <c r="C1481" s="16" t="s">
        <v>9654</v>
      </c>
      <c r="D1481" s="16" t="s">
        <v>16</v>
      </c>
      <c r="E1481" s="17" t="s">
        <v>9655</v>
      </c>
      <c r="F1481" s="16" t="s">
        <v>3883</v>
      </c>
      <c r="G1481" s="16">
        <v>23.61</v>
      </c>
      <c r="H1481" s="16"/>
      <c r="I1481" s="16"/>
      <c r="J1481" s="16" t="s">
        <v>9656</v>
      </c>
      <c r="K1481" s="16" t="s">
        <v>9657</v>
      </c>
      <c r="L1481" s="16"/>
      <c r="M1481" s="16"/>
      <c r="N1481" s="12"/>
      <c r="O1481" s="12"/>
      <c r="P1481" s="13">
        <f>IFERROR(__xludf.DUMMYFUNCTION("VALUE(SUBSTITUTE((INDEX(SPLIT(A1481,"",""),1)),""."","","",1))"),55.848544)</f>
        <v>55.848544</v>
      </c>
      <c r="Q1481" s="13">
        <f>IFERROR(__xludf.DUMMYFUNCTION("VALUE(SUBSTITUTE((INDEX(SPLIT(A1481,"",""),2)),""."","","",1))"),37.517832)</f>
        <v>37.517832</v>
      </c>
      <c r="R1481" s="14" t="b">
        <f t="shared" si="1"/>
        <v>0</v>
      </c>
      <c r="S1481" s="14" t="str">
        <f t="shared" si="2"/>
        <v>55.848544,37.517832</v>
      </c>
      <c r="T1481" s="12"/>
    </row>
    <row r="1482">
      <c r="A1482" s="18" t="s">
        <v>9658</v>
      </c>
      <c r="B1482" s="8" t="s">
        <v>9659</v>
      </c>
      <c r="C1482" s="8" t="s">
        <v>9660</v>
      </c>
      <c r="D1482" s="8" t="s">
        <v>16</v>
      </c>
      <c r="E1482" s="19" t="s">
        <v>9661</v>
      </c>
      <c r="F1482" s="8" t="s">
        <v>3883</v>
      </c>
      <c r="G1482" s="8">
        <v>23.61</v>
      </c>
      <c r="H1482" s="8"/>
      <c r="I1482" s="8"/>
      <c r="J1482" s="8" t="s">
        <v>9662</v>
      </c>
      <c r="K1482" s="8" t="s">
        <v>9663</v>
      </c>
      <c r="L1482" s="8"/>
      <c r="M1482" s="8"/>
      <c r="N1482" s="12"/>
      <c r="O1482" s="12"/>
      <c r="P1482" s="13">
        <f>IFERROR(__xludf.DUMMYFUNCTION("VALUE(SUBSTITUTE((INDEX(SPLIT(A1482,"",""),1)),""."","","",1))"),55.815539)</f>
        <v>55.815539</v>
      </c>
      <c r="Q1482" s="13">
        <f>IFERROR(__xludf.DUMMYFUNCTION("VALUE(SUBSTITUTE((INDEX(SPLIT(A1482,"",""),2)),""."","","",1))"),37.518309)</f>
        <v>37.518309</v>
      </c>
      <c r="R1482" s="14" t="b">
        <f t="shared" si="1"/>
        <v>0</v>
      </c>
      <c r="S1482" s="14" t="str">
        <f t="shared" si="2"/>
        <v>55.815539,37.518309</v>
      </c>
      <c r="T1482" s="12"/>
    </row>
    <row r="1483">
      <c r="A1483" s="20" t="s">
        <v>9664</v>
      </c>
      <c r="B1483" s="16" t="s">
        <v>9665</v>
      </c>
      <c r="C1483" s="16" t="s">
        <v>9666</v>
      </c>
      <c r="D1483" s="16" t="s">
        <v>16</v>
      </c>
      <c r="E1483" s="21" t="s">
        <v>9667</v>
      </c>
      <c r="F1483" s="22" t="s">
        <v>3883</v>
      </c>
      <c r="G1483" s="16">
        <v>23.61</v>
      </c>
      <c r="H1483" s="16"/>
      <c r="I1483" s="22"/>
      <c r="J1483" s="22" t="s">
        <v>9668</v>
      </c>
      <c r="K1483" s="22" t="s">
        <v>9669</v>
      </c>
      <c r="L1483" s="23" t="s">
        <v>9670</v>
      </c>
      <c r="M1483" s="22"/>
      <c r="N1483" s="12"/>
      <c r="O1483" s="12"/>
      <c r="P1483" s="13">
        <f>IFERROR(__xludf.DUMMYFUNCTION("VALUE(SUBSTITUTE((INDEX(SPLIT(A1483,"",""),1)),""."","","",1))"),55.866627)</f>
        <v>55.866627</v>
      </c>
      <c r="Q1483" s="13">
        <f>IFERROR(__xludf.DUMMYFUNCTION("VALUE(SUBSTITUTE((INDEX(SPLIT(A1483,"",""),2)),""."","","",1))"),37.519126)</f>
        <v>37.519126</v>
      </c>
      <c r="R1483" s="14" t="b">
        <f t="shared" si="1"/>
        <v>0</v>
      </c>
      <c r="S1483" s="14" t="str">
        <f t="shared" si="2"/>
        <v>55.866627,37.519126</v>
      </c>
      <c r="T1483" s="12"/>
    </row>
    <row r="1484">
      <c r="A1484" s="18" t="s">
        <v>9664</v>
      </c>
      <c r="B1484" s="8" t="s">
        <v>9671</v>
      </c>
      <c r="C1484" s="8" t="s">
        <v>9672</v>
      </c>
      <c r="D1484" s="8" t="s">
        <v>16</v>
      </c>
      <c r="E1484" s="19" t="s">
        <v>9673</v>
      </c>
      <c r="F1484" s="8" t="s">
        <v>3883</v>
      </c>
      <c r="G1484" s="8">
        <v>23.61</v>
      </c>
      <c r="H1484" s="8"/>
      <c r="I1484" s="8"/>
      <c r="J1484" s="8" t="s">
        <v>9674</v>
      </c>
      <c r="K1484" s="8" t="s">
        <v>9675</v>
      </c>
      <c r="L1484" s="8"/>
      <c r="M1484" s="8"/>
      <c r="N1484" s="12"/>
      <c r="O1484" s="12"/>
      <c r="P1484" s="13">
        <f>IFERROR(__xludf.DUMMYFUNCTION("VALUE(SUBSTITUTE((INDEX(SPLIT(A1484,"",""),1)),""."","","",1))"),55.866627)</f>
        <v>55.866627</v>
      </c>
      <c r="Q1484" s="13">
        <f>IFERROR(__xludf.DUMMYFUNCTION("VALUE(SUBSTITUTE((INDEX(SPLIT(A1484,"",""),2)),""."","","",1))"),37.519126)</f>
        <v>37.519126</v>
      </c>
      <c r="R1484" s="14" t="b">
        <f t="shared" si="1"/>
        <v>0</v>
      </c>
      <c r="S1484" s="14" t="str">
        <f t="shared" si="2"/>
        <v>55.866627,37.519126</v>
      </c>
      <c r="T1484" s="12"/>
    </row>
    <row r="1485">
      <c r="A1485" s="20" t="s">
        <v>9676</v>
      </c>
      <c r="B1485" s="16" t="s">
        <v>9677</v>
      </c>
      <c r="C1485" s="16" t="s">
        <v>9678</v>
      </c>
      <c r="D1485" s="16" t="s">
        <v>16</v>
      </c>
      <c r="E1485" s="21" t="s">
        <v>9679</v>
      </c>
      <c r="F1485" s="22" t="s">
        <v>3883</v>
      </c>
      <c r="G1485" s="16">
        <v>23.61</v>
      </c>
      <c r="H1485" s="16"/>
      <c r="I1485" s="22"/>
      <c r="J1485" s="22" t="s">
        <v>9680</v>
      </c>
      <c r="K1485" s="22" t="s">
        <v>9681</v>
      </c>
      <c r="L1485" s="23" t="s">
        <v>9682</v>
      </c>
      <c r="M1485" s="22"/>
      <c r="N1485" s="12"/>
      <c r="O1485" s="12"/>
      <c r="P1485" s="13">
        <f>IFERROR(__xludf.DUMMYFUNCTION("VALUE(SUBSTITUTE((INDEX(SPLIT(A1485,"",""),1)),""."","","",1))"),55.64289)</f>
        <v>55.64289</v>
      </c>
      <c r="Q1485" s="13">
        <f>IFERROR(__xludf.DUMMYFUNCTION("VALUE(SUBSTITUTE((INDEX(SPLIT(A1485,"",""),2)),""."","","",1))"),37.521758)</f>
        <v>37.521758</v>
      </c>
      <c r="R1485" s="14" t="b">
        <f t="shared" si="1"/>
        <v>0</v>
      </c>
      <c r="S1485" s="14" t="str">
        <f t="shared" si="2"/>
        <v>55.64289,37.521758</v>
      </c>
      <c r="T1485" s="12"/>
    </row>
    <row r="1486">
      <c r="A1486" s="18" t="s">
        <v>9683</v>
      </c>
      <c r="B1486" s="8" t="s">
        <v>9684</v>
      </c>
      <c r="C1486" s="8" t="s">
        <v>9685</v>
      </c>
      <c r="D1486" s="8" t="s">
        <v>16</v>
      </c>
      <c r="E1486" s="19" t="s">
        <v>9686</v>
      </c>
      <c r="F1486" s="8" t="s">
        <v>3883</v>
      </c>
      <c r="G1486" s="8">
        <v>23.61</v>
      </c>
      <c r="H1486" s="8"/>
      <c r="I1486" s="8"/>
      <c r="J1486" s="8" t="s">
        <v>9687</v>
      </c>
      <c r="K1486" s="8" t="s">
        <v>9688</v>
      </c>
      <c r="L1486" s="8"/>
      <c r="M1486" s="8"/>
      <c r="N1486" s="12"/>
      <c r="O1486" s="12"/>
      <c r="P1486" s="13">
        <f>IFERROR(__xludf.DUMMYFUNCTION("VALUE(SUBSTITUTE((INDEX(SPLIT(A1486,"",""),1)),""."","","",1))"),55.80187)</f>
        <v>55.80187</v>
      </c>
      <c r="Q1486" s="13">
        <f>IFERROR(__xludf.DUMMYFUNCTION("VALUE(SUBSTITUTE((INDEX(SPLIT(A1486,"",""),2)),""."","","",1))"),37.524085)</f>
        <v>37.524085</v>
      </c>
      <c r="R1486" s="14" t="b">
        <f t="shared" si="1"/>
        <v>0</v>
      </c>
      <c r="S1486" s="14" t="str">
        <f t="shared" si="2"/>
        <v>55.80187,37.524085</v>
      </c>
      <c r="T1486" s="12"/>
    </row>
    <row r="1487">
      <c r="A1487" s="15" t="s">
        <v>9683</v>
      </c>
      <c r="B1487" s="16" t="s">
        <v>9689</v>
      </c>
      <c r="C1487" s="16" t="s">
        <v>9690</v>
      </c>
      <c r="D1487" s="16" t="s">
        <v>16</v>
      </c>
      <c r="E1487" s="17" t="s">
        <v>9691</v>
      </c>
      <c r="F1487" s="16" t="s">
        <v>3883</v>
      </c>
      <c r="G1487" s="16">
        <v>23.61</v>
      </c>
      <c r="H1487" s="16"/>
      <c r="I1487" s="16"/>
      <c r="J1487" s="16" t="s">
        <v>9692</v>
      </c>
      <c r="K1487" s="16" t="s">
        <v>9693</v>
      </c>
      <c r="L1487" s="16"/>
      <c r="M1487" s="16"/>
      <c r="N1487" s="12"/>
      <c r="O1487" s="12"/>
      <c r="P1487" s="13">
        <f>IFERROR(__xludf.DUMMYFUNCTION("VALUE(SUBSTITUTE((INDEX(SPLIT(A1487,"",""),1)),""."","","",1))"),55.80187)</f>
        <v>55.80187</v>
      </c>
      <c r="Q1487" s="13">
        <f>IFERROR(__xludf.DUMMYFUNCTION("VALUE(SUBSTITUTE((INDEX(SPLIT(A1487,"",""),2)),""."","","",1))"),37.524085)</f>
        <v>37.524085</v>
      </c>
      <c r="R1487" s="14" t="b">
        <f t="shared" si="1"/>
        <v>0</v>
      </c>
      <c r="S1487" s="14" t="str">
        <f t="shared" si="2"/>
        <v>55.80187,37.524085</v>
      </c>
      <c r="T1487" s="12"/>
    </row>
    <row r="1488">
      <c r="A1488" s="18" t="s">
        <v>9683</v>
      </c>
      <c r="B1488" s="8" t="s">
        <v>9694</v>
      </c>
      <c r="C1488" s="8" t="s">
        <v>9695</v>
      </c>
      <c r="D1488" s="8" t="s">
        <v>16</v>
      </c>
      <c r="E1488" s="19" t="s">
        <v>9696</v>
      </c>
      <c r="F1488" s="8" t="s">
        <v>3883</v>
      </c>
      <c r="G1488" s="8">
        <v>23.61</v>
      </c>
      <c r="H1488" s="8"/>
      <c r="I1488" s="8"/>
      <c r="J1488" s="8" t="s">
        <v>9697</v>
      </c>
      <c r="K1488" s="8" t="s">
        <v>9698</v>
      </c>
      <c r="L1488" s="8"/>
      <c r="M1488" s="8"/>
      <c r="N1488" s="12"/>
      <c r="O1488" s="12"/>
      <c r="P1488" s="13">
        <f>IFERROR(__xludf.DUMMYFUNCTION("VALUE(SUBSTITUTE((INDEX(SPLIT(A1488,"",""),1)),""."","","",1))"),55.80187)</f>
        <v>55.80187</v>
      </c>
      <c r="Q1488" s="13">
        <f>IFERROR(__xludf.DUMMYFUNCTION("VALUE(SUBSTITUTE((INDEX(SPLIT(A1488,"",""),2)),""."","","",1))"),37.524085)</f>
        <v>37.524085</v>
      </c>
      <c r="R1488" s="14" t="b">
        <f t="shared" si="1"/>
        <v>0</v>
      </c>
      <c r="S1488" s="14" t="str">
        <f t="shared" si="2"/>
        <v>55.80187,37.524085</v>
      </c>
      <c r="T1488" s="12"/>
    </row>
    <row r="1489">
      <c r="A1489" s="15" t="s">
        <v>9699</v>
      </c>
      <c r="B1489" s="16" t="s">
        <v>9700</v>
      </c>
      <c r="C1489" s="16" t="s">
        <v>9701</v>
      </c>
      <c r="D1489" s="16" t="s">
        <v>16</v>
      </c>
      <c r="E1489" s="17" t="s">
        <v>9702</v>
      </c>
      <c r="F1489" s="16" t="s">
        <v>6732</v>
      </c>
      <c r="G1489" s="16">
        <v>23.61</v>
      </c>
      <c r="H1489" s="16"/>
      <c r="I1489" s="16"/>
      <c r="J1489" s="16" t="s">
        <v>9703</v>
      </c>
      <c r="K1489" s="16" t="s">
        <v>9704</v>
      </c>
      <c r="L1489" s="16"/>
      <c r="M1489" s="25" t="s">
        <v>9394</v>
      </c>
      <c r="N1489" s="12"/>
      <c r="O1489" s="12"/>
      <c r="P1489" s="13">
        <f>IFERROR(__xludf.DUMMYFUNCTION("VALUE(SUBSTITUTE((INDEX(SPLIT(A1489,"",""),1)),""."","","",1))"),54.212908)</f>
        <v>54.212908</v>
      </c>
      <c r="Q1489" s="13">
        <f>IFERROR(__xludf.DUMMYFUNCTION("VALUE(SUBSTITUTE((INDEX(SPLIT(A1489,"",""),2)),""."","","",1))"),37.52439)</f>
        <v>37.52439</v>
      </c>
      <c r="R1489" s="14" t="b">
        <f t="shared" si="1"/>
        <v>0</v>
      </c>
      <c r="S1489" s="14" t="str">
        <f t="shared" si="2"/>
        <v>54.212908,37.52439</v>
      </c>
      <c r="T1489" s="12"/>
    </row>
    <row r="1490">
      <c r="A1490" s="18" t="s">
        <v>9705</v>
      </c>
      <c r="B1490" s="8" t="s">
        <v>9706</v>
      </c>
      <c r="C1490" s="8" t="s">
        <v>9707</v>
      </c>
      <c r="D1490" s="8" t="s">
        <v>16</v>
      </c>
      <c r="E1490" s="19" t="s">
        <v>9708</v>
      </c>
      <c r="F1490" s="8" t="s">
        <v>3760</v>
      </c>
      <c r="G1490" s="8">
        <v>23.61</v>
      </c>
      <c r="H1490" s="8"/>
      <c r="I1490" s="8"/>
      <c r="J1490" s="8" t="s">
        <v>9709</v>
      </c>
      <c r="K1490" s="8" t="s">
        <v>9710</v>
      </c>
      <c r="L1490" s="8"/>
      <c r="M1490" s="24" t="s">
        <v>9711</v>
      </c>
      <c r="N1490" s="12"/>
      <c r="O1490" s="12"/>
      <c r="P1490" s="13">
        <f>IFERROR(__xludf.DUMMYFUNCTION("VALUE(SUBSTITUTE((INDEX(SPLIT(A1490,"",""),1)),""."","","",1))"),56.354407)</f>
        <v>56.354407</v>
      </c>
      <c r="Q1490" s="13">
        <f>IFERROR(__xludf.DUMMYFUNCTION("VALUE(SUBSTITUTE((INDEX(SPLIT(A1490,"",""),2)),""."","","",1))"),37.525738)</f>
        <v>37.525738</v>
      </c>
      <c r="R1490" s="14" t="b">
        <f t="shared" si="1"/>
        <v>0</v>
      </c>
      <c r="S1490" s="14" t="str">
        <f t="shared" si="2"/>
        <v>56.354407,37.525738</v>
      </c>
      <c r="T1490" s="12"/>
    </row>
    <row r="1491">
      <c r="A1491" s="20" t="s">
        <v>9712</v>
      </c>
      <c r="B1491" s="16" t="s">
        <v>9713</v>
      </c>
      <c r="C1491" s="16" t="s">
        <v>9714</v>
      </c>
      <c r="D1491" s="16" t="s">
        <v>16</v>
      </c>
      <c r="E1491" s="21" t="s">
        <v>9715</v>
      </c>
      <c r="F1491" s="22" t="s">
        <v>3760</v>
      </c>
      <c r="G1491" s="16">
        <v>23.61</v>
      </c>
      <c r="H1491" s="16"/>
      <c r="I1491" s="28" t="s">
        <v>9716</v>
      </c>
      <c r="J1491" s="22" t="s">
        <v>9717</v>
      </c>
      <c r="K1491" s="22" t="s">
        <v>9718</v>
      </c>
      <c r="L1491" s="23" t="s">
        <v>9719</v>
      </c>
      <c r="M1491" s="22"/>
      <c r="N1491" s="12"/>
      <c r="O1491" s="12"/>
      <c r="P1491" s="13">
        <f>IFERROR(__xludf.DUMMYFUNCTION("VALUE(SUBSTITUTE((INDEX(SPLIT(A1491,"",""),1)),""."","","",1))"),56.352213)</f>
        <v>56.352213</v>
      </c>
      <c r="Q1491" s="13">
        <f>IFERROR(__xludf.DUMMYFUNCTION("VALUE(SUBSTITUTE((INDEX(SPLIT(A1491,"",""),2)),""."","","",1))"),37.526357)</f>
        <v>37.526357</v>
      </c>
      <c r="R1491" s="14" t="b">
        <f t="shared" si="1"/>
        <v>0</v>
      </c>
      <c r="S1491" s="14" t="str">
        <f t="shared" si="2"/>
        <v>56.352213,37.526357</v>
      </c>
      <c r="T1491" s="12"/>
    </row>
    <row r="1492">
      <c r="A1492" s="18" t="s">
        <v>9720</v>
      </c>
      <c r="B1492" s="8" t="s">
        <v>9721</v>
      </c>
      <c r="C1492" s="8" t="s">
        <v>9722</v>
      </c>
      <c r="D1492" s="8" t="s">
        <v>16</v>
      </c>
      <c r="E1492" s="19" t="s">
        <v>9723</v>
      </c>
      <c r="F1492" s="8" t="s">
        <v>3883</v>
      </c>
      <c r="G1492" s="8">
        <v>23.61</v>
      </c>
      <c r="H1492" s="8"/>
      <c r="I1492" s="8"/>
      <c r="J1492" s="8" t="s">
        <v>9724</v>
      </c>
      <c r="K1492" s="8" t="s">
        <v>9725</v>
      </c>
      <c r="L1492" s="8"/>
      <c r="M1492" s="24" t="s">
        <v>9726</v>
      </c>
      <c r="N1492" s="12"/>
      <c r="O1492" s="12"/>
      <c r="P1492" s="13">
        <f>IFERROR(__xludf.DUMMYFUNCTION("VALUE(SUBSTITUTE((INDEX(SPLIT(A1492,"",""),1)),""."","","",1))"),55.780633)</f>
        <v>55.780633</v>
      </c>
      <c r="Q1492" s="13">
        <f>IFERROR(__xludf.DUMMYFUNCTION("VALUE(SUBSTITUTE((INDEX(SPLIT(A1492,"",""),2)),""."","","",1))"),37.527265)</f>
        <v>37.527265</v>
      </c>
      <c r="R1492" s="14" t="b">
        <f t="shared" si="1"/>
        <v>0</v>
      </c>
      <c r="S1492" s="14" t="str">
        <f t="shared" si="2"/>
        <v>55.780633,37.527265</v>
      </c>
      <c r="T1492" s="12"/>
    </row>
    <row r="1493">
      <c r="A1493" s="20" t="s">
        <v>9727</v>
      </c>
      <c r="B1493" s="16" t="s">
        <v>9728</v>
      </c>
      <c r="C1493" s="16" t="s">
        <v>9729</v>
      </c>
      <c r="D1493" s="16" t="s">
        <v>16</v>
      </c>
      <c r="E1493" s="21" t="s">
        <v>9730</v>
      </c>
      <c r="F1493" s="22" t="s">
        <v>911</v>
      </c>
      <c r="G1493" s="16">
        <v>23.61</v>
      </c>
      <c r="H1493" s="16"/>
      <c r="I1493" s="22"/>
      <c r="J1493" s="22" t="s">
        <v>9731</v>
      </c>
      <c r="K1493" s="22" t="s">
        <v>9732</v>
      </c>
      <c r="L1493" s="23" t="s">
        <v>9733</v>
      </c>
      <c r="M1493" s="23" t="s">
        <v>9734</v>
      </c>
      <c r="N1493" s="12"/>
      <c r="O1493" s="12"/>
      <c r="P1493" s="13">
        <f>IFERROR(__xludf.DUMMYFUNCTION("VALUE(SUBSTITUTE((INDEX(SPLIT(A1493,"",""),1)),""."","","",1))"),55.815858)</f>
        <v>55.815858</v>
      </c>
      <c r="Q1493" s="13">
        <f>IFERROR(__xludf.DUMMYFUNCTION("VALUE(SUBSTITUTE((INDEX(SPLIT(A1493,"",""),2)),""."","","",1))"),37.527552)</f>
        <v>37.527552</v>
      </c>
      <c r="R1493" s="14" t="b">
        <f t="shared" si="1"/>
        <v>0</v>
      </c>
      <c r="S1493" s="14" t="str">
        <f t="shared" si="2"/>
        <v>55.815858,37.527552</v>
      </c>
      <c r="T1493" s="12"/>
    </row>
    <row r="1494">
      <c r="A1494" s="18" t="s">
        <v>9735</v>
      </c>
      <c r="B1494" s="8" t="s">
        <v>9736</v>
      </c>
      <c r="C1494" s="8" t="s">
        <v>9737</v>
      </c>
      <c r="D1494" s="8" t="s">
        <v>16</v>
      </c>
      <c r="E1494" s="19" t="s">
        <v>9738</v>
      </c>
      <c r="F1494" s="8" t="s">
        <v>3883</v>
      </c>
      <c r="G1494" s="8">
        <v>23.61</v>
      </c>
      <c r="H1494" s="8"/>
      <c r="I1494" s="8"/>
      <c r="J1494" s="8" t="s">
        <v>9739</v>
      </c>
      <c r="K1494" s="8" t="s">
        <v>9740</v>
      </c>
      <c r="L1494" s="8"/>
      <c r="M1494" s="8"/>
      <c r="N1494" s="12"/>
      <c r="O1494" s="12"/>
      <c r="P1494" s="13">
        <f>IFERROR(__xludf.DUMMYFUNCTION("VALUE(SUBSTITUTE((INDEX(SPLIT(A1494,"",""),1)),""."","","",1))"),55.900678)</f>
        <v>55.900678</v>
      </c>
      <c r="Q1494" s="13">
        <f>IFERROR(__xludf.DUMMYFUNCTION("VALUE(SUBSTITUTE((INDEX(SPLIT(A1494,"",""),2)),""."","","",1))"),37.528109)</f>
        <v>37.528109</v>
      </c>
      <c r="R1494" s="14" t="b">
        <f t="shared" si="1"/>
        <v>0</v>
      </c>
      <c r="S1494" s="14" t="str">
        <f t="shared" si="2"/>
        <v>55.900678,37.528109</v>
      </c>
      <c r="T1494" s="12"/>
    </row>
    <row r="1495">
      <c r="A1495" s="20" t="s">
        <v>9741</v>
      </c>
      <c r="B1495" s="16" t="s">
        <v>9742</v>
      </c>
      <c r="C1495" s="16" t="s">
        <v>9743</v>
      </c>
      <c r="D1495" s="16" t="s">
        <v>16</v>
      </c>
      <c r="E1495" s="21" t="s">
        <v>9744</v>
      </c>
      <c r="F1495" s="22" t="s">
        <v>3883</v>
      </c>
      <c r="G1495" s="16">
        <v>23.61</v>
      </c>
      <c r="H1495" s="16"/>
      <c r="I1495" s="22"/>
      <c r="J1495" s="22" t="s">
        <v>9745</v>
      </c>
      <c r="K1495" s="22" t="s">
        <v>9746</v>
      </c>
      <c r="L1495" s="23" t="s">
        <v>9747</v>
      </c>
      <c r="M1495" s="23" t="s">
        <v>9748</v>
      </c>
      <c r="N1495" s="12"/>
      <c r="O1495" s="12"/>
      <c r="P1495" s="13">
        <f>IFERROR(__xludf.DUMMYFUNCTION("VALUE(SUBSTITUTE((INDEX(SPLIT(A1495,"",""),1)),""."","","",1))"),55.762586)</f>
        <v>55.762586</v>
      </c>
      <c r="Q1495" s="13">
        <f>IFERROR(__xludf.DUMMYFUNCTION("VALUE(SUBSTITUTE((INDEX(SPLIT(A1495,"",""),2)),""."","","",1))"),37.531092)</f>
        <v>37.531092</v>
      </c>
      <c r="R1495" s="14" t="b">
        <f t="shared" si="1"/>
        <v>0</v>
      </c>
      <c r="S1495" s="14" t="str">
        <f t="shared" si="2"/>
        <v>55.762586,37.531092</v>
      </c>
      <c r="T1495" s="12"/>
    </row>
    <row r="1496">
      <c r="A1496" s="18" t="s">
        <v>9749</v>
      </c>
      <c r="B1496" s="8" t="s">
        <v>9750</v>
      </c>
      <c r="C1496" s="8" t="s">
        <v>9751</v>
      </c>
      <c r="D1496" s="8" t="s">
        <v>16</v>
      </c>
      <c r="E1496" s="19" t="s">
        <v>9752</v>
      </c>
      <c r="F1496" s="8" t="s">
        <v>3760</v>
      </c>
      <c r="G1496" s="8">
        <v>23.61</v>
      </c>
      <c r="H1496" s="8"/>
      <c r="I1496" s="8"/>
      <c r="J1496" s="8" t="s">
        <v>9753</v>
      </c>
      <c r="K1496" s="8" t="s">
        <v>9754</v>
      </c>
      <c r="L1496" s="8"/>
      <c r="M1496" s="8"/>
      <c r="N1496" s="12"/>
      <c r="O1496" s="12"/>
      <c r="P1496" s="13">
        <f>IFERROR(__xludf.DUMMYFUNCTION("VALUE(SUBSTITUTE((INDEX(SPLIT(A1496,"",""),1)),""."","","",1))"),56.354602)</f>
        <v>56.354602</v>
      </c>
      <c r="Q1496" s="13">
        <f>IFERROR(__xludf.DUMMYFUNCTION("VALUE(SUBSTITUTE((INDEX(SPLIT(A1496,"",""),2)),""."","","",1))"),37.531954)</f>
        <v>37.531954</v>
      </c>
      <c r="R1496" s="14" t="b">
        <f t="shared" si="1"/>
        <v>0</v>
      </c>
      <c r="S1496" s="14" t="str">
        <f t="shared" si="2"/>
        <v>56.354602,37.531954</v>
      </c>
      <c r="T1496" s="12"/>
    </row>
    <row r="1497">
      <c r="A1497" s="20" t="s">
        <v>9755</v>
      </c>
      <c r="B1497" s="16" t="s">
        <v>9756</v>
      </c>
      <c r="C1497" s="16" t="s">
        <v>9757</v>
      </c>
      <c r="D1497" s="16" t="s">
        <v>16</v>
      </c>
      <c r="E1497" s="21" t="s">
        <v>9758</v>
      </c>
      <c r="F1497" s="22" t="s">
        <v>6732</v>
      </c>
      <c r="G1497" s="16">
        <v>23.61</v>
      </c>
      <c r="H1497" s="16"/>
      <c r="I1497" s="22"/>
      <c r="J1497" s="22" t="s">
        <v>9759</v>
      </c>
      <c r="K1497" s="22" t="s">
        <v>9760</v>
      </c>
      <c r="L1497" s="23" t="s">
        <v>9761</v>
      </c>
      <c r="M1497" s="22"/>
      <c r="N1497" s="12"/>
      <c r="O1497" s="12"/>
      <c r="P1497" s="13">
        <f>IFERROR(__xludf.DUMMYFUNCTION("VALUE(SUBSTITUTE((INDEX(SPLIT(A1497,"",""),1)),""."","","",1))"),54.04406)</f>
        <v>54.04406</v>
      </c>
      <c r="Q1497" s="13">
        <f>IFERROR(__xludf.DUMMYFUNCTION("VALUE(SUBSTITUTE((INDEX(SPLIT(A1497,"",""),2)),""."","","",1))"),37.534119)</f>
        <v>37.534119</v>
      </c>
      <c r="R1497" s="14" t="b">
        <f t="shared" si="1"/>
        <v>0</v>
      </c>
      <c r="S1497" s="14" t="str">
        <f t="shared" si="2"/>
        <v>54.04406,37.534119</v>
      </c>
      <c r="T1497" s="12"/>
    </row>
    <row r="1498">
      <c r="A1498" s="18" t="s">
        <v>9762</v>
      </c>
      <c r="B1498" s="8" t="s">
        <v>9763</v>
      </c>
      <c r="C1498" s="8" t="s">
        <v>9764</v>
      </c>
      <c r="D1498" s="8" t="s">
        <v>16</v>
      </c>
      <c r="E1498" s="19" t="s">
        <v>9765</v>
      </c>
      <c r="F1498" s="8" t="s">
        <v>3883</v>
      </c>
      <c r="G1498" s="8">
        <v>23.61</v>
      </c>
      <c r="H1498" s="8"/>
      <c r="I1498" s="8"/>
      <c r="J1498" s="8" t="s">
        <v>9766</v>
      </c>
      <c r="K1498" s="8" t="s">
        <v>9767</v>
      </c>
      <c r="L1498" s="8"/>
      <c r="M1498" s="24" t="s">
        <v>9768</v>
      </c>
      <c r="N1498" s="12"/>
      <c r="O1498" s="12"/>
      <c r="P1498" s="13">
        <f>IFERROR(__xludf.DUMMYFUNCTION("VALUE(SUBSTITUTE((INDEX(SPLIT(A1498,"",""),1)),""."","","",1))"),55.747622)</f>
        <v>55.747622</v>
      </c>
      <c r="Q1498" s="13">
        <f>IFERROR(__xludf.DUMMYFUNCTION("VALUE(SUBSTITUTE((INDEX(SPLIT(A1498,"",""),2)),""."","","",1))"),37.535071)</f>
        <v>37.535071</v>
      </c>
      <c r="R1498" s="14" t="b">
        <f t="shared" si="1"/>
        <v>0</v>
      </c>
      <c r="S1498" s="14" t="str">
        <f t="shared" si="2"/>
        <v>55.747622,37.535071</v>
      </c>
      <c r="T1498" s="12"/>
    </row>
    <row r="1499">
      <c r="A1499" s="15" t="s">
        <v>9762</v>
      </c>
      <c r="B1499" s="16" t="s">
        <v>743</v>
      </c>
      <c r="C1499" s="16" t="s">
        <v>744</v>
      </c>
      <c r="D1499" s="16" t="s">
        <v>16</v>
      </c>
      <c r="E1499" s="17" t="s">
        <v>9769</v>
      </c>
      <c r="F1499" s="16" t="s">
        <v>3883</v>
      </c>
      <c r="G1499" s="16">
        <v>23.61</v>
      </c>
      <c r="H1499" s="16"/>
      <c r="I1499" s="16"/>
      <c r="J1499" s="16" t="s">
        <v>9770</v>
      </c>
      <c r="K1499" s="16" t="s">
        <v>9771</v>
      </c>
      <c r="L1499" s="16"/>
      <c r="M1499" s="25" t="s">
        <v>5164</v>
      </c>
      <c r="N1499" s="12"/>
      <c r="O1499" s="12"/>
      <c r="P1499" s="13">
        <f>IFERROR(__xludf.DUMMYFUNCTION("VALUE(SUBSTITUTE((INDEX(SPLIT(A1499,"",""),1)),""."","","",1))"),55.747622)</f>
        <v>55.747622</v>
      </c>
      <c r="Q1499" s="13">
        <f>IFERROR(__xludf.DUMMYFUNCTION("VALUE(SUBSTITUTE((INDEX(SPLIT(A1499,"",""),2)),""."","","",1))"),37.535071)</f>
        <v>37.535071</v>
      </c>
      <c r="R1499" s="14" t="b">
        <f t="shared" si="1"/>
        <v>0</v>
      </c>
      <c r="S1499" s="14" t="str">
        <f t="shared" si="2"/>
        <v>55.747622,37.535071</v>
      </c>
      <c r="T1499" s="12"/>
    </row>
    <row r="1500">
      <c r="A1500" s="18" t="s">
        <v>9762</v>
      </c>
      <c r="B1500" s="8" t="s">
        <v>9772</v>
      </c>
      <c r="C1500" s="8" t="s">
        <v>9773</v>
      </c>
      <c r="D1500" s="8" t="s">
        <v>16</v>
      </c>
      <c r="E1500" s="19" t="s">
        <v>9774</v>
      </c>
      <c r="F1500" s="8" t="s">
        <v>4881</v>
      </c>
      <c r="G1500" s="8">
        <v>23.61</v>
      </c>
      <c r="H1500" s="8"/>
      <c r="I1500" s="8"/>
      <c r="J1500" s="8" t="s">
        <v>9775</v>
      </c>
      <c r="K1500" s="8" t="s">
        <v>9776</v>
      </c>
      <c r="L1500" s="8"/>
      <c r="M1500" s="8"/>
      <c r="N1500" s="12"/>
      <c r="O1500" s="12"/>
      <c r="P1500" s="13">
        <f>IFERROR(__xludf.DUMMYFUNCTION("VALUE(SUBSTITUTE((INDEX(SPLIT(A1500,"",""),1)),""."","","",1))"),55.747622)</f>
        <v>55.747622</v>
      </c>
      <c r="Q1500" s="13">
        <f>IFERROR(__xludf.DUMMYFUNCTION("VALUE(SUBSTITUTE((INDEX(SPLIT(A1500,"",""),2)),""."","","",1))"),37.535071)</f>
        <v>37.535071</v>
      </c>
      <c r="R1500" s="14" t="b">
        <f t="shared" si="1"/>
        <v>0</v>
      </c>
      <c r="S1500" s="14" t="str">
        <f t="shared" si="2"/>
        <v>55.747622,37.535071</v>
      </c>
      <c r="T1500" s="12"/>
    </row>
    <row r="1501">
      <c r="A1501" s="15" t="s">
        <v>9777</v>
      </c>
      <c r="B1501" s="16" t="s">
        <v>9778</v>
      </c>
      <c r="C1501" s="16" t="s">
        <v>9779</v>
      </c>
      <c r="D1501" s="16" t="s">
        <v>16</v>
      </c>
      <c r="E1501" s="17" t="s">
        <v>9780</v>
      </c>
      <c r="F1501" s="16" t="s">
        <v>3760</v>
      </c>
      <c r="G1501" s="16">
        <v>23.61</v>
      </c>
      <c r="H1501" s="16"/>
      <c r="I1501" s="16"/>
      <c r="J1501" s="16" t="s">
        <v>9781</v>
      </c>
      <c r="K1501" s="16" t="s">
        <v>9782</v>
      </c>
      <c r="L1501" s="16"/>
      <c r="M1501" s="25" t="s">
        <v>9783</v>
      </c>
      <c r="N1501" s="12"/>
      <c r="O1501" s="12"/>
      <c r="P1501" s="13">
        <f>IFERROR(__xludf.DUMMYFUNCTION("VALUE(SUBSTITUTE((INDEX(SPLIT(A1501,"",""),1)),""."","","",1))"),55.431586)</f>
        <v>55.431586</v>
      </c>
      <c r="Q1501" s="13">
        <f>IFERROR(__xludf.DUMMYFUNCTION("VALUE(SUBSTITUTE((INDEX(SPLIT(A1501,"",""),2)),""."","","",1))"),37.53579)</f>
        <v>37.53579</v>
      </c>
      <c r="R1501" s="14" t="b">
        <f t="shared" si="1"/>
        <v>0</v>
      </c>
      <c r="S1501" s="14" t="str">
        <f t="shared" si="2"/>
        <v>55.431586,37.53579</v>
      </c>
      <c r="T1501" s="12"/>
    </row>
    <row r="1502">
      <c r="A1502" s="7" t="s">
        <v>9784</v>
      </c>
      <c r="B1502" s="8" t="s">
        <v>9785</v>
      </c>
      <c r="C1502" s="8" t="s">
        <v>9786</v>
      </c>
      <c r="D1502" s="8" t="s">
        <v>16</v>
      </c>
      <c r="E1502" s="9" t="s">
        <v>9787</v>
      </c>
      <c r="F1502" s="10" t="s">
        <v>3760</v>
      </c>
      <c r="G1502" s="8">
        <v>23.61</v>
      </c>
      <c r="H1502" s="8"/>
      <c r="I1502" s="10"/>
      <c r="J1502" s="10" t="s">
        <v>9788</v>
      </c>
      <c r="K1502" s="10" t="s">
        <v>9789</v>
      </c>
      <c r="L1502" s="11" t="s">
        <v>9790</v>
      </c>
      <c r="M1502" s="10"/>
      <c r="N1502" s="12"/>
      <c r="O1502" s="12"/>
      <c r="P1502" s="13">
        <f>IFERROR(__xludf.DUMMYFUNCTION("VALUE(SUBSTITUTE((INDEX(SPLIT(A1502,"",""),1)),""."","","",1))"),55.99073)</f>
        <v>55.99073</v>
      </c>
      <c r="Q1502" s="13">
        <f>IFERROR(__xludf.DUMMYFUNCTION("VALUE(SUBSTITUTE((INDEX(SPLIT(A1502,"",""),2)),""."","","",1))"),37.536275)</f>
        <v>37.536275</v>
      </c>
      <c r="R1502" s="14" t="b">
        <f t="shared" si="1"/>
        <v>0</v>
      </c>
      <c r="S1502" s="14" t="str">
        <f t="shared" si="2"/>
        <v>55.99073,37.536275</v>
      </c>
      <c r="T1502" s="12"/>
    </row>
    <row r="1503">
      <c r="A1503" s="15" t="s">
        <v>9791</v>
      </c>
      <c r="B1503" s="16" t="s">
        <v>9792</v>
      </c>
      <c r="C1503" s="16" t="s">
        <v>9793</v>
      </c>
      <c r="D1503" s="16" t="s">
        <v>16</v>
      </c>
      <c r="E1503" s="17" t="s">
        <v>9794</v>
      </c>
      <c r="F1503" s="16" t="s">
        <v>3760</v>
      </c>
      <c r="G1503" s="16">
        <v>23.61</v>
      </c>
      <c r="H1503" s="16"/>
      <c r="I1503" s="16"/>
      <c r="J1503" s="16" t="s">
        <v>9795</v>
      </c>
      <c r="K1503" s="16" t="s">
        <v>9796</v>
      </c>
      <c r="L1503" s="16"/>
      <c r="M1503" s="25" t="s">
        <v>9797</v>
      </c>
      <c r="N1503" s="12"/>
      <c r="O1503" s="12"/>
      <c r="P1503" s="13">
        <f>IFERROR(__xludf.DUMMYFUNCTION("VALUE(SUBSTITUTE((INDEX(SPLIT(A1503,"",""),1)),""."","","",1))"),56.723768)</f>
        <v>56.723768</v>
      </c>
      <c r="Q1503" s="13">
        <f>IFERROR(__xludf.DUMMYFUNCTION("VALUE(SUBSTITUTE((INDEX(SPLIT(A1503,"",""),2)),""."","","",1))"),37.537002)</f>
        <v>37.537002</v>
      </c>
      <c r="R1503" s="14" t="b">
        <f t="shared" si="1"/>
        <v>0</v>
      </c>
      <c r="S1503" s="14" t="str">
        <f t="shared" si="2"/>
        <v>56.723768,37.537002</v>
      </c>
      <c r="T1503" s="12"/>
    </row>
    <row r="1504">
      <c r="A1504" s="18" t="s">
        <v>9798</v>
      </c>
      <c r="B1504" s="8" t="s">
        <v>9799</v>
      </c>
      <c r="C1504" s="8" t="s">
        <v>9800</v>
      </c>
      <c r="D1504" s="8" t="s">
        <v>16</v>
      </c>
      <c r="E1504" s="19" t="s">
        <v>9801</v>
      </c>
      <c r="F1504" s="8" t="s">
        <v>4881</v>
      </c>
      <c r="G1504" s="8">
        <v>23.61</v>
      </c>
      <c r="H1504" s="8"/>
      <c r="I1504" s="8"/>
      <c r="J1504" s="8" t="s">
        <v>9802</v>
      </c>
      <c r="K1504" s="8" t="s">
        <v>9803</v>
      </c>
      <c r="L1504" s="8"/>
      <c r="M1504" s="8"/>
      <c r="N1504" s="12"/>
      <c r="O1504" s="12"/>
      <c r="P1504" s="13">
        <f>IFERROR(__xludf.DUMMYFUNCTION("VALUE(SUBSTITUTE((INDEX(SPLIT(A1504,"",""),1)),""."","","",1))"),55.593731)</f>
        <v>55.593731</v>
      </c>
      <c r="Q1504" s="13">
        <f>IFERROR(__xludf.DUMMYFUNCTION("VALUE(SUBSTITUTE((INDEX(SPLIT(A1504,"",""),2)),""."","","",1))"),37.538269)</f>
        <v>37.538269</v>
      </c>
      <c r="R1504" s="14" t="b">
        <f t="shared" si="1"/>
        <v>0</v>
      </c>
      <c r="S1504" s="14" t="str">
        <f t="shared" si="2"/>
        <v>55.593731,37.538269</v>
      </c>
      <c r="T1504" s="12"/>
    </row>
    <row r="1505">
      <c r="A1505" s="20" t="s">
        <v>9804</v>
      </c>
      <c r="B1505" s="16" t="s">
        <v>9805</v>
      </c>
      <c r="C1505" s="16" t="s">
        <v>9806</v>
      </c>
      <c r="D1505" s="16" t="s">
        <v>16</v>
      </c>
      <c r="E1505" s="21" t="s">
        <v>9807</v>
      </c>
      <c r="F1505" s="22" t="s">
        <v>3760</v>
      </c>
      <c r="G1505" s="16">
        <v>23.61</v>
      </c>
      <c r="H1505" s="16"/>
      <c r="I1505" s="28" t="s">
        <v>9808</v>
      </c>
      <c r="J1505" s="22" t="s">
        <v>9809</v>
      </c>
      <c r="K1505" s="22" t="s">
        <v>9810</v>
      </c>
      <c r="L1505" s="23" t="s">
        <v>9811</v>
      </c>
      <c r="M1505" s="22"/>
      <c r="N1505" s="12"/>
      <c r="O1505" s="12"/>
      <c r="P1505" s="13">
        <f>IFERROR(__xludf.DUMMYFUNCTION("VALUE(SUBSTITUTE((INDEX(SPLIT(A1505,"",""),1)),""."","","",1))"),56.721279)</f>
        <v>56.721279</v>
      </c>
      <c r="Q1505" s="13">
        <f>IFERROR(__xludf.DUMMYFUNCTION("VALUE(SUBSTITUTE((INDEX(SPLIT(A1505,"",""),2)),""."","","",1))"),37.539024)</f>
        <v>37.539024</v>
      </c>
      <c r="R1505" s="14" t="b">
        <f t="shared" si="1"/>
        <v>0</v>
      </c>
      <c r="S1505" s="14" t="str">
        <f t="shared" si="2"/>
        <v>56.721279,37.539024</v>
      </c>
      <c r="T1505" s="12"/>
    </row>
    <row r="1506">
      <c r="A1506" s="18" t="s">
        <v>9812</v>
      </c>
      <c r="B1506" s="8" t="s">
        <v>9813</v>
      </c>
      <c r="C1506" s="8" t="s">
        <v>9814</v>
      </c>
      <c r="D1506" s="8" t="s">
        <v>16</v>
      </c>
      <c r="E1506" s="19" t="s">
        <v>9815</v>
      </c>
      <c r="F1506" s="8" t="s">
        <v>3883</v>
      </c>
      <c r="G1506" s="8">
        <v>23.61</v>
      </c>
      <c r="H1506" s="8"/>
      <c r="I1506" s="8"/>
      <c r="J1506" s="8" t="s">
        <v>9816</v>
      </c>
      <c r="K1506" s="8" t="s">
        <v>9817</v>
      </c>
      <c r="L1506" s="8"/>
      <c r="M1506" s="8"/>
      <c r="N1506" s="12"/>
      <c r="O1506" s="12"/>
      <c r="P1506" s="13">
        <f>IFERROR(__xludf.DUMMYFUNCTION("VALUE(SUBSTITUTE((INDEX(SPLIT(A1506,"",""),1)),""."","","",1))"),55.546017)</f>
        <v>55.546017</v>
      </c>
      <c r="Q1506" s="13">
        <f>IFERROR(__xludf.DUMMYFUNCTION("VALUE(SUBSTITUTE((INDEX(SPLIT(A1506,"",""),2)),""."","","",1))"),37.53932)</f>
        <v>37.53932</v>
      </c>
      <c r="R1506" s="14" t="b">
        <f t="shared" si="1"/>
        <v>0</v>
      </c>
      <c r="S1506" s="14" t="str">
        <f t="shared" si="2"/>
        <v>55.546017,37.53932</v>
      </c>
      <c r="T1506" s="12"/>
    </row>
    <row r="1507">
      <c r="A1507" s="20" t="s">
        <v>9818</v>
      </c>
      <c r="B1507" s="16" t="s">
        <v>9819</v>
      </c>
      <c r="C1507" s="16" t="s">
        <v>9820</v>
      </c>
      <c r="D1507" s="16" t="s">
        <v>16</v>
      </c>
      <c r="E1507" s="21" t="s">
        <v>9821</v>
      </c>
      <c r="F1507" s="22" t="s">
        <v>7157</v>
      </c>
      <c r="G1507" s="16">
        <v>23.61</v>
      </c>
      <c r="H1507" s="16"/>
      <c r="I1507" s="22"/>
      <c r="J1507" s="22" t="s">
        <v>9822</v>
      </c>
      <c r="K1507" s="22" t="s">
        <v>9823</v>
      </c>
      <c r="L1507" s="23" t="s">
        <v>9824</v>
      </c>
      <c r="M1507" s="23" t="s">
        <v>9825</v>
      </c>
      <c r="N1507" s="12"/>
      <c r="O1507" s="12"/>
      <c r="P1507" s="13">
        <f>IFERROR(__xludf.DUMMYFUNCTION("VALUE(SUBSTITUTE((INDEX(SPLIT(A1507,"",""),1)),""."","","",1))"),52.409577)</f>
        <v>52.409577</v>
      </c>
      <c r="Q1507" s="13">
        <f>IFERROR(__xludf.DUMMYFUNCTION("VALUE(SUBSTITUTE((INDEX(SPLIT(A1507,"",""),2)),""."","","",1))"),37.539572)</f>
        <v>37.539572</v>
      </c>
      <c r="R1507" s="14" t="b">
        <f t="shared" si="1"/>
        <v>0</v>
      </c>
      <c r="S1507" s="14" t="str">
        <f t="shared" si="2"/>
        <v>52.409577,37.539572</v>
      </c>
      <c r="T1507" s="12"/>
    </row>
    <row r="1508">
      <c r="A1508" s="18" t="s">
        <v>9826</v>
      </c>
      <c r="B1508" s="8" t="s">
        <v>9827</v>
      </c>
      <c r="C1508" s="8" t="s">
        <v>9828</v>
      </c>
      <c r="D1508" s="8" t="s">
        <v>16</v>
      </c>
      <c r="E1508" s="19" t="s">
        <v>9829</v>
      </c>
      <c r="F1508" s="8" t="s">
        <v>3883</v>
      </c>
      <c r="G1508" s="8">
        <v>23.61</v>
      </c>
      <c r="H1508" s="8"/>
      <c r="I1508" s="8"/>
      <c r="J1508" s="8" t="s">
        <v>9830</v>
      </c>
      <c r="K1508" s="8" t="s">
        <v>9831</v>
      </c>
      <c r="L1508" s="8"/>
      <c r="M1508" s="24" t="s">
        <v>9832</v>
      </c>
      <c r="N1508" s="12"/>
      <c r="O1508" s="12"/>
      <c r="P1508" s="13">
        <f>IFERROR(__xludf.DUMMYFUNCTION("VALUE(SUBSTITUTE((INDEX(SPLIT(A1508,"",""),1)),""."","","",1))"),55.65015)</f>
        <v>55.65015</v>
      </c>
      <c r="Q1508" s="13">
        <f>IFERROR(__xludf.DUMMYFUNCTION("VALUE(SUBSTITUTE((INDEX(SPLIT(A1508,"",""),2)),""."","","",1))"),37.539626)</f>
        <v>37.539626</v>
      </c>
      <c r="R1508" s="14" t="b">
        <f t="shared" si="1"/>
        <v>0</v>
      </c>
      <c r="S1508" s="14" t="str">
        <f t="shared" si="2"/>
        <v>55.65015,37.539626</v>
      </c>
      <c r="T1508" s="12"/>
    </row>
    <row r="1509">
      <c r="A1509" s="15" t="s">
        <v>9833</v>
      </c>
      <c r="B1509" s="16" t="s">
        <v>9834</v>
      </c>
      <c r="C1509" s="16" t="s">
        <v>9835</v>
      </c>
      <c r="D1509" s="16" t="s">
        <v>16</v>
      </c>
      <c r="E1509" s="17" t="s">
        <v>9836</v>
      </c>
      <c r="F1509" s="16" t="s">
        <v>3760</v>
      </c>
      <c r="G1509" s="16">
        <v>23.61</v>
      </c>
      <c r="H1509" s="16"/>
      <c r="I1509" s="16"/>
      <c r="J1509" s="16" t="s">
        <v>9837</v>
      </c>
      <c r="K1509" s="16" t="s">
        <v>9838</v>
      </c>
      <c r="L1509" s="16"/>
      <c r="M1509" s="25" t="s">
        <v>9839</v>
      </c>
      <c r="N1509" s="12"/>
      <c r="O1509" s="12"/>
      <c r="P1509" s="13">
        <f>IFERROR(__xludf.DUMMYFUNCTION("VALUE(SUBSTITUTE((INDEX(SPLIT(A1509,"",""),1)),""."","","",1))"),56.335091)</f>
        <v>56.335091</v>
      </c>
      <c r="Q1509" s="13">
        <f>IFERROR(__xludf.DUMMYFUNCTION("VALUE(SUBSTITUTE((INDEX(SPLIT(A1509,"",""),2)),""."","","",1))"),37.540272)</f>
        <v>37.540272</v>
      </c>
      <c r="R1509" s="14" t="b">
        <f t="shared" si="1"/>
        <v>0</v>
      </c>
      <c r="S1509" s="14" t="str">
        <f t="shared" si="2"/>
        <v>56.335091,37.540272</v>
      </c>
      <c r="T1509" s="12"/>
    </row>
    <row r="1510">
      <c r="A1510" s="7" t="s">
        <v>9840</v>
      </c>
      <c r="B1510" s="8" t="s">
        <v>9841</v>
      </c>
      <c r="C1510" s="8" t="s">
        <v>9842</v>
      </c>
      <c r="D1510" s="8" t="s">
        <v>16</v>
      </c>
      <c r="E1510" s="9" t="s">
        <v>9843</v>
      </c>
      <c r="F1510" s="10" t="s">
        <v>3883</v>
      </c>
      <c r="G1510" s="8">
        <v>23.61</v>
      </c>
      <c r="H1510" s="8"/>
      <c r="I1510" s="10"/>
      <c r="J1510" s="10" t="s">
        <v>9844</v>
      </c>
      <c r="K1510" s="10" t="s">
        <v>9845</v>
      </c>
      <c r="L1510" s="11" t="s">
        <v>9846</v>
      </c>
      <c r="M1510" s="10"/>
      <c r="N1510" s="12"/>
      <c r="O1510" s="12"/>
      <c r="P1510" s="13">
        <f>IFERROR(__xludf.DUMMYFUNCTION("VALUE(SUBSTITUTE((INDEX(SPLIT(A1510,"",""),1)),""."","","",1))"),55.637815)</f>
        <v>55.637815</v>
      </c>
      <c r="Q1510" s="13">
        <f>IFERROR(__xludf.DUMMYFUNCTION("VALUE(SUBSTITUTE((INDEX(SPLIT(A1510,"",""),2)),""."","","",1))"),37.541494)</f>
        <v>37.541494</v>
      </c>
      <c r="R1510" s="14" t="b">
        <f t="shared" si="1"/>
        <v>0</v>
      </c>
      <c r="S1510" s="14" t="str">
        <f t="shared" si="2"/>
        <v>55.637815,37.541494</v>
      </c>
      <c r="T1510" s="12"/>
    </row>
    <row r="1511">
      <c r="A1511" s="20" t="s">
        <v>9847</v>
      </c>
      <c r="B1511" s="16" t="s">
        <v>9848</v>
      </c>
      <c r="C1511" s="16" t="s">
        <v>9849</v>
      </c>
      <c r="D1511" s="16" t="s">
        <v>16</v>
      </c>
      <c r="E1511" s="21" t="s">
        <v>9850</v>
      </c>
      <c r="F1511" s="22" t="s">
        <v>3883</v>
      </c>
      <c r="G1511" s="16">
        <v>23.61</v>
      </c>
      <c r="H1511" s="16"/>
      <c r="I1511" s="22"/>
      <c r="J1511" s="22" t="s">
        <v>9851</v>
      </c>
      <c r="K1511" s="22" t="s">
        <v>9287</v>
      </c>
      <c r="L1511" s="23" t="s">
        <v>9852</v>
      </c>
      <c r="M1511" s="22"/>
      <c r="N1511" s="12"/>
      <c r="O1511" s="12"/>
      <c r="P1511" s="13">
        <f>IFERROR(__xludf.DUMMYFUNCTION("VALUE(SUBSTITUTE((INDEX(SPLIT(A1511,"",""),1)),""."","","",1))"),55.772932)</f>
        <v>55.772932</v>
      </c>
      <c r="Q1511" s="13">
        <f>IFERROR(__xludf.DUMMYFUNCTION("VALUE(SUBSTITUTE((INDEX(SPLIT(A1511,"",""),2)),""."","","",1))"),37.542545)</f>
        <v>37.542545</v>
      </c>
      <c r="R1511" s="14" t="b">
        <f t="shared" si="1"/>
        <v>0</v>
      </c>
      <c r="S1511" s="14" t="str">
        <f t="shared" si="2"/>
        <v>55.772932,37.542545</v>
      </c>
      <c r="T1511" s="12"/>
    </row>
    <row r="1512">
      <c r="A1512" s="18" t="s">
        <v>9853</v>
      </c>
      <c r="B1512" s="8" t="s">
        <v>9854</v>
      </c>
      <c r="C1512" s="8" t="s">
        <v>9855</v>
      </c>
      <c r="D1512" s="8" t="s">
        <v>16</v>
      </c>
      <c r="E1512" s="19" t="s">
        <v>9856</v>
      </c>
      <c r="F1512" s="8" t="s">
        <v>4881</v>
      </c>
      <c r="G1512" s="8">
        <v>23.61</v>
      </c>
      <c r="H1512" s="8"/>
      <c r="I1512" s="8"/>
      <c r="J1512" s="8" t="s">
        <v>9857</v>
      </c>
      <c r="K1512" s="8" t="s">
        <v>9858</v>
      </c>
      <c r="L1512" s="8"/>
      <c r="M1512" s="8"/>
      <c r="N1512" s="12"/>
      <c r="O1512" s="12"/>
      <c r="P1512" s="13">
        <f>IFERROR(__xludf.DUMMYFUNCTION("VALUE(SUBSTITUTE((INDEX(SPLIT(A1512,"",""),1)),""."","","",1))"),55.927538)</f>
        <v>55.927538</v>
      </c>
      <c r="Q1512" s="13">
        <f>IFERROR(__xludf.DUMMYFUNCTION("VALUE(SUBSTITUTE((INDEX(SPLIT(A1512,"",""),2)),""."","","",1))"),37.543416)</f>
        <v>37.543416</v>
      </c>
      <c r="R1512" s="14" t="b">
        <f t="shared" si="1"/>
        <v>0</v>
      </c>
      <c r="S1512" s="14" t="str">
        <f t="shared" si="2"/>
        <v>55.927538,37.543416</v>
      </c>
      <c r="T1512" s="12"/>
    </row>
    <row r="1513">
      <c r="A1513" s="15" t="s">
        <v>9859</v>
      </c>
      <c r="B1513" s="16" t="s">
        <v>9860</v>
      </c>
      <c r="C1513" s="16" t="s">
        <v>9861</v>
      </c>
      <c r="D1513" s="16" t="s">
        <v>16</v>
      </c>
      <c r="E1513" s="17" t="s">
        <v>9862</v>
      </c>
      <c r="F1513" s="16" t="s">
        <v>3883</v>
      </c>
      <c r="G1513" s="16">
        <v>23.61</v>
      </c>
      <c r="H1513" s="16"/>
      <c r="I1513" s="16"/>
      <c r="J1513" s="16" t="s">
        <v>9863</v>
      </c>
      <c r="K1513" s="16" t="s">
        <v>9864</v>
      </c>
      <c r="L1513" s="16"/>
      <c r="M1513" s="16"/>
      <c r="N1513" s="12"/>
      <c r="O1513" s="12"/>
      <c r="P1513" s="13">
        <f>IFERROR(__xludf.DUMMYFUNCTION("VALUE(SUBSTITUTE((INDEX(SPLIT(A1513,"",""),1)),""."","","",1))"),55.874764)</f>
        <v>55.874764</v>
      </c>
      <c r="Q1513" s="13">
        <f>IFERROR(__xludf.DUMMYFUNCTION("VALUE(SUBSTITUTE((INDEX(SPLIT(A1513,"",""),2)),""."","","",1))"),37.544818)</f>
        <v>37.544818</v>
      </c>
      <c r="R1513" s="14" t="b">
        <f t="shared" si="1"/>
        <v>0</v>
      </c>
      <c r="S1513" s="14" t="str">
        <f t="shared" si="2"/>
        <v>55.874764,37.544818</v>
      </c>
      <c r="T1513" s="12"/>
    </row>
    <row r="1514">
      <c r="A1514" s="7" t="s">
        <v>9865</v>
      </c>
      <c r="B1514" s="8" t="s">
        <v>9866</v>
      </c>
      <c r="C1514" s="8" t="s">
        <v>9867</v>
      </c>
      <c r="D1514" s="8" t="s">
        <v>16</v>
      </c>
      <c r="E1514" s="9" t="s">
        <v>9868</v>
      </c>
      <c r="F1514" s="10" t="s">
        <v>3760</v>
      </c>
      <c r="G1514" s="8">
        <v>23.61</v>
      </c>
      <c r="H1514" s="8"/>
      <c r="I1514" s="10"/>
      <c r="J1514" s="10" t="s">
        <v>9869</v>
      </c>
      <c r="K1514" s="10" t="s">
        <v>9870</v>
      </c>
      <c r="L1514" s="11" t="s">
        <v>9871</v>
      </c>
      <c r="M1514" s="10"/>
      <c r="N1514" s="12"/>
      <c r="O1514" s="12"/>
      <c r="P1514" s="13">
        <f>IFERROR(__xludf.DUMMYFUNCTION("VALUE(SUBSTITUTE((INDEX(SPLIT(A1514,"",""),1)),""."","","",1))"),55.431136)</f>
        <v>55.431136</v>
      </c>
      <c r="Q1514" s="13">
        <f>IFERROR(__xludf.DUMMYFUNCTION("VALUE(SUBSTITUTE((INDEX(SPLIT(A1514,"",""),2)),""."","","",1))"),37.544997)</f>
        <v>37.544997</v>
      </c>
      <c r="R1514" s="14" t="b">
        <f t="shared" si="1"/>
        <v>0</v>
      </c>
      <c r="S1514" s="14" t="str">
        <f t="shared" si="2"/>
        <v>55.431136,37.544997</v>
      </c>
      <c r="T1514" s="12"/>
    </row>
    <row r="1515">
      <c r="A1515" s="15" t="s">
        <v>9872</v>
      </c>
      <c r="B1515" s="16" t="s">
        <v>9873</v>
      </c>
      <c r="C1515" s="16" t="s">
        <v>9874</v>
      </c>
      <c r="D1515" s="16" t="s">
        <v>16</v>
      </c>
      <c r="E1515" s="17" t="s">
        <v>9875</v>
      </c>
      <c r="F1515" s="16" t="s">
        <v>3760</v>
      </c>
      <c r="G1515" s="16">
        <v>23.61</v>
      </c>
      <c r="H1515" s="16"/>
      <c r="I1515" s="16"/>
      <c r="J1515" s="16" t="s">
        <v>9876</v>
      </c>
      <c r="K1515" s="16" t="s">
        <v>9877</v>
      </c>
      <c r="L1515" s="16"/>
      <c r="M1515" s="16"/>
      <c r="N1515" s="12"/>
      <c r="O1515" s="12"/>
      <c r="P1515" s="13">
        <f>IFERROR(__xludf.DUMMYFUNCTION("VALUE(SUBSTITUTE((INDEX(SPLIT(A1515,"",""),1)),""."","","",1))"),55.464442)</f>
        <v>55.464442</v>
      </c>
      <c r="Q1515" s="13">
        <f>IFERROR(__xludf.DUMMYFUNCTION("VALUE(SUBSTITUTE((INDEX(SPLIT(A1515,"",""),2)),""."","","",1))"),37.547441)</f>
        <v>37.547441</v>
      </c>
      <c r="R1515" s="14" t="b">
        <f t="shared" si="1"/>
        <v>0</v>
      </c>
      <c r="S1515" s="14" t="str">
        <f t="shared" si="2"/>
        <v>55.464442,37.547441</v>
      </c>
      <c r="T1515" s="12"/>
    </row>
    <row r="1516">
      <c r="A1516" s="7" t="s">
        <v>9878</v>
      </c>
      <c r="B1516" s="8" t="s">
        <v>9879</v>
      </c>
      <c r="C1516" s="8" t="s">
        <v>9880</v>
      </c>
      <c r="D1516" s="8" t="s">
        <v>16</v>
      </c>
      <c r="E1516" s="9" t="s">
        <v>9881</v>
      </c>
      <c r="F1516" s="10" t="s">
        <v>3883</v>
      </c>
      <c r="G1516" s="8">
        <v>23.61</v>
      </c>
      <c r="H1516" s="8"/>
      <c r="I1516" s="10"/>
      <c r="J1516" s="10" t="s">
        <v>9882</v>
      </c>
      <c r="K1516" s="10" t="s">
        <v>9883</v>
      </c>
      <c r="L1516" s="11" t="s">
        <v>9884</v>
      </c>
      <c r="M1516" s="10"/>
      <c r="N1516" s="12"/>
      <c r="O1516" s="12"/>
      <c r="P1516" s="13">
        <f>IFERROR(__xludf.DUMMYFUNCTION("VALUE(SUBSTITUTE((INDEX(SPLIT(A1516,"",""),1)),""."","","",1))"),55.881985)</f>
        <v>55.881985</v>
      </c>
      <c r="Q1516" s="13">
        <f>IFERROR(__xludf.DUMMYFUNCTION("VALUE(SUBSTITUTE((INDEX(SPLIT(A1516,"",""),2)),""."","","",1))"),37.547665)</f>
        <v>37.547665</v>
      </c>
      <c r="R1516" s="14" t="b">
        <f t="shared" si="1"/>
        <v>0</v>
      </c>
      <c r="S1516" s="14" t="str">
        <f t="shared" si="2"/>
        <v>55.881985,37.547665</v>
      </c>
      <c r="T1516" s="12"/>
    </row>
    <row r="1517">
      <c r="A1517" s="20" t="s">
        <v>9878</v>
      </c>
      <c r="B1517" s="16" t="s">
        <v>9885</v>
      </c>
      <c r="C1517" s="16" t="s">
        <v>9886</v>
      </c>
      <c r="D1517" s="16" t="s">
        <v>16</v>
      </c>
      <c r="E1517" s="21" t="s">
        <v>9887</v>
      </c>
      <c r="F1517" s="22" t="s">
        <v>3883</v>
      </c>
      <c r="G1517" s="16">
        <v>23.61</v>
      </c>
      <c r="H1517" s="16"/>
      <c r="I1517" s="22"/>
      <c r="J1517" s="22" t="s">
        <v>9888</v>
      </c>
      <c r="K1517" s="22" t="s">
        <v>9883</v>
      </c>
      <c r="L1517" s="23" t="s">
        <v>9889</v>
      </c>
      <c r="M1517" s="22"/>
      <c r="N1517" s="12"/>
      <c r="O1517" s="12"/>
      <c r="P1517" s="13">
        <f>IFERROR(__xludf.DUMMYFUNCTION("VALUE(SUBSTITUTE((INDEX(SPLIT(A1517,"",""),1)),""."","","",1))"),55.881985)</f>
        <v>55.881985</v>
      </c>
      <c r="Q1517" s="13">
        <f>IFERROR(__xludf.DUMMYFUNCTION("VALUE(SUBSTITUTE((INDEX(SPLIT(A1517,"",""),2)),""."","","",1))"),37.547665)</f>
        <v>37.547665</v>
      </c>
      <c r="R1517" s="14" t="b">
        <f t="shared" si="1"/>
        <v>0</v>
      </c>
      <c r="S1517" s="14" t="str">
        <f t="shared" si="2"/>
        <v>55.881985,37.547665</v>
      </c>
      <c r="T1517" s="12"/>
    </row>
    <row r="1518">
      <c r="A1518" s="18" t="s">
        <v>9890</v>
      </c>
      <c r="B1518" s="8" t="s">
        <v>9891</v>
      </c>
      <c r="C1518" s="8" t="s">
        <v>9892</v>
      </c>
      <c r="D1518" s="8" t="s">
        <v>16</v>
      </c>
      <c r="E1518" s="19" t="s">
        <v>9893</v>
      </c>
      <c r="F1518" s="8" t="s">
        <v>3883</v>
      </c>
      <c r="G1518" s="8">
        <v>23.61</v>
      </c>
      <c r="H1518" s="8"/>
      <c r="I1518" s="8"/>
      <c r="J1518" s="8" t="s">
        <v>9894</v>
      </c>
      <c r="K1518" s="8" t="s">
        <v>9895</v>
      </c>
      <c r="L1518" s="8"/>
      <c r="M1518" s="8"/>
      <c r="N1518" s="12"/>
      <c r="O1518" s="12"/>
      <c r="P1518" s="13">
        <f>IFERROR(__xludf.DUMMYFUNCTION("VALUE(SUBSTITUTE((INDEX(SPLIT(A1518,"",""),1)),""."","","",1))"),55.9063)</f>
        <v>55.9063</v>
      </c>
      <c r="Q1518" s="13">
        <f>IFERROR(__xludf.DUMMYFUNCTION("VALUE(SUBSTITUTE((INDEX(SPLIT(A1518,"",""),2)),""."","","",1))"),37.54816)</f>
        <v>37.54816</v>
      </c>
      <c r="R1518" s="14" t="b">
        <f t="shared" si="1"/>
        <v>0</v>
      </c>
      <c r="S1518" s="14" t="str">
        <f t="shared" si="2"/>
        <v>55.9063,37.54816</v>
      </c>
      <c r="T1518" s="12"/>
    </row>
    <row r="1519">
      <c r="A1519" s="20" t="s">
        <v>9896</v>
      </c>
      <c r="B1519" s="16" t="s">
        <v>9897</v>
      </c>
      <c r="C1519" s="16" t="s">
        <v>9898</v>
      </c>
      <c r="D1519" s="16" t="s">
        <v>16</v>
      </c>
      <c r="E1519" s="21" t="s">
        <v>9899</v>
      </c>
      <c r="F1519" s="22" t="s">
        <v>3760</v>
      </c>
      <c r="G1519" s="16">
        <v>23.61</v>
      </c>
      <c r="H1519" s="16"/>
      <c r="I1519" s="22"/>
      <c r="J1519" s="22" t="s">
        <v>9900</v>
      </c>
      <c r="K1519" s="22" t="s">
        <v>9901</v>
      </c>
      <c r="L1519" s="23" t="s">
        <v>9902</v>
      </c>
      <c r="M1519" s="22"/>
      <c r="N1519" s="12"/>
      <c r="O1519" s="12"/>
      <c r="P1519" s="13">
        <f>IFERROR(__xludf.DUMMYFUNCTION("VALUE(SUBSTITUTE((INDEX(SPLIT(A1519,"",""),1)),""."","","",1))"),55.425548)</f>
        <v>55.425548</v>
      </c>
      <c r="Q1519" s="13">
        <f>IFERROR(__xludf.DUMMYFUNCTION("VALUE(SUBSTITUTE((INDEX(SPLIT(A1519,"",""),2)),""."","","",1))"),37.549076)</f>
        <v>37.549076</v>
      </c>
      <c r="R1519" s="14" t="b">
        <f t="shared" si="1"/>
        <v>0</v>
      </c>
      <c r="S1519" s="14" t="str">
        <f t="shared" si="2"/>
        <v>55.425548,37.549076</v>
      </c>
      <c r="T1519" s="12"/>
    </row>
    <row r="1520">
      <c r="A1520" s="18" t="s">
        <v>9903</v>
      </c>
      <c r="B1520" s="8" t="s">
        <v>9904</v>
      </c>
      <c r="C1520" s="8" t="s">
        <v>9905</v>
      </c>
      <c r="D1520" s="8" t="s">
        <v>16</v>
      </c>
      <c r="E1520" s="19" t="s">
        <v>9906</v>
      </c>
      <c r="F1520" s="8" t="s">
        <v>3883</v>
      </c>
      <c r="G1520" s="8">
        <v>23.61</v>
      </c>
      <c r="H1520" s="8"/>
      <c r="I1520" s="8"/>
      <c r="J1520" s="8" t="s">
        <v>9907</v>
      </c>
      <c r="K1520" s="8" t="s">
        <v>9908</v>
      </c>
      <c r="L1520" s="8"/>
      <c r="M1520" s="8"/>
      <c r="N1520" s="12"/>
      <c r="O1520" s="12"/>
      <c r="P1520" s="13">
        <f>IFERROR(__xludf.DUMMYFUNCTION("VALUE(SUBSTITUTE((INDEX(SPLIT(A1520,"",""),1)),""."","","",1))"),55.742524)</f>
        <v>55.742524</v>
      </c>
      <c r="Q1520" s="13">
        <f>IFERROR(__xludf.DUMMYFUNCTION("VALUE(SUBSTITUTE((INDEX(SPLIT(A1520,"",""),2)),""."","","",1))"),37.549588)</f>
        <v>37.549588</v>
      </c>
      <c r="R1520" s="14" t="b">
        <f t="shared" si="1"/>
        <v>0</v>
      </c>
      <c r="S1520" s="14" t="str">
        <f t="shared" si="2"/>
        <v>55.742524,37.549588</v>
      </c>
      <c r="T1520" s="12"/>
    </row>
    <row r="1521">
      <c r="A1521" s="20" t="s">
        <v>9909</v>
      </c>
      <c r="B1521" s="16" t="s">
        <v>9910</v>
      </c>
      <c r="C1521" s="16" t="s">
        <v>9911</v>
      </c>
      <c r="D1521" s="16" t="s">
        <v>16</v>
      </c>
      <c r="E1521" s="21" t="s">
        <v>9912</v>
      </c>
      <c r="F1521" s="22" t="s">
        <v>8566</v>
      </c>
      <c r="G1521" s="16">
        <v>23.61</v>
      </c>
      <c r="H1521" s="16"/>
      <c r="I1521" s="22"/>
      <c r="J1521" s="22" t="s">
        <v>9913</v>
      </c>
      <c r="K1521" s="22" t="s">
        <v>9914</v>
      </c>
      <c r="L1521" s="23" t="s">
        <v>9915</v>
      </c>
      <c r="M1521" s="22"/>
      <c r="N1521" s="12"/>
      <c r="O1521" s="12"/>
      <c r="P1521" s="13">
        <f>IFERROR(__xludf.DUMMYFUNCTION("VALUE(SUBSTITUTE((INDEX(SPLIT(A1521,"",""),1)),""."","","",1))"),44.83777)</f>
        <v>44.83777</v>
      </c>
      <c r="Q1521" s="13">
        <f>IFERROR(__xludf.DUMMYFUNCTION("VALUE(SUBSTITUTE((INDEX(SPLIT(A1521,"",""),2)),""."","","",1))"),37.549687)</f>
        <v>37.549687</v>
      </c>
      <c r="R1521" s="14" t="b">
        <f t="shared" si="1"/>
        <v>0</v>
      </c>
      <c r="S1521" s="14" t="str">
        <f t="shared" si="2"/>
        <v>44.83777,37.549687</v>
      </c>
      <c r="T1521" s="12"/>
    </row>
    <row r="1522">
      <c r="A1522" s="7" t="s">
        <v>9916</v>
      </c>
      <c r="B1522" s="8" t="s">
        <v>9917</v>
      </c>
      <c r="C1522" s="8" t="s">
        <v>9918</v>
      </c>
      <c r="D1522" s="8" t="s">
        <v>16</v>
      </c>
      <c r="E1522" s="9" t="s">
        <v>9919</v>
      </c>
      <c r="F1522" s="10" t="s">
        <v>3883</v>
      </c>
      <c r="G1522" s="8">
        <v>23.61</v>
      </c>
      <c r="H1522" s="8"/>
      <c r="I1522" s="10"/>
      <c r="J1522" s="10" t="s">
        <v>9920</v>
      </c>
      <c r="K1522" s="10" t="s">
        <v>9921</v>
      </c>
      <c r="L1522" s="11" t="s">
        <v>9922</v>
      </c>
      <c r="M1522" s="11" t="s">
        <v>9923</v>
      </c>
      <c r="N1522" s="12"/>
      <c r="O1522" s="12"/>
      <c r="P1522" s="13">
        <f>IFERROR(__xludf.DUMMYFUNCTION("VALUE(SUBSTITUTE((INDEX(SPLIT(A1522,"",""),1)),""."","","",1))"),55.245106)</f>
        <v>55.245106</v>
      </c>
      <c r="Q1522" s="13">
        <f>IFERROR(__xludf.DUMMYFUNCTION("VALUE(SUBSTITUTE((INDEX(SPLIT(A1522,"",""),2)),""."","","",1))"),37.549723)</f>
        <v>37.549723</v>
      </c>
      <c r="R1522" s="14" t="b">
        <f t="shared" si="1"/>
        <v>0</v>
      </c>
      <c r="S1522" s="14" t="str">
        <f t="shared" si="2"/>
        <v>55.245106,37.549723</v>
      </c>
      <c r="T1522" s="12"/>
    </row>
    <row r="1523">
      <c r="A1523" s="15" t="s">
        <v>9924</v>
      </c>
      <c r="B1523" s="16" t="s">
        <v>9925</v>
      </c>
      <c r="C1523" s="16" t="s">
        <v>9926</v>
      </c>
      <c r="D1523" s="16" t="s">
        <v>16</v>
      </c>
      <c r="E1523" s="17" t="s">
        <v>9927</v>
      </c>
      <c r="F1523" s="16" t="s">
        <v>3760</v>
      </c>
      <c r="G1523" s="16">
        <v>23.61</v>
      </c>
      <c r="H1523" s="16"/>
      <c r="I1523" s="16"/>
      <c r="J1523" s="16" t="s">
        <v>9928</v>
      </c>
      <c r="K1523" s="16" t="s">
        <v>9929</v>
      </c>
      <c r="L1523" s="16"/>
      <c r="M1523" s="25" t="s">
        <v>9930</v>
      </c>
      <c r="N1523" s="12"/>
      <c r="O1523" s="12"/>
      <c r="P1523" s="13">
        <f>IFERROR(__xludf.DUMMYFUNCTION("VALUE(SUBSTITUTE((INDEX(SPLIT(A1523,"",""),1)),""."","","",1))"),55.427882)</f>
        <v>55.427882</v>
      </c>
      <c r="Q1523" s="13">
        <f>IFERROR(__xludf.DUMMYFUNCTION("VALUE(SUBSTITUTE((INDEX(SPLIT(A1523,"",""),2)),""."","","",1))"),37.550109)</f>
        <v>37.550109</v>
      </c>
      <c r="R1523" s="14" t="b">
        <f t="shared" si="1"/>
        <v>0</v>
      </c>
      <c r="S1523" s="14" t="str">
        <f t="shared" si="2"/>
        <v>55.427882,37.550109</v>
      </c>
      <c r="T1523" s="12"/>
    </row>
    <row r="1524">
      <c r="A1524" s="18" t="s">
        <v>9931</v>
      </c>
      <c r="B1524" s="8" t="s">
        <v>9932</v>
      </c>
      <c r="C1524" s="8" t="s">
        <v>9933</v>
      </c>
      <c r="D1524" s="8" t="s">
        <v>16</v>
      </c>
      <c r="E1524" s="19" t="s">
        <v>9934</v>
      </c>
      <c r="F1524" s="8" t="s">
        <v>3883</v>
      </c>
      <c r="G1524" s="8">
        <v>23.61</v>
      </c>
      <c r="H1524" s="8"/>
      <c r="I1524" s="8"/>
      <c r="J1524" s="8" t="s">
        <v>9935</v>
      </c>
      <c r="K1524" s="8" t="s">
        <v>9936</v>
      </c>
      <c r="L1524" s="8"/>
      <c r="M1524" s="24" t="s">
        <v>9937</v>
      </c>
      <c r="N1524" s="12"/>
      <c r="O1524" s="12"/>
      <c r="P1524" s="13">
        <f>IFERROR(__xludf.DUMMYFUNCTION("VALUE(SUBSTITUTE((INDEX(SPLIT(A1524,"",""),1)),""."","","",1))"),55.868576)</f>
        <v>55.868576</v>
      </c>
      <c r="Q1524" s="13">
        <f>IFERROR(__xludf.DUMMYFUNCTION("VALUE(SUBSTITUTE((INDEX(SPLIT(A1524,"",""),2)),""."","","",1))"),37.550199)</f>
        <v>37.550199</v>
      </c>
      <c r="R1524" s="14" t="b">
        <f t="shared" si="1"/>
        <v>0</v>
      </c>
      <c r="S1524" s="14" t="str">
        <f t="shared" si="2"/>
        <v>55.868576,37.550199</v>
      </c>
      <c r="T1524" s="12"/>
    </row>
    <row r="1525">
      <c r="A1525" s="15" t="s">
        <v>9938</v>
      </c>
      <c r="B1525" s="16" t="s">
        <v>9939</v>
      </c>
      <c r="C1525" s="16" t="s">
        <v>9940</v>
      </c>
      <c r="D1525" s="16" t="s">
        <v>16</v>
      </c>
      <c r="E1525" s="17" t="s">
        <v>9941</v>
      </c>
      <c r="F1525" s="16" t="s">
        <v>3760</v>
      </c>
      <c r="G1525" s="16">
        <v>23.61</v>
      </c>
      <c r="H1525" s="16"/>
      <c r="I1525" s="16"/>
      <c r="J1525" s="16" t="s">
        <v>9942</v>
      </c>
      <c r="K1525" s="16" t="s">
        <v>9943</v>
      </c>
      <c r="L1525" s="16"/>
      <c r="M1525" s="16"/>
      <c r="N1525" s="12"/>
      <c r="O1525" s="12"/>
      <c r="P1525" s="13">
        <f>IFERROR(__xludf.DUMMYFUNCTION("VALUE(SUBSTITUTE((INDEX(SPLIT(A1525,"",""),1)),""."","","",1))"),55.463896)</f>
        <v>55.463896</v>
      </c>
      <c r="Q1525" s="13">
        <f>IFERROR(__xludf.DUMMYFUNCTION("VALUE(SUBSTITUTE((INDEX(SPLIT(A1525,"",""),2)),""."","","",1))"),37.551789)</f>
        <v>37.551789</v>
      </c>
      <c r="R1525" s="14" t="b">
        <f t="shared" si="1"/>
        <v>0</v>
      </c>
      <c r="S1525" s="14" t="str">
        <f t="shared" si="2"/>
        <v>55.463896,37.551789</v>
      </c>
      <c r="T1525" s="12"/>
    </row>
    <row r="1526">
      <c r="A1526" s="18" t="s">
        <v>9944</v>
      </c>
      <c r="B1526" s="8" t="s">
        <v>89</v>
      </c>
      <c r="C1526" s="8" t="s">
        <v>90</v>
      </c>
      <c r="D1526" s="8" t="s">
        <v>16</v>
      </c>
      <c r="E1526" s="19" t="s">
        <v>9945</v>
      </c>
      <c r="F1526" s="8" t="s">
        <v>4881</v>
      </c>
      <c r="G1526" s="8">
        <v>23.61</v>
      </c>
      <c r="H1526" s="8"/>
      <c r="I1526" s="8"/>
      <c r="J1526" s="8" t="s">
        <v>9946</v>
      </c>
      <c r="K1526" s="8" t="s">
        <v>9947</v>
      </c>
      <c r="L1526" s="8"/>
      <c r="M1526" s="8"/>
      <c r="N1526" s="12"/>
      <c r="O1526" s="12"/>
      <c r="P1526" s="13">
        <f>IFERROR(__xludf.DUMMYFUNCTION("VALUE(SUBSTITUTE((INDEX(SPLIT(A1526,"",""),1)),""."","","",1))"),55.760125)</f>
        <v>55.760125</v>
      </c>
      <c r="Q1526" s="13">
        <f>IFERROR(__xludf.DUMMYFUNCTION("VALUE(SUBSTITUTE((INDEX(SPLIT(A1526,"",""),2)),""."","","",1))"),37.551879)</f>
        <v>37.551879</v>
      </c>
      <c r="R1526" s="14" t="b">
        <f t="shared" si="1"/>
        <v>0</v>
      </c>
      <c r="S1526" s="14" t="str">
        <f t="shared" si="2"/>
        <v>55.760125,37.551879</v>
      </c>
      <c r="T1526" s="12"/>
    </row>
    <row r="1527">
      <c r="A1527" s="15" t="s">
        <v>9948</v>
      </c>
      <c r="B1527" s="16" t="s">
        <v>9949</v>
      </c>
      <c r="C1527" s="16" t="s">
        <v>9950</v>
      </c>
      <c r="D1527" s="16" t="s">
        <v>16</v>
      </c>
      <c r="E1527" s="17" t="s">
        <v>9951</v>
      </c>
      <c r="F1527" s="16" t="s">
        <v>3760</v>
      </c>
      <c r="G1527" s="16">
        <v>23.61</v>
      </c>
      <c r="H1527" s="16"/>
      <c r="I1527" s="16"/>
      <c r="J1527" s="16" t="s">
        <v>9952</v>
      </c>
      <c r="K1527" s="16" t="s">
        <v>9953</v>
      </c>
      <c r="L1527" s="16"/>
      <c r="M1527" s="16"/>
      <c r="N1527" s="12"/>
      <c r="O1527" s="12"/>
      <c r="P1527" s="13">
        <f>IFERROR(__xludf.DUMMYFUNCTION("VALUE(SUBSTITUTE((INDEX(SPLIT(A1527,"",""),1)),""."","","",1))"),55.415753)</f>
        <v>55.415753</v>
      </c>
      <c r="Q1527" s="13">
        <f>IFERROR(__xludf.DUMMYFUNCTION("VALUE(SUBSTITUTE((INDEX(SPLIT(A1527,"",""),2)),""."","","",1))"),37.552462)</f>
        <v>37.552462</v>
      </c>
      <c r="R1527" s="14" t="b">
        <f t="shared" si="1"/>
        <v>0</v>
      </c>
      <c r="S1527" s="14" t="str">
        <f t="shared" si="2"/>
        <v>55.415753,37.552462</v>
      </c>
      <c r="T1527" s="12"/>
    </row>
    <row r="1528">
      <c r="A1528" s="18" t="s">
        <v>9954</v>
      </c>
      <c r="B1528" s="8" t="s">
        <v>89</v>
      </c>
      <c r="C1528" s="8" t="s">
        <v>90</v>
      </c>
      <c r="D1528" s="8" t="s">
        <v>16</v>
      </c>
      <c r="E1528" s="19" t="s">
        <v>9955</v>
      </c>
      <c r="F1528" s="8" t="s">
        <v>4881</v>
      </c>
      <c r="G1528" s="8">
        <v>23.61</v>
      </c>
      <c r="H1528" s="8"/>
      <c r="I1528" s="8"/>
      <c r="J1528" s="8" t="s">
        <v>9956</v>
      </c>
      <c r="K1528" s="8" t="s">
        <v>9957</v>
      </c>
      <c r="L1528" s="8"/>
      <c r="M1528" s="8"/>
      <c r="N1528" s="12"/>
      <c r="O1528" s="12"/>
      <c r="P1528" s="13">
        <f>IFERROR(__xludf.DUMMYFUNCTION("VALUE(SUBSTITUTE((INDEX(SPLIT(A1528,"",""),1)),""."","","",1))"),55.670021)</f>
        <v>55.670021</v>
      </c>
      <c r="Q1528" s="13">
        <f>IFERROR(__xludf.DUMMYFUNCTION("VALUE(SUBSTITUTE((INDEX(SPLIT(A1528,"",""),2)),""."","","",1))"),37.55248)</f>
        <v>37.55248</v>
      </c>
      <c r="R1528" s="14" t="b">
        <f t="shared" si="1"/>
        <v>0</v>
      </c>
      <c r="S1528" s="14" t="str">
        <f t="shared" si="2"/>
        <v>55.670021,37.55248</v>
      </c>
      <c r="T1528" s="12"/>
    </row>
    <row r="1529">
      <c r="A1529" s="20" t="s">
        <v>9958</v>
      </c>
      <c r="B1529" s="16" t="s">
        <v>9959</v>
      </c>
      <c r="C1529" s="16" t="s">
        <v>9960</v>
      </c>
      <c r="D1529" s="16" t="s">
        <v>16</v>
      </c>
      <c r="E1529" s="21" t="s">
        <v>9961</v>
      </c>
      <c r="F1529" s="22" t="s">
        <v>3883</v>
      </c>
      <c r="G1529" s="16">
        <v>23.61</v>
      </c>
      <c r="H1529" s="16"/>
      <c r="I1529" s="28" t="s">
        <v>9962</v>
      </c>
      <c r="J1529" s="22" t="s">
        <v>9963</v>
      </c>
      <c r="K1529" s="22" t="s">
        <v>9964</v>
      </c>
      <c r="L1529" s="23" t="s">
        <v>9965</v>
      </c>
      <c r="M1529" s="23" t="s">
        <v>9966</v>
      </c>
      <c r="N1529" s="12"/>
      <c r="O1529" s="12"/>
      <c r="P1529" s="13">
        <f>IFERROR(__xludf.DUMMYFUNCTION("VALUE(SUBSTITUTE((INDEX(SPLIT(A1529,"",""),1)),""."","","",1))"),55.656453)</f>
        <v>55.656453</v>
      </c>
      <c r="Q1529" s="13">
        <f>IFERROR(__xludf.DUMMYFUNCTION("VALUE(SUBSTITUTE((INDEX(SPLIT(A1529,"",""),2)),""."","","",1))"),37.553379)</f>
        <v>37.553379</v>
      </c>
      <c r="R1529" s="14" t="b">
        <f t="shared" si="1"/>
        <v>0</v>
      </c>
      <c r="S1529" s="14" t="str">
        <f t="shared" si="2"/>
        <v>55.656453,37.553379</v>
      </c>
      <c r="T1529" s="12"/>
    </row>
    <row r="1530">
      <c r="A1530" s="7" t="s">
        <v>9967</v>
      </c>
      <c r="B1530" s="8" t="s">
        <v>9968</v>
      </c>
      <c r="C1530" s="8" t="s">
        <v>9969</v>
      </c>
      <c r="D1530" s="8" t="s">
        <v>16</v>
      </c>
      <c r="E1530" s="9" t="s">
        <v>9970</v>
      </c>
      <c r="F1530" s="10" t="s">
        <v>3760</v>
      </c>
      <c r="G1530" s="8">
        <v>23.61</v>
      </c>
      <c r="H1530" s="8"/>
      <c r="I1530" s="31" t="s">
        <v>9971</v>
      </c>
      <c r="J1530" s="10" t="s">
        <v>9972</v>
      </c>
      <c r="K1530" s="10" t="s">
        <v>9973</v>
      </c>
      <c r="L1530" s="11" t="s">
        <v>9974</v>
      </c>
      <c r="M1530" s="11" t="s">
        <v>9975</v>
      </c>
      <c r="N1530" s="12"/>
      <c r="O1530" s="12"/>
      <c r="P1530" s="13">
        <f>IFERROR(__xludf.DUMMYFUNCTION("VALUE(SUBSTITUTE((INDEX(SPLIT(A1530,"",""),1)),""."","","",1))"),55.43774)</f>
        <v>55.43774</v>
      </c>
      <c r="Q1530" s="13">
        <f>IFERROR(__xludf.DUMMYFUNCTION("VALUE(SUBSTITUTE((INDEX(SPLIT(A1530,"",""),2)),""."","","",1))"),37.554277)</f>
        <v>37.554277</v>
      </c>
      <c r="R1530" s="14" t="b">
        <f t="shared" si="1"/>
        <v>0</v>
      </c>
      <c r="S1530" s="14" t="str">
        <f t="shared" si="2"/>
        <v>55.43774,37.554277</v>
      </c>
      <c r="T1530" s="12"/>
    </row>
    <row r="1531">
      <c r="A1531" s="20" t="s">
        <v>9967</v>
      </c>
      <c r="B1531" s="16" t="s">
        <v>9976</v>
      </c>
      <c r="C1531" s="16" t="s">
        <v>9977</v>
      </c>
      <c r="D1531" s="16" t="s">
        <v>16</v>
      </c>
      <c r="E1531" s="21" t="s">
        <v>9978</v>
      </c>
      <c r="F1531" s="22" t="s">
        <v>3760</v>
      </c>
      <c r="G1531" s="16">
        <v>23.61</v>
      </c>
      <c r="H1531" s="16"/>
      <c r="I1531" s="28" t="s">
        <v>9979</v>
      </c>
      <c r="J1531" s="22" t="s">
        <v>9980</v>
      </c>
      <c r="K1531" s="22" t="s">
        <v>9981</v>
      </c>
      <c r="L1531" s="23" t="s">
        <v>9974</v>
      </c>
      <c r="M1531" s="23" t="s">
        <v>9975</v>
      </c>
      <c r="N1531" s="12"/>
      <c r="O1531" s="12"/>
      <c r="P1531" s="13">
        <f>IFERROR(__xludf.DUMMYFUNCTION("VALUE(SUBSTITUTE((INDEX(SPLIT(A1531,"",""),1)),""."","","",1))"),55.43774)</f>
        <v>55.43774</v>
      </c>
      <c r="Q1531" s="13">
        <f>IFERROR(__xludf.DUMMYFUNCTION("VALUE(SUBSTITUTE((INDEX(SPLIT(A1531,"",""),2)),""."","","",1))"),37.554277)</f>
        <v>37.554277</v>
      </c>
      <c r="R1531" s="14" t="b">
        <f t="shared" si="1"/>
        <v>0</v>
      </c>
      <c r="S1531" s="14" t="str">
        <f t="shared" si="2"/>
        <v>55.43774,37.554277</v>
      </c>
      <c r="T1531" s="12"/>
    </row>
    <row r="1532">
      <c r="A1532" s="18" t="s">
        <v>9982</v>
      </c>
      <c r="B1532" s="8" t="s">
        <v>9983</v>
      </c>
      <c r="C1532" s="8" t="s">
        <v>9984</v>
      </c>
      <c r="D1532" s="8" t="s">
        <v>16</v>
      </c>
      <c r="E1532" s="19" t="s">
        <v>9985</v>
      </c>
      <c r="F1532" s="8" t="s">
        <v>3883</v>
      </c>
      <c r="G1532" s="8">
        <v>23.61</v>
      </c>
      <c r="H1532" s="8"/>
      <c r="I1532" s="8"/>
      <c r="J1532" s="8" t="s">
        <v>9986</v>
      </c>
      <c r="K1532" s="8" t="s">
        <v>9987</v>
      </c>
      <c r="L1532" s="8"/>
      <c r="M1532" s="8"/>
      <c r="N1532" s="12"/>
      <c r="O1532" s="12"/>
      <c r="P1532" s="13">
        <f>IFERROR(__xludf.DUMMYFUNCTION("VALUE(SUBSTITUTE((INDEX(SPLIT(A1532,"",""),1)),""."","","",1))"),55.863581)</f>
        <v>55.863581</v>
      </c>
      <c r="Q1532" s="13">
        <f>IFERROR(__xludf.DUMMYFUNCTION("VALUE(SUBSTITUTE((INDEX(SPLIT(A1532,"",""),2)),""."","","",1))"),37.554825)</f>
        <v>37.554825</v>
      </c>
      <c r="R1532" s="14" t="b">
        <f t="shared" si="1"/>
        <v>0</v>
      </c>
      <c r="S1532" s="14" t="str">
        <f t="shared" si="2"/>
        <v>55.863581,37.554825</v>
      </c>
      <c r="T1532" s="12"/>
    </row>
    <row r="1533">
      <c r="A1533" s="15" t="s">
        <v>9988</v>
      </c>
      <c r="B1533" s="16" t="s">
        <v>9989</v>
      </c>
      <c r="C1533" s="16" t="s">
        <v>9990</v>
      </c>
      <c r="D1533" s="16" t="s">
        <v>16</v>
      </c>
      <c r="E1533" s="17" t="s">
        <v>9991</v>
      </c>
      <c r="F1533" s="16" t="s">
        <v>4881</v>
      </c>
      <c r="G1533" s="16">
        <v>23.61</v>
      </c>
      <c r="H1533" s="16"/>
      <c r="I1533" s="16"/>
      <c r="J1533" s="16" t="s">
        <v>9992</v>
      </c>
      <c r="K1533" s="16" t="s">
        <v>9993</v>
      </c>
      <c r="L1533" s="16"/>
      <c r="M1533" s="25" t="s">
        <v>9994</v>
      </c>
      <c r="N1533" s="12"/>
      <c r="O1533" s="12"/>
      <c r="P1533" s="13">
        <f>IFERROR(__xludf.DUMMYFUNCTION("VALUE(SUBSTITUTE((INDEX(SPLIT(A1533,"",""),1)),""."","","",1))"),55.661399)</f>
        <v>55.661399</v>
      </c>
      <c r="Q1533" s="13">
        <f>IFERROR(__xludf.DUMMYFUNCTION("VALUE(SUBSTITUTE((INDEX(SPLIT(A1533,"",""),2)),""."","","",1))"),37.555436)</f>
        <v>37.555436</v>
      </c>
      <c r="R1533" s="14" t="b">
        <f t="shared" si="1"/>
        <v>0</v>
      </c>
      <c r="S1533" s="14" t="str">
        <f t="shared" si="2"/>
        <v>55.661399,37.555436</v>
      </c>
      <c r="T1533" s="12"/>
    </row>
    <row r="1534">
      <c r="A1534" s="7" t="s">
        <v>9995</v>
      </c>
      <c r="B1534" s="8" t="s">
        <v>9996</v>
      </c>
      <c r="C1534" s="8" t="s">
        <v>9997</v>
      </c>
      <c r="D1534" s="8" t="s">
        <v>16</v>
      </c>
      <c r="E1534" s="9" t="s">
        <v>9998</v>
      </c>
      <c r="F1534" s="10" t="s">
        <v>3883</v>
      </c>
      <c r="G1534" s="8">
        <v>23.61</v>
      </c>
      <c r="H1534" s="8"/>
      <c r="I1534" s="10"/>
      <c r="J1534" s="10" t="s">
        <v>9999</v>
      </c>
      <c r="K1534" s="10" t="s">
        <v>10000</v>
      </c>
      <c r="L1534" s="11" t="s">
        <v>10001</v>
      </c>
      <c r="M1534" s="10"/>
      <c r="N1534" s="12"/>
      <c r="O1534" s="12"/>
      <c r="P1534" s="13">
        <f>IFERROR(__xludf.DUMMYFUNCTION("VALUE(SUBSTITUTE((INDEX(SPLIT(A1534,"",""),1)),""."","","",1))"),55.767798)</f>
        <v>55.767798</v>
      </c>
      <c r="Q1534" s="13">
        <f>IFERROR(__xludf.DUMMYFUNCTION("VALUE(SUBSTITUTE((INDEX(SPLIT(A1534,"",""),2)),""."","","",1))"),37.556532)</f>
        <v>37.556532</v>
      </c>
      <c r="R1534" s="14" t="b">
        <f t="shared" si="1"/>
        <v>0</v>
      </c>
      <c r="S1534" s="14" t="str">
        <f t="shared" si="2"/>
        <v>55.767798,37.556532</v>
      </c>
      <c r="T1534" s="12"/>
    </row>
    <row r="1535">
      <c r="A1535" s="20" t="s">
        <v>10002</v>
      </c>
      <c r="B1535" s="16" t="s">
        <v>10003</v>
      </c>
      <c r="C1535" s="16" t="s">
        <v>10004</v>
      </c>
      <c r="D1535" s="16" t="s">
        <v>16</v>
      </c>
      <c r="E1535" s="21" t="s">
        <v>10005</v>
      </c>
      <c r="F1535" s="22" t="s">
        <v>3883</v>
      </c>
      <c r="G1535" s="16">
        <v>23.61</v>
      </c>
      <c r="H1535" s="16"/>
      <c r="I1535" s="22"/>
      <c r="J1535" s="22" t="s">
        <v>10006</v>
      </c>
      <c r="K1535" s="22" t="s">
        <v>10007</v>
      </c>
      <c r="L1535" s="23" t="s">
        <v>10008</v>
      </c>
      <c r="M1535" s="22"/>
      <c r="N1535" s="12"/>
      <c r="O1535" s="12"/>
      <c r="P1535" s="13">
        <f>IFERROR(__xludf.DUMMYFUNCTION("VALUE(SUBSTITUTE((INDEX(SPLIT(A1535,"",""),1)),""."","","",1))"),55.547973)</f>
        <v>55.547973</v>
      </c>
      <c r="Q1535" s="13">
        <f>IFERROR(__xludf.DUMMYFUNCTION("VALUE(SUBSTITUTE((INDEX(SPLIT(A1535,"",""),2)),""."","","",1))"),37.556972)</f>
        <v>37.556972</v>
      </c>
      <c r="R1535" s="14" t="b">
        <f t="shared" si="1"/>
        <v>0</v>
      </c>
      <c r="S1535" s="14" t="str">
        <f t="shared" si="2"/>
        <v>55.547973,37.556972</v>
      </c>
      <c r="T1535" s="12"/>
    </row>
    <row r="1536">
      <c r="A1536" s="18" t="s">
        <v>10009</v>
      </c>
      <c r="B1536" s="8" t="s">
        <v>10010</v>
      </c>
      <c r="C1536" s="8" t="s">
        <v>10011</v>
      </c>
      <c r="D1536" s="8" t="s">
        <v>16</v>
      </c>
      <c r="E1536" s="19" t="s">
        <v>10012</v>
      </c>
      <c r="F1536" s="8" t="s">
        <v>3760</v>
      </c>
      <c r="G1536" s="8">
        <v>23.61</v>
      </c>
      <c r="H1536" s="8"/>
      <c r="I1536" s="27" t="s">
        <v>10013</v>
      </c>
      <c r="J1536" s="8" t="s">
        <v>10014</v>
      </c>
      <c r="K1536" s="8" t="s">
        <v>10015</v>
      </c>
      <c r="L1536" s="8"/>
      <c r="M1536" s="8"/>
      <c r="N1536" s="12"/>
      <c r="O1536" s="12"/>
      <c r="P1536" s="13">
        <f>IFERROR(__xludf.DUMMYFUNCTION("VALUE(SUBSTITUTE((INDEX(SPLIT(A1536,"",""),1)),""."","","",1))"),55.359927)</f>
        <v>55.359927</v>
      </c>
      <c r="Q1536" s="13">
        <f>IFERROR(__xludf.DUMMYFUNCTION("VALUE(SUBSTITUTE((INDEX(SPLIT(A1536,"",""),2)),""."","","",1))"),37.557637)</f>
        <v>37.557637</v>
      </c>
      <c r="R1536" s="14" t="b">
        <f t="shared" si="1"/>
        <v>0</v>
      </c>
      <c r="S1536" s="14" t="str">
        <f t="shared" si="2"/>
        <v>55.359927,37.557637</v>
      </c>
      <c r="T1536" s="12"/>
    </row>
    <row r="1537">
      <c r="A1537" s="20" t="s">
        <v>10016</v>
      </c>
      <c r="B1537" s="16" t="s">
        <v>10017</v>
      </c>
      <c r="C1537" s="16" t="s">
        <v>10018</v>
      </c>
      <c r="D1537" s="16" t="s">
        <v>16</v>
      </c>
      <c r="E1537" s="21" t="s">
        <v>10019</v>
      </c>
      <c r="F1537" s="22" t="s">
        <v>8566</v>
      </c>
      <c r="G1537" s="16">
        <v>23.61</v>
      </c>
      <c r="H1537" s="16"/>
      <c r="I1537" s="22"/>
      <c r="J1537" s="22" t="s">
        <v>10020</v>
      </c>
      <c r="K1537" s="22" t="s">
        <v>10021</v>
      </c>
      <c r="L1537" s="23" t="s">
        <v>10022</v>
      </c>
      <c r="M1537" s="22"/>
      <c r="N1537" s="12"/>
      <c r="O1537" s="12"/>
      <c r="P1537" s="13">
        <f>IFERROR(__xludf.DUMMYFUNCTION("VALUE(SUBSTITUTE((INDEX(SPLIT(A1537,"",""),1)),""."","","",1))"),44.83396)</f>
        <v>44.83396</v>
      </c>
      <c r="Q1537" s="13">
        <f>IFERROR(__xludf.DUMMYFUNCTION("VALUE(SUBSTITUTE((INDEX(SPLIT(A1537,"",""),2)),""."","","",1))"),37.558185)</f>
        <v>37.558185</v>
      </c>
      <c r="R1537" s="14" t="b">
        <f t="shared" si="1"/>
        <v>0</v>
      </c>
      <c r="S1537" s="14" t="str">
        <f t="shared" si="2"/>
        <v>44.83396,37.558185</v>
      </c>
      <c r="T1537" s="12"/>
    </row>
    <row r="1538">
      <c r="A1538" s="18" t="s">
        <v>10023</v>
      </c>
      <c r="B1538" s="8" t="s">
        <v>10024</v>
      </c>
      <c r="C1538" s="8" t="s">
        <v>10025</v>
      </c>
      <c r="D1538" s="8" t="s">
        <v>16</v>
      </c>
      <c r="E1538" s="19" t="s">
        <v>10026</v>
      </c>
      <c r="F1538" s="8" t="s">
        <v>4881</v>
      </c>
      <c r="G1538" s="8">
        <v>23.61</v>
      </c>
      <c r="H1538" s="8"/>
      <c r="I1538" s="8"/>
      <c r="J1538" s="8" t="s">
        <v>10027</v>
      </c>
      <c r="K1538" s="8" t="s">
        <v>10028</v>
      </c>
      <c r="L1538" s="8"/>
      <c r="M1538" s="8"/>
      <c r="N1538" s="12"/>
      <c r="O1538" s="12"/>
      <c r="P1538" s="13">
        <f>IFERROR(__xludf.DUMMYFUNCTION("VALUE(SUBSTITUTE((INDEX(SPLIT(A1538,"",""),1)),""."","","",1))"),55.664649)</f>
        <v>55.664649</v>
      </c>
      <c r="Q1538" s="13">
        <f>IFERROR(__xludf.DUMMYFUNCTION("VALUE(SUBSTITUTE((INDEX(SPLIT(A1538,"",""),2)),""."","","",1))"),37.561347)</f>
        <v>37.561347</v>
      </c>
      <c r="R1538" s="14" t="b">
        <f t="shared" si="1"/>
        <v>0</v>
      </c>
      <c r="S1538" s="14" t="str">
        <f t="shared" si="2"/>
        <v>55.664649,37.561347</v>
      </c>
      <c r="T1538" s="12"/>
    </row>
    <row r="1539">
      <c r="A1539" s="15" t="s">
        <v>10029</v>
      </c>
      <c r="B1539" s="16" t="s">
        <v>1321</v>
      </c>
      <c r="C1539" s="16" t="s">
        <v>1322</v>
      </c>
      <c r="D1539" s="16" t="s">
        <v>16</v>
      </c>
      <c r="E1539" s="17" t="s">
        <v>10030</v>
      </c>
      <c r="F1539" s="16" t="s">
        <v>4327</v>
      </c>
      <c r="G1539" s="16">
        <v>23.61</v>
      </c>
      <c r="H1539" s="16"/>
      <c r="I1539" s="16"/>
      <c r="J1539" s="16" t="s">
        <v>10031</v>
      </c>
      <c r="K1539" s="16" t="s">
        <v>10032</v>
      </c>
      <c r="L1539" s="16"/>
      <c r="M1539" s="25" t="s">
        <v>10033</v>
      </c>
      <c r="N1539" s="12"/>
      <c r="O1539" s="12"/>
      <c r="P1539" s="13">
        <f>IFERROR(__xludf.DUMMYFUNCTION("VALUE(SUBSTITUTE((INDEX(SPLIT(A1539,"",""),1)),""."","","",1))"),51.285419)</f>
        <v>51.285419</v>
      </c>
      <c r="Q1539" s="13">
        <f>IFERROR(__xludf.DUMMYFUNCTION("VALUE(SUBSTITUTE((INDEX(SPLIT(A1539,"",""),2)),""."","","",1))"),37.561679)</f>
        <v>37.561679</v>
      </c>
      <c r="R1539" s="14" t="b">
        <f t="shared" si="1"/>
        <v>0</v>
      </c>
      <c r="S1539" s="14" t="str">
        <f t="shared" si="2"/>
        <v>51.285419,37.561679</v>
      </c>
      <c r="T1539" s="12"/>
    </row>
    <row r="1540">
      <c r="A1540" s="7" t="s">
        <v>10034</v>
      </c>
      <c r="B1540" s="8" t="s">
        <v>10035</v>
      </c>
      <c r="C1540" s="8" t="s">
        <v>10036</v>
      </c>
      <c r="D1540" s="8" t="s">
        <v>16</v>
      </c>
      <c r="E1540" s="9" t="s">
        <v>10037</v>
      </c>
      <c r="F1540" s="10" t="s">
        <v>3883</v>
      </c>
      <c r="G1540" s="8">
        <v>23.61</v>
      </c>
      <c r="H1540" s="8"/>
      <c r="I1540" s="10"/>
      <c r="J1540" s="10" t="s">
        <v>10038</v>
      </c>
      <c r="K1540" s="10" t="s">
        <v>10039</v>
      </c>
      <c r="L1540" s="11" t="s">
        <v>10040</v>
      </c>
      <c r="M1540" s="10"/>
      <c r="N1540" s="12"/>
      <c r="O1540" s="12"/>
      <c r="P1540" s="13">
        <f>IFERROR(__xludf.DUMMYFUNCTION("VALUE(SUBSTITUTE((INDEX(SPLIT(A1540,"",""),1)),""."","","",1))"),55.798389)</f>
        <v>55.798389</v>
      </c>
      <c r="Q1540" s="13">
        <f>IFERROR(__xludf.DUMMYFUNCTION("VALUE(SUBSTITUTE((INDEX(SPLIT(A1540,"",""),2)),""."","","",1))"),37.56238)</f>
        <v>37.56238</v>
      </c>
      <c r="R1540" s="14" t="b">
        <f t="shared" si="1"/>
        <v>0</v>
      </c>
      <c r="S1540" s="14" t="str">
        <f t="shared" si="2"/>
        <v>55.798389,37.56238</v>
      </c>
      <c r="T1540" s="12"/>
    </row>
    <row r="1541">
      <c r="A1541" s="20" t="s">
        <v>10041</v>
      </c>
      <c r="B1541" s="16" t="s">
        <v>10042</v>
      </c>
      <c r="C1541" s="16" t="s">
        <v>10043</v>
      </c>
      <c r="D1541" s="16" t="s">
        <v>16</v>
      </c>
      <c r="E1541" s="21" t="s">
        <v>10044</v>
      </c>
      <c r="F1541" s="22" t="s">
        <v>10045</v>
      </c>
      <c r="G1541" s="16">
        <v>23.61</v>
      </c>
      <c r="H1541" s="16"/>
      <c r="I1541" s="22"/>
      <c r="J1541" s="22" t="s">
        <v>10046</v>
      </c>
      <c r="K1541" s="22" t="s">
        <v>10047</v>
      </c>
      <c r="L1541" s="23" t="s">
        <v>10048</v>
      </c>
      <c r="M1541" s="23" t="s">
        <v>10049</v>
      </c>
      <c r="N1541" s="12"/>
      <c r="O1541" s="12"/>
      <c r="P1541" s="13">
        <f>IFERROR(__xludf.DUMMYFUNCTION("VALUE(SUBSTITUTE((INDEX(SPLIT(A1541,"",""),1)),""."","","",1))"),55.6789)</f>
        <v>55.6789</v>
      </c>
      <c r="Q1541" s="13">
        <f>IFERROR(__xludf.DUMMYFUNCTION("VALUE(SUBSTITUTE((INDEX(SPLIT(A1541,"",""),2)),""."","","",1))"),37.563152)</f>
        <v>37.563152</v>
      </c>
      <c r="R1541" s="14" t="b">
        <f t="shared" si="1"/>
        <v>0</v>
      </c>
      <c r="S1541" s="14" t="str">
        <f t="shared" si="2"/>
        <v>55.6789,37.563152</v>
      </c>
      <c r="T1541" s="12"/>
    </row>
    <row r="1542">
      <c r="A1542" s="7" t="s">
        <v>10050</v>
      </c>
      <c r="B1542" s="8" t="s">
        <v>10051</v>
      </c>
      <c r="C1542" s="8" t="s">
        <v>10052</v>
      </c>
      <c r="D1542" s="8" t="s">
        <v>16</v>
      </c>
      <c r="E1542" s="9" t="s">
        <v>10053</v>
      </c>
      <c r="F1542" s="10" t="s">
        <v>4327</v>
      </c>
      <c r="G1542" s="8">
        <v>23.61</v>
      </c>
      <c r="H1542" s="8"/>
      <c r="I1542" s="10"/>
      <c r="J1542" s="10" t="s">
        <v>10054</v>
      </c>
      <c r="K1542" s="10" t="s">
        <v>10055</v>
      </c>
      <c r="L1542" s="11" t="s">
        <v>10056</v>
      </c>
      <c r="M1542" s="10"/>
      <c r="N1542" s="12"/>
      <c r="O1542" s="12"/>
      <c r="P1542" s="13">
        <f>IFERROR(__xludf.DUMMYFUNCTION("VALUE(SUBSTITUTE((INDEX(SPLIT(A1542,"",""),1)),""."","","",1))"),51.28752)</f>
        <v>51.28752</v>
      </c>
      <c r="Q1542" s="13">
        <f>IFERROR(__xludf.DUMMYFUNCTION("VALUE(SUBSTITUTE((INDEX(SPLIT(A1542,"",""),2)),""."","","",1))"),37.56362)</f>
        <v>37.56362</v>
      </c>
      <c r="R1542" s="14" t="b">
        <f t="shared" si="1"/>
        <v>0</v>
      </c>
      <c r="S1542" s="14" t="str">
        <f t="shared" si="2"/>
        <v>51.28752,37.56362</v>
      </c>
      <c r="T1542" s="12"/>
    </row>
    <row r="1543">
      <c r="A1543" s="15" t="s">
        <v>10050</v>
      </c>
      <c r="B1543" s="16" t="s">
        <v>10057</v>
      </c>
      <c r="C1543" s="16" t="s">
        <v>10058</v>
      </c>
      <c r="D1543" s="16" t="s">
        <v>16</v>
      </c>
      <c r="E1543" s="17" t="s">
        <v>10059</v>
      </c>
      <c r="F1543" s="16" t="s">
        <v>4327</v>
      </c>
      <c r="G1543" s="16">
        <v>23.61</v>
      </c>
      <c r="H1543" s="16"/>
      <c r="I1543" s="16"/>
      <c r="J1543" s="16" t="s">
        <v>10060</v>
      </c>
      <c r="K1543" s="16" t="s">
        <v>9631</v>
      </c>
      <c r="L1543" s="16"/>
      <c r="M1543" s="16"/>
      <c r="N1543" s="12"/>
      <c r="O1543" s="12"/>
      <c r="P1543" s="13">
        <f>IFERROR(__xludf.DUMMYFUNCTION("VALUE(SUBSTITUTE((INDEX(SPLIT(A1543,"",""),1)),""."","","",1))"),51.28752)</f>
        <v>51.28752</v>
      </c>
      <c r="Q1543" s="13">
        <f>IFERROR(__xludf.DUMMYFUNCTION("VALUE(SUBSTITUTE((INDEX(SPLIT(A1543,"",""),2)),""."","","",1))"),37.56362)</f>
        <v>37.56362</v>
      </c>
      <c r="R1543" s="14" t="b">
        <f t="shared" si="1"/>
        <v>0</v>
      </c>
      <c r="S1543" s="14" t="str">
        <f t="shared" si="2"/>
        <v>51.28752,37.56362</v>
      </c>
      <c r="T1543" s="12"/>
    </row>
    <row r="1544">
      <c r="A1544" s="18" t="s">
        <v>10061</v>
      </c>
      <c r="B1544" s="8" t="s">
        <v>10062</v>
      </c>
      <c r="C1544" s="8" t="s">
        <v>10063</v>
      </c>
      <c r="D1544" s="8" t="s">
        <v>16</v>
      </c>
      <c r="E1544" s="19" t="s">
        <v>10064</v>
      </c>
      <c r="F1544" s="8" t="s">
        <v>8566</v>
      </c>
      <c r="G1544" s="8">
        <v>23.61</v>
      </c>
      <c r="H1544" s="8"/>
      <c r="I1544" s="8"/>
      <c r="J1544" s="8" t="s">
        <v>10065</v>
      </c>
      <c r="K1544" s="8" t="s">
        <v>10066</v>
      </c>
      <c r="L1544" s="8"/>
      <c r="M1544" s="8"/>
      <c r="N1544" s="12"/>
      <c r="O1544" s="12"/>
      <c r="P1544" s="13">
        <f>IFERROR(__xludf.DUMMYFUNCTION("VALUE(SUBSTITUTE((INDEX(SPLIT(A1544,"",""),1)),""."","","",1))"),44.905863)</f>
        <v>44.905863</v>
      </c>
      <c r="Q1544" s="13">
        <f>IFERROR(__xludf.DUMMYFUNCTION("VALUE(SUBSTITUTE((INDEX(SPLIT(A1544,"",""),2)),""."","","",1))"),37.567015)</f>
        <v>37.567015</v>
      </c>
      <c r="R1544" s="14" t="b">
        <f t="shared" si="1"/>
        <v>0</v>
      </c>
      <c r="S1544" s="14" t="str">
        <f t="shared" si="2"/>
        <v>44.905863,37.567015</v>
      </c>
      <c r="T1544" s="12"/>
    </row>
    <row r="1545">
      <c r="A1545" s="15" t="s">
        <v>10067</v>
      </c>
      <c r="B1545" s="16" t="s">
        <v>10068</v>
      </c>
      <c r="C1545" s="16" t="s">
        <v>10069</v>
      </c>
      <c r="D1545" s="16" t="s">
        <v>16</v>
      </c>
      <c r="E1545" s="17" t="s">
        <v>10070</v>
      </c>
      <c r="F1545" s="16" t="s">
        <v>3883</v>
      </c>
      <c r="G1545" s="16">
        <v>23.61</v>
      </c>
      <c r="H1545" s="16"/>
      <c r="I1545" s="16"/>
      <c r="J1545" s="16" t="s">
        <v>10071</v>
      </c>
      <c r="K1545" s="16" t="s">
        <v>10072</v>
      </c>
      <c r="L1545" s="16"/>
      <c r="M1545" s="16"/>
      <c r="N1545" s="12"/>
      <c r="O1545" s="12"/>
      <c r="P1545" s="13">
        <f>IFERROR(__xludf.DUMMYFUNCTION("VALUE(SUBSTITUTE((INDEX(SPLIT(A1545,"",""),1)),""."","","",1))"),55.905154)</f>
        <v>55.905154</v>
      </c>
      <c r="Q1545" s="13">
        <f>IFERROR(__xludf.DUMMYFUNCTION("VALUE(SUBSTITUTE((INDEX(SPLIT(A1545,"",""),2)),""."","","",1))"),37.568336)</f>
        <v>37.568336</v>
      </c>
      <c r="R1545" s="14" t="b">
        <f t="shared" si="1"/>
        <v>0</v>
      </c>
      <c r="S1545" s="14" t="str">
        <f t="shared" si="2"/>
        <v>55.905154,37.568336</v>
      </c>
      <c r="T1545" s="12"/>
    </row>
    <row r="1546">
      <c r="A1546" s="18" t="s">
        <v>10073</v>
      </c>
      <c r="B1546" s="8" t="s">
        <v>10074</v>
      </c>
      <c r="C1546" s="8" t="s">
        <v>10075</v>
      </c>
      <c r="D1546" s="8" t="s">
        <v>16</v>
      </c>
      <c r="E1546" s="19" t="s">
        <v>10076</v>
      </c>
      <c r="F1546" s="8" t="s">
        <v>4881</v>
      </c>
      <c r="G1546" s="8">
        <v>23.61</v>
      </c>
      <c r="H1546" s="8"/>
      <c r="I1546" s="8"/>
      <c r="J1546" s="8" t="s">
        <v>10077</v>
      </c>
      <c r="K1546" s="8" t="s">
        <v>10078</v>
      </c>
      <c r="L1546" s="8"/>
      <c r="M1546" s="8"/>
      <c r="N1546" s="12"/>
      <c r="O1546" s="12"/>
      <c r="P1546" s="13">
        <f>IFERROR(__xludf.DUMMYFUNCTION("VALUE(SUBSTITUTE((INDEX(SPLIT(A1546,"",""),1)),""."","","",1))"),55.735581)</f>
        <v>55.735581</v>
      </c>
      <c r="Q1546" s="13">
        <f>IFERROR(__xludf.DUMMYFUNCTION("VALUE(SUBSTITUTE((INDEX(SPLIT(A1546,"",""),2)),""."","","",1))"),37.570105)</f>
        <v>37.570105</v>
      </c>
      <c r="R1546" s="14" t="b">
        <f t="shared" si="1"/>
        <v>0</v>
      </c>
      <c r="S1546" s="14" t="str">
        <f t="shared" si="2"/>
        <v>55.735581,37.570105</v>
      </c>
      <c r="T1546" s="12"/>
    </row>
    <row r="1547">
      <c r="A1547" s="20" t="s">
        <v>10079</v>
      </c>
      <c r="B1547" s="16" t="s">
        <v>10080</v>
      </c>
      <c r="C1547" s="16" t="s">
        <v>10081</v>
      </c>
      <c r="D1547" s="16" t="s">
        <v>16</v>
      </c>
      <c r="E1547" s="21" t="s">
        <v>10082</v>
      </c>
      <c r="F1547" s="22" t="s">
        <v>3760</v>
      </c>
      <c r="G1547" s="16">
        <v>23.61</v>
      </c>
      <c r="H1547" s="16"/>
      <c r="I1547" s="22"/>
      <c r="J1547" s="22" t="s">
        <v>10083</v>
      </c>
      <c r="K1547" s="22" t="s">
        <v>10084</v>
      </c>
      <c r="L1547" s="23" t="s">
        <v>10085</v>
      </c>
      <c r="M1547" s="22"/>
      <c r="N1547" s="12"/>
      <c r="O1547" s="12"/>
      <c r="P1547" s="13">
        <f>IFERROR(__xludf.DUMMYFUNCTION("VALUE(SUBSTITUTE((INDEX(SPLIT(A1547,"",""),1)),""."","","",1))"),55.42919)</f>
        <v>55.42919</v>
      </c>
      <c r="Q1547" s="13">
        <f>IFERROR(__xludf.DUMMYFUNCTION("VALUE(SUBSTITUTE((INDEX(SPLIT(A1547,"",""),2)),""."","","",1))"),37.571336)</f>
        <v>37.571336</v>
      </c>
      <c r="R1547" s="14" t="b">
        <f t="shared" si="1"/>
        <v>0</v>
      </c>
      <c r="S1547" s="14" t="str">
        <f t="shared" si="2"/>
        <v>55.42919,37.571336</v>
      </c>
      <c r="T1547" s="12"/>
    </row>
    <row r="1548">
      <c r="A1548" s="18" t="s">
        <v>10086</v>
      </c>
      <c r="B1548" s="8" t="s">
        <v>10087</v>
      </c>
      <c r="C1548" s="8" t="s">
        <v>10088</v>
      </c>
      <c r="D1548" s="8" t="s">
        <v>16</v>
      </c>
      <c r="E1548" s="19" t="s">
        <v>10089</v>
      </c>
      <c r="F1548" s="8" t="s">
        <v>3883</v>
      </c>
      <c r="G1548" s="8">
        <v>23.61</v>
      </c>
      <c r="H1548" s="8"/>
      <c r="I1548" s="8"/>
      <c r="J1548" s="8" t="s">
        <v>10090</v>
      </c>
      <c r="K1548" s="8" t="s">
        <v>10091</v>
      </c>
      <c r="L1548" s="8"/>
      <c r="M1548" s="8"/>
      <c r="N1548" s="12"/>
      <c r="O1548" s="12"/>
      <c r="P1548" s="13">
        <f>IFERROR(__xludf.DUMMYFUNCTION("VALUE(SUBSTITUTE((INDEX(SPLIT(A1548,"",""),1)),""."","","",1))"),55.72489)</f>
        <v>55.72489</v>
      </c>
      <c r="Q1548" s="13">
        <f>IFERROR(__xludf.DUMMYFUNCTION("VALUE(SUBSTITUTE((INDEX(SPLIT(A1548,"",""),2)),""."","","",1))"),37.571534)</f>
        <v>37.571534</v>
      </c>
      <c r="R1548" s="14" t="b">
        <f t="shared" si="1"/>
        <v>0</v>
      </c>
      <c r="S1548" s="14" t="str">
        <f t="shared" si="2"/>
        <v>55.72489,37.571534</v>
      </c>
      <c r="T1548" s="12"/>
    </row>
    <row r="1549">
      <c r="A1549" s="15" t="s">
        <v>10092</v>
      </c>
      <c r="B1549" s="16" t="s">
        <v>10093</v>
      </c>
      <c r="C1549" s="16" t="s">
        <v>10094</v>
      </c>
      <c r="D1549" s="16" t="s">
        <v>16</v>
      </c>
      <c r="E1549" s="17" t="s">
        <v>10095</v>
      </c>
      <c r="F1549" s="16" t="s">
        <v>4881</v>
      </c>
      <c r="G1549" s="16">
        <v>23.61</v>
      </c>
      <c r="H1549" s="16"/>
      <c r="I1549" s="16"/>
      <c r="J1549" s="16" t="s">
        <v>10096</v>
      </c>
      <c r="K1549" s="16" t="s">
        <v>10097</v>
      </c>
      <c r="L1549" s="16"/>
      <c r="M1549" s="16"/>
      <c r="N1549" s="12"/>
      <c r="O1549" s="12"/>
      <c r="P1549" s="13">
        <f>IFERROR(__xludf.DUMMYFUNCTION("VALUE(SUBSTITUTE((INDEX(SPLIT(A1549,"",""),1)),""."","","",1))"),55.727399)</f>
        <v>55.727399</v>
      </c>
      <c r="Q1549" s="13">
        <f>IFERROR(__xludf.DUMMYFUNCTION("VALUE(SUBSTITUTE((INDEX(SPLIT(A1549,"",""),2)),""."","","",1))"),37.571767)</f>
        <v>37.571767</v>
      </c>
      <c r="R1549" s="14" t="b">
        <f t="shared" si="1"/>
        <v>0</v>
      </c>
      <c r="S1549" s="14" t="str">
        <f t="shared" si="2"/>
        <v>55.727399,37.571767</v>
      </c>
      <c r="T1549" s="12"/>
    </row>
    <row r="1550">
      <c r="A1550" s="18" t="s">
        <v>10098</v>
      </c>
      <c r="B1550" s="8" t="s">
        <v>2685</v>
      </c>
      <c r="C1550" s="8" t="s">
        <v>2686</v>
      </c>
      <c r="D1550" s="8" t="s">
        <v>16</v>
      </c>
      <c r="E1550" s="19" t="s">
        <v>10099</v>
      </c>
      <c r="F1550" s="8" t="s">
        <v>3760</v>
      </c>
      <c r="G1550" s="8">
        <v>23.61</v>
      </c>
      <c r="H1550" s="8"/>
      <c r="I1550" s="8"/>
      <c r="J1550" s="8" t="s">
        <v>10100</v>
      </c>
      <c r="K1550" s="8" t="s">
        <v>10101</v>
      </c>
      <c r="L1550" s="8"/>
      <c r="M1550" s="8"/>
      <c r="N1550" s="12"/>
      <c r="O1550" s="12"/>
      <c r="P1550" s="13">
        <f>IFERROR(__xludf.DUMMYFUNCTION("VALUE(SUBSTITUTE((INDEX(SPLIT(A1550,"",""),1)),""."","","",1))"),55.467764)</f>
        <v>55.467764</v>
      </c>
      <c r="Q1550" s="13">
        <f>IFERROR(__xludf.DUMMYFUNCTION("VALUE(SUBSTITUTE((INDEX(SPLIT(A1550,"",""),2)),""."","","",1))"),37.571839)</f>
        <v>37.571839</v>
      </c>
      <c r="R1550" s="14" t="b">
        <f t="shared" si="1"/>
        <v>0</v>
      </c>
      <c r="S1550" s="14" t="str">
        <f t="shared" si="2"/>
        <v>55.467764,37.571839</v>
      </c>
      <c r="T1550" s="12"/>
    </row>
    <row r="1551">
      <c r="A1551" s="15" t="s">
        <v>10102</v>
      </c>
      <c r="B1551" s="16" t="s">
        <v>10103</v>
      </c>
      <c r="C1551" s="16" t="s">
        <v>10104</v>
      </c>
      <c r="D1551" s="16" t="s">
        <v>16</v>
      </c>
      <c r="E1551" s="17" t="s">
        <v>10105</v>
      </c>
      <c r="F1551" s="16" t="s">
        <v>3883</v>
      </c>
      <c r="G1551" s="16">
        <v>23.61</v>
      </c>
      <c r="H1551" s="16"/>
      <c r="I1551" s="16"/>
      <c r="J1551" s="16" t="s">
        <v>10106</v>
      </c>
      <c r="K1551" s="16" t="s">
        <v>10107</v>
      </c>
      <c r="L1551" s="16"/>
      <c r="M1551" s="16"/>
      <c r="N1551" s="12"/>
      <c r="O1551" s="12"/>
      <c r="P1551" s="13">
        <f>IFERROR(__xludf.DUMMYFUNCTION("VALUE(SUBSTITUTE((INDEX(SPLIT(A1551,"",""),1)),""."","","",1))"),55.649413)</f>
        <v>55.649413</v>
      </c>
      <c r="Q1551" s="13">
        <f>IFERROR(__xludf.DUMMYFUNCTION("VALUE(SUBSTITUTE((INDEX(SPLIT(A1551,"",""),2)),""."","","",1))"),37.573142)</f>
        <v>37.573142</v>
      </c>
      <c r="R1551" s="14" t="b">
        <f t="shared" si="1"/>
        <v>0</v>
      </c>
      <c r="S1551" s="14" t="str">
        <f t="shared" si="2"/>
        <v>55.649413,37.573142</v>
      </c>
      <c r="T1551" s="12"/>
    </row>
    <row r="1552">
      <c r="A1552" s="18" t="s">
        <v>10108</v>
      </c>
      <c r="B1552" s="8" t="s">
        <v>10109</v>
      </c>
      <c r="C1552" s="8" t="s">
        <v>10110</v>
      </c>
      <c r="D1552" s="8" t="s">
        <v>16</v>
      </c>
      <c r="E1552" s="19" t="s">
        <v>10111</v>
      </c>
      <c r="F1552" s="8" t="s">
        <v>4881</v>
      </c>
      <c r="G1552" s="8">
        <v>23.61</v>
      </c>
      <c r="H1552" s="8"/>
      <c r="I1552" s="8"/>
      <c r="J1552" s="8" t="s">
        <v>10112</v>
      </c>
      <c r="K1552" s="8" t="s">
        <v>10113</v>
      </c>
      <c r="L1552" s="8"/>
      <c r="M1552" s="8"/>
      <c r="N1552" s="12"/>
      <c r="O1552" s="12"/>
      <c r="P1552" s="13">
        <f>IFERROR(__xludf.DUMMYFUNCTION("VALUE(SUBSTITUTE((INDEX(SPLIT(A1552,"",""),1)),""."","","",1))"),55.729199)</f>
        <v>55.729199</v>
      </c>
      <c r="Q1552" s="13">
        <f>IFERROR(__xludf.DUMMYFUNCTION("VALUE(SUBSTITUTE((INDEX(SPLIT(A1552,"",""),2)),""."","","",1))"),37.574534)</f>
        <v>37.574534</v>
      </c>
      <c r="R1552" s="14" t="b">
        <f t="shared" si="1"/>
        <v>0</v>
      </c>
      <c r="S1552" s="14" t="str">
        <f t="shared" si="2"/>
        <v>55.729199,37.574534</v>
      </c>
      <c r="T1552" s="12"/>
    </row>
    <row r="1553">
      <c r="A1553" s="15" t="s">
        <v>10114</v>
      </c>
      <c r="B1553" s="16" t="s">
        <v>10115</v>
      </c>
      <c r="C1553" s="16" t="s">
        <v>10116</v>
      </c>
      <c r="D1553" s="16" t="s">
        <v>16</v>
      </c>
      <c r="E1553" s="17" t="s">
        <v>10117</v>
      </c>
      <c r="F1553" s="16" t="s">
        <v>4881</v>
      </c>
      <c r="G1553" s="16">
        <v>23.61</v>
      </c>
      <c r="H1553" s="16"/>
      <c r="I1553" s="16"/>
      <c r="J1553" s="16" t="s">
        <v>10118</v>
      </c>
      <c r="K1553" s="16" t="s">
        <v>10119</v>
      </c>
      <c r="L1553" s="16"/>
      <c r="M1553" s="16"/>
      <c r="N1553" s="12"/>
      <c r="O1553" s="12"/>
      <c r="P1553" s="13">
        <f>IFERROR(__xludf.DUMMYFUNCTION("VALUE(SUBSTITUTE((INDEX(SPLIT(A1553,"",""),1)),""."","","",1))"),55.726568)</f>
        <v>55.726568</v>
      </c>
      <c r="Q1553" s="13">
        <f>IFERROR(__xludf.DUMMYFUNCTION("VALUE(SUBSTITUTE((INDEX(SPLIT(A1553,"",""),2)),""."","","",1))"),37.575378)</f>
        <v>37.575378</v>
      </c>
      <c r="R1553" s="14" t="b">
        <f t="shared" si="1"/>
        <v>0</v>
      </c>
      <c r="S1553" s="14" t="str">
        <f t="shared" si="2"/>
        <v>55.726568,37.575378</v>
      </c>
      <c r="T1553" s="12"/>
    </row>
    <row r="1554">
      <c r="A1554" s="18" t="s">
        <v>10120</v>
      </c>
      <c r="B1554" s="8" t="s">
        <v>10121</v>
      </c>
      <c r="C1554" s="8" t="s">
        <v>10122</v>
      </c>
      <c r="D1554" s="8" t="s">
        <v>16</v>
      </c>
      <c r="E1554" s="19" t="s">
        <v>10123</v>
      </c>
      <c r="F1554" s="8" t="s">
        <v>3883</v>
      </c>
      <c r="G1554" s="8">
        <v>23.61</v>
      </c>
      <c r="H1554" s="8"/>
      <c r="I1554" s="8"/>
      <c r="J1554" s="8" t="s">
        <v>10124</v>
      </c>
      <c r="K1554" s="8" t="s">
        <v>10125</v>
      </c>
      <c r="L1554" s="8"/>
      <c r="M1554" s="24" t="s">
        <v>10126</v>
      </c>
      <c r="N1554" s="12"/>
      <c r="O1554" s="12"/>
      <c r="P1554" s="13">
        <f>IFERROR(__xludf.DUMMYFUNCTION("VALUE(SUBSTITUTE((INDEX(SPLIT(A1554,"",""),1)),""."","","",1))"),55.512633)</f>
        <v>55.512633</v>
      </c>
      <c r="Q1554" s="13">
        <f>IFERROR(__xludf.DUMMYFUNCTION("VALUE(SUBSTITUTE((INDEX(SPLIT(A1554,"",""),2)),""."","","",1))"),37.575459)</f>
        <v>37.575459</v>
      </c>
      <c r="R1554" s="14" t="b">
        <f t="shared" si="1"/>
        <v>0</v>
      </c>
      <c r="S1554" s="14" t="str">
        <f t="shared" si="2"/>
        <v>55.512633,37.575459</v>
      </c>
      <c r="T1554" s="12"/>
    </row>
    <row r="1555">
      <c r="A1555" s="15" t="s">
        <v>10127</v>
      </c>
      <c r="B1555" s="16" t="s">
        <v>10128</v>
      </c>
      <c r="C1555" s="16" t="s">
        <v>10129</v>
      </c>
      <c r="D1555" s="16" t="s">
        <v>16</v>
      </c>
      <c r="E1555" s="17" t="s">
        <v>10130</v>
      </c>
      <c r="F1555" s="16" t="s">
        <v>4881</v>
      </c>
      <c r="G1555" s="16">
        <v>23.61</v>
      </c>
      <c r="H1555" s="16"/>
      <c r="I1555" s="16"/>
      <c r="J1555" s="16" t="s">
        <v>10131</v>
      </c>
      <c r="K1555" s="16" t="s">
        <v>10132</v>
      </c>
      <c r="L1555" s="16"/>
      <c r="M1555" s="16"/>
      <c r="N1555" s="12"/>
      <c r="O1555" s="12"/>
      <c r="P1555" s="13">
        <f>IFERROR(__xludf.DUMMYFUNCTION("VALUE(SUBSTITUTE((INDEX(SPLIT(A1555,"",""),1)),""."","","",1))"),55.767139)</f>
        <v>55.767139</v>
      </c>
      <c r="Q1555" s="13">
        <f>IFERROR(__xludf.DUMMYFUNCTION("VALUE(SUBSTITUTE((INDEX(SPLIT(A1555,"",""),2)),""."","","",1))"),37.576016)</f>
        <v>37.576016</v>
      </c>
      <c r="R1555" s="14" t="b">
        <f t="shared" si="1"/>
        <v>0</v>
      </c>
      <c r="S1555" s="14" t="str">
        <f t="shared" si="2"/>
        <v>55.767139,37.576016</v>
      </c>
      <c r="T1555" s="12"/>
    </row>
    <row r="1556">
      <c r="A1556" s="18" t="s">
        <v>10133</v>
      </c>
      <c r="B1556" s="8" t="s">
        <v>763</v>
      </c>
      <c r="C1556" s="8" t="s">
        <v>764</v>
      </c>
      <c r="D1556" s="8" t="s">
        <v>16</v>
      </c>
      <c r="E1556" s="19" t="s">
        <v>10134</v>
      </c>
      <c r="F1556" s="8" t="s">
        <v>7157</v>
      </c>
      <c r="G1556" s="8">
        <v>23.61</v>
      </c>
      <c r="H1556" s="8"/>
      <c r="I1556" s="8"/>
      <c r="J1556" s="8" t="s">
        <v>10135</v>
      </c>
      <c r="K1556" s="8" t="s">
        <v>10136</v>
      </c>
      <c r="L1556" s="8"/>
      <c r="M1556" s="8"/>
      <c r="N1556" s="12"/>
      <c r="O1556" s="12"/>
      <c r="P1556" s="13">
        <f>IFERROR(__xludf.DUMMYFUNCTION("VALUE(SUBSTITUTE((INDEX(SPLIT(A1556,"",""),1)),""."","","",1))"),52.418108)</f>
        <v>52.418108</v>
      </c>
      <c r="Q1556" s="13">
        <f>IFERROR(__xludf.DUMMYFUNCTION("VALUE(SUBSTITUTE((INDEX(SPLIT(A1556,"",""),2)),""."","","",1))"),37.57837)</f>
        <v>37.57837</v>
      </c>
      <c r="R1556" s="14" t="b">
        <f t="shared" si="1"/>
        <v>0</v>
      </c>
      <c r="S1556" s="14" t="str">
        <f t="shared" si="2"/>
        <v>52.418108,37.57837</v>
      </c>
      <c r="T1556" s="12"/>
    </row>
    <row r="1557">
      <c r="A1557" s="15" t="s">
        <v>10137</v>
      </c>
      <c r="B1557" s="16" t="s">
        <v>10138</v>
      </c>
      <c r="C1557" s="16" t="s">
        <v>10139</v>
      </c>
      <c r="D1557" s="16" t="s">
        <v>16</v>
      </c>
      <c r="E1557" s="17" t="s">
        <v>10140</v>
      </c>
      <c r="F1557" s="16" t="s">
        <v>4881</v>
      </c>
      <c r="G1557" s="16">
        <v>23.61</v>
      </c>
      <c r="H1557" s="16"/>
      <c r="I1557" s="16"/>
      <c r="J1557" s="16" t="s">
        <v>10141</v>
      </c>
      <c r="K1557" s="16" t="s">
        <v>10142</v>
      </c>
      <c r="L1557" s="16"/>
      <c r="M1557" s="16"/>
      <c r="N1557" s="12"/>
      <c r="O1557" s="12"/>
      <c r="P1557" s="13">
        <f>IFERROR(__xludf.DUMMYFUNCTION("VALUE(SUBSTITUTE((INDEX(SPLIT(A1557,"",""),1)),""."","","",1))"),55.870804)</f>
        <v>55.870804</v>
      </c>
      <c r="Q1557" s="13">
        <f>IFERROR(__xludf.DUMMYFUNCTION("VALUE(SUBSTITUTE((INDEX(SPLIT(A1557,"",""),2)),""."","","",1))"),37.578397)</f>
        <v>37.578397</v>
      </c>
      <c r="R1557" s="14" t="b">
        <f t="shared" si="1"/>
        <v>0</v>
      </c>
      <c r="S1557" s="14" t="str">
        <f t="shared" si="2"/>
        <v>55.870804,37.578397</v>
      </c>
      <c r="T1557" s="12"/>
    </row>
    <row r="1558">
      <c r="A1558" s="18" t="s">
        <v>10143</v>
      </c>
      <c r="B1558" s="8" t="s">
        <v>9587</v>
      </c>
      <c r="C1558" s="8" t="s">
        <v>9588</v>
      </c>
      <c r="D1558" s="8" t="s">
        <v>16</v>
      </c>
      <c r="E1558" s="19" t="s">
        <v>10144</v>
      </c>
      <c r="F1558" s="8" t="s">
        <v>3883</v>
      </c>
      <c r="G1558" s="8">
        <v>23.61</v>
      </c>
      <c r="H1558" s="8"/>
      <c r="I1558" s="8"/>
      <c r="J1558" s="8" t="s">
        <v>10145</v>
      </c>
      <c r="K1558" s="8" t="s">
        <v>10146</v>
      </c>
      <c r="L1558" s="8"/>
      <c r="M1558" s="24" t="s">
        <v>10147</v>
      </c>
      <c r="N1558" s="12"/>
      <c r="O1558" s="12"/>
      <c r="P1558" s="13">
        <f>IFERROR(__xludf.DUMMYFUNCTION("VALUE(SUBSTITUTE((INDEX(SPLIT(A1558,"",""),1)),""."","","",1))"),55.538295)</f>
        <v>55.538295</v>
      </c>
      <c r="Q1558" s="13">
        <f>IFERROR(__xludf.DUMMYFUNCTION("VALUE(SUBSTITUTE((INDEX(SPLIT(A1558,"",""),2)),""."","","",1))"),37.581083)</f>
        <v>37.581083</v>
      </c>
      <c r="R1558" s="14" t="b">
        <f t="shared" si="1"/>
        <v>0</v>
      </c>
      <c r="S1558" s="14" t="str">
        <f t="shared" si="2"/>
        <v>55.538295,37.581083</v>
      </c>
      <c r="T1558" s="12"/>
    </row>
    <row r="1559">
      <c r="A1559" s="15" t="s">
        <v>10148</v>
      </c>
      <c r="B1559" s="16" t="s">
        <v>10149</v>
      </c>
      <c r="C1559" s="16" t="s">
        <v>10150</v>
      </c>
      <c r="D1559" s="16" t="s">
        <v>16</v>
      </c>
      <c r="E1559" s="17" t="s">
        <v>10151</v>
      </c>
      <c r="F1559" s="16" t="s">
        <v>4881</v>
      </c>
      <c r="G1559" s="16">
        <v>23.61</v>
      </c>
      <c r="H1559" s="16"/>
      <c r="I1559" s="16"/>
      <c r="J1559" s="16" t="s">
        <v>10152</v>
      </c>
      <c r="K1559" s="16" t="s">
        <v>10153</v>
      </c>
      <c r="L1559" s="16"/>
      <c r="M1559" s="16"/>
      <c r="N1559" s="12"/>
      <c r="O1559" s="12"/>
      <c r="P1559" s="13">
        <f>IFERROR(__xludf.DUMMYFUNCTION("VALUE(SUBSTITUTE((INDEX(SPLIT(A1559,"",""),1)),""."","","",1))"),55.749663)</f>
        <v>55.749663</v>
      </c>
      <c r="Q1559" s="13">
        <f>IFERROR(__xludf.DUMMYFUNCTION("VALUE(SUBSTITUTE((INDEX(SPLIT(A1559,"",""),2)),""."","","",1))"),37.581451)</f>
        <v>37.581451</v>
      </c>
      <c r="R1559" s="14" t="b">
        <f t="shared" si="1"/>
        <v>0</v>
      </c>
      <c r="S1559" s="14" t="str">
        <f t="shared" si="2"/>
        <v>55.749663,37.581451</v>
      </c>
      <c r="T1559" s="12"/>
    </row>
    <row r="1560">
      <c r="A1560" s="18" t="s">
        <v>10154</v>
      </c>
      <c r="B1560" s="8" t="s">
        <v>10155</v>
      </c>
      <c r="C1560" s="8" t="s">
        <v>10156</v>
      </c>
      <c r="D1560" s="8" t="s">
        <v>16</v>
      </c>
      <c r="E1560" s="19" t="s">
        <v>10157</v>
      </c>
      <c r="F1560" s="8" t="s">
        <v>4881</v>
      </c>
      <c r="G1560" s="8">
        <v>23.61</v>
      </c>
      <c r="H1560" s="8"/>
      <c r="I1560" s="8"/>
      <c r="J1560" s="8" t="s">
        <v>10158</v>
      </c>
      <c r="K1560" s="8" t="s">
        <v>10159</v>
      </c>
      <c r="L1560" s="8"/>
      <c r="M1560" s="8"/>
      <c r="N1560" s="12"/>
      <c r="O1560" s="12"/>
      <c r="P1560" s="13">
        <f>IFERROR(__xludf.DUMMYFUNCTION("VALUE(SUBSTITUTE((INDEX(SPLIT(A1560,"",""),1)),""."","","",1))"),55.744262)</f>
        <v>55.744262</v>
      </c>
      <c r="Q1560" s="13">
        <f>IFERROR(__xludf.DUMMYFUNCTION("VALUE(SUBSTITUTE((INDEX(SPLIT(A1560,"",""),2)),""."","","",1))"),37.581523)</f>
        <v>37.581523</v>
      </c>
      <c r="R1560" s="14" t="b">
        <f t="shared" si="1"/>
        <v>0</v>
      </c>
      <c r="S1560" s="14" t="str">
        <f t="shared" si="2"/>
        <v>55.744262,37.581523</v>
      </c>
      <c r="T1560" s="12"/>
    </row>
    <row r="1561">
      <c r="A1561" s="20" t="s">
        <v>10160</v>
      </c>
      <c r="B1561" s="16" t="s">
        <v>10161</v>
      </c>
      <c r="C1561" s="16" t="s">
        <v>10162</v>
      </c>
      <c r="D1561" s="16" t="s">
        <v>16</v>
      </c>
      <c r="E1561" s="21" t="s">
        <v>10163</v>
      </c>
      <c r="F1561" s="22" t="s">
        <v>3883</v>
      </c>
      <c r="G1561" s="16">
        <v>23.61</v>
      </c>
      <c r="H1561" s="16"/>
      <c r="I1561" s="22"/>
      <c r="J1561" s="22" t="s">
        <v>10164</v>
      </c>
      <c r="K1561" s="22" t="s">
        <v>10165</v>
      </c>
      <c r="L1561" s="23" t="s">
        <v>10166</v>
      </c>
      <c r="M1561" s="22"/>
      <c r="N1561" s="12"/>
      <c r="O1561" s="12"/>
      <c r="P1561" s="13">
        <f>IFERROR(__xludf.DUMMYFUNCTION("VALUE(SUBSTITUTE((INDEX(SPLIT(A1561,"",""),1)),""."","","",1))"),55.790185)</f>
        <v>55.790185</v>
      </c>
      <c r="Q1561" s="13">
        <f>IFERROR(__xludf.DUMMYFUNCTION("VALUE(SUBSTITUTE((INDEX(SPLIT(A1561,"",""),2)),""."","","",1))"),37.5819)</f>
        <v>37.5819</v>
      </c>
      <c r="R1561" s="14" t="b">
        <f t="shared" si="1"/>
        <v>0</v>
      </c>
      <c r="S1561" s="14" t="str">
        <f t="shared" si="2"/>
        <v>55.790185,37.5819</v>
      </c>
      <c r="T1561" s="12"/>
    </row>
    <row r="1562">
      <c r="A1562" s="18" t="s">
        <v>10167</v>
      </c>
      <c r="B1562" s="8" t="s">
        <v>10168</v>
      </c>
      <c r="C1562" s="8" t="s">
        <v>10169</v>
      </c>
      <c r="D1562" s="8" t="s">
        <v>16</v>
      </c>
      <c r="E1562" s="19" t="s">
        <v>10170</v>
      </c>
      <c r="F1562" s="8" t="s">
        <v>3883</v>
      </c>
      <c r="G1562" s="8">
        <v>23.61</v>
      </c>
      <c r="H1562" s="8"/>
      <c r="I1562" s="8"/>
      <c r="J1562" s="8" t="s">
        <v>10171</v>
      </c>
      <c r="K1562" s="8" t="s">
        <v>10172</v>
      </c>
      <c r="L1562" s="8"/>
      <c r="M1562" s="8"/>
      <c r="N1562" s="12"/>
      <c r="O1562" s="12"/>
      <c r="P1562" s="13">
        <f>IFERROR(__xludf.DUMMYFUNCTION("VALUE(SUBSTITUTE((INDEX(SPLIT(A1562,"",""),1)),""."","","",1))"),55.569067)</f>
        <v>55.569067</v>
      </c>
      <c r="Q1562" s="13">
        <f>IFERROR(__xludf.DUMMYFUNCTION("VALUE(SUBSTITUTE((INDEX(SPLIT(A1562,"",""),2)),""."","","",1))"),37.581963)</f>
        <v>37.581963</v>
      </c>
      <c r="R1562" s="14" t="b">
        <f t="shared" si="1"/>
        <v>0</v>
      </c>
      <c r="S1562" s="14" t="str">
        <f t="shared" si="2"/>
        <v>55.569067,37.581963</v>
      </c>
      <c r="T1562" s="12"/>
    </row>
    <row r="1563">
      <c r="A1563" s="15" t="s">
        <v>10173</v>
      </c>
      <c r="B1563" s="16" t="s">
        <v>10174</v>
      </c>
      <c r="C1563" s="16" t="s">
        <v>10175</v>
      </c>
      <c r="D1563" s="16" t="s">
        <v>16</v>
      </c>
      <c r="E1563" s="17" t="s">
        <v>10176</v>
      </c>
      <c r="F1563" s="16" t="s">
        <v>4881</v>
      </c>
      <c r="G1563" s="16">
        <v>23.61</v>
      </c>
      <c r="H1563" s="16"/>
      <c r="I1563" s="16"/>
      <c r="J1563" s="16" t="s">
        <v>10177</v>
      </c>
      <c r="K1563" s="16" t="s">
        <v>10178</v>
      </c>
      <c r="L1563" s="16"/>
      <c r="M1563" s="16"/>
      <c r="N1563" s="12"/>
      <c r="O1563" s="12"/>
      <c r="P1563" s="13">
        <f>IFERROR(__xludf.DUMMYFUNCTION("VALUE(SUBSTITUTE((INDEX(SPLIT(A1563,"",""),1)),""."","","",1))"),55.752886)</f>
        <v>55.752886</v>
      </c>
      <c r="Q1563" s="13">
        <f>IFERROR(__xludf.DUMMYFUNCTION("VALUE(SUBSTITUTE((INDEX(SPLIT(A1563,"",""),2)),""."","","",1))"),37.582089)</f>
        <v>37.582089</v>
      </c>
      <c r="R1563" s="14" t="b">
        <f t="shared" si="1"/>
        <v>0</v>
      </c>
      <c r="S1563" s="14" t="str">
        <f t="shared" si="2"/>
        <v>55.752886,37.582089</v>
      </c>
      <c r="T1563" s="12"/>
    </row>
    <row r="1564">
      <c r="A1564" s="18" t="s">
        <v>10179</v>
      </c>
      <c r="B1564" s="8" t="s">
        <v>10180</v>
      </c>
      <c r="C1564" s="8" t="s">
        <v>10181</v>
      </c>
      <c r="D1564" s="8" t="s">
        <v>16</v>
      </c>
      <c r="E1564" s="19" t="s">
        <v>10182</v>
      </c>
      <c r="F1564" s="8" t="s">
        <v>10183</v>
      </c>
      <c r="G1564" s="8">
        <v>23.61</v>
      </c>
      <c r="H1564" s="8"/>
      <c r="I1564" s="8"/>
      <c r="J1564" s="8" t="s">
        <v>10184</v>
      </c>
      <c r="K1564" s="8" t="s">
        <v>10185</v>
      </c>
      <c r="L1564" s="8"/>
      <c r="M1564" s="8"/>
      <c r="N1564" s="12"/>
      <c r="O1564" s="12"/>
      <c r="P1564" s="13">
        <f>IFERROR(__xludf.DUMMYFUNCTION("VALUE(SUBSTITUTE((INDEX(SPLIT(A1564,"",""),1)),""."","","",1))"),55.678555)</f>
        <v>55.678555</v>
      </c>
      <c r="Q1564" s="13">
        <f>IFERROR(__xludf.DUMMYFUNCTION("VALUE(SUBSTITUTE((INDEX(SPLIT(A1564,"",""),2)),""."","","",1))"),37.583032)</f>
        <v>37.583032</v>
      </c>
      <c r="R1564" s="14" t="b">
        <f t="shared" si="1"/>
        <v>0</v>
      </c>
      <c r="S1564" s="14" t="str">
        <f t="shared" si="2"/>
        <v>55.678555,37.583032</v>
      </c>
      <c r="T1564" s="12"/>
    </row>
    <row r="1565">
      <c r="A1565" s="15" t="s">
        <v>10186</v>
      </c>
      <c r="B1565" s="16" t="s">
        <v>10187</v>
      </c>
      <c r="C1565" s="16" t="s">
        <v>10188</v>
      </c>
      <c r="D1565" s="16" t="s">
        <v>16</v>
      </c>
      <c r="E1565" s="17" t="s">
        <v>10189</v>
      </c>
      <c r="F1565" s="16" t="s">
        <v>4881</v>
      </c>
      <c r="G1565" s="16">
        <v>23.61</v>
      </c>
      <c r="H1565" s="16"/>
      <c r="I1565" s="16"/>
      <c r="J1565" s="16" t="s">
        <v>10190</v>
      </c>
      <c r="K1565" s="16" t="s">
        <v>10191</v>
      </c>
      <c r="L1565" s="16"/>
      <c r="M1565" s="16"/>
      <c r="N1565" s="12"/>
      <c r="O1565" s="12"/>
      <c r="P1565" s="13">
        <f>IFERROR(__xludf.DUMMYFUNCTION("VALUE(SUBSTITUTE((INDEX(SPLIT(A1565,"",""),1)),""."","","",1))"),55.734917)</f>
        <v>55.734917</v>
      </c>
      <c r="Q1565" s="13">
        <f>IFERROR(__xludf.DUMMYFUNCTION("VALUE(SUBSTITUTE((INDEX(SPLIT(A1565,"",""),2)),""."","","",1))"),37.58482)</f>
        <v>37.58482</v>
      </c>
      <c r="R1565" s="14" t="b">
        <f t="shared" si="1"/>
        <v>0</v>
      </c>
      <c r="S1565" s="14" t="str">
        <f t="shared" si="2"/>
        <v>55.734917,37.58482</v>
      </c>
      <c r="T1565" s="12"/>
    </row>
    <row r="1566">
      <c r="A1566" s="18" t="s">
        <v>10192</v>
      </c>
      <c r="B1566" s="8" t="s">
        <v>10193</v>
      </c>
      <c r="C1566" s="8" t="s">
        <v>10194</v>
      </c>
      <c r="D1566" s="8" t="s">
        <v>16</v>
      </c>
      <c r="E1566" s="19" t="s">
        <v>10195</v>
      </c>
      <c r="F1566" s="8" t="s">
        <v>3883</v>
      </c>
      <c r="G1566" s="8">
        <v>23.61</v>
      </c>
      <c r="H1566" s="8"/>
      <c r="I1566" s="8"/>
      <c r="J1566" s="8" t="s">
        <v>10196</v>
      </c>
      <c r="K1566" s="8" t="s">
        <v>10197</v>
      </c>
      <c r="L1566" s="8"/>
      <c r="M1566" s="8"/>
      <c r="N1566" s="12"/>
      <c r="O1566" s="12"/>
      <c r="P1566" s="13">
        <f>IFERROR(__xludf.DUMMYFUNCTION("VALUE(SUBSTITUTE((INDEX(SPLIT(A1566,"",""),1)),""."","","",1))"),55.689187)</f>
        <v>55.689187</v>
      </c>
      <c r="Q1566" s="13">
        <f>IFERROR(__xludf.DUMMYFUNCTION("VALUE(SUBSTITUTE((INDEX(SPLIT(A1566,"",""),2)),""."","","",1))"),37.58526)</f>
        <v>37.58526</v>
      </c>
      <c r="R1566" s="14" t="b">
        <f t="shared" si="1"/>
        <v>0</v>
      </c>
      <c r="S1566" s="14" t="str">
        <f t="shared" si="2"/>
        <v>55.689187,37.58526</v>
      </c>
      <c r="T1566" s="12"/>
    </row>
    <row r="1567">
      <c r="A1567" s="20" t="s">
        <v>10198</v>
      </c>
      <c r="B1567" s="16" t="s">
        <v>10199</v>
      </c>
      <c r="C1567" s="16" t="s">
        <v>10200</v>
      </c>
      <c r="D1567" s="16" t="s">
        <v>16</v>
      </c>
      <c r="E1567" s="21" t="s">
        <v>10201</v>
      </c>
      <c r="F1567" s="22" t="s">
        <v>6732</v>
      </c>
      <c r="G1567" s="16">
        <v>23.61</v>
      </c>
      <c r="H1567" s="16"/>
      <c r="I1567" s="22"/>
      <c r="J1567" s="22" t="s">
        <v>10202</v>
      </c>
      <c r="K1567" s="22" t="s">
        <v>10203</v>
      </c>
      <c r="L1567" s="23" t="s">
        <v>10204</v>
      </c>
      <c r="M1567" s="22"/>
      <c r="N1567" s="12"/>
      <c r="O1567" s="12"/>
      <c r="P1567" s="13">
        <f>IFERROR(__xludf.DUMMYFUNCTION("VALUE(SUBSTITUTE((INDEX(SPLIT(A1567,"",""),1)),""."","","",1))"),54.199559)</f>
        <v>54.199559</v>
      </c>
      <c r="Q1567" s="13">
        <f>IFERROR(__xludf.DUMMYFUNCTION("VALUE(SUBSTITUTE((INDEX(SPLIT(A1567,"",""),2)),""."","","",1))"),37.586239)</f>
        <v>37.586239</v>
      </c>
      <c r="R1567" s="14" t="b">
        <f t="shared" si="1"/>
        <v>0</v>
      </c>
      <c r="S1567" s="14" t="str">
        <f t="shared" si="2"/>
        <v>54.199559,37.586239</v>
      </c>
      <c r="T1567" s="12"/>
    </row>
    <row r="1568">
      <c r="A1568" s="18" t="s">
        <v>10205</v>
      </c>
      <c r="B1568" s="8" t="s">
        <v>9763</v>
      </c>
      <c r="C1568" s="8" t="s">
        <v>9764</v>
      </c>
      <c r="D1568" s="8" t="s">
        <v>16</v>
      </c>
      <c r="E1568" s="19" t="s">
        <v>10206</v>
      </c>
      <c r="F1568" s="8" t="s">
        <v>3883</v>
      </c>
      <c r="G1568" s="8">
        <v>23.61</v>
      </c>
      <c r="H1568" s="8"/>
      <c r="I1568" s="8"/>
      <c r="J1568" s="8" t="s">
        <v>10207</v>
      </c>
      <c r="K1568" s="8" t="s">
        <v>10208</v>
      </c>
      <c r="L1568" s="8"/>
      <c r="M1568" s="8"/>
      <c r="N1568" s="12"/>
      <c r="O1568" s="12"/>
      <c r="P1568" s="13">
        <f>IFERROR(__xludf.DUMMYFUNCTION("VALUE(SUBSTITUTE((INDEX(SPLIT(A1568,"",""),1)),""."","","",1))"),55.613544)</f>
        <v>55.613544</v>
      </c>
      <c r="Q1568" s="13">
        <f>IFERROR(__xludf.DUMMYFUNCTION("VALUE(SUBSTITUTE((INDEX(SPLIT(A1568,"",""),2)),""."","","",1))"),37.586598)</f>
        <v>37.586598</v>
      </c>
      <c r="R1568" s="14" t="b">
        <f t="shared" si="1"/>
        <v>0</v>
      </c>
      <c r="S1568" s="14" t="str">
        <f t="shared" si="2"/>
        <v>55.613544,37.586598</v>
      </c>
      <c r="T1568" s="12"/>
    </row>
    <row r="1569">
      <c r="A1569" s="15" t="s">
        <v>10209</v>
      </c>
      <c r="B1569" s="16" t="s">
        <v>10210</v>
      </c>
      <c r="C1569" s="16" t="s">
        <v>10211</v>
      </c>
      <c r="D1569" s="16" t="s">
        <v>16</v>
      </c>
      <c r="E1569" s="17" t="s">
        <v>10212</v>
      </c>
      <c r="F1569" s="16" t="s">
        <v>4881</v>
      </c>
      <c r="G1569" s="16">
        <v>23.61</v>
      </c>
      <c r="H1569" s="16"/>
      <c r="I1569" s="16"/>
      <c r="J1569" s="16" t="s">
        <v>10213</v>
      </c>
      <c r="K1569" s="16" t="s">
        <v>9318</v>
      </c>
      <c r="L1569" s="16"/>
      <c r="M1569" s="16"/>
      <c r="N1569" s="12"/>
      <c r="O1569" s="12"/>
      <c r="P1569" s="13">
        <f>IFERROR(__xludf.DUMMYFUNCTION("VALUE(SUBSTITUTE((INDEX(SPLIT(A1569,"",""),1)),""."","","",1))"),55.739387)</f>
        <v>55.739387</v>
      </c>
      <c r="Q1569" s="13">
        <f>IFERROR(__xludf.DUMMYFUNCTION("VALUE(SUBSTITUTE((INDEX(SPLIT(A1569,"",""),2)),""."","","",1))"),37.587623)</f>
        <v>37.587623</v>
      </c>
      <c r="R1569" s="14" t="b">
        <f t="shared" si="1"/>
        <v>0</v>
      </c>
      <c r="S1569" s="14" t="str">
        <f t="shared" si="2"/>
        <v>55.739387,37.587623</v>
      </c>
      <c r="T1569" s="12"/>
    </row>
    <row r="1570">
      <c r="A1570" s="18" t="s">
        <v>10214</v>
      </c>
      <c r="B1570" s="8" t="s">
        <v>10215</v>
      </c>
      <c r="C1570" s="8" t="s">
        <v>10216</v>
      </c>
      <c r="D1570" s="8" t="s">
        <v>16</v>
      </c>
      <c r="E1570" s="19" t="s">
        <v>10217</v>
      </c>
      <c r="F1570" s="8" t="s">
        <v>3883</v>
      </c>
      <c r="G1570" s="8">
        <v>23.61</v>
      </c>
      <c r="H1570" s="8"/>
      <c r="I1570" s="8"/>
      <c r="J1570" s="8" t="s">
        <v>10218</v>
      </c>
      <c r="K1570" s="8" t="s">
        <v>10219</v>
      </c>
      <c r="L1570" s="8"/>
      <c r="M1570" s="8"/>
      <c r="N1570" s="12"/>
      <c r="O1570" s="12"/>
      <c r="P1570" s="13">
        <f>IFERROR(__xludf.DUMMYFUNCTION("VALUE(SUBSTITUTE((INDEX(SPLIT(A1570,"",""),1)),""."","","",1))"),55.765433)</f>
        <v>55.765433</v>
      </c>
      <c r="Q1570" s="13">
        <f>IFERROR(__xludf.DUMMYFUNCTION("VALUE(SUBSTITUTE((INDEX(SPLIT(A1570,"",""),2)),""."","","",1))"),37.58932)</f>
        <v>37.58932</v>
      </c>
      <c r="R1570" s="14" t="b">
        <f t="shared" si="1"/>
        <v>0</v>
      </c>
      <c r="S1570" s="14" t="str">
        <f t="shared" si="2"/>
        <v>55.765433,37.58932</v>
      </c>
      <c r="T1570" s="12"/>
    </row>
    <row r="1571">
      <c r="A1571" s="15" t="s">
        <v>10220</v>
      </c>
      <c r="B1571" s="16" t="s">
        <v>10221</v>
      </c>
      <c r="C1571" s="16" t="s">
        <v>10222</v>
      </c>
      <c r="D1571" s="16" t="s">
        <v>16</v>
      </c>
      <c r="E1571" s="17" t="s">
        <v>10223</v>
      </c>
      <c r="F1571" s="16" t="s">
        <v>4881</v>
      </c>
      <c r="G1571" s="16">
        <v>23.61</v>
      </c>
      <c r="H1571" s="16"/>
      <c r="I1571" s="16"/>
      <c r="J1571" s="16" t="s">
        <v>10224</v>
      </c>
      <c r="K1571" s="16" t="s">
        <v>10225</v>
      </c>
      <c r="L1571" s="16"/>
      <c r="M1571" s="16"/>
      <c r="N1571" s="12"/>
      <c r="O1571" s="12"/>
      <c r="P1571" s="13">
        <f>IFERROR(__xludf.DUMMYFUNCTION("VALUE(SUBSTITUTE((INDEX(SPLIT(A1571,"",""),1)),""."","","",1))"),55.778644)</f>
        <v>55.778644</v>
      </c>
      <c r="Q1571" s="13">
        <f>IFERROR(__xludf.DUMMYFUNCTION("VALUE(SUBSTITUTE((INDEX(SPLIT(A1571,"",""),2)),""."","","",1))"),37.58941)</f>
        <v>37.58941</v>
      </c>
      <c r="R1571" s="14" t="b">
        <f t="shared" si="1"/>
        <v>0</v>
      </c>
      <c r="S1571" s="14" t="str">
        <f t="shared" si="2"/>
        <v>55.778644,37.58941</v>
      </c>
      <c r="T1571" s="12"/>
    </row>
    <row r="1572">
      <c r="A1572" s="7" t="s">
        <v>10226</v>
      </c>
      <c r="B1572" s="8" t="s">
        <v>10227</v>
      </c>
      <c r="C1572" s="8" t="s">
        <v>10228</v>
      </c>
      <c r="D1572" s="8" t="s">
        <v>16</v>
      </c>
      <c r="E1572" s="9" t="s">
        <v>10229</v>
      </c>
      <c r="F1572" s="10" t="s">
        <v>3883</v>
      </c>
      <c r="G1572" s="8">
        <v>23.61</v>
      </c>
      <c r="H1572" s="8"/>
      <c r="I1572" s="10"/>
      <c r="J1572" s="10" t="s">
        <v>10230</v>
      </c>
      <c r="K1572" s="10" t="s">
        <v>10231</v>
      </c>
      <c r="L1572" s="11" t="s">
        <v>10232</v>
      </c>
      <c r="M1572" s="10"/>
      <c r="N1572" s="12"/>
      <c r="O1572" s="12"/>
      <c r="P1572" s="13">
        <f>IFERROR(__xludf.DUMMYFUNCTION("VALUE(SUBSTITUTE((INDEX(SPLIT(A1572,"",""),1)),""."","","",1))"),55.765802)</f>
        <v>55.765802</v>
      </c>
      <c r="Q1572" s="13">
        <f>IFERROR(__xludf.DUMMYFUNCTION("VALUE(SUBSTITUTE((INDEX(SPLIT(A1572,"",""),2)),""."","","",1))"),37.589859)</f>
        <v>37.589859</v>
      </c>
      <c r="R1572" s="14" t="b">
        <f t="shared" si="1"/>
        <v>0</v>
      </c>
      <c r="S1572" s="14" t="str">
        <f t="shared" si="2"/>
        <v>55.765802,37.589859</v>
      </c>
      <c r="T1572" s="12"/>
    </row>
    <row r="1573">
      <c r="A1573" s="20" t="s">
        <v>10233</v>
      </c>
      <c r="B1573" s="16" t="s">
        <v>10234</v>
      </c>
      <c r="C1573" s="16" t="s">
        <v>10235</v>
      </c>
      <c r="D1573" s="16" t="s">
        <v>16</v>
      </c>
      <c r="E1573" s="21" t="s">
        <v>10236</v>
      </c>
      <c r="F1573" s="22" t="s">
        <v>3883</v>
      </c>
      <c r="G1573" s="16">
        <v>23.61</v>
      </c>
      <c r="H1573" s="16"/>
      <c r="I1573" s="22"/>
      <c r="J1573" s="22" t="s">
        <v>10237</v>
      </c>
      <c r="K1573" s="22" t="s">
        <v>10238</v>
      </c>
      <c r="L1573" s="23" t="s">
        <v>10239</v>
      </c>
      <c r="M1573" s="22"/>
      <c r="N1573" s="12"/>
      <c r="O1573" s="12"/>
      <c r="P1573" s="13">
        <f>IFERROR(__xludf.DUMMYFUNCTION("VALUE(SUBSTITUTE((INDEX(SPLIT(A1573,"",""),1)),""."","","",1))"),55.874067)</f>
        <v>55.874067</v>
      </c>
      <c r="Q1573" s="13">
        <f>IFERROR(__xludf.DUMMYFUNCTION("VALUE(SUBSTITUTE((INDEX(SPLIT(A1573,"",""),2)),""."","","",1))"),37.591683)</f>
        <v>37.591683</v>
      </c>
      <c r="R1573" s="14" t="b">
        <f t="shared" si="1"/>
        <v>0</v>
      </c>
      <c r="S1573" s="14" t="str">
        <f t="shared" si="2"/>
        <v>55.874067,37.591683</v>
      </c>
      <c r="T1573" s="12"/>
    </row>
    <row r="1574">
      <c r="A1574" s="7" t="s">
        <v>10240</v>
      </c>
      <c r="B1574" s="8" t="s">
        <v>10241</v>
      </c>
      <c r="C1574" s="8" t="s">
        <v>10242</v>
      </c>
      <c r="D1574" s="8" t="s">
        <v>16</v>
      </c>
      <c r="E1574" s="9" t="s">
        <v>10243</v>
      </c>
      <c r="F1574" s="10" t="s">
        <v>3760</v>
      </c>
      <c r="G1574" s="8">
        <v>23.61</v>
      </c>
      <c r="H1574" s="8"/>
      <c r="I1574" s="10"/>
      <c r="J1574" s="10" t="s">
        <v>10244</v>
      </c>
      <c r="K1574" s="10" t="s">
        <v>10245</v>
      </c>
      <c r="L1574" s="11" t="s">
        <v>10246</v>
      </c>
      <c r="M1574" s="10"/>
      <c r="N1574" s="12"/>
      <c r="O1574" s="12"/>
      <c r="P1574" s="13">
        <f>IFERROR(__xludf.DUMMYFUNCTION("VALUE(SUBSTITUTE((INDEX(SPLIT(A1574,"",""),1)),""."","","",1))"),55.526638)</f>
        <v>55.526638</v>
      </c>
      <c r="Q1574" s="13">
        <f>IFERROR(__xludf.DUMMYFUNCTION("VALUE(SUBSTITUTE((INDEX(SPLIT(A1574,"",""),2)),""."","","",1))"),37.5925)</f>
        <v>37.5925</v>
      </c>
      <c r="R1574" s="14" t="b">
        <f t="shared" si="1"/>
        <v>0</v>
      </c>
      <c r="S1574" s="14" t="str">
        <f t="shared" si="2"/>
        <v>55.526638,37.5925</v>
      </c>
      <c r="T1574" s="12"/>
    </row>
    <row r="1575">
      <c r="A1575" s="15" t="s">
        <v>10247</v>
      </c>
      <c r="B1575" s="16" t="s">
        <v>10248</v>
      </c>
      <c r="C1575" s="16" t="s">
        <v>10249</v>
      </c>
      <c r="D1575" s="16" t="s">
        <v>16</v>
      </c>
      <c r="E1575" s="17" t="s">
        <v>10250</v>
      </c>
      <c r="F1575" s="16" t="s">
        <v>4881</v>
      </c>
      <c r="G1575" s="16">
        <v>23.61</v>
      </c>
      <c r="H1575" s="16"/>
      <c r="I1575" s="16"/>
      <c r="J1575" s="16" t="s">
        <v>10251</v>
      </c>
      <c r="K1575" s="16" t="s">
        <v>10252</v>
      </c>
      <c r="L1575" s="16"/>
      <c r="M1575" s="16"/>
      <c r="N1575" s="12"/>
      <c r="O1575" s="12"/>
      <c r="P1575" s="13">
        <f>IFERROR(__xludf.DUMMYFUNCTION("VALUE(SUBSTITUTE((INDEX(SPLIT(A1575,"",""),1)),""."","","",1))"),55.762216)</f>
        <v>55.762216</v>
      </c>
      <c r="Q1575" s="13">
        <f>IFERROR(__xludf.DUMMYFUNCTION("VALUE(SUBSTITUTE((INDEX(SPLIT(A1575,"",""),2)),""."","","",1))"),37.592932)</f>
        <v>37.592932</v>
      </c>
      <c r="R1575" s="14" t="b">
        <f t="shared" si="1"/>
        <v>0</v>
      </c>
      <c r="S1575" s="14" t="str">
        <f t="shared" si="2"/>
        <v>55.762216,37.592932</v>
      </c>
      <c r="T1575" s="12"/>
    </row>
    <row r="1576">
      <c r="A1576" s="18" t="s">
        <v>10253</v>
      </c>
      <c r="B1576" s="8" t="s">
        <v>10254</v>
      </c>
      <c r="C1576" s="8" t="s">
        <v>10255</v>
      </c>
      <c r="D1576" s="8" t="s">
        <v>16</v>
      </c>
      <c r="E1576" s="19" t="s">
        <v>10256</v>
      </c>
      <c r="F1576" s="8" t="s">
        <v>3883</v>
      </c>
      <c r="G1576" s="8">
        <v>23.61</v>
      </c>
      <c r="H1576" s="8"/>
      <c r="I1576" s="8"/>
      <c r="J1576" s="8" t="s">
        <v>10257</v>
      </c>
      <c r="K1576" s="8" t="s">
        <v>10258</v>
      </c>
      <c r="L1576" s="8"/>
      <c r="M1576" s="8"/>
      <c r="N1576" s="12"/>
      <c r="O1576" s="12"/>
      <c r="P1576" s="13">
        <f>IFERROR(__xludf.DUMMYFUNCTION("VALUE(SUBSTITUTE((INDEX(SPLIT(A1576,"",""),1)),""."","","",1))"),55.747059)</f>
        <v>55.747059</v>
      </c>
      <c r="Q1576" s="13">
        <f>IFERROR(__xludf.DUMMYFUNCTION("VALUE(SUBSTITUTE((INDEX(SPLIT(A1576,"",""),2)),""."","","",1))"),37.593021)</f>
        <v>37.593021</v>
      </c>
      <c r="R1576" s="14" t="b">
        <f t="shared" si="1"/>
        <v>0</v>
      </c>
      <c r="S1576" s="14" t="str">
        <f t="shared" si="2"/>
        <v>55.747059,37.593021</v>
      </c>
      <c r="T1576" s="12"/>
    </row>
    <row r="1577">
      <c r="A1577" s="15" t="s">
        <v>10259</v>
      </c>
      <c r="B1577" s="16" t="s">
        <v>10260</v>
      </c>
      <c r="C1577" s="16" t="s">
        <v>10261</v>
      </c>
      <c r="D1577" s="16" t="s">
        <v>16</v>
      </c>
      <c r="E1577" s="17" t="s">
        <v>10262</v>
      </c>
      <c r="F1577" s="16" t="s">
        <v>4881</v>
      </c>
      <c r="G1577" s="16">
        <v>23.61</v>
      </c>
      <c r="H1577" s="16"/>
      <c r="I1577" s="16"/>
      <c r="J1577" s="16" t="s">
        <v>10263</v>
      </c>
      <c r="K1577" s="16" t="s">
        <v>10264</v>
      </c>
      <c r="L1577" s="16"/>
      <c r="M1577" s="16"/>
      <c r="N1577" s="12"/>
      <c r="O1577" s="12"/>
      <c r="P1577" s="13">
        <f>IFERROR(__xludf.DUMMYFUNCTION("VALUE(SUBSTITUTE((INDEX(SPLIT(A1577,"",""),1)),""."","","",1))"),55.804668)</f>
        <v>55.804668</v>
      </c>
      <c r="Q1577" s="13">
        <f>IFERROR(__xludf.DUMMYFUNCTION("VALUE(SUBSTITUTE((INDEX(SPLIT(A1577,"",""),2)),""."","","",1))"),37.594019)</f>
        <v>37.594019</v>
      </c>
      <c r="R1577" s="14" t="b">
        <f t="shared" si="1"/>
        <v>0</v>
      </c>
      <c r="S1577" s="14" t="str">
        <f t="shared" si="2"/>
        <v>55.804668,37.594019</v>
      </c>
      <c r="T1577" s="12"/>
    </row>
    <row r="1578">
      <c r="A1578" s="7" t="s">
        <v>10265</v>
      </c>
      <c r="B1578" s="8" t="s">
        <v>10266</v>
      </c>
      <c r="C1578" s="8" t="s">
        <v>10267</v>
      </c>
      <c r="D1578" s="8" t="s">
        <v>16</v>
      </c>
      <c r="E1578" s="9" t="s">
        <v>10268</v>
      </c>
      <c r="F1578" s="10" t="s">
        <v>4881</v>
      </c>
      <c r="G1578" s="8">
        <v>23.61</v>
      </c>
      <c r="H1578" s="8"/>
      <c r="I1578" s="10"/>
      <c r="J1578" s="10" t="s">
        <v>10269</v>
      </c>
      <c r="K1578" s="10" t="s">
        <v>10270</v>
      </c>
      <c r="L1578" s="11" t="s">
        <v>10271</v>
      </c>
      <c r="M1578" s="10"/>
      <c r="N1578" s="12"/>
      <c r="O1578" s="12"/>
      <c r="P1578" s="13">
        <f>IFERROR(__xludf.DUMMYFUNCTION("VALUE(SUBSTITUTE((INDEX(SPLIT(A1578,"",""),1)),""."","","",1))"),55.897619)</f>
        <v>55.897619</v>
      </c>
      <c r="Q1578" s="13">
        <f>IFERROR(__xludf.DUMMYFUNCTION("VALUE(SUBSTITUTE((INDEX(SPLIT(A1578,"",""),2)),""."","","",1))"),37.59613)</f>
        <v>37.59613</v>
      </c>
      <c r="R1578" s="14" t="b">
        <f t="shared" si="1"/>
        <v>0</v>
      </c>
      <c r="S1578" s="14" t="str">
        <f t="shared" si="2"/>
        <v>55.897619,37.59613</v>
      </c>
      <c r="T1578" s="12"/>
    </row>
    <row r="1579">
      <c r="A1579" s="20" t="s">
        <v>10272</v>
      </c>
      <c r="B1579" s="16" t="s">
        <v>10273</v>
      </c>
      <c r="C1579" s="16" t="s">
        <v>10274</v>
      </c>
      <c r="D1579" s="16" t="s">
        <v>16</v>
      </c>
      <c r="E1579" s="21" t="s">
        <v>10275</v>
      </c>
      <c r="F1579" s="22" t="s">
        <v>3883</v>
      </c>
      <c r="G1579" s="16">
        <v>23.61</v>
      </c>
      <c r="H1579" s="16"/>
      <c r="I1579" s="22"/>
      <c r="J1579" s="22" t="s">
        <v>10276</v>
      </c>
      <c r="K1579" s="22" t="s">
        <v>10277</v>
      </c>
      <c r="L1579" s="23" t="s">
        <v>10278</v>
      </c>
      <c r="M1579" s="22"/>
      <c r="N1579" s="12"/>
      <c r="O1579" s="12"/>
      <c r="P1579" s="13">
        <f>IFERROR(__xludf.DUMMYFUNCTION("VALUE(SUBSTITUTE((INDEX(SPLIT(A1579,"",""),1)),""."","","",1))"),55.775262)</f>
        <v>55.775262</v>
      </c>
      <c r="Q1579" s="13">
        <f>IFERROR(__xludf.DUMMYFUNCTION("VALUE(SUBSTITUTE((INDEX(SPLIT(A1579,"",""),2)),""."","","",1))"),37.597118)</f>
        <v>37.597118</v>
      </c>
      <c r="R1579" s="14" t="b">
        <f t="shared" si="1"/>
        <v>0</v>
      </c>
      <c r="S1579" s="14" t="str">
        <f t="shared" si="2"/>
        <v>55.775262,37.597118</v>
      </c>
      <c r="T1579" s="12"/>
    </row>
    <row r="1580">
      <c r="A1580" s="18" t="s">
        <v>10279</v>
      </c>
      <c r="B1580" s="8" t="s">
        <v>10280</v>
      </c>
      <c r="C1580" s="8" t="s">
        <v>10281</v>
      </c>
      <c r="D1580" s="8" t="s">
        <v>16</v>
      </c>
      <c r="E1580" s="19" t="s">
        <v>10282</v>
      </c>
      <c r="F1580" s="8" t="s">
        <v>4881</v>
      </c>
      <c r="G1580" s="8">
        <v>23.61</v>
      </c>
      <c r="H1580" s="8"/>
      <c r="I1580" s="8"/>
      <c r="J1580" s="8" t="s">
        <v>10283</v>
      </c>
      <c r="K1580" s="8" t="s">
        <v>10284</v>
      </c>
      <c r="L1580" s="8"/>
      <c r="M1580" s="24" t="s">
        <v>10285</v>
      </c>
      <c r="N1580" s="12"/>
      <c r="O1580" s="12"/>
      <c r="P1580" s="13">
        <f>IFERROR(__xludf.DUMMYFUNCTION("VALUE(SUBSTITUTE((INDEX(SPLIT(A1580,"",""),1)),""."","","",1))"),55.84869)</f>
        <v>55.84869</v>
      </c>
      <c r="Q1580" s="13">
        <f>IFERROR(__xludf.DUMMYFUNCTION("VALUE(SUBSTITUTE((INDEX(SPLIT(A1580,"",""),2)),""."","","",1))"),37.597711)</f>
        <v>37.597711</v>
      </c>
      <c r="R1580" s="14" t="b">
        <f t="shared" si="1"/>
        <v>0</v>
      </c>
      <c r="S1580" s="14" t="str">
        <f t="shared" si="2"/>
        <v>55.84869,37.597711</v>
      </c>
      <c r="T1580" s="12"/>
    </row>
    <row r="1581">
      <c r="A1581" s="15" t="s">
        <v>10286</v>
      </c>
      <c r="B1581" s="16" t="s">
        <v>10287</v>
      </c>
      <c r="C1581" s="16" t="s">
        <v>10288</v>
      </c>
      <c r="D1581" s="16" t="s">
        <v>16</v>
      </c>
      <c r="E1581" s="17" t="s">
        <v>10289</v>
      </c>
      <c r="F1581" s="16" t="s">
        <v>4881</v>
      </c>
      <c r="G1581" s="16">
        <v>23.61</v>
      </c>
      <c r="H1581" s="16"/>
      <c r="I1581" s="16"/>
      <c r="J1581" s="16" t="s">
        <v>10290</v>
      </c>
      <c r="K1581" s="16" t="s">
        <v>10291</v>
      </c>
      <c r="L1581" s="16"/>
      <c r="M1581" s="16"/>
      <c r="N1581" s="12"/>
      <c r="O1581" s="12"/>
      <c r="P1581" s="13">
        <f>IFERROR(__xludf.DUMMYFUNCTION("VALUE(SUBSTITUTE((INDEX(SPLIT(A1581,"",""),1)),""."","","",1))"),55.7141)</f>
        <v>55.7141</v>
      </c>
      <c r="Q1581" s="13">
        <f>IFERROR(__xludf.DUMMYFUNCTION("VALUE(SUBSTITUTE((INDEX(SPLIT(A1581,"",""),2)),""."","","",1))"),37.59807)</f>
        <v>37.59807</v>
      </c>
      <c r="R1581" s="14" t="b">
        <f t="shared" si="1"/>
        <v>0</v>
      </c>
      <c r="S1581" s="14" t="str">
        <f t="shared" si="2"/>
        <v>55.7141,37.59807</v>
      </c>
      <c r="T1581" s="12"/>
    </row>
    <row r="1582">
      <c r="A1582" s="18" t="s">
        <v>10292</v>
      </c>
      <c r="B1582" s="8" t="s">
        <v>10293</v>
      </c>
      <c r="C1582" s="8" t="s">
        <v>10294</v>
      </c>
      <c r="D1582" s="8" t="s">
        <v>16</v>
      </c>
      <c r="E1582" s="19" t="s">
        <v>10295</v>
      </c>
      <c r="F1582" s="8" t="s">
        <v>3883</v>
      </c>
      <c r="G1582" s="8">
        <v>23.61</v>
      </c>
      <c r="H1582" s="8"/>
      <c r="I1582" s="8"/>
      <c r="J1582" s="8" t="s">
        <v>10296</v>
      </c>
      <c r="K1582" s="8" t="s">
        <v>9817</v>
      </c>
      <c r="L1582" s="8"/>
      <c r="M1582" s="8"/>
      <c r="N1582" s="12"/>
      <c r="O1582" s="12"/>
      <c r="P1582" s="13">
        <f>IFERROR(__xludf.DUMMYFUNCTION("VALUE(SUBSTITUTE((INDEX(SPLIT(A1582,"",""),1)),""."","","",1))"),55.759127)</f>
        <v>55.759127</v>
      </c>
      <c r="Q1582" s="13">
        <f>IFERROR(__xludf.DUMMYFUNCTION("VALUE(SUBSTITUTE((INDEX(SPLIT(A1582,"",""),2)),""."","","",1))"),37.598303)</f>
        <v>37.598303</v>
      </c>
      <c r="R1582" s="14" t="b">
        <f t="shared" si="1"/>
        <v>0</v>
      </c>
      <c r="S1582" s="14" t="str">
        <f t="shared" si="2"/>
        <v>55.759127,37.598303</v>
      </c>
      <c r="T1582" s="12"/>
    </row>
    <row r="1583">
      <c r="A1583" s="15" t="s">
        <v>10297</v>
      </c>
      <c r="B1583" s="16" t="s">
        <v>10298</v>
      </c>
      <c r="C1583" s="16" t="s">
        <v>10299</v>
      </c>
      <c r="D1583" s="16" t="s">
        <v>16</v>
      </c>
      <c r="E1583" s="17" t="s">
        <v>10300</v>
      </c>
      <c r="F1583" s="16" t="s">
        <v>3883</v>
      </c>
      <c r="G1583" s="16">
        <v>23.61</v>
      </c>
      <c r="H1583" s="16"/>
      <c r="I1583" s="16"/>
      <c r="J1583" s="16" t="s">
        <v>10301</v>
      </c>
      <c r="K1583" s="16" t="s">
        <v>10302</v>
      </c>
      <c r="L1583" s="16"/>
      <c r="M1583" s="16"/>
      <c r="N1583" s="12"/>
      <c r="O1583" s="12"/>
      <c r="P1583" s="13">
        <f>IFERROR(__xludf.DUMMYFUNCTION("VALUE(SUBSTITUTE((INDEX(SPLIT(A1583,"",""),1)),""."","","",1))"),55.785134)</f>
        <v>55.785134</v>
      </c>
      <c r="Q1583" s="13">
        <f>IFERROR(__xludf.DUMMYFUNCTION("VALUE(SUBSTITUTE((INDEX(SPLIT(A1583,"",""),2)),""."","","",1))"),37.59904)</f>
        <v>37.59904</v>
      </c>
      <c r="R1583" s="14" t="b">
        <f t="shared" si="1"/>
        <v>0</v>
      </c>
      <c r="S1583" s="14" t="str">
        <f t="shared" si="2"/>
        <v>55.785134,37.59904</v>
      </c>
      <c r="T1583" s="12"/>
    </row>
    <row r="1584">
      <c r="A1584" s="7" t="s">
        <v>10303</v>
      </c>
      <c r="B1584" s="8" t="s">
        <v>10304</v>
      </c>
      <c r="C1584" s="8" t="s">
        <v>10305</v>
      </c>
      <c r="D1584" s="8" t="s">
        <v>16</v>
      </c>
      <c r="E1584" s="9" t="s">
        <v>10306</v>
      </c>
      <c r="F1584" s="10" t="s">
        <v>3883</v>
      </c>
      <c r="G1584" s="8">
        <v>23.61</v>
      </c>
      <c r="H1584" s="8"/>
      <c r="I1584" s="10"/>
      <c r="J1584" s="10" t="s">
        <v>10307</v>
      </c>
      <c r="K1584" s="10" t="s">
        <v>10308</v>
      </c>
      <c r="L1584" s="11" t="s">
        <v>10309</v>
      </c>
      <c r="M1584" s="10"/>
      <c r="N1584" s="12"/>
      <c r="O1584" s="12"/>
      <c r="P1584" s="13">
        <f>IFERROR(__xludf.DUMMYFUNCTION("VALUE(SUBSTITUTE((INDEX(SPLIT(A1584,"",""),1)),""."","","",1))"),55.770431)</f>
        <v>55.770431</v>
      </c>
      <c r="Q1584" s="13">
        <f>IFERROR(__xludf.DUMMYFUNCTION("VALUE(SUBSTITUTE((INDEX(SPLIT(A1584,"",""),2)),""."","","",1))"),37.599193)</f>
        <v>37.599193</v>
      </c>
      <c r="R1584" s="14" t="b">
        <f t="shared" si="1"/>
        <v>0</v>
      </c>
      <c r="S1584" s="14" t="str">
        <f t="shared" si="2"/>
        <v>55.770431,37.599193</v>
      </c>
      <c r="T1584" s="12"/>
    </row>
    <row r="1585">
      <c r="A1585" s="20" t="s">
        <v>10303</v>
      </c>
      <c r="B1585" s="16" t="s">
        <v>10310</v>
      </c>
      <c r="C1585" s="16" t="s">
        <v>10311</v>
      </c>
      <c r="D1585" s="16" t="s">
        <v>16</v>
      </c>
      <c r="E1585" s="21" t="s">
        <v>10312</v>
      </c>
      <c r="F1585" s="22" t="s">
        <v>3883</v>
      </c>
      <c r="G1585" s="16">
        <v>23.61</v>
      </c>
      <c r="H1585" s="16"/>
      <c r="I1585" s="22"/>
      <c r="J1585" s="22" t="s">
        <v>10313</v>
      </c>
      <c r="K1585" s="22" t="s">
        <v>10314</v>
      </c>
      <c r="L1585" s="23" t="s">
        <v>10315</v>
      </c>
      <c r="M1585" s="22"/>
      <c r="N1585" s="12"/>
      <c r="O1585" s="12"/>
      <c r="P1585" s="13">
        <f>IFERROR(__xludf.DUMMYFUNCTION("VALUE(SUBSTITUTE((INDEX(SPLIT(A1585,"",""),1)),""."","","",1))"),55.770431)</f>
        <v>55.770431</v>
      </c>
      <c r="Q1585" s="13">
        <f>IFERROR(__xludf.DUMMYFUNCTION("VALUE(SUBSTITUTE((INDEX(SPLIT(A1585,"",""),2)),""."","","",1))"),37.599193)</f>
        <v>37.599193</v>
      </c>
      <c r="R1585" s="14" t="b">
        <f t="shared" si="1"/>
        <v>0</v>
      </c>
      <c r="S1585" s="14" t="str">
        <f t="shared" si="2"/>
        <v>55.770431,37.599193</v>
      </c>
      <c r="T1585" s="12"/>
    </row>
    <row r="1586">
      <c r="A1586" s="7" t="s">
        <v>10303</v>
      </c>
      <c r="B1586" s="8" t="s">
        <v>10316</v>
      </c>
      <c r="C1586" s="8" t="s">
        <v>10317</v>
      </c>
      <c r="D1586" s="8" t="s">
        <v>16</v>
      </c>
      <c r="E1586" s="9" t="s">
        <v>10318</v>
      </c>
      <c r="F1586" s="10" t="s">
        <v>4881</v>
      </c>
      <c r="G1586" s="8">
        <v>23.61</v>
      </c>
      <c r="H1586" s="8"/>
      <c r="I1586" s="10"/>
      <c r="J1586" s="10" t="s">
        <v>10319</v>
      </c>
      <c r="K1586" s="10" t="s">
        <v>10320</v>
      </c>
      <c r="L1586" s="11" t="s">
        <v>10321</v>
      </c>
      <c r="M1586" s="10"/>
      <c r="N1586" s="12"/>
      <c r="O1586" s="12"/>
      <c r="P1586" s="13">
        <f>IFERROR(__xludf.DUMMYFUNCTION("VALUE(SUBSTITUTE((INDEX(SPLIT(A1586,"",""),1)),""."","","",1))"),55.770431)</f>
        <v>55.770431</v>
      </c>
      <c r="Q1586" s="13">
        <f>IFERROR(__xludf.DUMMYFUNCTION("VALUE(SUBSTITUTE((INDEX(SPLIT(A1586,"",""),2)),""."","","",1))"),37.599193)</f>
        <v>37.599193</v>
      </c>
      <c r="R1586" s="14" t="b">
        <f t="shared" si="1"/>
        <v>0</v>
      </c>
      <c r="S1586" s="14" t="str">
        <f t="shared" si="2"/>
        <v>55.770431,37.599193</v>
      </c>
      <c r="T1586" s="12"/>
    </row>
    <row r="1587">
      <c r="A1587" s="15" t="s">
        <v>10322</v>
      </c>
      <c r="B1587" s="16" t="s">
        <v>10323</v>
      </c>
      <c r="C1587" s="16" t="s">
        <v>10324</v>
      </c>
      <c r="D1587" s="16" t="s">
        <v>16</v>
      </c>
      <c r="E1587" s="17" t="s">
        <v>10325</v>
      </c>
      <c r="F1587" s="16" t="s">
        <v>3883</v>
      </c>
      <c r="G1587" s="16">
        <v>23.61</v>
      </c>
      <c r="H1587" s="16"/>
      <c r="I1587" s="16"/>
      <c r="J1587" s="16" t="s">
        <v>10326</v>
      </c>
      <c r="K1587" s="16" t="s">
        <v>10327</v>
      </c>
      <c r="L1587" s="16"/>
      <c r="M1587" s="16"/>
      <c r="N1587" s="12"/>
      <c r="O1587" s="12"/>
      <c r="P1587" s="13">
        <f>IFERROR(__xludf.DUMMYFUNCTION("VALUE(SUBSTITUTE((INDEX(SPLIT(A1587,"",""),1)),""."","","",1))"),55.604615)</f>
        <v>55.604615</v>
      </c>
      <c r="Q1587" s="13">
        <f>IFERROR(__xludf.DUMMYFUNCTION("VALUE(SUBSTITUTE((INDEX(SPLIT(A1587,"",""),2)),""."","","",1))"),37.599301)</f>
        <v>37.599301</v>
      </c>
      <c r="R1587" s="14" t="b">
        <f t="shared" si="1"/>
        <v>0</v>
      </c>
      <c r="S1587" s="14" t="str">
        <f t="shared" si="2"/>
        <v>55.604615,37.599301</v>
      </c>
      <c r="T1587" s="12"/>
    </row>
    <row r="1588">
      <c r="A1588" s="18" t="s">
        <v>10328</v>
      </c>
      <c r="B1588" s="8" t="s">
        <v>10329</v>
      </c>
      <c r="C1588" s="8" t="s">
        <v>10330</v>
      </c>
      <c r="D1588" s="8" t="s">
        <v>16</v>
      </c>
      <c r="E1588" s="19" t="s">
        <v>10331</v>
      </c>
      <c r="F1588" s="8" t="s">
        <v>3883</v>
      </c>
      <c r="G1588" s="8">
        <v>23.61</v>
      </c>
      <c r="H1588" s="8"/>
      <c r="I1588" s="8"/>
      <c r="J1588" s="8" t="s">
        <v>10332</v>
      </c>
      <c r="K1588" s="8" t="s">
        <v>10333</v>
      </c>
      <c r="L1588" s="8"/>
      <c r="M1588" s="8"/>
      <c r="N1588" s="12"/>
      <c r="O1588" s="12"/>
      <c r="P1588" s="13">
        <f>IFERROR(__xludf.DUMMYFUNCTION("VALUE(SUBSTITUTE((INDEX(SPLIT(A1588,"",""),1)),""."","","",1))"),55.644892)</f>
        <v>55.644892</v>
      </c>
      <c r="Q1588" s="13">
        <f>IFERROR(__xludf.DUMMYFUNCTION("VALUE(SUBSTITUTE((INDEX(SPLIT(A1588,"",""),2)),""."","","",1))"),37.599768)</f>
        <v>37.599768</v>
      </c>
      <c r="R1588" s="14" t="b">
        <f t="shared" si="1"/>
        <v>0</v>
      </c>
      <c r="S1588" s="14" t="str">
        <f t="shared" si="2"/>
        <v>55.644892,37.599768</v>
      </c>
      <c r="T1588" s="12"/>
    </row>
    <row r="1589">
      <c r="A1589" s="15" t="s">
        <v>10334</v>
      </c>
      <c r="B1589" s="16" t="s">
        <v>10335</v>
      </c>
      <c r="C1589" s="16" t="s">
        <v>10336</v>
      </c>
      <c r="D1589" s="16" t="s">
        <v>16</v>
      </c>
      <c r="E1589" s="17" t="s">
        <v>10337</v>
      </c>
      <c r="F1589" s="16" t="s">
        <v>6732</v>
      </c>
      <c r="G1589" s="16">
        <v>23.61</v>
      </c>
      <c r="H1589" s="16"/>
      <c r="I1589" s="16"/>
      <c r="J1589" s="16" t="s">
        <v>10338</v>
      </c>
      <c r="K1589" s="16" t="s">
        <v>10339</v>
      </c>
      <c r="L1589" s="16"/>
      <c r="M1589" s="25" t="s">
        <v>9049</v>
      </c>
      <c r="N1589" s="12"/>
      <c r="O1589" s="12"/>
      <c r="P1589" s="13">
        <f>IFERROR(__xludf.DUMMYFUNCTION("VALUE(SUBSTITUTE((INDEX(SPLIT(A1589,"",""),1)),""."","","",1))"),54.193807)</f>
        <v>54.193807</v>
      </c>
      <c r="Q1589" s="13">
        <f>IFERROR(__xludf.DUMMYFUNCTION("VALUE(SUBSTITUTE((INDEX(SPLIT(A1589,"",""),2)),""."","","",1))"),37.59984)</f>
        <v>37.59984</v>
      </c>
      <c r="R1589" s="14" t="b">
        <f t="shared" si="1"/>
        <v>0</v>
      </c>
      <c r="S1589" s="14" t="str">
        <f t="shared" si="2"/>
        <v>54.193807,37.59984</v>
      </c>
      <c r="T1589" s="12"/>
    </row>
    <row r="1590">
      <c r="A1590" s="18" t="s">
        <v>10340</v>
      </c>
      <c r="B1590" s="8" t="s">
        <v>10341</v>
      </c>
      <c r="C1590" s="8" t="s">
        <v>10342</v>
      </c>
      <c r="D1590" s="8" t="s">
        <v>16</v>
      </c>
      <c r="E1590" s="19" t="s">
        <v>10343</v>
      </c>
      <c r="F1590" s="8" t="s">
        <v>4881</v>
      </c>
      <c r="G1590" s="8">
        <v>23.61</v>
      </c>
      <c r="H1590" s="8"/>
      <c r="I1590" s="8"/>
      <c r="J1590" s="8" t="s">
        <v>10344</v>
      </c>
      <c r="K1590" s="8" t="s">
        <v>10345</v>
      </c>
      <c r="L1590" s="8"/>
      <c r="M1590" s="8"/>
      <c r="N1590" s="12"/>
      <c r="O1590" s="12"/>
      <c r="P1590" s="13">
        <f>IFERROR(__xludf.DUMMYFUNCTION("VALUE(SUBSTITUTE((INDEX(SPLIT(A1590,"",""),1)),""."","","",1))"),55.744895)</f>
        <v>55.744895</v>
      </c>
      <c r="Q1590" s="13">
        <f>IFERROR(__xludf.DUMMYFUNCTION("VALUE(SUBSTITUTE((INDEX(SPLIT(A1590,"",""),2)),""."","","",1))"),37.600648)</f>
        <v>37.600648</v>
      </c>
      <c r="R1590" s="14" t="b">
        <f t="shared" si="1"/>
        <v>0</v>
      </c>
      <c r="S1590" s="14" t="str">
        <f t="shared" si="2"/>
        <v>55.744895,37.600648</v>
      </c>
      <c r="T1590" s="12"/>
    </row>
    <row r="1591">
      <c r="A1591" s="15" t="s">
        <v>10346</v>
      </c>
      <c r="B1591" s="16" t="s">
        <v>10347</v>
      </c>
      <c r="C1591" s="16" t="s">
        <v>10348</v>
      </c>
      <c r="D1591" s="16" t="s">
        <v>16</v>
      </c>
      <c r="E1591" s="17" t="s">
        <v>10349</v>
      </c>
      <c r="F1591" s="16" t="s">
        <v>4881</v>
      </c>
      <c r="G1591" s="16">
        <v>23.61</v>
      </c>
      <c r="H1591" s="16"/>
      <c r="I1591" s="16"/>
      <c r="J1591" s="16" t="s">
        <v>10350</v>
      </c>
      <c r="K1591" s="16" t="s">
        <v>10351</v>
      </c>
      <c r="L1591" s="16"/>
      <c r="M1591" s="16"/>
      <c r="N1591" s="12"/>
      <c r="O1591" s="12"/>
      <c r="P1591" s="13">
        <f>IFERROR(__xludf.DUMMYFUNCTION("VALUE(SUBSTITUTE((INDEX(SPLIT(A1591,"",""),1)),""."","","",1))"),55.812641)</f>
        <v>55.812641</v>
      </c>
      <c r="Q1591" s="13">
        <f>IFERROR(__xludf.DUMMYFUNCTION("VALUE(SUBSTITUTE((INDEX(SPLIT(A1591,"",""),2)),""."","","",1))"),37.604412)</f>
        <v>37.604412</v>
      </c>
      <c r="R1591" s="14" t="b">
        <f t="shared" si="1"/>
        <v>0</v>
      </c>
      <c r="S1591" s="14" t="str">
        <f t="shared" si="2"/>
        <v>55.812641,37.604412</v>
      </c>
      <c r="T1591" s="12"/>
    </row>
    <row r="1592">
      <c r="A1592" s="18" t="s">
        <v>10352</v>
      </c>
      <c r="B1592" s="8" t="s">
        <v>10353</v>
      </c>
      <c r="C1592" s="8" t="s">
        <v>10354</v>
      </c>
      <c r="D1592" s="8" t="s">
        <v>16</v>
      </c>
      <c r="E1592" s="19" t="s">
        <v>10355</v>
      </c>
      <c r="F1592" s="8" t="s">
        <v>3883</v>
      </c>
      <c r="G1592" s="8">
        <v>23.61</v>
      </c>
      <c r="H1592" s="8"/>
      <c r="I1592" s="8"/>
      <c r="J1592" s="8" t="s">
        <v>10356</v>
      </c>
      <c r="K1592" s="8" t="s">
        <v>10357</v>
      </c>
      <c r="L1592" s="8"/>
      <c r="M1592" s="8"/>
      <c r="N1592" s="12"/>
      <c r="O1592" s="12"/>
      <c r="P1592" s="13">
        <f>IFERROR(__xludf.DUMMYFUNCTION("VALUE(SUBSTITUTE((INDEX(SPLIT(A1592,"",""),1)),""."","","",1))"),55.808999)</f>
        <v>55.808999</v>
      </c>
      <c r="Q1592" s="13">
        <f>IFERROR(__xludf.DUMMYFUNCTION("VALUE(SUBSTITUTE((INDEX(SPLIT(A1592,"",""),2)),""."","","",1))"),37.605715)</f>
        <v>37.605715</v>
      </c>
      <c r="R1592" s="14" t="b">
        <f t="shared" si="1"/>
        <v>0</v>
      </c>
      <c r="S1592" s="14" t="str">
        <f t="shared" si="2"/>
        <v>55.808999,37.605715</v>
      </c>
      <c r="T1592" s="12"/>
    </row>
    <row r="1593">
      <c r="A1593" s="15" t="s">
        <v>10358</v>
      </c>
      <c r="B1593" s="16" t="s">
        <v>10359</v>
      </c>
      <c r="C1593" s="16" t="s">
        <v>10360</v>
      </c>
      <c r="D1593" s="16" t="s">
        <v>16</v>
      </c>
      <c r="E1593" s="17" t="s">
        <v>10361</v>
      </c>
      <c r="F1593" s="16" t="s">
        <v>4881</v>
      </c>
      <c r="G1593" s="16">
        <v>23.61</v>
      </c>
      <c r="H1593" s="16"/>
      <c r="I1593" s="16"/>
      <c r="J1593" s="16" t="s">
        <v>10362</v>
      </c>
      <c r="K1593" s="16" t="s">
        <v>10363</v>
      </c>
      <c r="L1593" s="16"/>
      <c r="M1593" s="16"/>
      <c r="N1593" s="12"/>
      <c r="O1593" s="12"/>
      <c r="P1593" s="13">
        <f>IFERROR(__xludf.DUMMYFUNCTION("VALUE(SUBSTITUTE((INDEX(SPLIT(A1593,"",""),1)),""."","","",1))"),55.886135)</f>
        <v>55.886135</v>
      </c>
      <c r="Q1593" s="13">
        <f>IFERROR(__xludf.DUMMYFUNCTION("VALUE(SUBSTITUTE((INDEX(SPLIT(A1593,"",""),2)),""."","","",1))"),37.606038)</f>
        <v>37.606038</v>
      </c>
      <c r="R1593" s="14" t="b">
        <f t="shared" si="1"/>
        <v>0</v>
      </c>
      <c r="S1593" s="14" t="str">
        <f t="shared" si="2"/>
        <v>55.886135,37.606038</v>
      </c>
      <c r="T1593" s="12"/>
    </row>
    <row r="1594">
      <c r="A1594" s="7" t="s">
        <v>10364</v>
      </c>
      <c r="B1594" s="8" t="s">
        <v>10365</v>
      </c>
      <c r="C1594" s="8" t="s">
        <v>10366</v>
      </c>
      <c r="D1594" s="8" t="s">
        <v>16</v>
      </c>
      <c r="E1594" s="9" t="s">
        <v>10367</v>
      </c>
      <c r="F1594" s="10" t="s">
        <v>4881</v>
      </c>
      <c r="G1594" s="8">
        <v>23.61</v>
      </c>
      <c r="H1594" s="8"/>
      <c r="I1594" s="10"/>
      <c r="J1594" s="10" t="s">
        <v>10368</v>
      </c>
      <c r="K1594" s="10" t="s">
        <v>10369</v>
      </c>
      <c r="L1594" s="11" t="s">
        <v>10370</v>
      </c>
      <c r="M1594" s="10"/>
      <c r="N1594" s="12"/>
      <c r="O1594" s="12"/>
      <c r="P1594" s="13">
        <f>IFERROR(__xludf.DUMMYFUNCTION("VALUE(SUBSTITUTE((INDEX(SPLIT(A1594,"",""),1)),""."","","",1))"),55.809636)</f>
        <v>55.809636</v>
      </c>
      <c r="Q1594" s="13">
        <f>IFERROR(__xludf.DUMMYFUNCTION("VALUE(SUBSTITUTE((INDEX(SPLIT(A1594,"",""),2)),""."","","",1))"),37.606119)</f>
        <v>37.606119</v>
      </c>
      <c r="R1594" s="14" t="b">
        <f t="shared" si="1"/>
        <v>0</v>
      </c>
      <c r="S1594" s="14" t="str">
        <f t="shared" si="2"/>
        <v>55.809636,37.606119</v>
      </c>
      <c r="T1594" s="12"/>
    </row>
    <row r="1595">
      <c r="A1595" s="15" t="s">
        <v>10364</v>
      </c>
      <c r="B1595" s="16" t="s">
        <v>10371</v>
      </c>
      <c r="C1595" s="16" t="s">
        <v>10372</v>
      </c>
      <c r="D1595" s="16" t="s">
        <v>16</v>
      </c>
      <c r="E1595" s="17" t="s">
        <v>10373</v>
      </c>
      <c r="F1595" s="16" t="s">
        <v>4881</v>
      </c>
      <c r="G1595" s="16">
        <v>23.61</v>
      </c>
      <c r="H1595" s="16"/>
      <c r="I1595" s="16"/>
      <c r="J1595" s="16" t="s">
        <v>10374</v>
      </c>
      <c r="K1595" s="16" t="s">
        <v>10375</v>
      </c>
      <c r="L1595" s="16"/>
      <c r="M1595" s="25" t="s">
        <v>10376</v>
      </c>
      <c r="N1595" s="12"/>
      <c r="O1595" s="12"/>
      <c r="P1595" s="13">
        <f>IFERROR(__xludf.DUMMYFUNCTION("VALUE(SUBSTITUTE((INDEX(SPLIT(A1595,"",""),1)),""."","","",1))"),55.809636)</f>
        <v>55.809636</v>
      </c>
      <c r="Q1595" s="13">
        <f>IFERROR(__xludf.DUMMYFUNCTION("VALUE(SUBSTITUTE((INDEX(SPLIT(A1595,"",""),2)),""."","","",1))"),37.606119)</f>
        <v>37.606119</v>
      </c>
      <c r="R1595" s="14" t="b">
        <f t="shared" si="1"/>
        <v>0</v>
      </c>
      <c r="S1595" s="14" t="str">
        <f t="shared" si="2"/>
        <v>55.809636,37.606119</v>
      </c>
      <c r="T1595" s="12"/>
    </row>
    <row r="1596">
      <c r="A1596" s="7" t="s">
        <v>10377</v>
      </c>
      <c r="B1596" s="8" t="s">
        <v>10378</v>
      </c>
      <c r="C1596" s="8" t="s">
        <v>10379</v>
      </c>
      <c r="D1596" s="8" t="s">
        <v>16</v>
      </c>
      <c r="E1596" s="9" t="s">
        <v>10380</v>
      </c>
      <c r="F1596" s="10" t="s">
        <v>3760</v>
      </c>
      <c r="G1596" s="8">
        <v>23.61</v>
      </c>
      <c r="H1596" s="8"/>
      <c r="I1596" s="10"/>
      <c r="J1596" s="10" t="s">
        <v>10381</v>
      </c>
      <c r="K1596" s="10" t="s">
        <v>10382</v>
      </c>
      <c r="L1596" s="11" t="s">
        <v>10383</v>
      </c>
      <c r="M1596" s="10"/>
      <c r="N1596" s="12"/>
      <c r="O1596" s="12"/>
      <c r="P1596" s="13">
        <f>IFERROR(__xludf.DUMMYFUNCTION("VALUE(SUBSTITUTE((INDEX(SPLIT(A1596,"",""),1)),""."","","",1))"),54.828797)</f>
        <v>54.828797</v>
      </c>
      <c r="Q1596" s="13">
        <f>IFERROR(__xludf.DUMMYFUNCTION("VALUE(SUBSTITUTE((INDEX(SPLIT(A1596,"",""),2)),""."","","",1))"),37.607475)</f>
        <v>37.607475</v>
      </c>
      <c r="R1596" s="14" t="b">
        <f t="shared" si="1"/>
        <v>0</v>
      </c>
      <c r="S1596" s="14" t="str">
        <f t="shared" si="2"/>
        <v>54.828797,37.607475</v>
      </c>
      <c r="T1596" s="12"/>
    </row>
    <row r="1597">
      <c r="A1597" s="20" t="s">
        <v>10384</v>
      </c>
      <c r="B1597" s="16" t="s">
        <v>10385</v>
      </c>
      <c r="C1597" s="16" t="s">
        <v>10386</v>
      </c>
      <c r="D1597" s="16" t="s">
        <v>16</v>
      </c>
      <c r="E1597" s="21" t="s">
        <v>10387</v>
      </c>
      <c r="F1597" s="22" t="s">
        <v>3883</v>
      </c>
      <c r="G1597" s="16">
        <v>23.61</v>
      </c>
      <c r="H1597" s="16"/>
      <c r="I1597" s="22"/>
      <c r="J1597" s="22" t="s">
        <v>10388</v>
      </c>
      <c r="K1597" s="22" t="s">
        <v>10389</v>
      </c>
      <c r="L1597" s="23" t="s">
        <v>10390</v>
      </c>
      <c r="M1597" s="22"/>
      <c r="N1597" s="12"/>
      <c r="O1597" s="12"/>
      <c r="P1597" s="13">
        <f>IFERROR(__xludf.DUMMYFUNCTION("VALUE(SUBSTITUTE((INDEX(SPLIT(A1597,"",""),1)),""."","","",1))"),55.687852)</f>
        <v>55.687852</v>
      </c>
      <c r="Q1597" s="13">
        <f>IFERROR(__xludf.DUMMYFUNCTION("VALUE(SUBSTITUTE((INDEX(SPLIT(A1597,"",""),2)),""."","","",1))"),37.609155)</f>
        <v>37.609155</v>
      </c>
      <c r="R1597" s="14" t="b">
        <f t="shared" si="1"/>
        <v>0</v>
      </c>
      <c r="S1597" s="14" t="str">
        <f t="shared" si="2"/>
        <v>55.687852,37.609155</v>
      </c>
      <c r="T1597" s="12"/>
    </row>
    <row r="1598">
      <c r="A1598" s="7" t="s">
        <v>10391</v>
      </c>
      <c r="B1598" s="8" t="s">
        <v>10392</v>
      </c>
      <c r="C1598" s="8" t="s">
        <v>10393</v>
      </c>
      <c r="D1598" s="8" t="s">
        <v>16</v>
      </c>
      <c r="E1598" s="9" t="s">
        <v>10394</v>
      </c>
      <c r="F1598" s="10" t="s">
        <v>6732</v>
      </c>
      <c r="G1598" s="8">
        <v>23.61</v>
      </c>
      <c r="H1598" s="8"/>
      <c r="I1598" s="31" t="s">
        <v>10395</v>
      </c>
      <c r="J1598" s="10" t="s">
        <v>10396</v>
      </c>
      <c r="K1598" s="10" t="s">
        <v>10397</v>
      </c>
      <c r="L1598" s="11" t="s">
        <v>10398</v>
      </c>
      <c r="M1598" s="10"/>
      <c r="N1598" s="12"/>
      <c r="O1598" s="12"/>
      <c r="P1598" s="13">
        <f>IFERROR(__xludf.DUMMYFUNCTION("VALUE(SUBSTITUTE((INDEX(SPLIT(A1598,"",""),1)),""."","","",1))"),54.182933)</f>
        <v>54.182933</v>
      </c>
      <c r="Q1598" s="13">
        <f>IFERROR(__xludf.DUMMYFUNCTION("VALUE(SUBSTITUTE((INDEX(SPLIT(A1598,"",""),2)),""."","","",1))"),37.609479)</f>
        <v>37.609479</v>
      </c>
      <c r="R1598" s="14" t="b">
        <f t="shared" si="1"/>
        <v>0</v>
      </c>
      <c r="S1598" s="14" t="str">
        <f t="shared" si="2"/>
        <v>54.182933,37.609479</v>
      </c>
      <c r="T1598" s="12"/>
    </row>
    <row r="1599">
      <c r="A1599" s="15" t="s">
        <v>10399</v>
      </c>
      <c r="B1599" s="16" t="s">
        <v>10400</v>
      </c>
      <c r="C1599" s="16" t="s">
        <v>10401</v>
      </c>
      <c r="D1599" s="16" t="s">
        <v>16</v>
      </c>
      <c r="E1599" s="17" t="s">
        <v>10402</v>
      </c>
      <c r="F1599" s="16" t="s">
        <v>3883</v>
      </c>
      <c r="G1599" s="16">
        <v>23.61</v>
      </c>
      <c r="H1599" s="16"/>
      <c r="I1599" s="16"/>
      <c r="J1599" s="16" t="s">
        <v>10403</v>
      </c>
      <c r="K1599" s="16" t="s">
        <v>10404</v>
      </c>
      <c r="L1599" s="16"/>
      <c r="M1599" s="16"/>
      <c r="N1599" s="12"/>
      <c r="O1599" s="12"/>
      <c r="P1599" s="13">
        <f>IFERROR(__xludf.DUMMYFUNCTION("VALUE(SUBSTITUTE((INDEX(SPLIT(A1599,"",""),1)),""."","","",1))"),55.734091)</f>
        <v>55.734091</v>
      </c>
      <c r="Q1599" s="13">
        <f>IFERROR(__xludf.DUMMYFUNCTION("VALUE(SUBSTITUTE((INDEX(SPLIT(A1599,"",""),2)),""."","","",1))"),37.610179)</f>
        <v>37.610179</v>
      </c>
      <c r="R1599" s="14" t="b">
        <f t="shared" si="1"/>
        <v>0</v>
      </c>
      <c r="S1599" s="14" t="str">
        <f t="shared" si="2"/>
        <v>55.734091,37.610179</v>
      </c>
      <c r="T1599" s="12"/>
    </row>
    <row r="1600">
      <c r="A1600" s="7" t="s">
        <v>10405</v>
      </c>
      <c r="B1600" s="8" t="s">
        <v>8118</v>
      </c>
      <c r="C1600" s="8" t="s">
        <v>8119</v>
      </c>
      <c r="D1600" s="8" t="s">
        <v>16</v>
      </c>
      <c r="E1600" s="9" t="s">
        <v>10406</v>
      </c>
      <c r="F1600" s="10" t="s">
        <v>3883</v>
      </c>
      <c r="G1600" s="8">
        <v>23.61</v>
      </c>
      <c r="H1600" s="8"/>
      <c r="I1600" s="10"/>
      <c r="J1600" s="10" t="s">
        <v>10407</v>
      </c>
      <c r="K1600" s="10" t="s">
        <v>10408</v>
      </c>
      <c r="L1600" s="11" t="s">
        <v>10409</v>
      </c>
      <c r="M1600" s="10"/>
      <c r="N1600" s="12"/>
      <c r="O1600" s="12"/>
      <c r="P1600" s="13">
        <f>IFERROR(__xludf.DUMMYFUNCTION("VALUE(SUBSTITUTE((INDEX(SPLIT(A1600,"",""),1)),""."","","",1))"),55.879036)</f>
        <v>55.879036</v>
      </c>
      <c r="Q1600" s="13">
        <f>IFERROR(__xludf.DUMMYFUNCTION("VALUE(SUBSTITUTE((INDEX(SPLIT(A1600,"",""),2)),""."","","",1))"),37.610619)</f>
        <v>37.610619</v>
      </c>
      <c r="R1600" s="14" t="b">
        <f t="shared" si="1"/>
        <v>0</v>
      </c>
      <c r="S1600" s="14" t="str">
        <f t="shared" si="2"/>
        <v>55.879036,37.610619</v>
      </c>
      <c r="T1600" s="12"/>
    </row>
    <row r="1601">
      <c r="A1601" s="15" t="s">
        <v>10410</v>
      </c>
      <c r="B1601" s="16" t="s">
        <v>10411</v>
      </c>
      <c r="C1601" s="16" t="s">
        <v>10412</v>
      </c>
      <c r="D1601" s="16" t="s">
        <v>16</v>
      </c>
      <c r="E1601" s="17" t="s">
        <v>10413</v>
      </c>
      <c r="F1601" s="16" t="s">
        <v>4327</v>
      </c>
      <c r="G1601" s="16">
        <v>23.61</v>
      </c>
      <c r="H1601" s="16"/>
      <c r="I1601" s="16"/>
      <c r="J1601" s="16" t="s">
        <v>10414</v>
      </c>
      <c r="K1601" s="16" t="s">
        <v>10415</v>
      </c>
      <c r="L1601" s="16"/>
      <c r="M1601" s="16"/>
      <c r="N1601" s="12"/>
      <c r="O1601" s="12"/>
      <c r="P1601" s="13">
        <f>IFERROR(__xludf.DUMMYFUNCTION("VALUE(SUBSTITUTE((INDEX(SPLIT(A1601,"",""),1)),""."","","",1))"),51.301279)</f>
        <v>51.301279</v>
      </c>
      <c r="Q1601" s="13">
        <f>IFERROR(__xludf.DUMMYFUNCTION("VALUE(SUBSTITUTE((INDEX(SPLIT(A1601,"",""),2)),""."","","",1))"),37.611958)</f>
        <v>37.611958</v>
      </c>
      <c r="R1601" s="14" t="b">
        <f t="shared" si="1"/>
        <v>0</v>
      </c>
      <c r="S1601" s="14" t="str">
        <f t="shared" si="2"/>
        <v>51.301279,37.611958</v>
      </c>
      <c r="T1601" s="12"/>
    </row>
    <row r="1602">
      <c r="A1602" s="7" t="s">
        <v>10416</v>
      </c>
      <c r="B1602" s="8" t="s">
        <v>10417</v>
      </c>
      <c r="C1602" s="8" t="s">
        <v>10418</v>
      </c>
      <c r="D1602" s="8" t="s">
        <v>16</v>
      </c>
      <c r="E1602" s="9" t="s">
        <v>10419</v>
      </c>
      <c r="F1602" s="10" t="s">
        <v>3883</v>
      </c>
      <c r="G1602" s="8">
        <v>23.61</v>
      </c>
      <c r="H1602" s="8"/>
      <c r="I1602" s="10"/>
      <c r="J1602" s="10" t="s">
        <v>10420</v>
      </c>
      <c r="K1602" s="10" t="s">
        <v>10421</v>
      </c>
      <c r="L1602" s="11" t="s">
        <v>10422</v>
      </c>
      <c r="M1602" s="11" t="s">
        <v>10423</v>
      </c>
      <c r="N1602" s="12"/>
      <c r="O1602" s="12"/>
      <c r="P1602" s="13">
        <f>IFERROR(__xludf.DUMMYFUNCTION("VALUE(SUBSTITUTE((INDEX(SPLIT(A1602,"",""),1)),""."","","",1))"),55.685274)</f>
        <v>55.685274</v>
      </c>
      <c r="Q1602" s="13">
        <f>IFERROR(__xludf.DUMMYFUNCTION("VALUE(SUBSTITUTE((INDEX(SPLIT(A1602,"",""),2)),""."","","",1))"),37.612434)</f>
        <v>37.612434</v>
      </c>
      <c r="R1602" s="14" t="b">
        <f t="shared" si="1"/>
        <v>0</v>
      </c>
      <c r="S1602" s="14" t="str">
        <f t="shared" si="2"/>
        <v>55.685274,37.612434</v>
      </c>
      <c r="T1602" s="12"/>
    </row>
    <row r="1603">
      <c r="A1603" s="20" t="s">
        <v>10424</v>
      </c>
      <c r="B1603" s="16" t="s">
        <v>10425</v>
      </c>
      <c r="C1603" s="16" t="s">
        <v>10426</v>
      </c>
      <c r="D1603" s="16" t="s">
        <v>16</v>
      </c>
      <c r="E1603" s="21" t="s">
        <v>10427</v>
      </c>
      <c r="F1603" s="22" t="s">
        <v>6732</v>
      </c>
      <c r="G1603" s="16">
        <v>23.61</v>
      </c>
      <c r="H1603" s="16"/>
      <c r="I1603" s="22"/>
      <c r="J1603" s="22" t="s">
        <v>10428</v>
      </c>
      <c r="K1603" s="22" t="s">
        <v>10429</v>
      </c>
      <c r="L1603" s="23" t="s">
        <v>10430</v>
      </c>
      <c r="M1603" s="22"/>
      <c r="N1603" s="12"/>
      <c r="O1603" s="12"/>
      <c r="P1603" s="13">
        <f>IFERROR(__xludf.DUMMYFUNCTION("VALUE(SUBSTITUTE((INDEX(SPLIT(A1603,"",""),1)),""."","","",1))"),54.195192)</f>
        <v>54.195192</v>
      </c>
      <c r="Q1603" s="13">
        <f>IFERROR(__xludf.DUMMYFUNCTION("VALUE(SUBSTITUTE((INDEX(SPLIT(A1603,"",""),2)),""."","","",1))"),37.612533)</f>
        <v>37.612533</v>
      </c>
      <c r="R1603" s="14" t="b">
        <f t="shared" si="1"/>
        <v>0</v>
      </c>
      <c r="S1603" s="14" t="str">
        <f t="shared" si="2"/>
        <v>54.195192,37.612533</v>
      </c>
      <c r="T1603" s="12"/>
    </row>
    <row r="1604">
      <c r="A1604" s="18" t="s">
        <v>10431</v>
      </c>
      <c r="B1604" s="8" t="s">
        <v>7365</v>
      </c>
      <c r="C1604" s="8" t="s">
        <v>7366</v>
      </c>
      <c r="D1604" s="8" t="s">
        <v>16</v>
      </c>
      <c r="E1604" s="19" t="s">
        <v>10432</v>
      </c>
      <c r="F1604" s="8" t="s">
        <v>3883</v>
      </c>
      <c r="G1604" s="8">
        <v>23.61</v>
      </c>
      <c r="H1604" s="8"/>
      <c r="I1604" s="8"/>
      <c r="J1604" s="8" t="s">
        <v>10433</v>
      </c>
      <c r="K1604" s="8" t="s">
        <v>10434</v>
      </c>
      <c r="L1604" s="8"/>
      <c r="M1604" s="8"/>
      <c r="N1604" s="12"/>
      <c r="O1604" s="12"/>
      <c r="P1604" s="13">
        <f>IFERROR(__xludf.DUMMYFUNCTION("VALUE(SUBSTITUTE((INDEX(SPLIT(A1604,"",""),1)),""."","","",1))"),55.687655)</f>
        <v>55.687655</v>
      </c>
      <c r="Q1604" s="13">
        <f>IFERROR(__xludf.DUMMYFUNCTION("VALUE(SUBSTITUTE((INDEX(SPLIT(A1604,"",""),2)),""."","","",1))"),37.613171)</f>
        <v>37.613171</v>
      </c>
      <c r="R1604" s="14" t="b">
        <f t="shared" si="1"/>
        <v>0</v>
      </c>
      <c r="S1604" s="14" t="str">
        <f t="shared" si="2"/>
        <v>55.687655,37.613171</v>
      </c>
      <c r="T1604" s="12"/>
    </row>
    <row r="1605">
      <c r="A1605" s="15" t="s">
        <v>10435</v>
      </c>
      <c r="B1605" s="16" t="s">
        <v>10436</v>
      </c>
      <c r="C1605" s="16" t="s">
        <v>10437</v>
      </c>
      <c r="D1605" s="16" t="s">
        <v>16</v>
      </c>
      <c r="E1605" s="17" t="s">
        <v>10438</v>
      </c>
      <c r="F1605" s="16" t="s">
        <v>4881</v>
      </c>
      <c r="G1605" s="16">
        <v>23.61</v>
      </c>
      <c r="H1605" s="16"/>
      <c r="I1605" s="16"/>
      <c r="J1605" s="16" t="s">
        <v>10439</v>
      </c>
      <c r="K1605" s="16" t="s">
        <v>10440</v>
      </c>
      <c r="L1605" s="16"/>
      <c r="M1605" s="16"/>
      <c r="N1605" s="12"/>
      <c r="O1605" s="12"/>
      <c r="P1605" s="13">
        <f>IFERROR(__xludf.DUMMYFUNCTION("VALUE(SUBSTITUTE((INDEX(SPLIT(A1605,"",""),1)),""."","","",1))"),55.665167)</f>
        <v>55.665167</v>
      </c>
      <c r="Q1605" s="13">
        <f>IFERROR(__xludf.DUMMYFUNCTION("VALUE(SUBSTITUTE((INDEX(SPLIT(A1605,"",""),2)),""."","","",1))"),37.613907)</f>
        <v>37.613907</v>
      </c>
      <c r="R1605" s="14" t="b">
        <f t="shared" si="1"/>
        <v>0</v>
      </c>
      <c r="S1605" s="14" t="str">
        <f t="shared" si="2"/>
        <v>55.665167,37.613907</v>
      </c>
      <c r="T1605" s="12"/>
    </row>
    <row r="1606">
      <c r="A1606" s="18" t="s">
        <v>10441</v>
      </c>
      <c r="B1606" s="8" t="s">
        <v>10442</v>
      </c>
      <c r="C1606" s="8" t="s">
        <v>10443</v>
      </c>
      <c r="D1606" s="8" t="s">
        <v>16</v>
      </c>
      <c r="E1606" s="19" t="s">
        <v>10444</v>
      </c>
      <c r="F1606" s="8" t="s">
        <v>4881</v>
      </c>
      <c r="G1606" s="8">
        <v>23.61</v>
      </c>
      <c r="H1606" s="8"/>
      <c r="I1606" s="8"/>
      <c r="J1606" s="8" t="s">
        <v>10445</v>
      </c>
      <c r="K1606" s="8" t="s">
        <v>10446</v>
      </c>
      <c r="L1606" s="8"/>
      <c r="M1606" s="8"/>
      <c r="N1606" s="12"/>
      <c r="O1606" s="12"/>
      <c r="P1606" s="13">
        <f>IFERROR(__xludf.DUMMYFUNCTION("VALUE(SUBSTITUTE((INDEX(SPLIT(A1606,"",""),1)),""."","","",1))"),55.790018)</f>
        <v>55.790018</v>
      </c>
      <c r="Q1606" s="13">
        <f>IFERROR(__xludf.DUMMYFUNCTION("VALUE(SUBSTITUTE((INDEX(SPLIT(A1606,"",""),2)),""."","","",1))"),37.615354)</f>
        <v>37.615354</v>
      </c>
      <c r="R1606" s="14" t="b">
        <f t="shared" si="1"/>
        <v>0</v>
      </c>
      <c r="S1606" s="14" t="str">
        <f t="shared" si="2"/>
        <v>55.790018,37.615354</v>
      </c>
      <c r="T1606" s="12"/>
    </row>
    <row r="1607">
      <c r="A1607" s="15" t="s">
        <v>10447</v>
      </c>
      <c r="B1607" s="16" t="s">
        <v>10448</v>
      </c>
      <c r="C1607" s="16" t="s">
        <v>10449</v>
      </c>
      <c r="D1607" s="16" t="s">
        <v>16</v>
      </c>
      <c r="E1607" s="17" t="s">
        <v>10450</v>
      </c>
      <c r="F1607" s="16" t="s">
        <v>3883</v>
      </c>
      <c r="G1607" s="16">
        <v>23.61</v>
      </c>
      <c r="H1607" s="16"/>
      <c r="I1607" s="16"/>
      <c r="J1607" s="16" t="s">
        <v>10451</v>
      </c>
      <c r="K1607" s="16" t="s">
        <v>10452</v>
      </c>
      <c r="L1607" s="16"/>
      <c r="M1607" s="16"/>
      <c r="N1607" s="12"/>
      <c r="O1607" s="12"/>
      <c r="P1607" s="13">
        <f>IFERROR(__xludf.DUMMYFUNCTION("VALUE(SUBSTITUTE((INDEX(SPLIT(A1607,"",""),1)),""."","","",1))"),55.709632)</f>
        <v>55.709632</v>
      </c>
      <c r="Q1607" s="13">
        <f>IFERROR(__xludf.DUMMYFUNCTION("VALUE(SUBSTITUTE((INDEX(SPLIT(A1607,"",""),2)),""."","","",1))"),37.616926)</f>
        <v>37.616926</v>
      </c>
      <c r="R1607" s="14" t="b">
        <f t="shared" si="1"/>
        <v>0</v>
      </c>
      <c r="S1607" s="14" t="str">
        <f t="shared" si="2"/>
        <v>55.709632,37.616926</v>
      </c>
      <c r="T1607" s="12"/>
    </row>
    <row r="1608">
      <c r="A1608" s="7" t="s">
        <v>10447</v>
      </c>
      <c r="B1608" s="8" t="s">
        <v>10453</v>
      </c>
      <c r="C1608" s="8" t="s">
        <v>10454</v>
      </c>
      <c r="D1608" s="8" t="s">
        <v>16</v>
      </c>
      <c r="E1608" s="9" t="s">
        <v>10455</v>
      </c>
      <c r="F1608" s="10" t="s">
        <v>3883</v>
      </c>
      <c r="G1608" s="8">
        <v>23.61</v>
      </c>
      <c r="H1608" s="8"/>
      <c r="I1608" s="10"/>
      <c r="J1608" s="10" t="s">
        <v>10456</v>
      </c>
      <c r="K1608" s="10" t="s">
        <v>10457</v>
      </c>
      <c r="L1608" s="11" t="s">
        <v>10458</v>
      </c>
      <c r="M1608" s="10"/>
      <c r="N1608" s="12"/>
      <c r="O1608" s="12"/>
      <c r="P1608" s="13">
        <f>IFERROR(__xludf.DUMMYFUNCTION("VALUE(SUBSTITUTE((INDEX(SPLIT(A1608,"",""),1)),""."","","",1))"),55.709632)</f>
        <v>55.709632</v>
      </c>
      <c r="Q1608" s="13">
        <f>IFERROR(__xludf.DUMMYFUNCTION("VALUE(SUBSTITUTE((INDEX(SPLIT(A1608,"",""),2)),""."","","",1))"),37.616926)</f>
        <v>37.616926</v>
      </c>
      <c r="R1608" s="14" t="b">
        <f t="shared" si="1"/>
        <v>0</v>
      </c>
      <c r="S1608" s="14" t="str">
        <f t="shared" si="2"/>
        <v>55.709632,37.616926</v>
      </c>
      <c r="T1608" s="12"/>
    </row>
    <row r="1609">
      <c r="A1609" s="15" t="s">
        <v>10459</v>
      </c>
      <c r="B1609" s="16" t="s">
        <v>10460</v>
      </c>
      <c r="C1609" s="16" t="s">
        <v>10461</v>
      </c>
      <c r="D1609" s="16" t="s">
        <v>16</v>
      </c>
      <c r="E1609" s="17" t="s">
        <v>10462</v>
      </c>
      <c r="F1609" s="16" t="s">
        <v>6732</v>
      </c>
      <c r="G1609" s="16">
        <v>23.61</v>
      </c>
      <c r="H1609" s="16"/>
      <c r="I1609" s="16"/>
      <c r="J1609" s="16" t="s">
        <v>10463</v>
      </c>
      <c r="K1609" s="16" t="s">
        <v>10464</v>
      </c>
      <c r="L1609" s="16"/>
      <c r="M1609" s="16"/>
      <c r="N1609" s="12"/>
      <c r="O1609" s="12"/>
      <c r="P1609" s="13">
        <f>IFERROR(__xludf.DUMMYFUNCTION("VALUE(SUBSTITUTE((INDEX(SPLIT(A1609,"",""),1)),""."","","",1))"),54.193122)</f>
        <v>54.193122</v>
      </c>
      <c r="Q1609" s="13">
        <f>IFERROR(__xludf.DUMMYFUNCTION("VALUE(SUBSTITUTE((INDEX(SPLIT(A1609,"",""),2)),""."","","",1))"),37.617348)</f>
        <v>37.617348</v>
      </c>
      <c r="R1609" s="14" t="b">
        <f t="shared" si="1"/>
        <v>0</v>
      </c>
      <c r="S1609" s="14" t="str">
        <f t="shared" si="2"/>
        <v>54.193122,37.617348</v>
      </c>
      <c r="T1609" s="12"/>
    </row>
    <row r="1610">
      <c r="A1610" s="18" t="s">
        <v>10459</v>
      </c>
      <c r="B1610" s="8" t="s">
        <v>10465</v>
      </c>
      <c r="C1610" s="8" t="s">
        <v>10466</v>
      </c>
      <c r="D1610" s="8" t="s">
        <v>16</v>
      </c>
      <c r="E1610" s="19" t="s">
        <v>10467</v>
      </c>
      <c r="F1610" s="8" t="s">
        <v>6732</v>
      </c>
      <c r="G1610" s="8">
        <v>23.61</v>
      </c>
      <c r="H1610" s="8"/>
      <c r="I1610" s="8"/>
      <c r="J1610" s="8" t="s">
        <v>10468</v>
      </c>
      <c r="K1610" s="8" t="s">
        <v>10469</v>
      </c>
      <c r="L1610" s="8"/>
      <c r="M1610" s="24" t="s">
        <v>9394</v>
      </c>
      <c r="N1610" s="12"/>
      <c r="O1610" s="12"/>
      <c r="P1610" s="13">
        <f>IFERROR(__xludf.DUMMYFUNCTION("VALUE(SUBSTITUTE((INDEX(SPLIT(A1610,"",""),1)),""."","","",1))"),54.193122)</f>
        <v>54.193122</v>
      </c>
      <c r="Q1610" s="13">
        <f>IFERROR(__xludf.DUMMYFUNCTION("VALUE(SUBSTITUTE((INDEX(SPLIT(A1610,"",""),2)),""."","","",1))"),37.617348)</f>
        <v>37.617348</v>
      </c>
      <c r="R1610" s="14" t="b">
        <f t="shared" si="1"/>
        <v>0</v>
      </c>
      <c r="S1610" s="14" t="str">
        <f t="shared" si="2"/>
        <v>54.193122,37.617348</v>
      </c>
      <c r="T1610" s="12"/>
    </row>
    <row r="1611">
      <c r="A1611" s="20" t="s">
        <v>10470</v>
      </c>
      <c r="B1611" s="16" t="s">
        <v>10471</v>
      </c>
      <c r="C1611" s="16" t="s">
        <v>10472</v>
      </c>
      <c r="D1611" s="16" t="s">
        <v>16</v>
      </c>
      <c r="E1611" s="21" t="s">
        <v>10473</v>
      </c>
      <c r="F1611" s="22" t="s">
        <v>3883</v>
      </c>
      <c r="G1611" s="16">
        <v>23.61</v>
      </c>
      <c r="H1611" s="16"/>
      <c r="I1611" s="22"/>
      <c r="J1611" s="22" t="s">
        <v>10474</v>
      </c>
      <c r="K1611" s="22" t="s">
        <v>10475</v>
      </c>
      <c r="L1611" s="23" t="s">
        <v>10476</v>
      </c>
      <c r="M1611" s="22"/>
      <c r="N1611" s="12"/>
      <c r="O1611" s="12"/>
      <c r="P1611" s="13">
        <f>IFERROR(__xludf.DUMMYFUNCTION("VALUE(SUBSTITUTE((INDEX(SPLIT(A1611,"",""),1)),""."","","",1))"),55.709079)</f>
        <v>55.709079</v>
      </c>
      <c r="Q1611" s="13">
        <f>IFERROR(__xludf.DUMMYFUNCTION("VALUE(SUBSTITUTE((INDEX(SPLIT(A1611,"",""),2)),""."","","",1))"),37.617357)</f>
        <v>37.617357</v>
      </c>
      <c r="R1611" s="14" t="b">
        <f t="shared" si="1"/>
        <v>0</v>
      </c>
      <c r="S1611" s="14" t="str">
        <f t="shared" si="2"/>
        <v>55.709079,37.617357</v>
      </c>
      <c r="T1611" s="12"/>
    </row>
    <row r="1612">
      <c r="A1612" s="18" t="s">
        <v>10470</v>
      </c>
      <c r="B1612" s="8" t="s">
        <v>10477</v>
      </c>
      <c r="C1612" s="8" t="s">
        <v>10478</v>
      </c>
      <c r="D1612" s="8" t="s">
        <v>16</v>
      </c>
      <c r="E1612" s="19" t="s">
        <v>10479</v>
      </c>
      <c r="F1612" s="8" t="s">
        <v>3883</v>
      </c>
      <c r="G1612" s="8">
        <v>23.61</v>
      </c>
      <c r="H1612" s="8"/>
      <c r="I1612" s="8"/>
      <c r="J1612" s="8" t="s">
        <v>10480</v>
      </c>
      <c r="K1612" s="8" t="s">
        <v>10481</v>
      </c>
      <c r="L1612" s="8"/>
      <c r="M1612" s="8"/>
      <c r="N1612" s="12"/>
      <c r="O1612" s="12"/>
      <c r="P1612" s="13">
        <f>IFERROR(__xludf.DUMMYFUNCTION("VALUE(SUBSTITUTE((INDEX(SPLIT(A1612,"",""),1)),""."","","",1))"),55.709079)</f>
        <v>55.709079</v>
      </c>
      <c r="Q1612" s="13">
        <f>IFERROR(__xludf.DUMMYFUNCTION("VALUE(SUBSTITUTE((INDEX(SPLIT(A1612,"",""),2)),""."","","",1))"),37.617357)</f>
        <v>37.617357</v>
      </c>
      <c r="R1612" s="14" t="b">
        <f t="shared" si="1"/>
        <v>0</v>
      </c>
      <c r="S1612" s="14" t="str">
        <f t="shared" si="2"/>
        <v>55.709079,37.617357</v>
      </c>
      <c r="T1612" s="12"/>
    </row>
    <row r="1613">
      <c r="A1613" s="15" t="s">
        <v>10482</v>
      </c>
      <c r="B1613" s="16" t="s">
        <v>10483</v>
      </c>
      <c r="C1613" s="16" t="s">
        <v>10484</v>
      </c>
      <c r="D1613" s="16" t="s">
        <v>16</v>
      </c>
      <c r="E1613" s="17" t="s">
        <v>10485</v>
      </c>
      <c r="F1613" s="16" t="s">
        <v>3883</v>
      </c>
      <c r="G1613" s="16">
        <v>23.61</v>
      </c>
      <c r="H1613" s="16"/>
      <c r="I1613" s="16"/>
      <c r="J1613" s="16" t="s">
        <v>10486</v>
      </c>
      <c r="K1613" s="16" t="s">
        <v>10487</v>
      </c>
      <c r="L1613" s="16"/>
      <c r="M1613" s="16"/>
      <c r="N1613" s="12"/>
      <c r="O1613" s="12"/>
      <c r="P1613" s="13">
        <f>IFERROR(__xludf.DUMMYFUNCTION("VALUE(SUBSTITUTE((INDEX(SPLIT(A1613,"",""),1)),""."","","",1))"),55.755819)</f>
        <v>55.755819</v>
      </c>
      <c r="Q1613" s="13">
        <f>IFERROR(__xludf.DUMMYFUNCTION("VALUE(SUBSTITUTE((INDEX(SPLIT(A1613,"",""),2)),""."","","",1))"),37.617644)</f>
        <v>37.617644</v>
      </c>
      <c r="R1613" s="14" t="b">
        <f t="shared" si="1"/>
        <v>0</v>
      </c>
      <c r="S1613" s="14" t="str">
        <f t="shared" si="2"/>
        <v>55.755819,37.617644</v>
      </c>
      <c r="T1613" s="12"/>
    </row>
    <row r="1614">
      <c r="A1614" s="18" t="s">
        <v>10482</v>
      </c>
      <c r="B1614" s="8" t="s">
        <v>8367</v>
      </c>
      <c r="C1614" s="8" t="s">
        <v>8368</v>
      </c>
      <c r="D1614" s="8" t="s">
        <v>16</v>
      </c>
      <c r="E1614" s="19" t="s">
        <v>10488</v>
      </c>
      <c r="F1614" s="8" t="s">
        <v>3883</v>
      </c>
      <c r="G1614" s="8">
        <v>23.61</v>
      </c>
      <c r="H1614" s="8"/>
      <c r="I1614" s="8"/>
      <c r="J1614" s="8" t="s">
        <v>10489</v>
      </c>
      <c r="K1614" s="8" t="s">
        <v>10490</v>
      </c>
      <c r="L1614" s="8"/>
      <c r="M1614" s="24" t="s">
        <v>10491</v>
      </c>
      <c r="N1614" s="12"/>
      <c r="O1614" s="12"/>
      <c r="P1614" s="13">
        <f>IFERROR(__xludf.DUMMYFUNCTION("VALUE(SUBSTITUTE((INDEX(SPLIT(A1614,"",""),1)),""."","","",1))"),55.755819)</f>
        <v>55.755819</v>
      </c>
      <c r="Q1614" s="13">
        <f>IFERROR(__xludf.DUMMYFUNCTION("VALUE(SUBSTITUTE((INDEX(SPLIT(A1614,"",""),2)),""."","","",1))"),37.617644)</f>
        <v>37.617644</v>
      </c>
      <c r="R1614" s="14" t="b">
        <f t="shared" si="1"/>
        <v>0</v>
      </c>
      <c r="S1614" s="14" t="str">
        <f t="shared" si="2"/>
        <v>55.755819,37.617644</v>
      </c>
      <c r="T1614" s="12"/>
    </row>
    <row r="1615">
      <c r="A1615" s="20" t="s">
        <v>10482</v>
      </c>
      <c r="B1615" s="16" t="s">
        <v>3273</v>
      </c>
      <c r="C1615" s="16" t="s">
        <v>3274</v>
      </c>
      <c r="D1615" s="16" t="s">
        <v>16</v>
      </c>
      <c r="E1615" s="21" t="s">
        <v>10492</v>
      </c>
      <c r="F1615" s="22" t="s">
        <v>3883</v>
      </c>
      <c r="G1615" s="16">
        <v>23.61</v>
      </c>
      <c r="H1615" s="16"/>
      <c r="I1615" s="22"/>
      <c r="J1615" s="22" t="s">
        <v>10493</v>
      </c>
      <c r="K1615" s="22" t="s">
        <v>10494</v>
      </c>
      <c r="L1615" s="23" t="s">
        <v>10495</v>
      </c>
      <c r="M1615" s="22"/>
      <c r="N1615" s="12"/>
      <c r="O1615" s="12"/>
      <c r="P1615" s="13">
        <f>IFERROR(__xludf.DUMMYFUNCTION("VALUE(SUBSTITUTE((INDEX(SPLIT(A1615,"",""),1)),""."","","",1))"),55.755819)</f>
        <v>55.755819</v>
      </c>
      <c r="Q1615" s="13">
        <f>IFERROR(__xludf.DUMMYFUNCTION("VALUE(SUBSTITUTE((INDEX(SPLIT(A1615,"",""),2)),""."","","",1))"),37.617644)</f>
        <v>37.617644</v>
      </c>
      <c r="R1615" s="14" t="b">
        <f t="shared" si="1"/>
        <v>0</v>
      </c>
      <c r="S1615" s="14" t="str">
        <f t="shared" si="2"/>
        <v>55.755819,37.617644</v>
      </c>
      <c r="T1615" s="12"/>
    </row>
    <row r="1616">
      <c r="A1616" s="18" t="s">
        <v>10482</v>
      </c>
      <c r="B1616" s="8" t="s">
        <v>516</v>
      </c>
      <c r="C1616" s="8" t="s">
        <v>517</v>
      </c>
      <c r="D1616" s="8" t="s">
        <v>16</v>
      </c>
      <c r="E1616" s="19" t="s">
        <v>10496</v>
      </c>
      <c r="F1616" s="8" t="s">
        <v>3883</v>
      </c>
      <c r="G1616" s="8">
        <v>23.61</v>
      </c>
      <c r="H1616" s="8"/>
      <c r="I1616" s="8"/>
      <c r="J1616" s="8" t="s">
        <v>10497</v>
      </c>
      <c r="K1616" s="8" t="s">
        <v>10498</v>
      </c>
      <c r="L1616" s="8"/>
      <c r="M1616" s="24" t="s">
        <v>10499</v>
      </c>
      <c r="N1616" s="12"/>
      <c r="O1616" s="12"/>
      <c r="P1616" s="13">
        <f>IFERROR(__xludf.DUMMYFUNCTION("VALUE(SUBSTITUTE((INDEX(SPLIT(A1616,"",""),1)),""."","","",1))"),55.755819)</f>
        <v>55.755819</v>
      </c>
      <c r="Q1616" s="13">
        <f>IFERROR(__xludf.DUMMYFUNCTION("VALUE(SUBSTITUTE((INDEX(SPLIT(A1616,"",""),2)),""."","","",1))"),37.617644)</f>
        <v>37.617644</v>
      </c>
      <c r="R1616" s="14" t="b">
        <f t="shared" si="1"/>
        <v>0</v>
      </c>
      <c r="S1616" s="14" t="str">
        <f t="shared" si="2"/>
        <v>55.755819,37.617644</v>
      </c>
      <c r="T1616" s="12"/>
    </row>
    <row r="1617">
      <c r="A1617" s="15" t="s">
        <v>10482</v>
      </c>
      <c r="B1617" s="16" t="s">
        <v>10500</v>
      </c>
      <c r="C1617" s="16" t="s">
        <v>10501</v>
      </c>
      <c r="D1617" s="16" t="s">
        <v>16</v>
      </c>
      <c r="E1617" s="17" t="s">
        <v>10502</v>
      </c>
      <c r="F1617" s="16" t="s">
        <v>3883</v>
      </c>
      <c r="G1617" s="16">
        <v>23.61</v>
      </c>
      <c r="H1617" s="16"/>
      <c r="I1617" s="16"/>
      <c r="J1617" s="16" t="s">
        <v>10503</v>
      </c>
      <c r="K1617" s="16" t="s">
        <v>10504</v>
      </c>
      <c r="L1617" s="16"/>
      <c r="M1617" s="25" t="s">
        <v>10505</v>
      </c>
      <c r="N1617" s="12"/>
      <c r="O1617" s="12"/>
      <c r="P1617" s="13">
        <f>IFERROR(__xludf.DUMMYFUNCTION("VALUE(SUBSTITUTE((INDEX(SPLIT(A1617,"",""),1)),""."","","",1))"),55.755819)</f>
        <v>55.755819</v>
      </c>
      <c r="Q1617" s="13">
        <f>IFERROR(__xludf.DUMMYFUNCTION("VALUE(SUBSTITUTE((INDEX(SPLIT(A1617,"",""),2)),""."","","",1))"),37.617644)</f>
        <v>37.617644</v>
      </c>
      <c r="R1617" s="14" t="b">
        <f t="shared" si="1"/>
        <v>0</v>
      </c>
      <c r="S1617" s="14" t="str">
        <f t="shared" si="2"/>
        <v>55.755819,37.617644</v>
      </c>
      <c r="T1617" s="12"/>
    </row>
    <row r="1618">
      <c r="A1618" s="18" t="s">
        <v>10482</v>
      </c>
      <c r="B1618" s="8" t="s">
        <v>10506</v>
      </c>
      <c r="C1618" s="8" t="s">
        <v>10507</v>
      </c>
      <c r="D1618" s="8" t="s">
        <v>16</v>
      </c>
      <c r="E1618" s="19" t="s">
        <v>10508</v>
      </c>
      <c r="F1618" s="8" t="s">
        <v>3883</v>
      </c>
      <c r="G1618" s="8">
        <v>23.61</v>
      </c>
      <c r="H1618" s="8"/>
      <c r="I1618" s="8"/>
      <c r="J1618" s="8" t="s">
        <v>10509</v>
      </c>
      <c r="K1618" s="8" t="s">
        <v>10510</v>
      </c>
      <c r="L1618" s="8"/>
      <c r="M1618" s="8"/>
      <c r="N1618" s="12"/>
      <c r="O1618" s="12"/>
      <c r="P1618" s="13">
        <f>IFERROR(__xludf.DUMMYFUNCTION("VALUE(SUBSTITUTE((INDEX(SPLIT(A1618,"",""),1)),""."","","",1))"),55.755819)</f>
        <v>55.755819</v>
      </c>
      <c r="Q1618" s="13">
        <f>IFERROR(__xludf.DUMMYFUNCTION("VALUE(SUBSTITUTE((INDEX(SPLIT(A1618,"",""),2)),""."","","",1))"),37.617644)</f>
        <v>37.617644</v>
      </c>
      <c r="R1618" s="14" t="b">
        <f t="shared" si="1"/>
        <v>0</v>
      </c>
      <c r="S1618" s="14" t="str">
        <f t="shared" si="2"/>
        <v>55.755819,37.617644</v>
      </c>
      <c r="T1618" s="12"/>
    </row>
    <row r="1619">
      <c r="A1619" s="15" t="s">
        <v>10482</v>
      </c>
      <c r="B1619" s="16" t="s">
        <v>4745</v>
      </c>
      <c r="C1619" s="16" t="s">
        <v>2779</v>
      </c>
      <c r="D1619" s="16" t="s">
        <v>16</v>
      </c>
      <c r="E1619" s="17" t="s">
        <v>10511</v>
      </c>
      <c r="F1619" s="16" t="s">
        <v>4881</v>
      </c>
      <c r="G1619" s="16">
        <v>23.61</v>
      </c>
      <c r="H1619" s="16"/>
      <c r="I1619" s="16"/>
      <c r="J1619" s="16" t="s">
        <v>10512</v>
      </c>
      <c r="K1619" s="16" t="s">
        <v>10513</v>
      </c>
      <c r="L1619" s="16"/>
      <c r="M1619" s="16"/>
      <c r="N1619" s="12"/>
      <c r="O1619" s="12"/>
      <c r="P1619" s="13">
        <f>IFERROR(__xludf.DUMMYFUNCTION("VALUE(SUBSTITUTE((INDEX(SPLIT(A1619,"",""),1)),""."","","",1))"),55.755819)</f>
        <v>55.755819</v>
      </c>
      <c r="Q1619" s="13">
        <f>IFERROR(__xludf.DUMMYFUNCTION("VALUE(SUBSTITUTE((INDEX(SPLIT(A1619,"",""),2)),""."","","",1))"),37.617644)</f>
        <v>37.617644</v>
      </c>
      <c r="R1619" s="14" t="b">
        <f t="shared" si="1"/>
        <v>0</v>
      </c>
      <c r="S1619" s="14" t="str">
        <f t="shared" si="2"/>
        <v>55.755819,37.617644</v>
      </c>
      <c r="T1619" s="12"/>
    </row>
    <row r="1620">
      <c r="A1620" s="7" t="s">
        <v>10514</v>
      </c>
      <c r="B1620" s="8" t="s">
        <v>10515</v>
      </c>
      <c r="C1620" s="8" t="s">
        <v>10516</v>
      </c>
      <c r="D1620" s="8" t="s">
        <v>16</v>
      </c>
      <c r="E1620" s="9" t="s">
        <v>10517</v>
      </c>
      <c r="F1620" s="10" t="s">
        <v>4881</v>
      </c>
      <c r="G1620" s="8">
        <v>23.61</v>
      </c>
      <c r="H1620" s="8"/>
      <c r="I1620" s="10"/>
      <c r="J1620" s="10" t="s">
        <v>10518</v>
      </c>
      <c r="K1620" s="10" t="s">
        <v>10519</v>
      </c>
      <c r="L1620" s="11" t="s">
        <v>10520</v>
      </c>
      <c r="M1620" s="10"/>
      <c r="N1620" s="12"/>
      <c r="O1620" s="12"/>
      <c r="P1620" s="13">
        <f>IFERROR(__xludf.DUMMYFUNCTION("VALUE(SUBSTITUTE((INDEX(SPLIT(A1620,"",""),1)),""."","","",1))"),55.818882)</f>
        <v>55.818882</v>
      </c>
      <c r="Q1620" s="13">
        <f>IFERROR(__xludf.DUMMYFUNCTION("VALUE(SUBSTITUTE((INDEX(SPLIT(A1620,"",""),2)),""."","","",1))"),37.618354)</f>
        <v>37.618354</v>
      </c>
      <c r="R1620" s="14" t="b">
        <f t="shared" si="1"/>
        <v>0</v>
      </c>
      <c r="S1620" s="14" t="str">
        <f t="shared" si="2"/>
        <v>55.818882,37.618354</v>
      </c>
      <c r="T1620" s="12"/>
    </row>
    <row r="1621">
      <c r="A1621" s="15" t="s">
        <v>10521</v>
      </c>
      <c r="B1621" s="16" t="s">
        <v>10522</v>
      </c>
      <c r="C1621" s="16" t="s">
        <v>10523</v>
      </c>
      <c r="D1621" s="16" t="s">
        <v>16</v>
      </c>
      <c r="E1621" s="17" t="s">
        <v>10524</v>
      </c>
      <c r="F1621" s="16" t="s">
        <v>6732</v>
      </c>
      <c r="G1621" s="16">
        <v>23.61</v>
      </c>
      <c r="H1621" s="16"/>
      <c r="I1621" s="16"/>
      <c r="J1621" s="16" t="s">
        <v>10525</v>
      </c>
      <c r="K1621" s="16" t="s">
        <v>10526</v>
      </c>
      <c r="L1621" s="16"/>
      <c r="M1621" s="25" t="s">
        <v>10527</v>
      </c>
      <c r="N1621" s="12"/>
      <c r="O1621" s="12"/>
      <c r="P1621" s="13">
        <f>IFERROR(__xludf.DUMMYFUNCTION("VALUE(SUBSTITUTE((INDEX(SPLIT(A1621,"",""),1)),""."","","",1))"),54.211166)</f>
        <v>54.211166</v>
      </c>
      <c r="Q1621" s="13">
        <f>IFERROR(__xludf.DUMMYFUNCTION("VALUE(SUBSTITUTE((INDEX(SPLIT(A1621,"",""),2)),""."","","",1))"),37.618713)</f>
        <v>37.618713</v>
      </c>
      <c r="R1621" s="14" t="b">
        <f t="shared" si="1"/>
        <v>0</v>
      </c>
      <c r="S1621" s="14" t="str">
        <f t="shared" si="2"/>
        <v>54.211166,37.618713</v>
      </c>
      <c r="T1621" s="12"/>
    </row>
    <row r="1622">
      <c r="A1622" s="18" t="s">
        <v>10528</v>
      </c>
      <c r="B1622" s="8" t="s">
        <v>10529</v>
      </c>
      <c r="C1622" s="8" t="s">
        <v>10530</v>
      </c>
      <c r="D1622" s="8" t="s">
        <v>16</v>
      </c>
      <c r="E1622" s="19" t="s">
        <v>10531</v>
      </c>
      <c r="F1622" s="8" t="s">
        <v>4881</v>
      </c>
      <c r="G1622" s="8">
        <v>23.61</v>
      </c>
      <c r="H1622" s="8"/>
      <c r="I1622" s="8"/>
      <c r="J1622" s="8" t="s">
        <v>10532</v>
      </c>
      <c r="K1622" s="8" t="s">
        <v>10533</v>
      </c>
      <c r="L1622" s="8"/>
      <c r="M1622" s="24" t="s">
        <v>10534</v>
      </c>
      <c r="N1622" s="12"/>
      <c r="O1622" s="12"/>
      <c r="P1622" s="13">
        <f>IFERROR(__xludf.DUMMYFUNCTION("VALUE(SUBSTITUTE((INDEX(SPLIT(A1622,"",""),1)),""."","","",1))"),55.576808)</f>
        <v>55.576808</v>
      </c>
      <c r="Q1622" s="13">
        <f>IFERROR(__xludf.DUMMYFUNCTION("VALUE(SUBSTITUTE((INDEX(SPLIT(A1622,"",""),2)),""."","","",1))"),37.61945)</f>
        <v>37.61945</v>
      </c>
      <c r="R1622" s="14" t="b">
        <f t="shared" si="1"/>
        <v>0</v>
      </c>
      <c r="S1622" s="14" t="str">
        <f t="shared" si="2"/>
        <v>55.576808,37.61945</v>
      </c>
      <c r="T1622" s="12"/>
    </row>
    <row r="1623">
      <c r="A1623" s="15" t="s">
        <v>10535</v>
      </c>
      <c r="B1623" s="16" t="s">
        <v>10536</v>
      </c>
      <c r="C1623" s="16" t="s">
        <v>10537</v>
      </c>
      <c r="D1623" s="16" t="s">
        <v>16</v>
      </c>
      <c r="E1623" s="17" t="s">
        <v>10538</v>
      </c>
      <c r="F1623" s="16" t="s">
        <v>3883</v>
      </c>
      <c r="G1623" s="16">
        <v>23.61</v>
      </c>
      <c r="H1623" s="16"/>
      <c r="I1623" s="16"/>
      <c r="J1623" s="16" t="s">
        <v>10539</v>
      </c>
      <c r="K1623" s="16" t="s">
        <v>10540</v>
      </c>
      <c r="L1623" s="16"/>
      <c r="M1623" s="16"/>
      <c r="N1623" s="12"/>
      <c r="O1623" s="12"/>
      <c r="P1623" s="13">
        <f>IFERROR(__xludf.DUMMYFUNCTION("VALUE(SUBSTITUTE((INDEX(SPLIT(A1623,"",""),1)),""."","","",1))"),55.7322)</f>
        <v>55.7322</v>
      </c>
      <c r="Q1623" s="13">
        <f>IFERROR(__xludf.DUMMYFUNCTION("VALUE(SUBSTITUTE((INDEX(SPLIT(A1623,"",""),2)),""."","","",1))"),37.620878)</f>
        <v>37.620878</v>
      </c>
      <c r="R1623" s="14" t="b">
        <f t="shared" si="1"/>
        <v>0</v>
      </c>
      <c r="S1623" s="14" t="str">
        <f t="shared" si="2"/>
        <v>55.7322,37.620878</v>
      </c>
      <c r="T1623" s="12"/>
    </row>
    <row r="1624">
      <c r="A1624" s="18" t="s">
        <v>10541</v>
      </c>
      <c r="B1624" s="8" t="s">
        <v>10542</v>
      </c>
      <c r="C1624" s="8" t="s">
        <v>10543</v>
      </c>
      <c r="D1624" s="8" t="s">
        <v>16</v>
      </c>
      <c r="E1624" s="19" t="s">
        <v>10544</v>
      </c>
      <c r="F1624" s="8" t="s">
        <v>3883</v>
      </c>
      <c r="G1624" s="8">
        <v>23.61</v>
      </c>
      <c r="H1624" s="8"/>
      <c r="I1624" s="8"/>
      <c r="J1624" s="8" t="s">
        <v>10545</v>
      </c>
      <c r="K1624" s="8" t="s">
        <v>10546</v>
      </c>
      <c r="L1624" s="8"/>
      <c r="M1624" s="8"/>
      <c r="N1624" s="12"/>
      <c r="O1624" s="12"/>
      <c r="P1624" s="13">
        <f>IFERROR(__xludf.DUMMYFUNCTION("VALUE(SUBSTITUTE((INDEX(SPLIT(A1624,"",""),1)),""."","","",1))"),55.576686)</f>
        <v>55.576686</v>
      </c>
      <c r="Q1624" s="13">
        <f>IFERROR(__xludf.DUMMYFUNCTION("VALUE(SUBSTITUTE((INDEX(SPLIT(A1624,"",""),2)),""."","","",1))"),37.622055)</f>
        <v>37.622055</v>
      </c>
      <c r="R1624" s="14" t="b">
        <f t="shared" si="1"/>
        <v>0</v>
      </c>
      <c r="S1624" s="14" t="str">
        <f t="shared" si="2"/>
        <v>55.576686,37.622055</v>
      </c>
      <c r="T1624" s="12"/>
    </row>
    <row r="1625">
      <c r="A1625" s="15" t="s">
        <v>10547</v>
      </c>
      <c r="B1625" s="16" t="s">
        <v>10548</v>
      </c>
      <c r="C1625" s="16" t="s">
        <v>10549</v>
      </c>
      <c r="D1625" s="16" t="s">
        <v>16</v>
      </c>
      <c r="E1625" s="17" t="s">
        <v>10550</v>
      </c>
      <c r="F1625" s="16" t="s">
        <v>4881</v>
      </c>
      <c r="G1625" s="16">
        <v>23.61</v>
      </c>
      <c r="H1625" s="16"/>
      <c r="I1625" s="16"/>
      <c r="J1625" s="16" t="s">
        <v>10551</v>
      </c>
      <c r="K1625" s="16" t="s">
        <v>10552</v>
      </c>
      <c r="L1625" s="16"/>
      <c r="M1625" s="16"/>
      <c r="N1625" s="12"/>
      <c r="O1625" s="12"/>
      <c r="P1625" s="13">
        <f>IFERROR(__xludf.DUMMYFUNCTION("VALUE(SUBSTITUTE((INDEX(SPLIT(A1625,"",""),1)),""."","","",1))"),55.722497)</f>
        <v>55.722497</v>
      </c>
      <c r="Q1625" s="13">
        <f>IFERROR(__xludf.DUMMYFUNCTION("VALUE(SUBSTITUTE((INDEX(SPLIT(A1625,"",""),2)),""."","","",1))"),37.622747)</f>
        <v>37.622747</v>
      </c>
      <c r="R1625" s="14" t="b">
        <f t="shared" si="1"/>
        <v>0</v>
      </c>
      <c r="S1625" s="14" t="str">
        <f t="shared" si="2"/>
        <v>55.722497,37.622747</v>
      </c>
      <c r="T1625" s="12"/>
    </row>
    <row r="1626">
      <c r="A1626" s="7" t="s">
        <v>10553</v>
      </c>
      <c r="B1626" s="8" t="s">
        <v>10554</v>
      </c>
      <c r="C1626" s="8" t="s">
        <v>10555</v>
      </c>
      <c r="D1626" s="8" t="s">
        <v>16</v>
      </c>
      <c r="E1626" s="9" t="s">
        <v>10556</v>
      </c>
      <c r="F1626" s="10" t="s">
        <v>3883</v>
      </c>
      <c r="G1626" s="8">
        <v>23.61</v>
      </c>
      <c r="H1626" s="8"/>
      <c r="I1626" s="10"/>
      <c r="J1626" s="10" t="s">
        <v>10557</v>
      </c>
      <c r="K1626" s="10" t="s">
        <v>10558</v>
      </c>
      <c r="L1626" s="11" t="s">
        <v>10559</v>
      </c>
      <c r="M1626" s="10"/>
      <c r="N1626" s="12"/>
      <c r="O1626" s="12"/>
      <c r="P1626" s="13">
        <f>IFERROR(__xludf.DUMMYFUNCTION("VALUE(SUBSTITUTE((INDEX(SPLIT(A1626,"",""),1)),""."","","",1))"),55.793202)</f>
        <v>55.793202</v>
      </c>
      <c r="Q1626" s="13">
        <f>IFERROR(__xludf.DUMMYFUNCTION("VALUE(SUBSTITUTE((INDEX(SPLIT(A1626,"",""),2)),""."","","",1))"),37.622756)</f>
        <v>37.622756</v>
      </c>
      <c r="R1626" s="14" t="b">
        <f t="shared" si="1"/>
        <v>0</v>
      </c>
      <c r="S1626" s="14" t="str">
        <f t="shared" si="2"/>
        <v>55.793202,37.622756</v>
      </c>
      <c r="T1626" s="12"/>
    </row>
    <row r="1627">
      <c r="A1627" s="15" t="s">
        <v>10560</v>
      </c>
      <c r="B1627" s="16" t="s">
        <v>10561</v>
      </c>
      <c r="C1627" s="16" t="s">
        <v>10562</v>
      </c>
      <c r="D1627" s="16" t="s">
        <v>16</v>
      </c>
      <c r="E1627" s="17" t="s">
        <v>10563</v>
      </c>
      <c r="F1627" s="16" t="s">
        <v>4881</v>
      </c>
      <c r="G1627" s="16">
        <v>23.61</v>
      </c>
      <c r="H1627" s="16"/>
      <c r="I1627" s="16"/>
      <c r="J1627" s="16" t="s">
        <v>10564</v>
      </c>
      <c r="K1627" s="16" t="s">
        <v>10565</v>
      </c>
      <c r="L1627" s="16"/>
      <c r="M1627" s="16"/>
      <c r="N1627" s="12"/>
      <c r="O1627" s="12"/>
      <c r="P1627" s="13">
        <f>IFERROR(__xludf.DUMMYFUNCTION("VALUE(SUBSTITUTE((INDEX(SPLIT(A1627,"",""),1)),""."","","",1))"),55.761153)</f>
        <v>55.761153</v>
      </c>
      <c r="Q1627" s="13">
        <f>IFERROR(__xludf.DUMMYFUNCTION("VALUE(SUBSTITUTE((INDEX(SPLIT(A1627,"",""),2)),""."","","",1))"),37.623304)</f>
        <v>37.623304</v>
      </c>
      <c r="R1627" s="14" t="b">
        <f t="shared" si="1"/>
        <v>0</v>
      </c>
      <c r="S1627" s="14" t="str">
        <f t="shared" si="2"/>
        <v>55.761153,37.623304</v>
      </c>
      <c r="T1627" s="12"/>
    </row>
    <row r="1628">
      <c r="A1628" s="18" t="s">
        <v>10566</v>
      </c>
      <c r="B1628" s="8" t="s">
        <v>10567</v>
      </c>
      <c r="C1628" s="8" t="s">
        <v>10568</v>
      </c>
      <c r="D1628" s="8" t="s">
        <v>16</v>
      </c>
      <c r="E1628" s="19" t="s">
        <v>10569</v>
      </c>
      <c r="F1628" s="8" t="s">
        <v>3760</v>
      </c>
      <c r="G1628" s="8">
        <v>23.61</v>
      </c>
      <c r="H1628" s="8"/>
      <c r="I1628" s="27" t="s">
        <v>10570</v>
      </c>
      <c r="J1628" s="8" t="s">
        <v>10571</v>
      </c>
      <c r="K1628" s="8" t="s">
        <v>10572</v>
      </c>
      <c r="L1628" s="8"/>
      <c r="M1628" s="8"/>
      <c r="N1628" s="12"/>
      <c r="O1628" s="12"/>
      <c r="P1628" s="13">
        <f>IFERROR(__xludf.DUMMYFUNCTION("VALUE(SUBSTITUTE((INDEX(SPLIT(A1628,"",""),1)),""."","","",1))"),55.770507)</f>
        <v>55.770507</v>
      </c>
      <c r="Q1628" s="13">
        <f>IFERROR(__xludf.DUMMYFUNCTION("VALUE(SUBSTITUTE((INDEX(SPLIT(A1628,"",""),2)),""."","","",1))"),37.624391)</f>
        <v>37.624391</v>
      </c>
      <c r="R1628" s="14" t="b">
        <f t="shared" si="1"/>
        <v>0</v>
      </c>
      <c r="S1628" s="14" t="str">
        <f t="shared" si="2"/>
        <v>55.770507,37.624391</v>
      </c>
      <c r="T1628" s="12"/>
    </row>
    <row r="1629">
      <c r="A1629" s="15" t="s">
        <v>10573</v>
      </c>
      <c r="B1629" s="16" t="s">
        <v>10574</v>
      </c>
      <c r="C1629" s="16" t="s">
        <v>10575</v>
      </c>
      <c r="D1629" s="16" t="s">
        <v>16</v>
      </c>
      <c r="E1629" s="17" t="s">
        <v>10576</v>
      </c>
      <c r="F1629" s="16" t="s">
        <v>4881</v>
      </c>
      <c r="G1629" s="16">
        <v>23.61</v>
      </c>
      <c r="H1629" s="16"/>
      <c r="I1629" s="16"/>
      <c r="J1629" s="16" t="s">
        <v>10577</v>
      </c>
      <c r="K1629" s="16" t="s">
        <v>10578</v>
      </c>
      <c r="L1629" s="16"/>
      <c r="M1629" s="16"/>
      <c r="N1629" s="12"/>
      <c r="O1629" s="12"/>
      <c r="P1629" s="13">
        <f>IFERROR(__xludf.DUMMYFUNCTION("VALUE(SUBSTITUTE((INDEX(SPLIT(A1629,"",""),1)),""."","","",1))"),55.811513)</f>
        <v>55.811513</v>
      </c>
      <c r="Q1629" s="13">
        <f>IFERROR(__xludf.DUMMYFUNCTION("VALUE(SUBSTITUTE((INDEX(SPLIT(A1629,"",""),2)),""."","","",1))"),37.624723)</f>
        <v>37.624723</v>
      </c>
      <c r="R1629" s="14" t="b">
        <f t="shared" si="1"/>
        <v>0</v>
      </c>
      <c r="S1629" s="14" t="str">
        <f t="shared" si="2"/>
        <v>55.811513,37.624723</v>
      </c>
      <c r="T1629" s="12"/>
    </row>
    <row r="1630">
      <c r="A1630" s="7" t="s">
        <v>10579</v>
      </c>
      <c r="B1630" s="8" t="s">
        <v>10580</v>
      </c>
      <c r="C1630" s="8" t="s">
        <v>10581</v>
      </c>
      <c r="D1630" s="8" t="s">
        <v>16</v>
      </c>
      <c r="E1630" s="9" t="s">
        <v>10582</v>
      </c>
      <c r="F1630" s="10" t="s">
        <v>3883</v>
      </c>
      <c r="G1630" s="8">
        <v>23.61</v>
      </c>
      <c r="H1630" s="8"/>
      <c r="I1630" s="10"/>
      <c r="J1630" s="10" t="s">
        <v>10583</v>
      </c>
      <c r="K1630" s="10" t="s">
        <v>10584</v>
      </c>
      <c r="L1630" s="11" t="s">
        <v>10585</v>
      </c>
      <c r="M1630" s="10"/>
      <c r="N1630" s="12"/>
      <c r="O1630" s="12"/>
      <c r="P1630" s="13">
        <f>IFERROR(__xludf.DUMMYFUNCTION("VALUE(SUBSTITUTE((INDEX(SPLIT(A1630,"",""),1)),""."","","",1))"),55.614765)</f>
        <v>55.614765</v>
      </c>
      <c r="Q1630" s="13">
        <f>IFERROR(__xludf.DUMMYFUNCTION("VALUE(SUBSTITUTE((INDEX(SPLIT(A1630,"",""),2)),""."","","",1))"),37.625307)</f>
        <v>37.625307</v>
      </c>
      <c r="R1630" s="14" t="b">
        <f t="shared" si="1"/>
        <v>0</v>
      </c>
      <c r="S1630" s="14" t="str">
        <f t="shared" si="2"/>
        <v>55.614765,37.625307</v>
      </c>
      <c r="T1630" s="12"/>
    </row>
    <row r="1631">
      <c r="A1631" s="20" t="s">
        <v>10586</v>
      </c>
      <c r="B1631" s="16" t="s">
        <v>10587</v>
      </c>
      <c r="C1631" s="16" t="s">
        <v>10588</v>
      </c>
      <c r="D1631" s="16" t="s">
        <v>16</v>
      </c>
      <c r="E1631" s="21" t="s">
        <v>10589</v>
      </c>
      <c r="F1631" s="22" t="s">
        <v>3760</v>
      </c>
      <c r="G1631" s="16">
        <v>23.61</v>
      </c>
      <c r="H1631" s="16"/>
      <c r="I1631" s="22"/>
      <c r="J1631" s="22" t="s">
        <v>10590</v>
      </c>
      <c r="K1631" s="22" t="s">
        <v>10591</v>
      </c>
      <c r="L1631" s="23" t="s">
        <v>10592</v>
      </c>
      <c r="M1631" s="22"/>
      <c r="N1631" s="12"/>
      <c r="O1631" s="12"/>
      <c r="P1631" s="13">
        <f>IFERROR(__xludf.DUMMYFUNCTION("VALUE(SUBSTITUTE((INDEX(SPLIT(A1631,"",""),1)),""."","","",1))"),56.182241)</f>
        <v>56.182241</v>
      </c>
      <c r="Q1631" s="13">
        <f>IFERROR(__xludf.DUMMYFUNCTION("VALUE(SUBSTITUTE((INDEX(SPLIT(A1631,"",""),2)),""."","","",1))"),37.625792)</f>
        <v>37.625792</v>
      </c>
      <c r="R1631" s="14" t="b">
        <f t="shared" si="1"/>
        <v>0</v>
      </c>
      <c r="S1631" s="14" t="str">
        <f t="shared" si="2"/>
        <v>56.182241,37.625792</v>
      </c>
      <c r="T1631" s="12"/>
    </row>
    <row r="1632">
      <c r="A1632" s="18" t="s">
        <v>10593</v>
      </c>
      <c r="B1632" s="8" t="s">
        <v>10594</v>
      </c>
      <c r="C1632" s="8" t="s">
        <v>10595</v>
      </c>
      <c r="D1632" s="8" t="s">
        <v>16</v>
      </c>
      <c r="E1632" s="19" t="s">
        <v>10596</v>
      </c>
      <c r="F1632" s="8" t="s">
        <v>3883</v>
      </c>
      <c r="G1632" s="8">
        <v>23.61</v>
      </c>
      <c r="H1632" s="8"/>
      <c r="I1632" s="8"/>
      <c r="J1632" s="8" t="s">
        <v>10597</v>
      </c>
      <c r="K1632" s="8" t="s">
        <v>10598</v>
      </c>
      <c r="L1632" s="8"/>
      <c r="M1632" s="8"/>
      <c r="N1632" s="12"/>
      <c r="O1632" s="12"/>
      <c r="P1632" s="13">
        <f>IFERROR(__xludf.DUMMYFUNCTION("VALUE(SUBSTITUTE((INDEX(SPLIT(A1632,"",""),1)),""."","","",1))"),55.703992)</f>
        <v>55.703992</v>
      </c>
      <c r="Q1632" s="13">
        <f>IFERROR(__xludf.DUMMYFUNCTION("VALUE(SUBSTITUTE((INDEX(SPLIT(A1632,"",""),2)),""."","","",1))"),37.625909)</f>
        <v>37.625909</v>
      </c>
      <c r="R1632" s="14" t="b">
        <f t="shared" si="1"/>
        <v>0</v>
      </c>
      <c r="S1632" s="14" t="str">
        <f t="shared" si="2"/>
        <v>55.703992,37.625909</v>
      </c>
      <c r="T1632" s="12"/>
    </row>
    <row r="1633">
      <c r="A1633" s="15" t="s">
        <v>10599</v>
      </c>
      <c r="B1633" s="16" t="s">
        <v>10600</v>
      </c>
      <c r="C1633" s="16" t="s">
        <v>10601</v>
      </c>
      <c r="D1633" s="16" t="s">
        <v>16</v>
      </c>
      <c r="E1633" s="17" t="s">
        <v>10602</v>
      </c>
      <c r="F1633" s="16" t="s">
        <v>4881</v>
      </c>
      <c r="G1633" s="16">
        <v>23.61</v>
      </c>
      <c r="H1633" s="16"/>
      <c r="I1633" s="16"/>
      <c r="J1633" s="16" t="s">
        <v>10603</v>
      </c>
      <c r="K1633" s="16" t="s">
        <v>10604</v>
      </c>
      <c r="L1633" s="16"/>
      <c r="M1633" s="16"/>
      <c r="N1633" s="12"/>
      <c r="O1633" s="12"/>
      <c r="P1633" s="13">
        <f>IFERROR(__xludf.DUMMYFUNCTION("VALUE(SUBSTITUTE((INDEX(SPLIT(A1633,"",""),1)),""."","","",1))"),55.722882)</f>
        <v>55.722882</v>
      </c>
      <c r="Q1633" s="13">
        <f>IFERROR(__xludf.DUMMYFUNCTION("VALUE(SUBSTITUTE((INDEX(SPLIT(A1633,"",""),2)),""."","","",1))"),37.626717)</f>
        <v>37.626717</v>
      </c>
      <c r="R1633" s="14" t="b">
        <f t="shared" si="1"/>
        <v>0</v>
      </c>
      <c r="S1633" s="14" t="str">
        <f t="shared" si="2"/>
        <v>55.722882,37.626717</v>
      </c>
      <c r="T1633" s="12"/>
    </row>
    <row r="1634">
      <c r="A1634" s="7" t="s">
        <v>10605</v>
      </c>
      <c r="B1634" s="8" t="s">
        <v>10606</v>
      </c>
      <c r="C1634" s="8" t="s">
        <v>10607</v>
      </c>
      <c r="D1634" s="8" t="s">
        <v>16</v>
      </c>
      <c r="E1634" s="9" t="s">
        <v>10608</v>
      </c>
      <c r="F1634" s="10" t="s">
        <v>10609</v>
      </c>
      <c r="G1634" s="8">
        <v>23.61</v>
      </c>
      <c r="H1634" s="8"/>
      <c r="I1634" s="10"/>
      <c r="J1634" s="10" t="s">
        <v>10610</v>
      </c>
      <c r="K1634" s="10" t="s">
        <v>10611</v>
      </c>
      <c r="L1634" s="11" t="s">
        <v>10612</v>
      </c>
      <c r="M1634" s="10"/>
      <c r="N1634" s="12"/>
      <c r="O1634" s="12"/>
      <c r="P1634" s="13">
        <f>IFERROR(__xludf.DUMMYFUNCTION("VALUE(SUBSTITUTE((INDEX(SPLIT(A1634,"",""),1)),""."","","",1))"),55.892016)</f>
        <v>55.892016</v>
      </c>
      <c r="Q1634" s="13">
        <f>IFERROR(__xludf.DUMMYFUNCTION("VALUE(SUBSTITUTE((INDEX(SPLIT(A1634,"",""),2)),""."","","",1))"),37.629062)</f>
        <v>37.629062</v>
      </c>
      <c r="R1634" s="14" t="b">
        <f t="shared" si="1"/>
        <v>0</v>
      </c>
      <c r="S1634" s="14" t="str">
        <f t="shared" si="2"/>
        <v>55.892016,37.629062</v>
      </c>
      <c r="T1634" s="12"/>
    </row>
    <row r="1635">
      <c r="A1635" s="15" t="s">
        <v>10613</v>
      </c>
      <c r="B1635" s="16" t="s">
        <v>10614</v>
      </c>
      <c r="C1635" s="16" t="s">
        <v>10615</v>
      </c>
      <c r="D1635" s="16" t="s">
        <v>16</v>
      </c>
      <c r="E1635" s="17" t="s">
        <v>10616</v>
      </c>
      <c r="F1635" s="16" t="s">
        <v>3883</v>
      </c>
      <c r="G1635" s="16">
        <v>23.61</v>
      </c>
      <c r="H1635" s="16"/>
      <c r="I1635" s="16"/>
      <c r="J1635" s="16" t="s">
        <v>10617</v>
      </c>
      <c r="K1635" s="16" t="s">
        <v>10618</v>
      </c>
      <c r="L1635" s="16"/>
      <c r="M1635" s="16"/>
      <c r="N1635" s="12"/>
      <c r="O1635" s="12"/>
      <c r="P1635" s="13">
        <f>IFERROR(__xludf.DUMMYFUNCTION("VALUE(SUBSTITUTE((INDEX(SPLIT(A1635,"",""),1)),""."","","",1))"),55.656773)</f>
        <v>55.656773</v>
      </c>
      <c r="Q1635" s="13">
        <f>IFERROR(__xludf.DUMMYFUNCTION("VALUE(SUBSTITUTE((INDEX(SPLIT(A1635,"",""),2)),""."","","",1))"),37.631918)</f>
        <v>37.631918</v>
      </c>
      <c r="R1635" s="14" t="b">
        <f t="shared" si="1"/>
        <v>0</v>
      </c>
      <c r="S1635" s="14" t="str">
        <f t="shared" si="2"/>
        <v>55.656773,37.631918</v>
      </c>
      <c r="T1635" s="12"/>
    </row>
    <row r="1636">
      <c r="A1636" s="18" t="s">
        <v>10619</v>
      </c>
      <c r="B1636" s="8" t="s">
        <v>10620</v>
      </c>
      <c r="C1636" s="8" t="s">
        <v>10621</v>
      </c>
      <c r="D1636" s="8" t="s">
        <v>16</v>
      </c>
      <c r="E1636" s="19" t="s">
        <v>10622</v>
      </c>
      <c r="F1636" s="8" t="s">
        <v>3883</v>
      </c>
      <c r="G1636" s="8">
        <v>23.61</v>
      </c>
      <c r="H1636" s="8"/>
      <c r="I1636" s="8"/>
      <c r="J1636" s="8" t="s">
        <v>10623</v>
      </c>
      <c r="K1636" s="8" t="s">
        <v>10624</v>
      </c>
      <c r="L1636" s="8"/>
      <c r="M1636" s="24" t="s">
        <v>10625</v>
      </c>
      <c r="N1636" s="12"/>
      <c r="O1636" s="12"/>
      <c r="P1636" s="13">
        <f>IFERROR(__xludf.DUMMYFUNCTION("VALUE(SUBSTITUTE((INDEX(SPLIT(A1636,"",""),1)),""."","","",1))"),55.888821)</f>
        <v>55.888821</v>
      </c>
      <c r="Q1636" s="13">
        <f>IFERROR(__xludf.DUMMYFUNCTION("VALUE(SUBSTITUTE((INDEX(SPLIT(A1636,"",""),2)),""."","","",1))"),37.632619)</f>
        <v>37.632619</v>
      </c>
      <c r="R1636" s="14" t="b">
        <f t="shared" si="1"/>
        <v>0</v>
      </c>
      <c r="S1636" s="14" t="str">
        <f t="shared" si="2"/>
        <v>55.888821,37.632619</v>
      </c>
      <c r="T1636" s="12"/>
    </row>
    <row r="1637">
      <c r="A1637" s="15" t="s">
        <v>10626</v>
      </c>
      <c r="B1637" s="16" t="s">
        <v>10627</v>
      </c>
      <c r="C1637" s="16" t="s">
        <v>10628</v>
      </c>
      <c r="D1637" s="16" t="s">
        <v>16</v>
      </c>
      <c r="E1637" s="17" t="s">
        <v>10629</v>
      </c>
      <c r="F1637" s="16" t="s">
        <v>4881</v>
      </c>
      <c r="G1637" s="16">
        <v>23.61</v>
      </c>
      <c r="H1637" s="16"/>
      <c r="I1637" s="16"/>
      <c r="J1637" s="16" t="s">
        <v>10630</v>
      </c>
      <c r="K1637" s="16" t="s">
        <v>10631</v>
      </c>
      <c r="L1637" s="16"/>
      <c r="M1637" s="25" t="s">
        <v>10632</v>
      </c>
      <c r="N1637" s="12"/>
      <c r="O1637" s="12"/>
      <c r="P1637" s="13">
        <f>IFERROR(__xludf.DUMMYFUNCTION("VALUE(SUBSTITUTE((INDEX(SPLIT(A1637,"",""),1)),""."","","",1))"),55.812686)</f>
        <v>55.812686</v>
      </c>
      <c r="Q1637" s="13">
        <f>IFERROR(__xludf.DUMMYFUNCTION("VALUE(SUBSTITUTE((INDEX(SPLIT(A1637,"",""),2)),""."","","",1))"),37.633374)</f>
        <v>37.633374</v>
      </c>
      <c r="R1637" s="14" t="b">
        <f t="shared" si="1"/>
        <v>0</v>
      </c>
      <c r="S1637" s="14" t="str">
        <f t="shared" si="2"/>
        <v>55.812686,37.633374</v>
      </c>
      <c r="T1637" s="12"/>
    </row>
    <row r="1638">
      <c r="A1638" s="7" t="s">
        <v>10633</v>
      </c>
      <c r="B1638" s="8" t="s">
        <v>10634</v>
      </c>
      <c r="C1638" s="8" t="s">
        <v>10635</v>
      </c>
      <c r="D1638" s="8" t="s">
        <v>16</v>
      </c>
      <c r="E1638" s="9" t="s">
        <v>10636</v>
      </c>
      <c r="F1638" s="10" t="s">
        <v>3883</v>
      </c>
      <c r="G1638" s="8">
        <v>23.61</v>
      </c>
      <c r="H1638" s="8"/>
      <c r="I1638" s="10"/>
      <c r="J1638" s="10" t="s">
        <v>10637</v>
      </c>
      <c r="K1638" s="10" t="s">
        <v>10638</v>
      </c>
      <c r="L1638" s="11" t="s">
        <v>10639</v>
      </c>
      <c r="M1638" s="10"/>
      <c r="N1638" s="12"/>
      <c r="O1638" s="12"/>
      <c r="P1638" s="13">
        <f>IFERROR(__xludf.DUMMYFUNCTION("VALUE(SUBSTITUTE((INDEX(SPLIT(A1638,"",""),1)),""."","","",1))"),55.784268)</f>
        <v>55.784268</v>
      </c>
      <c r="Q1638" s="13">
        <f>IFERROR(__xludf.DUMMYFUNCTION("VALUE(SUBSTITUTE((INDEX(SPLIT(A1638,"",""),2)),""."","","",1))"),37.634371)</f>
        <v>37.634371</v>
      </c>
      <c r="R1638" s="14" t="b">
        <f t="shared" si="1"/>
        <v>0</v>
      </c>
      <c r="S1638" s="14" t="str">
        <f t="shared" si="2"/>
        <v>55.784268,37.634371</v>
      </c>
      <c r="T1638" s="12"/>
    </row>
    <row r="1639">
      <c r="A1639" s="15" t="s">
        <v>10640</v>
      </c>
      <c r="B1639" s="16" t="s">
        <v>10641</v>
      </c>
      <c r="C1639" s="16" t="s">
        <v>10642</v>
      </c>
      <c r="D1639" s="16" t="s">
        <v>16</v>
      </c>
      <c r="E1639" s="17" t="s">
        <v>10643</v>
      </c>
      <c r="F1639" s="16" t="s">
        <v>4881</v>
      </c>
      <c r="G1639" s="16">
        <v>23.61</v>
      </c>
      <c r="H1639" s="16"/>
      <c r="I1639" s="16"/>
      <c r="J1639" s="16" t="s">
        <v>10644</v>
      </c>
      <c r="K1639" s="16" t="s">
        <v>10645</v>
      </c>
      <c r="L1639" s="16"/>
      <c r="M1639" s="16"/>
      <c r="N1639" s="12"/>
      <c r="O1639" s="12"/>
      <c r="P1639" s="13">
        <f>IFERROR(__xludf.DUMMYFUNCTION("VALUE(SUBSTITUTE((INDEX(SPLIT(A1639,"",""),1)),""."","","",1))"),55.76523)</f>
        <v>55.76523</v>
      </c>
      <c r="Q1639" s="13">
        <f>IFERROR(__xludf.DUMMYFUNCTION("VALUE(SUBSTITUTE((INDEX(SPLIT(A1639,"",""),2)),""."","","",1))"),37.638755)</f>
        <v>37.638755</v>
      </c>
      <c r="R1639" s="14" t="b">
        <f t="shared" si="1"/>
        <v>0</v>
      </c>
      <c r="S1639" s="14" t="str">
        <f t="shared" si="2"/>
        <v>55.76523,37.638755</v>
      </c>
      <c r="T1639" s="12"/>
    </row>
    <row r="1640">
      <c r="A1640" s="7" t="s">
        <v>10646</v>
      </c>
      <c r="B1640" s="8" t="s">
        <v>10647</v>
      </c>
      <c r="C1640" s="8" t="s">
        <v>10648</v>
      </c>
      <c r="D1640" s="8" t="s">
        <v>16</v>
      </c>
      <c r="E1640" s="9" t="s">
        <v>10649</v>
      </c>
      <c r="F1640" s="10" t="s">
        <v>3883</v>
      </c>
      <c r="G1640" s="8">
        <v>23.61</v>
      </c>
      <c r="H1640" s="8"/>
      <c r="I1640" s="10"/>
      <c r="J1640" s="10" t="s">
        <v>10650</v>
      </c>
      <c r="K1640" s="10" t="s">
        <v>10651</v>
      </c>
      <c r="L1640" s="11" t="s">
        <v>10652</v>
      </c>
      <c r="M1640" s="11" t="s">
        <v>10653</v>
      </c>
      <c r="N1640" s="12"/>
      <c r="O1640" s="12"/>
      <c r="P1640" s="13">
        <f>IFERROR(__xludf.DUMMYFUNCTION("VALUE(SUBSTITUTE((INDEX(SPLIT(A1640,"",""),1)),""."","","",1))"),55.744409)</f>
        <v>55.744409</v>
      </c>
      <c r="Q1640" s="13">
        <f>IFERROR(__xludf.DUMMYFUNCTION("VALUE(SUBSTITUTE((INDEX(SPLIT(A1640,"",""),2)),""."","","",1))"),37.639374)</f>
        <v>37.639374</v>
      </c>
      <c r="R1640" s="14" t="b">
        <f t="shared" si="1"/>
        <v>0</v>
      </c>
      <c r="S1640" s="14" t="str">
        <f t="shared" si="2"/>
        <v>55.744409,37.639374</v>
      </c>
      <c r="T1640" s="12"/>
    </row>
    <row r="1641">
      <c r="A1641" s="15" t="s">
        <v>10654</v>
      </c>
      <c r="B1641" s="16" t="s">
        <v>10655</v>
      </c>
      <c r="C1641" s="16" t="s">
        <v>10656</v>
      </c>
      <c r="D1641" s="16" t="s">
        <v>16</v>
      </c>
      <c r="E1641" s="17" t="s">
        <v>10657</v>
      </c>
      <c r="F1641" s="16" t="s">
        <v>3883</v>
      </c>
      <c r="G1641" s="16">
        <v>23.61</v>
      </c>
      <c r="H1641" s="16"/>
      <c r="I1641" s="16"/>
      <c r="J1641" s="16" t="s">
        <v>10658</v>
      </c>
      <c r="K1641" s="16" t="s">
        <v>10659</v>
      </c>
      <c r="L1641" s="16"/>
      <c r="M1641" s="25" t="s">
        <v>10660</v>
      </c>
      <c r="N1641" s="12"/>
      <c r="O1641" s="12"/>
      <c r="P1641" s="13">
        <f>IFERROR(__xludf.DUMMYFUNCTION("VALUE(SUBSTITUTE((INDEX(SPLIT(A1641,"",""),1)),""."","","",1))"),55.776811)</f>
        <v>55.776811</v>
      </c>
      <c r="Q1641" s="13">
        <f>IFERROR(__xludf.DUMMYFUNCTION("VALUE(SUBSTITUTE((INDEX(SPLIT(A1641,"",""),2)),""."","","",1))"),37.639887)</f>
        <v>37.639887</v>
      </c>
      <c r="R1641" s="14" t="b">
        <f t="shared" si="1"/>
        <v>0</v>
      </c>
      <c r="S1641" s="14" t="str">
        <f t="shared" si="2"/>
        <v>55.776811,37.639887</v>
      </c>
      <c r="T1641" s="12"/>
    </row>
    <row r="1642">
      <c r="A1642" s="18" t="s">
        <v>10661</v>
      </c>
      <c r="B1642" s="8" t="s">
        <v>10662</v>
      </c>
      <c r="C1642" s="8" t="s">
        <v>10663</v>
      </c>
      <c r="D1642" s="8" t="s">
        <v>16</v>
      </c>
      <c r="E1642" s="19" t="s">
        <v>10664</v>
      </c>
      <c r="F1642" s="8" t="s">
        <v>3883</v>
      </c>
      <c r="G1642" s="8">
        <v>23.61</v>
      </c>
      <c r="H1642" s="8"/>
      <c r="I1642" s="8"/>
      <c r="J1642" s="8" t="s">
        <v>10665</v>
      </c>
      <c r="K1642" s="8" t="s">
        <v>10666</v>
      </c>
      <c r="L1642" s="8"/>
      <c r="M1642" s="8"/>
      <c r="N1642" s="12"/>
      <c r="O1642" s="12"/>
      <c r="P1642" s="13">
        <f>IFERROR(__xludf.DUMMYFUNCTION("VALUE(SUBSTITUTE((INDEX(SPLIT(A1642,"",""),1)),""."","","",1))"),55.769221)</f>
        <v>55.769221</v>
      </c>
      <c r="Q1642" s="13">
        <f>IFERROR(__xludf.DUMMYFUNCTION("VALUE(SUBSTITUTE((INDEX(SPLIT(A1642,"",""),2)),""."","","",1))"),37.640704)</f>
        <v>37.640704</v>
      </c>
      <c r="R1642" s="14" t="b">
        <f t="shared" si="1"/>
        <v>0</v>
      </c>
      <c r="S1642" s="14" t="str">
        <f t="shared" si="2"/>
        <v>55.769221,37.640704</v>
      </c>
      <c r="T1642" s="12"/>
    </row>
    <row r="1643">
      <c r="A1643" s="15" t="s">
        <v>10667</v>
      </c>
      <c r="B1643" s="16" t="s">
        <v>5083</v>
      </c>
      <c r="C1643" s="16" t="s">
        <v>5084</v>
      </c>
      <c r="D1643" s="16" t="s">
        <v>16</v>
      </c>
      <c r="E1643" s="17" t="s">
        <v>10668</v>
      </c>
      <c r="F1643" s="16" t="s">
        <v>3883</v>
      </c>
      <c r="G1643" s="16">
        <v>23.61</v>
      </c>
      <c r="H1643" s="16"/>
      <c r="I1643" s="16"/>
      <c r="J1643" s="16" t="s">
        <v>10669</v>
      </c>
      <c r="K1643" s="16" t="s">
        <v>10670</v>
      </c>
      <c r="L1643" s="16"/>
      <c r="M1643" s="25" t="s">
        <v>10671</v>
      </c>
      <c r="N1643" s="12"/>
      <c r="O1643" s="12"/>
      <c r="P1643" s="13">
        <f>IFERROR(__xludf.DUMMYFUNCTION("VALUE(SUBSTITUTE((INDEX(SPLIT(A1643,"",""),1)),""."","","",1))"),55.739291)</f>
        <v>55.739291</v>
      </c>
      <c r="Q1643" s="13">
        <f>IFERROR(__xludf.DUMMYFUNCTION("VALUE(SUBSTITUTE((INDEX(SPLIT(A1643,"",""),2)),""."","","",1))"),37.640839)</f>
        <v>37.640839</v>
      </c>
      <c r="R1643" s="14" t="b">
        <f t="shared" si="1"/>
        <v>0</v>
      </c>
      <c r="S1643" s="14" t="str">
        <f t="shared" si="2"/>
        <v>55.739291,37.640839</v>
      </c>
      <c r="T1643" s="12"/>
    </row>
    <row r="1644">
      <c r="A1644" s="18" t="s">
        <v>10667</v>
      </c>
      <c r="B1644" s="8" t="s">
        <v>10672</v>
      </c>
      <c r="C1644" s="8" t="s">
        <v>10673</v>
      </c>
      <c r="D1644" s="8" t="s">
        <v>16</v>
      </c>
      <c r="E1644" s="19" t="s">
        <v>10674</v>
      </c>
      <c r="F1644" s="8" t="s">
        <v>3883</v>
      </c>
      <c r="G1644" s="8">
        <v>23.61</v>
      </c>
      <c r="H1644" s="8"/>
      <c r="I1644" s="8"/>
      <c r="J1644" s="8" t="s">
        <v>10675</v>
      </c>
      <c r="K1644" s="8" t="s">
        <v>10676</v>
      </c>
      <c r="L1644" s="8"/>
      <c r="M1644" s="8"/>
      <c r="N1644" s="12"/>
      <c r="O1644" s="12"/>
      <c r="P1644" s="13">
        <f>IFERROR(__xludf.DUMMYFUNCTION("VALUE(SUBSTITUTE((INDEX(SPLIT(A1644,"",""),1)),""."","","",1))"),55.739291)</f>
        <v>55.739291</v>
      </c>
      <c r="Q1644" s="13">
        <f>IFERROR(__xludf.DUMMYFUNCTION("VALUE(SUBSTITUTE((INDEX(SPLIT(A1644,"",""),2)),""."","","",1))"),37.640839)</f>
        <v>37.640839</v>
      </c>
      <c r="R1644" s="14" t="b">
        <f t="shared" si="1"/>
        <v>0</v>
      </c>
      <c r="S1644" s="14" t="str">
        <f t="shared" si="2"/>
        <v>55.739291,37.640839</v>
      </c>
      <c r="T1644" s="12"/>
    </row>
    <row r="1645">
      <c r="A1645" s="20" t="s">
        <v>10677</v>
      </c>
      <c r="B1645" s="16" t="s">
        <v>10678</v>
      </c>
      <c r="C1645" s="16" t="s">
        <v>10679</v>
      </c>
      <c r="D1645" s="16" t="s">
        <v>16</v>
      </c>
      <c r="E1645" s="21" t="s">
        <v>10680</v>
      </c>
      <c r="F1645" s="22" t="s">
        <v>3883</v>
      </c>
      <c r="G1645" s="16">
        <v>23.61</v>
      </c>
      <c r="H1645" s="16"/>
      <c r="I1645" s="22"/>
      <c r="J1645" s="22" t="s">
        <v>10681</v>
      </c>
      <c r="K1645" s="22" t="s">
        <v>10682</v>
      </c>
      <c r="L1645" s="23" t="s">
        <v>10683</v>
      </c>
      <c r="M1645" s="22"/>
      <c r="N1645" s="12"/>
      <c r="O1645" s="12"/>
      <c r="P1645" s="13">
        <f>IFERROR(__xludf.DUMMYFUNCTION("VALUE(SUBSTITUTE((INDEX(SPLIT(A1645,"",""),1)),""."","","",1))"),55.758063)</f>
        <v>55.758063</v>
      </c>
      <c r="Q1645" s="13">
        <f>IFERROR(__xludf.DUMMYFUNCTION("VALUE(SUBSTITUTE((INDEX(SPLIT(A1645,"",""),2)),""."","","",1))"),37.640991)</f>
        <v>37.640991</v>
      </c>
      <c r="R1645" s="14" t="b">
        <f t="shared" si="1"/>
        <v>0</v>
      </c>
      <c r="S1645" s="14" t="str">
        <f t="shared" si="2"/>
        <v>55.758063,37.640991</v>
      </c>
      <c r="T1645" s="12"/>
    </row>
    <row r="1646">
      <c r="A1646" s="18" t="s">
        <v>10684</v>
      </c>
      <c r="B1646" s="8" t="s">
        <v>10685</v>
      </c>
      <c r="C1646" s="8" t="s">
        <v>10686</v>
      </c>
      <c r="D1646" s="8" t="s">
        <v>16</v>
      </c>
      <c r="E1646" s="19" t="s">
        <v>10687</v>
      </c>
      <c r="F1646" s="8" t="s">
        <v>4881</v>
      </c>
      <c r="G1646" s="8">
        <v>23.61</v>
      </c>
      <c r="H1646" s="8"/>
      <c r="I1646" s="8"/>
      <c r="J1646" s="8" t="s">
        <v>10688</v>
      </c>
      <c r="K1646" s="8" t="s">
        <v>10689</v>
      </c>
      <c r="L1646" s="8"/>
      <c r="M1646" s="24" t="s">
        <v>10690</v>
      </c>
      <c r="N1646" s="12"/>
      <c r="O1646" s="12"/>
      <c r="P1646" s="13">
        <f>IFERROR(__xludf.DUMMYFUNCTION("VALUE(SUBSTITUTE((INDEX(SPLIT(A1646,"",""),1)),""."","","",1))"),55.783352)</f>
        <v>55.783352</v>
      </c>
      <c r="Q1646" s="13">
        <f>IFERROR(__xludf.DUMMYFUNCTION("VALUE(SUBSTITUTE((INDEX(SPLIT(A1646,"",""),2)),""."","","",1))"),37.641378)</f>
        <v>37.641378</v>
      </c>
      <c r="R1646" s="14" t="b">
        <f t="shared" si="1"/>
        <v>0</v>
      </c>
      <c r="S1646" s="14" t="str">
        <f t="shared" si="2"/>
        <v>55.783352,37.641378</v>
      </c>
      <c r="T1646" s="12"/>
    </row>
    <row r="1647">
      <c r="A1647" s="15" t="s">
        <v>10691</v>
      </c>
      <c r="B1647" s="16" t="s">
        <v>10692</v>
      </c>
      <c r="C1647" s="16" t="s">
        <v>10693</v>
      </c>
      <c r="D1647" s="16" t="s">
        <v>16</v>
      </c>
      <c r="E1647" s="17" t="s">
        <v>10694</v>
      </c>
      <c r="F1647" s="16" t="s">
        <v>4881</v>
      </c>
      <c r="G1647" s="16">
        <v>23.61</v>
      </c>
      <c r="H1647" s="16"/>
      <c r="I1647" s="16"/>
      <c r="J1647" s="16" t="s">
        <v>10695</v>
      </c>
      <c r="K1647" s="16" t="s">
        <v>10696</v>
      </c>
      <c r="L1647" s="16"/>
      <c r="M1647" s="25" t="s">
        <v>10697</v>
      </c>
      <c r="N1647" s="12"/>
      <c r="O1647" s="12"/>
      <c r="P1647" s="13">
        <f>IFERROR(__xludf.DUMMYFUNCTION("VALUE(SUBSTITUTE((INDEX(SPLIT(A1647,"",""),1)),""."","","",1))"),55.805341)</f>
        <v>55.805341</v>
      </c>
      <c r="Q1647" s="13">
        <f>IFERROR(__xludf.DUMMYFUNCTION("VALUE(SUBSTITUTE((INDEX(SPLIT(A1647,"",""),2)),""."","","",1))"),37.641962)</f>
        <v>37.641962</v>
      </c>
      <c r="R1647" s="14" t="b">
        <f t="shared" si="1"/>
        <v>0</v>
      </c>
      <c r="S1647" s="14" t="str">
        <f t="shared" si="2"/>
        <v>55.805341,37.641962</v>
      </c>
      <c r="T1647" s="12"/>
    </row>
    <row r="1648">
      <c r="A1648" s="18" t="s">
        <v>10698</v>
      </c>
      <c r="B1648" s="8" t="s">
        <v>10699</v>
      </c>
      <c r="C1648" s="8" t="s">
        <v>10700</v>
      </c>
      <c r="D1648" s="8" t="s">
        <v>16</v>
      </c>
      <c r="E1648" s="19" t="s">
        <v>10701</v>
      </c>
      <c r="F1648" s="8" t="s">
        <v>3883</v>
      </c>
      <c r="G1648" s="8">
        <v>23.61</v>
      </c>
      <c r="H1648" s="8"/>
      <c r="I1648" s="8"/>
      <c r="J1648" s="8" t="s">
        <v>10702</v>
      </c>
      <c r="K1648" s="8" t="s">
        <v>10703</v>
      </c>
      <c r="L1648" s="8"/>
      <c r="M1648" s="8"/>
      <c r="N1648" s="12"/>
      <c r="O1648" s="12"/>
      <c r="P1648" s="13">
        <f>IFERROR(__xludf.DUMMYFUNCTION("VALUE(SUBSTITUTE((INDEX(SPLIT(A1648,"",""),1)),""."","","",1))"),55.758681)</f>
        <v>55.758681</v>
      </c>
      <c r="Q1648" s="13">
        <f>IFERROR(__xludf.DUMMYFUNCTION("VALUE(SUBSTITUTE((INDEX(SPLIT(A1648,"",""),2)),""."","","",1))"),37.642069)</f>
        <v>37.642069</v>
      </c>
      <c r="R1648" s="14" t="b">
        <f t="shared" si="1"/>
        <v>0</v>
      </c>
      <c r="S1648" s="14" t="str">
        <f t="shared" si="2"/>
        <v>55.758681,37.642069</v>
      </c>
      <c r="T1648" s="12"/>
    </row>
    <row r="1649">
      <c r="A1649" s="15" t="s">
        <v>10704</v>
      </c>
      <c r="B1649" s="16" t="s">
        <v>10705</v>
      </c>
      <c r="C1649" s="16" t="s">
        <v>10706</v>
      </c>
      <c r="D1649" s="16" t="s">
        <v>16</v>
      </c>
      <c r="E1649" s="17" t="s">
        <v>10707</v>
      </c>
      <c r="F1649" s="16" t="s">
        <v>3883</v>
      </c>
      <c r="G1649" s="16">
        <v>23.61</v>
      </c>
      <c r="H1649" s="16"/>
      <c r="I1649" s="16"/>
      <c r="J1649" s="16" t="s">
        <v>10708</v>
      </c>
      <c r="K1649" s="16" t="s">
        <v>10709</v>
      </c>
      <c r="L1649" s="16"/>
      <c r="M1649" s="16"/>
      <c r="N1649" s="12"/>
      <c r="O1649" s="12"/>
      <c r="P1649" s="13">
        <f>IFERROR(__xludf.DUMMYFUNCTION("VALUE(SUBSTITUTE((INDEX(SPLIT(A1649,"",""),1)),""."","","",1))"),55.768152)</f>
        <v>55.768152</v>
      </c>
      <c r="Q1649" s="13">
        <f>IFERROR(__xludf.DUMMYFUNCTION("VALUE(SUBSTITUTE((INDEX(SPLIT(A1649,"",""),2)),""."","","",1))"),37.642159)</f>
        <v>37.642159</v>
      </c>
      <c r="R1649" s="14" t="b">
        <f t="shared" si="1"/>
        <v>0</v>
      </c>
      <c r="S1649" s="14" t="str">
        <f t="shared" si="2"/>
        <v>55.768152,37.642159</v>
      </c>
      <c r="T1649" s="12"/>
    </row>
    <row r="1650">
      <c r="A1650" s="18" t="s">
        <v>10710</v>
      </c>
      <c r="B1650" s="8" t="s">
        <v>10711</v>
      </c>
      <c r="C1650" s="8" t="s">
        <v>10712</v>
      </c>
      <c r="D1650" s="8" t="s">
        <v>16</v>
      </c>
      <c r="E1650" s="19" t="s">
        <v>10713</v>
      </c>
      <c r="F1650" s="8" t="s">
        <v>4881</v>
      </c>
      <c r="G1650" s="8">
        <v>23.61</v>
      </c>
      <c r="H1650" s="8"/>
      <c r="I1650" s="8"/>
      <c r="J1650" s="8" t="s">
        <v>10714</v>
      </c>
      <c r="K1650" s="8" t="s">
        <v>10715</v>
      </c>
      <c r="L1650" s="8"/>
      <c r="M1650" s="8"/>
      <c r="N1650" s="12"/>
      <c r="O1650" s="12"/>
      <c r="P1650" s="13">
        <f>IFERROR(__xludf.DUMMYFUNCTION("VALUE(SUBSTITUTE((INDEX(SPLIT(A1650,"",""),1)),""."","","",1))"),55.763883)</f>
        <v>55.763883</v>
      </c>
      <c r="Q1650" s="13">
        <f>IFERROR(__xludf.DUMMYFUNCTION("VALUE(SUBSTITUTE((INDEX(SPLIT(A1650,"",""),2)),""."","","",1))"),37.642878)</f>
        <v>37.642878</v>
      </c>
      <c r="R1650" s="14" t="b">
        <f t="shared" si="1"/>
        <v>0</v>
      </c>
      <c r="S1650" s="14" t="str">
        <f t="shared" si="2"/>
        <v>55.763883,37.642878</v>
      </c>
      <c r="T1650" s="12"/>
    </row>
    <row r="1651">
      <c r="A1651" s="20" t="s">
        <v>10716</v>
      </c>
      <c r="B1651" s="16" t="s">
        <v>10717</v>
      </c>
      <c r="C1651" s="16" t="s">
        <v>10718</v>
      </c>
      <c r="D1651" s="16" t="s">
        <v>16</v>
      </c>
      <c r="E1651" s="21" t="s">
        <v>10719</v>
      </c>
      <c r="F1651" s="22" t="s">
        <v>4881</v>
      </c>
      <c r="G1651" s="16">
        <v>23.61</v>
      </c>
      <c r="H1651" s="16"/>
      <c r="I1651" s="22"/>
      <c r="J1651" s="22" t="s">
        <v>10720</v>
      </c>
      <c r="K1651" s="22" t="s">
        <v>10721</v>
      </c>
      <c r="L1651" s="23" t="s">
        <v>10722</v>
      </c>
      <c r="M1651" s="23" t="s">
        <v>10723</v>
      </c>
      <c r="N1651" s="12"/>
      <c r="O1651" s="12"/>
      <c r="P1651" s="13">
        <f>IFERROR(__xludf.DUMMYFUNCTION("VALUE(SUBSTITUTE((INDEX(SPLIT(A1651,"",""),1)),""."","","",1))"),55.730953)</f>
        <v>55.730953</v>
      </c>
      <c r="Q1651" s="13">
        <f>IFERROR(__xludf.DUMMYFUNCTION("VALUE(SUBSTITUTE((INDEX(SPLIT(A1651,"",""),2)),""."","","",1))"),37.644019)</f>
        <v>37.644019</v>
      </c>
      <c r="R1651" s="14" t="b">
        <f t="shared" si="1"/>
        <v>0</v>
      </c>
      <c r="S1651" s="14" t="str">
        <f t="shared" si="2"/>
        <v>55.730953,37.644019</v>
      </c>
      <c r="T1651" s="12"/>
    </row>
    <row r="1652">
      <c r="A1652" s="18" t="s">
        <v>10716</v>
      </c>
      <c r="B1652" s="8" t="s">
        <v>10724</v>
      </c>
      <c r="C1652" s="8" t="s">
        <v>10725</v>
      </c>
      <c r="D1652" s="8" t="s">
        <v>16</v>
      </c>
      <c r="E1652" s="19" t="s">
        <v>10726</v>
      </c>
      <c r="F1652" s="8" t="s">
        <v>4881</v>
      </c>
      <c r="G1652" s="8">
        <v>23.61</v>
      </c>
      <c r="H1652" s="8"/>
      <c r="I1652" s="8"/>
      <c r="J1652" s="8" t="s">
        <v>10727</v>
      </c>
      <c r="K1652" s="8" t="s">
        <v>10728</v>
      </c>
      <c r="L1652" s="8"/>
      <c r="M1652" s="8"/>
      <c r="N1652" s="12"/>
      <c r="O1652" s="12"/>
      <c r="P1652" s="13">
        <f>IFERROR(__xludf.DUMMYFUNCTION("VALUE(SUBSTITUTE((INDEX(SPLIT(A1652,"",""),1)),""."","","",1))"),55.730953)</f>
        <v>55.730953</v>
      </c>
      <c r="Q1652" s="13">
        <f>IFERROR(__xludf.DUMMYFUNCTION("VALUE(SUBSTITUTE((INDEX(SPLIT(A1652,"",""),2)),""."","","",1))"),37.644019)</f>
        <v>37.644019</v>
      </c>
      <c r="R1652" s="14" t="b">
        <f t="shared" si="1"/>
        <v>0</v>
      </c>
      <c r="S1652" s="14" t="str">
        <f t="shared" si="2"/>
        <v>55.730953,37.644019</v>
      </c>
      <c r="T1652" s="12"/>
    </row>
    <row r="1653">
      <c r="A1653" s="15" t="s">
        <v>10729</v>
      </c>
      <c r="B1653" s="16" t="s">
        <v>10730</v>
      </c>
      <c r="C1653" s="16" t="s">
        <v>10731</v>
      </c>
      <c r="D1653" s="16" t="s">
        <v>16</v>
      </c>
      <c r="E1653" s="17" t="s">
        <v>10732</v>
      </c>
      <c r="F1653" s="16" t="s">
        <v>4881</v>
      </c>
      <c r="G1653" s="16">
        <v>23.61</v>
      </c>
      <c r="H1653" s="16"/>
      <c r="I1653" s="16"/>
      <c r="J1653" s="16" t="s">
        <v>10733</v>
      </c>
      <c r="K1653" s="16" t="s">
        <v>10734</v>
      </c>
      <c r="L1653" s="16"/>
      <c r="M1653" s="16"/>
      <c r="N1653" s="12"/>
      <c r="O1653" s="12"/>
      <c r="P1653" s="13">
        <f>IFERROR(__xludf.DUMMYFUNCTION("VALUE(SUBSTITUTE((INDEX(SPLIT(A1653,"",""),1)),""."","","",1))"),55.727699)</f>
        <v>55.727699</v>
      </c>
      <c r="Q1653" s="13">
        <f>IFERROR(__xludf.DUMMYFUNCTION("VALUE(SUBSTITUTE((INDEX(SPLIT(A1653,"",""),2)),""."","","",1))"),37.644333)</f>
        <v>37.644333</v>
      </c>
      <c r="R1653" s="14" t="b">
        <f t="shared" si="1"/>
        <v>0</v>
      </c>
      <c r="S1653" s="14" t="str">
        <f t="shared" si="2"/>
        <v>55.727699,37.644333</v>
      </c>
      <c r="T1653" s="12"/>
    </row>
    <row r="1654">
      <c r="A1654" s="7" t="s">
        <v>10735</v>
      </c>
      <c r="B1654" s="8" t="s">
        <v>10736</v>
      </c>
      <c r="C1654" s="8" t="s">
        <v>10737</v>
      </c>
      <c r="D1654" s="8" t="s">
        <v>16</v>
      </c>
      <c r="E1654" s="9" t="s">
        <v>10738</v>
      </c>
      <c r="F1654" s="10" t="s">
        <v>3883</v>
      </c>
      <c r="G1654" s="8">
        <v>23.61</v>
      </c>
      <c r="H1654" s="8"/>
      <c r="I1654" s="10"/>
      <c r="J1654" s="10" t="s">
        <v>10739</v>
      </c>
      <c r="K1654" s="10" t="s">
        <v>8949</v>
      </c>
      <c r="L1654" s="11" t="s">
        <v>10740</v>
      </c>
      <c r="M1654" s="10"/>
      <c r="N1654" s="12"/>
      <c r="O1654" s="12"/>
      <c r="P1654" s="13">
        <f>IFERROR(__xludf.DUMMYFUNCTION("VALUE(SUBSTITUTE((INDEX(SPLIT(A1654,"",""),1)),""."","","",1))"),55.729858)</f>
        <v>55.729858</v>
      </c>
      <c r="Q1654" s="13">
        <f>IFERROR(__xludf.DUMMYFUNCTION("VALUE(SUBSTITUTE((INDEX(SPLIT(A1654,"",""),2)),""."","","",1))"),37.645699)</f>
        <v>37.645699</v>
      </c>
      <c r="R1654" s="14" t="b">
        <f t="shared" si="1"/>
        <v>0</v>
      </c>
      <c r="S1654" s="14" t="str">
        <f t="shared" si="2"/>
        <v>55.729858,37.645699</v>
      </c>
      <c r="T1654" s="12"/>
    </row>
    <row r="1655">
      <c r="A1655" s="15" t="s">
        <v>10741</v>
      </c>
      <c r="B1655" s="16" t="s">
        <v>10742</v>
      </c>
      <c r="C1655" s="16" t="s">
        <v>10743</v>
      </c>
      <c r="D1655" s="16" t="s">
        <v>16</v>
      </c>
      <c r="E1655" s="17" t="s">
        <v>10744</v>
      </c>
      <c r="F1655" s="16" t="s">
        <v>3883</v>
      </c>
      <c r="G1655" s="16">
        <v>23.61</v>
      </c>
      <c r="H1655" s="16"/>
      <c r="I1655" s="16"/>
      <c r="J1655" s="16" t="s">
        <v>10745</v>
      </c>
      <c r="K1655" s="16" t="s">
        <v>10746</v>
      </c>
      <c r="L1655" s="16"/>
      <c r="M1655" s="16"/>
      <c r="N1655" s="12"/>
      <c r="O1655" s="12"/>
      <c r="P1655" s="13">
        <f>IFERROR(__xludf.DUMMYFUNCTION("VALUE(SUBSTITUTE((INDEX(SPLIT(A1655,"",""),1)),""."","","",1))"),55.585581)</f>
        <v>55.585581</v>
      </c>
      <c r="Q1655" s="13">
        <f>IFERROR(__xludf.DUMMYFUNCTION("VALUE(SUBSTITUTE((INDEX(SPLIT(A1655,"",""),2)),""."","","",1))"),37.645824)</f>
        <v>37.645824</v>
      </c>
      <c r="R1655" s="14" t="b">
        <f t="shared" si="1"/>
        <v>0</v>
      </c>
      <c r="S1655" s="14" t="str">
        <f t="shared" si="2"/>
        <v>55.585581,37.645824</v>
      </c>
      <c r="T1655" s="12"/>
    </row>
    <row r="1656">
      <c r="A1656" s="7" t="s">
        <v>10747</v>
      </c>
      <c r="B1656" s="8" t="s">
        <v>10748</v>
      </c>
      <c r="C1656" s="8" t="s">
        <v>10749</v>
      </c>
      <c r="D1656" s="8" t="s">
        <v>16</v>
      </c>
      <c r="E1656" s="9" t="s">
        <v>10750</v>
      </c>
      <c r="F1656" s="10" t="s">
        <v>3883</v>
      </c>
      <c r="G1656" s="8">
        <v>23.61</v>
      </c>
      <c r="H1656" s="8"/>
      <c r="I1656" s="10"/>
      <c r="J1656" s="10" t="s">
        <v>10751</v>
      </c>
      <c r="K1656" s="10" t="s">
        <v>10752</v>
      </c>
      <c r="L1656" s="11" t="s">
        <v>10753</v>
      </c>
      <c r="M1656" s="10"/>
      <c r="N1656" s="12"/>
      <c r="O1656" s="12"/>
      <c r="P1656" s="13">
        <f>IFERROR(__xludf.DUMMYFUNCTION("VALUE(SUBSTITUTE((INDEX(SPLIT(A1656,"",""),1)),""."","","",1))"),55.745068)</f>
        <v>55.745068</v>
      </c>
      <c r="Q1656" s="13">
        <f>IFERROR(__xludf.DUMMYFUNCTION("VALUE(SUBSTITUTE((INDEX(SPLIT(A1656,"",""),2)),""."","","",1))"),37.647612)</f>
        <v>37.647612</v>
      </c>
      <c r="R1656" s="14" t="b">
        <f t="shared" si="1"/>
        <v>0</v>
      </c>
      <c r="S1656" s="14" t="str">
        <f t="shared" si="2"/>
        <v>55.745068,37.647612</v>
      </c>
      <c r="T1656" s="12"/>
    </row>
    <row r="1657">
      <c r="A1657" s="20" t="s">
        <v>10754</v>
      </c>
      <c r="B1657" s="16" t="s">
        <v>10755</v>
      </c>
      <c r="C1657" s="16" t="s">
        <v>10756</v>
      </c>
      <c r="D1657" s="16" t="s">
        <v>16</v>
      </c>
      <c r="E1657" s="21" t="s">
        <v>10757</v>
      </c>
      <c r="F1657" s="22" t="s">
        <v>3883</v>
      </c>
      <c r="G1657" s="16">
        <v>23.61</v>
      </c>
      <c r="H1657" s="16"/>
      <c r="I1657" s="22"/>
      <c r="J1657" s="22" t="s">
        <v>10758</v>
      </c>
      <c r="K1657" s="22" t="s">
        <v>10759</v>
      </c>
      <c r="L1657" s="23" t="s">
        <v>10760</v>
      </c>
      <c r="M1657" s="22"/>
      <c r="N1657" s="12"/>
      <c r="O1657" s="12"/>
      <c r="P1657" s="13">
        <f>IFERROR(__xludf.DUMMYFUNCTION("VALUE(SUBSTITUTE((INDEX(SPLIT(A1657,"",""),1)),""."","","",1))"),55.820824)</f>
        <v>55.820824</v>
      </c>
      <c r="Q1657" s="13">
        <f>IFERROR(__xludf.DUMMYFUNCTION("VALUE(SUBSTITUTE((INDEX(SPLIT(A1657,"",""),2)),""."","","",1))"),37.648663)</f>
        <v>37.648663</v>
      </c>
      <c r="R1657" s="14" t="b">
        <f t="shared" si="1"/>
        <v>0</v>
      </c>
      <c r="S1657" s="14" t="str">
        <f t="shared" si="2"/>
        <v>55.820824,37.648663</v>
      </c>
      <c r="T1657" s="12"/>
    </row>
    <row r="1658">
      <c r="A1658" s="18" t="s">
        <v>10761</v>
      </c>
      <c r="B1658" s="8" t="s">
        <v>10762</v>
      </c>
      <c r="C1658" s="8" t="s">
        <v>10763</v>
      </c>
      <c r="D1658" s="8" t="s">
        <v>16</v>
      </c>
      <c r="E1658" s="19" t="s">
        <v>10764</v>
      </c>
      <c r="F1658" s="8" t="s">
        <v>4881</v>
      </c>
      <c r="G1658" s="8">
        <v>23.61</v>
      </c>
      <c r="H1658" s="8"/>
      <c r="I1658" s="8"/>
      <c r="J1658" s="8" t="s">
        <v>10765</v>
      </c>
      <c r="K1658" s="8" t="s">
        <v>10766</v>
      </c>
      <c r="L1658" s="8"/>
      <c r="M1658" s="8"/>
      <c r="N1658" s="12"/>
      <c r="O1658" s="12"/>
      <c r="P1658" s="13">
        <f>IFERROR(__xludf.DUMMYFUNCTION("VALUE(SUBSTITUTE((INDEX(SPLIT(A1658,"",""),1)),""."","","",1))"),55.742423)</f>
        <v>55.742423</v>
      </c>
      <c r="Q1658" s="13">
        <f>IFERROR(__xludf.DUMMYFUNCTION("VALUE(SUBSTITUTE((INDEX(SPLIT(A1658,"",""),2)),""."","","",1))"),37.650154)</f>
        <v>37.650154</v>
      </c>
      <c r="R1658" s="14" t="b">
        <f t="shared" si="1"/>
        <v>0</v>
      </c>
      <c r="S1658" s="14" t="str">
        <f t="shared" si="2"/>
        <v>55.742423,37.650154</v>
      </c>
      <c r="T1658" s="12"/>
    </row>
    <row r="1659">
      <c r="A1659" s="20" t="s">
        <v>10767</v>
      </c>
      <c r="B1659" s="16" t="s">
        <v>10768</v>
      </c>
      <c r="C1659" s="16" t="s">
        <v>10769</v>
      </c>
      <c r="D1659" s="16" t="s">
        <v>16</v>
      </c>
      <c r="E1659" s="21" t="s">
        <v>10770</v>
      </c>
      <c r="F1659" s="22" t="s">
        <v>10183</v>
      </c>
      <c r="G1659" s="16">
        <v>23.61</v>
      </c>
      <c r="H1659" s="16"/>
      <c r="I1659" s="22"/>
      <c r="J1659" s="22" t="s">
        <v>10771</v>
      </c>
      <c r="K1659" s="22" t="s">
        <v>10772</v>
      </c>
      <c r="L1659" s="23" t="s">
        <v>10773</v>
      </c>
      <c r="M1659" s="22"/>
      <c r="N1659" s="12"/>
      <c r="O1659" s="12"/>
      <c r="P1659" s="13">
        <f>IFERROR(__xludf.DUMMYFUNCTION("VALUE(SUBSTITUTE((INDEX(SPLIT(A1659,"",""),1)),""."","","",1))"),55.772482)</f>
        <v>55.772482</v>
      </c>
      <c r="Q1659" s="13">
        <f>IFERROR(__xludf.DUMMYFUNCTION("VALUE(SUBSTITUTE((INDEX(SPLIT(A1659,"",""),2)),""."","","",1))"),37.650406)</f>
        <v>37.650406</v>
      </c>
      <c r="R1659" s="14" t="b">
        <f t="shared" si="1"/>
        <v>0</v>
      </c>
      <c r="S1659" s="14" t="str">
        <f t="shared" si="2"/>
        <v>55.772482,37.650406</v>
      </c>
      <c r="T1659" s="12"/>
    </row>
    <row r="1660">
      <c r="A1660" s="18" t="s">
        <v>10774</v>
      </c>
      <c r="B1660" s="8" t="s">
        <v>10775</v>
      </c>
      <c r="C1660" s="8" t="s">
        <v>10776</v>
      </c>
      <c r="D1660" s="8" t="s">
        <v>16</v>
      </c>
      <c r="E1660" s="19" t="s">
        <v>10777</v>
      </c>
      <c r="F1660" s="8" t="s">
        <v>4881</v>
      </c>
      <c r="G1660" s="8">
        <v>23.61</v>
      </c>
      <c r="H1660" s="8"/>
      <c r="I1660" s="8"/>
      <c r="J1660" s="8" t="s">
        <v>10778</v>
      </c>
      <c r="K1660" s="8" t="s">
        <v>10779</v>
      </c>
      <c r="L1660" s="8"/>
      <c r="M1660" s="8"/>
      <c r="N1660" s="12"/>
      <c r="O1660" s="12"/>
      <c r="P1660" s="13">
        <f>IFERROR(__xludf.DUMMYFUNCTION("VALUE(SUBSTITUTE((INDEX(SPLIT(A1660,"",""),1)),""."","","",1))"),55.806889)</f>
        <v>55.806889</v>
      </c>
      <c r="Q1660" s="13">
        <f>IFERROR(__xludf.DUMMYFUNCTION("VALUE(SUBSTITUTE((INDEX(SPLIT(A1660,"",""),2)),""."","","",1))"),37.653658)</f>
        <v>37.653658</v>
      </c>
      <c r="R1660" s="14" t="b">
        <f t="shared" si="1"/>
        <v>0</v>
      </c>
      <c r="S1660" s="14" t="str">
        <f t="shared" si="2"/>
        <v>55.806889,37.653658</v>
      </c>
      <c r="T1660" s="12"/>
    </row>
    <row r="1661">
      <c r="A1661" s="20" t="s">
        <v>10780</v>
      </c>
      <c r="B1661" s="16" t="s">
        <v>10781</v>
      </c>
      <c r="C1661" s="16" t="s">
        <v>10782</v>
      </c>
      <c r="D1661" s="16" t="s">
        <v>16</v>
      </c>
      <c r="E1661" s="21" t="s">
        <v>10783</v>
      </c>
      <c r="F1661" s="22" t="s">
        <v>3883</v>
      </c>
      <c r="G1661" s="16">
        <v>23.61</v>
      </c>
      <c r="H1661" s="16"/>
      <c r="I1661" s="22"/>
      <c r="J1661" s="22" t="s">
        <v>10784</v>
      </c>
      <c r="K1661" s="22" t="s">
        <v>10785</v>
      </c>
      <c r="L1661" s="23" t="s">
        <v>10786</v>
      </c>
      <c r="M1661" s="22"/>
      <c r="N1661" s="12"/>
      <c r="O1661" s="12"/>
      <c r="P1661" s="13">
        <f>IFERROR(__xludf.DUMMYFUNCTION("VALUE(SUBSTITUTE((INDEX(SPLIT(A1661,"",""),1)),""."","","",1))"),55.747794)</f>
        <v>55.747794</v>
      </c>
      <c r="Q1661" s="13">
        <f>IFERROR(__xludf.DUMMYFUNCTION("VALUE(SUBSTITUTE((INDEX(SPLIT(A1661,"",""),2)),""."","","",1))"),37.654466)</f>
        <v>37.654466</v>
      </c>
      <c r="R1661" s="14" t="b">
        <f t="shared" si="1"/>
        <v>0</v>
      </c>
      <c r="S1661" s="14" t="str">
        <f t="shared" si="2"/>
        <v>55.747794,37.654466</v>
      </c>
      <c r="T1661" s="12"/>
    </row>
    <row r="1662">
      <c r="A1662" s="7" t="s">
        <v>10787</v>
      </c>
      <c r="B1662" s="8" t="s">
        <v>89</v>
      </c>
      <c r="C1662" s="8" t="s">
        <v>90</v>
      </c>
      <c r="D1662" s="8" t="s">
        <v>16</v>
      </c>
      <c r="E1662" s="9" t="s">
        <v>10788</v>
      </c>
      <c r="F1662" s="10" t="s">
        <v>10789</v>
      </c>
      <c r="G1662" s="8">
        <v>23.61</v>
      </c>
      <c r="H1662" s="8"/>
      <c r="I1662" s="10"/>
      <c r="J1662" s="10" t="s">
        <v>10790</v>
      </c>
      <c r="K1662" s="10" t="s">
        <v>10791</v>
      </c>
      <c r="L1662" s="11" t="s">
        <v>10792</v>
      </c>
      <c r="M1662" s="10"/>
      <c r="N1662" s="12"/>
      <c r="O1662" s="12"/>
      <c r="P1662" s="13">
        <f>IFERROR(__xludf.DUMMYFUNCTION("VALUE(SUBSTITUTE((INDEX(SPLIT(A1662,"",""),1)),""."","","",1))"),55.789542)</f>
        <v>55.789542</v>
      </c>
      <c r="Q1662" s="13">
        <f>IFERROR(__xludf.DUMMYFUNCTION("VALUE(SUBSTITUTE((INDEX(SPLIT(A1662,"",""),2)),""."","","",1))"),37.656586)</f>
        <v>37.656586</v>
      </c>
      <c r="R1662" s="14" t="b">
        <f t="shared" si="1"/>
        <v>0</v>
      </c>
      <c r="S1662" s="14" t="str">
        <f t="shared" si="2"/>
        <v>55.789542,37.656586</v>
      </c>
      <c r="T1662" s="12"/>
    </row>
    <row r="1663">
      <c r="A1663" s="20" t="s">
        <v>10793</v>
      </c>
      <c r="B1663" s="16" t="s">
        <v>10794</v>
      </c>
      <c r="C1663" s="16" t="s">
        <v>10795</v>
      </c>
      <c r="D1663" s="16" t="s">
        <v>16</v>
      </c>
      <c r="E1663" s="21" t="s">
        <v>10796</v>
      </c>
      <c r="F1663" s="22" t="s">
        <v>3883</v>
      </c>
      <c r="G1663" s="16">
        <v>23.61</v>
      </c>
      <c r="H1663" s="16"/>
      <c r="I1663" s="22"/>
      <c r="J1663" s="22" t="s">
        <v>10797</v>
      </c>
      <c r="K1663" s="22" t="s">
        <v>10798</v>
      </c>
      <c r="L1663" s="23" t="s">
        <v>10799</v>
      </c>
      <c r="M1663" s="22"/>
      <c r="N1663" s="12"/>
      <c r="O1663" s="12"/>
      <c r="P1663" s="13">
        <f>IFERROR(__xludf.DUMMYFUNCTION("VALUE(SUBSTITUTE((INDEX(SPLIT(A1663,"",""),1)),""."","","",1))"),55.668153)</f>
        <v>55.668153</v>
      </c>
      <c r="Q1663" s="13">
        <f>IFERROR(__xludf.DUMMYFUNCTION("VALUE(SUBSTITUTE((INDEX(SPLIT(A1663,"",""),2)),""."","","",1))"),37.657341)</f>
        <v>37.657341</v>
      </c>
      <c r="R1663" s="14" t="b">
        <f t="shared" si="1"/>
        <v>0</v>
      </c>
      <c r="S1663" s="14" t="str">
        <f t="shared" si="2"/>
        <v>55.668153,37.657341</v>
      </c>
      <c r="T1663" s="12"/>
    </row>
    <row r="1664">
      <c r="A1664" s="7" t="s">
        <v>10800</v>
      </c>
      <c r="B1664" s="8" t="s">
        <v>10801</v>
      </c>
      <c r="C1664" s="8" t="s">
        <v>10802</v>
      </c>
      <c r="D1664" s="8" t="s">
        <v>16</v>
      </c>
      <c r="E1664" s="9" t="s">
        <v>10803</v>
      </c>
      <c r="F1664" s="10" t="s">
        <v>3883</v>
      </c>
      <c r="G1664" s="8">
        <v>23.61</v>
      </c>
      <c r="H1664" s="8"/>
      <c r="I1664" s="10"/>
      <c r="J1664" s="10" t="s">
        <v>10804</v>
      </c>
      <c r="K1664" s="10" t="s">
        <v>10805</v>
      </c>
      <c r="L1664" s="11" t="s">
        <v>10806</v>
      </c>
      <c r="M1664" s="10"/>
      <c r="N1664" s="12"/>
      <c r="O1664" s="12"/>
      <c r="P1664" s="13">
        <f>IFERROR(__xludf.DUMMYFUNCTION("VALUE(SUBSTITUTE((INDEX(SPLIT(A1664,"",""),1)),""."","","",1))"),55.767261)</f>
        <v>55.767261</v>
      </c>
      <c r="Q1664" s="13">
        <f>IFERROR(__xludf.DUMMYFUNCTION("VALUE(SUBSTITUTE((INDEX(SPLIT(A1664,"",""),2)),""."","","",1))"),37.659578)</f>
        <v>37.659578</v>
      </c>
      <c r="R1664" s="14" t="b">
        <f t="shared" si="1"/>
        <v>0</v>
      </c>
      <c r="S1664" s="14" t="str">
        <f t="shared" si="2"/>
        <v>55.767261,37.659578</v>
      </c>
      <c r="T1664" s="12"/>
    </row>
    <row r="1665">
      <c r="A1665" s="20" t="s">
        <v>10807</v>
      </c>
      <c r="B1665" s="16" t="s">
        <v>10808</v>
      </c>
      <c r="C1665" s="16" t="s">
        <v>10809</v>
      </c>
      <c r="D1665" s="16" t="s">
        <v>16</v>
      </c>
      <c r="E1665" s="21" t="s">
        <v>10810</v>
      </c>
      <c r="F1665" s="22" t="s">
        <v>3883</v>
      </c>
      <c r="G1665" s="16">
        <v>23.61</v>
      </c>
      <c r="H1665" s="16"/>
      <c r="I1665" s="22"/>
      <c r="J1665" s="22" t="s">
        <v>10811</v>
      </c>
      <c r="K1665" s="22" t="s">
        <v>10812</v>
      </c>
      <c r="L1665" s="23" t="s">
        <v>10813</v>
      </c>
      <c r="M1665" s="22"/>
      <c r="N1665" s="12"/>
      <c r="O1665" s="12"/>
      <c r="P1665" s="13">
        <f>IFERROR(__xludf.DUMMYFUNCTION("VALUE(SUBSTITUTE((INDEX(SPLIT(A1665,"",""),1)),""."","","",1))"),55.596183)</f>
        <v>55.596183</v>
      </c>
      <c r="Q1665" s="13">
        <f>IFERROR(__xludf.DUMMYFUNCTION("VALUE(SUBSTITUTE((INDEX(SPLIT(A1665,"",""),2)),""."","","",1))"),37.661644)</f>
        <v>37.661644</v>
      </c>
      <c r="R1665" s="14" t="b">
        <f t="shared" si="1"/>
        <v>0</v>
      </c>
      <c r="S1665" s="14" t="str">
        <f t="shared" si="2"/>
        <v>55.596183,37.661644</v>
      </c>
      <c r="T1665" s="12"/>
    </row>
    <row r="1666">
      <c r="A1666" s="7" t="s">
        <v>10814</v>
      </c>
      <c r="B1666" s="8" t="s">
        <v>10815</v>
      </c>
      <c r="C1666" s="8" t="s">
        <v>10816</v>
      </c>
      <c r="D1666" s="8" t="s">
        <v>16</v>
      </c>
      <c r="E1666" s="9" t="s">
        <v>10817</v>
      </c>
      <c r="F1666" s="10" t="s">
        <v>3883</v>
      </c>
      <c r="G1666" s="8">
        <v>23.61</v>
      </c>
      <c r="H1666" s="8"/>
      <c r="I1666" s="10"/>
      <c r="J1666" s="10" t="s">
        <v>10818</v>
      </c>
      <c r="K1666" s="10" t="s">
        <v>10819</v>
      </c>
      <c r="L1666" s="11" t="s">
        <v>10820</v>
      </c>
      <c r="M1666" s="10"/>
      <c r="N1666" s="12"/>
      <c r="O1666" s="12"/>
      <c r="P1666" s="13">
        <f>IFERROR(__xludf.DUMMYFUNCTION("VALUE(SUBSTITUTE((INDEX(SPLIT(A1666,"",""),1)),""."","","",1))"),55.63536)</f>
        <v>55.63536</v>
      </c>
      <c r="Q1666" s="13">
        <f>IFERROR(__xludf.DUMMYFUNCTION("VALUE(SUBSTITUTE((INDEX(SPLIT(A1666,"",""),2)),""."","","",1))"),37.661832)</f>
        <v>37.661832</v>
      </c>
      <c r="R1666" s="14" t="b">
        <f t="shared" si="1"/>
        <v>0</v>
      </c>
      <c r="S1666" s="14" t="str">
        <f t="shared" si="2"/>
        <v>55.63536,37.661832</v>
      </c>
      <c r="T1666" s="12"/>
    </row>
    <row r="1667">
      <c r="A1667" s="15" t="s">
        <v>10821</v>
      </c>
      <c r="B1667" s="16" t="s">
        <v>10822</v>
      </c>
      <c r="C1667" s="16" t="s">
        <v>10823</v>
      </c>
      <c r="D1667" s="16" t="s">
        <v>16</v>
      </c>
      <c r="E1667" s="17" t="s">
        <v>10824</v>
      </c>
      <c r="F1667" s="16" t="s">
        <v>3883</v>
      </c>
      <c r="G1667" s="16">
        <v>23.61</v>
      </c>
      <c r="H1667" s="16"/>
      <c r="I1667" s="16"/>
      <c r="J1667" s="16" t="s">
        <v>10825</v>
      </c>
      <c r="K1667" s="16" t="s">
        <v>10826</v>
      </c>
      <c r="L1667" s="16"/>
      <c r="M1667" s="16"/>
      <c r="N1667" s="12"/>
      <c r="O1667" s="12"/>
      <c r="P1667" s="13">
        <f>IFERROR(__xludf.DUMMYFUNCTION("VALUE(SUBSTITUTE((INDEX(SPLIT(A1667,"",""),1)),""."","","",1))"),55.712634)</f>
        <v>55.712634</v>
      </c>
      <c r="Q1667" s="13">
        <f>IFERROR(__xludf.DUMMYFUNCTION("VALUE(SUBSTITUTE((INDEX(SPLIT(A1667,"",""),2)),""."","","",1))"),37.66185)</f>
        <v>37.66185</v>
      </c>
      <c r="R1667" s="14" t="b">
        <f t="shared" si="1"/>
        <v>0</v>
      </c>
      <c r="S1667" s="14" t="str">
        <f t="shared" si="2"/>
        <v>55.712634,37.66185</v>
      </c>
      <c r="T1667" s="12"/>
    </row>
    <row r="1668">
      <c r="A1668" s="18" t="s">
        <v>10821</v>
      </c>
      <c r="B1668" s="8" t="s">
        <v>10827</v>
      </c>
      <c r="C1668" s="8" t="s">
        <v>10828</v>
      </c>
      <c r="D1668" s="8" t="s">
        <v>16</v>
      </c>
      <c r="E1668" s="19" t="s">
        <v>10829</v>
      </c>
      <c r="F1668" s="8" t="s">
        <v>3883</v>
      </c>
      <c r="G1668" s="8">
        <v>23.61</v>
      </c>
      <c r="H1668" s="8"/>
      <c r="I1668" s="8"/>
      <c r="J1668" s="8" t="s">
        <v>10830</v>
      </c>
      <c r="K1668" s="8" t="s">
        <v>10831</v>
      </c>
      <c r="L1668" s="8"/>
      <c r="M1668" s="8"/>
      <c r="N1668" s="12"/>
      <c r="O1668" s="12"/>
      <c r="P1668" s="13">
        <f>IFERROR(__xludf.DUMMYFUNCTION("VALUE(SUBSTITUTE((INDEX(SPLIT(A1668,"",""),1)),""."","","",1))"),55.712634)</f>
        <v>55.712634</v>
      </c>
      <c r="Q1668" s="13">
        <f>IFERROR(__xludf.DUMMYFUNCTION("VALUE(SUBSTITUTE((INDEX(SPLIT(A1668,"",""),2)),""."","","",1))"),37.66185)</f>
        <v>37.66185</v>
      </c>
      <c r="R1668" s="14" t="b">
        <f t="shared" si="1"/>
        <v>0</v>
      </c>
      <c r="S1668" s="14" t="str">
        <f t="shared" si="2"/>
        <v>55.712634,37.66185</v>
      </c>
      <c r="T1668" s="12"/>
    </row>
    <row r="1669">
      <c r="A1669" s="15" t="s">
        <v>10821</v>
      </c>
      <c r="B1669" s="16" t="s">
        <v>10832</v>
      </c>
      <c r="C1669" s="16" t="s">
        <v>10833</v>
      </c>
      <c r="D1669" s="16" t="s">
        <v>16</v>
      </c>
      <c r="E1669" s="17" t="s">
        <v>10834</v>
      </c>
      <c r="F1669" s="16" t="s">
        <v>3883</v>
      </c>
      <c r="G1669" s="16">
        <v>23.61</v>
      </c>
      <c r="H1669" s="16"/>
      <c r="I1669" s="16"/>
      <c r="J1669" s="16" t="s">
        <v>10835</v>
      </c>
      <c r="K1669" s="16" t="s">
        <v>10836</v>
      </c>
      <c r="L1669" s="16"/>
      <c r="M1669" s="16"/>
      <c r="N1669" s="12"/>
      <c r="O1669" s="12"/>
      <c r="P1669" s="13">
        <f>IFERROR(__xludf.DUMMYFUNCTION("VALUE(SUBSTITUTE((INDEX(SPLIT(A1669,"",""),1)),""."","","",1))"),55.712634)</f>
        <v>55.712634</v>
      </c>
      <c r="Q1669" s="13">
        <f>IFERROR(__xludf.DUMMYFUNCTION("VALUE(SUBSTITUTE((INDEX(SPLIT(A1669,"",""),2)),""."","","",1))"),37.66185)</f>
        <v>37.66185</v>
      </c>
      <c r="R1669" s="14" t="b">
        <f t="shared" si="1"/>
        <v>0</v>
      </c>
      <c r="S1669" s="14" t="str">
        <f t="shared" si="2"/>
        <v>55.712634,37.66185</v>
      </c>
      <c r="T1669" s="12"/>
    </row>
    <row r="1670">
      <c r="A1670" s="7" t="s">
        <v>10837</v>
      </c>
      <c r="B1670" s="8" t="s">
        <v>10838</v>
      </c>
      <c r="C1670" s="8" t="s">
        <v>10839</v>
      </c>
      <c r="D1670" s="8" t="s">
        <v>16</v>
      </c>
      <c r="E1670" s="9" t="s">
        <v>10840</v>
      </c>
      <c r="F1670" s="10" t="s">
        <v>3883</v>
      </c>
      <c r="G1670" s="8">
        <v>23.61</v>
      </c>
      <c r="H1670" s="8"/>
      <c r="I1670" s="10"/>
      <c r="J1670" s="10" t="s">
        <v>10841</v>
      </c>
      <c r="K1670" s="10" t="s">
        <v>10842</v>
      </c>
      <c r="L1670" s="11" t="s">
        <v>10843</v>
      </c>
      <c r="M1670" s="10"/>
      <c r="N1670" s="12"/>
      <c r="O1670" s="12"/>
      <c r="P1670" s="13">
        <f>IFERROR(__xludf.DUMMYFUNCTION("VALUE(SUBSTITUTE((INDEX(SPLIT(A1670,"",""),1)),""."","","",1))"),55.781696)</f>
        <v>55.781696</v>
      </c>
      <c r="Q1670" s="13">
        <f>IFERROR(__xludf.DUMMYFUNCTION("VALUE(SUBSTITUTE((INDEX(SPLIT(A1670,"",""),2)),""."","","",1))"),37.663072)</f>
        <v>37.663072</v>
      </c>
      <c r="R1670" s="14" t="b">
        <f t="shared" si="1"/>
        <v>0</v>
      </c>
      <c r="S1670" s="14" t="str">
        <f t="shared" si="2"/>
        <v>55.781696,37.663072</v>
      </c>
      <c r="T1670" s="12"/>
    </row>
    <row r="1671">
      <c r="A1671" s="15" t="s">
        <v>10844</v>
      </c>
      <c r="B1671" s="16" t="s">
        <v>10845</v>
      </c>
      <c r="C1671" s="16" t="s">
        <v>10846</v>
      </c>
      <c r="D1671" s="16" t="s">
        <v>16</v>
      </c>
      <c r="E1671" s="17" t="s">
        <v>10847</v>
      </c>
      <c r="F1671" s="16" t="s">
        <v>4881</v>
      </c>
      <c r="G1671" s="16">
        <v>23.61</v>
      </c>
      <c r="H1671" s="16"/>
      <c r="I1671" s="16"/>
      <c r="J1671" s="16" t="s">
        <v>10848</v>
      </c>
      <c r="K1671" s="16" t="s">
        <v>10849</v>
      </c>
      <c r="L1671" s="16"/>
      <c r="M1671" s="16"/>
      <c r="N1671" s="12"/>
      <c r="O1671" s="12"/>
      <c r="P1671" s="13">
        <f>IFERROR(__xludf.DUMMYFUNCTION("VALUE(SUBSTITUTE((INDEX(SPLIT(A1671,"",""),1)),""."","","",1))"),55.735226)</f>
        <v>55.735226</v>
      </c>
      <c r="Q1671" s="13">
        <f>IFERROR(__xludf.DUMMYFUNCTION("VALUE(SUBSTITUTE((INDEX(SPLIT(A1671,"",""),2)),""."","","",1))"),37.663279)</f>
        <v>37.663279</v>
      </c>
      <c r="R1671" s="14" t="b">
        <f t="shared" si="1"/>
        <v>0</v>
      </c>
      <c r="S1671" s="14" t="str">
        <f t="shared" si="2"/>
        <v>55.735226,37.663279</v>
      </c>
      <c r="T1671" s="12"/>
    </row>
    <row r="1672">
      <c r="A1672" s="18" t="s">
        <v>10850</v>
      </c>
      <c r="B1672" s="8" t="s">
        <v>10851</v>
      </c>
      <c r="C1672" s="8" t="s">
        <v>10852</v>
      </c>
      <c r="D1672" s="8" t="s">
        <v>16</v>
      </c>
      <c r="E1672" s="19" t="s">
        <v>10853</v>
      </c>
      <c r="F1672" s="8" t="s">
        <v>4881</v>
      </c>
      <c r="G1672" s="8">
        <v>23.61</v>
      </c>
      <c r="H1672" s="8"/>
      <c r="I1672" s="8"/>
      <c r="J1672" s="8" t="s">
        <v>10854</v>
      </c>
      <c r="K1672" s="8" t="s">
        <v>10855</v>
      </c>
      <c r="L1672" s="8"/>
      <c r="M1672" s="8"/>
      <c r="N1672" s="12"/>
      <c r="O1672" s="12"/>
      <c r="P1672" s="13">
        <f>IFERROR(__xludf.DUMMYFUNCTION("VALUE(SUBSTITUTE((INDEX(SPLIT(A1672,"",""),1)),""."","","",1))"),55.606416)</f>
        <v>55.606416</v>
      </c>
      <c r="Q1672" s="13">
        <f>IFERROR(__xludf.DUMMYFUNCTION("VALUE(SUBSTITUTE((INDEX(SPLIT(A1672,"",""),2)),""."","","",1))"),37.665686)</f>
        <v>37.665686</v>
      </c>
      <c r="R1672" s="14" t="b">
        <f t="shared" si="1"/>
        <v>0</v>
      </c>
      <c r="S1672" s="14" t="str">
        <f t="shared" si="2"/>
        <v>55.606416,37.665686</v>
      </c>
      <c r="T1672" s="12"/>
    </row>
    <row r="1673">
      <c r="A1673" s="15" t="s">
        <v>10856</v>
      </c>
      <c r="B1673" s="16" t="s">
        <v>10857</v>
      </c>
      <c r="C1673" s="16" t="s">
        <v>10858</v>
      </c>
      <c r="D1673" s="16" t="s">
        <v>16</v>
      </c>
      <c r="E1673" s="17" t="s">
        <v>10859</v>
      </c>
      <c r="F1673" s="16" t="s">
        <v>4881</v>
      </c>
      <c r="G1673" s="16">
        <v>23.61</v>
      </c>
      <c r="H1673" s="16"/>
      <c r="I1673" s="16"/>
      <c r="J1673" s="16" t="s">
        <v>10860</v>
      </c>
      <c r="K1673" s="16" t="s">
        <v>10861</v>
      </c>
      <c r="L1673" s="16"/>
      <c r="M1673" s="16"/>
      <c r="N1673" s="12"/>
      <c r="O1673" s="12"/>
      <c r="P1673" s="13">
        <f>IFERROR(__xludf.DUMMYFUNCTION("VALUE(SUBSTITUTE((INDEX(SPLIT(A1673,"",""),1)),""."","","",1))"),55.604127)</f>
        <v>55.604127</v>
      </c>
      <c r="Q1673" s="13">
        <f>IFERROR(__xludf.DUMMYFUNCTION("VALUE(SUBSTITUTE((INDEX(SPLIT(A1673,"",""),2)),""."","","",1))"),37.665839)</f>
        <v>37.665839</v>
      </c>
      <c r="R1673" s="14" t="b">
        <f t="shared" si="1"/>
        <v>0</v>
      </c>
      <c r="S1673" s="14" t="str">
        <f t="shared" si="2"/>
        <v>55.604127,37.665839</v>
      </c>
      <c r="T1673" s="12"/>
    </row>
    <row r="1674">
      <c r="A1674" s="18" t="s">
        <v>10862</v>
      </c>
      <c r="B1674" s="8" t="s">
        <v>10863</v>
      </c>
      <c r="C1674" s="8" t="s">
        <v>10864</v>
      </c>
      <c r="D1674" s="8" t="s">
        <v>16</v>
      </c>
      <c r="E1674" s="19" t="s">
        <v>10865</v>
      </c>
      <c r="F1674" s="8" t="s">
        <v>4881</v>
      </c>
      <c r="G1674" s="8">
        <v>23.61</v>
      </c>
      <c r="H1674" s="8"/>
      <c r="I1674" s="8"/>
      <c r="J1674" s="8" t="s">
        <v>10866</v>
      </c>
      <c r="K1674" s="8" t="s">
        <v>10867</v>
      </c>
      <c r="L1674" s="8"/>
      <c r="M1674" s="8"/>
      <c r="N1674" s="12"/>
      <c r="O1674" s="12"/>
      <c r="P1674" s="13">
        <f>IFERROR(__xludf.DUMMYFUNCTION("VALUE(SUBSTITUTE((INDEX(SPLIT(A1674,"",""),1)),""."","","",1))"),55.764658)</f>
        <v>55.764658</v>
      </c>
      <c r="Q1674" s="13">
        <f>IFERROR(__xludf.DUMMYFUNCTION("VALUE(SUBSTITUTE((INDEX(SPLIT(A1674,"",""),2)),""."","","",1))"),37.668408)</f>
        <v>37.668408</v>
      </c>
      <c r="R1674" s="14" t="b">
        <f t="shared" si="1"/>
        <v>0</v>
      </c>
      <c r="S1674" s="14" t="str">
        <f t="shared" si="2"/>
        <v>55.764658,37.668408</v>
      </c>
      <c r="T1674" s="12"/>
    </row>
    <row r="1675">
      <c r="A1675" s="20" t="s">
        <v>10868</v>
      </c>
      <c r="B1675" s="16" t="s">
        <v>10869</v>
      </c>
      <c r="C1675" s="16" t="s">
        <v>10870</v>
      </c>
      <c r="D1675" s="16" t="s">
        <v>16</v>
      </c>
      <c r="E1675" s="21" t="s">
        <v>10871</v>
      </c>
      <c r="F1675" s="22" t="s">
        <v>3883</v>
      </c>
      <c r="G1675" s="16">
        <v>23.61</v>
      </c>
      <c r="H1675" s="16"/>
      <c r="I1675" s="22"/>
      <c r="J1675" s="22" t="s">
        <v>10872</v>
      </c>
      <c r="K1675" s="22" t="s">
        <v>10873</v>
      </c>
      <c r="L1675" s="23" t="s">
        <v>10874</v>
      </c>
      <c r="M1675" s="23" t="s">
        <v>10875</v>
      </c>
      <c r="N1675" s="12"/>
      <c r="O1675" s="12"/>
      <c r="P1675" s="13">
        <f>IFERROR(__xludf.DUMMYFUNCTION("VALUE(SUBSTITUTE((INDEX(SPLIT(A1675,"",""),1)),""."","","",1))"),55.597129)</f>
        <v>55.597129</v>
      </c>
      <c r="Q1675" s="13">
        <f>IFERROR(__xludf.DUMMYFUNCTION("VALUE(SUBSTITUTE((INDEX(SPLIT(A1675,"",""),2)),""."","","",1))"),37.668552)</f>
        <v>37.668552</v>
      </c>
      <c r="R1675" s="14" t="b">
        <f t="shared" si="1"/>
        <v>0</v>
      </c>
      <c r="S1675" s="14" t="str">
        <f t="shared" si="2"/>
        <v>55.597129,37.668552</v>
      </c>
      <c r="T1675" s="12"/>
    </row>
    <row r="1676">
      <c r="A1676" s="18" t="s">
        <v>10876</v>
      </c>
      <c r="B1676" s="8" t="s">
        <v>3800</v>
      </c>
      <c r="C1676" s="8" t="s">
        <v>3801</v>
      </c>
      <c r="D1676" s="8" t="s">
        <v>16</v>
      </c>
      <c r="E1676" s="19" t="s">
        <v>10877</v>
      </c>
      <c r="F1676" s="8" t="s">
        <v>3883</v>
      </c>
      <c r="G1676" s="8">
        <v>23.61</v>
      </c>
      <c r="H1676" s="8"/>
      <c r="I1676" s="8"/>
      <c r="J1676" s="8" t="s">
        <v>10878</v>
      </c>
      <c r="K1676" s="8" t="s">
        <v>10879</v>
      </c>
      <c r="L1676" s="8"/>
      <c r="M1676" s="24" t="s">
        <v>10880</v>
      </c>
      <c r="N1676" s="12"/>
      <c r="O1676" s="12"/>
      <c r="P1676" s="13">
        <f>IFERROR(__xludf.DUMMYFUNCTION("VALUE(SUBSTITUTE((INDEX(SPLIT(A1676,"",""),1)),""."","","",1))"),55.783033)</f>
        <v>55.783033</v>
      </c>
      <c r="Q1676" s="13">
        <f>IFERROR(__xludf.DUMMYFUNCTION("VALUE(SUBSTITUTE((INDEX(SPLIT(A1676,"",""),2)),""."","","",1))"),37.668633)</f>
        <v>37.668633</v>
      </c>
      <c r="R1676" s="14" t="b">
        <f t="shared" si="1"/>
        <v>0</v>
      </c>
      <c r="S1676" s="14" t="str">
        <f t="shared" si="2"/>
        <v>55.783033,37.668633</v>
      </c>
      <c r="T1676" s="12"/>
    </row>
    <row r="1677">
      <c r="A1677" s="15" t="s">
        <v>10881</v>
      </c>
      <c r="B1677" s="16" t="s">
        <v>10882</v>
      </c>
      <c r="C1677" s="16" t="s">
        <v>10883</v>
      </c>
      <c r="D1677" s="16" t="s">
        <v>16</v>
      </c>
      <c r="E1677" s="17" t="s">
        <v>10884</v>
      </c>
      <c r="F1677" s="16" t="s">
        <v>3883</v>
      </c>
      <c r="G1677" s="16">
        <v>23.61</v>
      </c>
      <c r="H1677" s="16"/>
      <c r="I1677" s="16"/>
      <c r="J1677" s="16" t="s">
        <v>10885</v>
      </c>
      <c r="K1677" s="16" t="s">
        <v>10886</v>
      </c>
      <c r="L1677" s="16"/>
      <c r="M1677" s="25" t="s">
        <v>10887</v>
      </c>
      <c r="N1677" s="12"/>
      <c r="O1677" s="12"/>
      <c r="P1677" s="13">
        <f>IFERROR(__xludf.DUMMYFUNCTION("VALUE(SUBSTITUTE((INDEX(SPLIT(A1677,"",""),1)),""."","","",1))"),55.783245)</f>
        <v>55.783245</v>
      </c>
      <c r="Q1677" s="13">
        <f>IFERROR(__xludf.DUMMYFUNCTION("VALUE(SUBSTITUTE((INDEX(SPLIT(A1677,"",""),2)),""."","","",1))"),37.668884)</f>
        <v>37.668884</v>
      </c>
      <c r="R1677" s="14" t="b">
        <f t="shared" si="1"/>
        <v>0</v>
      </c>
      <c r="S1677" s="14" t="str">
        <f t="shared" si="2"/>
        <v>55.783245,37.668884</v>
      </c>
      <c r="T1677" s="12"/>
    </row>
    <row r="1678">
      <c r="A1678" s="7" t="s">
        <v>10888</v>
      </c>
      <c r="B1678" s="8" t="s">
        <v>10889</v>
      </c>
      <c r="C1678" s="8" t="s">
        <v>10890</v>
      </c>
      <c r="D1678" s="8" t="s">
        <v>16</v>
      </c>
      <c r="E1678" s="9" t="s">
        <v>10891</v>
      </c>
      <c r="F1678" s="10" t="s">
        <v>3883</v>
      </c>
      <c r="G1678" s="8">
        <v>23.61</v>
      </c>
      <c r="H1678" s="8"/>
      <c r="I1678" s="10"/>
      <c r="J1678" s="10" t="s">
        <v>10892</v>
      </c>
      <c r="K1678" s="10" t="s">
        <v>7379</v>
      </c>
      <c r="L1678" s="11" t="s">
        <v>10893</v>
      </c>
      <c r="M1678" s="10"/>
      <c r="N1678" s="12"/>
      <c r="O1678" s="12"/>
      <c r="P1678" s="13">
        <f>IFERROR(__xludf.DUMMYFUNCTION("VALUE(SUBSTITUTE((INDEX(SPLIT(A1678,"",""),1)),""."","","",1))"),55.766572)</f>
        <v>55.766572</v>
      </c>
      <c r="Q1678" s="13">
        <f>IFERROR(__xludf.DUMMYFUNCTION("VALUE(SUBSTITUTE((INDEX(SPLIT(A1678,"",""),2)),""."","","",1))"),37.671238)</f>
        <v>37.671238</v>
      </c>
      <c r="R1678" s="14" t="b">
        <f t="shared" si="1"/>
        <v>0</v>
      </c>
      <c r="S1678" s="14" t="str">
        <f t="shared" si="2"/>
        <v>55.766572,37.671238</v>
      </c>
      <c r="T1678" s="12"/>
    </row>
    <row r="1679">
      <c r="A1679" s="15" t="s">
        <v>10894</v>
      </c>
      <c r="B1679" s="16" t="s">
        <v>10895</v>
      </c>
      <c r="C1679" s="16" t="s">
        <v>10896</v>
      </c>
      <c r="D1679" s="16" t="s">
        <v>16</v>
      </c>
      <c r="E1679" s="17" t="s">
        <v>10897</v>
      </c>
      <c r="F1679" s="16" t="s">
        <v>3883</v>
      </c>
      <c r="G1679" s="16">
        <v>23.61</v>
      </c>
      <c r="H1679" s="16"/>
      <c r="I1679" s="16"/>
      <c r="J1679" s="16" t="s">
        <v>10898</v>
      </c>
      <c r="K1679" s="16" t="s">
        <v>10899</v>
      </c>
      <c r="L1679" s="16"/>
      <c r="M1679" s="16"/>
      <c r="N1679" s="12"/>
      <c r="O1679" s="12"/>
      <c r="P1679" s="13">
        <f>IFERROR(__xludf.DUMMYFUNCTION("VALUE(SUBSTITUTE((INDEX(SPLIT(A1679,"",""),1)),""."","","",1))"),55.872572)</f>
        <v>55.872572</v>
      </c>
      <c r="Q1679" s="13">
        <f>IFERROR(__xludf.DUMMYFUNCTION("VALUE(SUBSTITUTE((INDEX(SPLIT(A1679,"",""),2)),""."","","",1))"),37.672046)</f>
        <v>37.672046</v>
      </c>
      <c r="R1679" s="14" t="b">
        <f t="shared" si="1"/>
        <v>0</v>
      </c>
      <c r="S1679" s="14" t="str">
        <f t="shared" si="2"/>
        <v>55.872572,37.672046</v>
      </c>
      <c r="T1679" s="12"/>
    </row>
    <row r="1680">
      <c r="A1680" s="18" t="s">
        <v>10900</v>
      </c>
      <c r="B1680" s="8" t="s">
        <v>10901</v>
      </c>
      <c r="C1680" s="8" t="s">
        <v>10902</v>
      </c>
      <c r="D1680" s="8" t="s">
        <v>16</v>
      </c>
      <c r="E1680" s="19" t="s">
        <v>10903</v>
      </c>
      <c r="F1680" s="8" t="s">
        <v>4881</v>
      </c>
      <c r="G1680" s="8">
        <v>23.61</v>
      </c>
      <c r="H1680" s="8"/>
      <c r="I1680" s="8"/>
      <c r="J1680" s="8" t="s">
        <v>10904</v>
      </c>
      <c r="K1680" s="8" t="s">
        <v>10302</v>
      </c>
      <c r="L1680" s="8"/>
      <c r="M1680" s="8"/>
      <c r="N1680" s="12"/>
      <c r="O1680" s="12"/>
      <c r="P1680" s="13">
        <f>IFERROR(__xludf.DUMMYFUNCTION("VALUE(SUBSTITUTE((INDEX(SPLIT(A1680,"",""),1)),""."","","",1))"),55.775925)</f>
        <v>55.775925</v>
      </c>
      <c r="Q1680" s="13">
        <f>IFERROR(__xludf.DUMMYFUNCTION("VALUE(SUBSTITUTE((INDEX(SPLIT(A1680,"",""),2)),""."","","",1))"),37.67307)</f>
        <v>37.67307</v>
      </c>
      <c r="R1680" s="14" t="b">
        <f t="shared" si="1"/>
        <v>0</v>
      </c>
      <c r="S1680" s="14" t="str">
        <f t="shared" si="2"/>
        <v>55.775925,37.67307</v>
      </c>
      <c r="T1680" s="12"/>
    </row>
    <row r="1681">
      <c r="A1681" s="15" t="s">
        <v>10905</v>
      </c>
      <c r="B1681" s="16" t="s">
        <v>10906</v>
      </c>
      <c r="C1681" s="16" t="s">
        <v>10907</v>
      </c>
      <c r="D1681" s="16" t="s">
        <v>16</v>
      </c>
      <c r="E1681" s="17" t="s">
        <v>10908</v>
      </c>
      <c r="F1681" s="16" t="s">
        <v>3883</v>
      </c>
      <c r="G1681" s="16">
        <v>23.61</v>
      </c>
      <c r="H1681" s="16"/>
      <c r="I1681" s="16"/>
      <c r="J1681" s="16" t="s">
        <v>10909</v>
      </c>
      <c r="K1681" s="16" t="s">
        <v>10910</v>
      </c>
      <c r="L1681" s="16"/>
      <c r="M1681" s="16"/>
      <c r="N1681" s="12"/>
      <c r="O1681" s="12"/>
      <c r="P1681" s="13">
        <f>IFERROR(__xludf.DUMMYFUNCTION("VALUE(SUBSTITUTE((INDEX(SPLIT(A1681,"",""),1)),""."","","",1))"),55.624734)</f>
        <v>55.624734</v>
      </c>
      <c r="Q1681" s="13">
        <f>IFERROR(__xludf.DUMMYFUNCTION("VALUE(SUBSTITUTE((INDEX(SPLIT(A1681,"",""),2)),""."","","",1))"),37.675873)</f>
        <v>37.675873</v>
      </c>
      <c r="R1681" s="14" t="b">
        <f t="shared" si="1"/>
        <v>0</v>
      </c>
      <c r="S1681" s="14" t="str">
        <f t="shared" si="2"/>
        <v>55.624734,37.675873</v>
      </c>
      <c r="T1681" s="12"/>
    </row>
    <row r="1682">
      <c r="A1682" s="18" t="s">
        <v>10905</v>
      </c>
      <c r="B1682" s="8" t="s">
        <v>10911</v>
      </c>
      <c r="C1682" s="8" t="s">
        <v>10912</v>
      </c>
      <c r="D1682" s="8" t="s">
        <v>16</v>
      </c>
      <c r="E1682" s="19" t="s">
        <v>10913</v>
      </c>
      <c r="F1682" s="8" t="s">
        <v>4881</v>
      </c>
      <c r="G1682" s="8">
        <v>23.61</v>
      </c>
      <c r="H1682" s="8"/>
      <c r="I1682" s="8"/>
      <c r="J1682" s="8" t="s">
        <v>10914</v>
      </c>
      <c r="K1682" s="8" t="s">
        <v>10915</v>
      </c>
      <c r="L1682" s="8"/>
      <c r="M1682" s="8"/>
      <c r="N1682" s="12"/>
      <c r="O1682" s="12"/>
      <c r="P1682" s="13">
        <f>IFERROR(__xludf.DUMMYFUNCTION("VALUE(SUBSTITUTE((INDEX(SPLIT(A1682,"",""),1)),""."","","",1))"),55.624734)</f>
        <v>55.624734</v>
      </c>
      <c r="Q1682" s="13">
        <f>IFERROR(__xludf.DUMMYFUNCTION("VALUE(SUBSTITUTE((INDEX(SPLIT(A1682,"",""),2)),""."","","",1))"),37.675873)</f>
        <v>37.675873</v>
      </c>
      <c r="R1682" s="14" t="b">
        <f t="shared" si="1"/>
        <v>0</v>
      </c>
      <c r="S1682" s="14" t="str">
        <f t="shared" si="2"/>
        <v>55.624734,37.675873</v>
      </c>
      <c r="T1682" s="12"/>
    </row>
    <row r="1683">
      <c r="A1683" s="15" t="s">
        <v>10905</v>
      </c>
      <c r="B1683" s="16" t="s">
        <v>10916</v>
      </c>
      <c r="C1683" s="16" t="s">
        <v>10917</v>
      </c>
      <c r="D1683" s="16" t="s">
        <v>16</v>
      </c>
      <c r="E1683" s="17" t="s">
        <v>10918</v>
      </c>
      <c r="F1683" s="16" t="s">
        <v>4881</v>
      </c>
      <c r="G1683" s="16">
        <v>23.61</v>
      </c>
      <c r="H1683" s="16"/>
      <c r="I1683" s="16"/>
      <c r="J1683" s="16" t="s">
        <v>10919</v>
      </c>
      <c r="K1683" s="16" t="s">
        <v>10920</v>
      </c>
      <c r="L1683" s="16"/>
      <c r="M1683" s="16"/>
      <c r="N1683" s="12"/>
      <c r="O1683" s="12"/>
      <c r="P1683" s="13">
        <f>IFERROR(__xludf.DUMMYFUNCTION("VALUE(SUBSTITUTE((INDEX(SPLIT(A1683,"",""),1)),""."","","",1))"),55.624734)</f>
        <v>55.624734</v>
      </c>
      <c r="Q1683" s="13">
        <f>IFERROR(__xludf.DUMMYFUNCTION("VALUE(SUBSTITUTE((INDEX(SPLIT(A1683,"",""),2)),""."","","",1))"),37.675873)</f>
        <v>37.675873</v>
      </c>
      <c r="R1683" s="14" t="b">
        <f t="shared" si="1"/>
        <v>0</v>
      </c>
      <c r="S1683" s="14" t="str">
        <f t="shared" si="2"/>
        <v>55.624734,37.675873</v>
      </c>
      <c r="T1683" s="12"/>
    </row>
    <row r="1684">
      <c r="A1684" s="7" t="s">
        <v>10921</v>
      </c>
      <c r="B1684" s="8" t="s">
        <v>10922</v>
      </c>
      <c r="C1684" s="8" t="s">
        <v>10923</v>
      </c>
      <c r="D1684" s="8" t="s">
        <v>16</v>
      </c>
      <c r="E1684" s="9" t="s">
        <v>10924</v>
      </c>
      <c r="F1684" s="10" t="s">
        <v>3883</v>
      </c>
      <c r="G1684" s="8">
        <v>23.61</v>
      </c>
      <c r="H1684" s="8"/>
      <c r="I1684" s="10"/>
      <c r="J1684" s="10" t="s">
        <v>10925</v>
      </c>
      <c r="K1684" s="10" t="s">
        <v>10926</v>
      </c>
      <c r="L1684" s="11" t="s">
        <v>10927</v>
      </c>
      <c r="M1684" s="10"/>
      <c r="N1684" s="12"/>
      <c r="O1684" s="12"/>
      <c r="P1684" s="13">
        <f>IFERROR(__xludf.DUMMYFUNCTION("VALUE(SUBSTITUTE((INDEX(SPLIT(A1684,"",""),1)),""."","","",1))"),55.776537)</f>
        <v>55.776537</v>
      </c>
      <c r="Q1684" s="13">
        <f>IFERROR(__xludf.DUMMYFUNCTION("VALUE(SUBSTITUTE((INDEX(SPLIT(A1684,"",""),2)),""."","","",1))"),37.676053)</f>
        <v>37.676053</v>
      </c>
      <c r="R1684" s="14" t="b">
        <f t="shared" si="1"/>
        <v>0</v>
      </c>
      <c r="S1684" s="14" t="str">
        <f t="shared" si="2"/>
        <v>55.776537,37.676053</v>
      </c>
      <c r="T1684" s="12"/>
    </row>
    <row r="1685">
      <c r="A1685" s="20" t="s">
        <v>10928</v>
      </c>
      <c r="B1685" s="16" t="s">
        <v>10929</v>
      </c>
      <c r="C1685" s="16" t="s">
        <v>10930</v>
      </c>
      <c r="D1685" s="16" t="s">
        <v>16</v>
      </c>
      <c r="E1685" s="21" t="s">
        <v>10931</v>
      </c>
      <c r="F1685" s="22" t="s">
        <v>3760</v>
      </c>
      <c r="G1685" s="16">
        <v>23.61</v>
      </c>
      <c r="H1685" s="16"/>
      <c r="I1685" s="22"/>
      <c r="J1685" s="22" t="s">
        <v>10932</v>
      </c>
      <c r="K1685" s="22" t="s">
        <v>10933</v>
      </c>
      <c r="L1685" s="23" t="s">
        <v>10934</v>
      </c>
      <c r="M1685" s="22"/>
      <c r="N1685" s="12"/>
      <c r="O1685" s="12"/>
      <c r="P1685" s="13">
        <f>IFERROR(__xludf.DUMMYFUNCTION("VALUE(SUBSTITUTE((INDEX(SPLIT(A1685,"",""),1)),""."","","",1))"),55.486489)</f>
        <v>55.486489</v>
      </c>
      <c r="Q1685" s="13">
        <f>IFERROR(__xludf.DUMMYFUNCTION("VALUE(SUBSTITUTE((INDEX(SPLIT(A1685,"",""),2)),""."","","",1))"),37.676475)</f>
        <v>37.676475</v>
      </c>
      <c r="R1685" s="14" t="b">
        <f t="shared" si="1"/>
        <v>0</v>
      </c>
      <c r="S1685" s="14" t="str">
        <f t="shared" si="2"/>
        <v>55.486489,37.676475</v>
      </c>
      <c r="T1685" s="12"/>
    </row>
    <row r="1686">
      <c r="A1686" s="7" t="s">
        <v>10935</v>
      </c>
      <c r="B1686" s="8" t="s">
        <v>10936</v>
      </c>
      <c r="C1686" s="8" t="s">
        <v>10937</v>
      </c>
      <c r="D1686" s="8" t="s">
        <v>16</v>
      </c>
      <c r="E1686" s="9" t="s">
        <v>10938</v>
      </c>
      <c r="F1686" s="10" t="s">
        <v>3883</v>
      </c>
      <c r="G1686" s="8">
        <v>23.61</v>
      </c>
      <c r="H1686" s="8"/>
      <c r="I1686" s="10"/>
      <c r="J1686" s="10" t="s">
        <v>10939</v>
      </c>
      <c r="K1686" s="10" t="s">
        <v>10940</v>
      </c>
      <c r="L1686" s="11" t="s">
        <v>10941</v>
      </c>
      <c r="M1686" s="11" t="s">
        <v>10942</v>
      </c>
      <c r="N1686" s="12"/>
      <c r="O1686" s="12"/>
      <c r="P1686" s="13">
        <f>IFERROR(__xludf.DUMMYFUNCTION("VALUE(SUBSTITUTE((INDEX(SPLIT(A1686,"",""),1)),""."","","",1))"),55.864182)</f>
        <v>55.864182</v>
      </c>
      <c r="Q1686" s="13">
        <f>IFERROR(__xludf.DUMMYFUNCTION("VALUE(SUBSTITUTE((INDEX(SPLIT(A1686,"",""),2)),""."","","",1))"),37.677041)</f>
        <v>37.677041</v>
      </c>
      <c r="R1686" s="14" t="b">
        <f t="shared" si="1"/>
        <v>0</v>
      </c>
      <c r="S1686" s="14" t="str">
        <f t="shared" si="2"/>
        <v>55.864182,37.677041</v>
      </c>
      <c r="T1686" s="12"/>
    </row>
    <row r="1687">
      <c r="A1687" s="15" t="s">
        <v>10943</v>
      </c>
      <c r="B1687" s="16" t="s">
        <v>10944</v>
      </c>
      <c r="C1687" s="16" t="s">
        <v>10945</v>
      </c>
      <c r="D1687" s="16" t="s">
        <v>16</v>
      </c>
      <c r="E1687" s="17" t="s">
        <v>10946</v>
      </c>
      <c r="F1687" s="16" t="s">
        <v>4881</v>
      </c>
      <c r="G1687" s="16">
        <v>23.61</v>
      </c>
      <c r="H1687" s="16"/>
      <c r="I1687" s="16"/>
      <c r="J1687" s="16" t="s">
        <v>10947</v>
      </c>
      <c r="K1687" s="16" t="s">
        <v>10948</v>
      </c>
      <c r="L1687" s="16"/>
      <c r="M1687" s="16"/>
      <c r="N1687" s="12"/>
      <c r="O1687" s="12"/>
      <c r="P1687" s="13">
        <f>IFERROR(__xludf.DUMMYFUNCTION("VALUE(SUBSTITUTE((INDEX(SPLIT(A1687,"",""),1)),""."","","",1))"),55.76719)</f>
        <v>55.76719</v>
      </c>
      <c r="Q1687" s="13">
        <f>IFERROR(__xludf.DUMMYFUNCTION("VALUE(SUBSTITUTE((INDEX(SPLIT(A1687,"",""),2)),""."","","",1))"),37.679125)</f>
        <v>37.679125</v>
      </c>
      <c r="R1687" s="14" t="b">
        <f t="shared" si="1"/>
        <v>0</v>
      </c>
      <c r="S1687" s="14" t="str">
        <f t="shared" si="2"/>
        <v>55.76719,37.679125</v>
      </c>
      <c r="T1687" s="12"/>
    </row>
    <row r="1688">
      <c r="A1688" s="18" t="s">
        <v>10949</v>
      </c>
      <c r="B1688" s="8" t="s">
        <v>10950</v>
      </c>
      <c r="C1688" s="8" t="s">
        <v>10951</v>
      </c>
      <c r="D1688" s="8" t="s">
        <v>16</v>
      </c>
      <c r="E1688" s="19" t="s">
        <v>10952</v>
      </c>
      <c r="F1688" s="8" t="s">
        <v>4327</v>
      </c>
      <c r="G1688" s="8">
        <v>23.61</v>
      </c>
      <c r="H1688" s="8"/>
      <c r="I1688" s="8"/>
      <c r="J1688" s="8" t="s">
        <v>10953</v>
      </c>
      <c r="K1688" s="8" t="s">
        <v>10954</v>
      </c>
      <c r="L1688" s="8"/>
      <c r="M1688" s="8"/>
      <c r="N1688" s="12"/>
      <c r="O1688" s="12"/>
      <c r="P1688" s="13">
        <f>IFERROR(__xludf.DUMMYFUNCTION("VALUE(SUBSTITUTE((INDEX(SPLIT(A1688,"",""),1)),""."","","",1))"),51.282765)</f>
        <v>51.282765</v>
      </c>
      <c r="Q1688" s="13">
        <f>IFERROR(__xludf.DUMMYFUNCTION("VALUE(SUBSTITUTE((INDEX(SPLIT(A1688,"",""),2)),""."","","",1))"),37.680104)</f>
        <v>37.680104</v>
      </c>
      <c r="R1688" s="14" t="b">
        <f t="shared" si="1"/>
        <v>0</v>
      </c>
      <c r="S1688" s="14" t="str">
        <f t="shared" si="2"/>
        <v>51.282765,37.680104</v>
      </c>
      <c r="T1688" s="12"/>
    </row>
    <row r="1689">
      <c r="A1689" s="20" t="s">
        <v>10955</v>
      </c>
      <c r="B1689" s="16" t="s">
        <v>10956</v>
      </c>
      <c r="C1689" s="16" t="s">
        <v>10957</v>
      </c>
      <c r="D1689" s="16" t="s">
        <v>16</v>
      </c>
      <c r="E1689" s="21" t="s">
        <v>10958</v>
      </c>
      <c r="F1689" s="22" t="s">
        <v>3883</v>
      </c>
      <c r="G1689" s="16">
        <v>23.61</v>
      </c>
      <c r="H1689" s="16"/>
      <c r="I1689" s="22"/>
      <c r="J1689" s="22" t="s">
        <v>10959</v>
      </c>
      <c r="K1689" s="22" t="s">
        <v>10960</v>
      </c>
      <c r="L1689" s="23" t="s">
        <v>10961</v>
      </c>
      <c r="M1689" s="22"/>
      <c r="N1689" s="12"/>
      <c r="O1689" s="12"/>
      <c r="P1689" s="13">
        <f>IFERROR(__xludf.DUMMYFUNCTION("VALUE(SUBSTITUTE((INDEX(SPLIT(A1689,"",""),1)),""."","","",1))"),55.708181)</f>
        <v>55.708181</v>
      </c>
      <c r="Q1689" s="13">
        <f>IFERROR(__xludf.DUMMYFUNCTION("VALUE(SUBSTITUTE((INDEX(SPLIT(A1689,"",""),2)),""."","","",1))"),37.681649)</f>
        <v>37.681649</v>
      </c>
      <c r="R1689" s="14" t="b">
        <f t="shared" si="1"/>
        <v>0</v>
      </c>
      <c r="S1689" s="14" t="str">
        <f t="shared" si="2"/>
        <v>55.708181,37.681649</v>
      </c>
      <c r="T1689" s="12"/>
    </row>
    <row r="1690">
      <c r="A1690" s="18" t="s">
        <v>10955</v>
      </c>
      <c r="B1690" s="8" t="s">
        <v>10962</v>
      </c>
      <c r="C1690" s="8" t="s">
        <v>10963</v>
      </c>
      <c r="D1690" s="8" t="s">
        <v>16</v>
      </c>
      <c r="E1690" s="19" t="s">
        <v>10964</v>
      </c>
      <c r="F1690" s="8" t="s">
        <v>4881</v>
      </c>
      <c r="G1690" s="8">
        <v>23.61</v>
      </c>
      <c r="H1690" s="8"/>
      <c r="I1690" s="8"/>
      <c r="J1690" s="8" t="s">
        <v>10965</v>
      </c>
      <c r="K1690" s="8" t="s">
        <v>10966</v>
      </c>
      <c r="L1690" s="8"/>
      <c r="M1690" s="8"/>
      <c r="N1690" s="12"/>
      <c r="O1690" s="12"/>
      <c r="P1690" s="13">
        <f>IFERROR(__xludf.DUMMYFUNCTION("VALUE(SUBSTITUTE((INDEX(SPLIT(A1690,"",""),1)),""."","","",1))"),55.708181)</f>
        <v>55.708181</v>
      </c>
      <c r="Q1690" s="13">
        <f>IFERROR(__xludf.DUMMYFUNCTION("VALUE(SUBSTITUTE((INDEX(SPLIT(A1690,"",""),2)),""."","","",1))"),37.681649)</f>
        <v>37.681649</v>
      </c>
      <c r="R1690" s="14" t="b">
        <f t="shared" si="1"/>
        <v>0</v>
      </c>
      <c r="S1690" s="14" t="str">
        <f t="shared" si="2"/>
        <v>55.708181,37.681649</v>
      </c>
      <c r="T1690" s="12"/>
    </row>
    <row r="1691">
      <c r="A1691" s="15" t="s">
        <v>10955</v>
      </c>
      <c r="B1691" s="16" t="s">
        <v>10962</v>
      </c>
      <c r="C1691" s="16" t="s">
        <v>10963</v>
      </c>
      <c r="D1691" s="16" t="s">
        <v>16</v>
      </c>
      <c r="E1691" s="17" t="s">
        <v>10967</v>
      </c>
      <c r="F1691" s="16" t="s">
        <v>4881</v>
      </c>
      <c r="G1691" s="16">
        <v>23.61</v>
      </c>
      <c r="H1691" s="16"/>
      <c r="I1691" s="16"/>
      <c r="J1691" s="16" t="s">
        <v>10968</v>
      </c>
      <c r="K1691" s="16" t="s">
        <v>10969</v>
      </c>
      <c r="L1691" s="16"/>
      <c r="M1691" s="16"/>
      <c r="N1691" s="12"/>
      <c r="O1691" s="12"/>
      <c r="P1691" s="13">
        <f>IFERROR(__xludf.DUMMYFUNCTION("VALUE(SUBSTITUTE((INDEX(SPLIT(A1691,"",""),1)),""."","","",1))"),55.708181)</f>
        <v>55.708181</v>
      </c>
      <c r="Q1691" s="13">
        <f>IFERROR(__xludf.DUMMYFUNCTION("VALUE(SUBSTITUTE((INDEX(SPLIT(A1691,"",""),2)),""."","","",1))"),37.681649)</f>
        <v>37.681649</v>
      </c>
      <c r="R1691" s="14" t="b">
        <f t="shared" si="1"/>
        <v>0</v>
      </c>
      <c r="S1691" s="14" t="str">
        <f t="shared" si="2"/>
        <v>55.708181,37.681649</v>
      </c>
      <c r="T1691" s="12"/>
    </row>
    <row r="1692">
      <c r="A1692" s="18" t="s">
        <v>10955</v>
      </c>
      <c r="B1692" s="8" t="s">
        <v>10970</v>
      </c>
      <c r="C1692" s="8" t="s">
        <v>10971</v>
      </c>
      <c r="D1692" s="8" t="s">
        <v>16</v>
      </c>
      <c r="E1692" s="19" t="s">
        <v>10972</v>
      </c>
      <c r="F1692" s="8" t="s">
        <v>4881</v>
      </c>
      <c r="G1692" s="8">
        <v>23.61</v>
      </c>
      <c r="H1692" s="8"/>
      <c r="I1692" s="8"/>
      <c r="J1692" s="8" t="s">
        <v>10973</v>
      </c>
      <c r="K1692" s="8" t="s">
        <v>10974</v>
      </c>
      <c r="L1692" s="8"/>
      <c r="M1692" s="24" t="s">
        <v>10975</v>
      </c>
      <c r="N1692" s="12"/>
      <c r="O1692" s="12"/>
      <c r="P1692" s="13">
        <f>IFERROR(__xludf.DUMMYFUNCTION("VALUE(SUBSTITUTE((INDEX(SPLIT(A1692,"",""),1)),""."","","",1))"),55.708181)</f>
        <v>55.708181</v>
      </c>
      <c r="Q1692" s="13">
        <f>IFERROR(__xludf.DUMMYFUNCTION("VALUE(SUBSTITUTE((INDEX(SPLIT(A1692,"",""),2)),""."","","",1))"),37.681649)</f>
        <v>37.681649</v>
      </c>
      <c r="R1692" s="14" t="b">
        <f t="shared" si="1"/>
        <v>0</v>
      </c>
      <c r="S1692" s="14" t="str">
        <f t="shared" si="2"/>
        <v>55.708181,37.681649</v>
      </c>
      <c r="T1692" s="12"/>
    </row>
    <row r="1693">
      <c r="A1693" s="15" t="s">
        <v>10976</v>
      </c>
      <c r="B1693" s="16" t="s">
        <v>10977</v>
      </c>
      <c r="C1693" s="16" t="s">
        <v>10978</v>
      </c>
      <c r="D1693" s="16" t="s">
        <v>16</v>
      </c>
      <c r="E1693" s="17" t="s">
        <v>10979</v>
      </c>
      <c r="F1693" s="16" t="s">
        <v>4881</v>
      </c>
      <c r="G1693" s="16">
        <v>23.61</v>
      </c>
      <c r="H1693" s="16"/>
      <c r="I1693" s="16"/>
      <c r="J1693" s="16" t="s">
        <v>10980</v>
      </c>
      <c r="K1693" s="16" t="s">
        <v>10981</v>
      </c>
      <c r="L1693" s="16"/>
      <c r="M1693" s="25" t="s">
        <v>10982</v>
      </c>
      <c r="N1693" s="12"/>
      <c r="O1693" s="12"/>
      <c r="P1693" s="13">
        <f>IFERROR(__xludf.DUMMYFUNCTION("VALUE(SUBSTITUTE((INDEX(SPLIT(A1693,"",""),1)),""."","","",1))"),55.792868)</f>
        <v>55.792868</v>
      </c>
      <c r="Q1693" s="13">
        <f>IFERROR(__xludf.DUMMYFUNCTION("VALUE(SUBSTITUTE((INDEX(SPLIT(A1693,"",""),2)),""."","","",1))"),37.682727)</f>
        <v>37.682727</v>
      </c>
      <c r="R1693" s="14" t="b">
        <f t="shared" si="1"/>
        <v>0</v>
      </c>
      <c r="S1693" s="14" t="str">
        <f t="shared" si="2"/>
        <v>55.792868,37.682727</v>
      </c>
      <c r="T1693" s="12"/>
    </row>
    <row r="1694">
      <c r="A1694" s="7" t="s">
        <v>10983</v>
      </c>
      <c r="B1694" s="8" t="s">
        <v>10984</v>
      </c>
      <c r="C1694" s="8" t="s">
        <v>10985</v>
      </c>
      <c r="D1694" s="8" t="s">
        <v>16</v>
      </c>
      <c r="E1694" s="9" t="s">
        <v>10986</v>
      </c>
      <c r="F1694" s="10" t="s">
        <v>3883</v>
      </c>
      <c r="G1694" s="8">
        <v>23.61</v>
      </c>
      <c r="H1694" s="8"/>
      <c r="I1694" s="10"/>
      <c r="J1694" s="10" t="s">
        <v>10987</v>
      </c>
      <c r="K1694" s="10" t="s">
        <v>10988</v>
      </c>
      <c r="L1694" s="11" t="s">
        <v>10989</v>
      </c>
      <c r="M1694" s="10"/>
      <c r="N1694" s="12"/>
      <c r="O1694" s="12"/>
      <c r="P1694" s="13">
        <f>IFERROR(__xludf.DUMMYFUNCTION("VALUE(SUBSTITUTE((INDEX(SPLIT(A1694,"",""),1)),""."","","",1))"),55.717594)</f>
        <v>55.717594</v>
      </c>
      <c r="Q1694" s="13">
        <f>IFERROR(__xludf.DUMMYFUNCTION("VALUE(SUBSTITUTE((INDEX(SPLIT(A1694,"",""),2)),""."","","",1))"),37.68791)</f>
        <v>37.68791</v>
      </c>
      <c r="R1694" s="14" t="b">
        <f t="shared" si="1"/>
        <v>0</v>
      </c>
      <c r="S1694" s="14" t="str">
        <f t="shared" si="2"/>
        <v>55.717594,37.68791</v>
      </c>
      <c r="T1694" s="12"/>
    </row>
    <row r="1695">
      <c r="A1695" s="15" t="s">
        <v>10983</v>
      </c>
      <c r="B1695" s="16" t="s">
        <v>10990</v>
      </c>
      <c r="C1695" s="16" t="s">
        <v>10991</v>
      </c>
      <c r="D1695" s="16" t="s">
        <v>16</v>
      </c>
      <c r="E1695" s="17" t="s">
        <v>10992</v>
      </c>
      <c r="F1695" s="16" t="s">
        <v>4881</v>
      </c>
      <c r="G1695" s="16">
        <v>23.61</v>
      </c>
      <c r="H1695" s="16"/>
      <c r="I1695" s="16"/>
      <c r="J1695" s="16" t="s">
        <v>10993</v>
      </c>
      <c r="K1695" s="16" t="s">
        <v>10994</v>
      </c>
      <c r="L1695" s="16"/>
      <c r="M1695" s="16"/>
      <c r="N1695" s="12"/>
      <c r="O1695" s="12"/>
      <c r="P1695" s="13">
        <f>IFERROR(__xludf.DUMMYFUNCTION("VALUE(SUBSTITUTE((INDEX(SPLIT(A1695,"",""),1)),""."","","",1))"),55.717594)</f>
        <v>55.717594</v>
      </c>
      <c r="Q1695" s="13">
        <f>IFERROR(__xludf.DUMMYFUNCTION("VALUE(SUBSTITUTE((INDEX(SPLIT(A1695,"",""),2)),""."","","",1))"),37.68791)</f>
        <v>37.68791</v>
      </c>
      <c r="R1695" s="14" t="b">
        <f t="shared" si="1"/>
        <v>0</v>
      </c>
      <c r="S1695" s="14" t="str">
        <f t="shared" si="2"/>
        <v>55.717594,37.68791</v>
      </c>
      <c r="T1695" s="12"/>
    </row>
    <row r="1696">
      <c r="A1696" s="7" t="s">
        <v>10995</v>
      </c>
      <c r="B1696" s="8" t="s">
        <v>10996</v>
      </c>
      <c r="C1696" s="8" t="s">
        <v>10997</v>
      </c>
      <c r="D1696" s="8" t="s">
        <v>16</v>
      </c>
      <c r="E1696" s="9" t="s">
        <v>10998</v>
      </c>
      <c r="F1696" s="10" t="s">
        <v>3883</v>
      </c>
      <c r="G1696" s="8">
        <v>23.61</v>
      </c>
      <c r="H1696" s="8"/>
      <c r="I1696" s="10"/>
      <c r="J1696" s="10" t="s">
        <v>10999</v>
      </c>
      <c r="K1696" s="10" t="s">
        <v>11000</v>
      </c>
      <c r="L1696" s="11" t="s">
        <v>11001</v>
      </c>
      <c r="M1696" s="10"/>
      <c r="N1696" s="12"/>
      <c r="O1696" s="12"/>
      <c r="P1696" s="13">
        <f>IFERROR(__xludf.DUMMYFUNCTION("VALUE(SUBSTITUTE((INDEX(SPLIT(A1696,"",""),1)),""."","","",1))"),55.723896)</f>
        <v>55.723896</v>
      </c>
      <c r="Q1696" s="13">
        <f>IFERROR(__xludf.DUMMYFUNCTION("VALUE(SUBSTITUTE((INDEX(SPLIT(A1696,"",""),2)),""."","","",1))"),37.688566)</f>
        <v>37.688566</v>
      </c>
      <c r="R1696" s="14" t="b">
        <f t="shared" si="1"/>
        <v>0</v>
      </c>
      <c r="S1696" s="14" t="str">
        <f t="shared" si="2"/>
        <v>55.723896,37.688566</v>
      </c>
      <c r="T1696" s="12"/>
    </row>
    <row r="1697">
      <c r="A1697" s="15" t="s">
        <v>11002</v>
      </c>
      <c r="B1697" s="16" t="s">
        <v>11003</v>
      </c>
      <c r="C1697" s="16" t="s">
        <v>11004</v>
      </c>
      <c r="D1697" s="16" t="s">
        <v>16</v>
      </c>
      <c r="E1697" s="17" t="s">
        <v>11005</v>
      </c>
      <c r="F1697" s="16" t="s">
        <v>4881</v>
      </c>
      <c r="G1697" s="16">
        <v>23.61</v>
      </c>
      <c r="H1697" s="16"/>
      <c r="I1697" s="16"/>
      <c r="J1697" s="16" t="s">
        <v>11006</v>
      </c>
      <c r="K1697" s="16" t="s">
        <v>11007</v>
      </c>
      <c r="L1697" s="16"/>
      <c r="M1697" s="16"/>
      <c r="N1697" s="12"/>
      <c r="O1697" s="12"/>
      <c r="P1697" s="13">
        <f>IFERROR(__xludf.DUMMYFUNCTION("VALUE(SUBSTITUTE((INDEX(SPLIT(A1697,"",""),1)),""."","","",1))"),55.707816)</f>
        <v>55.707816</v>
      </c>
      <c r="Q1697" s="13">
        <f>IFERROR(__xludf.DUMMYFUNCTION("VALUE(SUBSTITUTE((INDEX(SPLIT(A1697,"",""),2)),""."","","",1))"),37.688584)</f>
        <v>37.688584</v>
      </c>
      <c r="R1697" s="14" t="b">
        <f t="shared" si="1"/>
        <v>0</v>
      </c>
      <c r="S1697" s="14" t="str">
        <f t="shared" si="2"/>
        <v>55.707816,37.688584</v>
      </c>
      <c r="T1697" s="12"/>
    </row>
    <row r="1698">
      <c r="A1698" s="7" t="s">
        <v>11008</v>
      </c>
      <c r="B1698" s="8" t="s">
        <v>11009</v>
      </c>
      <c r="C1698" s="8" t="s">
        <v>11010</v>
      </c>
      <c r="D1698" s="8" t="s">
        <v>16</v>
      </c>
      <c r="E1698" s="9" t="s">
        <v>11011</v>
      </c>
      <c r="F1698" s="10" t="s">
        <v>3883</v>
      </c>
      <c r="G1698" s="8">
        <v>23.61</v>
      </c>
      <c r="H1698" s="8"/>
      <c r="I1698" s="10"/>
      <c r="J1698" s="10" t="s">
        <v>11012</v>
      </c>
      <c r="K1698" s="10" t="s">
        <v>11013</v>
      </c>
      <c r="L1698" s="11" t="s">
        <v>11014</v>
      </c>
      <c r="M1698" s="10"/>
      <c r="N1698" s="12"/>
      <c r="O1698" s="12"/>
      <c r="P1698" s="13">
        <f>IFERROR(__xludf.DUMMYFUNCTION("VALUE(SUBSTITUTE((INDEX(SPLIT(A1698,"",""),1)),""."","","",1))"),55.772046)</f>
        <v>55.772046</v>
      </c>
      <c r="Q1698" s="13">
        <f>IFERROR(__xludf.DUMMYFUNCTION("VALUE(SUBSTITUTE((INDEX(SPLIT(A1698,"",""),2)),""."","","",1))"),37.689285)</f>
        <v>37.689285</v>
      </c>
      <c r="R1698" s="14" t="b">
        <f t="shared" si="1"/>
        <v>0</v>
      </c>
      <c r="S1698" s="14" t="str">
        <f t="shared" si="2"/>
        <v>55.772046,37.689285</v>
      </c>
      <c r="T1698" s="12"/>
    </row>
    <row r="1699">
      <c r="A1699" s="15" t="s">
        <v>11015</v>
      </c>
      <c r="B1699" s="16" t="s">
        <v>11016</v>
      </c>
      <c r="C1699" s="16" t="s">
        <v>11017</v>
      </c>
      <c r="D1699" s="16" t="s">
        <v>16</v>
      </c>
      <c r="E1699" s="17" t="s">
        <v>11018</v>
      </c>
      <c r="F1699" s="16" t="s">
        <v>3883</v>
      </c>
      <c r="G1699" s="16">
        <v>23.61</v>
      </c>
      <c r="H1699" s="16"/>
      <c r="I1699" s="16"/>
      <c r="J1699" s="16" t="s">
        <v>11019</v>
      </c>
      <c r="K1699" s="16" t="s">
        <v>11020</v>
      </c>
      <c r="L1699" s="16"/>
      <c r="M1699" s="16"/>
      <c r="N1699" s="12"/>
      <c r="O1699" s="12"/>
      <c r="P1699" s="13">
        <f>IFERROR(__xludf.DUMMYFUNCTION("VALUE(SUBSTITUTE((INDEX(SPLIT(A1699,"",""),1)),""."","","",1))"),55.881273)</f>
        <v>55.881273</v>
      </c>
      <c r="Q1699" s="13">
        <f>IFERROR(__xludf.DUMMYFUNCTION("VALUE(SUBSTITUTE((INDEX(SPLIT(A1699,"",""),2)),""."","","",1))"),37.694199)</f>
        <v>37.694199</v>
      </c>
      <c r="R1699" s="14" t="b">
        <f t="shared" si="1"/>
        <v>0</v>
      </c>
      <c r="S1699" s="14" t="str">
        <f t="shared" si="2"/>
        <v>55.881273,37.694199</v>
      </c>
      <c r="T1699" s="12"/>
    </row>
    <row r="1700">
      <c r="A1700" s="18" t="s">
        <v>11021</v>
      </c>
      <c r="B1700" s="8" t="s">
        <v>11022</v>
      </c>
      <c r="C1700" s="8" t="s">
        <v>11023</v>
      </c>
      <c r="D1700" s="8" t="s">
        <v>16</v>
      </c>
      <c r="E1700" s="19" t="s">
        <v>11024</v>
      </c>
      <c r="F1700" s="8" t="s">
        <v>4881</v>
      </c>
      <c r="G1700" s="8">
        <v>23.61</v>
      </c>
      <c r="H1700" s="8"/>
      <c r="I1700" s="8"/>
      <c r="J1700" s="8" t="s">
        <v>11025</v>
      </c>
      <c r="K1700" s="8" t="s">
        <v>11026</v>
      </c>
      <c r="L1700" s="8"/>
      <c r="M1700" s="8"/>
      <c r="N1700" s="12"/>
      <c r="O1700" s="12"/>
      <c r="P1700" s="13">
        <f>IFERROR(__xludf.DUMMYFUNCTION("VALUE(SUBSTITUTE((INDEX(SPLIT(A1700,"",""),1)),""."","","",1))"),55.680686)</f>
        <v>55.680686</v>
      </c>
      <c r="Q1700" s="13">
        <f>IFERROR(__xludf.DUMMYFUNCTION("VALUE(SUBSTITUTE((INDEX(SPLIT(A1700,"",""),2)),""."","","",1))"),37.696292)</f>
        <v>37.696292</v>
      </c>
      <c r="R1700" s="14" t="b">
        <f t="shared" si="1"/>
        <v>0</v>
      </c>
      <c r="S1700" s="14" t="str">
        <f t="shared" si="2"/>
        <v>55.680686,37.696292</v>
      </c>
      <c r="T1700" s="12"/>
    </row>
    <row r="1701">
      <c r="A1701" s="20" t="s">
        <v>11027</v>
      </c>
      <c r="B1701" s="16" t="s">
        <v>4745</v>
      </c>
      <c r="C1701" s="16" t="s">
        <v>2779</v>
      </c>
      <c r="D1701" s="16" t="s">
        <v>16</v>
      </c>
      <c r="E1701" s="21" t="s">
        <v>11028</v>
      </c>
      <c r="F1701" s="22" t="s">
        <v>3883</v>
      </c>
      <c r="G1701" s="16">
        <v>23.61</v>
      </c>
      <c r="H1701" s="16"/>
      <c r="I1701" s="22"/>
      <c r="J1701" s="22" t="s">
        <v>11029</v>
      </c>
      <c r="K1701" s="22" t="s">
        <v>11030</v>
      </c>
      <c r="L1701" s="23" t="s">
        <v>11031</v>
      </c>
      <c r="M1701" s="22"/>
      <c r="N1701" s="12"/>
      <c r="O1701" s="12"/>
      <c r="P1701" s="13">
        <f>IFERROR(__xludf.DUMMYFUNCTION("VALUE(SUBSTITUTE((INDEX(SPLIT(A1701,"",""),1)),""."","","",1))"),55.776618)</f>
        <v>55.776618</v>
      </c>
      <c r="Q1701" s="13">
        <f>IFERROR(__xludf.DUMMYFUNCTION("VALUE(SUBSTITUTE((INDEX(SPLIT(A1701,"",""),2)),""."","","",1))"),37.699975)</f>
        <v>37.699975</v>
      </c>
      <c r="R1701" s="14" t="b">
        <f t="shared" si="1"/>
        <v>0</v>
      </c>
      <c r="S1701" s="14" t="str">
        <f t="shared" si="2"/>
        <v>55.776618,37.699975</v>
      </c>
      <c r="T1701" s="12"/>
    </row>
    <row r="1702">
      <c r="A1702" s="18" t="s">
        <v>11032</v>
      </c>
      <c r="B1702" s="8" t="s">
        <v>11033</v>
      </c>
      <c r="C1702" s="8" t="s">
        <v>11034</v>
      </c>
      <c r="D1702" s="8" t="s">
        <v>16</v>
      </c>
      <c r="E1702" s="19" t="s">
        <v>11035</v>
      </c>
      <c r="F1702" s="8" t="s">
        <v>4881</v>
      </c>
      <c r="G1702" s="8">
        <v>23.61</v>
      </c>
      <c r="H1702" s="8"/>
      <c r="I1702" s="8"/>
      <c r="J1702" s="8" t="s">
        <v>11036</v>
      </c>
      <c r="K1702" s="8" t="s">
        <v>11037</v>
      </c>
      <c r="L1702" s="8"/>
      <c r="M1702" s="8"/>
      <c r="N1702" s="12"/>
      <c r="O1702" s="12"/>
      <c r="P1702" s="13">
        <f>IFERROR(__xludf.DUMMYFUNCTION("VALUE(SUBSTITUTE((INDEX(SPLIT(A1702,"",""),1)),""."","","",1))"),55.78856)</f>
        <v>55.78856</v>
      </c>
      <c r="Q1702" s="13">
        <f>IFERROR(__xludf.DUMMYFUNCTION("VALUE(SUBSTITUTE((INDEX(SPLIT(A1702,"",""),2)),""."","","",1))"),37.700667)</f>
        <v>37.700667</v>
      </c>
      <c r="R1702" s="14" t="b">
        <f t="shared" si="1"/>
        <v>0</v>
      </c>
      <c r="S1702" s="14" t="str">
        <f t="shared" si="2"/>
        <v>55.78856,37.700667</v>
      </c>
      <c r="T1702" s="12"/>
    </row>
    <row r="1703">
      <c r="A1703" s="15" t="s">
        <v>11038</v>
      </c>
      <c r="B1703" s="16" t="s">
        <v>11039</v>
      </c>
      <c r="C1703" s="16" t="s">
        <v>11040</v>
      </c>
      <c r="D1703" s="16" t="s">
        <v>16</v>
      </c>
      <c r="E1703" s="17" t="s">
        <v>11041</v>
      </c>
      <c r="F1703" s="16" t="s">
        <v>8566</v>
      </c>
      <c r="G1703" s="16">
        <v>23.61</v>
      </c>
      <c r="H1703" s="16"/>
      <c r="I1703" s="16"/>
      <c r="J1703" s="16" t="s">
        <v>11042</v>
      </c>
      <c r="K1703" s="16" t="s">
        <v>11043</v>
      </c>
      <c r="L1703" s="16"/>
      <c r="M1703" s="16"/>
      <c r="N1703" s="12"/>
      <c r="O1703" s="12"/>
      <c r="P1703" s="13">
        <f>IFERROR(__xludf.DUMMYFUNCTION("VALUE(SUBSTITUTE((INDEX(SPLIT(A1703,"",""),1)),""."","","",1))"),44.778514)</f>
        <v>44.778514</v>
      </c>
      <c r="Q1703" s="13">
        <f>IFERROR(__xludf.DUMMYFUNCTION("VALUE(SUBSTITUTE((INDEX(SPLIT(A1703,"",""),2)),""."","","",1))"),37.701403)</f>
        <v>37.701403</v>
      </c>
      <c r="R1703" s="14" t="b">
        <f t="shared" si="1"/>
        <v>0</v>
      </c>
      <c r="S1703" s="14" t="str">
        <f t="shared" si="2"/>
        <v>44.778514,37.701403</v>
      </c>
      <c r="T1703" s="12"/>
    </row>
    <row r="1704">
      <c r="A1704" s="18" t="s">
        <v>11044</v>
      </c>
      <c r="B1704" s="8" t="s">
        <v>11045</v>
      </c>
      <c r="C1704" s="8" t="s">
        <v>11046</v>
      </c>
      <c r="D1704" s="8" t="s">
        <v>16</v>
      </c>
      <c r="E1704" s="19" t="s">
        <v>11047</v>
      </c>
      <c r="F1704" s="8" t="s">
        <v>6732</v>
      </c>
      <c r="G1704" s="8">
        <v>23.61</v>
      </c>
      <c r="H1704" s="8"/>
      <c r="I1704" s="8"/>
      <c r="J1704" s="8" t="s">
        <v>11048</v>
      </c>
      <c r="K1704" s="8" t="s">
        <v>11049</v>
      </c>
      <c r="L1704" s="8"/>
      <c r="M1704" s="8"/>
      <c r="N1704" s="12"/>
      <c r="O1704" s="12"/>
      <c r="P1704" s="13">
        <f>IFERROR(__xludf.DUMMYFUNCTION("VALUE(SUBSTITUTE((INDEX(SPLIT(A1704,"",""),1)),""."","","",1))"),54.148359)</f>
        <v>54.148359</v>
      </c>
      <c r="Q1704" s="13">
        <f>IFERROR(__xludf.DUMMYFUNCTION("VALUE(SUBSTITUTE((INDEX(SPLIT(A1704,"",""),2)),""."","","",1))"),37.701834)</f>
        <v>37.701834</v>
      </c>
      <c r="R1704" s="14" t="b">
        <f t="shared" si="1"/>
        <v>0</v>
      </c>
      <c r="S1704" s="14" t="str">
        <f t="shared" si="2"/>
        <v>54.148359,37.701834</v>
      </c>
      <c r="T1704" s="12"/>
    </row>
    <row r="1705">
      <c r="A1705" s="15" t="s">
        <v>11050</v>
      </c>
      <c r="B1705" s="16" t="s">
        <v>11051</v>
      </c>
      <c r="C1705" s="16" t="s">
        <v>11052</v>
      </c>
      <c r="D1705" s="16" t="s">
        <v>16</v>
      </c>
      <c r="E1705" s="17" t="s">
        <v>11053</v>
      </c>
      <c r="F1705" s="16" t="s">
        <v>8566</v>
      </c>
      <c r="G1705" s="16">
        <v>23.61</v>
      </c>
      <c r="H1705" s="16"/>
      <c r="I1705" s="16"/>
      <c r="J1705" s="16" t="s">
        <v>11054</v>
      </c>
      <c r="K1705" s="16" t="s">
        <v>11055</v>
      </c>
      <c r="L1705" s="16"/>
      <c r="M1705" s="16"/>
      <c r="N1705" s="12"/>
      <c r="O1705" s="12"/>
      <c r="P1705" s="13">
        <f>IFERROR(__xludf.DUMMYFUNCTION("VALUE(SUBSTITUTE((INDEX(SPLIT(A1705,"",""),1)),""."","","",1))"),44.767656)</f>
        <v>44.767656</v>
      </c>
      <c r="Q1705" s="13">
        <f>IFERROR(__xludf.DUMMYFUNCTION("VALUE(SUBSTITUTE((INDEX(SPLIT(A1705,"",""),2)),""."","","",1))"),37.702373)</f>
        <v>37.702373</v>
      </c>
      <c r="R1705" s="14" t="b">
        <f t="shared" si="1"/>
        <v>0</v>
      </c>
      <c r="S1705" s="14" t="str">
        <f t="shared" si="2"/>
        <v>44.767656,37.702373</v>
      </c>
      <c r="T1705" s="12"/>
    </row>
    <row r="1706">
      <c r="A1706" s="18" t="s">
        <v>11056</v>
      </c>
      <c r="B1706" s="8" t="s">
        <v>11057</v>
      </c>
      <c r="C1706" s="8" t="s">
        <v>11058</v>
      </c>
      <c r="D1706" s="8" t="s">
        <v>16</v>
      </c>
      <c r="E1706" s="19" t="s">
        <v>11059</v>
      </c>
      <c r="F1706" s="8" t="s">
        <v>4881</v>
      </c>
      <c r="G1706" s="8">
        <v>23.61</v>
      </c>
      <c r="H1706" s="8"/>
      <c r="I1706" s="8"/>
      <c r="J1706" s="8" t="s">
        <v>11060</v>
      </c>
      <c r="K1706" s="8" t="s">
        <v>11061</v>
      </c>
      <c r="L1706" s="8"/>
      <c r="M1706" s="8"/>
      <c r="N1706" s="12"/>
      <c r="O1706" s="12"/>
      <c r="P1706" s="13">
        <f>IFERROR(__xludf.DUMMYFUNCTION("VALUE(SUBSTITUTE((INDEX(SPLIT(A1706,"",""),1)),""."","","",1))"),55.616173)</f>
        <v>55.616173</v>
      </c>
      <c r="Q1706" s="13">
        <f>IFERROR(__xludf.DUMMYFUNCTION("VALUE(SUBSTITUTE((INDEX(SPLIT(A1706,"",""),2)),""."","","",1))"),37.703038)</f>
        <v>37.703038</v>
      </c>
      <c r="R1706" s="14" t="b">
        <f t="shared" si="1"/>
        <v>0</v>
      </c>
      <c r="S1706" s="14" t="str">
        <f t="shared" si="2"/>
        <v>55.616173,37.703038</v>
      </c>
      <c r="T1706" s="12"/>
    </row>
    <row r="1707">
      <c r="A1707" s="15" t="s">
        <v>11062</v>
      </c>
      <c r="B1707" s="16" t="s">
        <v>11063</v>
      </c>
      <c r="C1707" s="16" t="s">
        <v>11064</v>
      </c>
      <c r="D1707" s="16" t="s">
        <v>16</v>
      </c>
      <c r="E1707" s="17" t="s">
        <v>11065</v>
      </c>
      <c r="F1707" s="16" t="s">
        <v>3760</v>
      </c>
      <c r="G1707" s="16">
        <v>23.61</v>
      </c>
      <c r="H1707" s="16"/>
      <c r="I1707" s="16"/>
      <c r="J1707" s="16" t="s">
        <v>11066</v>
      </c>
      <c r="K1707" s="16" t="s">
        <v>11067</v>
      </c>
      <c r="L1707" s="16"/>
      <c r="M1707" s="25" t="s">
        <v>11068</v>
      </c>
      <c r="N1707" s="12"/>
      <c r="O1707" s="12"/>
      <c r="P1707" s="13">
        <f>IFERROR(__xludf.DUMMYFUNCTION("VALUE(SUBSTITUTE((INDEX(SPLIT(A1707,"",""),1)),""."","","",1))"),55.561915)</f>
        <v>55.561915</v>
      </c>
      <c r="Q1707" s="13">
        <f>IFERROR(__xludf.DUMMYFUNCTION("VALUE(SUBSTITUTE((INDEX(SPLIT(A1707,"",""),2)),""."","","",1))"),37.704439)</f>
        <v>37.704439</v>
      </c>
      <c r="R1707" s="14" t="b">
        <f t="shared" si="1"/>
        <v>0</v>
      </c>
      <c r="S1707" s="14" t="str">
        <f t="shared" si="2"/>
        <v>55.561915,37.704439</v>
      </c>
      <c r="T1707" s="12"/>
    </row>
    <row r="1708">
      <c r="A1708" s="18" t="s">
        <v>11069</v>
      </c>
      <c r="B1708" s="8" t="s">
        <v>11070</v>
      </c>
      <c r="C1708" s="8" t="s">
        <v>11071</v>
      </c>
      <c r="D1708" s="8" t="s">
        <v>16</v>
      </c>
      <c r="E1708" s="19" t="s">
        <v>11072</v>
      </c>
      <c r="F1708" s="8" t="s">
        <v>4881</v>
      </c>
      <c r="G1708" s="8">
        <v>23.61</v>
      </c>
      <c r="H1708" s="8"/>
      <c r="I1708" s="8"/>
      <c r="J1708" s="8" t="s">
        <v>11073</v>
      </c>
      <c r="K1708" s="8" t="s">
        <v>11074</v>
      </c>
      <c r="L1708" s="8"/>
      <c r="M1708" s="8"/>
      <c r="N1708" s="12"/>
      <c r="O1708" s="12"/>
      <c r="P1708" s="13">
        <f>IFERROR(__xludf.DUMMYFUNCTION("VALUE(SUBSTITUTE((INDEX(SPLIT(A1708,"",""),1)),""."","","",1))"),55.661714)</f>
        <v>55.661714</v>
      </c>
      <c r="Q1708" s="13">
        <f>IFERROR(__xludf.DUMMYFUNCTION("VALUE(SUBSTITUTE((INDEX(SPLIT(A1708,"",""),2)),""."","","",1))"),37.704772)</f>
        <v>37.704772</v>
      </c>
      <c r="R1708" s="14" t="b">
        <f t="shared" si="1"/>
        <v>0</v>
      </c>
      <c r="S1708" s="14" t="str">
        <f t="shared" si="2"/>
        <v>55.661714,37.704772</v>
      </c>
      <c r="T1708" s="12"/>
    </row>
    <row r="1709">
      <c r="A1709" s="20" t="s">
        <v>11075</v>
      </c>
      <c r="B1709" s="16" t="s">
        <v>11076</v>
      </c>
      <c r="C1709" s="16" t="s">
        <v>11077</v>
      </c>
      <c r="D1709" s="16" t="s">
        <v>16</v>
      </c>
      <c r="E1709" s="21" t="s">
        <v>11078</v>
      </c>
      <c r="F1709" s="22" t="s">
        <v>6732</v>
      </c>
      <c r="G1709" s="16">
        <v>23.61</v>
      </c>
      <c r="H1709" s="16"/>
      <c r="I1709" s="22"/>
      <c r="J1709" s="22" t="s">
        <v>11079</v>
      </c>
      <c r="K1709" s="22" t="s">
        <v>11080</v>
      </c>
      <c r="L1709" s="23" t="s">
        <v>11081</v>
      </c>
      <c r="M1709" s="22"/>
      <c r="N1709" s="12"/>
      <c r="O1709" s="12"/>
      <c r="P1709" s="13">
        <f>IFERROR(__xludf.DUMMYFUNCTION("VALUE(SUBSTITUTE((INDEX(SPLIT(A1709,"",""),1)),""."","","",1))"),54.180167)</f>
        <v>54.180167</v>
      </c>
      <c r="Q1709" s="13">
        <f>IFERROR(__xludf.DUMMYFUNCTION("VALUE(SUBSTITUTE((INDEX(SPLIT(A1709,"",""),2)),""."","","",1))"),37.704996)</f>
        <v>37.704996</v>
      </c>
      <c r="R1709" s="14" t="b">
        <f t="shared" si="1"/>
        <v>0</v>
      </c>
      <c r="S1709" s="14" t="str">
        <f t="shared" si="2"/>
        <v>54.180167,37.704996</v>
      </c>
      <c r="T1709" s="12"/>
    </row>
    <row r="1710">
      <c r="A1710" s="18" t="s">
        <v>11082</v>
      </c>
      <c r="B1710" s="8" t="s">
        <v>11083</v>
      </c>
      <c r="C1710" s="8" t="s">
        <v>11084</v>
      </c>
      <c r="D1710" s="8" t="s">
        <v>16</v>
      </c>
      <c r="E1710" s="19" t="s">
        <v>11085</v>
      </c>
      <c r="F1710" s="8" t="s">
        <v>4881</v>
      </c>
      <c r="G1710" s="8">
        <v>23.61</v>
      </c>
      <c r="H1710" s="8"/>
      <c r="I1710" s="8"/>
      <c r="J1710" s="8" t="s">
        <v>11086</v>
      </c>
      <c r="K1710" s="8" t="s">
        <v>11087</v>
      </c>
      <c r="L1710" s="8"/>
      <c r="M1710" s="24" t="s">
        <v>11088</v>
      </c>
      <c r="N1710" s="12"/>
      <c r="O1710" s="12"/>
      <c r="P1710" s="13">
        <f>IFERROR(__xludf.DUMMYFUNCTION("VALUE(SUBSTITUTE((INDEX(SPLIT(A1710,"",""),1)),""."","","",1))"),55.637205)</f>
        <v>55.637205</v>
      </c>
      <c r="Q1710" s="13">
        <f>IFERROR(__xludf.DUMMYFUNCTION("VALUE(SUBSTITUTE((INDEX(SPLIT(A1710,"",""),2)),""."","","",1))"),37.706254)</f>
        <v>37.706254</v>
      </c>
      <c r="R1710" s="14" t="b">
        <f t="shared" si="1"/>
        <v>0</v>
      </c>
      <c r="S1710" s="14" t="str">
        <f t="shared" si="2"/>
        <v>55.637205,37.706254</v>
      </c>
      <c r="T1710" s="12"/>
    </row>
    <row r="1711">
      <c r="A1711" s="15" t="s">
        <v>11082</v>
      </c>
      <c r="B1711" s="16" t="s">
        <v>11089</v>
      </c>
      <c r="C1711" s="16" t="s">
        <v>11090</v>
      </c>
      <c r="D1711" s="16" t="s">
        <v>16</v>
      </c>
      <c r="E1711" s="17" t="s">
        <v>11091</v>
      </c>
      <c r="F1711" s="16" t="s">
        <v>4881</v>
      </c>
      <c r="G1711" s="16">
        <v>23.61</v>
      </c>
      <c r="H1711" s="16"/>
      <c r="I1711" s="16"/>
      <c r="J1711" s="16" t="s">
        <v>11092</v>
      </c>
      <c r="K1711" s="16" t="s">
        <v>11093</v>
      </c>
      <c r="L1711" s="16"/>
      <c r="M1711" s="16"/>
      <c r="N1711" s="12"/>
      <c r="O1711" s="12"/>
      <c r="P1711" s="13">
        <f>IFERROR(__xludf.DUMMYFUNCTION("VALUE(SUBSTITUTE((INDEX(SPLIT(A1711,"",""),1)),""."","","",1))"),55.637205)</f>
        <v>55.637205</v>
      </c>
      <c r="Q1711" s="13">
        <f>IFERROR(__xludf.DUMMYFUNCTION("VALUE(SUBSTITUTE((INDEX(SPLIT(A1711,"",""),2)),""."","","",1))"),37.706254)</f>
        <v>37.706254</v>
      </c>
      <c r="R1711" s="14" t="b">
        <f t="shared" si="1"/>
        <v>0</v>
      </c>
      <c r="S1711" s="14" t="str">
        <f t="shared" si="2"/>
        <v>55.637205,37.706254</v>
      </c>
      <c r="T1711" s="12"/>
    </row>
    <row r="1712">
      <c r="A1712" s="18" t="s">
        <v>11094</v>
      </c>
      <c r="B1712" s="8" t="s">
        <v>11095</v>
      </c>
      <c r="C1712" s="8" t="s">
        <v>11096</v>
      </c>
      <c r="D1712" s="8" t="s">
        <v>16</v>
      </c>
      <c r="E1712" s="19" t="s">
        <v>11097</v>
      </c>
      <c r="F1712" s="8" t="s">
        <v>4881</v>
      </c>
      <c r="G1712" s="8">
        <v>23.61</v>
      </c>
      <c r="H1712" s="8"/>
      <c r="I1712" s="8"/>
      <c r="J1712" s="8" t="s">
        <v>11098</v>
      </c>
      <c r="K1712" s="8" t="s">
        <v>11099</v>
      </c>
      <c r="L1712" s="8"/>
      <c r="M1712" s="8"/>
      <c r="N1712" s="12"/>
      <c r="O1712" s="12"/>
      <c r="P1712" s="13">
        <f>IFERROR(__xludf.DUMMYFUNCTION("VALUE(SUBSTITUTE((INDEX(SPLIT(A1712,"",""),1)),""."","","",1))"),55.741972)</f>
        <v>55.741972</v>
      </c>
      <c r="Q1712" s="13">
        <f>IFERROR(__xludf.DUMMYFUNCTION("VALUE(SUBSTITUTE((INDEX(SPLIT(A1712,"",""),2)),""."","","",1))"),37.707619)</f>
        <v>37.707619</v>
      </c>
      <c r="R1712" s="14" t="b">
        <f t="shared" si="1"/>
        <v>0</v>
      </c>
      <c r="S1712" s="14" t="str">
        <f t="shared" si="2"/>
        <v>55.741972,37.707619</v>
      </c>
      <c r="T1712" s="12"/>
    </row>
    <row r="1713">
      <c r="A1713" s="20" t="s">
        <v>11100</v>
      </c>
      <c r="B1713" s="16" t="s">
        <v>11101</v>
      </c>
      <c r="C1713" s="16" t="s">
        <v>11102</v>
      </c>
      <c r="D1713" s="16" t="s">
        <v>16</v>
      </c>
      <c r="E1713" s="21" t="s">
        <v>11103</v>
      </c>
      <c r="F1713" s="22" t="s">
        <v>3760</v>
      </c>
      <c r="G1713" s="16">
        <v>23.61</v>
      </c>
      <c r="H1713" s="16"/>
      <c r="I1713" s="22"/>
      <c r="J1713" s="22" t="s">
        <v>11104</v>
      </c>
      <c r="K1713" s="22" t="s">
        <v>11105</v>
      </c>
      <c r="L1713" s="23" t="s">
        <v>11106</v>
      </c>
      <c r="M1713" s="22"/>
      <c r="N1713" s="12"/>
      <c r="O1713" s="12"/>
      <c r="P1713" s="13">
        <f>IFERROR(__xludf.DUMMYFUNCTION("VALUE(SUBSTITUTE((INDEX(SPLIT(A1713,"",""),1)),""."","","",1))"),55.555861)</f>
        <v>55.555861</v>
      </c>
      <c r="Q1713" s="13">
        <f>IFERROR(__xludf.DUMMYFUNCTION("VALUE(SUBSTITUTE((INDEX(SPLIT(A1713,"",""),2)),""."","","",1))"),37.708464)</f>
        <v>37.708464</v>
      </c>
      <c r="R1713" s="14" t="b">
        <f t="shared" si="1"/>
        <v>0</v>
      </c>
      <c r="S1713" s="14" t="str">
        <f t="shared" si="2"/>
        <v>55.555861,37.708464</v>
      </c>
      <c r="T1713" s="12"/>
    </row>
    <row r="1714">
      <c r="A1714" s="18" t="s">
        <v>11100</v>
      </c>
      <c r="B1714" s="8" t="s">
        <v>11107</v>
      </c>
      <c r="C1714" s="8" t="s">
        <v>11108</v>
      </c>
      <c r="D1714" s="8" t="s">
        <v>16</v>
      </c>
      <c r="E1714" s="19" t="s">
        <v>11109</v>
      </c>
      <c r="F1714" s="8" t="s">
        <v>3760</v>
      </c>
      <c r="G1714" s="8">
        <v>23.61</v>
      </c>
      <c r="H1714" s="8"/>
      <c r="I1714" s="8"/>
      <c r="J1714" s="8" t="s">
        <v>11110</v>
      </c>
      <c r="K1714" s="8" t="s">
        <v>11111</v>
      </c>
      <c r="L1714" s="8"/>
      <c r="M1714" s="8"/>
      <c r="N1714" s="12"/>
      <c r="O1714" s="12"/>
      <c r="P1714" s="13">
        <f>IFERROR(__xludf.DUMMYFUNCTION("VALUE(SUBSTITUTE((INDEX(SPLIT(A1714,"",""),1)),""."","","",1))"),55.555861)</f>
        <v>55.555861</v>
      </c>
      <c r="Q1714" s="13">
        <f>IFERROR(__xludf.DUMMYFUNCTION("VALUE(SUBSTITUTE((INDEX(SPLIT(A1714,"",""),2)),""."","","",1))"),37.708464)</f>
        <v>37.708464</v>
      </c>
      <c r="R1714" s="14" t="b">
        <f t="shared" si="1"/>
        <v>0</v>
      </c>
      <c r="S1714" s="14" t="str">
        <f t="shared" si="2"/>
        <v>55.555861,37.708464</v>
      </c>
      <c r="T1714" s="12"/>
    </row>
    <row r="1715">
      <c r="A1715" s="15" t="s">
        <v>11100</v>
      </c>
      <c r="B1715" s="16" t="s">
        <v>11112</v>
      </c>
      <c r="C1715" s="16" t="s">
        <v>11113</v>
      </c>
      <c r="D1715" s="16" t="s">
        <v>16</v>
      </c>
      <c r="E1715" s="17" t="s">
        <v>11114</v>
      </c>
      <c r="F1715" s="16" t="s">
        <v>3760</v>
      </c>
      <c r="G1715" s="16">
        <v>23.61</v>
      </c>
      <c r="H1715" s="16"/>
      <c r="I1715" s="16"/>
      <c r="J1715" s="16" t="s">
        <v>11115</v>
      </c>
      <c r="K1715" s="16" t="s">
        <v>11111</v>
      </c>
      <c r="L1715" s="16"/>
      <c r="M1715" s="16"/>
      <c r="N1715" s="12"/>
      <c r="O1715" s="12"/>
      <c r="P1715" s="13">
        <f>IFERROR(__xludf.DUMMYFUNCTION("VALUE(SUBSTITUTE((INDEX(SPLIT(A1715,"",""),1)),""."","","",1))"),55.555861)</f>
        <v>55.555861</v>
      </c>
      <c r="Q1715" s="13">
        <f>IFERROR(__xludf.DUMMYFUNCTION("VALUE(SUBSTITUTE((INDEX(SPLIT(A1715,"",""),2)),""."","","",1))"),37.708464)</f>
        <v>37.708464</v>
      </c>
      <c r="R1715" s="14" t="b">
        <f t="shared" si="1"/>
        <v>0</v>
      </c>
      <c r="S1715" s="14" t="str">
        <f t="shared" si="2"/>
        <v>55.555861,37.708464</v>
      </c>
      <c r="T1715" s="12"/>
    </row>
    <row r="1716">
      <c r="A1716" s="18" t="s">
        <v>11116</v>
      </c>
      <c r="B1716" s="8" t="s">
        <v>11117</v>
      </c>
      <c r="C1716" s="8" t="s">
        <v>11118</v>
      </c>
      <c r="D1716" s="8" t="s">
        <v>16</v>
      </c>
      <c r="E1716" s="19" t="s">
        <v>11119</v>
      </c>
      <c r="F1716" s="8" t="s">
        <v>3883</v>
      </c>
      <c r="G1716" s="8">
        <v>23.61</v>
      </c>
      <c r="H1716" s="8"/>
      <c r="I1716" s="8"/>
      <c r="J1716" s="8" t="s">
        <v>11120</v>
      </c>
      <c r="K1716" s="8" t="s">
        <v>11121</v>
      </c>
      <c r="L1716" s="8"/>
      <c r="M1716" s="24" t="s">
        <v>11122</v>
      </c>
      <c r="N1716" s="12"/>
      <c r="O1716" s="12"/>
      <c r="P1716" s="13">
        <f>IFERROR(__xludf.DUMMYFUNCTION("VALUE(SUBSTITUTE((INDEX(SPLIT(A1716,"",""),1)),""."","","",1))"),55.875107)</f>
        <v>55.875107</v>
      </c>
      <c r="Q1716" s="13">
        <f>IFERROR(__xludf.DUMMYFUNCTION("VALUE(SUBSTITUTE((INDEX(SPLIT(A1716,"",""),2)),""."","","",1))"),37.70912)</f>
        <v>37.70912</v>
      </c>
      <c r="R1716" s="14" t="b">
        <f t="shared" si="1"/>
        <v>0</v>
      </c>
      <c r="S1716" s="14" t="str">
        <f t="shared" si="2"/>
        <v>55.875107,37.70912</v>
      </c>
      <c r="T1716" s="12"/>
    </row>
    <row r="1717">
      <c r="A1717" s="20" t="s">
        <v>11123</v>
      </c>
      <c r="B1717" s="16" t="s">
        <v>11124</v>
      </c>
      <c r="C1717" s="16" t="s">
        <v>11125</v>
      </c>
      <c r="D1717" s="16" t="s">
        <v>16</v>
      </c>
      <c r="E1717" s="21" t="s">
        <v>11126</v>
      </c>
      <c r="F1717" s="22" t="s">
        <v>3883</v>
      </c>
      <c r="G1717" s="16">
        <v>23.61</v>
      </c>
      <c r="H1717" s="16"/>
      <c r="I1717" s="22"/>
      <c r="J1717" s="22" t="s">
        <v>11127</v>
      </c>
      <c r="K1717" s="22" t="s">
        <v>11128</v>
      </c>
      <c r="L1717" s="23" t="s">
        <v>11129</v>
      </c>
      <c r="M1717" s="22"/>
      <c r="N1717" s="12"/>
      <c r="O1717" s="12"/>
      <c r="P1717" s="13">
        <f>IFERROR(__xludf.DUMMYFUNCTION("VALUE(SUBSTITUTE((INDEX(SPLIT(A1717,"",""),1)),""."","","",1))"),55.611129)</f>
        <v>55.611129</v>
      </c>
      <c r="Q1717" s="13">
        <f>IFERROR(__xludf.DUMMYFUNCTION("VALUE(SUBSTITUTE((INDEX(SPLIT(A1717,"",""),2)),""."","","",1))"),37.709353)</f>
        <v>37.709353</v>
      </c>
      <c r="R1717" s="14" t="b">
        <f t="shared" si="1"/>
        <v>0</v>
      </c>
      <c r="S1717" s="14" t="str">
        <f t="shared" si="2"/>
        <v>55.611129,37.709353</v>
      </c>
      <c r="T1717" s="12"/>
    </row>
    <row r="1718">
      <c r="A1718" s="18" t="s">
        <v>11130</v>
      </c>
      <c r="B1718" s="8" t="s">
        <v>11131</v>
      </c>
      <c r="C1718" s="8" t="s">
        <v>11132</v>
      </c>
      <c r="D1718" s="8" t="s">
        <v>16</v>
      </c>
      <c r="E1718" s="19" t="s">
        <v>11133</v>
      </c>
      <c r="F1718" s="8" t="s">
        <v>3883</v>
      </c>
      <c r="G1718" s="8">
        <v>23.61</v>
      </c>
      <c r="H1718" s="8"/>
      <c r="I1718" s="8"/>
      <c r="J1718" s="8" t="s">
        <v>11134</v>
      </c>
      <c r="K1718" s="8" t="s">
        <v>11135</v>
      </c>
      <c r="L1718" s="8"/>
      <c r="M1718" s="8"/>
      <c r="N1718" s="12"/>
      <c r="O1718" s="12"/>
      <c r="P1718" s="13">
        <f>IFERROR(__xludf.DUMMYFUNCTION("VALUE(SUBSTITUTE((INDEX(SPLIT(A1718,"",""),1)),""."","","",1))"),55.720788)</f>
        <v>55.720788</v>
      </c>
      <c r="Q1718" s="13">
        <f>IFERROR(__xludf.DUMMYFUNCTION("VALUE(SUBSTITUTE((INDEX(SPLIT(A1718,"",""),2)),""."","","",1))"),37.709443)</f>
        <v>37.709443</v>
      </c>
      <c r="R1718" s="14" t="b">
        <f t="shared" si="1"/>
        <v>0</v>
      </c>
      <c r="S1718" s="14" t="str">
        <f t="shared" si="2"/>
        <v>55.720788,37.709443</v>
      </c>
      <c r="T1718" s="12"/>
    </row>
    <row r="1719">
      <c r="A1719" s="20" t="s">
        <v>11136</v>
      </c>
      <c r="B1719" s="16" t="s">
        <v>11137</v>
      </c>
      <c r="C1719" s="16" t="s">
        <v>11138</v>
      </c>
      <c r="D1719" s="16" t="s">
        <v>16</v>
      </c>
      <c r="E1719" s="21" t="s">
        <v>11139</v>
      </c>
      <c r="F1719" s="22" t="s">
        <v>3883</v>
      </c>
      <c r="G1719" s="16">
        <v>23.61</v>
      </c>
      <c r="H1719" s="16"/>
      <c r="I1719" s="22"/>
      <c r="J1719" s="22" t="s">
        <v>11140</v>
      </c>
      <c r="K1719" s="22" t="s">
        <v>11141</v>
      </c>
      <c r="L1719" s="23" t="s">
        <v>11142</v>
      </c>
      <c r="M1719" s="22"/>
      <c r="N1719" s="12"/>
      <c r="O1719" s="12"/>
      <c r="P1719" s="13">
        <f>IFERROR(__xludf.DUMMYFUNCTION("VALUE(SUBSTITUTE((INDEX(SPLIT(A1719,"",""),1)),""."","","",1))"),55.765757)</f>
        <v>55.765757</v>
      </c>
      <c r="Q1719" s="13">
        <f>IFERROR(__xludf.DUMMYFUNCTION("VALUE(SUBSTITUTE((INDEX(SPLIT(A1719,"",""),2)),""."","","",1))"),37.709892)</f>
        <v>37.709892</v>
      </c>
      <c r="R1719" s="14" t="b">
        <f t="shared" si="1"/>
        <v>0</v>
      </c>
      <c r="S1719" s="14" t="str">
        <f t="shared" si="2"/>
        <v>55.765757,37.709892</v>
      </c>
      <c r="T1719" s="12"/>
    </row>
    <row r="1720">
      <c r="A1720" s="7" t="s">
        <v>11143</v>
      </c>
      <c r="B1720" s="8" t="s">
        <v>11144</v>
      </c>
      <c r="C1720" s="8" t="s">
        <v>11145</v>
      </c>
      <c r="D1720" s="8" t="s">
        <v>16</v>
      </c>
      <c r="E1720" s="9" t="s">
        <v>11146</v>
      </c>
      <c r="F1720" s="10" t="s">
        <v>4881</v>
      </c>
      <c r="G1720" s="8">
        <v>23.61</v>
      </c>
      <c r="H1720" s="8"/>
      <c r="I1720" s="10"/>
      <c r="J1720" s="10" t="s">
        <v>11147</v>
      </c>
      <c r="K1720" s="10" t="s">
        <v>11148</v>
      </c>
      <c r="L1720" s="11" t="s">
        <v>11149</v>
      </c>
      <c r="M1720" s="10"/>
      <c r="N1720" s="12"/>
      <c r="O1720" s="12"/>
      <c r="P1720" s="13">
        <f>IFERROR(__xludf.DUMMYFUNCTION("VALUE(SUBSTITUTE((INDEX(SPLIT(A1720,"",""),1)),""."","","",1))"),55.791147)</f>
        <v>55.791147</v>
      </c>
      <c r="Q1720" s="13">
        <f>IFERROR(__xludf.DUMMYFUNCTION("VALUE(SUBSTITUTE((INDEX(SPLIT(A1720,"",""),2)),""."","","",1))"),37.71088)</f>
        <v>37.71088</v>
      </c>
      <c r="R1720" s="14" t="b">
        <f t="shared" si="1"/>
        <v>0</v>
      </c>
      <c r="S1720" s="14" t="str">
        <f t="shared" si="2"/>
        <v>55.791147,37.71088</v>
      </c>
      <c r="T1720" s="12"/>
    </row>
    <row r="1721">
      <c r="A1721" s="20" t="s">
        <v>11150</v>
      </c>
      <c r="B1721" s="16" t="s">
        <v>11151</v>
      </c>
      <c r="C1721" s="16" t="s">
        <v>11152</v>
      </c>
      <c r="D1721" s="16" t="s">
        <v>16</v>
      </c>
      <c r="E1721" s="21" t="s">
        <v>11153</v>
      </c>
      <c r="F1721" s="22" t="s">
        <v>3883</v>
      </c>
      <c r="G1721" s="16">
        <v>23.61</v>
      </c>
      <c r="H1721" s="16"/>
      <c r="I1721" s="28" t="s">
        <v>11154</v>
      </c>
      <c r="J1721" s="22" t="s">
        <v>11155</v>
      </c>
      <c r="K1721" s="22" t="s">
        <v>11156</v>
      </c>
      <c r="L1721" s="23" t="s">
        <v>11157</v>
      </c>
      <c r="M1721" s="22"/>
      <c r="N1721" s="12"/>
      <c r="O1721" s="12"/>
      <c r="P1721" s="13">
        <f>IFERROR(__xludf.DUMMYFUNCTION("VALUE(SUBSTITUTE((INDEX(SPLIT(A1721,"",""),1)),""."","","",1))"),55.703515)</f>
        <v>55.703515</v>
      </c>
      <c r="Q1721" s="13">
        <f>IFERROR(__xludf.DUMMYFUNCTION("VALUE(SUBSTITUTE((INDEX(SPLIT(A1721,"",""),2)),""."","","",1))"),37.712533)</f>
        <v>37.712533</v>
      </c>
      <c r="R1721" s="14" t="b">
        <f t="shared" si="1"/>
        <v>0</v>
      </c>
      <c r="S1721" s="14" t="str">
        <f t="shared" si="2"/>
        <v>55.703515,37.712533</v>
      </c>
      <c r="T1721" s="12"/>
    </row>
    <row r="1722">
      <c r="A1722" s="18" t="s">
        <v>11158</v>
      </c>
      <c r="B1722" s="8" t="s">
        <v>11159</v>
      </c>
      <c r="C1722" s="8" t="s">
        <v>11160</v>
      </c>
      <c r="D1722" s="8" t="s">
        <v>16</v>
      </c>
      <c r="E1722" s="19" t="s">
        <v>11161</v>
      </c>
      <c r="F1722" s="8" t="s">
        <v>3760</v>
      </c>
      <c r="G1722" s="8">
        <v>23.61</v>
      </c>
      <c r="H1722" s="8"/>
      <c r="I1722" s="8"/>
      <c r="J1722" s="8" t="s">
        <v>11162</v>
      </c>
      <c r="K1722" s="8" t="s">
        <v>11163</v>
      </c>
      <c r="L1722" s="8"/>
      <c r="M1722" s="8"/>
      <c r="N1722" s="12"/>
      <c r="O1722" s="12"/>
      <c r="P1722" s="13">
        <f>IFERROR(__xludf.DUMMYFUNCTION("VALUE(SUBSTITUTE((INDEX(SPLIT(A1722,"",""),1)),""."","","",1))"),55.542075)</f>
        <v>55.542075</v>
      </c>
      <c r="Q1722" s="13">
        <f>IFERROR(__xludf.DUMMYFUNCTION("VALUE(SUBSTITUTE((INDEX(SPLIT(A1722,"",""),2)),""."","","",1))"),37.713396)</f>
        <v>37.713396</v>
      </c>
      <c r="R1722" s="14" t="b">
        <f t="shared" si="1"/>
        <v>0</v>
      </c>
      <c r="S1722" s="14" t="str">
        <f t="shared" si="2"/>
        <v>55.542075,37.713396</v>
      </c>
      <c r="T1722" s="12"/>
    </row>
    <row r="1723">
      <c r="A1723" s="15" t="s">
        <v>11164</v>
      </c>
      <c r="B1723" s="16" t="s">
        <v>11165</v>
      </c>
      <c r="C1723" s="16" t="s">
        <v>11166</v>
      </c>
      <c r="D1723" s="16" t="s">
        <v>16</v>
      </c>
      <c r="E1723" s="17" t="s">
        <v>11167</v>
      </c>
      <c r="F1723" s="16" t="s">
        <v>3883</v>
      </c>
      <c r="G1723" s="16">
        <v>23.61</v>
      </c>
      <c r="H1723" s="16"/>
      <c r="I1723" s="16"/>
      <c r="J1723" s="16" t="s">
        <v>11168</v>
      </c>
      <c r="K1723" s="16" t="s">
        <v>11169</v>
      </c>
      <c r="L1723" s="16"/>
      <c r="M1723" s="16"/>
      <c r="N1723" s="12"/>
      <c r="O1723" s="12"/>
      <c r="P1723" s="13">
        <f>IFERROR(__xludf.DUMMYFUNCTION("VALUE(SUBSTITUTE((INDEX(SPLIT(A1723,"",""),1)),""."","","",1))"),55.812186)</f>
        <v>55.812186</v>
      </c>
      <c r="Q1723" s="13">
        <f>IFERROR(__xludf.DUMMYFUNCTION("VALUE(SUBSTITUTE((INDEX(SPLIT(A1723,"",""),2)),""."","","",1))"),37.717249)</f>
        <v>37.717249</v>
      </c>
      <c r="R1723" s="14" t="b">
        <f t="shared" si="1"/>
        <v>0</v>
      </c>
      <c r="S1723" s="14" t="str">
        <f t="shared" si="2"/>
        <v>55.812186,37.717249</v>
      </c>
      <c r="T1723" s="12"/>
    </row>
    <row r="1724">
      <c r="A1724" s="7" t="s">
        <v>11170</v>
      </c>
      <c r="B1724" s="8" t="s">
        <v>11171</v>
      </c>
      <c r="C1724" s="8" t="s">
        <v>11172</v>
      </c>
      <c r="D1724" s="8" t="s">
        <v>16</v>
      </c>
      <c r="E1724" s="9" t="s">
        <v>11173</v>
      </c>
      <c r="F1724" s="10" t="s">
        <v>3760</v>
      </c>
      <c r="G1724" s="8">
        <v>23.61</v>
      </c>
      <c r="H1724" s="8"/>
      <c r="I1724" s="10"/>
      <c r="J1724" s="10" t="s">
        <v>11174</v>
      </c>
      <c r="K1724" s="10" t="s">
        <v>11175</v>
      </c>
      <c r="L1724" s="11" t="s">
        <v>11176</v>
      </c>
      <c r="M1724" s="10"/>
      <c r="N1724" s="12"/>
      <c r="O1724" s="12"/>
      <c r="P1724" s="13">
        <f>IFERROR(__xludf.DUMMYFUNCTION("VALUE(SUBSTITUTE((INDEX(SPLIT(A1724,"",""),1)),""."","","",1))"),55.441673)</f>
        <v>55.441673</v>
      </c>
      <c r="Q1724" s="13">
        <f>IFERROR(__xludf.DUMMYFUNCTION("VALUE(SUBSTITUTE((INDEX(SPLIT(A1724,"",""),2)),""."","","",1))"),37.718471)</f>
        <v>37.718471</v>
      </c>
      <c r="R1724" s="14" t="b">
        <f t="shared" si="1"/>
        <v>0</v>
      </c>
      <c r="S1724" s="14" t="str">
        <f t="shared" si="2"/>
        <v>55.441673,37.718471</v>
      </c>
      <c r="T1724" s="12"/>
    </row>
    <row r="1725">
      <c r="A1725" s="15" t="s">
        <v>11177</v>
      </c>
      <c r="B1725" s="16" t="s">
        <v>11178</v>
      </c>
      <c r="C1725" s="16" t="s">
        <v>11179</v>
      </c>
      <c r="D1725" s="16" t="s">
        <v>16</v>
      </c>
      <c r="E1725" s="17" t="s">
        <v>11180</v>
      </c>
      <c r="F1725" s="16" t="s">
        <v>4881</v>
      </c>
      <c r="G1725" s="16">
        <v>23.61</v>
      </c>
      <c r="H1725" s="16"/>
      <c r="I1725" s="16"/>
      <c r="J1725" s="16" t="s">
        <v>11181</v>
      </c>
      <c r="K1725" s="16" t="s">
        <v>11182</v>
      </c>
      <c r="L1725" s="16"/>
      <c r="M1725" s="16"/>
      <c r="N1725" s="12"/>
      <c r="O1725" s="12"/>
      <c r="P1725" s="13">
        <f>IFERROR(__xludf.DUMMYFUNCTION("VALUE(SUBSTITUTE((INDEX(SPLIT(A1725,"",""),1)),""."","","",1))"),55.818943)</f>
        <v>55.818943</v>
      </c>
      <c r="Q1725" s="13">
        <f>IFERROR(__xludf.DUMMYFUNCTION("VALUE(SUBSTITUTE((INDEX(SPLIT(A1725,"",""),2)),""."","","",1))"),37.719235)</f>
        <v>37.719235</v>
      </c>
      <c r="R1725" s="14" t="b">
        <f t="shared" si="1"/>
        <v>0</v>
      </c>
      <c r="S1725" s="14" t="str">
        <f t="shared" si="2"/>
        <v>55.818943,37.719235</v>
      </c>
      <c r="T1725" s="12"/>
    </row>
    <row r="1726">
      <c r="A1726" s="7" t="s">
        <v>11183</v>
      </c>
      <c r="B1726" s="8" t="s">
        <v>11184</v>
      </c>
      <c r="C1726" s="8" t="s">
        <v>11185</v>
      </c>
      <c r="D1726" s="8" t="s">
        <v>16</v>
      </c>
      <c r="E1726" s="9" t="s">
        <v>11186</v>
      </c>
      <c r="F1726" s="10" t="s">
        <v>3760</v>
      </c>
      <c r="G1726" s="8">
        <v>23.61</v>
      </c>
      <c r="H1726" s="8"/>
      <c r="I1726" s="10"/>
      <c r="J1726" s="10" t="s">
        <v>11187</v>
      </c>
      <c r="K1726" s="10" t="s">
        <v>11188</v>
      </c>
      <c r="L1726" s="11" t="s">
        <v>11189</v>
      </c>
      <c r="M1726" s="10"/>
      <c r="N1726" s="12"/>
      <c r="O1726" s="12"/>
      <c r="P1726" s="13">
        <f>IFERROR(__xludf.DUMMYFUNCTION("VALUE(SUBSTITUTE((INDEX(SPLIT(A1726,"",""),1)),""."","","",1))"),55.925042)</f>
        <v>55.925042</v>
      </c>
      <c r="Q1726" s="13">
        <f>IFERROR(__xludf.DUMMYFUNCTION("VALUE(SUBSTITUTE((INDEX(SPLIT(A1726,"",""),2)),""."","","",1))"),37.720367)</f>
        <v>37.720367</v>
      </c>
      <c r="R1726" s="14" t="b">
        <f t="shared" si="1"/>
        <v>0</v>
      </c>
      <c r="S1726" s="14" t="str">
        <f t="shared" si="2"/>
        <v>55.925042,37.720367</v>
      </c>
      <c r="T1726" s="12"/>
    </row>
    <row r="1727">
      <c r="A1727" s="15" t="s">
        <v>11190</v>
      </c>
      <c r="B1727" s="16" t="s">
        <v>11191</v>
      </c>
      <c r="C1727" s="16" t="s">
        <v>11192</v>
      </c>
      <c r="D1727" s="16" t="s">
        <v>16</v>
      </c>
      <c r="E1727" s="17" t="s">
        <v>11193</v>
      </c>
      <c r="F1727" s="16" t="s">
        <v>3760</v>
      </c>
      <c r="G1727" s="16">
        <v>23.61</v>
      </c>
      <c r="H1727" s="16"/>
      <c r="I1727" s="16"/>
      <c r="J1727" s="16" t="s">
        <v>11194</v>
      </c>
      <c r="K1727" s="16" t="s">
        <v>11195</v>
      </c>
      <c r="L1727" s="16"/>
      <c r="M1727" s="16"/>
      <c r="N1727" s="12"/>
      <c r="O1727" s="12"/>
      <c r="P1727" s="13">
        <f>IFERROR(__xludf.DUMMYFUNCTION("VALUE(SUBSTITUTE((INDEX(SPLIT(A1727,"",""),1)),""."","","",1))"),55.924134)</f>
        <v>55.924134</v>
      </c>
      <c r="Q1727" s="13">
        <f>IFERROR(__xludf.DUMMYFUNCTION("VALUE(SUBSTITUTE((INDEX(SPLIT(A1727,"",""),2)),""."","","",1))"),37.722235)</f>
        <v>37.722235</v>
      </c>
      <c r="R1727" s="14" t="b">
        <f t="shared" si="1"/>
        <v>0</v>
      </c>
      <c r="S1727" s="14" t="str">
        <f t="shared" si="2"/>
        <v>55.924134,37.722235</v>
      </c>
      <c r="T1727" s="12"/>
    </row>
    <row r="1728">
      <c r="A1728" s="18" t="s">
        <v>11196</v>
      </c>
      <c r="B1728" s="8" t="s">
        <v>11197</v>
      </c>
      <c r="C1728" s="8" t="s">
        <v>11198</v>
      </c>
      <c r="D1728" s="8" t="s">
        <v>16</v>
      </c>
      <c r="E1728" s="19" t="s">
        <v>11199</v>
      </c>
      <c r="F1728" s="8" t="s">
        <v>3883</v>
      </c>
      <c r="G1728" s="8">
        <v>23.61</v>
      </c>
      <c r="H1728" s="8"/>
      <c r="I1728" s="8"/>
      <c r="J1728" s="8" t="s">
        <v>11200</v>
      </c>
      <c r="K1728" s="8" t="s">
        <v>11201</v>
      </c>
      <c r="L1728" s="8"/>
      <c r="M1728" s="8"/>
      <c r="N1728" s="12"/>
      <c r="O1728" s="12"/>
      <c r="P1728" s="13">
        <f>IFERROR(__xludf.DUMMYFUNCTION("VALUE(SUBSTITUTE((INDEX(SPLIT(A1728,"",""),1)),""."","","",1))"),55.787163)</f>
        <v>55.787163</v>
      </c>
      <c r="Q1728" s="13">
        <f>IFERROR(__xludf.DUMMYFUNCTION("VALUE(SUBSTITUTE((INDEX(SPLIT(A1728,"",""),2)),""."","","",1))"),37.722981)</f>
        <v>37.722981</v>
      </c>
      <c r="R1728" s="14" t="b">
        <f t="shared" si="1"/>
        <v>0</v>
      </c>
      <c r="S1728" s="14" t="str">
        <f t="shared" si="2"/>
        <v>55.787163,37.722981</v>
      </c>
      <c r="T1728" s="12"/>
    </row>
    <row r="1729">
      <c r="A1729" s="15" t="s">
        <v>11202</v>
      </c>
      <c r="B1729" s="16" t="s">
        <v>11203</v>
      </c>
      <c r="C1729" s="16" t="s">
        <v>90</v>
      </c>
      <c r="D1729" s="16" t="s">
        <v>16</v>
      </c>
      <c r="E1729" s="17" t="s">
        <v>11204</v>
      </c>
      <c r="F1729" s="16" t="s">
        <v>4881</v>
      </c>
      <c r="G1729" s="16">
        <v>23.61</v>
      </c>
      <c r="H1729" s="16"/>
      <c r="I1729" s="16"/>
      <c r="J1729" s="16" t="s">
        <v>11205</v>
      </c>
      <c r="K1729" s="16" t="s">
        <v>11206</v>
      </c>
      <c r="L1729" s="16"/>
      <c r="M1729" s="25" t="s">
        <v>11207</v>
      </c>
      <c r="N1729" s="12"/>
      <c r="O1729" s="12"/>
      <c r="P1729" s="13">
        <f>IFERROR(__xludf.DUMMYFUNCTION("VALUE(SUBSTITUTE((INDEX(SPLIT(A1729,"",""),1)),""."","","",1))"),55.624444)</f>
        <v>55.624444</v>
      </c>
      <c r="Q1729" s="13">
        <f>IFERROR(__xludf.DUMMYFUNCTION("VALUE(SUBSTITUTE((INDEX(SPLIT(A1729,"",""),2)),""."","","",1))"),37.72396)</f>
        <v>37.72396</v>
      </c>
      <c r="R1729" s="14" t="b">
        <f t="shared" si="1"/>
        <v>0</v>
      </c>
      <c r="S1729" s="14" t="str">
        <f t="shared" si="2"/>
        <v>55.624444,37.72396</v>
      </c>
      <c r="T1729" s="12"/>
    </row>
    <row r="1730">
      <c r="A1730" s="18" t="s">
        <v>11208</v>
      </c>
      <c r="B1730" s="8" t="s">
        <v>11209</v>
      </c>
      <c r="C1730" s="8" t="s">
        <v>11210</v>
      </c>
      <c r="D1730" s="8" t="s">
        <v>16</v>
      </c>
      <c r="E1730" s="19" t="s">
        <v>11211</v>
      </c>
      <c r="F1730" s="8" t="s">
        <v>3760</v>
      </c>
      <c r="G1730" s="8">
        <v>23.61</v>
      </c>
      <c r="H1730" s="8"/>
      <c r="I1730" s="8"/>
      <c r="J1730" s="8" t="s">
        <v>11212</v>
      </c>
      <c r="K1730" s="8" t="s">
        <v>11213</v>
      </c>
      <c r="L1730" s="8"/>
      <c r="M1730" s="24" t="s">
        <v>11214</v>
      </c>
      <c r="N1730" s="12"/>
      <c r="O1730" s="12"/>
      <c r="P1730" s="13">
        <f>IFERROR(__xludf.DUMMYFUNCTION("VALUE(SUBSTITUTE((INDEX(SPLIT(A1730,"",""),1)),""."","","",1))"),55.910417)</f>
        <v>55.910417</v>
      </c>
      <c r="Q1730" s="13">
        <f>IFERROR(__xludf.DUMMYFUNCTION("VALUE(SUBSTITUTE((INDEX(SPLIT(A1730,"",""),2)),""."","","",1))"),37.725101)</f>
        <v>37.725101</v>
      </c>
      <c r="R1730" s="14" t="b">
        <f t="shared" si="1"/>
        <v>0</v>
      </c>
      <c r="S1730" s="14" t="str">
        <f t="shared" si="2"/>
        <v>55.910417,37.725101</v>
      </c>
      <c r="T1730" s="12"/>
    </row>
    <row r="1731">
      <c r="A1731" s="20" t="s">
        <v>11215</v>
      </c>
      <c r="B1731" s="16" t="s">
        <v>743</v>
      </c>
      <c r="C1731" s="16" t="s">
        <v>744</v>
      </c>
      <c r="D1731" s="16" t="s">
        <v>16</v>
      </c>
      <c r="E1731" s="21" t="s">
        <v>11216</v>
      </c>
      <c r="F1731" s="22" t="s">
        <v>4881</v>
      </c>
      <c r="G1731" s="16">
        <v>23.61</v>
      </c>
      <c r="H1731" s="16"/>
      <c r="I1731" s="22"/>
      <c r="J1731" s="22" t="s">
        <v>11217</v>
      </c>
      <c r="K1731" s="22" t="s">
        <v>11218</v>
      </c>
      <c r="L1731" s="23" t="s">
        <v>11219</v>
      </c>
      <c r="M1731" s="22"/>
      <c r="N1731" s="12"/>
      <c r="O1731" s="12"/>
      <c r="P1731" s="13">
        <f>IFERROR(__xludf.DUMMYFUNCTION("VALUE(SUBSTITUTE((INDEX(SPLIT(A1731,"",""),1)),""."","","",1))"),55.704616)</f>
        <v>55.704616</v>
      </c>
      <c r="Q1731" s="13">
        <f>IFERROR(__xludf.DUMMYFUNCTION("VALUE(SUBSTITUTE((INDEX(SPLIT(A1731,"",""),2)),""."","","",1))"),37.726394)</f>
        <v>37.726394</v>
      </c>
      <c r="R1731" s="14" t="b">
        <f t="shared" si="1"/>
        <v>0</v>
      </c>
      <c r="S1731" s="14" t="str">
        <f t="shared" si="2"/>
        <v>55.704616,37.726394</v>
      </c>
      <c r="T1731" s="12"/>
    </row>
    <row r="1732">
      <c r="A1732" s="18" t="s">
        <v>11220</v>
      </c>
      <c r="B1732" s="8" t="s">
        <v>11221</v>
      </c>
      <c r="C1732" s="8" t="s">
        <v>11222</v>
      </c>
      <c r="D1732" s="8" t="s">
        <v>16</v>
      </c>
      <c r="E1732" s="19" t="s">
        <v>11223</v>
      </c>
      <c r="F1732" s="8" t="s">
        <v>3883</v>
      </c>
      <c r="G1732" s="8">
        <v>23.61</v>
      </c>
      <c r="H1732" s="8"/>
      <c r="I1732" s="8"/>
      <c r="J1732" s="8" t="s">
        <v>11224</v>
      </c>
      <c r="K1732" s="8" t="s">
        <v>11225</v>
      </c>
      <c r="L1732" s="8"/>
      <c r="M1732" s="8"/>
      <c r="N1732" s="12"/>
      <c r="O1732" s="12"/>
      <c r="P1732" s="13">
        <f>IFERROR(__xludf.DUMMYFUNCTION("VALUE(SUBSTITUTE((INDEX(SPLIT(A1732,"",""),1)),""."","","",1))"),55.741394)</f>
        <v>55.741394</v>
      </c>
      <c r="Q1732" s="13">
        <f>IFERROR(__xludf.DUMMYFUNCTION("VALUE(SUBSTITUTE((INDEX(SPLIT(A1732,"",""),2)),""."","","",1))"),37.729017)</f>
        <v>37.729017</v>
      </c>
      <c r="R1732" s="14" t="b">
        <f t="shared" si="1"/>
        <v>0</v>
      </c>
      <c r="S1732" s="14" t="str">
        <f t="shared" si="2"/>
        <v>55.741394,37.729017</v>
      </c>
      <c r="T1732" s="12"/>
    </row>
    <row r="1733">
      <c r="A1733" s="15" t="s">
        <v>11226</v>
      </c>
      <c r="B1733" s="16" t="s">
        <v>11227</v>
      </c>
      <c r="C1733" s="16" t="s">
        <v>11228</v>
      </c>
      <c r="D1733" s="16" t="s">
        <v>16</v>
      </c>
      <c r="E1733" s="17" t="s">
        <v>11229</v>
      </c>
      <c r="F1733" s="16" t="s">
        <v>4881</v>
      </c>
      <c r="G1733" s="16">
        <v>23.61</v>
      </c>
      <c r="H1733" s="16"/>
      <c r="I1733" s="16"/>
      <c r="J1733" s="16" t="s">
        <v>11230</v>
      </c>
      <c r="K1733" s="16" t="s">
        <v>11231</v>
      </c>
      <c r="L1733" s="16"/>
      <c r="M1733" s="16"/>
      <c r="N1733" s="12"/>
      <c r="O1733" s="12"/>
      <c r="P1733" s="13">
        <f>IFERROR(__xludf.DUMMYFUNCTION("VALUE(SUBSTITUTE((INDEX(SPLIT(A1733,"",""),1)),""."","","",1))"),55.788328)</f>
        <v>55.788328</v>
      </c>
      <c r="Q1733" s="13">
        <f>IFERROR(__xludf.DUMMYFUNCTION("VALUE(SUBSTITUTE((INDEX(SPLIT(A1733,"",""),2)),""."","","",1))"),37.729637)</f>
        <v>37.729637</v>
      </c>
      <c r="R1733" s="14" t="b">
        <f t="shared" si="1"/>
        <v>0</v>
      </c>
      <c r="S1733" s="14" t="str">
        <f t="shared" si="2"/>
        <v>55.788328,37.729637</v>
      </c>
      <c r="T1733" s="12"/>
    </row>
    <row r="1734">
      <c r="A1734" s="18" t="s">
        <v>11232</v>
      </c>
      <c r="B1734" s="8" t="s">
        <v>11233</v>
      </c>
      <c r="C1734" s="8" t="s">
        <v>11234</v>
      </c>
      <c r="D1734" s="8" t="s">
        <v>16</v>
      </c>
      <c r="E1734" s="19" t="s">
        <v>11235</v>
      </c>
      <c r="F1734" s="8" t="s">
        <v>3883</v>
      </c>
      <c r="G1734" s="8">
        <v>23.61</v>
      </c>
      <c r="H1734" s="8"/>
      <c r="I1734" s="8"/>
      <c r="J1734" s="8" t="s">
        <v>11236</v>
      </c>
      <c r="K1734" s="8" t="s">
        <v>11237</v>
      </c>
      <c r="L1734" s="8"/>
      <c r="M1734" s="8"/>
      <c r="N1734" s="12"/>
      <c r="O1734" s="12"/>
      <c r="P1734" s="13">
        <f>IFERROR(__xludf.DUMMYFUNCTION("VALUE(SUBSTITUTE((INDEX(SPLIT(A1734,"",""),1)),""."","","",1))"),55.736757)</f>
        <v>55.736757</v>
      </c>
      <c r="Q1734" s="13">
        <f>IFERROR(__xludf.DUMMYFUNCTION("VALUE(SUBSTITUTE((INDEX(SPLIT(A1734,"",""),2)),""."","","",1))"),37.72979)</f>
        <v>37.72979</v>
      </c>
      <c r="R1734" s="14" t="b">
        <f t="shared" si="1"/>
        <v>0</v>
      </c>
      <c r="S1734" s="14" t="str">
        <f t="shared" si="2"/>
        <v>55.736757,37.72979</v>
      </c>
      <c r="T1734" s="12"/>
    </row>
    <row r="1735">
      <c r="A1735" s="15" t="s">
        <v>11238</v>
      </c>
      <c r="B1735" s="16" t="s">
        <v>11239</v>
      </c>
      <c r="C1735" s="16" t="s">
        <v>11240</v>
      </c>
      <c r="D1735" s="16" t="s">
        <v>16</v>
      </c>
      <c r="E1735" s="17" t="s">
        <v>11241</v>
      </c>
      <c r="F1735" s="16" t="s">
        <v>8566</v>
      </c>
      <c r="G1735" s="16">
        <v>23.61</v>
      </c>
      <c r="H1735" s="16"/>
      <c r="I1735" s="32" t="s">
        <v>11242</v>
      </c>
      <c r="J1735" s="16" t="s">
        <v>11243</v>
      </c>
      <c r="K1735" s="16" t="s">
        <v>11244</v>
      </c>
      <c r="L1735" s="16"/>
      <c r="M1735" s="16"/>
      <c r="N1735" s="12"/>
      <c r="O1735" s="12"/>
      <c r="P1735" s="13">
        <f>IFERROR(__xludf.DUMMYFUNCTION("VALUE(SUBSTITUTE((INDEX(SPLIT(A1735,"",""),1)),""."","","",1))"),44.753012)</f>
        <v>44.753012</v>
      </c>
      <c r="Q1735" s="13">
        <f>IFERROR(__xludf.DUMMYFUNCTION("VALUE(SUBSTITUTE((INDEX(SPLIT(A1735,"",""),2)),""."","","",1))"),37.732512)</f>
        <v>37.732512</v>
      </c>
      <c r="R1735" s="14" t="b">
        <f t="shared" si="1"/>
        <v>0</v>
      </c>
      <c r="S1735" s="14" t="str">
        <f t="shared" si="2"/>
        <v>44.753012,37.732512</v>
      </c>
      <c r="T1735" s="12"/>
    </row>
    <row r="1736">
      <c r="A1736" s="18" t="s">
        <v>11245</v>
      </c>
      <c r="B1736" s="8" t="s">
        <v>11246</v>
      </c>
      <c r="C1736" s="8" t="s">
        <v>11247</v>
      </c>
      <c r="D1736" s="8" t="s">
        <v>16</v>
      </c>
      <c r="E1736" s="19" t="s">
        <v>11248</v>
      </c>
      <c r="F1736" s="8" t="s">
        <v>3760</v>
      </c>
      <c r="G1736" s="8">
        <v>23.61</v>
      </c>
      <c r="H1736" s="8"/>
      <c r="I1736" s="8"/>
      <c r="J1736" s="8" t="s">
        <v>11249</v>
      </c>
      <c r="K1736" s="8" t="s">
        <v>11250</v>
      </c>
      <c r="L1736" s="8"/>
      <c r="M1736" s="8"/>
      <c r="N1736" s="12"/>
      <c r="O1736" s="12"/>
      <c r="P1736" s="13">
        <f>IFERROR(__xludf.DUMMYFUNCTION("VALUE(SUBSTITUTE((INDEX(SPLIT(A1736,"",""),1)),""."","","",1))"),56.283899)</f>
        <v>56.283899</v>
      </c>
      <c r="Q1736" s="13">
        <f>IFERROR(__xludf.DUMMYFUNCTION("VALUE(SUBSTITUTE((INDEX(SPLIT(A1736,"",""),2)),""."","","",1))"),37.733725)</f>
        <v>37.733725</v>
      </c>
      <c r="R1736" s="14" t="b">
        <f t="shared" si="1"/>
        <v>0</v>
      </c>
      <c r="S1736" s="14" t="str">
        <f t="shared" si="2"/>
        <v>56.283899,37.733725</v>
      </c>
      <c r="T1736" s="12"/>
    </row>
    <row r="1737">
      <c r="A1737" s="15" t="s">
        <v>11251</v>
      </c>
      <c r="B1737" s="16" t="s">
        <v>11252</v>
      </c>
      <c r="C1737" s="16" t="s">
        <v>11253</v>
      </c>
      <c r="D1737" s="16" t="s">
        <v>16</v>
      </c>
      <c r="E1737" s="17" t="s">
        <v>11254</v>
      </c>
      <c r="F1737" s="16" t="s">
        <v>3883</v>
      </c>
      <c r="G1737" s="16">
        <v>23.61</v>
      </c>
      <c r="H1737" s="16"/>
      <c r="I1737" s="16"/>
      <c r="J1737" s="16" t="s">
        <v>11255</v>
      </c>
      <c r="K1737" s="16" t="s">
        <v>11256</v>
      </c>
      <c r="L1737" s="16"/>
      <c r="M1737" s="16"/>
      <c r="N1737" s="12"/>
      <c r="O1737" s="12"/>
      <c r="P1737" s="13">
        <f>IFERROR(__xludf.DUMMYFUNCTION("VALUE(SUBSTITUTE((INDEX(SPLIT(A1737,"",""),1)),""."","","",1))"),55.754132)</f>
        <v>55.754132</v>
      </c>
      <c r="Q1737" s="13">
        <f>IFERROR(__xludf.DUMMYFUNCTION("VALUE(SUBSTITUTE((INDEX(SPLIT(A1737,"",""),2)),""."","","",1))"),37.735063)</f>
        <v>37.735063</v>
      </c>
      <c r="R1737" s="14" t="b">
        <f t="shared" si="1"/>
        <v>0</v>
      </c>
      <c r="S1737" s="14" t="str">
        <f t="shared" si="2"/>
        <v>55.754132,37.735063</v>
      </c>
      <c r="T1737" s="12"/>
    </row>
    <row r="1738">
      <c r="A1738" s="18" t="s">
        <v>11257</v>
      </c>
      <c r="B1738" s="8" t="s">
        <v>11258</v>
      </c>
      <c r="C1738" s="8" t="s">
        <v>11259</v>
      </c>
      <c r="D1738" s="8" t="s">
        <v>16</v>
      </c>
      <c r="E1738" s="19" t="s">
        <v>11260</v>
      </c>
      <c r="F1738" s="8" t="s">
        <v>3883</v>
      </c>
      <c r="G1738" s="8">
        <v>23.61</v>
      </c>
      <c r="H1738" s="8"/>
      <c r="I1738" s="8"/>
      <c r="J1738" s="8" t="s">
        <v>11261</v>
      </c>
      <c r="K1738" s="8" t="s">
        <v>11262</v>
      </c>
      <c r="L1738" s="8"/>
      <c r="M1738" s="8"/>
      <c r="N1738" s="12"/>
      <c r="O1738" s="12"/>
      <c r="P1738" s="13">
        <f>IFERROR(__xludf.DUMMYFUNCTION("VALUE(SUBSTITUTE((INDEX(SPLIT(A1738,"",""),1)),""."","","",1))"),55.75709)</f>
        <v>55.75709</v>
      </c>
      <c r="Q1738" s="13">
        <f>IFERROR(__xludf.DUMMYFUNCTION("VALUE(SUBSTITUTE((INDEX(SPLIT(A1738,"",""),2)),""."","","",1))"),37.735395)</f>
        <v>37.735395</v>
      </c>
      <c r="R1738" s="14" t="b">
        <f t="shared" si="1"/>
        <v>0</v>
      </c>
      <c r="S1738" s="14" t="str">
        <f t="shared" si="2"/>
        <v>55.75709,37.735395</v>
      </c>
      <c r="T1738" s="12"/>
    </row>
    <row r="1739">
      <c r="A1739" s="15" t="s">
        <v>11257</v>
      </c>
      <c r="B1739" s="16" t="s">
        <v>11263</v>
      </c>
      <c r="C1739" s="16" t="s">
        <v>11264</v>
      </c>
      <c r="D1739" s="16" t="s">
        <v>16</v>
      </c>
      <c r="E1739" s="17" t="s">
        <v>11265</v>
      </c>
      <c r="F1739" s="16" t="s">
        <v>3883</v>
      </c>
      <c r="G1739" s="16">
        <v>23.61</v>
      </c>
      <c r="H1739" s="16"/>
      <c r="I1739" s="16"/>
      <c r="J1739" s="16" t="s">
        <v>11266</v>
      </c>
      <c r="K1739" s="16" t="s">
        <v>11262</v>
      </c>
      <c r="L1739" s="16"/>
      <c r="M1739" s="16"/>
      <c r="N1739" s="12"/>
      <c r="O1739" s="12"/>
      <c r="P1739" s="13">
        <f>IFERROR(__xludf.DUMMYFUNCTION("VALUE(SUBSTITUTE((INDEX(SPLIT(A1739,"",""),1)),""."","","",1))"),55.75709)</f>
        <v>55.75709</v>
      </c>
      <c r="Q1739" s="13">
        <f>IFERROR(__xludf.DUMMYFUNCTION("VALUE(SUBSTITUTE((INDEX(SPLIT(A1739,"",""),2)),""."","","",1))"),37.735395)</f>
        <v>37.735395</v>
      </c>
      <c r="R1739" s="14" t="b">
        <f t="shared" si="1"/>
        <v>0</v>
      </c>
      <c r="S1739" s="14" t="str">
        <f t="shared" si="2"/>
        <v>55.75709,37.735395</v>
      </c>
      <c r="T1739" s="12"/>
    </row>
    <row r="1740">
      <c r="A1740" s="18" t="s">
        <v>11267</v>
      </c>
      <c r="B1740" s="8" t="s">
        <v>11268</v>
      </c>
      <c r="C1740" s="8" t="s">
        <v>11269</v>
      </c>
      <c r="D1740" s="8" t="s">
        <v>16</v>
      </c>
      <c r="E1740" s="19" t="s">
        <v>11270</v>
      </c>
      <c r="F1740" s="8" t="s">
        <v>3883</v>
      </c>
      <c r="G1740" s="8">
        <v>23.61</v>
      </c>
      <c r="H1740" s="8"/>
      <c r="I1740" s="8"/>
      <c r="J1740" s="8" t="s">
        <v>11271</v>
      </c>
      <c r="K1740" s="8" t="s">
        <v>11272</v>
      </c>
      <c r="L1740" s="8"/>
      <c r="M1740" s="24" t="s">
        <v>11273</v>
      </c>
      <c r="N1740" s="12"/>
      <c r="O1740" s="12"/>
      <c r="P1740" s="13">
        <f>IFERROR(__xludf.DUMMYFUNCTION("VALUE(SUBSTITUTE((INDEX(SPLIT(A1740,"",""),1)),""."","","",1))"),55.75903)</f>
        <v>55.75903</v>
      </c>
      <c r="Q1740" s="13">
        <f>IFERROR(__xludf.DUMMYFUNCTION("VALUE(SUBSTITUTE((INDEX(SPLIT(A1740,"",""),2)),""."","","",1))"),37.737021)</f>
        <v>37.737021</v>
      </c>
      <c r="R1740" s="14" t="b">
        <f t="shared" si="1"/>
        <v>0</v>
      </c>
      <c r="S1740" s="14" t="str">
        <f t="shared" si="2"/>
        <v>55.75903,37.737021</v>
      </c>
      <c r="T1740" s="12"/>
    </row>
    <row r="1741">
      <c r="A1741" s="20" t="s">
        <v>11274</v>
      </c>
      <c r="B1741" s="16" t="s">
        <v>11275</v>
      </c>
      <c r="C1741" s="16" t="s">
        <v>11276</v>
      </c>
      <c r="D1741" s="16" t="s">
        <v>16</v>
      </c>
      <c r="E1741" s="21" t="s">
        <v>11277</v>
      </c>
      <c r="F1741" s="22" t="s">
        <v>3760</v>
      </c>
      <c r="G1741" s="16">
        <v>23.61</v>
      </c>
      <c r="H1741" s="16"/>
      <c r="I1741" s="22"/>
      <c r="J1741" s="22" t="s">
        <v>11278</v>
      </c>
      <c r="K1741" s="22" t="s">
        <v>11279</v>
      </c>
      <c r="L1741" s="23" t="s">
        <v>11280</v>
      </c>
      <c r="M1741" s="22"/>
      <c r="N1741" s="12"/>
      <c r="O1741" s="12"/>
      <c r="P1741" s="13">
        <f>IFERROR(__xludf.DUMMYFUNCTION("VALUE(SUBSTITUTE((INDEX(SPLIT(A1741,"",""),1)),""."","","",1))"),55.440457)</f>
        <v>55.440457</v>
      </c>
      <c r="Q1741" s="13">
        <f>IFERROR(__xludf.DUMMYFUNCTION("VALUE(SUBSTITUTE((INDEX(SPLIT(A1741,"",""),2)),""."","","",1))"),37.738504)</f>
        <v>37.738504</v>
      </c>
      <c r="R1741" s="14" t="b">
        <f t="shared" si="1"/>
        <v>0</v>
      </c>
      <c r="S1741" s="14" t="str">
        <f t="shared" si="2"/>
        <v>55.440457,37.738504</v>
      </c>
      <c r="T1741" s="12"/>
    </row>
    <row r="1742">
      <c r="A1742" s="7" t="s">
        <v>11281</v>
      </c>
      <c r="B1742" s="8" t="s">
        <v>11282</v>
      </c>
      <c r="C1742" s="8" t="s">
        <v>11283</v>
      </c>
      <c r="D1742" s="8" t="s">
        <v>16</v>
      </c>
      <c r="E1742" s="9" t="s">
        <v>11284</v>
      </c>
      <c r="F1742" s="10" t="s">
        <v>3760</v>
      </c>
      <c r="G1742" s="8">
        <v>23.61</v>
      </c>
      <c r="H1742" s="8"/>
      <c r="I1742" s="10"/>
      <c r="J1742" s="10" t="s">
        <v>11285</v>
      </c>
      <c r="K1742" s="10" t="s">
        <v>11286</v>
      </c>
      <c r="L1742" s="11" t="s">
        <v>11287</v>
      </c>
      <c r="M1742" s="10"/>
      <c r="N1742" s="12"/>
      <c r="O1742" s="12"/>
      <c r="P1742" s="13">
        <f>IFERROR(__xludf.DUMMYFUNCTION("VALUE(SUBSTITUTE((INDEX(SPLIT(A1742,"",""),1)),""."","","",1))"),55.89716)</f>
        <v>55.89716</v>
      </c>
      <c r="Q1742" s="13">
        <f>IFERROR(__xludf.DUMMYFUNCTION("VALUE(SUBSTITUTE((INDEX(SPLIT(A1742,"",""),2)),""."","","",1))"),37.738854)</f>
        <v>37.738854</v>
      </c>
      <c r="R1742" s="14" t="b">
        <f t="shared" si="1"/>
        <v>0</v>
      </c>
      <c r="S1742" s="14" t="str">
        <f t="shared" si="2"/>
        <v>55.89716,37.738854</v>
      </c>
      <c r="T1742" s="12"/>
    </row>
    <row r="1743">
      <c r="A1743" s="15" t="s">
        <v>11288</v>
      </c>
      <c r="B1743" s="16" t="s">
        <v>11289</v>
      </c>
      <c r="C1743" s="16" t="s">
        <v>11290</v>
      </c>
      <c r="D1743" s="16" t="s">
        <v>16</v>
      </c>
      <c r="E1743" s="17" t="s">
        <v>11291</v>
      </c>
      <c r="F1743" s="16" t="s">
        <v>3760</v>
      </c>
      <c r="G1743" s="16">
        <v>23.61</v>
      </c>
      <c r="H1743" s="16"/>
      <c r="I1743" s="16"/>
      <c r="J1743" s="16" t="s">
        <v>11292</v>
      </c>
      <c r="K1743" s="16" t="s">
        <v>11293</v>
      </c>
      <c r="L1743" s="16"/>
      <c r="M1743" s="16"/>
      <c r="N1743" s="12"/>
      <c r="O1743" s="12"/>
      <c r="P1743" s="13">
        <f>IFERROR(__xludf.DUMMYFUNCTION("VALUE(SUBSTITUTE((INDEX(SPLIT(A1743,"",""),1)),""."","","",1))"),55.971365)</f>
        <v>55.971365</v>
      </c>
      <c r="Q1743" s="13">
        <f>IFERROR(__xludf.DUMMYFUNCTION("VALUE(SUBSTITUTE((INDEX(SPLIT(A1743,"",""),2)),""."","","",1))"),37.739303)</f>
        <v>37.739303</v>
      </c>
      <c r="R1743" s="14" t="b">
        <f t="shared" si="1"/>
        <v>0</v>
      </c>
      <c r="S1743" s="14" t="str">
        <f t="shared" si="2"/>
        <v>55.971365,37.739303</v>
      </c>
      <c r="T1743" s="12"/>
    </row>
    <row r="1744">
      <c r="A1744" s="18" t="s">
        <v>11294</v>
      </c>
      <c r="B1744" s="8" t="s">
        <v>11295</v>
      </c>
      <c r="C1744" s="8" t="s">
        <v>11296</v>
      </c>
      <c r="D1744" s="8" t="s">
        <v>16</v>
      </c>
      <c r="E1744" s="19" t="s">
        <v>11297</v>
      </c>
      <c r="F1744" s="8" t="s">
        <v>4881</v>
      </c>
      <c r="G1744" s="8">
        <v>23.61</v>
      </c>
      <c r="H1744" s="8"/>
      <c r="I1744" s="8"/>
      <c r="J1744" s="8" t="s">
        <v>11298</v>
      </c>
      <c r="K1744" s="8" t="s">
        <v>11299</v>
      </c>
      <c r="L1744" s="8"/>
      <c r="M1744" s="8"/>
      <c r="N1744" s="12"/>
      <c r="O1744" s="12"/>
      <c r="P1744" s="13">
        <f>IFERROR(__xludf.DUMMYFUNCTION("VALUE(SUBSTITUTE((INDEX(SPLIT(A1744,"",""),1)),""."","","",1))"),55.799603)</f>
        <v>55.799603</v>
      </c>
      <c r="Q1744" s="13">
        <f>IFERROR(__xludf.DUMMYFUNCTION("VALUE(SUBSTITUTE((INDEX(SPLIT(A1744,"",""),2)),""."","","",1))"),37.740965)</f>
        <v>37.740965</v>
      </c>
      <c r="R1744" s="14" t="b">
        <f t="shared" si="1"/>
        <v>0</v>
      </c>
      <c r="S1744" s="14" t="str">
        <f t="shared" si="2"/>
        <v>55.799603,37.740965</v>
      </c>
      <c r="T1744" s="12"/>
    </row>
    <row r="1745">
      <c r="A1745" s="15" t="s">
        <v>11300</v>
      </c>
      <c r="B1745" s="16" t="s">
        <v>11301</v>
      </c>
      <c r="C1745" s="16" t="s">
        <v>11302</v>
      </c>
      <c r="D1745" s="16" t="s">
        <v>16</v>
      </c>
      <c r="E1745" s="17" t="s">
        <v>11303</v>
      </c>
      <c r="F1745" s="16" t="s">
        <v>3883</v>
      </c>
      <c r="G1745" s="16">
        <v>23.61</v>
      </c>
      <c r="H1745" s="16"/>
      <c r="I1745" s="16"/>
      <c r="J1745" s="16" t="s">
        <v>11304</v>
      </c>
      <c r="K1745" s="16" t="s">
        <v>11305</v>
      </c>
      <c r="L1745" s="16"/>
      <c r="M1745" s="25" t="s">
        <v>11306</v>
      </c>
      <c r="N1745" s="12"/>
      <c r="O1745" s="12"/>
      <c r="P1745" s="13">
        <f>IFERROR(__xludf.DUMMYFUNCTION("VALUE(SUBSTITUTE((INDEX(SPLIT(A1745,"",""),1)),""."","","",1))"),55.665802)</f>
        <v>55.665802</v>
      </c>
      <c r="Q1745" s="13">
        <f>IFERROR(__xludf.DUMMYFUNCTION("VALUE(SUBSTITUTE((INDEX(SPLIT(A1745,"",""),2)),""."","","",1))"),37.741549)</f>
        <v>37.741549</v>
      </c>
      <c r="R1745" s="14" t="b">
        <f t="shared" si="1"/>
        <v>0</v>
      </c>
      <c r="S1745" s="14" t="str">
        <f t="shared" si="2"/>
        <v>55.665802,37.741549</v>
      </c>
      <c r="T1745" s="12"/>
    </row>
    <row r="1746">
      <c r="A1746" s="18" t="s">
        <v>11307</v>
      </c>
      <c r="B1746" s="8" t="s">
        <v>11308</v>
      </c>
      <c r="C1746" s="8" t="s">
        <v>11309</v>
      </c>
      <c r="D1746" s="8" t="s">
        <v>16</v>
      </c>
      <c r="E1746" s="19" t="s">
        <v>11310</v>
      </c>
      <c r="F1746" s="8" t="s">
        <v>3883</v>
      </c>
      <c r="G1746" s="8">
        <v>23.61</v>
      </c>
      <c r="H1746" s="8"/>
      <c r="I1746" s="8"/>
      <c r="J1746" s="8" t="s">
        <v>11311</v>
      </c>
      <c r="K1746" s="8" t="s">
        <v>11312</v>
      </c>
      <c r="L1746" s="8"/>
      <c r="M1746" s="8"/>
      <c r="N1746" s="12"/>
      <c r="O1746" s="12"/>
      <c r="P1746" s="13">
        <f>IFERROR(__xludf.DUMMYFUNCTION("VALUE(SUBSTITUTE((INDEX(SPLIT(A1746,"",""),1)),""."","","",1))"),55.745924)</f>
        <v>55.745924</v>
      </c>
      <c r="Q1746" s="13">
        <f>IFERROR(__xludf.DUMMYFUNCTION("VALUE(SUBSTITUTE((INDEX(SPLIT(A1746,"",""),2)),""."","","",1))"),37.742798)</f>
        <v>37.742798</v>
      </c>
      <c r="R1746" s="14" t="b">
        <f t="shared" si="1"/>
        <v>0</v>
      </c>
      <c r="S1746" s="14" t="str">
        <f t="shared" si="2"/>
        <v>55.745924,37.742798</v>
      </c>
      <c r="T1746" s="12"/>
    </row>
    <row r="1747">
      <c r="A1747" s="20" t="s">
        <v>11313</v>
      </c>
      <c r="B1747" s="16" t="s">
        <v>11314</v>
      </c>
      <c r="C1747" s="16" t="s">
        <v>11315</v>
      </c>
      <c r="D1747" s="16" t="s">
        <v>16</v>
      </c>
      <c r="E1747" s="21" t="s">
        <v>11316</v>
      </c>
      <c r="F1747" s="22" t="s">
        <v>8566</v>
      </c>
      <c r="G1747" s="16">
        <v>23.61</v>
      </c>
      <c r="H1747" s="16"/>
      <c r="I1747" s="28" t="s">
        <v>11317</v>
      </c>
      <c r="J1747" s="22" t="s">
        <v>11318</v>
      </c>
      <c r="K1747" s="22" t="s">
        <v>11319</v>
      </c>
      <c r="L1747" s="23" t="s">
        <v>11320</v>
      </c>
      <c r="M1747" s="22"/>
      <c r="N1747" s="12"/>
      <c r="O1747" s="12"/>
      <c r="P1747" s="13">
        <f>IFERROR(__xludf.DUMMYFUNCTION("VALUE(SUBSTITUTE((INDEX(SPLIT(A1747,"",""),1)),""."","","",1))"),44.668161)</f>
        <v>44.668161</v>
      </c>
      <c r="Q1747" s="13">
        <f>IFERROR(__xludf.DUMMYFUNCTION("VALUE(SUBSTITUTE((INDEX(SPLIT(A1747,"",""),2)),""."","","",1))"),37.746418)</f>
        <v>37.746418</v>
      </c>
      <c r="R1747" s="14" t="b">
        <f t="shared" si="1"/>
        <v>0</v>
      </c>
      <c r="S1747" s="14" t="str">
        <f t="shared" si="2"/>
        <v>44.668161,37.746418</v>
      </c>
      <c r="T1747" s="12"/>
    </row>
    <row r="1748">
      <c r="A1748" s="7" t="s">
        <v>11321</v>
      </c>
      <c r="B1748" s="8" t="s">
        <v>11322</v>
      </c>
      <c r="C1748" s="8" t="s">
        <v>11323</v>
      </c>
      <c r="D1748" s="8" t="s">
        <v>16</v>
      </c>
      <c r="E1748" s="9" t="s">
        <v>11324</v>
      </c>
      <c r="F1748" s="10" t="s">
        <v>3760</v>
      </c>
      <c r="G1748" s="8">
        <v>23.61</v>
      </c>
      <c r="H1748" s="8"/>
      <c r="I1748" s="10"/>
      <c r="J1748" s="10" t="s">
        <v>11325</v>
      </c>
      <c r="K1748" s="10" t="s">
        <v>11326</v>
      </c>
      <c r="L1748" s="11" t="s">
        <v>11327</v>
      </c>
      <c r="M1748" s="10"/>
      <c r="N1748" s="12"/>
      <c r="O1748" s="12"/>
      <c r="P1748" s="13">
        <f>IFERROR(__xludf.DUMMYFUNCTION("VALUE(SUBSTITUTE((INDEX(SPLIT(A1748,"",""),1)),""."","","",1))"),55.457373)</f>
        <v>55.457373</v>
      </c>
      <c r="Q1748" s="13">
        <f>IFERROR(__xludf.DUMMYFUNCTION("VALUE(SUBSTITUTE((INDEX(SPLIT(A1748,"",""),2)),""."","","",1))"),37.746777)</f>
        <v>37.746777</v>
      </c>
      <c r="R1748" s="14" t="b">
        <f t="shared" si="1"/>
        <v>0</v>
      </c>
      <c r="S1748" s="14" t="str">
        <f t="shared" si="2"/>
        <v>55.457373,37.746777</v>
      </c>
      <c r="T1748" s="12"/>
    </row>
    <row r="1749">
      <c r="A1749" s="20" t="s">
        <v>11328</v>
      </c>
      <c r="B1749" s="16" t="s">
        <v>11329</v>
      </c>
      <c r="C1749" s="16" t="s">
        <v>11330</v>
      </c>
      <c r="D1749" s="16" t="s">
        <v>16</v>
      </c>
      <c r="E1749" s="21" t="s">
        <v>11331</v>
      </c>
      <c r="F1749" s="22" t="s">
        <v>3883</v>
      </c>
      <c r="G1749" s="16">
        <v>23.61</v>
      </c>
      <c r="H1749" s="16"/>
      <c r="I1749" s="22"/>
      <c r="J1749" s="22" t="s">
        <v>11332</v>
      </c>
      <c r="K1749" s="22" t="s">
        <v>11333</v>
      </c>
      <c r="L1749" s="23" t="s">
        <v>11334</v>
      </c>
      <c r="M1749" s="23" t="s">
        <v>11335</v>
      </c>
      <c r="N1749" s="12"/>
      <c r="O1749" s="12"/>
      <c r="P1749" s="13">
        <f>IFERROR(__xludf.DUMMYFUNCTION("VALUE(SUBSTITUTE((INDEX(SPLIT(A1749,"",""),1)),""."","","",1))"),55.749983)</f>
        <v>55.749983</v>
      </c>
      <c r="Q1749" s="13">
        <f>IFERROR(__xludf.DUMMYFUNCTION("VALUE(SUBSTITUTE((INDEX(SPLIT(A1749,"",""),2)),""."","","",1))"),37.748834)</f>
        <v>37.748834</v>
      </c>
      <c r="R1749" s="14" t="b">
        <f t="shared" si="1"/>
        <v>0</v>
      </c>
      <c r="S1749" s="14" t="str">
        <f t="shared" si="2"/>
        <v>55.749983,37.748834</v>
      </c>
      <c r="T1749" s="12"/>
    </row>
    <row r="1750">
      <c r="A1750" s="7" t="s">
        <v>11336</v>
      </c>
      <c r="B1750" s="8" t="s">
        <v>957</v>
      </c>
      <c r="C1750" s="8" t="s">
        <v>958</v>
      </c>
      <c r="D1750" s="8" t="s">
        <v>16</v>
      </c>
      <c r="E1750" s="9" t="s">
        <v>11337</v>
      </c>
      <c r="F1750" s="10" t="s">
        <v>3883</v>
      </c>
      <c r="G1750" s="8">
        <v>23.61</v>
      </c>
      <c r="H1750" s="8"/>
      <c r="I1750" s="10"/>
      <c r="J1750" s="10" t="s">
        <v>11338</v>
      </c>
      <c r="K1750" s="10" t="s">
        <v>11339</v>
      </c>
      <c r="L1750" s="11" t="s">
        <v>11340</v>
      </c>
      <c r="M1750" s="10"/>
      <c r="N1750" s="12"/>
      <c r="O1750" s="12"/>
      <c r="P1750" s="13">
        <f>IFERROR(__xludf.DUMMYFUNCTION("VALUE(SUBSTITUTE((INDEX(SPLIT(A1750,"",""),1)),""."","","",1))"),55.811346)</f>
        <v>55.811346</v>
      </c>
      <c r="Q1750" s="13">
        <f>IFERROR(__xludf.DUMMYFUNCTION("VALUE(SUBSTITUTE((INDEX(SPLIT(A1750,"",""),2)),""."","","",1))"),37.750927)</f>
        <v>37.750927</v>
      </c>
      <c r="R1750" s="14" t="b">
        <f t="shared" si="1"/>
        <v>0</v>
      </c>
      <c r="S1750" s="14" t="str">
        <f t="shared" si="2"/>
        <v>55.811346,37.750927</v>
      </c>
      <c r="T1750" s="12"/>
    </row>
    <row r="1751">
      <c r="A1751" s="15" t="s">
        <v>11341</v>
      </c>
      <c r="B1751" s="16" t="s">
        <v>11342</v>
      </c>
      <c r="C1751" s="16" t="s">
        <v>11343</v>
      </c>
      <c r="D1751" s="16" t="s">
        <v>16</v>
      </c>
      <c r="E1751" s="17" t="s">
        <v>11344</v>
      </c>
      <c r="F1751" s="16" t="s">
        <v>4881</v>
      </c>
      <c r="G1751" s="16">
        <v>23.61</v>
      </c>
      <c r="H1751" s="16"/>
      <c r="I1751" s="16"/>
      <c r="J1751" s="16" t="s">
        <v>11345</v>
      </c>
      <c r="K1751" s="16" t="s">
        <v>11346</v>
      </c>
      <c r="L1751" s="16"/>
      <c r="M1751" s="16"/>
      <c r="N1751" s="12"/>
      <c r="O1751" s="12"/>
      <c r="P1751" s="13">
        <f>IFERROR(__xludf.DUMMYFUNCTION("VALUE(SUBSTITUTE((INDEX(SPLIT(A1751,"",""),1)),""."","","",1))"),55.736133)</f>
        <v>55.736133</v>
      </c>
      <c r="Q1751" s="13">
        <f>IFERROR(__xludf.DUMMYFUNCTION("VALUE(SUBSTITUTE((INDEX(SPLIT(A1751,"",""),2)),""."","","",1))"),37.75143)</f>
        <v>37.75143</v>
      </c>
      <c r="R1751" s="14" t="b">
        <f t="shared" si="1"/>
        <v>0</v>
      </c>
      <c r="S1751" s="14" t="str">
        <f t="shared" si="2"/>
        <v>55.736133,37.75143</v>
      </c>
      <c r="T1751" s="12"/>
    </row>
    <row r="1752">
      <c r="A1752" s="18" t="s">
        <v>11347</v>
      </c>
      <c r="B1752" s="8" t="s">
        <v>11348</v>
      </c>
      <c r="C1752" s="8" t="s">
        <v>11349</v>
      </c>
      <c r="D1752" s="8" t="s">
        <v>16</v>
      </c>
      <c r="E1752" s="19" t="s">
        <v>11350</v>
      </c>
      <c r="F1752" s="8" t="s">
        <v>8566</v>
      </c>
      <c r="G1752" s="8">
        <v>23.61</v>
      </c>
      <c r="H1752" s="8"/>
      <c r="I1752" s="8"/>
      <c r="J1752" s="8" t="s">
        <v>11351</v>
      </c>
      <c r="K1752" s="8" t="s">
        <v>11352</v>
      </c>
      <c r="L1752" s="8"/>
      <c r="M1752" s="24" t="s">
        <v>11353</v>
      </c>
      <c r="N1752" s="12"/>
      <c r="O1752" s="12"/>
      <c r="P1752" s="13">
        <f>IFERROR(__xludf.DUMMYFUNCTION("VALUE(SUBSTITUTE((INDEX(SPLIT(A1752,"",""),1)),""."","","",1))"),44.715515)</f>
        <v>44.715515</v>
      </c>
      <c r="Q1752" s="13">
        <f>IFERROR(__xludf.DUMMYFUNCTION("VALUE(SUBSTITUTE((INDEX(SPLIT(A1752,"",""),2)),""."","","",1))"),37.751826)</f>
        <v>37.751826</v>
      </c>
      <c r="R1752" s="14" t="b">
        <f t="shared" si="1"/>
        <v>0</v>
      </c>
      <c r="S1752" s="14" t="str">
        <f t="shared" si="2"/>
        <v>44.715515,37.751826</v>
      </c>
      <c r="T1752" s="12"/>
    </row>
    <row r="1753">
      <c r="A1753" s="20" t="s">
        <v>11354</v>
      </c>
      <c r="B1753" s="16" t="s">
        <v>11355</v>
      </c>
      <c r="C1753" s="16" t="s">
        <v>11356</v>
      </c>
      <c r="D1753" s="16" t="s">
        <v>16</v>
      </c>
      <c r="E1753" s="21" t="s">
        <v>11357</v>
      </c>
      <c r="F1753" s="22" t="s">
        <v>3883</v>
      </c>
      <c r="G1753" s="16">
        <v>23.61</v>
      </c>
      <c r="H1753" s="16"/>
      <c r="I1753" s="22"/>
      <c r="J1753" s="22" t="s">
        <v>11358</v>
      </c>
      <c r="K1753" s="22" t="s">
        <v>11359</v>
      </c>
      <c r="L1753" s="23" t="s">
        <v>11360</v>
      </c>
      <c r="M1753" s="23" t="s">
        <v>11361</v>
      </c>
      <c r="N1753" s="12"/>
      <c r="O1753" s="12"/>
      <c r="P1753" s="13">
        <f>IFERROR(__xludf.DUMMYFUNCTION("VALUE(SUBSTITUTE((INDEX(SPLIT(A1753,"",""),1)),""."","","",1))"),55.664736)</f>
        <v>55.664736</v>
      </c>
      <c r="Q1753" s="13">
        <f>IFERROR(__xludf.DUMMYFUNCTION("VALUE(SUBSTITUTE((INDEX(SPLIT(A1753,"",""),2)),""."","","",1))"),37.752481)</f>
        <v>37.752481</v>
      </c>
      <c r="R1753" s="14" t="b">
        <f t="shared" si="1"/>
        <v>0</v>
      </c>
      <c r="S1753" s="14" t="str">
        <f t="shared" si="2"/>
        <v>55.664736,37.752481</v>
      </c>
      <c r="T1753" s="12"/>
    </row>
    <row r="1754">
      <c r="A1754" s="7" t="s">
        <v>11362</v>
      </c>
      <c r="B1754" s="8" t="s">
        <v>11363</v>
      </c>
      <c r="C1754" s="8" t="s">
        <v>11364</v>
      </c>
      <c r="D1754" s="8" t="s">
        <v>16</v>
      </c>
      <c r="E1754" s="9" t="s">
        <v>11365</v>
      </c>
      <c r="F1754" s="10" t="s">
        <v>8566</v>
      </c>
      <c r="G1754" s="8">
        <v>23.61</v>
      </c>
      <c r="H1754" s="8"/>
      <c r="I1754" s="10"/>
      <c r="J1754" s="10" t="s">
        <v>11366</v>
      </c>
      <c r="K1754" s="10" t="s">
        <v>11367</v>
      </c>
      <c r="L1754" s="11" t="s">
        <v>11368</v>
      </c>
      <c r="M1754" s="10"/>
      <c r="N1754" s="12"/>
      <c r="O1754" s="12"/>
      <c r="P1754" s="13">
        <f>IFERROR(__xludf.DUMMYFUNCTION("VALUE(SUBSTITUTE((INDEX(SPLIT(A1754,"",""),1)),""."","","",1))"),44.718621)</f>
        <v>44.718621</v>
      </c>
      <c r="Q1754" s="13">
        <f>IFERROR(__xludf.DUMMYFUNCTION("VALUE(SUBSTITUTE((INDEX(SPLIT(A1754,"",""),2)),""."","","",1))"),37.752975)</f>
        <v>37.752975</v>
      </c>
      <c r="R1754" s="14" t="b">
        <f t="shared" si="1"/>
        <v>0</v>
      </c>
      <c r="S1754" s="14" t="str">
        <f t="shared" si="2"/>
        <v>44.718621,37.752975</v>
      </c>
      <c r="T1754" s="12"/>
    </row>
    <row r="1755">
      <c r="A1755" s="20" t="s">
        <v>11369</v>
      </c>
      <c r="B1755" s="16" t="s">
        <v>11370</v>
      </c>
      <c r="C1755" s="16" t="s">
        <v>11371</v>
      </c>
      <c r="D1755" s="16" t="s">
        <v>16</v>
      </c>
      <c r="E1755" s="21" t="s">
        <v>11372</v>
      </c>
      <c r="F1755" s="22" t="s">
        <v>3883</v>
      </c>
      <c r="G1755" s="16">
        <v>23.61</v>
      </c>
      <c r="H1755" s="16"/>
      <c r="I1755" s="22"/>
      <c r="J1755" s="22" t="s">
        <v>11373</v>
      </c>
      <c r="K1755" s="22" t="s">
        <v>11374</v>
      </c>
      <c r="L1755" s="23" t="s">
        <v>11375</v>
      </c>
      <c r="M1755" s="22"/>
      <c r="N1755" s="12"/>
      <c r="O1755" s="12"/>
      <c r="P1755" s="13">
        <f>IFERROR(__xludf.DUMMYFUNCTION("VALUE(SUBSTITUTE((INDEX(SPLIT(A1755,"",""),1)),""."","","",1))"),55.638567)</f>
        <v>55.638567</v>
      </c>
      <c r="Q1755" s="13">
        <f>IFERROR(__xludf.DUMMYFUNCTION("VALUE(SUBSTITUTE((INDEX(SPLIT(A1755,"",""),2)),""."","","",1))"),37.75329)</f>
        <v>37.75329</v>
      </c>
      <c r="R1755" s="14" t="b">
        <f t="shared" si="1"/>
        <v>0</v>
      </c>
      <c r="S1755" s="14" t="str">
        <f t="shared" si="2"/>
        <v>55.638567,37.75329</v>
      </c>
      <c r="T1755" s="12"/>
    </row>
    <row r="1756">
      <c r="A1756" s="7" t="s">
        <v>11376</v>
      </c>
      <c r="B1756" s="8" t="s">
        <v>11377</v>
      </c>
      <c r="C1756" s="8" t="s">
        <v>11378</v>
      </c>
      <c r="D1756" s="8" t="s">
        <v>16</v>
      </c>
      <c r="E1756" s="9" t="s">
        <v>11379</v>
      </c>
      <c r="F1756" s="10" t="s">
        <v>3883</v>
      </c>
      <c r="G1756" s="8">
        <v>23.61</v>
      </c>
      <c r="H1756" s="8"/>
      <c r="I1756" s="10"/>
      <c r="J1756" s="10" t="s">
        <v>11380</v>
      </c>
      <c r="K1756" s="10" t="s">
        <v>11381</v>
      </c>
      <c r="L1756" s="11" t="s">
        <v>11382</v>
      </c>
      <c r="M1756" s="10"/>
      <c r="N1756" s="12"/>
      <c r="O1756" s="12"/>
      <c r="P1756" s="13">
        <f>IFERROR(__xludf.DUMMYFUNCTION("VALUE(SUBSTITUTE((INDEX(SPLIT(A1756,"",""),1)),""."","","",1))"),55.726036)</f>
        <v>55.726036</v>
      </c>
      <c r="Q1756" s="13">
        <f>IFERROR(__xludf.DUMMYFUNCTION("VALUE(SUBSTITUTE((INDEX(SPLIT(A1756,"",""),2)),""."","","",1))"),37.75603)</f>
        <v>37.75603</v>
      </c>
      <c r="R1756" s="14" t="b">
        <f t="shared" si="1"/>
        <v>0</v>
      </c>
      <c r="S1756" s="14" t="str">
        <f t="shared" si="2"/>
        <v>55.726036,37.75603</v>
      </c>
      <c r="T1756" s="12"/>
    </row>
    <row r="1757">
      <c r="A1757" s="15" t="s">
        <v>11383</v>
      </c>
      <c r="B1757" s="16" t="s">
        <v>11384</v>
      </c>
      <c r="C1757" s="16" t="s">
        <v>11385</v>
      </c>
      <c r="D1757" s="16" t="s">
        <v>16</v>
      </c>
      <c r="E1757" s="17" t="s">
        <v>11386</v>
      </c>
      <c r="F1757" s="16" t="s">
        <v>3883</v>
      </c>
      <c r="G1757" s="16">
        <v>23.61</v>
      </c>
      <c r="H1757" s="16"/>
      <c r="I1757" s="16"/>
      <c r="J1757" s="16" t="s">
        <v>11387</v>
      </c>
      <c r="K1757" s="16" t="s">
        <v>11388</v>
      </c>
      <c r="L1757" s="16"/>
      <c r="M1757" s="16"/>
      <c r="N1757" s="12"/>
      <c r="O1757" s="12"/>
      <c r="P1757" s="13">
        <f>IFERROR(__xludf.DUMMYFUNCTION("VALUE(SUBSTITUTE((INDEX(SPLIT(A1757,"",""),1)),""."","","",1))"),55.754583)</f>
        <v>55.754583</v>
      </c>
      <c r="Q1757" s="13">
        <f>IFERROR(__xludf.DUMMYFUNCTION("VALUE(SUBSTITUTE((INDEX(SPLIT(A1757,"",""),2)),""."","","",1))"),37.756685)</f>
        <v>37.756685</v>
      </c>
      <c r="R1757" s="14" t="b">
        <f t="shared" si="1"/>
        <v>0</v>
      </c>
      <c r="S1757" s="14" t="str">
        <f t="shared" si="2"/>
        <v>55.754583,37.756685</v>
      </c>
      <c r="T1757" s="12"/>
    </row>
    <row r="1758">
      <c r="A1758" s="18" t="s">
        <v>11389</v>
      </c>
      <c r="B1758" s="8" t="s">
        <v>11390</v>
      </c>
      <c r="C1758" s="8" t="s">
        <v>11391</v>
      </c>
      <c r="D1758" s="8" t="s">
        <v>16</v>
      </c>
      <c r="E1758" s="19" t="s">
        <v>11392</v>
      </c>
      <c r="F1758" s="8" t="s">
        <v>3883</v>
      </c>
      <c r="G1758" s="8">
        <v>23.61</v>
      </c>
      <c r="H1758" s="8"/>
      <c r="I1758" s="8"/>
      <c r="J1758" s="8" t="s">
        <v>11393</v>
      </c>
      <c r="K1758" s="8" t="s">
        <v>11394</v>
      </c>
      <c r="L1758" s="8"/>
      <c r="M1758" s="8"/>
      <c r="N1758" s="12"/>
      <c r="O1758" s="12"/>
      <c r="P1758" s="13">
        <f>IFERROR(__xludf.DUMMYFUNCTION("VALUE(SUBSTITUTE((INDEX(SPLIT(A1758,"",""),1)),""."","","",1))"),55.755348)</f>
        <v>55.755348</v>
      </c>
      <c r="Q1758" s="13">
        <f>IFERROR(__xludf.DUMMYFUNCTION("VALUE(SUBSTITUTE((INDEX(SPLIT(A1758,"",""),2)),""."","","",1))"),37.759533)</f>
        <v>37.759533</v>
      </c>
      <c r="R1758" s="14" t="b">
        <f t="shared" si="1"/>
        <v>0</v>
      </c>
      <c r="S1758" s="14" t="str">
        <f t="shared" si="2"/>
        <v>55.755348,37.759533</v>
      </c>
      <c r="T1758" s="12"/>
    </row>
    <row r="1759">
      <c r="A1759" s="15" t="s">
        <v>11395</v>
      </c>
      <c r="B1759" s="16" t="s">
        <v>11396</v>
      </c>
      <c r="C1759" s="16" t="s">
        <v>11397</v>
      </c>
      <c r="D1759" s="16" t="s">
        <v>16</v>
      </c>
      <c r="E1759" s="17" t="s">
        <v>11398</v>
      </c>
      <c r="F1759" s="16" t="s">
        <v>3760</v>
      </c>
      <c r="G1759" s="16">
        <v>23.61</v>
      </c>
      <c r="H1759" s="16"/>
      <c r="I1759" s="16"/>
      <c r="J1759" s="16" t="s">
        <v>11399</v>
      </c>
      <c r="K1759" s="16" t="s">
        <v>11400</v>
      </c>
      <c r="L1759" s="16"/>
      <c r="M1759" s="25" t="s">
        <v>11401</v>
      </c>
      <c r="N1759" s="12"/>
      <c r="O1759" s="12"/>
      <c r="P1759" s="13">
        <f>IFERROR(__xludf.DUMMYFUNCTION("VALUE(SUBSTITUTE((INDEX(SPLIT(A1759,"",""),1)),""."","","",1))"),55.424807)</f>
        <v>55.424807</v>
      </c>
      <c r="Q1759" s="13">
        <f>IFERROR(__xludf.DUMMYFUNCTION("VALUE(SUBSTITUTE((INDEX(SPLIT(A1759,"",""),2)),""."","","",1))"),37.760126)</f>
        <v>37.760126</v>
      </c>
      <c r="R1759" s="14" t="b">
        <f t="shared" si="1"/>
        <v>0</v>
      </c>
      <c r="S1759" s="14" t="str">
        <f t="shared" si="2"/>
        <v>55.424807,37.760126</v>
      </c>
      <c r="T1759" s="12"/>
    </row>
    <row r="1760">
      <c r="A1760" s="7" t="s">
        <v>11402</v>
      </c>
      <c r="B1760" s="8" t="s">
        <v>11403</v>
      </c>
      <c r="C1760" s="8" t="s">
        <v>11404</v>
      </c>
      <c r="D1760" s="8" t="s">
        <v>16</v>
      </c>
      <c r="E1760" s="9" t="s">
        <v>11405</v>
      </c>
      <c r="F1760" s="10" t="s">
        <v>3760</v>
      </c>
      <c r="G1760" s="8">
        <v>23.61</v>
      </c>
      <c r="H1760" s="8"/>
      <c r="I1760" s="10"/>
      <c r="J1760" s="10" t="s">
        <v>11406</v>
      </c>
      <c r="K1760" s="10" t="s">
        <v>11407</v>
      </c>
      <c r="L1760" s="11" t="s">
        <v>11408</v>
      </c>
      <c r="M1760" s="10"/>
      <c r="N1760" s="12"/>
      <c r="O1760" s="12"/>
      <c r="P1760" s="13">
        <f>IFERROR(__xludf.DUMMYFUNCTION("VALUE(SUBSTITUTE((INDEX(SPLIT(A1760,"",""),1)),""."","","",1))"),55.539813)</f>
        <v>55.539813</v>
      </c>
      <c r="Q1760" s="13">
        <f>IFERROR(__xludf.DUMMYFUNCTION("VALUE(SUBSTITUTE((INDEX(SPLIT(A1760,"",""),2)),""."","","",1))"),37.760252)</f>
        <v>37.760252</v>
      </c>
      <c r="R1760" s="14" t="b">
        <f t="shared" si="1"/>
        <v>0</v>
      </c>
      <c r="S1760" s="14" t="str">
        <f t="shared" si="2"/>
        <v>55.539813,37.760252</v>
      </c>
      <c r="T1760" s="12"/>
    </row>
    <row r="1761">
      <c r="A1761" s="15" t="s">
        <v>11409</v>
      </c>
      <c r="B1761" s="16" t="s">
        <v>1780</v>
      </c>
      <c r="C1761" s="16" t="s">
        <v>1781</v>
      </c>
      <c r="D1761" s="16" t="s">
        <v>16</v>
      </c>
      <c r="E1761" s="17" t="s">
        <v>11410</v>
      </c>
      <c r="F1761" s="16" t="s">
        <v>3760</v>
      </c>
      <c r="G1761" s="16">
        <v>23.61</v>
      </c>
      <c r="H1761" s="16"/>
      <c r="I1761" s="16"/>
      <c r="J1761" s="16" t="s">
        <v>11411</v>
      </c>
      <c r="K1761" s="16" t="s">
        <v>11412</v>
      </c>
      <c r="L1761" s="16"/>
      <c r="M1761" s="16"/>
      <c r="N1761" s="12"/>
      <c r="O1761" s="12"/>
      <c r="P1761" s="13">
        <f>IFERROR(__xludf.DUMMYFUNCTION("VALUE(SUBSTITUTE((INDEX(SPLIT(A1761,"",""),1)),""."","","",1))"),55.590043)</f>
        <v>55.590043</v>
      </c>
      <c r="Q1761" s="13">
        <f>IFERROR(__xludf.DUMMYFUNCTION("VALUE(SUBSTITUTE((INDEX(SPLIT(A1761,"",""),2)),""."","","",1))"),37.762695)</f>
        <v>37.762695</v>
      </c>
      <c r="R1761" s="14" t="b">
        <f t="shared" si="1"/>
        <v>0</v>
      </c>
      <c r="S1761" s="14" t="str">
        <f t="shared" si="2"/>
        <v>55.590043,37.762695</v>
      </c>
      <c r="T1761" s="12"/>
    </row>
    <row r="1762">
      <c r="A1762" s="7" t="s">
        <v>11413</v>
      </c>
      <c r="B1762" s="8" t="s">
        <v>11414</v>
      </c>
      <c r="C1762" s="8" t="s">
        <v>11415</v>
      </c>
      <c r="D1762" s="8" t="s">
        <v>16</v>
      </c>
      <c r="E1762" s="9" t="s">
        <v>11416</v>
      </c>
      <c r="F1762" s="10" t="s">
        <v>3883</v>
      </c>
      <c r="G1762" s="8">
        <v>23.61</v>
      </c>
      <c r="H1762" s="8"/>
      <c r="I1762" s="10"/>
      <c r="J1762" s="10" t="s">
        <v>11417</v>
      </c>
      <c r="K1762" s="10" t="s">
        <v>11418</v>
      </c>
      <c r="L1762" s="11" t="s">
        <v>11419</v>
      </c>
      <c r="M1762" s="10"/>
      <c r="N1762" s="12"/>
      <c r="O1762" s="12"/>
      <c r="P1762" s="13">
        <f>IFERROR(__xludf.DUMMYFUNCTION("VALUE(SUBSTITUTE((INDEX(SPLIT(A1762,"",""),1)),""."","","",1))"),55.75667)</f>
        <v>55.75667</v>
      </c>
      <c r="Q1762" s="13">
        <f>IFERROR(__xludf.DUMMYFUNCTION("VALUE(SUBSTITUTE((INDEX(SPLIT(A1762,"",""),2)),""."","","",1))"),37.763656)</f>
        <v>37.763656</v>
      </c>
      <c r="R1762" s="14" t="b">
        <f t="shared" si="1"/>
        <v>0</v>
      </c>
      <c r="S1762" s="14" t="str">
        <f t="shared" si="2"/>
        <v>55.75667,37.763656</v>
      </c>
      <c r="T1762" s="12"/>
    </row>
    <row r="1763">
      <c r="A1763" s="15" t="s">
        <v>11420</v>
      </c>
      <c r="B1763" s="16" t="s">
        <v>11421</v>
      </c>
      <c r="C1763" s="16" t="s">
        <v>11422</v>
      </c>
      <c r="D1763" s="16" t="s">
        <v>16</v>
      </c>
      <c r="E1763" s="17" t="s">
        <v>11423</v>
      </c>
      <c r="F1763" s="16" t="s">
        <v>4881</v>
      </c>
      <c r="G1763" s="16">
        <v>23.61</v>
      </c>
      <c r="H1763" s="16"/>
      <c r="I1763" s="16"/>
      <c r="J1763" s="16" t="s">
        <v>11424</v>
      </c>
      <c r="K1763" s="16" t="s">
        <v>11425</v>
      </c>
      <c r="L1763" s="16"/>
      <c r="M1763" s="16"/>
      <c r="N1763" s="12"/>
      <c r="O1763" s="12"/>
      <c r="P1763" s="13">
        <f>IFERROR(__xludf.DUMMYFUNCTION("VALUE(SUBSTITUTE((INDEX(SPLIT(A1763,"",""),1)),""."","","",1))"),55.635426)</f>
        <v>55.635426</v>
      </c>
      <c r="Q1763" s="13">
        <f>IFERROR(__xludf.DUMMYFUNCTION("VALUE(SUBSTITUTE((INDEX(SPLIT(A1763,"",""),2)),""."","","",1))"),37.764483)</f>
        <v>37.764483</v>
      </c>
      <c r="R1763" s="14" t="b">
        <f t="shared" si="1"/>
        <v>0</v>
      </c>
      <c r="S1763" s="14" t="str">
        <f t="shared" si="2"/>
        <v>55.635426,37.764483</v>
      </c>
      <c r="T1763" s="12"/>
    </row>
    <row r="1764">
      <c r="A1764" s="18" t="s">
        <v>11420</v>
      </c>
      <c r="B1764" s="8" t="s">
        <v>11421</v>
      </c>
      <c r="C1764" s="8" t="s">
        <v>11422</v>
      </c>
      <c r="D1764" s="8" t="s">
        <v>16</v>
      </c>
      <c r="E1764" s="19" t="s">
        <v>11426</v>
      </c>
      <c r="F1764" s="8" t="s">
        <v>4881</v>
      </c>
      <c r="G1764" s="8">
        <v>23.61</v>
      </c>
      <c r="H1764" s="8"/>
      <c r="I1764" s="8"/>
      <c r="J1764" s="8" t="s">
        <v>11427</v>
      </c>
      <c r="K1764" s="8" t="s">
        <v>11425</v>
      </c>
      <c r="L1764" s="8"/>
      <c r="M1764" s="8"/>
      <c r="N1764" s="12"/>
      <c r="O1764" s="12"/>
      <c r="P1764" s="13">
        <f>IFERROR(__xludf.DUMMYFUNCTION("VALUE(SUBSTITUTE((INDEX(SPLIT(A1764,"",""),1)),""."","","",1))"),55.635426)</f>
        <v>55.635426</v>
      </c>
      <c r="Q1764" s="13">
        <f>IFERROR(__xludf.DUMMYFUNCTION("VALUE(SUBSTITUTE((INDEX(SPLIT(A1764,"",""),2)),""."","","",1))"),37.764483)</f>
        <v>37.764483</v>
      </c>
      <c r="R1764" s="14" t="b">
        <f t="shared" si="1"/>
        <v>0</v>
      </c>
      <c r="S1764" s="14" t="str">
        <f t="shared" si="2"/>
        <v>55.635426,37.764483</v>
      </c>
      <c r="T1764" s="12"/>
    </row>
    <row r="1765">
      <c r="A1765" s="15" t="s">
        <v>11428</v>
      </c>
      <c r="B1765" s="16" t="s">
        <v>11429</v>
      </c>
      <c r="C1765" s="16" t="s">
        <v>11430</v>
      </c>
      <c r="D1765" s="16" t="s">
        <v>16</v>
      </c>
      <c r="E1765" s="17" t="s">
        <v>11431</v>
      </c>
      <c r="F1765" s="16" t="s">
        <v>3883</v>
      </c>
      <c r="G1765" s="16">
        <v>23.61</v>
      </c>
      <c r="H1765" s="16"/>
      <c r="I1765" s="32" t="s">
        <v>11432</v>
      </c>
      <c r="J1765" s="16" t="s">
        <v>11433</v>
      </c>
      <c r="K1765" s="16" t="s">
        <v>11434</v>
      </c>
      <c r="L1765" s="16"/>
      <c r="M1765" s="16"/>
      <c r="N1765" s="12"/>
      <c r="O1765" s="12"/>
      <c r="P1765" s="13">
        <f>IFERROR(__xludf.DUMMYFUNCTION("VALUE(SUBSTITUTE((INDEX(SPLIT(A1765,"",""),1)),""."","","",1))"),55.681773)</f>
        <v>55.681773</v>
      </c>
      <c r="Q1765" s="13">
        <f>IFERROR(__xludf.DUMMYFUNCTION("VALUE(SUBSTITUTE((INDEX(SPLIT(A1765,"",""),2)),""."","","",1))"),37.767825)</f>
        <v>37.767825</v>
      </c>
      <c r="R1765" s="14" t="b">
        <f t="shared" si="1"/>
        <v>0</v>
      </c>
      <c r="S1765" s="14" t="str">
        <f t="shared" si="2"/>
        <v>55.681773,37.767825</v>
      </c>
      <c r="T1765" s="12"/>
    </row>
    <row r="1766">
      <c r="A1766" s="18" t="s">
        <v>11435</v>
      </c>
      <c r="B1766" s="8" t="s">
        <v>11436</v>
      </c>
      <c r="C1766" s="8" t="s">
        <v>11437</v>
      </c>
      <c r="D1766" s="8" t="s">
        <v>16</v>
      </c>
      <c r="E1766" s="19" t="s">
        <v>11438</v>
      </c>
      <c r="F1766" s="8" t="s">
        <v>3760</v>
      </c>
      <c r="G1766" s="8">
        <v>23.61</v>
      </c>
      <c r="H1766" s="8"/>
      <c r="I1766" s="27" t="s">
        <v>11439</v>
      </c>
      <c r="J1766" s="8" t="s">
        <v>11440</v>
      </c>
      <c r="K1766" s="8" t="s">
        <v>11441</v>
      </c>
      <c r="L1766" s="8"/>
      <c r="M1766" s="8"/>
      <c r="N1766" s="12"/>
      <c r="O1766" s="12"/>
      <c r="P1766" s="13">
        <f>IFERROR(__xludf.DUMMYFUNCTION("VALUE(SUBSTITUTE((INDEX(SPLIT(A1766,"",""),1)),""."","","",1))"),55.437174)</f>
        <v>55.437174</v>
      </c>
      <c r="Q1766" s="13">
        <f>IFERROR(__xludf.DUMMYFUNCTION("VALUE(SUBSTITUTE((INDEX(SPLIT(A1766,"",""),2)),""."","","",1))"),37.768004)</f>
        <v>37.768004</v>
      </c>
      <c r="R1766" s="14" t="b">
        <f t="shared" si="1"/>
        <v>0</v>
      </c>
      <c r="S1766" s="14" t="str">
        <f t="shared" si="2"/>
        <v>55.437174,37.768004</v>
      </c>
      <c r="T1766" s="12"/>
    </row>
    <row r="1767">
      <c r="A1767" s="15" t="s">
        <v>11435</v>
      </c>
      <c r="B1767" s="16" t="s">
        <v>3698</v>
      </c>
      <c r="C1767" s="16" t="s">
        <v>3699</v>
      </c>
      <c r="D1767" s="16" t="s">
        <v>16</v>
      </c>
      <c r="E1767" s="17" t="s">
        <v>11442</v>
      </c>
      <c r="F1767" s="16" t="s">
        <v>3760</v>
      </c>
      <c r="G1767" s="16">
        <v>23.61</v>
      </c>
      <c r="H1767" s="16"/>
      <c r="I1767" s="16"/>
      <c r="J1767" s="16" t="s">
        <v>11443</v>
      </c>
      <c r="K1767" s="16" t="s">
        <v>11444</v>
      </c>
      <c r="L1767" s="16"/>
      <c r="M1767" s="16"/>
      <c r="N1767" s="12"/>
      <c r="O1767" s="12"/>
      <c r="P1767" s="13">
        <f>IFERROR(__xludf.DUMMYFUNCTION("VALUE(SUBSTITUTE((INDEX(SPLIT(A1767,"",""),1)),""."","","",1))"),55.437174)</f>
        <v>55.437174</v>
      </c>
      <c r="Q1767" s="13">
        <f>IFERROR(__xludf.DUMMYFUNCTION("VALUE(SUBSTITUTE((INDEX(SPLIT(A1767,"",""),2)),""."","","",1))"),37.768004)</f>
        <v>37.768004</v>
      </c>
      <c r="R1767" s="14" t="b">
        <f t="shared" si="1"/>
        <v>0</v>
      </c>
      <c r="S1767" s="14" t="str">
        <f t="shared" si="2"/>
        <v>55.437174,37.768004</v>
      </c>
      <c r="T1767" s="12"/>
    </row>
    <row r="1768">
      <c r="A1768" s="7" t="s">
        <v>11435</v>
      </c>
      <c r="B1768" s="8" t="s">
        <v>11445</v>
      </c>
      <c r="C1768" s="8" t="s">
        <v>11446</v>
      </c>
      <c r="D1768" s="8" t="s">
        <v>16</v>
      </c>
      <c r="E1768" s="9" t="s">
        <v>11447</v>
      </c>
      <c r="F1768" s="10" t="s">
        <v>3760</v>
      </c>
      <c r="G1768" s="8">
        <v>23.61</v>
      </c>
      <c r="H1768" s="8"/>
      <c r="I1768" s="10"/>
      <c r="J1768" s="10" t="s">
        <v>11448</v>
      </c>
      <c r="K1768" s="10" t="s">
        <v>11449</v>
      </c>
      <c r="L1768" s="11" t="s">
        <v>11327</v>
      </c>
      <c r="M1768" s="10"/>
      <c r="N1768" s="12"/>
      <c r="O1768" s="12"/>
      <c r="P1768" s="13">
        <f>IFERROR(__xludf.DUMMYFUNCTION("VALUE(SUBSTITUTE((INDEX(SPLIT(A1768,"",""),1)),""."","","",1))"),55.437174)</f>
        <v>55.437174</v>
      </c>
      <c r="Q1768" s="13">
        <f>IFERROR(__xludf.DUMMYFUNCTION("VALUE(SUBSTITUTE((INDEX(SPLIT(A1768,"",""),2)),""."","","",1))"),37.768004)</f>
        <v>37.768004</v>
      </c>
      <c r="R1768" s="14" t="b">
        <f t="shared" si="1"/>
        <v>0</v>
      </c>
      <c r="S1768" s="14" t="str">
        <f t="shared" si="2"/>
        <v>55.437174,37.768004</v>
      </c>
      <c r="T1768" s="12"/>
    </row>
    <row r="1769">
      <c r="A1769" s="15" t="s">
        <v>11450</v>
      </c>
      <c r="B1769" s="16" t="s">
        <v>11451</v>
      </c>
      <c r="C1769" s="16" t="s">
        <v>11452</v>
      </c>
      <c r="D1769" s="16" t="s">
        <v>16</v>
      </c>
      <c r="E1769" s="17" t="s">
        <v>11453</v>
      </c>
      <c r="F1769" s="16" t="s">
        <v>4881</v>
      </c>
      <c r="G1769" s="16">
        <v>23.61</v>
      </c>
      <c r="H1769" s="16"/>
      <c r="I1769" s="16"/>
      <c r="J1769" s="16" t="s">
        <v>11454</v>
      </c>
      <c r="K1769" s="16" t="s">
        <v>11455</v>
      </c>
      <c r="L1769" s="16"/>
      <c r="M1769" s="16"/>
      <c r="N1769" s="12"/>
      <c r="O1769" s="12"/>
      <c r="P1769" s="13">
        <f>IFERROR(__xludf.DUMMYFUNCTION("VALUE(SUBSTITUTE((INDEX(SPLIT(A1769,"",""),1)),""."","","",1))"),55.731364)</f>
        <v>55.731364</v>
      </c>
      <c r="Q1769" s="13">
        <f>IFERROR(__xludf.DUMMYFUNCTION("VALUE(SUBSTITUTE((INDEX(SPLIT(A1769,"",""),2)),""."","","",1))"),37.768983)</f>
        <v>37.768983</v>
      </c>
      <c r="R1769" s="14" t="b">
        <f t="shared" si="1"/>
        <v>0</v>
      </c>
      <c r="S1769" s="14" t="str">
        <f t="shared" si="2"/>
        <v>55.731364,37.768983</v>
      </c>
      <c r="T1769" s="12"/>
    </row>
    <row r="1770">
      <c r="A1770" s="18" t="s">
        <v>11450</v>
      </c>
      <c r="B1770" s="8" t="s">
        <v>11456</v>
      </c>
      <c r="C1770" s="8" t="s">
        <v>11457</v>
      </c>
      <c r="D1770" s="8" t="s">
        <v>16</v>
      </c>
      <c r="E1770" s="19" t="s">
        <v>11458</v>
      </c>
      <c r="F1770" s="8" t="s">
        <v>4881</v>
      </c>
      <c r="G1770" s="8">
        <v>23.61</v>
      </c>
      <c r="H1770" s="8"/>
      <c r="I1770" s="8"/>
      <c r="J1770" s="8" t="s">
        <v>11459</v>
      </c>
      <c r="K1770" s="8" t="s">
        <v>11460</v>
      </c>
      <c r="L1770" s="8"/>
      <c r="M1770" s="8"/>
      <c r="N1770" s="12"/>
      <c r="O1770" s="12"/>
      <c r="P1770" s="13">
        <f>IFERROR(__xludf.DUMMYFUNCTION("VALUE(SUBSTITUTE((INDEX(SPLIT(A1770,"",""),1)),""."","","",1))"),55.731364)</f>
        <v>55.731364</v>
      </c>
      <c r="Q1770" s="13">
        <f>IFERROR(__xludf.DUMMYFUNCTION("VALUE(SUBSTITUTE((INDEX(SPLIT(A1770,"",""),2)),""."","","",1))"),37.768983)</f>
        <v>37.768983</v>
      </c>
      <c r="R1770" s="14" t="b">
        <f t="shared" si="1"/>
        <v>0</v>
      </c>
      <c r="S1770" s="14" t="str">
        <f t="shared" si="2"/>
        <v>55.731364,37.768983</v>
      </c>
      <c r="T1770" s="12"/>
    </row>
    <row r="1771">
      <c r="A1771" s="15" t="s">
        <v>11461</v>
      </c>
      <c r="B1771" s="16" t="s">
        <v>11462</v>
      </c>
      <c r="C1771" s="16" t="s">
        <v>11463</v>
      </c>
      <c r="D1771" s="16" t="s">
        <v>16</v>
      </c>
      <c r="E1771" s="17" t="s">
        <v>11464</v>
      </c>
      <c r="F1771" s="16" t="s">
        <v>3760</v>
      </c>
      <c r="G1771" s="16">
        <v>23.61</v>
      </c>
      <c r="H1771" s="16"/>
      <c r="I1771" s="16"/>
      <c r="J1771" s="16" t="s">
        <v>11465</v>
      </c>
      <c r="K1771" s="16" t="s">
        <v>11466</v>
      </c>
      <c r="L1771" s="16"/>
      <c r="M1771" s="16"/>
      <c r="N1771" s="12"/>
      <c r="O1771" s="12"/>
      <c r="P1771" s="13">
        <f>IFERROR(__xludf.DUMMYFUNCTION("VALUE(SUBSTITUTE((INDEX(SPLIT(A1771,"",""),1)),""."","","",1))"),55.582253)</f>
        <v>55.582253</v>
      </c>
      <c r="Q1771" s="13">
        <f>IFERROR(__xludf.DUMMYFUNCTION("VALUE(SUBSTITUTE((INDEX(SPLIT(A1771,"",""),2)),""."","","",1))"),37.769199)</f>
        <v>37.769199</v>
      </c>
      <c r="R1771" s="14" t="b">
        <f t="shared" si="1"/>
        <v>0</v>
      </c>
      <c r="S1771" s="14" t="str">
        <f t="shared" si="2"/>
        <v>55.582253,37.769199</v>
      </c>
      <c r="T1771" s="12"/>
    </row>
    <row r="1772">
      <c r="A1772" s="7" t="s">
        <v>11467</v>
      </c>
      <c r="B1772" s="8" t="s">
        <v>11468</v>
      </c>
      <c r="C1772" s="8" t="s">
        <v>11469</v>
      </c>
      <c r="D1772" s="8" t="s">
        <v>16</v>
      </c>
      <c r="E1772" s="9" t="s">
        <v>11470</v>
      </c>
      <c r="F1772" s="10" t="s">
        <v>8566</v>
      </c>
      <c r="G1772" s="8">
        <v>23.61</v>
      </c>
      <c r="H1772" s="8"/>
      <c r="I1772" s="10"/>
      <c r="J1772" s="10" t="s">
        <v>11471</v>
      </c>
      <c r="K1772" s="10" t="s">
        <v>11472</v>
      </c>
      <c r="L1772" s="11" t="s">
        <v>11473</v>
      </c>
      <c r="M1772" s="10"/>
      <c r="N1772" s="12"/>
      <c r="O1772" s="12"/>
      <c r="P1772" s="13">
        <f>IFERROR(__xludf.DUMMYFUNCTION("VALUE(SUBSTITUTE((INDEX(SPLIT(A1772,"",""),1)),""."","","",1))"),44.73967)</f>
        <v>44.73967</v>
      </c>
      <c r="Q1772" s="13">
        <f>IFERROR(__xludf.DUMMYFUNCTION("VALUE(SUBSTITUTE((INDEX(SPLIT(A1772,"",""),2)),""."","","",1))"),37.770358)</f>
        <v>37.770358</v>
      </c>
      <c r="R1772" s="14" t="b">
        <f t="shared" si="1"/>
        <v>0</v>
      </c>
      <c r="S1772" s="14" t="str">
        <f t="shared" si="2"/>
        <v>44.73967,37.770358</v>
      </c>
      <c r="T1772" s="12"/>
    </row>
    <row r="1773">
      <c r="A1773" s="15" t="s">
        <v>11474</v>
      </c>
      <c r="B1773" s="16" t="s">
        <v>11475</v>
      </c>
      <c r="C1773" s="16" t="s">
        <v>11476</v>
      </c>
      <c r="D1773" s="16" t="s">
        <v>16</v>
      </c>
      <c r="E1773" s="17" t="s">
        <v>11477</v>
      </c>
      <c r="F1773" s="16" t="s">
        <v>4881</v>
      </c>
      <c r="G1773" s="16">
        <v>23.61</v>
      </c>
      <c r="H1773" s="16"/>
      <c r="I1773" s="16"/>
      <c r="J1773" s="16" t="s">
        <v>11478</v>
      </c>
      <c r="K1773" s="16" t="s">
        <v>11479</v>
      </c>
      <c r="L1773" s="16"/>
      <c r="M1773" s="16"/>
      <c r="N1773" s="12"/>
      <c r="O1773" s="12"/>
      <c r="P1773" s="13">
        <f>IFERROR(__xludf.DUMMYFUNCTION("VALUE(SUBSTITUTE((INDEX(SPLIT(A1773,"",""),1)),""."","","",1))"),55.652004)</f>
        <v>55.652004</v>
      </c>
      <c r="Q1773" s="13">
        <f>IFERROR(__xludf.DUMMYFUNCTION("VALUE(SUBSTITUTE((INDEX(SPLIT(A1773,"",""),2)),""."","","",1))"),37.771642)</f>
        <v>37.771642</v>
      </c>
      <c r="R1773" s="14" t="b">
        <f t="shared" si="1"/>
        <v>0</v>
      </c>
      <c r="S1773" s="14" t="str">
        <f t="shared" si="2"/>
        <v>55.652004,37.771642</v>
      </c>
      <c r="T1773" s="12"/>
    </row>
    <row r="1774">
      <c r="A1774" s="18" t="s">
        <v>11480</v>
      </c>
      <c r="B1774" s="8" t="s">
        <v>11481</v>
      </c>
      <c r="C1774" s="8" t="s">
        <v>11482</v>
      </c>
      <c r="D1774" s="8" t="s">
        <v>16</v>
      </c>
      <c r="E1774" s="19" t="s">
        <v>11483</v>
      </c>
      <c r="F1774" s="8" t="s">
        <v>4881</v>
      </c>
      <c r="G1774" s="8">
        <v>23.61</v>
      </c>
      <c r="H1774" s="8"/>
      <c r="I1774" s="8"/>
      <c r="J1774" s="8" t="s">
        <v>11484</v>
      </c>
      <c r="K1774" s="8" t="s">
        <v>11485</v>
      </c>
      <c r="L1774" s="8"/>
      <c r="M1774" s="8"/>
      <c r="N1774" s="12"/>
      <c r="O1774" s="12"/>
      <c r="P1774" s="13">
        <f>IFERROR(__xludf.DUMMYFUNCTION("VALUE(SUBSTITUTE((INDEX(SPLIT(A1774,"",""),1)),""."","","",1))"),55.814396)</f>
        <v>55.814396</v>
      </c>
      <c r="Q1774" s="13">
        <f>IFERROR(__xludf.DUMMYFUNCTION("VALUE(SUBSTITUTE((INDEX(SPLIT(A1774,"",""),2)),""."","","",1))"),37.772424)</f>
        <v>37.772424</v>
      </c>
      <c r="R1774" s="14" t="b">
        <f t="shared" si="1"/>
        <v>0</v>
      </c>
      <c r="S1774" s="14" t="str">
        <f t="shared" si="2"/>
        <v>55.814396,37.772424</v>
      </c>
      <c r="T1774" s="12"/>
    </row>
    <row r="1775">
      <c r="A1775" s="15" t="s">
        <v>11480</v>
      </c>
      <c r="B1775" s="16" t="s">
        <v>11486</v>
      </c>
      <c r="C1775" s="16" t="s">
        <v>11487</v>
      </c>
      <c r="D1775" s="16" t="s">
        <v>16</v>
      </c>
      <c r="E1775" s="17" t="s">
        <v>11488</v>
      </c>
      <c r="F1775" s="16" t="s">
        <v>4881</v>
      </c>
      <c r="G1775" s="16">
        <v>23.61</v>
      </c>
      <c r="H1775" s="16"/>
      <c r="I1775" s="16"/>
      <c r="J1775" s="16" t="s">
        <v>11489</v>
      </c>
      <c r="K1775" s="16" t="s">
        <v>11490</v>
      </c>
      <c r="L1775" s="16"/>
      <c r="M1775" s="16"/>
      <c r="N1775" s="12"/>
      <c r="O1775" s="12"/>
      <c r="P1775" s="13">
        <f>IFERROR(__xludf.DUMMYFUNCTION("VALUE(SUBSTITUTE((INDEX(SPLIT(A1775,"",""),1)),""."","","",1))"),55.814396)</f>
        <v>55.814396</v>
      </c>
      <c r="Q1775" s="13">
        <f>IFERROR(__xludf.DUMMYFUNCTION("VALUE(SUBSTITUTE((INDEX(SPLIT(A1775,"",""),2)),""."","","",1))"),37.772424)</f>
        <v>37.772424</v>
      </c>
      <c r="R1775" s="14" t="b">
        <f t="shared" si="1"/>
        <v>0</v>
      </c>
      <c r="S1775" s="14" t="str">
        <f t="shared" si="2"/>
        <v>55.814396,37.772424</v>
      </c>
      <c r="T1775" s="12"/>
    </row>
    <row r="1776">
      <c r="A1776" s="7" t="s">
        <v>11491</v>
      </c>
      <c r="B1776" s="8" t="s">
        <v>11492</v>
      </c>
      <c r="C1776" s="8" t="s">
        <v>11493</v>
      </c>
      <c r="D1776" s="8" t="s">
        <v>16</v>
      </c>
      <c r="E1776" s="9" t="s">
        <v>11494</v>
      </c>
      <c r="F1776" s="10" t="s">
        <v>3883</v>
      </c>
      <c r="G1776" s="8">
        <v>23.61</v>
      </c>
      <c r="H1776" s="8"/>
      <c r="I1776" s="10"/>
      <c r="J1776" s="10" t="s">
        <v>11495</v>
      </c>
      <c r="K1776" s="10" t="s">
        <v>11496</v>
      </c>
      <c r="L1776" s="11" t="s">
        <v>11497</v>
      </c>
      <c r="M1776" s="11" t="s">
        <v>11498</v>
      </c>
      <c r="N1776" s="12"/>
      <c r="O1776" s="12"/>
      <c r="P1776" s="13">
        <f>IFERROR(__xludf.DUMMYFUNCTION("VALUE(SUBSTITUTE((INDEX(SPLIT(A1776,"",""),1)),""."","","",1))"),55.720722)</f>
        <v>55.720722</v>
      </c>
      <c r="Q1776" s="13">
        <f>IFERROR(__xludf.DUMMYFUNCTION("VALUE(SUBSTITUTE((INDEX(SPLIT(A1776,"",""),2)),""."","","",1))"),37.774463)</f>
        <v>37.774463</v>
      </c>
      <c r="R1776" s="14" t="b">
        <f t="shared" si="1"/>
        <v>0</v>
      </c>
      <c r="S1776" s="14" t="str">
        <f t="shared" si="2"/>
        <v>55.720722,37.774463</v>
      </c>
      <c r="T1776" s="12"/>
    </row>
    <row r="1777">
      <c r="A1777" s="15" t="s">
        <v>11499</v>
      </c>
      <c r="B1777" s="16" t="s">
        <v>11500</v>
      </c>
      <c r="C1777" s="16" t="s">
        <v>11501</v>
      </c>
      <c r="D1777" s="16" t="s">
        <v>16</v>
      </c>
      <c r="E1777" s="17" t="s">
        <v>11502</v>
      </c>
      <c r="F1777" s="16" t="s">
        <v>3760</v>
      </c>
      <c r="G1777" s="16">
        <v>23.61</v>
      </c>
      <c r="H1777" s="16"/>
      <c r="I1777" s="16"/>
      <c r="J1777" s="16" t="s">
        <v>11503</v>
      </c>
      <c r="K1777" s="16" t="s">
        <v>11504</v>
      </c>
      <c r="L1777" s="16"/>
      <c r="M1777" s="16"/>
      <c r="N1777" s="12"/>
      <c r="O1777" s="12"/>
      <c r="P1777" s="13">
        <f>IFERROR(__xludf.DUMMYFUNCTION("VALUE(SUBSTITUTE((INDEX(SPLIT(A1777,"",""),1)),""."","","",1))"),55.428521)</f>
        <v>55.428521</v>
      </c>
      <c r="Q1777" s="13">
        <f>IFERROR(__xludf.DUMMYFUNCTION("VALUE(SUBSTITUTE((INDEX(SPLIT(A1777,"",""),2)),""."","","",1))"),37.775999)</f>
        <v>37.775999</v>
      </c>
      <c r="R1777" s="14" t="b">
        <f t="shared" si="1"/>
        <v>0</v>
      </c>
      <c r="S1777" s="14" t="str">
        <f t="shared" si="2"/>
        <v>55.428521,37.775999</v>
      </c>
      <c r="T1777" s="12"/>
    </row>
    <row r="1778">
      <c r="A1778" s="18" t="s">
        <v>11505</v>
      </c>
      <c r="B1778" s="8" t="s">
        <v>11506</v>
      </c>
      <c r="C1778" s="8" t="s">
        <v>11507</v>
      </c>
      <c r="D1778" s="8" t="s">
        <v>16</v>
      </c>
      <c r="E1778" s="19" t="s">
        <v>11508</v>
      </c>
      <c r="F1778" s="8" t="s">
        <v>3760</v>
      </c>
      <c r="G1778" s="8">
        <v>23.61</v>
      </c>
      <c r="H1778" s="8"/>
      <c r="I1778" s="8"/>
      <c r="J1778" s="8" t="s">
        <v>11509</v>
      </c>
      <c r="K1778" s="8" t="s">
        <v>11510</v>
      </c>
      <c r="L1778" s="8"/>
      <c r="M1778" s="24" t="s">
        <v>11511</v>
      </c>
      <c r="N1778" s="12"/>
      <c r="O1778" s="12"/>
      <c r="P1778" s="13">
        <f>IFERROR(__xludf.DUMMYFUNCTION("VALUE(SUBSTITUTE((INDEX(SPLIT(A1778,"",""),1)),""."","","",1))"),55.920179)</f>
        <v>55.920179</v>
      </c>
      <c r="Q1778" s="13">
        <f>IFERROR(__xludf.DUMMYFUNCTION("VALUE(SUBSTITUTE((INDEX(SPLIT(A1778,"",""),2)),""."","","",1))"),37.781605)</f>
        <v>37.781605</v>
      </c>
      <c r="R1778" s="14" t="b">
        <f t="shared" si="1"/>
        <v>0</v>
      </c>
      <c r="S1778" s="14" t="str">
        <f t="shared" si="2"/>
        <v>55.920179,37.781605</v>
      </c>
      <c r="T1778" s="12"/>
    </row>
    <row r="1779">
      <c r="A1779" s="20" t="s">
        <v>11512</v>
      </c>
      <c r="B1779" s="16" t="s">
        <v>11513</v>
      </c>
      <c r="C1779" s="16" t="s">
        <v>11514</v>
      </c>
      <c r="D1779" s="16" t="s">
        <v>16</v>
      </c>
      <c r="E1779" s="21" t="s">
        <v>11515</v>
      </c>
      <c r="F1779" s="22" t="s">
        <v>8566</v>
      </c>
      <c r="G1779" s="16">
        <v>23.61</v>
      </c>
      <c r="H1779" s="16"/>
      <c r="I1779" s="22"/>
      <c r="J1779" s="22" t="s">
        <v>11516</v>
      </c>
      <c r="K1779" s="22" t="s">
        <v>11517</v>
      </c>
      <c r="L1779" s="23" t="s">
        <v>11518</v>
      </c>
      <c r="M1779" s="22"/>
      <c r="N1779" s="12"/>
      <c r="O1779" s="12"/>
      <c r="P1779" s="13">
        <f>IFERROR(__xludf.DUMMYFUNCTION("VALUE(SUBSTITUTE((INDEX(SPLIT(A1779,"",""),1)),""."","","",1))"),44.716617)</f>
        <v>44.716617</v>
      </c>
      <c r="Q1779" s="13">
        <f>IFERROR(__xludf.DUMMYFUNCTION("VALUE(SUBSTITUTE((INDEX(SPLIT(A1779,"",""),2)),""."","","",1))"),37.783401)</f>
        <v>37.783401</v>
      </c>
      <c r="R1779" s="14" t="b">
        <f t="shared" si="1"/>
        <v>0</v>
      </c>
      <c r="S1779" s="14" t="str">
        <f t="shared" si="2"/>
        <v>44.716617,37.783401</v>
      </c>
      <c r="T1779" s="12"/>
    </row>
    <row r="1780">
      <c r="A1780" s="7" t="s">
        <v>11519</v>
      </c>
      <c r="B1780" s="8" t="s">
        <v>11520</v>
      </c>
      <c r="C1780" s="8" t="s">
        <v>11521</v>
      </c>
      <c r="D1780" s="8" t="s">
        <v>16</v>
      </c>
      <c r="E1780" s="9" t="s">
        <v>11522</v>
      </c>
      <c r="F1780" s="10" t="s">
        <v>3760</v>
      </c>
      <c r="G1780" s="8">
        <v>23.61</v>
      </c>
      <c r="H1780" s="8"/>
      <c r="I1780" s="10"/>
      <c r="J1780" s="10" t="s">
        <v>11523</v>
      </c>
      <c r="K1780" s="10" t="s">
        <v>11524</v>
      </c>
      <c r="L1780" s="11" t="s">
        <v>11525</v>
      </c>
      <c r="M1780" s="10"/>
      <c r="N1780" s="12"/>
      <c r="O1780" s="12"/>
      <c r="P1780" s="13">
        <f>IFERROR(__xludf.DUMMYFUNCTION("VALUE(SUBSTITUTE((INDEX(SPLIT(A1780,"",""),1)),""."","","",1))"),55.94448)</f>
        <v>55.94448</v>
      </c>
      <c r="Q1780" s="13">
        <f>IFERROR(__xludf.DUMMYFUNCTION("VALUE(SUBSTITUTE((INDEX(SPLIT(A1780,"",""),2)),""."","","",1))"),37.785827)</f>
        <v>37.785827</v>
      </c>
      <c r="R1780" s="14" t="b">
        <f t="shared" si="1"/>
        <v>0</v>
      </c>
      <c r="S1780" s="14" t="str">
        <f t="shared" si="2"/>
        <v>55.94448,37.785827</v>
      </c>
      <c r="T1780" s="12"/>
    </row>
    <row r="1781">
      <c r="A1781" s="20" t="s">
        <v>11519</v>
      </c>
      <c r="B1781" s="16" t="s">
        <v>11526</v>
      </c>
      <c r="C1781" s="16" t="s">
        <v>11527</v>
      </c>
      <c r="D1781" s="16" t="s">
        <v>16</v>
      </c>
      <c r="E1781" s="21" t="s">
        <v>11528</v>
      </c>
      <c r="F1781" s="22" t="s">
        <v>3760</v>
      </c>
      <c r="G1781" s="16">
        <v>23.61</v>
      </c>
      <c r="H1781" s="16"/>
      <c r="I1781" s="22"/>
      <c r="J1781" s="22" t="s">
        <v>11529</v>
      </c>
      <c r="K1781" s="22" t="s">
        <v>11524</v>
      </c>
      <c r="L1781" s="23" t="s">
        <v>11530</v>
      </c>
      <c r="M1781" s="22"/>
      <c r="N1781" s="12"/>
      <c r="O1781" s="12"/>
      <c r="P1781" s="13">
        <f>IFERROR(__xludf.DUMMYFUNCTION("VALUE(SUBSTITUTE((INDEX(SPLIT(A1781,"",""),1)),""."","","",1))"),55.94448)</f>
        <v>55.94448</v>
      </c>
      <c r="Q1781" s="13">
        <f>IFERROR(__xludf.DUMMYFUNCTION("VALUE(SUBSTITUTE((INDEX(SPLIT(A1781,"",""),2)),""."","","",1))"),37.785827)</f>
        <v>37.785827</v>
      </c>
      <c r="R1781" s="14" t="b">
        <f t="shared" si="1"/>
        <v>0</v>
      </c>
      <c r="S1781" s="14" t="str">
        <f t="shared" si="2"/>
        <v>55.94448,37.785827</v>
      </c>
      <c r="T1781" s="12"/>
    </row>
    <row r="1782">
      <c r="A1782" s="7" t="s">
        <v>11531</v>
      </c>
      <c r="B1782" s="8" t="s">
        <v>11532</v>
      </c>
      <c r="C1782" s="8" t="s">
        <v>11533</v>
      </c>
      <c r="D1782" s="8" t="s">
        <v>16</v>
      </c>
      <c r="E1782" s="9" t="s">
        <v>11534</v>
      </c>
      <c r="F1782" s="10" t="s">
        <v>3883</v>
      </c>
      <c r="G1782" s="8">
        <v>23.61</v>
      </c>
      <c r="H1782" s="8"/>
      <c r="I1782" s="10"/>
      <c r="J1782" s="10" t="s">
        <v>11535</v>
      </c>
      <c r="K1782" s="10" t="s">
        <v>11536</v>
      </c>
      <c r="L1782" s="11" t="s">
        <v>11537</v>
      </c>
      <c r="M1782" s="10"/>
      <c r="N1782" s="12"/>
      <c r="O1782" s="12"/>
      <c r="P1782" s="13">
        <f>IFERROR(__xludf.DUMMYFUNCTION("VALUE(SUBSTITUTE((INDEX(SPLIT(A1782,"",""),1)),""."","","",1))"),55.74107)</f>
        <v>55.74107</v>
      </c>
      <c r="Q1782" s="13">
        <f>IFERROR(__xludf.DUMMYFUNCTION("VALUE(SUBSTITUTE((INDEX(SPLIT(A1782,"",""),2)),""."","","",1))"),37.788019)</f>
        <v>37.788019</v>
      </c>
      <c r="R1782" s="14" t="b">
        <f t="shared" si="1"/>
        <v>0</v>
      </c>
      <c r="S1782" s="14" t="str">
        <f t="shared" si="2"/>
        <v>55.74107,37.788019</v>
      </c>
      <c r="T1782" s="12"/>
    </row>
    <row r="1783">
      <c r="A1783" s="15" t="s">
        <v>11538</v>
      </c>
      <c r="B1783" s="16" t="s">
        <v>11539</v>
      </c>
      <c r="C1783" s="16" t="s">
        <v>11540</v>
      </c>
      <c r="D1783" s="16" t="s">
        <v>16</v>
      </c>
      <c r="E1783" s="17" t="s">
        <v>11541</v>
      </c>
      <c r="F1783" s="16" t="s">
        <v>3760</v>
      </c>
      <c r="G1783" s="16">
        <v>23.61</v>
      </c>
      <c r="H1783" s="16"/>
      <c r="I1783" s="16"/>
      <c r="J1783" s="16" t="s">
        <v>11542</v>
      </c>
      <c r="K1783" s="16" t="s">
        <v>11543</v>
      </c>
      <c r="L1783" s="16"/>
      <c r="M1783" s="25" t="s">
        <v>11544</v>
      </c>
      <c r="N1783" s="12"/>
      <c r="O1783" s="12"/>
      <c r="P1783" s="13">
        <f>IFERROR(__xludf.DUMMYFUNCTION("VALUE(SUBSTITUTE((INDEX(SPLIT(A1783,"",""),1)),""."","","",1))"),55.914665)</f>
        <v>55.914665</v>
      </c>
      <c r="Q1783" s="13">
        <f>IFERROR(__xludf.DUMMYFUNCTION("VALUE(SUBSTITUTE((INDEX(SPLIT(A1783,"",""),2)),""."","","",1))"),37.793777)</f>
        <v>37.793777</v>
      </c>
      <c r="R1783" s="14" t="b">
        <f t="shared" si="1"/>
        <v>0</v>
      </c>
      <c r="S1783" s="14" t="str">
        <f t="shared" si="2"/>
        <v>55.914665,37.793777</v>
      </c>
      <c r="T1783" s="12"/>
    </row>
    <row r="1784">
      <c r="A1784" s="18" t="s">
        <v>11545</v>
      </c>
      <c r="B1784" s="8" t="s">
        <v>11546</v>
      </c>
      <c r="C1784" s="8" t="s">
        <v>11547</v>
      </c>
      <c r="D1784" s="8" t="s">
        <v>16</v>
      </c>
      <c r="E1784" s="19" t="s">
        <v>11548</v>
      </c>
      <c r="F1784" s="8" t="s">
        <v>3760</v>
      </c>
      <c r="G1784" s="8">
        <v>23.61</v>
      </c>
      <c r="H1784" s="8"/>
      <c r="I1784" s="8"/>
      <c r="J1784" s="8" t="s">
        <v>11549</v>
      </c>
      <c r="K1784" s="8" t="s">
        <v>11550</v>
      </c>
      <c r="L1784" s="8"/>
      <c r="M1784" s="24" t="s">
        <v>11551</v>
      </c>
      <c r="N1784" s="12"/>
      <c r="O1784" s="12"/>
      <c r="P1784" s="13">
        <f>IFERROR(__xludf.DUMMYFUNCTION("VALUE(SUBSTITUTE((INDEX(SPLIT(A1784,"",""),1)),""."","","",1))"),55.962508)</f>
        <v>55.962508</v>
      </c>
      <c r="Q1784" s="13">
        <f>IFERROR(__xludf.DUMMYFUNCTION("VALUE(SUBSTITUTE((INDEX(SPLIT(A1784,"",""),2)),""."","","",1))"),37.794891)</f>
        <v>37.794891</v>
      </c>
      <c r="R1784" s="14" t="b">
        <f t="shared" si="1"/>
        <v>0</v>
      </c>
      <c r="S1784" s="14" t="str">
        <f t="shared" si="2"/>
        <v>55.962508,37.794891</v>
      </c>
      <c r="T1784" s="12"/>
    </row>
    <row r="1785">
      <c r="A1785" s="15" t="s">
        <v>11552</v>
      </c>
      <c r="B1785" s="16" t="s">
        <v>11553</v>
      </c>
      <c r="C1785" s="16" t="s">
        <v>11554</v>
      </c>
      <c r="D1785" s="16" t="s">
        <v>16</v>
      </c>
      <c r="E1785" s="17" t="s">
        <v>11555</v>
      </c>
      <c r="F1785" s="16" t="s">
        <v>3883</v>
      </c>
      <c r="G1785" s="16">
        <v>23.61</v>
      </c>
      <c r="H1785" s="16"/>
      <c r="I1785" s="16"/>
      <c r="J1785" s="16" t="s">
        <v>11556</v>
      </c>
      <c r="K1785" s="16" t="s">
        <v>11557</v>
      </c>
      <c r="L1785" s="16"/>
      <c r="M1785" s="16"/>
      <c r="N1785" s="12"/>
      <c r="O1785" s="12"/>
      <c r="P1785" s="13">
        <f>IFERROR(__xludf.DUMMYFUNCTION("VALUE(SUBSTITUTE((INDEX(SPLIT(A1785,"",""),1)),""."","","",1))"),55.755312)</f>
        <v>55.755312</v>
      </c>
      <c r="Q1785" s="13">
        <f>IFERROR(__xludf.DUMMYFUNCTION("VALUE(SUBSTITUTE((INDEX(SPLIT(A1785,"",""),2)),""."","","",1))"),37.795241)</f>
        <v>37.795241</v>
      </c>
      <c r="R1785" s="14" t="b">
        <f t="shared" si="1"/>
        <v>0</v>
      </c>
      <c r="S1785" s="14" t="str">
        <f t="shared" si="2"/>
        <v>55.755312,37.795241</v>
      </c>
      <c r="T1785" s="12"/>
    </row>
    <row r="1786">
      <c r="A1786" s="7" t="s">
        <v>11558</v>
      </c>
      <c r="B1786" s="8" t="s">
        <v>11559</v>
      </c>
      <c r="C1786" s="8" t="s">
        <v>11560</v>
      </c>
      <c r="D1786" s="8" t="s">
        <v>16</v>
      </c>
      <c r="E1786" s="9" t="s">
        <v>11561</v>
      </c>
      <c r="F1786" s="10" t="s">
        <v>11562</v>
      </c>
      <c r="G1786" s="8">
        <v>23.61</v>
      </c>
      <c r="H1786" s="8"/>
      <c r="I1786" s="10"/>
      <c r="J1786" s="10" t="s">
        <v>11563</v>
      </c>
      <c r="K1786" s="10" t="s">
        <v>11564</v>
      </c>
      <c r="L1786" s="11" t="s">
        <v>11565</v>
      </c>
      <c r="M1786" s="10"/>
      <c r="N1786" s="12"/>
      <c r="O1786" s="12"/>
      <c r="P1786" s="13">
        <f>IFERROR(__xludf.DUMMYFUNCTION("VALUE(SUBSTITUTE((INDEX(SPLIT(A1786,"",""),1)),""."","","",1))"),59.16555)</f>
        <v>59.16555</v>
      </c>
      <c r="Q1786" s="13">
        <f>IFERROR(__xludf.DUMMYFUNCTION("VALUE(SUBSTITUTE((INDEX(SPLIT(A1786,"",""),2)),""."","","",1))"),37.800173)</f>
        <v>37.800173</v>
      </c>
      <c r="R1786" s="14" t="b">
        <f t="shared" si="1"/>
        <v>0</v>
      </c>
      <c r="S1786" s="14" t="str">
        <f t="shared" si="2"/>
        <v>59.16555,37.800173</v>
      </c>
      <c r="T1786" s="12"/>
    </row>
    <row r="1787">
      <c r="A1787" s="15" t="s">
        <v>11566</v>
      </c>
      <c r="B1787" s="16" t="s">
        <v>11567</v>
      </c>
      <c r="C1787" s="16" t="s">
        <v>11568</v>
      </c>
      <c r="D1787" s="16" t="s">
        <v>16</v>
      </c>
      <c r="E1787" s="17" t="s">
        <v>11569</v>
      </c>
      <c r="F1787" s="16" t="s">
        <v>4881</v>
      </c>
      <c r="G1787" s="16">
        <v>23.61</v>
      </c>
      <c r="H1787" s="16"/>
      <c r="I1787" s="16"/>
      <c r="J1787" s="16" t="s">
        <v>11570</v>
      </c>
      <c r="K1787" s="16" t="s">
        <v>11571</v>
      </c>
      <c r="L1787" s="16"/>
      <c r="M1787" s="16"/>
      <c r="N1787" s="12"/>
      <c r="O1787" s="12"/>
      <c r="P1787" s="13">
        <f>IFERROR(__xludf.DUMMYFUNCTION("VALUE(SUBSTITUTE((INDEX(SPLIT(A1787,"",""),1)),""."","","",1))"),55.811786)</f>
        <v>55.811786</v>
      </c>
      <c r="Q1787" s="13">
        <f>IFERROR(__xludf.DUMMYFUNCTION("VALUE(SUBSTITUTE((INDEX(SPLIT(A1787,"",""),2)),""."","","",1))"),37.801134)</f>
        <v>37.801134</v>
      </c>
      <c r="R1787" s="14" t="b">
        <f t="shared" si="1"/>
        <v>0</v>
      </c>
      <c r="S1787" s="14" t="str">
        <f t="shared" si="2"/>
        <v>55.811786,37.801134</v>
      </c>
      <c r="T1787" s="12"/>
    </row>
    <row r="1788">
      <c r="A1788" s="18" t="s">
        <v>11572</v>
      </c>
      <c r="B1788" s="8" t="s">
        <v>11573</v>
      </c>
      <c r="C1788" s="8" t="s">
        <v>11574</v>
      </c>
      <c r="D1788" s="8" t="s">
        <v>16</v>
      </c>
      <c r="E1788" s="19" t="s">
        <v>11575</v>
      </c>
      <c r="F1788" s="8" t="s">
        <v>6732</v>
      </c>
      <c r="G1788" s="8">
        <v>23.61</v>
      </c>
      <c r="H1788" s="8"/>
      <c r="I1788" s="8"/>
      <c r="J1788" s="8" t="s">
        <v>11576</v>
      </c>
      <c r="K1788" s="8" t="s">
        <v>11577</v>
      </c>
      <c r="L1788" s="8"/>
      <c r="M1788" s="24" t="s">
        <v>11578</v>
      </c>
      <c r="N1788" s="12"/>
      <c r="O1788" s="12"/>
      <c r="P1788" s="13">
        <f>IFERROR(__xludf.DUMMYFUNCTION("VALUE(SUBSTITUTE((INDEX(SPLIT(A1788,"",""),1)),""."","","",1))"),54.010554)</f>
        <v>54.010554</v>
      </c>
      <c r="Q1788" s="13">
        <f>IFERROR(__xludf.DUMMYFUNCTION("VALUE(SUBSTITUTE((INDEX(SPLIT(A1788,"",""),2)),""."","","",1))"),37.802428)</f>
        <v>37.802428</v>
      </c>
      <c r="R1788" s="14" t="b">
        <f t="shared" si="1"/>
        <v>0</v>
      </c>
      <c r="S1788" s="14" t="str">
        <f t="shared" si="2"/>
        <v>54.010554,37.802428</v>
      </c>
      <c r="T1788" s="12"/>
    </row>
    <row r="1789">
      <c r="A1789" s="15" t="s">
        <v>11579</v>
      </c>
      <c r="B1789" s="16" t="s">
        <v>1801</v>
      </c>
      <c r="C1789" s="16" t="s">
        <v>1802</v>
      </c>
      <c r="D1789" s="16" t="s">
        <v>16</v>
      </c>
      <c r="E1789" s="17" t="s">
        <v>11580</v>
      </c>
      <c r="F1789" s="16" t="s">
        <v>11562</v>
      </c>
      <c r="G1789" s="16">
        <v>23.61</v>
      </c>
      <c r="H1789" s="16"/>
      <c r="I1789" s="16"/>
      <c r="J1789" s="16" t="s">
        <v>11581</v>
      </c>
      <c r="K1789" s="16" t="s">
        <v>11582</v>
      </c>
      <c r="L1789" s="16"/>
      <c r="M1789" s="16"/>
      <c r="N1789" s="12"/>
      <c r="O1789" s="12"/>
      <c r="P1789" s="13">
        <f>IFERROR(__xludf.DUMMYFUNCTION("VALUE(SUBSTITUTE((INDEX(SPLIT(A1789,"",""),1)),""."","","",1))"),59.17138)</f>
        <v>59.17138</v>
      </c>
      <c r="Q1789" s="13">
        <f>IFERROR(__xludf.DUMMYFUNCTION("VALUE(SUBSTITUTE((INDEX(SPLIT(A1789,"",""),2)),""."","","",1))"),37.803955)</f>
        <v>37.803955</v>
      </c>
      <c r="R1789" s="14" t="b">
        <f t="shared" si="1"/>
        <v>0</v>
      </c>
      <c r="S1789" s="14" t="str">
        <f t="shared" si="2"/>
        <v>59.17138,37.803955</v>
      </c>
      <c r="T1789" s="12"/>
    </row>
    <row r="1790">
      <c r="A1790" s="18" t="s">
        <v>11583</v>
      </c>
      <c r="B1790" s="8" t="s">
        <v>11584</v>
      </c>
      <c r="C1790" s="8" t="s">
        <v>11585</v>
      </c>
      <c r="D1790" s="8" t="s">
        <v>16</v>
      </c>
      <c r="E1790" s="19" t="s">
        <v>11586</v>
      </c>
      <c r="F1790" s="8" t="s">
        <v>4881</v>
      </c>
      <c r="G1790" s="8">
        <v>23.61</v>
      </c>
      <c r="H1790" s="8"/>
      <c r="I1790" s="8"/>
      <c r="J1790" s="8" t="s">
        <v>11587</v>
      </c>
      <c r="K1790" s="8" t="s">
        <v>11588</v>
      </c>
      <c r="L1790" s="8"/>
      <c r="M1790" s="8"/>
      <c r="N1790" s="12"/>
      <c r="O1790" s="12"/>
      <c r="P1790" s="13">
        <f>IFERROR(__xludf.DUMMYFUNCTION("VALUE(SUBSTITUTE((INDEX(SPLIT(A1790,"",""),1)),""."","","",1))"),55.71591)</f>
        <v>55.71591</v>
      </c>
      <c r="Q1790" s="13">
        <f>IFERROR(__xludf.DUMMYFUNCTION("VALUE(SUBSTITUTE((INDEX(SPLIT(A1790,"",""),2)),""."","","",1))"),37.804179)</f>
        <v>37.804179</v>
      </c>
      <c r="R1790" s="14" t="b">
        <f t="shared" si="1"/>
        <v>0</v>
      </c>
      <c r="S1790" s="14" t="str">
        <f t="shared" si="2"/>
        <v>55.71591,37.804179</v>
      </c>
      <c r="T1790" s="12"/>
    </row>
    <row r="1791">
      <c r="A1791" s="15" t="s">
        <v>11589</v>
      </c>
      <c r="B1791" s="16" t="s">
        <v>11590</v>
      </c>
      <c r="C1791" s="16" t="s">
        <v>11591</v>
      </c>
      <c r="D1791" s="16" t="s">
        <v>16</v>
      </c>
      <c r="E1791" s="17" t="s">
        <v>11592</v>
      </c>
      <c r="F1791" s="16" t="s">
        <v>3883</v>
      </c>
      <c r="G1791" s="16">
        <v>23.61</v>
      </c>
      <c r="H1791" s="16"/>
      <c r="I1791" s="16"/>
      <c r="J1791" s="16" t="s">
        <v>11593</v>
      </c>
      <c r="K1791" s="16" t="s">
        <v>11594</v>
      </c>
      <c r="L1791" s="16"/>
      <c r="M1791" s="16"/>
      <c r="N1791" s="12"/>
      <c r="O1791" s="12"/>
      <c r="P1791" s="13">
        <f>IFERROR(__xludf.DUMMYFUNCTION("VALUE(SUBSTITUTE((INDEX(SPLIT(A1791,"",""),1)),""."","","",1))"),55.673884)</f>
        <v>55.673884</v>
      </c>
      <c r="Q1791" s="13">
        <f>IFERROR(__xludf.DUMMYFUNCTION("VALUE(SUBSTITUTE((INDEX(SPLIT(A1791,"",""),2)),""."","","",1))"),37.812713)</f>
        <v>37.812713</v>
      </c>
      <c r="R1791" s="14" t="b">
        <f t="shared" si="1"/>
        <v>0</v>
      </c>
      <c r="S1791" s="14" t="str">
        <f t="shared" si="2"/>
        <v>55.673884,37.812713</v>
      </c>
      <c r="T1791" s="12"/>
    </row>
    <row r="1792">
      <c r="A1792" s="7" t="s">
        <v>11595</v>
      </c>
      <c r="B1792" s="8" t="s">
        <v>7057</v>
      </c>
      <c r="C1792" s="8" t="s">
        <v>7058</v>
      </c>
      <c r="D1792" s="8" t="s">
        <v>16</v>
      </c>
      <c r="E1792" s="9" t="s">
        <v>11596</v>
      </c>
      <c r="F1792" s="10" t="s">
        <v>6732</v>
      </c>
      <c r="G1792" s="8">
        <v>23.61</v>
      </c>
      <c r="H1792" s="8"/>
      <c r="I1792" s="10"/>
      <c r="J1792" s="10" t="s">
        <v>11597</v>
      </c>
      <c r="K1792" s="10" t="s">
        <v>11598</v>
      </c>
      <c r="L1792" s="11" t="s">
        <v>11599</v>
      </c>
      <c r="M1792" s="11" t="s">
        <v>11600</v>
      </c>
      <c r="N1792" s="12"/>
      <c r="O1792" s="12"/>
      <c r="P1792" s="13">
        <f>IFERROR(__xludf.DUMMYFUNCTION("VALUE(SUBSTITUTE((INDEX(SPLIT(A1792,"",""),1)),""."","","",1))"),54.052655)</f>
        <v>54.052655</v>
      </c>
      <c r="Q1792" s="13">
        <f>IFERROR(__xludf.DUMMYFUNCTION("VALUE(SUBSTITUTE((INDEX(SPLIT(A1792,"",""),2)),""."","","",1))"),37.815588)</f>
        <v>37.815588</v>
      </c>
      <c r="R1792" s="14" t="b">
        <f t="shared" si="1"/>
        <v>0</v>
      </c>
      <c r="S1792" s="14" t="str">
        <f t="shared" si="2"/>
        <v>54.052655,37.815588</v>
      </c>
      <c r="T1792" s="12"/>
    </row>
    <row r="1793">
      <c r="A1793" s="15" t="s">
        <v>11601</v>
      </c>
      <c r="B1793" s="16" t="s">
        <v>11602</v>
      </c>
      <c r="C1793" s="16" t="s">
        <v>11603</v>
      </c>
      <c r="D1793" s="16" t="s">
        <v>16</v>
      </c>
      <c r="E1793" s="17" t="s">
        <v>11604</v>
      </c>
      <c r="F1793" s="16" t="s">
        <v>4327</v>
      </c>
      <c r="G1793" s="16">
        <v>23.61</v>
      </c>
      <c r="H1793" s="16"/>
      <c r="I1793" s="16"/>
      <c r="J1793" s="16" t="s">
        <v>11605</v>
      </c>
      <c r="K1793" s="16" t="s">
        <v>11606</v>
      </c>
      <c r="L1793" s="16"/>
      <c r="M1793" s="16"/>
      <c r="N1793" s="12"/>
      <c r="O1793" s="12"/>
      <c r="P1793" s="13">
        <f>IFERROR(__xludf.DUMMYFUNCTION("VALUE(SUBSTITUTE((INDEX(SPLIT(A1793,"",""),1)),""."","","",1))"),51.284777)</f>
        <v>51.284777</v>
      </c>
      <c r="Q1793" s="13">
        <f>IFERROR(__xludf.DUMMYFUNCTION("VALUE(SUBSTITUTE((INDEX(SPLIT(A1793,"",""),2)),""."","","",1))"),37.819002)</f>
        <v>37.819002</v>
      </c>
      <c r="R1793" s="14" t="b">
        <f t="shared" si="1"/>
        <v>0</v>
      </c>
      <c r="S1793" s="14" t="str">
        <f t="shared" si="2"/>
        <v>51.284777,37.819002</v>
      </c>
      <c r="T1793" s="12"/>
    </row>
    <row r="1794">
      <c r="A1794" s="18" t="s">
        <v>11607</v>
      </c>
      <c r="B1794" s="8" t="s">
        <v>11608</v>
      </c>
      <c r="C1794" s="8" t="s">
        <v>11609</v>
      </c>
      <c r="D1794" s="8" t="s">
        <v>16</v>
      </c>
      <c r="E1794" s="19" t="s">
        <v>11610</v>
      </c>
      <c r="F1794" s="8" t="s">
        <v>3760</v>
      </c>
      <c r="G1794" s="8">
        <v>23.61</v>
      </c>
      <c r="H1794" s="8"/>
      <c r="I1794" s="8"/>
      <c r="J1794" s="8" t="s">
        <v>11611</v>
      </c>
      <c r="K1794" s="8" t="s">
        <v>11612</v>
      </c>
      <c r="L1794" s="8"/>
      <c r="M1794" s="8"/>
      <c r="N1794" s="12"/>
      <c r="O1794" s="12"/>
      <c r="P1794" s="13">
        <f>IFERROR(__xludf.DUMMYFUNCTION("VALUE(SUBSTITUTE((INDEX(SPLIT(A1794,"",""),1)),""."","","",1))"),55.921481)</f>
        <v>55.921481</v>
      </c>
      <c r="Q1794" s="13">
        <f>IFERROR(__xludf.DUMMYFUNCTION("VALUE(SUBSTITUTE((INDEX(SPLIT(A1794,"",""),2)),""."","","",1))"),37.820268)</f>
        <v>37.820268</v>
      </c>
      <c r="R1794" s="14" t="b">
        <f t="shared" si="1"/>
        <v>0</v>
      </c>
      <c r="S1794" s="14" t="str">
        <f t="shared" si="2"/>
        <v>55.921481,37.820268</v>
      </c>
      <c r="T1794" s="12"/>
    </row>
    <row r="1795">
      <c r="A1795" s="20" t="s">
        <v>11613</v>
      </c>
      <c r="B1795" s="16" t="s">
        <v>11614</v>
      </c>
      <c r="C1795" s="16" t="s">
        <v>11615</v>
      </c>
      <c r="D1795" s="16" t="s">
        <v>16</v>
      </c>
      <c r="E1795" s="21" t="s">
        <v>11616</v>
      </c>
      <c r="F1795" s="22" t="s">
        <v>11562</v>
      </c>
      <c r="G1795" s="16">
        <v>23.61</v>
      </c>
      <c r="H1795" s="16"/>
      <c r="I1795" s="22"/>
      <c r="J1795" s="22" t="s">
        <v>11617</v>
      </c>
      <c r="K1795" s="22" t="s">
        <v>11618</v>
      </c>
      <c r="L1795" s="23" t="s">
        <v>11619</v>
      </c>
      <c r="M1795" s="23" t="s">
        <v>11620</v>
      </c>
      <c r="N1795" s="12"/>
      <c r="O1795" s="12"/>
      <c r="P1795" s="13">
        <f>IFERROR(__xludf.DUMMYFUNCTION("VALUE(SUBSTITUTE((INDEX(SPLIT(A1795,"",""),1)),""."","","",1))"),59.14733)</f>
        <v>59.14733</v>
      </c>
      <c r="Q1795" s="13">
        <f>IFERROR(__xludf.DUMMYFUNCTION("VALUE(SUBSTITUTE((INDEX(SPLIT(A1795,"",""),2)),""."","","",1))"),37.821328)</f>
        <v>37.821328</v>
      </c>
      <c r="R1795" s="14" t="b">
        <f t="shared" si="1"/>
        <v>0</v>
      </c>
      <c r="S1795" s="14" t="str">
        <f t="shared" si="2"/>
        <v>59.14733,37.821328</v>
      </c>
      <c r="T1795" s="12"/>
    </row>
    <row r="1796">
      <c r="A1796" s="18" t="s">
        <v>11613</v>
      </c>
      <c r="B1796" s="8" t="s">
        <v>11621</v>
      </c>
      <c r="C1796" s="8" t="s">
        <v>11622</v>
      </c>
      <c r="D1796" s="8" t="s">
        <v>16</v>
      </c>
      <c r="E1796" s="19" t="s">
        <v>11623</v>
      </c>
      <c r="F1796" s="8" t="s">
        <v>11562</v>
      </c>
      <c r="G1796" s="8">
        <v>23.61</v>
      </c>
      <c r="H1796" s="8"/>
      <c r="I1796" s="8"/>
      <c r="J1796" s="8" t="s">
        <v>11624</v>
      </c>
      <c r="K1796" s="8" t="s">
        <v>11625</v>
      </c>
      <c r="L1796" s="8"/>
      <c r="M1796" s="8"/>
      <c r="N1796" s="12"/>
      <c r="O1796" s="12"/>
      <c r="P1796" s="13">
        <f>IFERROR(__xludf.DUMMYFUNCTION("VALUE(SUBSTITUTE((INDEX(SPLIT(A1796,"",""),1)),""."","","",1))"),59.14733)</f>
        <v>59.14733</v>
      </c>
      <c r="Q1796" s="13">
        <f>IFERROR(__xludf.DUMMYFUNCTION("VALUE(SUBSTITUTE((INDEX(SPLIT(A1796,"",""),2)),""."","","",1))"),37.821328)</f>
        <v>37.821328</v>
      </c>
      <c r="R1796" s="14" t="b">
        <f t="shared" si="1"/>
        <v>0</v>
      </c>
      <c r="S1796" s="14" t="str">
        <f t="shared" si="2"/>
        <v>59.14733,37.821328</v>
      </c>
      <c r="T1796" s="12"/>
    </row>
    <row r="1797">
      <c r="A1797" s="20" t="s">
        <v>11626</v>
      </c>
      <c r="B1797" s="16" t="s">
        <v>11627</v>
      </c>
      <c r="C1797" s="16" t="s">
        <v>11628</v>
      </c>
      <c r="D1797" s="16" t="s">
        <v>16</v>
      </c>
      <c r="E1797" s="21" t="s">
        <v>11629</v>
      </c>
      <c r="F1797" s="22" t="s">
        <v>3760</v>
      </c>
      <c r="G1797" s="16">
        <v>23.61</v>
      </c>
      <c r="H1797" s="16"/>
      <c r="I1797" s="22"/>
      <c r="J1797" s="22" t="s">
        <v>11630</v>
      </c>
      <c r="K1797" s="22" t="s">
        <v>11631</v>
      </c>
      <c r="L1797" s="23" t="s">
        <v>11632</v>
      </c>
      <c r="M1797" s="22"/>
      <c r="N1797" s="12"/>
      <c r="O1797" s="12"/>
      <c r="P1797" s="13">
        <f>IFERROR(__xludf.DUMMYFUNCTION("VALUE(SUBSTITUTE((INDEX(SPLIT(A1797,"",""),1)),""."","","",1))"),55.908469)</f>
        <v>55.908469</v>
      </c>
      <c r="Q1797" s="13">
        <f>IFERROR(__xludf.DUMMYFUNCTION("VALUE(SUBSTITUTE((INDEX(SPLIT(A1797,"",""),2)),""."","","",1))"),37.829647)</f>
        <v>37.829647</v>
      </c>
      <c r="R1797" s="14" t="b">
        <f t="shared" si="1"/>
        <v>0</v>
      </c>
      <c r="S1797" s="14" t="str">
        <f t="shared" si="2"/>
        <v>55.908469,37.829647</v>
      </c>
      <c r="T1797" s="12"/>
    </row>
    <row r="1798">
      <c r="A1798" s="18" t="s">
        <v>11633</v>
      </c>
      <c r="B1798" s="8" t="s">
        <v>11634</v>
      </c>
      <c r="C1798" s="8" t="s">
        <v>11635</v>
      </c>
      <c r="D1798" s="8" t="s">
        <v>16</v>
      </c>
      <c r="E1798" s="19" t="s">
        <v>11636</v>
      </c>
      <c r="F1798" s="8" t="s">
        <v>4881</v>
      </c>
      <c r="G1798" s="8">
        <v>23.61</v>
      </c>
      <c r="H1798" s="8"/>
      <c r="I1798" s="8"/>
      <c r="J1798" s="8" t="s">
        <v>11637</v>
      </c>
      <c r="K1798" s="8" t="s">
        <v>11638</v>
      </c>
      <c r="L1798" s="8"/>
      <c r="M1798" s="8"/>
      <c r="N1798" s="12"/>
      <c r="O1798" s="12"/>
      <c r="P1798" s="13">
        <f>IFERROR(__xludf.DUMMYFUNCTION("VALUE(SUBSTITUTE((INDEX(SPLIT(A1798,"",""),1)),""."","","",1))"),55.70772)</f>
        <v>55.70772</v>
      </c>
      <c r="Q1798" s="13">
        <f>IFERROR(__xludf.DUMMYFUNCTION("VALUE(SUBSTITUTE((INDEX(SPLIT(A1798,"",""),2)),""."","","",1))"),37.830338)</f>
        <v>37.830338</v>
      </c>
      <c r="R1798" s="14" t="b">
        <f t="shared" si="1"/>
        <v>0</v>
      </c>
      <c r="S1798" s="14" t="str">
        <f t="shared" si="2"/>
        <v>55.70772,37.830338</v>
      </c>
      <c r="T1798" s="12"/>
    </row>
    <row r="1799">
      <c r="A1799" s="20" t="s">
        <v>11639</v>
      </c>
      <c r="B1799" s="16" t="s">
        <v>11640</v>
      </c>
      <c r="C1799" s="16" t="s">
        <v>11641</v>
      </c>
      <c r="D1799" s="16" t="s">
        <v>16</v>
      </c>
      <c r="E1799" s="21" t="s">
        <v>11642</v>
      </c>
      <c r="F1799" s="22" t="s">
        <v>4327</v>
      </c>
      <c r="G1799" s="16">
        <v>23.61</v>
      </c>
      <c r="H1799" s="16"/>
      <c r="I1799" s="22"/>
      <c r="J1799" s="22" t="s">
        <v>11643</v>
      </c>
      <c r="K1799" s="22" t="s">
        <v>11644</v>
      </c>
      <c r="L1799" s="23" t="s">
        <v>11645</v>
      </c>
      <c r="M1799" s="22"/>
      <c r="N1799" s="12"/>
      <c r="O1799" s="12"/>
      <c r="P1799" s="13">
        <f>IFERROR(__xludf.DUMMYFUNCTION("VALUE(SUBSTITUTE((INDEX(SPLIT(A1799,"",""),1)),""."","","",1))"),51.297974)</f>
        <v>51.297974</v>
      </c>
      <c r="Q1799" s="13">
        <f>IFERROR(__xludf.DUMMYFUNCTION("VALUE(SUBSTITUTE((INDEX(SPLIT(A1799,"",""),2)),""."","","",1))"),37.833231)</f>
        <v>37.833231</v>
      </c>
      <c r="R1799" s="14" t="b">
        <f t="shared" si="1"/>
        <v>0</v>
      </c>
      <c r="S1799" s="14" t="str">
        <f t="shared" si="2"/>
        <v>51.297974,37.833231</v>
      </c>
      <c r="T1799" s="12"/>
    </row>
    <row r="1800">
      <c r="A1800" s="18" t="s">
        <v>11639</v>
      </c>
      <c r="B1800" s="8" t="s">
        <v>11646</v>
      </c>
      <c r="C1800" s="8" t="s">
        <v>11647</v>
      </c>
      <c r="D1800" s="8" t="s">
        <v>16</v>
      </c>
      <c r="E1800" s="19" t="s">
        <v>11648</v>
      </c>
      <c r="F1800" s="8" t="s">
        <v>4327</v>
      </c>
      <c r="G1800" s="8">
        <v>23.61</v>
      </c>
      <c r="H1800" s="8"/>
      <c r="I1800" s="8"/>
      <c r="J1800" s="8" t="s">
        <v>11649</v>
      </c>
      <c r="K1800" s="8" t="s">
        <v>11650</v>
      </c>
      <c r="L1800" s="8"/>
      <c r="M1800" s="8"/>
      <c r="N1800" s="12"/>
      <c r="O1800" s="12"/>
      <c r="P1800" s="13">
        <f>IFERROR(__xludf.DUMMYFUNCTION("VALUE(SUBSTITUTE((INDEX(SPLIT(A1800,"",""),1)),""."","","",1))"),51.297974)</f>
        <v>51.297974</v>
      </c>
      <c r="Q1800" s="13">
        <f>IFERROR(__xludf.DUMMYFUNCTION("VALUE(SUBSTITUTE((INDEX(SPLIT(A1800,"",""),2)),""."","","",1))"),37.833231)</f>
        <v>37.833231</v>
      </c>
      <c r="R1800" s="14" t="b">
        <f t="shared" si="1"/>
        <v>0</v>
      </c>
      <c r="S1800" s="14" t="str">
        <f t="shared" si="2"/>
        <v>51.297974,37.833231</v>
      </c>
      <c r="T1800" s="12"/>
    </row>
    <row r="1801">
      <c r="A1801" s="20" t="s">
        <v>11651</v>
      </c>
      <c r="B1801" s="16" t="s">
        <v>9191</v>
      </c>
      <c r="C1801" s="16" t="s">
        <v>9192</v>
      </c>
      <c r="D1801" s="16" t="s">
        <v>16</v>
      </c>
      <c r="E1801" s="21" t="s">
        <v>11652</v>
      </c>
      <c r="F1801" s="22" t="s">
        <v>3760</v>
      </c>
      <c r="G1801" s="16">
        <v>23.61</v>
      </c>
      <c r="H1801" s="16"/>
      <c r="I1801" s="22"/>
      <c r="J1801" s="22" t="s">
        <v>11653</v>
      </c>
      <c r="K1801" s="22" t="s">
        <v>11654</v>
      </c>
      <c r="L1801" s="23" t="s">
        <v>11655</v>
      </c>
      <c r="M1801" s="22"/>
      <c r="N1801" s="12"/>
      <c r="O1801" s="12"/>
      <c r="P1801" s="13">
        <f>IFERROR(__xludf.DUMMYFUNCTION("VALUE(SUBSTITUTE((INDEX(SPLIT(A1801,"",""),1)),""."","","",1))"),56.265117)</f>
        <v>56.265117</v>
      </c>
      <c r="Q1801" s="13">
        <f>IFERROR(__xludf.DUMMYFUNCTION("VALUE(SUBSTITUTE((INDEX(SPLIT(A1801,"",""),2)),""."","","",1))"),37.834453)</f>
        <v>37.834453</v>
      </c>
      <c r="R1801" s="14" t="b">
        <f t="shared" si="1"/>
        <v>0</v>
      </c>
      <c r="S1801" s="14" t="str">
        <f t="shared" si="2"/>
        <v>56.265117,37.834453</v>
      </c>
      <c r="T1801" s="12"/>
    </row>
    <row r="1802">
      <c r="A1802" s="18" t="s">
        <v>11656</v>
      </c>
      <c r="B1802" s="8" t="s">
        <v>11657</v>
      </c>
      <c r="C1802" s="8" t="s">
        <v>11658</v>
      </c>
      <c r="D1802" s="8" t="s">
        <v>16</v>
      </c>
      <c r="E1802" s="19" t="s">
        <v>11659</v>
      </c>
      <c r="F1802" s="8" t="s">
        <v>3760</v>
      </c>
      <c r="G1802" s="8">
        <v>23.61</v>
      </c>
      <c r="H1802" s="8"/>
      <c r="I1802" s="8"/>
      <c r="J1802" s="8" t="s">
        <v>11660</v>
      </c>
      <c r="K1802" s="8" t="s">
        <v>11163</v>
      </c>
      <c r="L1802" s="8"/>
      <c r="M1802" s="8"/>
      <c r="N1802" s="12"/>
      <c r="O1802" s="12"/>
      <c r="P1802" s="13">
        <f>IFERROR(__xludf.DUMMYFUNCTION("VALUE(SUBSTITUTE((INDEX(SPLIT(A1802,"",""),1)),""."","","",1))"),55.637794)</f>
        <v>55.637794</v>
      </c>
      <c r="Q1802" s="13">
        <f>IFERROR(__xludf.DUMMYFUNCTION("VALUE(SUBSTITUTE((INDEX(SPLIT(A1802,"",""),2)),""."","","",1))"),37.837013)</f>
        <v>37.837013</v>
      </c>
      <c r="R1802" s="14" t="b">
        <f t="shared" si="1"/>
        <v>0</v>
      </c>
      <c r="S1802" s="14" t="str">
        <f t="shared" si="2"/>
        <v>55.637794,37.837013</v>
      </c>
      <c r="T1802" s="12"/>
    </row>
    <row r="1803">
      <c r="A1803" s="20" t="s">
        <v>11661</v>
      </c>
      <c r="B1803" s="16" t="s">
        <v>11662</v>
      </c>
      <c r="C1803" s="16" t="s">
        <v>11663</v>
      </c>
      <c r="D1803" s="16" t="s">
        <v>16</v>
      </c>
      <c r="E1803" s="21" t="s">
        <v>11664</v>
      </c>
      <c r="F1803" s="22" t="s">
        <v>4327</v>
      </c>
      <c r="G1803" s="16">
        <v>23.61</v>
      </c>
      <c r="H1803" s="16"/>
      <c r="I1803" s="22"/>
      <c r="J1803" s="22" t="s">
        <v>11665</v>
      </c>
      <c r="K1803" s="22" t="s">
        <v>11666</v>
      </c>
      <c r="L1803" s="23" t="s">
        <v>11667</v>
      </c>
      <c r="M1803" s="22"/>
      <c r="N1803" s="12"/>
      <c r="O1803" s="12"/>
      <c r="P1803" s="13">
        <f>IFERROR(__xludf.DUMMYFUNCTION("VALUE(SUBSTITUTE((INDEX(SPLIT(A1803,"",""),1)),""."","","",1))"),51.296025)</f>
        <v>51.296025</v>
      </c>
      <c r="Q1803" s="13">
        <f>IFERROR(__xludf.DUMMYFUNCTION("VALUE(SUBSTITUTE((INDEX(SPLIT(A1803,"",""),2)),""."","","",1))"),37.837606)</f>
        <v>37.837606</v>
      </c>
      <c r="R1803" s="14" t="b">
        <f t="shared" si="1"/>
        <v>0</v>
      </c>
      <c r="S1803" s="14" t="str">
        <f t="shared" si="2"/>
        <v>51.296025,37.837606</v>
      </c>
      <c r="T1803" s="12"/>
    </row>
    <row r="1804">
      <c r="A1804" s="7" t="s">
        <v>11668</v>
      </c>
      <c r="B1804" s="8" t="s">
        <v>11669</v>
      </c>
      <c r="C1804" s="8" t="s">
        <v>11670</v>
      </c>
      <c r="D1804" s="8" t="s">
        <v>16</v>
      </c>
      <c r="E1804" s="9" t="s">
        <v>11671</v>
      </c>
      <c r="F1804" s="10" t="s">
        <v>3760</v>
      </c>
      <c r="G1804" s="8">
        <v>23.61</v>
      </c>
      <c r="H1804" s="8"/>
      <c r="I1804" s="10"/>
      <c r="J1804" s="10" t="s">
        <v>11672</v>
      </c>
      <c r="K1804" s="10" t="s">
        <v>11673</v>
      </c>
      <c r="L1804" s="11" t="s">
        <v>11674</v>
      </c>
      <c r="M1804" s="10"/>
      <c r="N1804" s="12"/>
      <c r="O1804" s="12"/>
      <c r="P1804" s="13">
        <f>IFERROR(__xludf.DUMMYFUNCTION("VALUE(SUBSTITUTE((INDEX(SPLIT(A1804,"",""),1)),""."","","",1))"),56.007941)</f>
        <v>56.007941</v>
      </c>
      <c r="Q1804" s="13">
        <f>IFERROR(__xludf.DUMMYFUNCTION("VALUE(SUBSTITUTE((INDEX(SPLIT(A1804,"",""),2)),""."","","",1))"),37.838504)</f>
        <v>37.838504</v>
      </c>
      <c r="R1804" s="14" t="b">
        <f t="shared" si="1"/>
        <v>0</v>
      </c>
      <c r="S1804" s="14" t="str">
        <f t="shared" si="2"/>
        <v>56.007941,37.838504</v>
      </c>
      <c r="T1804" s="12"/>
    </row>
    <row r="1805">
      <c r="A1805" s="15" t="s">
        <v>11675</v>
      </c>
      <c r="B1805" s="16" t="s">
        <v>11676</v>
      </c>
      <c r="C1805" s="16" t="s">
        <v>11677</v>
      </c>
      <c r="D1805" s="16" t="s">
        <v>16</v>
      </c>
      <c r="E1805" s="17" t="s">
        <v>11678</v>
      </c>
      <c r="F1805" s="16" t="s">
        <v>4327</v>
      </c>
      <c r="G1805" s="16">
        <v>23.61</v>
      </c>
      <c r="H1805" s="16"/>
      <c r="I1805" s="16"/>
      <c r="J1805" s="16" t="s">
        <v>11679</v>
      </c>
      <c r="K1805" s="16" t="s">
        <v>11680</v>
      </c>
      <c r="L1805" s="16"/>
      <c r="M1805" s="16"/>
      <c r="N1805" s="12"/>
      <c r="O1805" s="12"/>
      <c r="P1805" s="13">
        <f>IFERROR(__xludf.DUMMYFUNCTION("VALUE(SUBSTITUTE((INDEX(SPLIT(A1805,"",""),1)),""."","","",1))"),51.25951)</f>
        <v>51.25951</v>
      </c>
      <c r="Q1805" s="13">
        <f>IFERROR(__xludf.DUMMYFUNCTION("VALUE(SUBSTITUTE((INDEX(SPLIT(A1805,"",""),2)),""."","","",1))"),37.839052)</f>
        <v>37.839052</v>
      </c>
      <c r="R1805" s="14" t="b">
        <f t="shared" si="1"/>
        <v>0</v>
      </c>
      <c r="S1805" s="14" t="str">
        <f t="shared" si="2"/>
        <v>51.25951,37.839052</v>
      </c>
      <c r="T1805" s="12"/>
    </row>
    <row r="1806">
      <c r="A1806" s="7" t="s">
        <v>11681</v>
      </c>
      <c r="B1806" s="8" t="s">
        <v>11682</v>
      </c>
      <c r="C1806" s="8" t="s">
        <v>11683</v>
      </c>
      <c r="D1806" s="8" t="s">
        <v>16</v>
      </c>
      <c r="E1806" s="9" t="s">
        <v>11684</v>
      </c>
      <c r="F1806" s="10" t="s">
        <v>3760</v>
      </c>
      <c r="G1806" s="8">
        <v>23.61</v>
      </c>
      <c r="H1806" s="8"/>
      <c r="I1806" s="10"/>
      <c r="J1806" s="10" t="s">
        <v>11685</v>
      </c>
      <c r="K1806" s="10" t="s">
        <v>11686</v>
      </c>
      <c r="L1806" s="11" t="s">
        <v>11687</v>
      </c>
      <c r="M1806" s="10"/>
      <c r="N1806" s="12"/>
      <c r="O1806" s="12"/>
      <c r="P1806" s="13">
        <f>IFERROR(__xludf.DUMMYFUNCTION("VALUE(SUBSTITUTE((INDEX(SPLIT(A1806,"",""),1)),""."","","",1))"),55.919453)</f>
        <v>55.919453</v>
      </c>
      <c r="Q1806" s="13">
        <f>IFERROR(__xludf.DUMMYFUNCTION("VALUE(SUBSTITUTE((INDEX(SPLIT(A1806,"",""),2)),""."","","",1))"),37.839564)</f>
        <v>37.839564</v>
      </c>
      <c r="R1806" s="14" t="b">
        <f t="shared" si="1"/>
        <v>0</v>
      </c>
      <c r="S1806" s="14" t="str">
        <f t="shared" si="2"/>
        <v>55.919453,37.839564</v>
      </c>
      <c r="T1806" s="12"/>
    </row>
    <row r="1807">
      <c r="A1807" s="15" t="s">
        <v>11688</v>
      </c>
      <c r="B1807" s="16" t="s">
        <v>11689</v>
      </c>
      <c r="C1807" s="16" t="s">
        <v>11690</v>
      </c>
      <c r="D1807" s="16" t="s">
        <v>16</v>
      </c>
      <c r="E1807" s="17" t="s">
        <v>11691</v>
      </c>
      <c r="F1807" s="16" t="s">
        <v>3760</v>
      </c>
      <c r="G1807" s="16">
        <v>23.61</v>
      </c>
      <c r="H1807" s="16"/>
      <c r="I1807" s="16"/>
      <c r="J1807" s="16" t="s">
        <v>11692</v>
      </c>
      <c r="K1807" s="16" t="s">
        <v>11693</v>
      </c>
      <c r="L1807" s="16"/>
      <c r="M1807" s="16"/>
      <c r="N1807" s="12"/>
      <c r="O1807" s="12"/>
      <c r="P1807" s="13">
        <f>IFERROR(__xludf.DUMMYFUNCTION("VALUE(SUBSTITUTE((INDEX(SPLIT(A1807,"",""),1)),""."","","",1))"),55.331782)</f>
        <v>55.331782</v>
      </c>
      <c r="Q1807" s="13">
        <f>IFERROR(__xludf.DUMMYFUNCTION("VALUE(SUBSTITUTE((INDEX(SPLIT(A1807,"",""),2)),""."","","",1))"),37.842043)</f>
        <v>37.842043</v>
      </c>
      <c r="R1807" s="14" t="b">
        <f t="shared" si="1"/>
        <v>0</v>
      </c>
      <c r="S1807" s="14" t="str">
        <f t="shared" si="2"/>
        <v>55.331782,37.842043</v>
      </c>
      <c r="T1807" s="12"/>
    </row>
    <row r="1808">
      <c r="A1808" s="7" t="s">
        <v>11688</v>
      </c>
      <c r="B1808" s="8" t="s">
        <v>11694</v>
      </c>
      <c r="C1808" s="8" t="s">
        <v>11695</v>
      </c>
      <c r="D1808" s="8" t="s">
        <v>16</v>
      </c>
      <c r="E1808" s="9" t="s">
        <v>11696</v>
      </c>
      <c r="F1808" s="10" t="s">
        <v>3760</v>
      </c>
      <c r="G1808" s="8">
        <v>23.61</v>
      </c>
      <c r="H1808" s="8"/>
      <c r="I1808" s="10"/>
      <c r="J1808" s="10" t="s">
        <v>11697</v>
      </c>
      <c r="K1808" s="10" t="s">
        <v>11698</v>
      </c>
      <c r="L1808" s="11" t="s">
        <v>11699</v>
      </c>
      <c r="M1808" s="11" t="s">
        <v>11700</v>
      </c>
      <c r="N1808" s="12"/>
      <c r="O1808" s="12"/>
      <c r="P1808" s="13">
        <f>IFERROR(__xludf.DUMMYFUNCTION("VALUE(SUBSTITUTE((INDEX(SPLIT(A1808,"",""),1)),""."","","",1))"),55.331782)</f>
        <v>55.331782</v>
      </c>
      <c r="Q1808" s="13">
        <f>IFERROR(__xludf.DUMMYFUNCTION("VALUE(SUBSTITUTE((INDEX(SPLIT(A1808,"",""),2)),""."","","",1))"),37.842043)</f>
        <v>37.842043</v>
      </c>
      <c r="R1808" s="14" t="b">
        <f t="shared" si="1"/>
        <v>0</v>
      </c>
      <c r="S1808" s="14" t="str">
        <f t="shared" si="2"/>
        <v>55.331782,37.842043</v>
      </c>
      <c r="T1808" s="12"/>
    </row>
    <row r="1809">
      <c r="A1809" s="20" t="s">
        <v>11688</v>
      </c>
      <c r="B1809" s="16" t="s">
        <v>11701</v>
      </c>
      <c r="C1809" s="16" t="s">
        <v>11702</v>
      </c>
      <c r="D1809" s="16" t="s">
        <v>16</v>
      </c>
      <c r="E1809" s="21" t="s">
        <v>11703</v>
      </c>
      <c r="F1809" s="22" t="s">
        <v>3883</v>
      </c>
      <c r="G1809" s="16">
        <v>23.61</v>
      </c>
      <c r="H1809" s="16"/>
      <c r="I1809" s="22"/>
      <c r="J1809" s="22" t="s">
        <v>11704</v>
      </c>
      <c r="K1809" s="22" t="s">
        <v>11705</v>
      </c>
      <c r="L1809" s="23" t="s">
        <v>11706</v>
      </c>
      <c r="M1809" s="22"/>
      <c r="N1809" s="12"/>
      <c r="O1809" s="12"/>
      <c r="P1809" s="13">
        <f>IFERROR(__xludf.DUMMYFUNCTION("VALUE(SUBSTITUTE((INDEX(SPLIT(A1809,"",""),1)),""."","","",1))"),55.331782)</f>
        <v>55.331782</v>
      </c>
      <c r="Q1809" s="13">
        <f>IFERROR(__xludf.DUMMYFUNCTION("VALUE(SUBSTITUTE((INDEX(SPLIT(A1809,"",""),2)),""."","","",1))"),37.842043)</f>
        <v>37.842043</v>
      </c>
      <c r="R1809" s="14" t="b">
        <f t="shared" si="1"/>
        <v>0</v>
      </c>
      <c r="S1809" s="14" t="str">
        <f t="shared" si="2"/>
        <v>55.331782,37.842043</v>
      </c>
      <c r="T1809" s="12"/>
    </row>
    <row r="1810">
      <c r="A1810" s="7" t="s">
        <v>11707</v>
      </c>
      <c r="B1810" s="8" t="s">
        <v>11708</v>
      </c>
      <c r="C1810" s="8" t="s">
        <v>11709</v>
      </c>
      <c r="D1810" s="8" t="s">
        <v>16</v>
      </c>
      <c r="E1810" s="9" t="s">
        <v>11710</v>
      </c>
      <c r="F1810" s="10" t="s">
        <v>3760</v>
      </c>
      <c r="G1810" s="8">
        <v>23.61</v>
      </c>
      <c r="H1810" s="8"/>
      <c r="I1810" s="31" t="s">
        <v>11711</v>
      </c>
      <c r="J1810" s="10" t="s">
        <v>11712</v>
      </c>
      <c r="K1810" s="10" t="s">
        <v>11713</v>
      </c>
      <c r="L1810" s="11" t="s">
        <v>11714</v>
      </c>
      <c r="M1810" s="11" t="s">
        <v>11715</v>
      </c>
      <c r="N1810" s="12"/>
      <c r="O1810" s="12"/>
      <c r="P1810" s="13">
        <f>IFERROR(__xludf.DUMMYFUNCTION("VALUE(SUBSTITUTE((INDEX(SPLIT(A1810,"",""),1)),""."","","",1))"),55.932349)</f>
        <v>55.932349</v>
      </c>
      <c r="Q1810" s="13">
        <f>IFERROR(__xludf.DUMMYFUNCTION("VALUE(SUBSTITUTE((INDEX(SPLIT(A1810,"",""),2)),""."","","",1))"),37.84375)</f>
        <v>37.84375</v>
      </c>
      <c r="R1810" s="14" t="b">
        <f t="shared" si="1"/>
        <v>0</v>
      </c>
      <c r="S1810" s="14" t="str">
        <f t="shared" si="2"/>
        <v>55.932349,37.84375</v>
      </c>
      <c r="T1810" s="12"/>
    </row>
    <row r="1811">
      <c r="A1811" s="15" t="s">
        <v>11707</v>
      </c>
      <c r="B1811" s="16" t="s">
        <v>11716</v>
      </c>
      <c r="C1811" s="16" t="s">
        <v>11717</v>
      </c>
      <c r="D1811" s="16" t="s">
        <v>16</v>
      </c>
      <c r="E1811" s="17" t="s">
        <v>11718</v>
      </c>
      <c r="F1811" s="16" t="s">
        <v>3760</v>
      </c>
      <c r="G1811" s="16">
        <v>23.61</v>
      </c>
      <c r="H1811" s="16"/>
      <c r="I1811" s="16"/>
      <c r="J1811" s="16" t="s">
        <v>11719</v>
      </c>
      <c r="K1811" s="16" t="s">
        <v>11720</v>
      </c>
      <c r="L1811" s="16"/>
      <c r="M1811" s="25" t="s">
        <v>11721</v>
      </c>
      <c r="N1811" s="12"/>
      <c r="O1811" s="12"/>
      <c r="P1811" s="13">
        <f>IFERROR(__xludf.DUMMYFUNCTION("VALUE(SUBSTITUTE((INDEX(SPLIT(A1811,"",""),1)),""."","","",1))"),55.932349)</f>
        <v>55.932349</v>
      </c>
      <c r="Q1811" s="13">
        <f>IFERROR(__xludf.DUMMYFUNCTION("VALUE(SUBSTITUTE((INDEX(SPLIT(A1811,"",""),2)),""."","","",1))"),37.84375)</f>
        <v>37.84375</v>
      </c>
      <c r="R1811" s="14" t="b">
        <f t="shared" si="1"/>
        <v>0</v>
      </c>
      <c r="S1811" s="14" t="str">
        <f t="shared" si="2"/>
        <v>55.932349,37.84375</v>
      </c>
      <c r="T1811" s="12"/>
    </row>
    <row r="1812">
      <c r="A1812" s="18" t="s">
        <v>11722</v>
      </c>
      <c r="B1812" s="8" t="s">
        <v>5339</v>
      </c>
      <c r="C1812" s="8" t="s">
        <v>5340</v>
      </c>
      <c r="D1812" s="8" t="s">
        <v>16</v>
      </c>
      <c r="E1812" s="19" t="s">
        <v>11723</v>
      </c>
      <c r="F1812" s="8" t="s">
        <v>3760</v>
      </c>
      <c r="G1812" s="8">
        <v>23.61</v>
      </c>
      <c r="H1812" s="8"/>
      <c r="I1812" s="8"/>
      <c r="J1812" s="8" t="s">
        <v>11724</v>
      </c>
      <c r="K1812" s="8" t="s">
        <v>11725</v>
      </c>
      <c r="L1812" s="8"/>
      <c r="M1812" s="8"/>
      <c r="N1812" s="12"/>
      <c r="O1812" s="12"/>
      <c r="P1812" s="13">
        <f>IFERROR(__xludf.DUMMYFUNCTION("VALUE(SUBSTITUTE((INDEX(SPLIT(A1812,"",""),1)),""."","","",1))"),55.928633)</f>
        <v>55.928633</v>
      </c>
      <c r="Q1812" s="13">
        <f>IFERROR(__xludf.DUMMYFUNCTION("VALUE(SUBSTITUTE((INDEX(SPLIT(A1812,"",""),2)),""."","","",1))"),37.843867)</f>
        <v>37.843867</v>
      </c>
      <c r="R1812" s="14" t="b">
        <f t="shared" si="1"/>
        <v>0</v>
      </c>
      <c r="S1812" s="14" t="str">
        <f t="shared" si="2"/>
        <v>55.928633,37.843867</v>
      </c>
      <c r="T1812" s="12"/>
    </row>
    <row r="1813">
      <c r="A1813" s="20" t="s">
        <v>11726</v>
      </c>
      <c r="B1813" s="16" t="s">
        <v>11727</v>
      </c>
      <c r="C1813" s="16" t="s">
        <v>11728</v>
      </c>
      <c r="D1813" s="16" t="s">
        <v>16</v>
      </c>
      <c r="E1813" s="21" t="s">
        <v>11729</v>
      </c>
      <c r="F1813" s="22" t="s">
        <v>3760</v>
      </c>
      <c r="G1813" s="16">
        <v>23.61</v>
      </c>
      <c r="H1813" s="16"/>
      <c r="I1813" s="22"/>
      <c r="J1813" s="22" t="s">
        <v>11730</v>
      </c>
      <c r="K1813" s="22" t="s">
        <v>11731</v>
      </c>
      <c r="L1813" s="30" t="s">
        <v>11732</v>
      </c>
      <c r="M1813" s="22"/>
      <c r="N1813" s="12"/>
      <c r="O1813" s="12"/>
      <c r="P1813" s="13">
        <f>IFERROR(__xludf.DUMMYFUNCTION("VALUE(SUBSTITUTE((INDEX(SPLIT(A1813,"",""),1)),""."","","",1))"),55.921768)</f>
        <v>55.921768</v>
      </c>
      <c r="Q1813" s="13">
        <f>IFERROR(__xludf.DUMMYFUNCTION("VALUE(SUBSTITUTE((INDEX(SPLIT(A1813,"",""),2)),""."","","",1))"),37.844118)</f>
        <v>37.844118</v>
      </c>
      <c r="R1813" s="14" t="b">
        <f t="shared" si="1"/>
        <v>0</v>
      </c>
      <c r="S1813" s="14" t="str">
        <f t="shared" si="2"/>
        <v>55.921768,37.844118</v>
      </c>
      <c r="T1813" s="12"/>
    </row>
    <row r="1814">
      <c r="A1814" s="18" t="s">
        <v>11733</v>
      </c>
      <c r="B1814" s="8" t="s">
        <v>11734</v>
      </c>
      <c r="C1814" s="8" t="s">
        <v>11735</v>
      </c>
      <c r="D1814" s="8" t="s">
        <v>16</v>
      </c>
      <c r="E1814" s="19" t="s">
        <v>11736</v>
      </c>
      <c r="F1814" s="8" t="s">
        <v>3760</v>
      </c>
      <c r="G1814" s="8">
        <v>23.61</v>
      </c>
      <c r="H1814" s="8"/>
      <c r="I1814" s="8"/>
      <c r="J1814" s="8" t="s">
        <v>11737</v>
      </c>
      <c r="K1814" s="8" t="s">
        <v>11738</v>
      </c>
      <c r="L1814" s="8"/>
      <c r="M1814" s="8"/>
      <c r="N1814" s="12"/>
      <c r="O1814" s="12"/>
      <c r="P1814" s="13">
        <f>IFERROR(__xludf.DUMMYFUNCTION("VALUE(SUBSTITUTE((INDEX(SPLIT(A1814,"",""),1)),""."","","",1))"),55.942418)</f>
        <v>55.942418</v>
      </c>
      <c r="Q1814" s="13">
        <f>IFERROR(__xludf.DUMMYFUNCTION("VALUE(SUBSTITUTE((INDEX(SPLIT(A1814,"",""),2)),""."","","",1))"),37.845268)</f>
        <v>37.845268</v>
      </c>
      <c r="R1814" s="14" t="b">
        <f t="shared" si="1"/>
        <v>0</v>
      </c>
      <c r="S1814" s="14" t="str">
        <f t="shared" si="2"/>
        <v>55.942418,37.845268</v>
      </c>
      <c r="T1814" s="12"/>
    </row>
    <row r="1815">
      <c r="A1815" s="15" t="s">
        <v>11739</v>
      </c>
      <c r="B1815" s="16" t="s">
        <v>11740</v>
      </c>
      <c r="C1815" s="16" t="s">
        <v>11741</v>
      </c>
      <c r="D1815" s="16" t="s">
        <v>16</v>
      </c>
      <c r="E1815" s="17" t="s">
        <v>11742</v>
      </c>
      <c r="F1815" s="16" t="s">
        <v>3760</v>
      </c>
      <c r="G1815" s="16">
        <v>23.61</v>
      </c>
      <c r="H1815" s="16"/>
      <c r="I1815" s="16"/>
      <c r="J1815" s="16" t="s">
        <v>11743</v>
      </c>
      <c r="K1815" s="16" t="s">
        <v>11744</v>
      </c>
      <c r="L1815" s="16"/>
      <c r="M1815" s="16"/>
      <c r="N1815" s="12"/>
      <c r="O1815" s="12"/>
      <c r="P1815" s="13">
        <f>IFERROR(__xludf.DUMMYFUNCTION("VALUE(SUBSTITUTE((INDEX(SPLIT(A1815,"",""),1)),""."","","",1))"),55.076571)</f>
        <v>55.076571</v>
      </c>
      <c r="Q1815" s="13">
        <f>IFERROR(__xludf.DUMMYFUNCTION("VALUE(SUBSTITUTE((INDEX(SPLIT(A1815,"",""),2)),""."","","",1))"),37.845861)</f>
        <v>37.845861</v>
      </c>
      <c r="R1815" s="14" t="b">
        <f t="shared" si="1"/>
        <v>0</v>
      </c>
      <c r="S1815" s="14" t="str">
        <f t="shared" si="2"/>
        <v>55.076571,37.845861</v>
      </c>
      <c r="T1815" s="12"/>
    </row>
    <row r="1816">
      <c r="A1816" s="18" t="s">
        <v>11745</v>
      </c>
      <c r="B1816" s="8" t="s">
        <v>11746</v>
      </c>
      <c r="C1816" s="8" t="s">
        <v>11747</v>
      </c>
      <c r="D1816" s="8" t="s">
        <v>16</v>
      </c>
      <c r="E1816" s="19" t="s">
        <v>11748</v>
      </c>
      <c r="F1816" s="8" t="s">
        <v>3760</v>
      </c>
      <c r="G1816" s="8">
        <v>23.61</v>
      </c>
      <c r="H1816" s="8"/>
      <c r="I1816" s="8"/>
      <c r="J1816" s="8" t="s">
        <v>11749</v>
      </c>
      <c r="K1816" s="8" t="s">
        <v>11750</v>
      </c>
      <c r="L1816" s="8"/>
      <c r="M1816" s="8"/>
      <c r="N1816" s="12"/>
      <c r="O1816" s="12"/>
      <c r="P1816" s="13">
        <f>IFERROR(__xludf.DUMMYFUNCTION("VALUE(SUBSTITUTE((INDEX(SPLIT(A1816,"",""),1)),""."","","",1))"),55.577475)</f>
        <v>55.577475</v>
      </c>
      <c r="Q1816" s="13">
        <f>IFERROR(__xludf.DUMMYFUNCTION("VALUE(SUBSTITUTE((INDEX(SPLIT(A1816,"",""),2)),""."","","",1))"),37.845915)</f>
        <v>37.845915</v>
      </c>
      <c r="R1816" s="14" t="b">
        <f t="shared" si="1"/>
        <v>0</v>
      </c>
      <c r="S1816" s="14" t="str">
        <f t="shared" si="2"/>
        <v>55.577475,37.845915</v>
      </c>
      <c r="T1816" s="12"/>
    </row>
    <row r="1817">
      <c r="A1817" s="15" t="s">
        <v>11751</v>
      </c>
      <c r="B1817" s="16" t="s">
        <v>11752</v>
      </c>
      <c r="C1817" s="16" t="s">
        <v>11753</v>
      </c>
      <c r="D1817" s="16" t="s">
        <v>16</v>
      </c>
      <c r="E1817" s="17" t="s">
        <v>11754</v>
      </c>
      <c r="F1817" s="16" t="s">
        <v>3760</v>
      </c>
      <c r="G1817" s="16">
        <v>23.61</v>
      </c>
      <c r="H1817" s="16"/>
      <c r="I1817" s="16"/>
      <c r="J1817" s="16" t="s">
        <v>11755</v>
      </c>
      <c r="K1817" s="16" t="s">
        <v>11756</v>
      </c>
      <c r="L1817" s="16"/>
      <c r="M1817" s="16"/>
      <c r="N1817" s="12"/>
      <c r="O1817" s="12"/>
      <c r="P1817" s="13">
        <f>IFERROR(__xludf.DUMMYFUNCTION("VALUE(SUBSTITUTE((INDEX(SPLIT(A1817,"",""),1)),""."","","",1))"),55.327285)</f>
        <v>55.327285</v>
      </c>
      <c r="Q1817" s="13">
        <f>IFERROR(__xludf.DUMMYFUNCTION("VALUE(SUBSTITUTE((INDEX(SPLIT(A1817,"",""),2)),""."","","",1))"),37.847981)</f>
        <v>37.847981</v>
      </c>
      <c r="R1817" s="14" t="b">
        <f t="shared" si="1"/>
        <v>0</v>
      </c>
      <c r="S1817" s="14" t="str">
        <f t="shared" si="2"/>
        <v>55.327285,37.847981</v>
      </c>
      <c r="T1817" s="12"/>
    </row>
    <row r="1818">
      <c r="A1818" s="7" t="s">
        <v>11757</v>
      </c>
      <c r="B1818" s="8" t="s">
        <v>11758</v>
      </c>
      <c r="C1818" s="8" t="s">
        <v>11759</v>
      </c>
      <c r="D1818" s="8" t="s">
        <v>16</v>
      </c>
      <c r="E1818" s="9" t="s">
        <v>11760</v>
      </c>
      <c r="F1818" s="10" t="s">
        <v>3760</v>
      </c>
      <c r="G1818" s="8">
        <v>23.61</v>
      </c>
      <c r="H1818" s="8"/>
      <c r="I1818" s="31" t="s">
        <v>11761</v>
      </c>
      <c r="J1818" s="10" t="s">
        <v>11762</v>
      </c>
      <c r="K1818" s="10" t="s">
        <v>11763</v>
      </c>
      <c r="L1818" s="11" t="s">
        <v>11764</v>
      </c>
      <c r="M1818" s="11" t="s">
        <v>11765</v>
      </c>
      <c r="N1818" s="12"/>
      <c r="O1818" s="12"/>
      <c r="P1818" s="13">
        <f>IFERROR(__xludf.DUMMYFUNCTION("VALUE(SUBSTITUTE((INDEX(SPLIT(A1818,"",""),1)),""."","","",1))"),55.626655)</f>
        <v>55.626655</v>
      </c>
      <c r="Q1818" s="13">
        <f>IFERROR(__xludf.DUMMYFUNCTION("VALUE(SUBSTITUTE((INDEX(SPLIT(A1818,"",""),2)),""."","","",1))"),37.848933)</f>
        <v>37.848933</v>
      </c>
      <c r="R1818" s="14" t="b">
        <f t="shared" si="1"/>
        <v>0</v>
      </c>
      <c r="S1818" s="14" t="str">
        <f t="shared" si="2"/>
        <v>55.626655,37.848933</v>
      </c>
      <c r="T1818" s="12"/>
    </row>
    <row r="1819">
      <c r="A1819" s="15" t="s">
        <v>11766</v>
      </c>
      <c r="B1819" s="16" t="s">
        <v>1840</v>
      </c>
      <c r="C1819" s="16" t="s">
        <v>1841</v>
      </c>
      <c r="D1819" s="16" t="s">
        <v>16</v>
      </c>
      <c r="E1819" s="17" t="s">
        <v>11767</v>
      </c>
      <c r="F1819" s="16" t="s">
        <v>4327</v>
      </c>
      <c r="G1819" s="16">
        <v>23.61</v>
      </c>
      <c r="H1819" s="16"/>
      <c r="I1819" s="16"/>
      <c r="J1819" s="16" t="s">
        <v>11768</v>
      </c>
      <c r="K1819" s="16" t="s">
        <v>11769</v>
      </c>
      <c r="L1819" s="16"/>
      <c r="M1819" s="16"/>
      <c r="N1819" s="12"/>
      <c r="O1819" s="12"/>
      <c r="P1819" s="13">
        <f>IFERROR(__xludf.DUMMYFUNCTION("VALUE(SUBSTITUTE((INDEX(SPLIT(A1819,"",""),1)),""."","","",1))"),51.273041)</f>
        <v>51.273041</v>
      </c>
      <c r="Q1819" s="13">
        <f>IFERROR(__xludf.DUMMYFUNCTION("VALUE(SUBSTITUTE((INDEX(SPLIT(A1819,"",""),2)),""."","","",1))"),37.849805)</f>
        <v>37.849805</v>
      </c>
      <c r="R1819" s="14" t="b">
        <f t="shared" si="1"/>
        <v>0</v>
      </c>
      <c r="S1819" s="14" t="str">
        <f t="shared" si="2"/>
        <v>51.273041,37.849805</v>
      </c>
      <c r="T1819" s="12"/>
    </row>
    <row r="1820">
      <c r="A1820" s="7" t="s">
        <v>11770</v>
      </c>
      <c r="B1820" s="8" t="s">
        <v>11771</v>
      </c>
      <c r="C1820" s="8" t="s">
        <v>11772</v>
      </c>
      <c r="D1820" s="8" t="s">
        <v>16</v>
      </c>
      <c r="E1820" s="9" t="s">
        <v>11773</v>
      </c>
      <c r="F1820" s="10" t="s">
        <v>3760</v>
      </c>
      <c r="G1820" s="8">
        <v>23.61</v>
      </c>
      <c r="H1820" s="8"/>
      <c r="I1820" s="10"/>
      <c r="J1820" s="10" t="s">
        <v>11774</v>
      </c>
      <c r="K1820" s="10" t="s">
        <v>11775</v>
      </c>
      <c r="L1820" s="11" t="s">
        <v>11776</v>
      </c>
      <c r="M1820" s="10"/>
      <c r="N1820" s="12"/>
      <c r="O1820" s="12"/>
      <c r="P1820" s="13">
        <f>IFERROR(__xludf.DUMMYFUNCTION("VALUE(SUBSTITUTE((INDEX(SPLIT(A1820,"",""),1)),""."","","",1))"),55.923044)</f>
        <v>55.923044</v>
      </c>
      <c r="Q1820" s="13">
        <f>IFERROR(__xludf.DUMMYFUNCTION("VALUE(SUBSTITUTE((INDEX(SPLIT(A1820,"",""),2)),""."","","",1))"),37.854278)</f>
        <v>37.854278</v>
      </c>
      <c r="R1820" s="14" t="b">
        <f t="shared" si="1"/>
        <v>0</v>
      </c>
      <c r="S1820" s="14" t="str">
        <f t="shared" si="2"/>
        <v>55.923044,37.854278</v>
      </c>
      <c r="T1820" s="12"/>
    </row>
    <row r="1821">
      <c r="A1821" s="15" t="s">
        <v>11777</v>
      </c>
      <c r="B1821" s="16" t="s">
        <v>11778</v>
      </c>
      <c r="C1821" s="16" t="s">
        <v>11779</v>
      </c>
      <c r="D1821" s="16" t="s">
        <v>16</v>
      </c>
      <c r="E1821" s="17" t="s">
        <v>11780</v>
      </c>
      <c r="F1821" s="16" t="s">
        <v>8566</v>
      </c>
      <c r="G1821" s="16">
        <v>23.61</v>
      </c>
      <c r="H1821" s="16"/>
      <c r="I1821" s="16"/>
      <c r="J1821" s="16" t="s">
        <v>11781</v>
      </c>
      <c r="K1821" s="16" t="s">
        <v>11782</v>
      </c>
      <c r="L1821" s="16"/>
      <c r="M1821" s="16"/>
      <c r="N1821" s="12"/>
      <c r="O1821" s="12"/>
      <c r="P1821" s="13">
        <f>IFERROR(__xludf.DUMMYFUNCTION("VALUE(SUBSTITUTE((INDEX(SPLIT(A1821,"",""),1)),""."","","",1))"),44.864608)</f>
        <v>44.864608</v>
      </c>
      <c r="Q1821" s="13">
        <f>IFERROR(__xludf.DUMMYFUNCTION("VALUE(SUBSTITUTE((INDEX(SPLIT(A1821,"",""),2)),""."","","",1))"),37.855401)</f>
        <v>37.855401</v>
      </c>
      <c r="R1821" s="14" t="b">
        <f t="shared" si="1"/>
        <v>0</v>
      </c>
      <c r="S1821" s="14" t="str">
        <f t="shared" si="2"/>
        <v>44.864608,37.855401</v>
      </c>
      <c r="T1821" s="12"/>
    </row>
    <row r="1822">
      <c r="A1822" s="7" t="s">
        <v>11783</v>
      </c>
      <c r="B1822" s="8" t="s">
        <v>11784</v>
      </c>
      <c r="C1822" s="8" t="s">
        <v>11785</v>
      </c>
      <c r="D1822" s="8" t="s">
        <v>16</v>
      </c>
      <c r="E1822" s="9" t="s">
        <v>11786</v>
      </c>
      <c r="F1822" s="10" t="s">
        <v>3760</v>
      </c>
      <c r="G1822" s="8">
        <v>23.61</v>
      </c>
      <c r="H1822" s="8"/>
      <c r="I1822" s="10"/>
      <c r="J1822" s="10" t="s">
        <v>11787</v>
      </c>
      <c r="K1822" s="10" t="s">
        <v>11788</v>
      </c>
      <c r="L1822" s="11" t="s">
        <v>11789</v>
      </c>
      <c r="M1822" s="10"/>
      <c r="N1822" s="12"/>
      <c r="O1822" s="12"/>
      <c r="P1822" s="13">
        <f>IFERROR(__xludf.DUMMYFUNCTION("VALUE(SUBSTITUTE((INDEX(SPLIT(A1822,"",""),1)),""."","","",1))"),55.648905)</f>
        <v>55.648905</v>
      </c>
      <c r="Q1822" s="13">
        <f>IFERROR(__xludf.DUMMYFUNCTION("VALUE(SUBSTITUTE((INDEX(SPLIT(A1822,"",""),2)),""."","","",1))"),37.856497)</f>
        <v>37.856497</v>
      </c>
      <c r="R1822" s="14" t="b">
        <f t="shared" si="1"/>
        <v>0</v>
      </c>
      <c r="S1822" s="14" t="str">
        <f t="shared" si="2"/>
        <v>55.648905,37.856497</v>
      </c>
      <c r="T1822" s="12"/>
    </row>
    <row r="1823">
      <c r="A1823" s="20" t="s">
        <v>11790</v>
      </c>
      <c r="B1823" s="16" t="s">
        <v>11791</v>
      </c>
      <c r="C1823" s="16" t="s">
        <v>11792</v>
      </c>
      <c r="D1823" s="16" t="s">
        <v>16</v>
      </c>
      <c r="E1823" s="21" t="s">
        <v>11793</v>
      </c>
      <c r="F1823" s="22" t="s">
        <v>3883</v>
      </c>
      <c r="G1823" s="16">
        <v>23.61</v>
      </c>
      <c r="H1823" s="16"/>
      <c r="I1823" s="22"/>
      <c r="J1823" s="22" t="s">
        <v>11794</v>
      </c>
      <c r="K1823" s="22" t="s">
        <v>11795</v>
      </c>
      <c r="L1823" s="23" t="s">
        <v>11796</v>
      </c>
      <c r="M1823" s="22"/>
      <c r="N1823" s="12"/>
      <c r="O1823" s="12"/>
      <c r="P1823" s="13">
        <f>IFERROR(__xludf.DUMMYFUNCTION("VALUE(SUBSTITUTE((INDEX(SPLIT(A1823,"",""),1)),""."","","",1))"),55.695834)</f>
        <v>55.695834</v>
      </c>
      <c r="Q1823" s="13">
        <f>IFERROR(__xludf.DUMMYFUNCTION("VALUE(SUBSTITUTE((INDEX(SPLIT(A1823,"",""),2)),""."","","",1))"),37.858887)</f>
        <v>37.858887</v>
      </c>
      <c r="R1823" s="14" t="b">
        <f t="shared" si="1"/>
        <v>0</v>
      </c>
      <c r="S1823" s="14" t="str">
        <f t="shared" si="2"/>
        <v>55.695834,37.858887</v>
      </c>
      <c r="T1823" s="12"/>
    </row>
    <row r="1824">
      <c r="A1824" s="18" t="s">
        <v>11797</v>
      </c>
      <c r="B1824" s="8" t="s">
        <v>11798</v>
      </c>
      <c r="C1824" s="8" t="s">
        <v>11799</v>
      </c>
      <c r="D1824" s="8" t="s">
        <v>16</v>
      </c>
      <c r="E1824" s="19" t="s">
        <v>11800</v>
      </c>
      <c r="F1824" s="8" t="s">
        <v>3760</v>
      </c>
      <c r="G1824" s="8">
        <v>23.61</v>
      </c>
      <c r="H1824" s="8"/>
      <c r="I1824" s="8"/>
      <c r="J1824" s="8" t="s">
        <v>11801</v>
      </c>
      <c r="K1824" s="8" t="s">
        <v>11802</v>
      </c>
      <c r="L1824" s="8"/>
      <c r="M1824" s="8"/>
      <c r="N1824" s="12"/>
      <c r="O1824" s="12"/>
      <c r="P1824" s="13">
        <f>IFERROR(__xludf.DUMMYFUNCTION("VALUE(SUBSTITUTE((INDEX(SPLIT(A1824,"",""),1)),""."","","",1))"),56.025251)</f>
        <v>56.025251</v>
      </c>
      <c r="Q1824" s="13">
        <f>IFERROR(__xludf.DUMMYFUNCTION("VALUE(SUBSTITUTE((INDEX(SPLIT(A1824,"",""),2)),""."","","",1))"),37.859408)</f>
        <v>37.859408</v>
      </c>
      <c r="R1824" s="14" t="b">
        <f t="shared" si="1"/>
        <v>0</v>
      </c>
      <c r="S1824" s="14" t="str">
        <f t="shared" si="2"/>
        <v>56.025251,37.859408</v>
      </c>
      <c r="T1824" s="12"/>
    </row>
    <row r="1825">
      <c r="A1825" s="20" t="s">
        <v>11803</v>
      </c>
      <c r="B1825" s="16" t="s">
        <v>763</v>
      </c>
      <c r="C1825" s="16" t="s">
        <v>764</v>
      </c>
      <c r="D1825" s="16" t="s">
        <v>16</v>
      </c>
      <c r="E1825" s="21" t="s">
        <v>11804</v>
      </c>
      <c r="F1825" s="22" t="s">
        <v>3883</v>
      </c>
      <c r="G1825" s="16">
        <v>23.61</v>
      </c>
      <c r="H1825" s="16"/>
      <c r="I1825" s="22"/>
      <c r="J1825" s="22" t="s">
        <v>11805</v>
      </c>
      <c r="K1825" s="22" t="s">
        <v>11806</v>
      </c>
      <c r="L1825" s="23" t="s">
        <v>11807</v>
      </c>
      <c r="M1825" s="23" t="s">
        <v>11808</v>
      </c>
      <c r="N1825" s="12"/>
      <c r="O1825" s="12"/>
      <c r="P1825" s="13">
        <f>IFERROR(__xludf.DUMMYFUNCTION("VALUE(SUBSTITUTE((INDEX(SPLIT(A1825,"",""),1)),""."","","",1))"),55.810516)</f>
        <v>55.810516</v>
      </c>
      <c r="Q1825" s="13">
        <f>IFERROR(__xludf.DUMMYFUNCTION("VALUE(SUBSTITUTE((INDEX(SPLIT(A1825,"",""),2)),""."","","",1))"),37.862992)</f>
        <v>37.862992</v>
      </c>
      <c r="R1825" s="14" t="b">
        <f t="shared" si="1"/>
        <v>0</v>
      </c>
      <c r="S1825" s="14" t="str">
        <f t="shared" si="2"/>
        <v>55.810516,37.862992</v>
      </c>
      <c r="T1825" s="12"/>
    </row>
    <row r="1826">
      <c r="A1826" s="7" t="s">
        <v>11809</v>
      </c>
      <c r="B1826" s="8" t="s">
        <v>11810</v>
      </c>
      <c r="C1826" s="8" t="s">
        <v>11811</v>
      </c>
      <c r="D1826" s="8" t="s">
        <v>16</v>
      </c>
      <c r="E1826" s="9" t="s">
        <v>11812</v>
      </c>
      <c r="F1826" s="10" t="s">
        <v>3760</v>
      </c>
      <c r="G1826" s="8">
        <v>23.61</v>
      </c>
      <c r="H1826" s="8"/>
      <c r="I1826" s="31" t="s">
        <v>11813</v>
      </c>
      <c r="J1826" s="10" t="s">
        <v>11814</v>
      </c>
      <c r="K1826" s="10" t="s">
        <v>11815</v>
      </c>
      <c r="L1826" s="11" t="s">
        <v>11816</v>
      </c>
      <c r="M1826" s="10"/>
      <c r="N1826" s="12"/>
      <c r="O1826" s="12"/>
      <c r="P1826" s="13">
        <f>IFERROR(__xludf.DUMMYFUNCTION("VALUE(SUBSTITUTE((INDEX(SPLIT(A1826,"",""),1)),""."","","",1))"),55.925435)</f>
        <v>55.925435</v>
      </c>
      <c r="Q1826" s="13">
        <f>IFERROR(__xludf.DUMMYFUNCTION("VALUE(SUBSTITUTE((INDEX(SPLIT(A1826,"",""),2)),""."","","",1))"),37.863837)</f>
        <v>37.863837</v>
      </c>
      <c r="R1826" s="14" t="b">
        <f t="shared" si="1"/>
        <v>0</v>
      </c>
      <c r="S1826" s="14" t="str">
        <f t="shared" si="2"/>
        <v>55.925435,37.863837</v>
      </c>
      <c r="T1826" s="12"/>
    </row>
    <row r="1827">
      <c r="A1827" s="15" t="s">
        <v>11817</v>
      </c>
      <c r="B1827" s="16" t="s">
        <v>11818</v>
      </c>
      <c r="C1827" s="16" t="s">
        <v>11819</v>
      </c>
      <c r="D1827" s="16" t="s">
        <v>16</v>
      </c>
      <c r="E1827" s="17" t="s">
        <v>11820</v>
      </c>
      <c r="F1827" s="16" t="s">
        <v>3760</v>
      </c>
      <c r="G1827" s="16">
        <v>23.61</v>
      </c>
      <c r="H1827" s="16"/>
      <c r="I1827" s="16"/>
      <c r="J1827" s="16" t="s">
        <v>11821</v>
      </c>
      <c r="K1827" s="16" t="s">
        <v>11822</v>
      </c>
      <c r="L1827" s="16"/>
      <c r="M1827" s="25" t="s">
        <v>11823</v>
      </c>
      <c r="N1827" s="12"/>
      <c r="O1827" s="12"/>
      <c r="P1827" s="13">
        <f>IFERROR(__xludf.DUMMYFUNCTION("VALUE(SUBSTITUTE((INDEX(SPLIT(A1827,"",""),1)),""."","","",1))"),55.981686)</f>
        <v>55.981686</v>
      </c>
      <c r="Q1827" s="13">
        <f>IFERROR(__xludf.DUMMYFUNCTION("VALUE(SUBSTITUTE((INDEX(SPLIT(A1827,"",""),2)),""."","","",1))"),37.864007)</f>
        <v>37.864007</v>
      </c>
      <c r="R1827" s="14" t="b">
        <f t="shared" si="1"/>
        <v>0</v>
      </c>
      <c r="S1827" s="14" t="str">
        <f t="shared" si="2"/>
        <v>55.981686,37.864007</v>
      </c>
      <c r="T1827" s="12"/>
    </row>
    <row r="1828">
      <c r="A1828" s="18" t="s">
        <v>11824</v>
      </c>
      <c r="B1828" s="8" t="s">
        <v>11825</v>
      </c>
      <c r="C1828" s="8" t="s">
        <v>11826</v>
      </c>
      <c r="D1828" s="8" t="s">
        <v>16</v>
      </c>
      <c r="E1828" s="19" t="s">
        <v>11827</v>
      </c>
      <c r="F1828" s="8" t="s">
        <v>3760</v>
      </c>
      <c r="G1828" s="8">
        <v>23.61</v>
      </c>
      <c r="H1828" s="8"/>
      <c r="I1828" s="8"/>
      <c r="J1828" s="8" t="s">
        <v>11828</v>
      </c>
      <c r="K1828" s="8" t="s">
        <v>11829</v>
      </c>
      <c r="L1828" s="8"/>
      <c r="M1828" s="8"/>
      <c r="N1828" s="12"/>
      <c r="O1828" s="12"/>
      <c r="P1828" s="13">
        <f>IFERROR(__xludf.DUMMYFUNCTION("VALUE(SUBSTITUTE((INDEX(SPLIT(A1828,"",""),1)),""."","","",1))"),55.995599)</f>
        <v>55.995599</v>
      </c>
      <c r="Q1828" s="13">
        <f>IFERROR(__xludf.DUMMYFUNCTION("VALUE(SUBSTITUTE((INDEX(SPLIT(A1828,"",""),2)),""."","","",1))"),37.864286)</f>
        <v>37.864286</v>
      </c>
      <c r="R1828" s="14" t="b">
        <f t="shared" si="1"/>
        <v>0</v>
      </c>
      <c r="S1828" s="14" t="str">
        <f t="shared" si="2"/>
        <v>55.995599,37.864286</v>
      </c>
      <c r="T1828" s="12"/>
    </row>
    <row r="1829">
      <c r="A1829" s="20" t="s">
        <v>11830</v>
      </c>
      <c r="B1829" s="16" t="s">
        <v>10567</v>
      </c>
      <c r="C1829" s="16" t="s">
        <v>10568</v>
      </c>
      <c r="D1829" s="16" t="s">
        <v>16</v>
      </c>
      <c r="E1829" s="21" t="s">
        <v>11831</v>
      </c>
      <c r="F1829" s="22" t="s">
        <v>3760</v>
      </c>
      <c r="G1829" s="16">
        <v>23.61</v>
      </c>
      <c r="H1829" s="16"/>
      <c r="I1829" s="22"/>
      <c r="J1829" s="22" t="s">
        <v>11832</v>
      </c>
      <c r="K1829" s="22" t="s">
        <v>11833</v>
      </c>
      <c r="L1829" s="23" t="s">
        <v>11834</v>
      </c>
      <c r="M1829" s="22"/>
      <c r="N1829" s="12"/>
      <c r="O1829" s="12"/>
      <c r="P1829" s="13">
        <f>IFERROR(__xludf.DUMMYFUNCTION("VALUE(SUBSTITUTE((INDEX(SPLIT(A1829,"",""),1)),""."","","",1))"),55.776274)</f>
        <v>55.776274</v>
      </c>
      <c r="Q1829" s="13">
        <f>IFERROR(__xludf.DUMMYFUNCTION("VALUE(SUBSTITUTE((INDEX(SPLIT(A1829,"",""),2)),""."","","",1))"),37.864429)</f>
        <v>37.864429</v>
      </c>
      <c r="R1829" s="14" t="b">
        <f t="shared" si="1"/>
        <v>0</v>
      </c>
      <c r="S1829" s="14" t="str">
        <f t="shared" si="2"/>
        <v>55.776274,37.864429</v>
      </c>
      <c r="T1829" s="12"/>
    </row>
    <row r="1830">
      <c r="A1830" s="18" t="s">
        <v>11835</v>
      </c>
      <c r="B1830" s="8" t="s">
        <v>11836</v>
      </c>
      <c r="C1830" s="8" t="s">
        <v>11837</v>
      </c>
      <c r="D1830" s="8" t="s">
        <v>16</v>
      </c>
      <c r="E1830" s="19" t="s">
        <v>11838</v>
      </c>
      <c r="F1830" s="8" t="s">
        <v>3760</v>
      </c>
      <c r="G1830" s="8">
        <v>23.61</v>
      </c>
      <c r="H1830" s="8"/>
      <c r="I1830" s="8"/>
      <c r="J1830" s="8" t="s">
        <v>11839</v>
      </c>
      <c r="K1830" s="8" t="s">
        <v>11840</v>
      </c>
      <c r="L1830" s="8"/>
      <c r="M1830" s="8"/>
      <c r="N1830" s="12"/>
      <c r="O1830" s="12"/>
      <c r="P1830" s="13">
        <f>IFERROR(__xludf.DUMMYFUNCTION("VALUE(SUBSTITUTE((INDEX(SPLIT(A1830,"",""),1)),""."","","",1))"),55.914358)</f>
        <v>55.914358</v>
      </c>
      <c r="Q1830" s="13">
        <f>IFERROR(__xludf.DUMMYFUNCTION("VALUE(SUBSTITUTE((INDEX(SPLIT(A1830,"",""),2)),""."","","",1))"),37.866738)</f>
        <v>37.866738</v>
      </c>
      <c r="R1830" s="14" t="b">
        <f t="shared" si="1"/>
        <v>0</v>
      </c>
      <c r="S1830" s="14" t="str">
        <f t="shared" si="2"/>
        <v>55.914358,37.866738</v>
      </c>
      <c r="T1830" s="12"/>
    </row>
    <row r="1831">
      <c r="A1831" s="20" t="s">
        <v>11841</v>
      </c>
      <c r="B1831" s="16" t="s">
        <v>11842</v>
      </c>
      <c r="C1831" s="16" t="s">
        <v>11843</v>
      </c>
      <c r="D1831" s="16" t="s">
        <v>16</v>
      </c>
      <c r="E1831" s="21" t="s">
        <v>11844</v>
      </c>
      <c r="F1831" s="22" t="s">
        <v>3760</v>
      </c>
      <c r="G1831" s="16">
        <v>23.61</v>
      </c>
      <c r="H1831" s="16"/>
      <c r="I1831" s="22"/>
      <c r="J1831" s="22" t="s">
        <v>11845</v>
      </c>
      <c r="K1831" s="22" t="s">
        <v>11846</v>
      </c>
      <c r="L1831" s="23" t="s">
        <v>11847</v>
      </c>
      <c r="M1831" s="22"/>
      <c r="N1831" s="12"/>
      <c r="O1831" s="12"/>
      <c r="P1831" s="13">
        <f>IFERROR(__xludf.DUMMYFUNCTION("VALUE(SUBSTITUTE((INDEX(SPLIT(A1831,"",""),1)),""."","","",1))"),55.674027)</f>
        <v>55.674027</v>
      </c>
      <c r="Q1831" s="13">
        <f>IFERROR(__xludf.DUMMYFUNCTION("VALUE(SUBSTITUTE((INDEX(SPLIT(A1831,"",""),2)),""."","","",1))"),37.871553)</f>
        <v>37.871553</v>
      </c>
      <c r="R1831" s="14" t="b">
        <f t="shared" si="1"/>
        <v>0</v>
      </c>
      <c r="S1831" s="14" t="str">
        <f t="shared" si="2"/>
        <v>55.674027,37.871553</v>
      </c>
      <c r="T1831" s="12"/>
    </row>
    <row r="1832">
      <c r="A1832" s="18" t="s">
        <v>11848</v>
      </c>
      <c r="B1832" s="8" t="s">
        <v>11849</v>
      </c>
      <c r="C1832" s="8" t="s">
        <v>11850</v>
      </c>
      <c r="D1832" s="8" t="s">
        <v>16</v>
      </c>
      <c r="E1832" s="19" t="s">
        <v>11851</v>
      </c>
      <c r="F1832" s="8" t="s">
        <v>11562</v>
      </c>
      <c r="G1832" s="8">
        <v>23.61</v>
      </c>
      <c r="H1832" s="8"/>
      <c r="I1832" s="8"/>
      <c r="J1832" s="8" t="s">
        <v>11852</v>
      </c>
      <c r="K1832" s="8" t="s">
        <v>11853</v>
      </c>
      <c r="L1832" s="8"/>
      <c r="M1832" s="24" t="s">
        <v>11854</v>
      </c>
      <c r="N1832" s="12"/>
      <c r="O1832" s="12"/>
      <c r="P1832" s="13">
        <f>IFERROR(__xludf.DUMMYFUNCTION("VALUE(SUBSTITUTE((INDEX(SPLIT(A1832,"",""),1)),""."","","",1))"),59.128394)</f>
        <v>59.128394</v>
      </c>
      <c r="Q1832" s="13">
        <f>IFERROR(__xludf.DUMMYFUNCTION("VALUE(SUBSTITUTE((INDEX(SPLIT(A1832,"",""),2)),""."","","",1))"),37.872775)</f>
        <v>37.872775</v>
      </c>
      <c r="R1832" s="14" t="b">
        <f t="shared" si="1"/>
        <v>0</v>
      </c>
      <c r="S1832" s="14" t="str">
        <f t="shared" si="2"/>
        <v>59.128394,37.872775</v>
      </c>
      <c r="T1832" s="12"/>
    </row>
    <row r="1833">
      <c r="A1833" s="20" t="s">
        <v>11855</v>
      </c>
      <c r="B1833" s="16" t="s">
        <v>11856</v>
      </c>
      <c r="C1833" s="16" t="s">
        <v>11857</v>
      </c>
      <c r="D1833" s="16" t="s">
        <v>16</v>
      </c>
      <c r="E1833" s="21" t="s">
        <v>11858</v>
      </c>
      <c r="F1833" s="22" t="s">
        <v>11562</v>
      </c>
      <c r="G1833" s="16">
        <v>23.61</v>
      </c>
      <c r="H1833" s="16"/>
      <c r="I1833" s="22"/>
      <c r="J1833" s="22" t="s">
        <v>11859</v>
      </c>
      <c r="K1833" s="22" t="s">
        <v>11860</v>
      </c>
      <c r="L1833" s="23" t="s">
        <v>11861</v>
      </c>
      <c r="M1833" s="23" t="s">
        <v>11862</v>
      </c>
      <c r="N1833" s="12"/>
      <c r="O1833" s="12"/>
      <c r="P1833" s="13">
        <f>IFERROR(__xludf.DUMMYFUNCTION("VALUE(SUBSTITUTE((INDEX(SPLIT(A1833,"",""),1)),""."","","",1))"),59.124021)</f>
        <v>59.124021</v>
      </c>
      <c r="Q1833" s="13">
        <f>IFERROR(__xludf.DUMMYFUNCTION("VALUE(SUBSTITUTE((INDEX(SPLIT(A1833,"",""),2)),""."","","",1))"),37.880931)</f>
        <v>37.880931</v>
      </c>
      <c r="R1833" s="14" t="b">
        <f t="shared" si="1"/>
        <v>0</v>
      </c>
      <c r="S1833" s="14" t="str">
        <f t="shared" si="2"/>
        <v>59.124021,37.880931</v>
      </c>
      <c r="T1833" s="12"/>
    </row>
    <row r="1834">
      <c r="A1834" s="18" t="s">
        <v>11855</v>
      </c>
      <c r="B1834" s="8" t="s">
        <v>11863</v>
      </c>
      <c r="C1834" s="8" t="s">
        <v>11864</v>
      </c>
      <c r="D1834" s="8" t="s">
        <v>16</v>
      </c>
      <c r="E1834" s="19" t="s">
        <v>11865</v>
      </c>
      <c r="F1834" s="8" t="s">
        <v>11562</v>
      </c>
      <c r="G1834" s="8">
        <v>23.61</v>
      </c>
      <c r="H1834" s="8"/>
      <c r="I1834" s="8"/>
      <c r="J1834" s="8" t="s">
        <v>11866</v>
      </c>
      <c r="K1834" s="8" t="s">
        <v>11867</v>
      </c>
      <c r="L1834" s="8"/>
      <c r="M1834" s="8"/>
      <c r="N1834" s="12"/>
      <c r="O1834" s="12"/>
      <c r="P1834" s="13">
        <f>IFERROR(__xludf.DUMMYFUNCTION("VALUE(SUBSTITUTE((INDEX(SPLIT(A1834,"",""),1)),""."","","",1))"),59.124021)</f>
        <v>59.124021</v>
      </c>
      <c r="Q1834" s="13">
        <f>IFERROR(__xludf.DUMMYFUNCTION("VALUE(SUBSTITUTE((INDEX(SPLIT(A1834,"",""),2)),""."","","",1))"),37.880931)</f>
        <v>37.880931</v>
      </c>
      <c r="R1834" s="14" t="b">
        <f t="shared" si="1"/>
        <v>0</v>
      </c>
      <c r="S1834" s="14" t="str">
        <f t="shared" si="2"/>
        <v>59.124021,37.880931</v>
      </c>
      <c r="T1834" s="12"/>
    </row>
    <row r="1835">
      <c r="A1835" s="20" t="s">
        <v>11868</v>
      </c>
      <c r="B1835" s="16" t="s">
        <v>11869</v>
      </c>
      <c r="C1835" s="16" t="s">
        <v>11870</v>
      </c>
      <c r="D1835" s="16" t="s">
        <v>16</v>
      </c>
      <c r="E1835" s="21" t="s">
        <v>11871</v>
      </c>
      <c r="F1835" s="22" t="s">
        <v>3760</v>
      </c>
      <c r="G1835" s="16">
        <v>23.61</v>
      </c>
      <c r="H1835" s="16"/>
      <c r="I1835" s="22"/>
      <c r="J1835" s="22" t="s">
        <v>11872</v>
      </c>
      <c r="K1835" s="22" t="s">
        <v>11873</v>
      </c>
      <c r="L1835" s="23" t="s">
        <v>11874</v>
      </c>
      <c r="M1835" s="23" t="s">
        <v>11875</v>
      </c>
      <c r="N1835" s="12"/>
      <c r="O1835" s="12"/>
      <c r="P1835" s="13">
        <f>IFERROR(__xludf.DUMMYFUNCTION("VALUE(SUBSTITUTE((INDEX(SPLIT(A1835,"",""),1)),""."","","",1))"),56.051868)</f>
        <v>56.051868</v>
      </c>
      <c r="Q1835" s="13">
        <f>IFERROR(__xludf.DUMMYFUNCTION("VALUE(SUBSTITUTE((INDEX(SPLIT(A1835,"",""),2)),""."","","",1))"),37.882234)</f>
        <v>37.882234</v>
      </c>
      <c r="R1835" s="14" t="b">
        <f t="shared" si="1"/>
        <v>0</v>
      </c>
      <c r="S1835" s="14" t="str">
        <f t="shared" si="2"/>
        <v>56.051868,37.882234</v>
      </c>
      <c r="T1835" s="12"/>
    </row>
    <row r="1836">
      <c r="A1836" s="18" t="s">
        <v>11876</v>
      </c>
      <c r="B1836" s="8" t="s">
        <v>11877</v>
      </c>
      <c r="C1836" s="8" t="s">
        <v>11878</v>
      </c>
      <c r="D1836" s="8" t="s">
        <v>16</v>
      </c>
      <c r="E1836" s="19" t="s">
        <v>11879</v>
      </c>
      <c r="F1836" s="8" t="s">
        <v>3760</v>
      </c>
      <c r="G1836" s="8">
        <v>23.61</v>
      </c>
      <c r="H1836" s="8"/>
      <c r="I1836" s="8"/>
      <c r="J1836" s="8" t="s">
        <v>11880</v>
      </c>
      <c r="K1836" s="8" t="s">
        <v>11881</v>
      </c>
      <c r="L1836" s="8"/>
      <c r="M1836" s="8"/>
      <c r="N1836" s="12"/>
      <c r="O1836" s="12"/>
      <c r="P1836" s="13">
        <f>IFERROR(__xludf.DUMMYFUNCTION("VALUE(SUBSTITUTE((INDEX(SPLIT(A1836,"",""),1)),""."","","",1))"),55.675727)</f>
        <v>55.675727</v>
      </c>
      <c r="Q1836" s="13">
        <f>IFERROR(__xludf.DUMMYFUNCTION("VALUE(SUBSTITUTE((INDEX(SPLIT(A1836,"",""),2)),""."","","",1))"),37.88351)</f>
        <v>37.88351</v>
      </c>
      <c r="R1836" s="14" t="b">
        <f t="shared" si="1"/>
        <v>0</v>
      </c>
      <c r="S1836" s="14" t="str">
        <f t="shared" si="2"/>
        <v>55.675727,37.88351</v>
      </c>
      <c r="T1836" s="12"/>
    </row>
    <row r="1837">
      <c r="A1837" s="15" t="s">
        <v>11882</v>
      </c>
      <c r="B1837" s="16" t="s">
        <v>11883</v>
      </c>
      <c r="C1837" s="16" t="s">
        <v>11884</v>
      </c>
      <c r="D1837" s="16" t="s">
        <v>16</v>
      </c>
      <c r="E1837" s="17" t="s">
        <v>11885</v>
      </c>
      <c r="F1837" s="16" t="s">
        <v>3760</v>
      </c>
      <c r="G1837" s="16">
        <v>23.61</v>
      </c>
      <c r="H1837" s="16"/>
      <c r="I1837" s="16"/>
      <c r="J1837" s="16" t="s">
        <v>11886</v>
      </c>
      <c r="K1837" s="16" t="s">
        <v>11887</v>
      </c>
      <c r="L1837" s="16"/>
      <c r="M1837" s="16"/>
      <c r="N1837" s="12"/>
      <c r="O1837" s="12"/>
      <c r="P1837" s="13">
        <f>IFERROR(__xludf.DUMMYFUNCTION("VALUE(SUBSTITUTE((INDEX(SPLIT(A1837,"",""),1)),""."","","",1))"),55.670569)</f>
        <v>55.670569</v>
      </c>
      <c r="Q1837" s="13">
        <f>IFERROR(__xludf.DUMMYFUNCTION("VALUE(SUBSTITUTE((INDEX(SPLIT(A1837,"",""),2)),""."","","",1))"),37.884147)</f>
        <v>37.884147</v>
      </c>
      <c r="R1837" s="14" t="b">
        <f t="shared" si="1"/>
        <v>0</v>
      </c>
      <c r="S1837" s="14" t="str">
        <f t="shared" si="2"/>
        <v>55.670569,37.884147</v>
      </c>
      <c r="T1837" s="12"/>
    </row>
    <row r="1838">
      <c r="A1838" s="18" t="s">
        <v>11888</v>
      </c>
      <c r="B1838" s="8" t="s">
        <v>11889</v>
      </c>
      <c r="C1838" s="8" t="s">
        <v>11890</v>
      </c>
      <c r="D1838" s="8" t="s">
        <v>16</v>
      </c>
      <c r="E1838" s="19" t="s">
        <v>11891</v>
      </c>
      <c r="F1838" s="8" t="s">
        <v>11562</v>
      </c>
      <c r="G1838" s="8">
        <v>23.61</v>
      </c>
      <c r="H1838" s="8"/>
      <c r="I1838" s="8"/>
      <c r="J1838" s="8" t="s">
        <v>11892</v>
      </c>
      <c r="K1838" s="8" t="s">
        <v>11893</v>
      </c>
      <c r="L1838" s="8"/>
      <c r="M1838" s="8"/>
      <c r="N1838" s="12"/>
      <c r="O1838" s="12"/>
      <c r="P1838" s="13">
        <f>IFERROR(__xludf.DUMMYFUNCTION("VALUE(SUBSTITUTE((INDEX(SPLIT(A1838,"",""),1)),""."","","",1))"),59.124247)</f>
        <v>59.124247</v>
      </c>
      <c r="Q1838" s="13">
        <f>IFERROR(__xludf.DUMMYFUNCTION("VALUE(SUBSTITUTE((INDEX(SPLIT(A1838,"",""),2)),""."","","",1))"),37.886447)</f>
        <v>37.886447</v>
      </c>
      <c r="R1838" s="14" t="b">
        <f t="shared" si="1"/>
        <v>0</v>
      </c>
      <c r="S1838" s="14" t="str">
        <f t="shared" si="2"/>
        <v>59.124247,37.886447</v>
      </c>
      <c r="T1838" s="12"/>
    </row>
    <row r="1839">
      <c r="A1839" s="15" t="s">
        <v>11894</v>
      </c>
      <c r="B1839" s="16" t="s">
        <v>11895</v>
      </c>
      <c r="C1839" s="16" t="s">
        <v>11896</v>
      </c>
      <c r="D1839" s="16" t="s">
        <v>16</v>
      </c>
      <c r="E1839" s="17" t="s">
        <v>11897</v>
      </c>
      <c r="F1839" s="16" t="s">
        <v>6732</v>
      </c>
      <c r="G1839" s="16">
        <v>23.61</v>
      </c>
      <c r="H1839" s="16"/>
      <c r="I1839" s="16"/>
      <c r="J1839" s="16" t="s">
        <v>11898</v>
      </c>
      <c r="K1839" s="16" t="s">
        <v>11899</v>
      </c>
      <c r="L1839" s="16"/>
      <c r="M1839" s="25" t="s">
        <v>11900</v>
      </c>
      <c r="N1839" s="12"/>
      <c r="O1839" s="12"/>
      <c r="P1839" s="13">
        <f>IFERROR(__xludf.DUMMYFUNCTION("VALUE(SUBSTITUTE((INDEX(SPLIT(A1839,"",""),1)),""."","","",1))"),54.165357)</f>
        <v>54.165357</v>
      </c>
      <c r="Q1839" s="13">
        <f>IFERROR(__xludf.DUMMYFUNCTION("VALUE(SUBSTITUTE((INDEX(SPLIT(A1839,"",""),2)),""."","","",1))"),37.889735)</f>
        <v>37.889735</v>
      </c>
      <c r="R1839" s="14" t="b">
        <f t="shared" si="1"/>
        <v>0</v>
      </c>
      <c r="S1839" s="14" t="str">
        <f t="shared" si="2"/>
        <v>54.165357,37.889735</v>
      </c>
      <c r="T1839" s="12"/>
    </row>
    <row r="1840">
      <c r="A1840" s="18" t="s">
        <v>11901</v>
      </c>
      <c r="B1840" s="8" t="s">
        <v>11902</v>
      </c>
      <c r="C1840" s="8" t="s">
        <v>11903</v>
      </c>
      <c r="D1840" s="8" t="s">
        <v>16</v>
      </c>
      <c r="E1840" s="19" t="s">
        <v>11904</v>
      </c>
      <c r="F1840" s="8" t="s">
        <v>11562</v>
      </c>
      <c r="G1840" s="8">
        <v>23.61</v>
      </c>
      <c r="H1840" s="8"/>
      <c r="I1840" s="8"/>
      <c r="J1840" s="8" t="s">
        <v>11905</v>
      </c>
      <c r="K1840" s="8" t="s">
        <v>11906</v>
      </c>
      <c r="L1840" s="8"/>
      <c r="M1840" s="8"/>
      <c r="N1840" s="12"/>
      <c r="O1840" s="12"/>
      <c r="P1840" s="13">
        <f>IFERROR(__xludf.DUMMYFUNCTION("VALUE(SUBSTITUTE((INDEX(SPLIT(A1840,"",""),1)),""."","","",1))"),59.121458)</f>
        <v>59.121458</v>
      </c>
      <c r="Q1840" s="13">
        <f>IFERROR(__xludf.DUMMYFUNCTION("VALUE(SUBSTITUTE((INDEX(SPLIT(A1840,"",""),2)),""."","","",1))"),37.890975)</f>
        <v>37.890975</v>
      </c>
      <c r="R1840" s="14" t="b">
        <f t="shared" si="1"/>
        <v>0</v>
      </c>
      <c r="S1840" s="14" t="str">
        <f t="shared" si="2"/>
        <v>59.121458,37.890975</v>
      </c>
      <c r="T1840" s="12"/>
    </row>
    <row r="1841">
      <c r="A1841" s="15" t="s">
        <v>11907</v>
      </c>
      <c r="B1841" s="16" t="s">
        <v>11908</v>
      </c>
      <c r="C1841" s="16" t="s">
        <v>11909</v>
      </c>
      <c r="D1841" s="16" t="s">
        <v>16</v>
      </c>
      <c r="E1841" s="17" t="s">
        <v>11910</v>
      </c>
      <c r="F1841" s="16" t="s">
        <v>3760</v>
      </c>
      <c r="G1841" s="16">
        <v>23.61</v>
      </c>
      <c r="H1841" s="16"/>
      <c r="I1841" s="16"/>
      <c r="J1841" s="16" t="s">
        <v>11911</v>
      </c>
      <c r="K1841" s="16" t="s">
        <v>11912</v>
      </c>
      <c r="L1841" s="16"/>
      <c r="M1841" s="16"/>
      <c r="N1841" s="12"/>
      <c r="O1841" s="12"/>
      <c r="P1841" s="13">
        <f>IFERROR(__xludf.DUMMYFUNCTION("VALUE(SUBSTITUTE((INDEX(SPLIT(A1841,"",""),1)),""."","","",1))"),55.661714)</f>
        <v>55.661714</v>
      </c>
      <c r="Q1841" s="13">
        <f>IFERROR(__xludf.DUMMYFUNCTION("VALUE(SUBSTITUTE((INDEX(SPLIT(A1841,"",""),2)),""."","","",1))"),37.893804)</f>
        <v>37.893804</v>
      </c>
      <c r="R1841" s="14" t="b">
        <f t="shared" si="1"/>
        <v>0</v>
      </c>
      <c r="S1841" s="14" t="str">
        <f t="shared" si="2"/>
        <v>55.661714,37.893804</v>
      </c>
      <c r="T1841" s="12"/>
    </row>
    <row r="1842">
      <c r="A1842" s="18" t="s">
        <v>11913</v>
      </c>
      <c r="B1842" s="8" t="s">
        <v>11914</v>
      </c>
      <c r="C1842" s="8" t="s">
        <v>11915</v>
      </c>
      <c r="D1842" s="8" t="s">
        <v>16</v>
      </c>
      <c r="E1842" s="19" t="s">
        <v>11916</v>
      </c>
      <c r="F1842" s="8" t="s">
        <v>6732</v>
      </c>
      <c r="G1842" s="8">
        <v>23.61</v>
      </c>
      <c r="H1842" s="8"/>
      <c r="I1842" s="8"/>
      <c r="J1842" s="8" t="s">
        <v>11917</v>
      </c>
      <c r="K1842" s="8" t="s">
        <v>11918</v>
      </c>
      <c r="L1842" s="8"/>
      <c r="M1842" s="8"/>
      <c r="N1842" s="12"/>
      <c r="O1842" s="12"/>
      <c r="P1842" s="13">
        <f>IFERROR(__xludf.DUMMYFUNCTION("VALUE(SUBSTITUTE((INDEX(SPLIT(A1842,"",""),1)),""."","","",1))"),54.799812)</f>
        <v>54.799812</v>
      </c>
      <c r="Q1842" s="13">
        <f>IFERROR(__xludf.DUMMYFUNCTION("VALUE(SUBSTITUTE((INDEX(SPLIT(A1842,"",""),2)),""."","","",1))"),37.895215)</f>
        <v>37.895215</v>
      </c>
      <c r="R1842" s="14" t="b">
        <f t="shared" si="1"/>
        <v>0</v>
      </c>
      <c r="S1842" s="14" t="str">
        <f t="shared" si="2"/>
        <v>54.799812,37.895215</v>
      </c>
      <c r="T1842" s="12"/>
    </row>
    <row r="1843">
      <c r="A1843" s="15" t="s">
        <v>11919</v>
      </c>
      <c r="B1843" s="16" t="s">
        <v>11920</v>
      </c>
      <c r="C1843" s="16" t="s">
        <v>11921</v>
      </c>
      <c r="D1843" s="16" t="s">
        <v>16</v>
      </c>
      <c r="E1843" s="17" t="s">
        <v>11922</v>
      </c>
      <c r="F1843" s="16" t="s">
        <v>3883</v>
      </c>
      <c r="G1843" s="16">
        <v>23.61</v>
      </c>
      <c r="H1843" s="16"/>
      <c r="I1843" s="16"/>
      <c r="J1843" s="16" t="s">
        <v>11923</v>
      </c>
      <c r="K1843" s="16" t="s">
        <v>11924</v>
      </c>
      <c r="L1843" s="16"/>
      <c r="M1843" s="25" t="s">
        <v>11925</v>
      </c>
      <c r="N1843" s="12"/>
      <c r="O1843" s="12"/>
      <c r="P1843" s="13">
        <f>IFERROR(__xludf.DUMMYFUNCTION("VALUE(SUBSTITUTE((INDEX(SPLIT(A1843,"",""),1)),""."","","",1))"),55.972741)</f>
        <v>55.972741</v>
      </c>
      <c r="Q1843" s="13">
        <f>IFERROR(__xludf.DUMMYFUNCTION("VALUE(SUBSTITUTE((INDEX(SPLIT(A1843,"",""),2)),""."","","",1))"),37.89596)</f>
        <v>37.89596</v>
      </c>
      <c r="R1843" s="14" t="b">
        <f t="shared" si="1"/>
        <v>0</v>
      </c>
      <c r="S1843" s="14" t="str">
        <f t="shared" si="2"/>
        <v>55.972741,37.89596</v>
      </c>
      <c r="T1843" s="12"/>
    </row>
    <row r="1844">
      <c r="A1844" s="18" t="s">
        <v>11926</v>
      </c>
      <c r="B1844" s="8" t="s">
        <v>11927</v>
      </c>
      <c r="C1844" s="8" t="s">
        <v>11928</v>
      </c>
      <c r="D1844" s="8" t="s">
        <v>16</v>
      </c>
      <c r="E1844" s="19" t="s">
        <v>11929</v>
      </c>
      <c r="F1844" s="8" t="s">
        <v>3760</v>
      </c>
      <c r="G1844" s="8">
        <v>23.61</v>
      </c>
      <c r="H1844" s="8"/>
      <c r="I1844" s="8"/>
      <c r="J1844" s="8" t="s">
        <v>11930</v>
      </c>
      <c r="K1844" s="8" t="s">
        <v>11931</v>
      </c>
      <c r="L1844" s="8"/>
      <c r="M1844" s="8"/>
      <c r="N1844" s="12"/>
      <c r="O1844" s="12"/>
      <c r="P1844" s="13">
        <f>IFERROR(__xludf.DUMMYFUNCTION("VALUE(SUBSTITUTE((INDEX(SPLIT(A1844,"",""),1)),""."","","",1))"),55.972635)</f>
        <v>55.972635</v>
      </c>
      <c r="Q1844" s="13">
        <f>IFERROR(__xludf.DUMMYFUNCTION("VALUE(SUBSTITUTE((INDEX(SPLIT(A1844,"",""),2)),""."","","",1))"),37.896427)</f>
        <v>37.896427</v>
      </c>
      <c r="R1844" s="14" t="b">
        <f t="shared" si="1"/>
        <v>0</v>
      </c>
      <c r="S1844" s="14" t="str">
        <f t="shared" si="2"/>
        <v>55.972635,37.896427</v>
      </c>
      <c r="T1844" s="12"/>
    </row>
    <row r="1845">
      <c r="A1845" s="15" t="s">
        <v>11932</v>
      </c>
      <c r="B1845" s="16" t="s">
        <v>7187</v>
      </c>
      <c r="C1845" s="16" t="s">
        <v>7188</v>
      </c>
      <c r="D1845" s="16" t="s">
        <v>16</v>
      </c>
      <c r="E1845" s="17" t="s">
        <v>11933</v>
      </c>
      <c r="F1845" s="16" t="s">
        <v>11562</v>
      </c>
      <c r="G1845" s="16">
        <v>23.61</v>
      </c>
      <c r="H1845" s="16"/>
      <c r="I1845" s="16"/>
      <c r="J1845" s="16" t="s">
        <v>11934</v>
      </c>
      <c r="K1845" s="16" t="s">
        <v>11935</v>
      </c>
      <c r="L1845" s="16"/>
      <c r="M1845" s="16"/>
      <c r="N1845" s="12"/>
      <c r="O1845" s="12"/>
      <c r="P1845" s="13">
        <f>IFERROR(__xludf.DUMMYFUNCTION("VALUE(SUBSTITUTE((INDEX(SPLIT(A1845,"",""),1)),""."","","",1))"),59.118908)</f>
        <v>59.118908</v>
      </c>
      <c r="Q1845" s="13">
        <f>IFERROR(__xludf.DUMMYFUNCTION("VALUE(SUBSTITUTE((INDEX(SPLIT(A1845,"",""),2)),""."","","",1))"),37.896661)</f>
        <v>37.896661</v>
      </c>
      <c r="R1845" s="14" t="b">
        <f t="shared" si="1"/>
        <v>0</v>
      </c>
      <c r="S1845" s="14" t="str">
        <f t="shared" si="2"/>
        <v>59.118908,37.896661</v>
      </c>
      <c r="T1845" s="12"/>
    </row>
    <row r="1846">
      <c r="A1846" s="7" t="s">
        <v>11936</v>
      </c>
      <c r="B1846" s="8" t="s">
        <v>11937</v>
      </c>
      <c r="C1846" s="8" t="s">
        <v>11938</v>
      </c>
      <c r="D1846" s="8" t="s">
        <v>16</v>
      </c>
      <c r="E1846" s="9" t="s">
        <v>11939</v>
      </c>
      <c r="F1846" s="10" t="s">
        <v>11562</v>
      </c>
      <c r="G1846" s="8">
        <v>23.61</v>
      </c>
      <c r="H1846" s="8"/>
      <c r="I1846" s="10"/>
      <c r="J1846" s="10" t="s">
        <v>11940</v>
      </c>
      <c r="K1846" s="10" t="s">
        <v>11941</v>
      </c>
      <c r="L1846" s="11" t="s">
        <v>11942</v>
      </c>
      <c r="M1846" s="10"/>
      <c r="N1846" s="12"/>
      <c r="O1846" s="12"/>
      <c r="P1846" s="13">
        <f>IFERROR(__xludf.DUMMYFUNCTION("VALUE(SUBSTITUTE((INDEX(SPLIT(A1846,"",""),1)),""."","","",1))"),59.090176)</f>
        <v>59.090176</v>
      </c>
      <c r="Q1846" s="13">
        <f>IFERROR(__xludf.DUMMYFUNCTION("VALUE(SUBSTITUTE((INDEX(SPLIT(A1846,"",""),2)),""."","","",1))"),37.905644)</f>
        <v>37.905644</v>
      </c>
      <c r="R1846" s="14" t="b">
        <f t="shared" si="1"/>
        <v>0</v>
      </c>
      <c r="S1846" s="14" t="str">
        <f t="shared" si="2"/>
        <v>59.090176,37.905644</v>
      </c>
      <c r="T1846" s="12"/>
    </row>
    <row r="1847">
      <c r="A1847" s="20" t="s">
        <v>11943</v>
      </c>
      <c r="B1847" s="16" t="s">
        <v>11944</v>
      </c>
      <c r="C1847" s="16" t="s">
        <v>11945</v>
      </c>
      <c r="D1847" s="16" t="s">
        <v>16</v>
      </c>
      <c r="E1847" s="21" t="s">
        <v>11946</v>
      </c>
      <c r="F1847" s="22" t="s">
        <v>3883</v>
      </c>
      <c r="G1847" s="16">
        <v>23.61</v>
      </c>
      <c r="H1847" s="16"/>
      <c r="I1847" s="22"/>
      <c r="J1847" s="22" t="s">
        <v>11947</v>
      </c>
      <c r="K1847" s="22" t="s">
        <v>11948</v>
      </c>
      <c r="L1847" s="23" t="s">
        <v>11949</v>
      </c>
      <c r="M1847" s="22"/>
      <c r="N1847" s="12"/>
      <c r="O1847" s="12"/>
      <c r="P1847" s="13">
        <f>IFERROR(__xludf.DUMMYFUNCTION("VALUE(SUBSTITUTE((INDEX(SPLIT(A1847,"",""),1)),""."","","",1))"),55.626319)</f>
        <v>55.626319</v>
      </c>
      <c r="Q1847" s="13">
        <f>IFERROR(__xludf.DUMMYFUNCTION("VALUE(SUBSTITUTE((INDEX(SPLIT(A1847,"",""),2)),""."","","",1))"),37.906336)</f>
        <v>37.906336</v>
      </c>
      <c r="R1847" s="14" t="b">
        <f t="shared" si="1"/>
        <v>0</v>
      </c>
      <c r="S1847" s="14" t="str">
        <f t="shared" si="2"/>
        <v>55.626319,37.906336</v>
      </c>
      <c r="T1847" s="12"/>
    </row>
    <row r="1848">
      <c r="A1848" s="7" t="s">
        <v>11950</v>
      </c>
      <c r="B1848" s="8" t="s">
        <v>11951</v>
      </c>
      <c r="C1848" s="8" t="s">
        <v>11952</v>
      </c>
      <c r="D1848" s="8" t="s">
        <v>16</v>
      </c>
      <c r="E1848" s="9" t="s">
        <v>11953</v>
      </c>
      <c r="F1848" s="10" t="s">
        <v>3760</v>
      </c>
      <c r="G1848" s="8">
        <v>23.61</v>
      </c>
      <c r="H1848" s="8"/>
      <c r="I1848" s="10"/>
      <c r="J1848" s="10" t="s">
        <v>11954</v>
      </c>
      <c r="K1848" s="10" t="s">
        <v>11955</v>
      </c>
      <c r="L1848" s="11" t="s">
        <v>11956</v>
      </c>
      <c r="M1848" s="10"/>
      <c r="N1848" s="12"/>
      <c r="O1848" s="12"/>
      <c r="P1848" s="13">
        <f>IFERROR(__xludf.DUMMYFUNCTION("VALUE(SUBSTITUTE((INDEX(SPLIT(A1848,"",""),1)),""."","","",1))"),55.67062)</f>
        <v>55.67062</v>
      </c>
      <c r="Q1848" s="13">
        <f>IFERROR(__xludf.DUMMYFUNCTION("VALUE(SUBSTITUTE((INDEX(SPLIT(A1848,"",""),2)),""."","","",1))"),37.90709)</f>
        <v>37.90709</v>
      </c>
      <c r="R1848" s="14" t="b">
        <f t="shared" si="1"/>
        <v>0</v>
      </c>
      <c r="S1848" s="14" t="str">
        <f t="shared" si="2"/>
        <v>55.67062,37.90709</v>
      </c>
      <c r="T1848" s="12"/>
    </row>
    <row r="1849">
      <c r="A1849" s="15" t="s">
        <v>11957</v>
      </c>
      <c r="B1849" s="16" t="s">
        <v>11958</v>
      </c>
      <c r="C1849" s="16" t="s">
        <v>11959</v>
      </c>
      <c r="D1849" s="16" t="s">
        <v>16</v>
      </c>
      <c r="E1849" s="17" t="s">
        <v>11960</v>
      </c>
      <c r="F1849" s="16" t="s">
        <v>3760</v>
      </c>
      <c r="G1849" s="16">
        <v>23.61</v>
      </c>
      <c r="H1849" s="16"/>
      <c r="I1849" s="16"/>
      <c r="J1849" s="16" t="s">
        <v>11961</v>
      </c>
      <c r="K1849" s="16" t="s">
        <v>11962</v>
      </c>
      <c r="L1849" s="16"/>
      <c r="M1849" s="25" t="s">
        <v>11963</v>
      </c>
      <c r="N1849" s="12"/>
      <c r="O1849" s="12"/>
      <c r="P1849" s="13">
        <f>IFERROR(__xludf.DUMMYFUNCTION("VALUE(SUBSTITUTE((INDEX(SPLIT(A1849,"",""),1)),""."","","",1))"),55.976201)</f>
        <v>55.976201</v>
      </c>
      <c r="Q1849" s="13">
        <f>IFERROR(__xludf.DUMMYFUNCTION("VALUE(SUBSTITUTE((INDEX(SPLIT(A1849,"",""),2)),""."","","",1))"),37.907414)</f>
        <v>37.907414</v>
      </c>
      <c r="R1849" s="14" t="b">
        <f t="shared" si="1"/>
        <v>0</v>
      </c>
      <c r="S1849" s="14" t="str">
        <f t="shared" si="2"/>
        <v>55.976201,37.907414</v>
      </c>
      <c r="T1849" s="12"/>
    </row>
    <row r="1850">
      <c r="A1850" s="7" t="s">
        <v>11964</v>
      </c>
      <c r="B1850" s="8" t="s">
        <v>11965</v>
      </c>
      <c r="C1850" s="8" t="s">
        <v>11966</v>
      </c>
      <c r="D1850" s="8" t="s">
        <v>16</v>
      </c>
      <c r="E1850" s="9" t="s">
        <v>11967</v>
      </c>
      <c r="F1850" s="10" t="s">
        <v>3760</v>
      </c>
      <c r="G1850" s="8">
        <v>23.61</v>
      </c>
      <c r="H1850" s="8"/>
      <c r="I1850" s="10"/>
      <c r="J1850" s="10" t="s">
        <v>11968</v>
      </c>
      <c r="K1850" s="10" t="s">
        <v>11969</v>
      </c>
      <c r="L1850" s="11" t="s">
        <v>11970</v>
      </c>
      <c r="M1850" s="11" t="s">
        <v>11971</v>
      </c>
      <c r="N1850" s="12"/>
      <c r="O1850" s="12"/>
      <c r="P1850" s="13">
        <f>IFERROR(__xludf.DUMMYFUNCTION("VALUE(SUBSTITUTE((INDEX(SPLIT(A1850,"",""),1)),""."","","",1))"),55.315611)</f>
        <v>55.315611</v>
      </c>
      <c r="Q1850" s="13">
        <f>IFERROR(__xludf.DUMMYFUNCTION("VALUE(SUBSTITUTE((INDEX(SPLIT(A1850,"",""),2)),""."","","",1))"),37.90833)</f>
        <v>37.90833</v>
      </c>
      <c r="R1850" s="14" t="b">
        <f t="shared" si="1"/>
        <v>0</v>
      </c>
      <c r="S1850" s="14" t="str">
        <f t="shared" si="2"/>
        <v>55.315611,37.90833</v>
      </c>
      <c r="T1850" s="12"/>
    </row>
    <row r="1851">
      <c r="A1851" s="15" t="s">
        <v>11972</v>
      </c>
      <c r="B1851" s="16" t="s">
        <v>11973</v>
      </c>
      <c r="C1851" s="16" t="s">
        <v>11974</v>
      </c>
      <c r="D1851" s="16" t="s">
        <v>16</v>
      </c>
      <c r="E1851" s="17" t="s">
        <v>11975</v>
      </c>
      <c r="F1851" s="16" t="s">
        <v>3760</v>
      </c>
      <c r="G1851" s="16">
        <v>23.61</v>
      </c>
      <c r="H1851" s="16"/>
      <c r="I1851" s="16"/>
      <c r="J1851" s="16" t="s">
        <v>11976</v>
      </c>
      <c r="K1851" s="16" t="s">
        <v>11977</v>
      </c>
      <c r="L1851" s="16"/>
      <c r="M1851" s="16"/>
      <c r="N1851" s="12"/>
      <c r="O1851" s="12"/>
      <c r="P1851" s="13">
        <f>IFERROR(__xludf.DUMMYFUNCTION("VALUE(SUBSTITUTE((INDEX(SPLIT(A1851,"",""),1)),""."","","",1))"),55.78114)</f>
        <v>55.78114</v>
      </c>
      <c r="Q1851" s="13">
        <f>IFERROR(__xludf.DUMMYFUNCTION("VALUE(SUBSTITUTE((INDEX(SPLIT(A1851,"",""),2)),""."","","",1))"),37.910001)</f>
        <v>37.910001</v>
      </c>
      <c r="R1851" s="14" t="b">
        <f t="shared" si="1"/>
        <v>0</v>
      </c>
      <c r="S1851" s="14" t="str">
        <f t="shared" si="2"/>
        <v>55.78114,37.910001</v>
      </c>
      <c r="T1851" s="12"/>
    </row>
    <row r="1852">
      <c r="A1852" s="18" t="s">
        <v>11978</v>
      </c>
      <c r="B1852" s="8" t="s">
        <v>11979</v>
      </c>
      <c r="C1852" s="8" t="s">
        <v>11980</v>
      </c>
      <c r="D1852" s="8" t="s">
        <v>16</v>
      </c>
      <c r="E1852" s="19" t="s">
        <v>11981</v>
      </c>
      <c r="F1852" s="8" t="s">
        <v>11562</v>
      </c>
      <c r="G1852" s="8">
        <v>23.61</v>
      </c>
      <c r="H1852" s="8"/>
      <c r="I1852" s="8"/>
      <c r="J1852" s="8" t="s">
        <v>11982</v>
      </c>
      <c r="K1852" s="8" t="s">
        <v>11983</v>
      </c>
      <c r="L1852" s="8"/>
      <c r="M1852" s="8"/>
      <c r="N1852" s="12"/>
      <c r="O1852" s="12"/>
      <c r="P1852" s="13">
        <f>IFERROR(__xludf.DUMMYFUNCTION("VALUE(SUBSTITUTE((INDEX(SPLIT(A1852,"",""),1)),""."","","",1))"),59.122806)</f>
        <v>59.122806</v>
      </c>
      <c r="Q1852" s="13">
        <f>IFERROR(__xludf.DUMMYFUNCTION("VALUE(SUBSTITUTE((INDEX(SPLIT(A1852,"",""),2)),""."","","",1))"),37.913415)</f>
        <v>37.913415</v>
      </c>
      <c r="R1852" s="14" t="b">
        <f t="shared" si="1"/>
        <v>0</v>
      </c>
      <c r="S1852" s="14" t="str">
        <f t="shared" si="2"/>
        <v>59.122806,37.913415</v>
      </c>
      <c r="T1852" s="12"/>
    </row>
    <row r="1853">
      <c r="A1853" s="15" t="s">
        <v>11984</v>
      </c>
      <c r="B1853" s="16" t="s">
        <v>11985</v>
      </c>
      <c r="C1853" s="16" t="s">
        <v>11986</v>
      </c>
      <c r="D1853" s="16" t="s">
        <v>16</v>
      </c>
      <c r="E1853" s="17" t="s">
        <v>11987</v>
      </c>
      <c r="F1853" s="16" t="s">
        <v>3760</v>
      </c>
      <c r="G1853" s="16">
        <v>23.61</v>
      </c>
      <c r="H1853" s="16"/>
      <c r="I1853" s="16"/>
      <c r="J1853" s="16" t="s">
        <v>11988</v>
      </c>
      <c r="K1853" s="16" t="s">
        <v>11989</v>
      </c>
      <c r="L1853" s="16"/>
      <c r="M1853" s="16"/>
      <c r="N1853" s="12"/>
      <c r="O1853" s="12"/>
      <c r="P1853" s="13">
        <f>IFERROR(__xludf.DUMMYFUNCTION("VALUE(SUBSTITUTE((INDEX(SPLIT(A1853,"",""),1)),""."","","",1))"),55.670879)</f>
        <v>55.670879</v>
      </c>
      <c r="Q1853" s="13">
        <f>IFERROR(__xludf.DUMMYFUNCTION("VALUE(SUBSTITUTE((INDEX(SPLIT(A1853,"",""),2)),""."","","",1))"),37.916011)</f>
        <v>37.916011</v>
      </c>
      <c r="R1853" s="14" t="b">
        <f t="shared" si="1"/>
        <v>0</v>
      </c>
      <c r="S1853" s="14" t="str">
        <f t="shared" si="2"/>
        <v>55.670879,37.916011</v>
      </c>
      <c r="T1853" s="12"/>
    </row>
    <row r="1854">
      <c r="A1854" s="7" t="s">
        <v>11990</v>
      </c>
      <c r="B1854" s="8" t="s">
        <v>11991</v>
      </c>
      <c r="C1854" s="8" t="s">
        <v>11992</v>
      </c>
      <c r="D1854" s="8" t="s">
        <v>16</v>
      </c>
      <c r="E1854" s="9" t="s">
        <v>11993</v>
      </c>
      <c r="F1854" s="10" t="s">
        <v>11562</v>
      </c>
      <c r="G1854" s="8">
        <v>23.61</v>
      </c>
      <c r="H1854" s="8"/>
      <c r="I1854" s="10"/>
      <c r="J1854" s="10" t="s">
        <v>11994</v>
      </c>
      <c r="K1854" s="10" t="s">
        <v>11995</v>
      </c>
      <c r="L1854" s="11" t="s">
        <v>11996</v>
      </c>
      <c r="M1854" s="10"/>
      <c r="N1854" s="12"/>
      <c r="O1854" s="12"/>
      <c r="P1854" s="13">
        <f>IFERROR(__xludf.DUMMYFUNCTION("VALUE(SUBSTITUTE((INDEX(SPLIT(A1854,"",""),1)),""."","","",1))"),59.12723)</f>
        <v>59.12723</v>
      </c>
      <c r="Q1854" s="13">
        <f>IFERROR(__xludf.DUMMYFUNCTION("VALUE(SUBSTITUTE((INDEX(SPLIT(A1854,"",""),2)),""."","","",1))"),37.916145)</f>
        <v>37.916145</v>
      </c>
      <c r="R1854" s="14" t="b">
        <f t="shared" si="1"/>
        <v>0</v>
      </c>
      <c r="S1854" s="14" t="str">
        <f t="shared" si="2"/>
        <v>59.12723,37.916145</v>
      </c>
      <c r="T1854" s="12"/>
    </row>
    <row r="1855">
      <c r="A1855" s="15" t="s">
        <v>11997</v>
      </c>
      <c r="B1855" s="16" t="s">
        <v>11998</v>
      </c>
      <c r="C1855" s="16" t="s">
        <v>11999</v>
      </c>
      <c r="D1855" s="16" t="s">
        <v>16</v>
      </c>
      <c r="E1855" s="17" t="s">
        <v>12000</v>
      </c>
      <c r="F1855" s="16" t="s">
        <v>4327</v>
      </c>
      <c r="G1855" s="16">
        <v>23.61</v>
      </c>
      <c r="H1855" s="16"/>
      <c r="I1855" s="16"/>
      <c r="J1855" s="16" t="s">
        <v>12001</v>
      </c>
      <c r="K1855" s="16" t="s">
        <v>12002</v>
      </c>
      <c r="L1855" s="16"/>
      <c r="M1855" s="16"/>
      <c r="N1855" s="12"/>
      <c r="O1855" s="12"/>
      <c r="P1855" s="13">
        <f>IFERROR(__xludf.DUMMYFUNCTION("VALUE(SUBSTITUTE((INDEX(SPLIT(A1855,"",""),1)),""."","","",1))"),51.229982)</f>
        <v>51.229982</v>
      </c>
      <c r="Q1855" s="13">
        <f>IFERROR(__xludf.DUMMYFUNCTION("VALUE(SUBSTITUTE((INDEX(SPLIT(A1855,"",""),2)),""."","","",1))"),37.918625)</f>
        <v>37.918625</v>
      </c>
      <c r="R1855" s="14" t="b">
        <f t="shared" si="1"/>
        <v>0</v>
      </c>
      <c r="S1855" s="14" t="str">
        <f t="shared" si="2"/>
        <v>51.229982,37.918625</v>
      </c>
      <c r="T1855" s="12"/>
    </row>
    <row r="1856">
      <c r="A1856" s="7" t="s">
        <v>12003</v>
      </c>
      <c r="B1856" s="8" t="s">
        <v>12004</v>
      </c>
      <c r="C1856" s="8" t="s">
        <v>12005</v>
      </c>
      <c r="D1856" s="8" t="s">
        <v>16</v>
      </c>
      <c r="E1856" s="9" t="s">
        <v>12006</v>
      </c>
      <c r="F1856" s="10" t="s">
        <v>3883</v>
      </c>
      <c r="G1856" s="8">
        <v>23.61</v>
      </c>
      <c r="H1856" s="8"/>
      <c r="I1856" s="10"/>
      <c r="J1856" s="10" t="s">
        <v>12007</v>
      </c>
      <c r="K1856" s="10" t="s">
        <v>12008</v>
      </c>
      <c r="L1856" s="11" t="s">
        <v>12009</v>
      </c>
      <c r="M1856" s="10"/>
      <c r="N1856" s="12"/>
      <c r="O1856" s="12"/>
      <c r="P1856" s="13">
        <f>IFERROR(__xludf.DUMMYFUNCTION("VALUE(SUBSTITUTE((INDEX(SPLIT(A1856,"",""),1)),""."","","",1))"),55.969794)</f>
        <v>55.969794</v>
      </c>
      <c r="Q1856" s="13">
        <f>IFERROR(__xludf.DUMMYFUNCTION("VALUE(SUBSTITUTE((INDEX(SPLIT(A1856,"",""),2)),""."","","",1))"),37.924904)</f>
        <v>37.924904</v>
      </c>
      <c r="R1856" s="14" t="b">
        <f t="shared" si="1"/>
        <v>0</v>
      </c>
      <c r="S1856" s="14" t="str">
        <f t="shared" si="2"/>
        <v>55.969794,37.924904</v>
      </c>
      <c r="T1856" s="12"/>
    </row>
    <row r="1857">
      <c r="A1857" s="20" t="s">
        <v>12010</v>
      </c>
      <c r="B1857" s="16" t="s">
        <v>12011</v>
      </c>
      <c r="C1857" s="16" t="s">
        <v>12012</v>
      </c>
      <c r="D1857" s="16" t="s">
        <v>16</v>
      </c>
      <c r="E1857" s="21" t="s">
        <v>12013</v>
      </c>
      <c r="F1857" s="22" t="s">
        <v>11562</v>
      </c>
      <c r="G1857" s="16">
        <v>23.61</v>
      </c>
      <c r="H1857" s="16"/>
      <c r="I1857" s="22"/>
      <c r="J1857" s="22" t="s">
        <v>12014</v>
      </c>
      <c r="K1857" s="22" t="s">
        <v>12015</v>
      </c>
      <c r="L1857" s="23" t="s">
        <v>12016</v>
      </c>
      <c r="M1857" s="22"/>
      <c r="N1857" s="12"/>
      <c r="O1857" s="12"/>
      <c r="P1857" s="13">
        <f>IFERROR(__xludf.DUMMYFUNCTION("VALUE(SUBSTITUTE((INDEX(SPLIT(A1857,"",""),1)),""."","","",1))"),59.082062)</f>
        <v>59.082062</v>
      </c>
      <c r="Q1857" s="13">
        <f>IFERROR(__xludf.DUMMYFUNCTION("VALUE(SUBSTITUTE((INDEX(SPLIT(A1857,"",""),2)),""."","","",1))"),37.926171)</f>
        <v>37.926171</v>
      </c>
      <c r="R1857" s="14" t="b">
        <f t="shared" si="1"/>
        <v>0</v>
      </c>
      <c r="S1857" s="14" t="str">
        <f t="shared" si="2"/>
        <v>59.082062,37.926171</v>
      </c>
      <c r="T1857" s="12"/>
    </row>
    <row r="1858">
      <c r="A1858" s="7" t="s">
        <v>12017</v>
      </c>
      <c r="B1858" s="8" t="s">
        <v>12018</v>
      </c>
      <c r="C1858" s="8" t="s">
        <v>12019</v>
      </c>
      <c r="D1858" s="8" t="s">
        <v>16</v>
      </c>
      <c r="E1858" s="9" t="s">
        <v>12020</v>
      </c>
      <c r="F1858" s="10" t="s">
        <v>11562</v>
      </c>
      <c r="G1858" s="8">
        <v>23.61</v>
      </c>
      <c r="H1858" s="8"/>
      <c r="I1858" s="10"/>
      <c r="J1858" s="10" t="s">
        <v>12021</v>
      </c>
      <c r="K1858" s="10" t="s">
        <v>12022</v>
      </c>
      <c r="L1858" s="11" t="s">
        <v>12023</v>
      </c>
      <c r="M1858" s="11" t="s">
        <v>12024</v>
      </c>
      <c r="N1858" s="12"/>
      <c r="O1858" s="12"/>
      <c r="P1858" s="13">
        <f>IFERROR(__xludf.DUMMYFUNCTION("VALUE(SUBSTITUTE((INDEX(SPLIT(A1858,"",""),1)),""."","","",1))"),59.127295)</f>
        <v>59.127295</v>
      </c>
      <c r="Q1858" s="13">
        <f>IFERROR(__xludf.DUMMYFUNCTION("VALUE(SUBSTITUTE((INDEX(SPLIT(A1858,"",""),2)),""."","","",1))"),37.929198)</f>
        <v>37.929198</v>
      </c>
      <c r="R1858" s="14" t="b">
        <f t="shared" si="1"/>
        <v>0</v>
      </c>
      <c r="S1858" s="14" t="str">
        <f t="shared" si="2"/>
        <v>59.127295,37.929198</v>
      </c>
      <c r="T1858" s="12"/>
    </row>
    <row r="1859">
      <c r="A1859" s="20" t="s">
        <v>12025</v>
      </c>
      <c r="B1859" s="16" t="s">
        <v>12026</v>
      </c>
      <c r="C1859" s="16" t="s">
        <v>12027</v>
      </c>
      <c r="D1859" s="16" t="s">
        <v>16</v>
      </c>
      <c r="E1859" s="21" t="s">
        <v>12028</v>
      </c>
      <c r="F1859" s="22" t="s">
        <v>11562</v>
      </c>
      <c r="G1859" s="16">
        <v>23.61</v>
      </c>
      <c r="H1859" s="16"/>
      <c r="I1859" s="22"/>
      <c r="J1859" s="22" t="s">
        <v>12029</v>
      </c>
      <c r="K1859" s="22" t="s">
        <v>12030</v>
      </c>
      <c r="L1859" s="23" t="s">
        <v>12031</v>
      </c>
      <c r="M1859" s="22"/>
      <c r="N1859" s="12"/>
      <c r="O1859" s="12"/>
      <c r="P1859" s="13">
        <f>IFERROR(__xludf.DUMMYFUNCTION("VALUE(SUBSTITUTE((INDEX(SPLIT(A1859,"",""),1)),""."","","",1))"),59.127258)</f>
        <v>59.127258</v>
      </c>
      <c r="Q1859" s="13">
        <f>IFERROR(__xludf.DUMMYFUNCTION("VALUE(SUBSTITUTE((INDEX(SPLIT(A1859,"",""),2)),""."","","",1))"),37.930195)</f>
        <v>37.930195</v>
      </c>
      <c r="R1859" s="14" t="b">
        <f t="shared" si="1"/>
        <v>0</v>
      </c>
      <c r="S1859" s="14" t="str">
        <f t="shared" si="2"/>
        <v>59.127258,37.930195</v>
      </c>
      <c r="T1859" s="12"/>
    </row>
    <row r="1860">
      <c r="A1860" s="7" t="s">
        <v>12032</v>
      </c>
      <c r="B1860" s="8" t="s">
        <v>12033</v>
      </c>
      <c r="C1860" s="8" t="s">
        <v>12034</v>
      </c>
      <c r="D1860" s="8" t="s">
        <v>16</v>
      </c>
      <c r="E1860" s="9" t="s">
        <v>12035</v>
      </c>
      <c r="F1860" s="10" t="s">
        <v>3760</v>
      </c>
      <c r="G1860" s="8">
        <v>23.61</v>
      </c>
      <c r="H1860" s="8"/>
      <c r="I1860" s="10"/>
      <c r="J1860" s="10" t="s">
        <v>12036</v>
      </c>
      <c r="K1860" s="10" t="s">
        <v>12037</v>
      </c>
      <c r="L1860" s="11" t="s">
        <v>12038</v>
      </c>
      <c r="M1860" s="10"/>
      <c r="N1860" s="12"/>
      <c r="O1860" s="12"/>
      <c r="P1860" s="13">
        <f>IFERROR(__xludf.DUMMYFUNCTION("VALUE(SUBSTITUTE((INDEX(SPLIT(A1860,"",""),1)),""."","","",1))"),56.131245)</f>
        <v>56.131245</v>
      </c>
      <c r="Q1860" s="13">
        <f>IFERROR(__xludf.DUMMYFUNCTION("VALUE(SUBSTITUTE((INDEX(SPLIT(A1860,"",""),2)),""."","","",1))"),37.934893)</f>
        <v>37.934893</v>
      </c>
      <c r="R1860" s="14" t="b">
        <f t="shared" si="1"/>
        <v>0</v>
      </c>
      <c r="S1860" s="14" t="str">
        <f t="shared" si="2"/>
        <v>56.131245,37.934893</v>
      </c>
      <c r="T1860" s="12"/>
    </row>
    <row r="1861">
      <c r="A1861" s="15" t="s">
        <v>12039</v>
      </c>
      <c r="B1861" s="16" t="s">
        <v>12040</v>
      </c>
      <c r="C1861" s="16" t="s">
        <v>12041</v>
      </c>
      <c r="D1861" s="16" t="s">
        <v>16</v>
      </c>
      <c r="E1861" s="17" t="s">
        <v>12042</v>
      </c>
      <c r="F1861" s="16" t="s">
        <v>4881</v>
      </c>
      <c r="G1861" s="16">
        <v>23.61</v>
      </c>
      <c r="H1861" s="16"/>
      <c r="I1861" s="16"/>
      <c r="J1861" s="16" t="s">
        <v>12043</v>
      </c>
      <c r="K1861" s="16" t="s">
        <v>12044</v>
      </c>
      <c r="L1861" s="16"/>
      <c r="M1861" s="16"/>
      <c r="N1861" s="12"/>
      <c r="O1861" s="12"/>
      <c r="P1861" s="13">
        <f>IFERROR(__xludf.DUMMYFUNCTION("VALUE(SUBSTITUTE((INDEX(SPLIT(A1861,"",""),1)),""."","","",1))"),55.7032)</f>
        <v>55.7032</v>
      </c>
      <c r="Q1861" s="13">
        <f>IFERROR(__xludf.DUMMYFUNCTION("VALUE(SUBSTITUTE((INDEX(SPLIT(A1861,"",""),2)),""."","","",1))"),37.935432)</f>
        <v>37.935432</v>
      </c>
      <c r="R1861" s="14" t="b">
        <f t="shared" si="1"/>
        <v>0</v>
      </c>
      <c r="S1861" s="14" t="str">
        <f t="shared" si="2"/>
        <v>55.7032,37.935432</v>
      </c>
      <c r="T1861" s="12"/>
    </row>
    <row r="1862">
      <c r="A1862" s="7" t="s">
        <v>12045</v>
      </c>
      <c r="B1862" s="8" t="s">
        <v>2881</v>
      </c>
      <c r="C1862" s="8" t="s">
        <v>2882</v>
      </c>
      <c r="D1862" s="8" t="s">
        <v>16</v>
      </c>
      <c r="E1862" s="9" t="s">
        <v>12046</v>
      </c>
      <c r="F1862" s="10" t="s">
        <v>3760</v>
      </c>
      <c r="G1862" s="8">
        <v>23.61</v>
      </c>
      <c r="H1862" s="8"/>
      <c r="I1862" s="10"/>
      <c r="J1862" s="10" t="s">
        <v>12047</v>
      </c>
      <c r="K1862" s="10" t="s">
        <v>12048</v>
      </c>
      <c r="L1862" s="11" t="s">
        <v>12049</v>
      </c>
      <c r="M1862" s="10"/>
      <c r="N1862" s="12"/>
      <c r="O1862" s="12"/>
      <c r="P1862" s="13">
        <f>IFERROR(__xludf.DUMMYFUNCTION("VALUE(SUBSTITUTE((INDEX(SPLIT(A1862,"",""),1)),""."","","",1))"),55.836575)</f>
        <v>55.836575</v>
      </c>
      <c r="Q1862" s="13">
        <f>IFERROR(__xludf.DUMMYFUNCTION("VALUE(SUBSTITUTE((INDEX(SPLIT(A1862,"",""),2)),""."","","",1))"),37.937462)</f>
        <v>37.937462</v>
      </c>
      <c r="R1862" s="14" t="b">
        <f t="shared" si="1"/>
        <v>0</v>
      </c>
      <c r="S1862" s="14" t="str">
        <f t="shared" si="2"/>
        <v>55.836575,37.937462</v>
      </c>
      <c r="T1862" s="12"/>
    </row>
    <row r="1863">
      <c r="A1863" s="20" t="s">
        <v>12050</v>
      </c>
      <c r="B1863" s="16" t="s">
        <v>12051</v>
      </c>
      <c r="C1863" s="16" t="s">
        <v>12052</v>
      </c>
      <c r="D1863" s="16" t="s">
        <v>16</v>
      </c>
      <c r="E1863" s="21" t="s">
        <v>12053</v>
      </c>
      <c r="F1863" s="22" t="s">
        <v>3760</v>
      </c>
      <c r="G1863" s="16">
        <v>23.61</v>
      </c>
      <c r="H1863" s="16"/>
      <c r="I1863" s="22"/>
      <c r="J1863" s="22" t="s">
        <v>12054</v>
      </c>
      <c r="K1863" s="22" t="s">
        <v>12055</v>
      </c>
      <c r="L1863" s="23" t="s">
        <v>12056</v>
      </c>
      <c r="M1863" s="22"/>
      <c r="N1863" s="12"/>
      <c r="O1863" s="12"/>
      <c r="P1863" s="13">
        <f>IFERROR(__xludf.DUMMYFUNCTION("VALUE(SUBSTITUTE((INDEX(SPLIT(A1863,"",""),1)),""."","","",1))"),55.797007)</f>
        <v>55.797007</v>
      </c>
      <c r="Q1863" s="13">
        <f>IFERROR(__xludf.DUMMYFUNCTION("VALUE(SUBSTITUTE((INDEX(SPLIT(A1863,"",""),2)),""."","","",1))"),37.938118)</f>
        <v>37.938118</v>
      </c>
      <c r="R1863" s="14" t="b">
        <f t="shared" si="1"/>
        <v>0</v>
      </c>
      <c r="S1863" s="14" t="str">
        <f t="shared" si="2"/>
        <v>55.797007,37.938118</v>
      </c>
      <c r="T1863" s="12"/>
    </row>
    <row r="1864">
      <c r="A1864" s="18" t="s">
        <v>12057</v>
      </c>
      <c r="B1864" s="8" t="s">
        <v>12058</v>
      </c>
      <c r="C1864" s="8" t="s">
        <v>12059</v>
      </c>
      <c r="D1864" s="8" t="s">
        <v>16</v>
      </c>
      <c r="E1864" s="19" t="s">
        <v>12060</v>
      </c>
      <c r="F1864" s="8" t="s">
        <v>3760</v>
      </c>
      <c r="G1864" s="8">
        <v>23.61</v>
      </c>
      <c r="H1864" s="8"/>
      <c r="I1864" s="8"/>
      <c r="J1864" s="8" t="s">
        <v>12061</v>
      </c>
      <c r="K1864" s="8" t="s">
        <v>12062</v>
      </c>
      <c r="L1864" s="8"/>
      <c r="M1864" s="24" t="s">
        <v>12063</v>
      </c>
      <c r="N1864" s="12"/>
      <c r="O1864" s="12"/>
      <c r="P1864" s="13">
        <f>IFERROR(__xludf.DUMMYFUNCTION("VALUE(SUBSTITUTE((INDEX(SPLIT(A1864,"",""),1)),""."","","",1))"),55.501886)</f>
        <v>55.501886</v>
      </c>
      <c r="Q1864" s="13">
        <f>IFERROR(__xludf.DUMMYFUNCTION("VALUE(SUBSTITUTE((INDEX(SPLIT(A1864,"",""),2)),""."","","",1))"),37.949302)</f>
        <v>37.949302</v>
      </c>
      <c r="R1864" s="14" t="b">
        <f t="shared" si="1"/>
        <v>0</v>
      </c>
      <c r="S1864" s="14" t="str">
        <f t="shared" si="2"/>
        <v>55.501886,37.949302</v>
      </c>
      <c r="T1864" s="12"/>
    </row>
    <row r="1865">
      <c r="A1865" s="20" t="s">
        <v>12064</v>
      </c>
      <c r="B1865" s="16" t="s">
        <v>12065</v>
      </c>
      <c r="C1865" s="16" t="s">
        <v>12066</v>
      </c>
      <c r="D1865" s="16" t="s">
        <v>16</v>
      </c>
      <c r="E1865" s="21" t="s">
        <v>12067</v>
      </c>
      <c r="F1865" s="22" t="s">
        <v>3760</v>
      </c>
      <c r="G1865" s="16">
        <v>23.61</v>
      </c>
      <c r="H1865" s="16"/>
      <c r="I1865" s="22"/>
      <c r="J1865" s="22" t="s">
        <v>12068</v>
      </c>
      <c r="K1865" s="22" t="s">
        <v>12069</v>
      </c>
      <c r="L1865" s="23" t="s">
        <v>12070</v>
      </c>
      <c r="M1865" s="22"/>
      <c r="N1865" s="12"/>
      <c r="O1865" s="12"/>
      <c r="P1865" s="13">
        <f>IFERROR(__xludf.DUMMYFUNCTION("VALUE(SUBSTITUTE((INDEX(SPLIT(A1865,"",""),1)),""."","","",1))"),55.66306)</f>
        <v>55.66306</v>
      </c>
      <c r="Q1865" s="13">
        <f>IFERROR(__xludf.DUMMYFUNCTION("VALUE(SUBSTITUTE((INDEX(SPLIT(A1865,"",""),2)),""."","","",1))"),37.953794)</f>
        <v>37.953794</v>
      </c>
      <c r="R1865" s="14" t="b">
        <f t="shared" si="1"/>
        <v>0</v>
      </c>
      <c r="S1865" s="14" t="str">
        <f t="shared" si="2"/>
        <v>55.66306,37.953794</v>
      </c>
      <c r="T1865" s="12"/>
    </row>
    <row r="1866">
      <c r="A1866" s="18" t="s">
        <v>12071</v>
      </c>
      <c r="B1866" s="8" t="s">
        <v>12072</v>
      </c>
      <c r="C1866" s="8" t="s">
        <v>12073</v>
      </c>
      <c r="D1866" s="8" t="s">
        <v>16</v>
      </c>
      <c r="E1866" s="19" t="s">
        <v>12074</v>
      </c>
      <c r="F1866" s="8" t="s">
        <v>3760</v>
      </c>
      <c r="G1866" s="8">
        <v>23.61</v>
      </c>
      <c r="H1866" s="8"/>
      <c r="I1866" s="8"/>
      <c r="J1866" s="8" t="s">
        <v>12075</v>
      </c>
      <c r="K1866" s="8" t="s">
        <v>12076</v>
      </c>
      <c r="L1866" s="8"/>
      <c r="M1866" s="8"/>
      <c r="N1866" s="12"/>
      <c r="O1866" s="12"/>
      <c r="P1866" s="13">
        <f>IFERROR(__xludf.DUMMYFUNCTION("VALUE(SUBSTITUTE((INDEX(SPLIT(A1866,"",""),1)),""."","","",1))"),55.813324)</f>
        <v>55.813324</v>
      </c>
      <c r="Q1866" s="13">
        <f>IFERROR(__xludf.DUMMYFUNCTION("VALUE(SUBSTITUTE((INDEX(SPLIT(A1866,"",""),2)),""."","","",1))"),37.95524)</f>
        <v>37.95524</v>
      </c>
      <c r="R1866" s="14" t="b">
        <f t="shared" si="1"/>
        <v>0</v>
      </c>
      <c r="S1866" s="14" t="str">
        <f t="shared" si="2"/>
        <v>55.813324,37.95524</v>
      </c>
      <c r="T1866" s="12"/>
    </row>
    <row r="1867">
      <c r="A1867" s="15" t="s">
        <v>12077</v>
      </c>
      <c r="B1867" s="16" t="s">
        <v>5568</v>
      </c>
      <c r="C1867" s="16" t="s">
        <v>5569</v>
      </c>
      <c r="D1867" s="16" t="s">
        <v>16</v>
      </c>
      <c r="E1867" s="17" t="s">
        <v>12078</v>
      </c>
      <c r="F1867" s="16" t="s">
        <v>11562</v>
      </c>
      <c r="G1867" s="16">
        <v>23.61</v>
      </c>
      <c r="H1867" s="16"/>
      <c r="I1867" s="16"/>
      <c r="J1867" s="16" t="s">
        <v>12079</v>
      </c>
      <c r="K1867" s="16" t="s">
        <v>12080</v>
      </c>
      <c r="L1867" s="16"/>
      <c r="M1867" s="25" t="s">
        <v>12081</v>
      </c>
      <c r="N1867" s="12"/>
      <c r="O1867" s="12"/>
      <c r="P1867" s="13">
        <f>IFERROR(__xludf.DUMMYFUNCTION("VALUE(SUBSTITUTE((INDEX(SPLIT(A1867,"",""),1)),""."","","",1))"),59.131377)</f>
        <v>59.131377</v>
      </c>
      <c r="Q1867" s="13">
        <f>IFERROR(__xludf.DUMMYFUNCTION("VALUE(SUBSTITUTE((INDEX(SPLIT(A1867,"",""),2)),""."","","",1))"),37.961115)</f>
        <v>37.961115</v>
      </c>
      <c r="R1867" s="14" t="b">
        <f t="shared" si="1"/>
        <v>0</v>
      </c>
      <c r="S1867" s="14" t="str">
        <f t="shared" si="2"/>
        <v>59.131377,37.961115</v>
      </c>
      <c r="T1867" s="12"/>
    </row>
    <row r="1868">
      <c r="A1868" s="18" t="s">
        <v>12082</v>
      </c>
      <c r="B1868" s="8" t="s">
        <v>12083</v>
      </c>
      <c r="C1868" s="8" t="s">
        <v>12083</v>
      </c>
      <c r="D1868" s="8" t="s">
        <v>16</v>
      </c>
      <c r="E1868" s="19" t="s">
        <v>12084</v>
      </c>
      <c r="F1868" s="8" t="s">
        <v>11562</v>
      </c>
      <c r="G1868" s="8">
        <v>23.61</v>
      </c>
      <c r="H1868" s="8"/>
      <c r="I1868" s="8"/>
      <c r="J1868" s="8" t="s">
        <v>12085</v>
      </c>
      <c r="K1868" s="8" t="s">
        <v>11582</v>
      </c>
      <c r="L1868" s="8"/>
      <c r="M1868" s="8"/>
      <c r="N1868" s="12"/>
      <c r="O1868" s="12"/>
      <c r="P1868" s="13">
        <f>IFERROR(__xludf.DUMMYFUNCTION("VALUE(SUBSTITUTE((INDEX(SPLIT(A1868,"",""),1)),""."","","",1))"),59.118663)</f>
        <v>59.118663</v>
      </c>
      <c r="Q1868" s="13">
        <f>IFERROR(__xludf.DUMMYFUNCTION("VALUE(SUBSTITUTE((INDEX(SPLIT(A1868,"",""),2)),""."","","",1))"),37.963046)</f>
        <v>37.963046</v>
      </c>
      <c r="R1868" s="14" t="b">
        <f t="shared" si="1"/>
        <v>0</v>
      </c>
      <c r="S1868" s="14" t="str">
        <f t="shared" si="2"/>
        <v>59.118663,37.963046</v>
      </c>
      <c r="T1868" s="12"/>
    </row>
    <row r="1869">
      <c r="A1869" s="15" t="s">
        <v>12086</v>
      </c>
      <c r="B1869" s="16" t="s">
        <v>12087</v>
      </c>
      <c r="C1869" s="16" t="s">
        <v>12088</v>
      </c>
      <c r="D1869" s="16" t="s">
        <v>16</v>
      </c>
      <c r="E1869" s="17" t="s">
        <v>12089</v>
      </c>
      <c r="F1869" s="16" t="s">
        <v>3760</v>
      </c>
      <c r="G1869" s="16">
        <v>23.61</v>
      </c>
      <c r="H1869" s="16"/>
      <c r="I1869" s="16"/>
      <c r="J1869" s="16" t="s">
        <v>12090</v>
      </c>
      <c r="K1869" s="16" t="s">
        <v>12091</v>
      </c>
      <c r="L1869" s="16"/>
      <c r="M1869" s="25" t="s">
        <v>12092</v>
      </c>
      <c r="N1869" s="12"/>
      <c r="O1869" s="12"/>
      <c r="P1869" s="13">
        <f>IFERROR(__xludf.DUMMYFUNCTION("VALUE(SUBSTITUTE((INDEX(SPLIT(A1869,"",""),1)),""."","","",1))"),55.604173)</f>
        <v>55.604173</v>
      </c>
      <c r="Q1869" s="13">
        <f>IFERROR(__xludf.DUMMYFUNCTION("VALUE(SUBSTITUTE((INDEX(SPLIT(A1869,"",""),2)),""."","","",1))"),37.972658)</f>
        <v>37.972658</v>
      </c>
      <c r="R1869" s="14" t="b">
        <f t="shared" si="1"/>
        <v>0</v>
      </c>
      <c r="S1869" s="14" t="str">
        <f t="shared" si="2"/>
        <v>55.604173,37.972658</v>
      </c>
      <c r="T1869" s="12"/>
    </row>
    <row r="1870">
      <c r="A1870" s="7" t="s">
        <v>12093</v>
      </c>
      <c r="B1870" s="8" t="s">
        <v>12094</v>
      </c>
      <c r="C1870" s="8" t="s">
        <v>12095</v>
      </c>
      <c r="D1870" s="8" t="s">
        <v>16</v>
      </c>
      <c r="E1870" s="9" t="s">
        <v>12096</v>
      </c>
      <c r="F1870" s="10" t="s">
        <v>3760</v>
      </c>
      <c r="G1870" s="8">
        <v>23.61</v>
      </c>
      <c r="H1870" s="8"/>
      <c r="I1870" s="31" t="s">
        <v>12097</v>
      </c>
      <c r="J1870" s="10" t="s">
        <v>12098</v>
      </c>
      <c r="K1870" s="10" t="s">
        <v>12099</v>
      </c>
      <c r="L1870" s="11" t="s">
        <v>12100</v>
      </c>
      <c r="M1870" s="11" t="s">
        <v>12101</v>
      </c>
      <c r="N1870" s="12"/>
      <c r="O1870" s="12"/>
      <c r="P1870" s="13">
        <f>IFERROR(__xludf.DUMMYFUNCTION("VALUE(SUBSTITUTE((INDEX(SPLIT(A1870,"",""),1)),""."","","",1))"),55.609436)</f>
        <v>55.609436</v>
      </c>
      <c r="Q1870" s="13">
        <f>IFERROR(__xludf.DUMMYFUNCTION("VALUE(SUBSTITUTE((INDEX(SPLIT(A1870,"",""),2)),""."","","",1))"),37.98925)</f>
        <v>37.98925</v>
      </c>
      <c r="R1870" s="14" t="b">
        <f t="shared" si="1"/>
        <v>0</v>
      </c>
      <c r="S1870" s="14" t="str">
        <f t="shared" si="2"/>
        <v>55.609436,37.98925</v>
      </c>
      <c r="T1870" s="12"/>
    </row>
    <row r="1871">
      <c r="A1871" s="15" t="s">
        <v>12102</v>
      </c>
      <c r="B1871" s="16" t="s">
        <v>12103</v>
      </c>
      <c r="C1871" s="16" t="s">
        <v>12104</v>
      </c>
      <c r="D1871" s="16" t="s">
        <v>16</v>
      </c>
      <c r="E1871" s="17" t="s">
        <v>12105</v>
      </c>
      <c r="F1871" s="16" t="s">
        <v>3760</v>
      </c>
      <c r="G1871" s="16">
        <v>23.61</v>
      </c>
      <c r="H1871" s="16"/>
      <c r="I1871" s="16"/>
      <c r="J1871" s="16" t="s">
        <v>12106</v>
      </c>
      <c r="K1871" s="16" t="s">
        <v>12107</v>
      </c>
      <c r="L1871" s="16"/>
      <c r="M1871" s="16"/>
      <c r="N1871" s="12"/>
      <c r="O1871" s="12"/>
      <c r="P1871" s="13">
        <f>IFERROR(__xludf.DUMMYFUNCTION("VALUE(SUBSTITUTE((INDEX(SPLIT(A1871,"",""),1)),""."","","",1))"),55.92022)</f>
        <v>55.92022</v>
      </c>
      <c r="Q1871" s="13">
        <f>IFERROR(__xludf.DUMMYFUNCTION("VALUE(SUBSTITUTE((INDEX(SPLIT(A1871,"",""),2)),""."","","",1))"),37.991532)</f>
        <v>37.991532</v>
      </c>
      <c r="R1871" s="14" t="b">
        <f t="shared" si="1"/>
        <v>0</v>
      </c>
      <c r="S1871" s="14" t="str">
        <f t="shared" si="2"/>
        <v>55.92022,37.991532</v>
      </c>
      <c r="T1871" s="12"/>
    </row>
    <row r="1872">
      <c r="A1872" s="7" t="s">
        <v>12108</v>
      </c>
      <c r="B1872" s="8" t="s">
        <v>12109</v>
      </c>
      <c r="C1872" s="8" t="s">
        <v>12110</v>
      </c>
      <c r="D1872" s="8" t="s">
        <v>16</v>
      </c>
      <c r="E1872" s="9" t="s">
        <v>12111</v>
      </c>
      <c r="F1872" s="10" t="s">
        <v>3760</v>
      </c>
      <c r="G1872" s="8">
        <v>23.61</v>
      </c>
      <c r="H1872" s="8"/>
      <c r="I1872" s="10"/>
      <c r="J1872" s="10" t="s">
        <v>12112</v>
      </c>
      <c r="K1872" s="10" t="s">
        <v>12113</v>
      </c>
      <c r="L1872" s="11" t="s">
        <v>12114</v>
      </c>
      <c r="M1872" s="10"/>
      <c r="N1872" s="12"/>
      <c r="O1872" s="12"/>
      <c r="P1872" s="13">
        <f>IFERROR(__xludf.DUMMYFUNCTION("VALUE(SUBSTITUTE((INDEX(SPLIT(A1872,"",""),1)),""."","","",1))"),55.591345)</f>
        <v>55.591345</v>
      </c>
      <c r="Q1872" s="13">
        <f>IFERROR(__xludf.DUMMYFUNCTION("VALUE(SUBSTITUTE((INDEX(SPLIT(A1872,"",""),2)),""."","","",1))"),37.992646)</f>
        <v>37.992646</v>
      </c>
      <c r="R1872" s="14" t="b">
        <f t="shared" si="1"/>
        <v>0</v>
      </c>
      <c r="S1872" s="14" t="str">
        <f t="shared" si="2"/>
        <v>55.591345,37.992646</v>
      </c>
      <c r="T1872" s="12"/>
    </row>
    <row r="1873">
      <c r="A1873" s="20" t="s">
        <v>12115</v>
      </c>
      <c r="B1873" s="16" t="s">
        <v>12116</v>
      </c>
      <c r="C1873" s="16" t="s">
        <v>12117</v>
      </c>
      <c r="D1873" s="16" t="s">
        <v>16</v>
      </c>
      <c r="E1873" s="21" t="s">
        <v>12118</v>
      </c>
      <c r="F1873" s="22" t="s">
        <v>3760</v>
      </c>
      <c r="G1873" s="16">
        <v>23.61</v>
      </c>
      <c r="H1873" s="16"/>
      <c r="I1873" s="28" t="s">
        <v>12119</v>
      </c>
      <c r="J1873" s="22" t="s">
        <v>12120</v>
      </c>
      <c r="K1873" s="22" t="s">
        <v>12121</v>
      </c>
      <c r="L1873" s="23" t="s">
        <v>12122</v>
      </c>
      <c r="M1873" s="22"/>
      <c r="N1873" s="12"/>
      <c r="O1873" s="12"/>
      <c r="P1873" s="13">
        <f>IFERROR(__xludf.DUMMYFUNCTION("VALUE(SUBSTITUTE((INDEX(SPLIT(A1873,"",""),1)),""."","","",1))"),56.240003)</f>
        <v>56.240003</v>
      </c>
      <c r="Q1873" s="13">
        <f>IFERROR(__xludf.DUMMYFUNCTION("VALUE(SUBSTITUTE((INDEX(SPLIT(A1873,"",""),2)),""."","","",1))"),37.993185)</f>
        <v>37.993185</v>
      </c>
      <c r="R1873" s="14" t="b">
        <f t="shared" si="1"/>
        <v>0</v>
      </c>
      <c r="S1873" s="14" t="str">
        <f t="shared" si="2"/>
        <v>56.240003,37.993185</v>
      </c>
      <c r="T1873" s="12"/>
    </row>
    <row r="1874">
      <c r="A1874" s="18" t="s">
        <v>12123</v>
      </c>
      <c r="B1874" s="8" t="s">
        <v>12124</v>
      </c>
      <c r="C1874" s="8" t="s">
        <v>12125</v>
      </c>
      <c r="D1874" s="8" t="s">
        <v>16</v>
      </c>
      <c r="E1874" s="19" t="s">
        <v>12126</v>
      </c>
      <c r="F1874" s="8" t="s">
        <v>3760</v>
      </c>
      <c r="G1874" s="8">
        <v>23.61</v>
      </c>
      <c r="H1874" s="8"/>
      <c r="I1874" s="8"/>
      <c r="J1874" s="8" t="s">
        <v>12127</v>
      </c>
      <c r="K1874" s="8" t="s">
        <v>12128</v>
      </c>
      <c r="L1874" s="8"/>
      <c r="M1874" s="24" t="s">
        <v>12129</v>
      </c>
      <c r="N1874" s="12"/>
      <c r="O1874" s="12"/>
      <c r="P1874" s="13">
        <f>IFERROR(__xludf.DUMMYFUNCTION("VALUE(SUBSTITUTE((INDEX(SPLIT(A1874,"",""),1)),""."","","",1))"),55.912193)</f>
        <v>55.912193</v>
      </c>
      <c r="Q1874" s="13">
        <f>IFERROR(__xludf.DUMMYFUNCTION("VALUE(SUBSTITUTE((INDEX(SPLIT(A1874,"",""),2)),""."","","",1))"),38.001144)</f>
        <v>38.001144</v>
      </c>
      <c r="R1874" s="14" t="b">
        <f t="shared" si="1"/>
        <v>0</v>
      </c>
      <c r="S1874" s="14" t="str">
        <f t="shared" si="2"/>
        <v>55.912193,38.001144</v>
      </c>
      <c r="T1874" s="12"/>
    </row>
    <row r="1875">
      <c r="A1875" s="15" t="s">
        <v>12130</v>
      </c>
      <c r="B1875" s="16" t="s">
        <v>12131</v>
      </c>
      <c r="C1875" s="16" t="s">
        <v>12132</v>
      </c>
      <c r="D1875" s="16" t="s">
        <v>16</v>
      </c>
      <c r="E1875" s="17" t="s">
        <v>12133</v>
      </c>
      <c r="F1875" s="16" t="s">
        <v>3760</v>
      </c>
      <c r="G1875" s="16">
        <v>23.61</v>
      </c>
      <c r="H1875" s="16"/>
      <c r="I1875" s="16"/>
      <c r="J1875" s="16" t="s">
        <v>12134</v>
      </c>
      <c r="K1875" s="16" t="s">
        <v>12135</v>
      </c>
      <c r="L1875" s="16"/>
      <c r="M1875" s="16"/>
      <c r="N1875" s="12"/>
      <c r="O1875" s="12"/>
      <c r="P1875" s="13">
        <f>IFERROR(__xludf.DUMMYFUNCTION("VALUE(SUBSTITUTE((INDEX(SPLIT(A1875,"",""),1)),""."","","",1))"),55.642799)</f>
        <v>55.642799</v>
      </c>
      <c r="Q1875" s="13">
        <f>IFERROR(__xludf.DUMMYFUNCTION("VALUE(SUBSTITUTE((INDEX(SPLIT(A1875,"",""),2)),""."","","",1))"),38.008672)</f>
        <v>38.008672</v>
      </c>
      <c r="R1875" s="14" t="b">
        <f t="shared" si="1"/>
        <v>0</v>
      </c>
      <c r="S1875" s="14" t="str">
        <f t="shared" si="2"/>
        <v>55.642799,38.008672</v>
      </c>
      <c r="T1875" s="12"/>
    </row>
    <row r="1876">
      <c r="A1876" s="7" t="s">
        <v>12136</v>
      </c>
      <c r="B1876" s="8" t="s">
        <v>11849</v>
      </c>
      <c r="C1876" s="8" t="s">
        <v>11850</v>
      </c>
      <c r="D1876" s="8" t="s">
        <v>16</v>
      </c>
      <c r="E1876" s="9" t="s">
        <v>12137</v>
      </c>
      <c r="F1876" s="10" t="s">
        <v>11562</v>
      </c>
      <c r="G1876" s="8">
        <v>23.61</v>
      </c>
      <c r="H1876" s="8"/>
      <c r="I1876" s="10"/>
      <c r="J1876" s="10" t="s">
        <v>12138</v>
      </c>
      <c r="K1876" s="10" t="s">
        <v>12139</v>
      </c>
      <c r="L1876" s="11" t="s">
        <v>12140</v>
      </c>
      <c r="M1876" s="10"/>
      <c r="N1876" s="12"/>
      <c r="O1876" s="12"/>
      <c r="P1876" s="13">
        <f>IFERROR(__xludf.DUMMYFUNCTION("VALUE(SUBSTITUTE((INDEX(SPLIT(A1876,"",""),1)),""."","","",1))"),59.136672)</f>
        <v>59.136672</v>
      </c>
      <c r="Q1876" s="13">
        <f>IFERROR(__xludf.DUMMYFUNCTION("VALUE(SUBSTITUTE((INDEX(SPLIT(A1876,"",""),2)),""."","","",1))"),38.009642)</f>
        <v>38.009642</v>
      </c>
      <c r="R1876" s="14" t="b">
        <f t="shared" si="1"/>
        <v>0</v>
      </c>
      <c r="S1876" s="14" t="str">
        <f t="shared" si="2"/>
        <v>59.136672,38.009642</v>
      </c>
      <c r="T1876" s="12"/>
    </row>
    <row r="1877">
      <c r="A1877" s="20" t="s">
        <v>12141</v>
      </c>
      <c r="B1877" s="16" t="s">
        <v>12142</v>
      </c>
      <c r="C1877" s="16" t="s">
        <v>12143</v>
      </c>
      <c r="D1877" s="16" t="s">
        <v>16</v>
      </c>
      <c r="E1877" s="21" t="s">
        <v>12144</v>
      </c>
      <c r="F1877" s="22" t="s">
        <v>11562</v>
      </c>
      <c r="G1877" s="16">
        <v>23.61</v>
      </c>
      <c r="H1877" s="16"/>
      <c r="I1877" s="22"/>
      <c r="J1877" s="22" t="s">
        <v>12145</v>
      </c>
      <c r="K1877" s="22" t="s">
        <v>12146</v>
      </c>
      <c r="L1877" s="23" t="s">
        <v>12147</v>
      </c>
      <c r="M1877" s="22"/>
      <c r="N1877" s="12"/>
      <c r="O1877" s="12"/>
      <c r="P1877" s="13">
        <f>IFERROR(__xludf.DUMMYFUNCTION("VALUE(SUBSTITUTE((INDEX(SPLIT(A1877,"",""),1)),""."","","",1))"),59.128819)</f>
        <v>59.128819</v>
      </c>
      <c r="Q1877" s="13">
        <f>IFERROR(__xludf.DUMMYFUNCTION("VALUE(SUBSTITUTE((INDEX(SPLIT(A1877,"",""),2)),""."","","",1))"),38.010612)</f>
        <v>38.010612</v>
      </c>
      <c r="R1877" s="14" t="b">
        <f t="shared" si="1"/>
        <v>0</v>
      </c>
      <c r="S1877" s="14" t="str">
        <f t="shared" si="2"/>
        <v>59.128819,38.010612</v>
      </c>
      <c r="T1877" s="12"/>
    </row>
    <row r="1878">
      <c r="A1878" s="18" t="s">
        <v>12148</v>
      </c>
      <c r="B1878" s="8" t="s">
        <v>12149</v>
      </c>
      <c r="C1878" s="8" t="s">
        <v>12150</v>
      </c>
      <c r="D1878" s="8" t="s">
        <v>16</v>
      </c>
      <c r="E1878" s="19" t="s">
        <v>12151</v>
      </c>
      <c r="F1878" s="8" t="s">
        <v>3760</v>
      </c>
      <c r="G1878" s="8">
        <v>23.61</v>
      </c>
      <c r="H1878" s="8"/>
      <c r="I1878" s="8"/>
      <c r="J1878" s="8" t="s">
        <v>12152</v>
      </c>
      <c r="K1878" s="8" t="s">
        <v>12153</v>
      </c>
      <c r="L1878" s="8"/>
      <c r="M1878" s="8"/>
      <c r="N1878" s="12"/>
      <c r="O1878" s="12"/>
      <c r="P1878" s="13">
        <f>IFERROR(__xludf.DUMMYFUNCTION("VALUE(SUBSTITUTE((INDEX(SPLIT(A1878,"",""),1)),""."","","",1))"),55.727866)</f>
        <v>55.727866</v>
      </c>
      <c r="Q1878" s="13">
        <f>IFERROR(__xludf.DUMMYFUNCTION("VALUE(SUBSTITUTE((INDEX(SPLIT(A1878,"",""),2)),""."","","",1))"),38.012454)</f>
        <v>38.012454</v>
      </c>
      <c r="R1878" s="14" t="b">
        <f t="shared" si="1"/>
        <v>0</v>
      </c>
      <c r="S1878" s="14" t="str">
        <f t="shared" si="2"/>
        <v>55.727866,38.012454</v>
      </c>
      <c r="T1878" s="12"/>
    </row>
    <row r="1879">
      <c r="A1879" s="20" t="s">
        <v>12154</v>
      </c>
      <c r="B1879" s="16" t="s">
        <v>12155</v>
      </c>
      <c r="C1879" s="16" t="s">
        <v>12156</v>
      </c>
      <c r="D1879" s="16" t="s">
        <v>16</v>
      </c>
      <c r="E1879" s="21" t="s">
        <v>12157</v>
      </c>
      <c r="F1879" s="22" t="s">
        <v>3760</v>
      </c>
      <c r="G1879" s="16">
        <v>23.61</v>
      </c>
      <c r="H1879" s="16"/>
      <c r="I1879" s="22"/>
      <c r="J1879" s="22" t="s">
        <v>12158</v>
      </c>
      <c r="K1879" s="22" t="s">
        <v>12159</v>
      </c>
      <c r="L1879" s="23" t="s">
        <v>12160</v>
      </c>
      <c r="M1879" s="22"/>
      <c r="N1879" s="12"/>
      <c r="O1879" s="12"/>
      <c r="P1879" s="13">
        <f>IFERROR(__xludf.DUMMYFUNCTION("VALUE(SUBSTITUTE((INDEX(SPLIT(A1879,"",""),1)),""."","","",1))"),56.066786)</f>
        <v>56.066786</v>
      </c>
      <c r="Q1879" s="13">
        <f>IFERROR(__xludf.DUMMYFUNCTION("VALUE(SUBSTITUTE((INDEX(SPLIT(A1879,"",""),2)),""."","","",1))"),38.02132)</f>
        <v>38.02132</v>
      </c>
      <c r="R1879" s="14" t="b">
        <f t="shared" si="1"/>
        <v>0</v>
      </c>
      <c r="S1879" s="14" t="str">
        <f t="shared" si="2"/>
        <v>56.066786,38.02132</v>
      </c>
      <c r="T1879" s="12"/>
    </row>
    <row r="1880">
      <c r="A1880" s="18" t="s">
        <v>12161</v>
      </c>
      <c r="B1880" s="8" t="s">
        <v>12162</v>
      </c>
      <c r="C1880" s="8" t="s">
        <v>12163</v>
      </c>
      <c r="D1880" s="8" t="s">
        <v>16</v>
      </c>
      <c r="E1880" s="19" t="s">
        <v>12164</v>
      </c>
      <c r="F1880" s="8" t="s">
        <v>3760</v>
      </c>
      <c r="G1880" s="8">
        <v>23.61</v>
      </c>
      <c r="H1880" s="8"/>
      <c r="I1880" s="8"/>
      <c r="J1880" s="8" t="s">
        <v>12165</v>
      </c>
      <c r="K1880" s="8" t="s">
        <v>12166</v>
      </c>
      <c r="L1880" s="8"/>
      <c r="M1880" s="24" t="s">
        <v>12167</v>
      </c>
      <c r="N1880" s="12"/>
      <c r="O1880" s="12"/>
      <c r="P1880" s="13">
        <f>IFERROR(__xludf.DUMMYFUNCTION("VALUE(SUBSTITUTE((INDEX(SPLIT(A1880,"",""),1)),""."","","",1))"),55.929334)</f>
        <v>55.929334</v>
      </c>
      <c r="Q1880" s="13">
        <f>IFERROR(__xludf.DUMMYFUNCTION("VALUE(SUBSTITUTE((INDEX(SPLIT(A1880,"",""),2)),""."","","",1))"),38.024482)</f>
        <v>38.024482</v>
      </c>
      <c r="R1880" s="14" t="b">
        <f t="shared" si="1"/>
        <v>0</v>
      </c>
      <c r="S1880" s="14" t="str">
        <f t="shared" si="2"/>
        <v>55.929334,38.024482</v>
      </c>
      <c r="T1880" s="12"/>
    </row>
    <row r="1881">
      <c r="A1881" s="15" t="s">
        <v>12168</v>
      </c>
      <c r="B1881" s="16" t="s">
        <v>3744</v>
      </c>
      <c r="C1881" s="16" t="s">
        <v>3745</v>
      </c>
      <c r="D1881" s="16" t="s">
        <v>16</v>
      </c>
      <c r="E1881" s="17" t="s">
        <v>12169</v>
      </c>
      <c r="F1881" s="16" t="s">
        <v>3760</v>
      </c>
      <c r="G1881" s="16">
        <v>23.61</v>
      </c>
      <c r="H1881" s="16"/>
      <c r="I1881" s="32" t="s">
        <v>12170</v>
      </c>
      <c r="J1881" s="16" t="s">
        <v>12171</v>
      </c>
      <c r="K1881" s="16" t="s">
        <v>12172</v>
      </c>
      <c r="L1881" s="16"/>
      <c r="M1881" s="16"/>
      <c r="N1881" s="12"/>
      <c r="O1881" s="12"/>
      <c r="P1881" s="13">
        <f>IFERROR(__xludf.DUMMYFUNCTION("VALUE(SUBSTITUTE((INDEX(SPLIT(A1881,"",""),1)),""."","","",1))"),55.927266)</f>
        <v>55.927266</v>
      </c>
      <c r="Q1881" s="13">
        <f>IFERROR(__xludf.DUMMYFUNCTION("VALUE(SUBSTITUTE((INDEX(SPLIT(A1881,"",""),2)),""."","","",1))"),38.026414)</f>
        <v>38.026414</v>
      </c>
      <c r="R1881" s="14" t="b">
        <f t="shared" si="1"/>
        <v>0</v>
      </c>
      <c r="S1881" s="14" t="str">
        <f t="shared" si="2"/>
        <v>55.927266,38.026414</v>
      </c>
      <c r="T1881" s="12"/>
    </row>
    <row r="1882">
      <c r="A1882" s="7" t="s">
        <v>12173</v>
      </c>
      <c r="B1882" s="8" t="s">
        <v>12174</v>
      </c>
      <c r="C1882" s="8" t="s">
        <v>12175</v>
      </c>
      <c r="D1882" s="8" t="s">
        <v>16</v>
      </c>
      <c r="E1882" s="9" t="s">
        <v>12176</v>
      </c>
      <c r="F1882" s="10" t="s">
        <v>3760</v>
      </c>
      <c r="G1882" s="8">
        <v>23.61</v>
      </c>
      <c r="H1882" s="8"/>
      <c r="I1882" s="10"/>
      <c r="J1882" s="10" t="s">
        <v>12177</v>
      </c>
      <c r="K1882" s="10" t="s">
        <v>12178</v>
      </c>
      <c r="L1882" s="11" t="s">
        <v>12179</v>
      </c>
      <c r="M1882" s="10"/>
      <c r="N1882" s="12"/>
      <c r="O1882" s="12"/>
      <c r="P1882" s="13">
        <f>IFERROR(__xludf.DUMMYFUNCTION("VALUE(SUBSTITUTE((INDEX(SPLIT(A1882,"",""),1)),""."","","",1))"),55.748447)</f>
        <v>55.748447</v>
      </c>
      <c r="Q1882" s="13">
        <f>IFERROR(__xludf.DUMMYFUNCTION("VALUE(SUBSTITUTE((INDEX(SPLIT(A1882,"",""),2)),""."","","",1))"),38.029405)</f>
        <v>38.029405</v>
      </c>
      <c r="R1882" s="14" t="b">
        <f t="shared" si="1"/>
        <v>0</v>
      </c>
      <c r="S1882" s="14" t="str">
        <f t="shared" si="2"/>
        <v>55.748447,38.029405</v>
      </c>
      <c r="T1882" s="12"/>
    </row>
    <row r="1883">
      <c r="A1883" s="20" t="s">
        <v>12180</v>
      </c>
      <c r="B1883" s="16" t="s">
        <v>6129</v>
      </c>
      <c r="C1883" s="16" t="s">
        <v>6130</v>
      </c>
      <c r="D1883" s="16" t="s">
        <v>16</v>
      </c>
      <c r="E1883" s="21" t="s">
        <v>12181</v>
      </c>
      <c r="F1883" s="22" t="s">
        <v>3760</v>
      </c>
      <c r="G1883" s="16">
        <v>23.61</v>
      </c>
      <c r="H1883" s="16"/>
      <c r="I1883" s="22"/>
      <c r="J1883" s="22" t="s">
        <v>12182</v>
      </c>
      <c r="K1883" s="22" t="s">
        <v>12183</v>
      </c>
      <c r="L1883" s="23" t="s">
        <v>12184</v>
      </c>
      <c r="M1883" s="22"/>
      <c r="N1883" s="12"/>
      <c r="O1883" s="12"/>
      <c r="P1883" s="13">
        <f>IFERROR(__xludf.DUMMYFUNCTION("VALUE(SUBSTITUTE((INDEX(SPLIT(A1883,"",""),1)),""."","","",1))"),55.921112)</f>
        <v>55.921112</v>
      </c>
      <c r="Q1883" s="13">
        <f>IFERROR(__xludf.DUMMYFUNCTION("VALUE(SUBSTITUTE((INDEX(SPLIT(A1883,"",""),2)),""."","","",1))"),38.035469)</f>
        <v>38.035469</v>
      </c>
      <c r="R1883" s="14" t="b">
        <f t="shared" si="1"/>
        <v>0</v>
      </c>
      <c r="S1883" s="14" t="str">
        <f t="shared" si="2"/>
        <v>55.921112,38.035469</v>
      </c>
      <c r="T1883" s="12"/>
    </row>
    <row r="1884">
      <c r="A1884" s="7" t="s">
        <v>12185</v>
      </c>
      <c r="B1884" s="8" t="s">
        <v>12186</v>
      </c>
      <c r="C1884" s="8" t="s">
        <v>12187</v>
      </c>
      <c r="D1884" s="8" t="s">
        <v>16</v>
      </c>
      <c r="E1884" s="9" t="s">
        <v>12188</v>
      </c>
      <c r="F1884" s="10" t="s">
        <v>11562</v>
      </c>
      <c r="G1884" s="8">
        <v>23.61</v>
      </c>
      <c r="H1884" s="8"/>
      <c r="I1884" s="10"/>
      <c r="J1884" s="10" t="s">
        <v>12189</v>
      </c>
      <c r="K1884" s="10" t="s">
        <v>12190</v>
      </c>
      <c r="L1884" s="11" t="s">
        <v>12191</v>
      </c>
      <c r="M1884" s="10"/>
      <c r="N1884" s="12"/>
      <c r="O1884" s="12"/>
      <c r="P1884" s="13">
        <f>IFERROR(__xludf.DUMMYFUNCTION("VALUE(SUBSTITUTE((INDEX(SPLIT(A1884,"",""),1)),""."","","",1))"),59.110667)</f>
        <v>59.110667</v>
      </c>
      <c r="Q1884" s="13">
        <f>IFERROR(__xludf.DUMMYFUNCTION("VALUE(SUBSTITUTE((INDEX(SPLIT(A1884,"",""),2)),""."","","",1))"),38.037562)</f>
        <v>38.037562</v>
      </c>
      <c r="R1884" s="14" t="b">
        <f t="shared" si="1"/>
        <v>0</v>
      </c>
      <c r="S1884" s="14" t="str">
        <f t="shared" si="2"/>
        <v>59.110667,38.037562</v>
      </c>
      <c r="T1884" s="12"/>
    </row>
    <row r="1885">
      <c r="A1885" s="15" t="s">
        <v>12192</v>
      </c>
      <c r="B1885" s="16" t="s">
        <v>12193</v>
      </c>
      <c r="C1885" s="16" t="s">
        <v>12194</v>
      </c>
      <c r="D1885" s="16" t="s">
        <v>16</v>
      </c>
      <c r="E1885" s="17" t="s">
        <v>12195</v>
      </c>
      <c r="F1885" s="16" t="s">
        <v>3760</v>
      </c>
      <c r="G1885" s="16">
        <v>23.61</v>
      </c>
      <c r="H1885" s="16"/>
      <c r="I1885" s="16"/>
      <c r="J1885" s="16" t="s">
        <v>12196</v>
      </c>
      <c r="K1885" s="16" t="s">
        <v>12197</v>
      </c>
      <c r="L1885" s="16"/>
      <c r="M1885" s="25" t="s">
        <v>12198</v>
      </c>
      <c r="N1885" s="12"/>
      <c r="O1885" s="12"/>
      <c r="P1885" s="13">
        <f>IFERROR(__xludf.DUMMYFUNCTION("VALUE(SUBSTITUTE((INDEX(SPLIT(A1885,"",""),1)),""."","","",1))"),55.601437)</f>
        <v>55.601437</v>
      </c>
      <c r="Q1885" s="13">
        <f>IFERROR(__xludf.DUMMYFUNCTION("VALUE(SUBSTITUTE((INDEX(SPLIT(A1885,"",""),2)),""."","","",1))"),38.048117)</f>
        <v>38.048117</v>
      </c>
      <c r="R1885" s="14" t="b">
        <f t="shared" si="1"/>
        <v>0</v>
      </c>
      <c r="S1885" s="14" t="str">
        <f t="shared" si="2"/>
        <v>55.601437,38.048117</v>
      </c>
      <c r="T1885" s="12"/>
    </row>
    <row r="1886">
      <c r="A1886" s="18" t="s">
        <v>12199</v>
      </c>
      <c r="B1886" s="8" t="s">
        <v>12200</v>
      </c>
      <c r="C1886" s="8" t="s">
        <v>12201</v>
      </c>
      <c r="D1886" s="8" t="s">
        <v>16</v>
      </c>
      <c r="E1886" s="19" t="s">
        <v>12202</v>
      </c>
      <c r="F1886" s="8" t="s">
        <v>6732</v>
      </c>
      <c r="G1886" s="8">
        <v>23.61</v>
      </c>
      <c r="H1886" s="8"/>
      <c r="I1886" s="8"/>
      <c r="J1886" s="8" t="s">
        <v>12203</v>
      </c>
      <c r="K1886" s="8" t="s">
        <v>12204</v>
      </c>
      <c r="L1886" s="8"/>
      <c r="M1886" s="8"/>
      <c r="N1886" s="12"/>
      <c r="O1886" s="12"/>
      <c r="P1886" s="13">
        <f>IFERROR(__xludf.DUMMYFUNCTION("VALUE(SUBSTITUTE((INDEX(SPLIT(A1886,"",""),1)),""."","","",1))"),54.020976)</f>
        <v>54.020976</v>
      </c>
      <c r="Q1886" s="13">
        <f>IFERROR(__xludf.DUMMYFUNCTION("VALUE(SUBSTITUTE((INDEX(SPLIT(A1886,"",""),2)),""."","","",1))"),38.054666)</f>
        <v>38.054666</v>
      </c>
      <c r="R1886" s="14" t="b">
        <f t="shared" si="1"/>
        <v>0</v>
      </c>
      <c r="S1886" s="14" t="str">
        <f t="shared" si="2"/>
        <v>54.020976,38.054666</v>
      </c>
      <c r="T1886" s="12"/>
    </row>
    <row r="1887">
      <c r="A1887" s="15" t="s">
        <v>12205</v>
      </c>
      <c r="B1887" s="16" t="s">
        <v>12206</v>
      </c>
      <c r="C1887" s="16" t="s">
        <v>12207</v>
      </c>
      <c r="D1887" s="16" t="s">
        <v>16</v>
      </c>
      <c r="E1887" s="17" t="s">
        <v>12208</v>
      </c>
      <c r="F1887" s="16" t="s">
        <v>3760</v>
      </c>
      <c r="G1887" s="16">
        <v>23.61</v>
      </c>
      <c r="H1887" s="16"/>
      <c r="I1887" s="16"/>
      <c r="J1887" s="16" t="s">
        <v>12209</v>
      </c>
      <c r="K1887" s="16" t="s">
        <v>3297</v>
      </c>
      <c r="L1887" s="16"/>
      <c r="M1887" s="16"/>
      <c r="N1887" s="12"/>
      <c r="O1887" s="12"/>
      <c r="P1887" s="13">
        <f>IFERROR(__xludf.DUMMYFUNCTION("VALUE(SUBSTITUTE((INDEX(SPLIT(A1887,"",""),1)),""."","","",1))"),55.912985)</f>
        <v>55.912985</v>
      </c>
      <c r="Q1887" s="13">
        <f>IFERROR(__xludf.DUMMYFUNCTION("VALUE(SUBSTITUTE((INDEX(SPLIT(A1887,"",""),2)),""."","","",1))"),38.059768)</f>
        <v>38.059768</v>
      </c>
      <c r="R1887" s="14" t="b">
        <f t="shared" si="1"/>
        <v>0</v>
      </c>
      <c r="S1887" s="14" t="str">
        <f t="shared" si="2"/>
        <v>55.912985,38.059768</v>
      </c>
      <c r="T1887" s="12"/>
    </row>
    <row r="1888">
      <c r="A1888" s="7" t="s">
        <v>12210</v>
      </c>
      <c r="B1888" s="8" t="s">
        <v>12211</v>
      </c>
      <c r="C1888" s="8" t="s">
        <v>12212</v>
      </c>
      <c r="D1888" s="8" t="s">
        <v>16</v>
      </c>
      <c r="E1888" s="9" t="s">
        <v>12213</v>
      </c>
      <c r="F1888" s="10" t="s">
        <v>3760</v>
      </c>
      <c r="G1888" s="8">
        <v>23.61</v>
      </c>
      <c r="H1888" s="8"/>
      <c r="I1888" s="10"/>
      <c r="J1888" s="10" t="s">
        <v>12214</v>
      </c>
      <c r="K1888" s="10" t="s">
        <v>12215</v>
      </c>
      <c r="L1888" s="11" t="s">
        <v>12216</v>
      </c>
      <c r="M1888" s="10"/>
      <c r="N1888" s="12"/>
      <c r="O1888" s="12"/>
      <c r="P1888" s="13">
        <f>IFERROR(__xludf.DUMMYFUNCTION("VALUE(SUBSTITUTE((INDEX(SPLIT(A1888,"",""),1)),""."","","",1))"),55.752161)</f>
        <v>55.752161</v>
      </c>
      <c r="Q1888" s="13">
        <f>IFERROR(__xludf.DUMMYFUNCTION("VALUE(SUBSTITUTE((INDEX(SPLIT(A1888,"",""),2)),""."","","",1))"),38.061861)</f>
        <v>38.061861</v>
      </c>
      <c r="R1888" s="14" t="b">
        <f t="shared" si="1"/>
        <v>0</v>
      </c>
      <c r="S1888" s="14" t="str">
        <f t="shared" si="2"/>
        <v>55.752161,38.061861</v>
      </c>
      <c r="T1888" s="12"/>
    </row>
    <row r="1889">
      <c r="A1889" s="20" t="s">
        <v>12217</v>
      </c>
      <c r="B1889" s="16" t="s">
        <v>12218</v>
      </c>
      <c r="C1889" s="16" t="s">
        <v>12219</v>
      </c>
      <c r="D1889" s="16" t="s">
        <v>16</v>
      </c>
      <c r="E1889" s="21" t="s">
        <v>12220</v>
      </c>
      <c r="F1889" s="22" t="s">
        <v>3760</v>
      </c>
      <c r="G1889" s="16">
        <v>23.61</v>
      </c>
      <c r="H1889" s="16"/>
      <c r="I1889" s="22"/>
      <c r="J1889" s="22" t="s">
        <v>12221</v>
      </c>
      <c r="K1889" s="22" t="s">
        <v>12222</v>
      </c>
      <c r="L1889" s="23" t="s">
        <v>12223</v>
      </c>
      <c r="M1889" s="22"/>
      <c r="N1889" s="12"/>
      <c r="O1889" s="12"/>
      <c r="P1889" s="13">
        <f>IFERROR(__xludf.DUMMYFUNCTION("VALUE(SUBSTITUTE((INDEX(SPLIT(A1889,"",""),1)),""."","","",1))"),55.967814)</f>
        <v>55.967814</v>
      </c>
      <c r="Q1889" s="13">
        <f>IFERROR(__xludf.DUMMYFUNCTION("VALUE(SUBSTITUTE((INDEX(SPLIT(A1889,"",""),2)),""."","","",1))"),38.062912)</f>
        <v>38.062912</v>
      </c>
      <c r="R1889" s="14" t="b">
        <f t="shared" si="1"/>
        <v>0</v>
      </c>
      <c r="S1889" s="14" t="str">
        <f t="shared" si="2"/>
        <v>55.967814,38.062912</v>
      </c>
      <c r="T1889" s="12"/>
    </row>
    <row r="1890">
      <c r="A1890" s="7" t="s">
        <v>12224</v>
      </c>
      <c r="B1890" s="8" t="s">
        <v>12225</v>
      </c>
      <c r="C1890" s="8" t="s">
        <v>12226</v>
      </c>
      <c r="D1890" s="8" t="s">
        <v>16</v>
      </c>
      <c r="E1890" s="9" t="s">
        <v>12227</v>
      </c>
      <c r="F1890" s="10" t="s">
        <v>3760</v>
      </c>
      <c r="G1890" s="8">
        <v>23.61</v>
      </c>
      <c r="H1890" s="8"/>
      <c r="I1890" s="10"/>
      <c r="J1890" s="10" t="s">
        <v>12228</v>
      </c>
      <c r="K1890" s="10" t="s">
        <v>12229</v>
      </c>
      <c r="L1890" s="11" t="s">
        <v>12230</v>
      </c>
      <c r="M1890" s="11" t="s">
        <v>12231</v>
      </c>
      <c r="N1890" s="12"/>
      <c r="O1890" s="12"/>
      <c r="P1890" s="13">
        <f>IFERROR(__xludf.DUMMYFUNCTION("VALUE(SUBSTITUTE((INDEX(SPLIT(A1890,"",""),1)),""."","","",1))"),55.62238)</f>
        <v>55.62238</v>
      </c>
      <c r="Q1890" s="13">
        <f>IFERROR(__xludf.DUMMYFUNCTION("VALUE(SUBSTITUTE((INDEX(SPLIT(A1890,"",""),2)),""."","","",1))"),38.07088)</f>
        <v>38.07088</v>
      </c>
      <c r="R1890" s="14" t="b">
        <f t="shared" si="1"/>
        <v>0</v>
      </c>
      <c r="S1890" s="14" t="str">
        <f t="shared" si="2"/>
        <v>55.62238,38.07088</v>
      </c>
      <c r="T1890" s="12"/>
    </row>
    <row r="1891">
      <c r="A1891" s="20" t="s">
        <v>12232</v>
      </c>
      <c r="B1891" s="16" t="s">
        <v>12233</v>
      </c>
      <c r="C1891" s="16" t="s">
        <v>12234</v>
      </c>
      <c r="D1891" s="16" t="s">
        <v>16</v>
      </c>
      <c r="E1891" s="21" t="s">
        <v>12235</v>
      </c>
      <c r="F1891" s="22" t="s">
        <v>3760</v>
      </c>
      <c r="G1891" s="16">
        <v>23.61</v>
      </c>
      <c r="H1891" s="16"/>
      <c r="I1891" s="22"/>
      <c r="J1891" s="22" t="s">
        <v>12236</v>
      </c>
      <c r="K1891" s="22" t="s">
        <v>12237</v>
      </c>
      <c r="L1891" s="23" t="s">
        <v>12238</v>
      </c>
      <c r="M1891" s="23" t="s">
        <v>12239</v>
      </c>
      <c r="N1891" s="12"/>
      <c r="O1891" s="12"/>
      <c r="P1891" s="13">
        <f>IFERROR(__xludf.DUMMYFUNCTION("VALUE(SUBSTITUTE((INDEX(SPLIT(A1891,"",""),1)),""."","","",1))"),55.759471)</f>
        <v>55.759471</v>
      </c>
      <c r="Q1891" s="13">
        <f>IFERROR(__xludf.DUMMYFUNCTION("VALUE(SUBSTITUTE((INDEX(SPLIT(A1891,"",""),2)),""."","","",1))"),38.073171)</f>
        <v>38.073171</v>
      </c>
      <c r="R1891" s="14" t="b">
        <f t="shared" si="1"/>
        <v>0</v>
      </c>
      <c r="S1891" s="14" t="str">
        <f t="shared" si="2"/>
        <v>55.759471,38.073171</v>
      </c>
      <c r="T1891" s="12"/>
    </row>
    <row r="1892">
      <c r="A1892" s="7" t="s">
        <v>12240</v>
      </c>
      <c r="B1892" s="8" t="s">
        <v>12241</v>
      </c>
      <c r="C1892" s="8" t="s">
        <v>12242</v>
      </c>
      <c r="D1892" s="8" t="s">
        <v>16</v>
      </c>
      <c r="E1892" s="9" t="s">
        <v>12243</v>
      </c>
      <c r="F1892" s="10" t="s">
        <v>4327</v>
      </c>
      <c r="G1892" s="8">
        <v>23.61</v>
      </c>
      <c r="H1892" s="8"/>
      <c r="I1892" s="10"/>
      <c r="J1892" s="10" t="s">
        <v>12244</v>
      </c>
      <c r="K1892" s="10" t="s">
        <v>12245</v>
      </c>
      <c r="L1892" s="11" t="s">
        <v>12246</v>
      </c>
      <c r="M1892" s="10"/>
      <c r="N1892" s="12"/>
      <c r="O1892" s="12"/>
      <c r="P1892" s="13">
        <f>IFERROR(__xludf.DUMMYFUNCTION("VALUE(SUBSTITUTE((INDEX(SPLIT(A1892,"",""),1)),""."","","",1))"),51.119925)</f>
        <v>51.119925</v>
      </c>
      <c r="Q1892" s="13">
        <f>IFERROR(__xludf.DUMMYFUNCTION("VALUE(SUBSTITUTE((INDEX(SPLIT(A1892,"",""),2)),""."","","",1))"),38.082037)</f>
        <v>38.082037</v>
      </c>
      <c r="R1892" s="14" t="b">
        <f t="shared" si="1"/>
        <v>0</v>
      </c>
      <c r="S1892" s="14" t="str">
        <f t="shared" si="2"/>
        <v>51.119925,38.082037</v>
      </c>
      <c r="T1892" s="12"/>
    </row>
    <row r="1893">
      <c r="A1893" s="20" t="s">
        <v>12247</v>
      </c>
      <c r="B1893" s="16" t="s">
        <v>12248</v>
      </c>
      <c r="C1893" s="16" t="s">
        <v>12249</v>
      </c>
      <c r="D1893" s="16" t="s">
        <v>16</v>
      </c>
      <c r="E1893" s="21" t="s">
        <v>12250</v>
      </c>
      <c r="F1893" s="22" t="s">
        <v>8566</v>
      </c>
      <c r="G1893" s="16">
        <v>23.61</v>
      </c>
      <c r="H1893" s="16"/>
      <c r="I1893" s="22"/>
      <c r="J1893" s="22" t="s">
        <v>12251</v>
      </c>
      <c r="K1893" s="22" t="s">
        <v>12252</v>
      </c>
      <c r="L1893" s="23" t="s">
        <v>12253</v>
      </c>
      <c r="M1893" s="22"/>
      <c r="N1893" s="12"/>
      <c r="O1893" s="12"/>
      <c r="P1893" s="13">
        <f>IFERROR(__xludf.DUMMYFUNCTION("VALUE(SUBSTITUTE((INDEX(SPLIT(A1893,"",""),1)),""."","","",1))"),44.565232)</f>
        <v>44.565232</v>
      </c>
      <c r="Q1893" s="13">
        <f>IFERROR(__xludf.DUMMYFUNCTION("VALUE(SUBSTITUTE((INDEX(SPLIT(A1893,"",""),2)),""."","","",1))"),38.086619)</f>
        <v>38.086619</v>
      </c>
      <c r="R1893" s="14" t="b">
        <f t="shared" si="1"/>
        <v>0</v>
      </c>
      <c r="S1893" s="14" t="str">
        <f t="shared" si="2"/>
        <v>44.565232,38.086619</v>
      </c>
      <c r="T1893" s="12"/>
    </row>
    <row r="1894">
      <c r="A1894" s="18" t="s">
        <v>12254</v>
      </c>
      <c r="B1894" s="8" t="s">
        <v>12255</v>
      </c>
      <c r="C1894" s="8" t="s">
        <v>12256</v>
      </c>
      <c r="D1894" s="8" t="s">
        <v>16</v>
      </c>
      <c r="E1894" s="19" t="s">
        <v>12257</v>
      </c>
      <c r="F1894" s="8" t="s">
        <v>3760</v>
      </c>
      <c r="G1894" s="8">
        <v>23.61</v>
      </c>
      <c r="H1894" s="8"/>
      <c r="I1894" s="8"/>
      <c r="J1894" s="8" t="s">
        <v>12258</v>
      </c>
      <c r="K1894" s="8" t="s">
        <v>12259</v>
      </c>
      <c r="L1894" s="8"/>
      <c r="M1894" s="8"/>
      <c r="N1894" s="12"/>
      <c r="O1894" s="12"/>
      <c r="P1894" s="13">
        <f>IFERROR(__xludf.DUMMYFUNCTION("VALUE(SUBSTITUTE((INDEX(SPLIT(A1894,"",""),1)),""."","","",1))"),55.5978)</f>
        <v>55.5978</v>
      </c>
      <c r="Q1894" s="13">
        <f>IFERROR(__xludf.DUMMYFUNCTION("VALUE(SUBSTITUTE((INDEX(SPLIT(A1894,"",""),2)),""."","","",1))"),38.088775)</f>
        <v>38.088775</v>
      </c>
      <c r="R1894" s="14" t="b">
        <f t="shared" si="1"/>
        <v>0</v>
      </c>
      <c r="S1894" s="14" t="str">
        <f t="shared" si="2"/>
        <v>55.5978,38.088775</v>
      </c>
      <c r="T1894" s="12"/>
    </row>
    <row r="1895">
      <c r="A1895" s="20" t="s">
        <v>12260</v>
      </c>
      <c r="B1895" s="16" t="s">
        <v>12261</v>
      </c>
      <c r="C1895" s="16" t="s">
        <v>12262</v>
      </c>
      <c r="D1895" s="16" t="s">
        <v>16</v>
      </c>
      <c r="E1895" s="21" t="s">
        <v>12263</v>
      </c>
      <c r="F1895" s="22" t="s">
        <v>3760</v>
      </c>
      <c r="G1895" s="16">
        <v>23.61</v>
      </c>
      <c r="H1895" s="16"/>
      <c r="I1895" s="22"/>
      <c r="J1895" s="22" t="s">
        <v>12264</v>
      </c>
      <c r="K1895" s="22" t="s">
        <v>12265</v>
      </c>
      <c r="L1895" s="23" t="s">
        <v>12266</v>
      </c>
      <c r="M1895" s="23" t="s">
        <v>12267</v>
      </c>
      <c r="N1895" s="12"/>
      <c r="O1895" s="12"/>
      <c r="P1895" s="13">
        <f>IFERROR(__xludf.DUMMYFUNCTION("VALUE(SUBSTITUTE((INDEX(SPLIT(A1895,"",""),1)),""."","","",1))"),55.609106)</f>
        <v>55.609106</v>
      </c>
      <c r="Q1895" s="13">
        <f>IFERROR(__xludf.DUMMYFUNCTION("VALUE(SUBSTITUTE((INDEX(SPLIT(A1895,"",""),2)),""."","","",1))"),38.08996)</f>
        <v>38.08996</v>
      </c>
      <c r="R1895" s="14" t="b">
        <f t="shared" si="1"/>
        <v>0</v>
      </c>
      <c r="S1895" s="14" t="str">
        <f t="shared" si="2"/>
        <v>55.609106,38.08996</v>
      </c>
      <c r="T1895" s="12"/>
    </row>
    <row r="1896">
      <c r="A1896" s="18" t="s">
        <v>12268</v>
      </c>
      <c r="B1896" s="8" t="s">
        <v>3527</v>
      </c>
      <c r="C1896" s="8" t="s">
        <v>3528</v>
      </c>
      <c r="D1896" s="8" t="s">
        <v>16</v>
      </c>
      <c r="E1896" s="19" t="s">
        <v>12269</v>
      </c>
      <c r="F1896" s="8" t="s">
        <v>8566</v>
      </c>
      <c r="G1896" s="8">
        <v>23.61</v>
      </c>
      <c r="H1896" s="8"/>
      <c r="I1896" s="8"/>
      <c r="J1896" s="8" t="s">
        <v>12270</v>
      </c>
      <c r="K1896" s="8" t="s">
        <v>12271</v>
      </c>
      <c r="L1896" s="8"/>
      <c r="M1896" s="24" t="s">
        <v>12272</v>
      </c>
      <c r="N1896" s="12"/>
      <c r="O1896" s="12"/>
      <c r="P1896" s="13">
        <f>IFERROR(__xludf.DUMMYFUNCTION("VALUE(SUBSTITUTE((INDEX(SPLIT(A1896,"",""),1)),""."","","",1))"),44.571891)</f>
        <v>44.571891</v>
      </c>
      <c r="Q1896" s="13">
        <f>IFERROR(__xludf.DUMMYFUNCTION("VALUE(SUBSTITUTE((INDEX(SPLIT(A1896,"",""),2)),""."","","",1))"),38.095449)</f>
        <v>38.095449</v>
      </c>
      <c r="R1896" s="14" t="b">
        <f t="shared" si="1"/>
        <v>0</v>
      </c>
      <c r="S1896" s="14" t="str">
        <f t="shared" si="2"/>
        <v>44.571891,38.095449</v>
      </c>
      <c r="T1896" s="12"/>
    </row>
    <row r="1897">
      <c r="A1897" s="15" t="s">
        <v>12268</v>
      </c>
      <c r="B1897" s="16" t="s">
        <v>3138</v>
      </c>
      <c r="C1897" s="16" t="s">
        <v>3139</v>
      </c>
      <c r="D1897" s="16" t="s">
        <v>16</v>
      </c>
      <c r="E1897" s="17" t="s">
        <v>12273</v>
      </c>
      <c r="F1897" s="16" t="s">
        <v>8566</v>
      </c>
      <c r="G1897" s="16">
        <v>23.61</v>
      </c>
      <c r="H1897" s="16"/>
      <c r="I1897" s="16"/>
      <c r="J1897" s="16" t="s">
        <v>12270</v>
      </c>
      <c r="K1897" s="16" t="s">
        <v>12274</v>
      </c>
      <c r="L1897" s="16"/>
      <c r="M1897" s="25" t="s">
        <v>12275</v>
      </c>
      <c r="N1897" s="12"/>
      <c r="O1897" s="12"/>
      <c r="P1897" s="13">
        <f>IFERROR(__xludf.DUMMYFUNCTION("VALUE(SUBSTITUTE((INDEX(SPLIT(A1897,"",""),1)),""."","","",1))"),44.571891)</f>
        <v>44.571891</v>
      </c>
      <c r="Q1897" s="13">
        <f>IFERROR(__xludf.DUMMYFUNCTION("VALUE(SUBSTITUTE((INDEX(SPLIT(A1897,"",""),2)),""."","","",1))"),38.095449)</f>
        <v>38.095449</v>
      </c>
      <c r="R1897" s="14" t="b">
        <f t="shared" si="1"/>
        <v>0</v>
      </c>
      <c r="S1897" s="14" t="str">
        <f t="shared" si="2"/>
        <v>44.571891,38.095449</v>
      </c>
      <c r="T1897" s="12"/>
    </row>
    <row r="1898">
      <c r="A1898" s="18" t="s">
        <v>12268</v>
      </c>
      <c r="B1898" s="8" t="s">
        <v>12276</v>
      </c>
      <c r="C1898" s="8" t="s">
        <v>12277</v>
      </c>
      <c r="D1898" s="8" t="s">
        <v>16</v>
      </c>
      <c r="E1898" s="19" t="s">
        <v>12278</v>
      </c>
      <c r="F1898" s="8" t="s">
        <v>8566</v>
      </c>
      <c r="G1898" s="8">
        <v>23.61</v>
      </c>
      <c r="H1898" s="8"/>
      <c r="I1898" s="8"/>
      <c r="J1898" s="8" t="s">
        <v>12270</v>
      </c>
      <c r="K1898" s="8" t="s">
        <v>12279</v>
      </c>
      <c r="L1898" s="8"/>
      <c r="M1898" s="24" t="s">
        <v>12272</v>
      </c>
      <c r="N1898" s="12"/>
      <c r="O1898" s="12"/>
      <c r="P1898" s="13">
        <f>IFERROR(__xludf.DUMMYFUNCTION("VALUE(SUBSTITUTE((INDEX(SPLIT(A1898,"",""),1)),""."","","",1))"),44.571891)</f>
        <v>44.571891</v>
      </c>
      <c r="Q1898" s="13">
        <f>IFERROR(__xludf.DUMMYFUNCTION("VALUE(SUBSTITUTE((INDEX(SPLIT(A1898,"",""),2)),""."","","",1))"),38.095449)</f>
        <v>38.095449</v>
      </c>
      <c r="R1898" s="14" t="b">
        <f t="shared" si="1"/>
        <v>0</v>
      </c>
      <c r="S1898" s="14" t="str">
        <f t="shared" si="2"/>
        <v>44.571891,38.095449</v>
      </c>
      <c r="T1898" s="12"/>
    </row>
    <row r="1899">
      <c r="A1899" s="20" t="s">
        <v>12280</v>
      </c>
      <c r="B1899" s="16" t="s">
        <v>12281</v>
      </c>
      <c r="C1899" s="16" t="s">
        <v>12282</v>
      </c>
      <c r="D1899" s="16" t="s">
        <v>16</v>
      </c>
      <c r="E1899" s="21" t="s">
        <v>12283</v>
      </c>
      <c r="F1899" s="22" t="s">
        <v>3760</v>
      </c>
      <c r="G1899" s="16">
        <v>23.61</v>
      </c>
      <c r="H1899" s="16"/>
      <c r="I1899" s="22"/>
      <c r="J1899" s="22" t="s">
        <v>12284</v>
      </c>
      <c r="K1899" s="22" t="s">
        <v>12285</v>
      </c>
      <c r="L1899" s="23" t="s">
        <v>12286</v>
      </c>
      <c r="M1899" s="22"/>
      <c r="N1899" s="12"/>
      <c r="O1899" s="12"/>
      <c r="P1899" s="13">
        <f>IFERROR(__xludf.DUMMYFUNCTION("VALUE(SUBSTITUTE((INDEX(SPLIT(A1899,"",""),1)),""."","","",1))"),56.377024)</f>
        <v>56.377024</v>
      </c>
      <c r="Q1899" s="13">
        <f>IFERROR(__xludf.DUMMYFUNCTION("VALUE(SUBSTITUTE((INDEX(SPLIT(A1899,"",""),2)),""."","","",1))"),38.102672)</f>
        <v>38.102672</v>
      </c>
      <c r="R1899" s="14" t="b">
        <f t="shared" si="1"/>
        <v>0</v>
      </c>
      <c r="S1899" s="14" t="str">
        <f t="shared" si="2"/>
        <v>56.377024,38.102672</v>
      </c>
      <c r="T1899" s="12"/>
    </row>
    <row r="1900">
      <c r="A1900" s="18" t="s">
        <v>12280</v>
      </c>
      <c r="B1900" s="8" t="s">
        <v>12287</v>
      </c>
      <c r="C1900" s="8" t="s">
        <v>12288</v>
      </c>
      <c r="D1900" s="8" t="s">
        <v>16</v>
      </c>
      <c r="E1900" s="19" t="s">
        <v>12289</v>
      </c>
      <c r="F1900" s="8" t="s">
        <v>3760</v>
      </c>
      <c r="G1900" s="8">
        <v>23.61</v>
      </c>
      <c r="H1900" s="8"/>
      <c r="I1900" s="8"/>
      <c r="J1900" s="8" t="s">
        <v>12290</v>
      </c>
      <c r="K1900" s="8" t="s">
        <v>12291</v>
      </c>
      <c r="L1900" s="8"/>
      <c r="M1900" s="8"/>
      <c r="N1900" s="12"/>
      <c r="O1900" s="12"/>
      <c r="P1900" s="13">
        <f>IFERROR(__xludf.DUMMYFUNCTION("VALUE(SUBSTITUTE((INDEX(SPLIT(A1900,"",""),1)),""."","","",1))"),56.377024)</f>
        <v>56.377024</v>
      </c>
      <c r="Q1900" s="13">
        <f>IFERROR(__xludf.DUMMYFUNCTION("VALUE(SUBSTITUTE((INDEX(SPLIT(A1900,"",""),2)),""."","","",1))"),38.102672)</f>
        <v>38.102672</v>
      </c>
      <c r="R1900" s="14" t="b">
        <f t="shared" si="1"/>
        <v>0</v>
      </c>
      <c r="S1900" s="14" t="str">
        <f t="shared" si="2"/>
        <v>56.377024,38.102672</v>
      </c>
      <c r="T1900" s="12"/>
    </row>
    <row r="1901">
      <c r="A1901" s="20" t="s">
        <v>12292</v>
      </c>
      <c r="B1901" s="16" t="s">
        <v>12293</v>
      </c>
      <c r="C1901" s="16" t="s">
        <v>12294</v>
      </c>
      <c r="D1901" s="16" t="s">
        <v>16</v>
      </c>
      <c r="E1901" s="21" t="s">
        <v>12295</v>
      </c>
      <c r="F1901" s="22" t="s">
        <v>3760</v>
      </c>
      <c r="G1901" s="16">
        <v>23.61</v>
      </c>
      <c r="H1901" s="16"/>
      <c r="I1901" s="22"/>
      <c r="J1901" s="22" t="s">
        <v>12296</v>
      </c>
      <c r="K1901" s="22" t="s">
        <v>12297</v>
      </c>
      <c r="L1901" s="23" t="s">
        <v>12298</v>
      </c>
      <c r="M1901" s="22"/>
      <c r="N1901" s="12"/>
      <c r="O1901" s="12"/>
      <c r="P1901" s="13">
        <f>IFERROR(__xludf.DUMMYFUNCTION("VALUE(SUBSTITUTE((INDEX(SPLIT(A1901,"",""),1)),""."","","",1))"),55.632545)</f>
        <v>55.632545</v>
      </c>
      <c r="Q1901" s="13">
        <f>IFERROR(__xludf.DUMMYFUNCTION("VALUE(SUBSTITUTE((INDEX(SPLIT(A1901,"",""),2)),""."","","",1))"),38.103597)</f>
        <v>38.103597</v>
      </c>
      <c r="R1901" s="14" t="b">
        <f t="shared" si="1"/>
        <v>0</v>
      </c>
      <c r="S1901" s="14" t="str">
        <f t="shared" si="2"/>
        <v>55.632545,38.103597</v>
      </c>
      <c r="T1901" s="12"/>
    </row>
    <row r="1902">
      <c r="A1902" s="7" t="s">
        <v>12299</v>
      </c>
      <c r="B1902" s="8" t="s">
        <v>12300</v>
      </c>
      <c r="C1902" s="8" t="s">
        <v>12301</v>
      </c>
      <c r="D1902" s="8" t="s">
        <v>16</v>
      </c>
      <c r="E1902" s="9" t="s">
        <v>12302</v>
      </c>
      <c r="F1902" s="10" t="s">
        <v>3760</v>
      </c>
      <c r="G1902" s="8">
        <v>23.61</v>
      </c>
      <c r="H1902" s="8"/>
      <c r="I1902" s="10"/>
      <c r="J1902" s="10" t="s">
        <v>12303</v>
      </c>
      <c r="K1902" s="10" t="s">
        <v>12304</v>
      </c>
      <c r="L1902" s="11" t="s">
        <v>12305</v>
      </c>
      <c r="M1902" s="10"/>
      <c r="N1902" s="12"/>
      <c r="O1902" s="12"/>
      <c r="P1902" s="13">
        <f>IFERROR(__xludf.DUMMYFUNCTION("VALUE(SUBSTITUTE((INDEX(SPLIT(A1902,"",""),1)),""."","","",1))"),54.957211)</f>
        <v>54.957211</v>
      </c>
      <c r="Q1902" s="13">
        <f>IFERROR(__xludf.DUMMYFUNCTION("VALUE(SUBSTITUTE((INDEX(SPLIT(A1902,"",""),2)),""."","","",1))"),38.103857)</f>
        <v>38.103857</v>
      </c>
      <c r="R1902" s="14" t="b">
        <f t="shared" si="1"/>
        <v>0</v>
      </c>
      <c r="S1902" s="14" t="str">
        <f t="shared" si="2"/>
        <v>54.957211,38.103857</v>
      </c>
      <c r="T1902" s="12"/>
    </row>
    <row r="1903">
      <c r="A1903" s="20" t="s">
        <v>12306</v>
      </c>
      <c r="B1903" s="16" t="s">
        <v>12307</v>
      </c>
      <c r="C1903" s="16" t="s">
        <v>12308</v>
      </c>
      <c r="D1903" s="16" t="s">
        <v>16</v>
      </c>
      <c r="E1903" s="21" t="s">
        <v>12309</v>
      </c>
      <c r="F1903" s="22" t="s">
        <v>3760</v>
      </c>
      <c r="G1903" s="16">
        <v>23.61</v>
      </c>
      <c r="H1903" s="16"/>
      <c r="I1903" s="22"/>
      <c r="J1903" s="22" t="s">
        <v>12310</v>
      </c>
      <c r="K1903" s="22" t="s">
        <v>12311</v>
      </c>
      <c r="L1903" s="23" t="s">
        <v>12312</v>
      </c>
      <c r="M1903" s="22"/>
      <c r="N1903" s="12"/>
      <c r="O1903" s="12"/>
      <c r="P1903" s="13">
        <f>IFERROR(__xludf.DUMMYFUNCTION("VALUE(SUBSTITUTE((INDEX(SPLIT(A1903,"",""),1)),""."","","",1))"),55.033527)</f>
        <v>55.033527</v>
      </c>
      <c r="Q1903" s="13">
        <f>IFERROR(__xludf.DUMMYFUNCTION("VALUE(SUBSTITUTE((INDEX(SPLIT(A1903,"",""),2)),""."","","",1))"),38.105169)</f>
        <v>38.105169</v>
      </c>
      <c r="R1903" s="14" t="b">
        <f t="shared" si="1"/>
        <v>0</v>
      </c>
      <c r="S1903" s="14" t="str">
        <f t="shared" si="2"/>
        <v>55.033527,38.105169</v>
      </c>
      <c r="T1903" s="12"/>
    </row>
    <row r="1904">
      <c r="A1904" s="18" t="s">
        <v>12313</v>
      </c>
      <c r="B1904" s="8" t="s">
        <v>12314</v>
      </c>
      <c r="C1904" s="8" t="s">
        <v>12315</v>
      </c>
      <c r="D1904" s="8" t="s">
        <v>16</v>
      </c>
      <c r="E1904" s="19" t="s">
        <v>12316</v>
      </c>
      <c r="F1904" s="8" t="s">
        <v>6732</v>
      </c>
      <c r="G1904" s="8">
        <v>23.61</v>
      </c>
      <c r="H1904" s="8"/>
      <c r="I1904" s="8"/>
      <c r="J1904" s="8" t="s">
        <v>12317</v>
      </c>
      <c r="K1904" s="8" t="s">
        <v>12318</v>
      </c>
      <c r="L1904" s="8"/>
      <c r="M1904" s="8"/>
      <c r="N1904" s="12"/>
      <c r="O1904" s="12"/>
      <c r="P1904" s="13">
        <f>IFERROR(__xludf.DUMMYFUNCTION("VALUE(SUBSTITUTE((INDEX(SPLIT(A1904,"",""),1)),""."","","",1))"),53.767703)</f>
        <v>53.767703</v>
      </c>
      <c r="Q1904" s="13">
        <f>IFERROR(__xludf.DUMMYFUNCTION("VALUE(SUBSTITUTE((INDEX(SPLIT(A1904,"",""),2)),""."","","",1))"),38.127735)</f>
        <v>38.127735</v>
      </c>
      <c r="R1904" s="14" t="b">
        <f t="shared" si="1"/>
        <v>0</v>
      </c>
      <c r="S1904" s="14" t="str">
        <f t="shared" si="2"/>
        <v>53.767703,38.127735</v>
      </c>
      <c r="T1904" s="12"/>
    </row>
    <row r="1905">
      <c r="A1905" s="20" t="s">
        <v>12319</v>
      </c>
      <c r="B1905" s="16" t="s">
        <v>12320</v>
      </c>
      <c r="C1905" s="16" t="s">
        <v>12321</v>
      </c>
      <c r="D1905" s="16" t="s">
        <v>16</v>
      </c>
      <c r="E1905" s="21" t="s">
        <v>12322</v>
      </c>
      <c r="F1905" s="22" t="s">
        <v>8566</v>
      </c>
      <c r="G1905" s="16">
        <v>23.61</v>
      </c>
      <c r="H1905" s="16"/>
      <c r="I1905" s="22"/>
      <c r="J1905" s="22" t="s">
        <v>12323</v>
      </c>
      <c r="K1905" s="22" t="s">
        <v>12324</v>
      </c>
      <c r="L1905" s="23" t="s">
        <v>12325</v>
      </c>
      <c r="M1905" s="22"/>
      <c r="N1905" s="12"/>
      <c r="O1905" s="12"/>
      <c r="P1905" s="13">
        <f>IFERROR(__xludf.DUMMYFUNCTION("VALUE(SUBSTITUTE((INDEX(SPLIT(A1905,"",""),1)),""."","","",1))"),45.260281)</f>
        <v>45.260281</v>
      </c>
      <c r="Q1905" s="13">
        <f>IFERROR(__xludf.DUMMYFUNCTION("VALUE(SUBSTITUTE((INDEX(SPLIT(A1905,"",""),2)),""."","","",1))"),38.133547)</f>
        <v>38.133547</v>
      </c>
      <c r="R1905" s="14" t="b">
        <f t="shared" si="1"/>
        <v>0</v>
      </c>
      <c r="S1905" s="14" t="str">
        <f t="shared" si="2"/>
        <v>45.260281,38.133547</v>
      </c>
      <c r="T1905" s="12"/>
    </row>
    <row r="1906">
      <c r="A1906" s="7" t="s">
        <v>12326</v>
      </c>
      <c r="B1906" s="8" t="s">
        <v>12327</v>
      </c>
      <c r="C1906" s="8" t="s">
        <v>12328</v>
      </c>
      <c r="D1906" s="8" t="s">
        <v>16</v>
      </c>
      <c r="E1906" s="9" t="s">
        <v>12329</v>
      </c>
      <c r="F1906" s="10" t="s">
        <v>3760</v>
      </c>
      <c r="G1906" s="8">
        <v>23.61</v>
      </c>
      <c r="H1906" s="8"/>
      <c r="I1906" s="10"/>
      <c r="J1906" s="10" t="s">
        <v>12330</v>
      </c>
      <c r="K1906" s="10" t="s">
        <v>12331</v>
      </c>
      <c r="L1906" s="11" t="s">
        <v>12332</v>
      </c>
      <c r="M1906" s="11" t="s">
        <v>12333</v>
      </c>
      <c r="N1906" s="12"/>
      <c r="O1906" s="12"/>
      <c r="P1906" s="13">
        <f>IFERROR(__xludf.DUMMYFUNCTION("VALUE(SUBSTITUTE((INDEX(SPLIT(A1906,"",""),1)),""."","","",1))"),56.29022)</f>
        <v>56.29022</v>
      </c>
      <c r="Q1906" s="13">
        <f>IFERROR(__xludf.DUMMYFUNCTION("VALUE(SUBSTITUTE((INDEX(SPLIT(A1906,"",""),2)),""."","","",1))"),38.134337)</f>
        <v>38.134337</v>
      </c>
      <c r="R1906" s="14" t="b">
        <f t="shared" si="1"/>
        <v>0</v>
      </c>
      <c r="S1906" s="14" t="str">
        <f t="shared" si="2"/>
        <v>56.29022,38.134337</v>
      </c>
      <c r="T1906" s="12"/>
    </row>
    <row r="1907">
      <c r="A1907" s="15" t="s">
        <v>12334</v>
      </c>
      <c r="B1907" s="16" t="s">
        <v>12335</v>
      </c>
      <c r="C1907" s="16" t="s">
        <v>12336</v>
      </c>
      <c r="D1907" s="16" t="s">
        <v>16</v>
      </c>
      <c r="E1907" s="17" t="s">
        <v>12337</v>
      </c>
      <c r="F1907" s="16" t="s">
        <v>3760</v>
      </c>
      <c r="G1907" s="16">
        <v>23.61</v>
      </c>
      <c r="H1907" s="16"/>
      <c r="I1907" s="16"/>
      <c r="J1907" s="16" t="s">
        <v>12338</v>
      </c>
      <c r="K1907" s="16" t="s">
        <v>12339</v>
      </c>
      <c r="L1907" s="16"/>
      <c r="M1907" s="16"/>
      <c r="N1907" s="12"/>
      <c r="O1907" s="12"/>
      <c r="P1907" s="13">
        <f>IFERROR(__xludf.DUMMYFUNCTION("VALUE(SUBSTITUTE((INDEX(SPLIT(A1907,"",""),1)),""."","","",1))"),56.303002)</f>
        <v>56.303002</v>
      </c>
      <c r="Q1907" s="13">
        <f>IFERROR(__xludf.DUMMYFUNCTION("VALUE(SUBSTITUTE((INDEX(SPLIT(A1907,"",""),2)),""."","","",1))"),38.134652)</f>
        <v>38.134652</v>
      </c>
      <c r="R1907" s="14" t="b">
        <f t="shared" si="1"/>
        <v>0</v>
      </c>
      <c r="S1907" s="14" t="str">
        <f t="shared" si="2"/>
        <v>56.303002,38.134652</v>
      </c>
      <c r="T1907" s="12"/>
    </row>
    <row r="1908">
      <c r="A1908" s="18" t="s">
        <v>12340</v>
      </c>
      <c r="B1908" s="8" t="s">
        <v>12341</v>
      </c>
      <c r="C1908" s="8" t="s">
        <v>12342</v>
      </c>
      <c r="D1908" s="8" t="s">
        <v>16</v>
      </c>
      <c r="E1908" s="19" t="s">
        <v>12343</v>
      </c>
      <c r="F1908" s="8" t="s">
        <v>3760</v>
      </c>
      <c r="G1908" s="8">
        <v>23.61</v>
      </c>
      <c r="H1908" s="8"/>
      <c r="I1908" s="8"/>
      <c r="J1908" s="8" t="s">
        <v>12344</v>
      </c>
      <c r="K1908" s="8" t="s">
        <v>12345</v>
      </c>
      <c r="L1908" s="8"/>
      <c r="M1908" s="24" t="s">
        <v>12346</v>
      </c>
      <c r="N1908" s="12"/>
      <c r="O1908" s="12"/>
      <c r="P1908" s="13">
        <f>IFERROR(__xludf.DUMMYFUNCTION("VALUE(SUBSTITUTE((INDEX(SPLIT(A1908,"",""),1)),""."","","",1))"),56.315311)</f>
        <v>56.315311</v>
      </c>
      <c r="Q1908" s="13">
        <f>IFERROR(__xludf.DUMMYFUNCTION("VALUE(SUBSTITUTE((INDEX(SPLIT(A1908,"",""),2)),""."","","",1))"),38.135972)</f>
        <v>38.135972</v>
      </c>
      <c r="R1908" s="14" t="b">
        <f t="shared" si="1"/>
        <v>0</v>
      </c>
      <c r="S1908" s="14" t="str">
        <f t="shared" si="2"/>
        <v>56.315311,38.135972</v>
      </c>
      <c r="T1908" s="12"/>
    </row>
    <row r="1909">
      <c r="A1909" s="15" t="s">
        <v>12347</v>
      </c>
      <c r="B1909" s="16" t="s">
        <v>12348</v>
      </c>
      <c r="C1909" s="16" t="s">
        <v>12349</v>
      </c>
      <c r="D1909" s="16" t="s">
        <v>16</v>
      </c>
      <c r="E1909" s="17" t="s">
        <v>12350</v>
      </c>
      <c r="F1909" s="16" t="s">
        <v>6732</v>
      </c>
      <c r="G1909" s="16">
        <v>23.61</v>
      </c>
      <c r="H1909" s="16"/>
      <c r="I1909" s="16"/>
      <c r="J1909" s="16" t="s">
        <v>12351</v>
      </c>
      <c r="K1909" s="16" t="s">
        <v>12352</v>
      </c>
      <c r="L1909" s="16"/>
      <c r="M1909" s="16"/>
      <c r="N1909" s="12"/>
      <c r="O1909" s="12"/>
      <c r="P1909" s="13">
        <f>IFERROR(__xludf.DUMMYFUNCTION("VALUE(SUBSTITUTE((INDEX(SPLIT(A1909,"",""),1)),""."","","",1))"),53.767288)</f>
        <v>53.767288</v>
      </c>
      <c r="Q1909" s="13">
        <f>IFERROR(__xludf.DUMMYFUNCTION("VALUE(SUBSTITUTE((INDEX(SPLIT(A1909,"",""),2)),""."","","",1))"),38.137877)</f>
        <v>38.137877</v>
      </c>
      <c r="R1909" s="14" t="b">
        <f t="shared" si="1"/>
        <v>0</v>
      </c>
      <c r="S1909" s="14" t="str">
        <f t="shared" si="2"/>
        <v>53.767288,38.137877</v>
      </c>
      <c r="T1909" s="12"/>
    </row>
    <row r="1910">
      <c r="A1910" s="18" t="s">
        <v>12353</v>
      </c>
      <c r="B1910" s="8" t="s">
        <v>12354</v>
      </c>
      <c r="C1910" s="8" t="s">
        <v>12355</v>
      </c>
      <c r="D1910" s="8" t="s">
        <v>16</v>
      </c>
      <c r="E1910" s="19" t="s">
        <v>12356</v>
      </c>
      <c r="F1910" s="8" t="s">
        <v>3760</v>
      </c>
      <c r="G1910" s="8">
        <v>23.61</v>
      </c>
      <c r="H1910" s="8"/>
      <c r="I1910" s="8"/>
      <c r="J1910" s="8" t="s">
        <v>12357</v>
      </c>
      <c r="K1910" s="8" t="s">
        <v>12358</v>
      </c>
      <c r="L1910" s="8"/>
      <c r="M1910" s="24" t="s">
        <v>12359</v>
      </c>
      <c r="N1910" s="12"/>
      <c r="O1910" s="12"/>
      <c r="P1910" s="13">
        <f>IFERROR(__xludf.DUMMYFUNCTION("VALUE(SUBSTITUTE((INDEX(SPLIT(A1910,"",""),1)),""."","","",1))"),55.857346)</f>
        <v>55.857346</v>
      </c>
      <c r="Q1910" s="13">
        <f>IFERROR(__xludf.DUMMYFUNCTION("VALUE(SUBSTITUTE((INDEX(SPLIT(A1910,"",""),2)),""."","","",1))"),38.138964)</f>
        <v>38.138964</v>
      </c>
      <c r="R1910" s="14" t="b">
        <f t="shared" si="1"/>
        <v>0</v>
      </c>
      <c r="S1910" s="14" t="str">
        <f t="shared" si="2"/>
        <v>55.857346,38.138964</v>
      </c>
      <c r="T1910" s="12"/>
    </row>
    <row r="1911">
      <c r="A1911" s="20" t="s">
        <v>12360</v>
      </c>
      <c r="B1911" s="16" t="s">
        <v>12361</v>
      </c>
      <c r="C1911" s="16" t="s">
        <v>12362</v>
      </c>
      <c r="D1911" s="16" t="s">
        <v>16</v>
      </c>
      <c r="E1911" s="21" t="s">
        <v>12363</v>
      </c>
      <c r="F1911" s="22" t="s">
        <v>8566</v>
      </c>
      <c r="G1911" s="16">
        <v>23.61</v>
      </c>
      <c r="H1911" s="16"/>
      <c r="I1911" s="22"/>
      <c r="J1911" s="22" t="s">
        <v>12364</v>
      </c>
      <c r="K1911" s="22" t="s">
        <v>12365</v>
      </c>
      <c r="L1911" s="23" t="s">
        <v>12366</v>
      </c>
      <c r="M1911" s="22"/>
      <c r="N1911" s="12"/>
      <c r="O1911" s="12"/>
      <c r="P1911" s="13">
        <f>IFERROR(__xludf.DUMMYFUNCTION("VALUE(SUBSTITUTE((INDEX(SPLIT(A1911,"",""),1)),""."","","",1))"),44.85643)</f>
        <v>44.85643</v>
      </c>
      <c r="Q1911" s="13">
        <f>IFERROR(__xludf.DUMMYFUNCTION("VALUE(SUBSTITUTE((INDEX(SPLIT(A1911,"",""),2)),""."","","",1))"),38.139512)</f>
        <v>38.139512</v>
      </c>
      <c r="R1911" s="14" t="b">
        <f t="shared" si="1"/>
        <v>0</v>
      </c>
      <c r="S1911" s="14" t="str">
        <f t="shared" si="2"/>
        <v>44.85643,38.139512</v>
      </c>
      <c r="T1911" s="12"/>
    </row>
    <row r="1912">
      <c r="A1912" s="7" t="s">
        <v>12367</v>
      </c>
      <c r="B1912" s="8" t="s">
        <v>12368</v>
      </c>
      <c r="C1912" s="8" t="s">
        <v>12369</v>
      </c>
      <c r="D1912" s="8" t="s">
        <v>16</v>
      </c>
      <c r="E1912" s="9" t="s">
        <v>12370</v>
      </c>
      <c r="F1912" s="10" t="s">
        <v>8566</v>
      </c>
      <c r="G1912" s="8">
        <v>23.61</v>
      </c>
      <c r="H1912" s="8"/>
      <c r="I1912" s="10"/>
      <c r="J1912" s="10" t="s">
        <v>12371</v>
      </c>
      <c r="K1912" s="10" t="s">
        <v>12372</v>
      </c>
      <c r="L1912" s="11" t="s">
        <v>12373</v>
      </c>
      <c r="M1912" s="11" t="s">
        <v>12374</v>
      </c>
      <c r="N1912" s="12"/>
      <c r="O1912" s="12"/>
      <c r="P1912" s="13">
        <f>IFERROR(__xludf.DUMMYFUNCTION("VALUE(SUBSTITUTE((INDEX(SPLIT(A1912,"",""),1)),""."","","",1))"),45.135727)</f>
        <v>45.135727</v>
      </c>
      <c r="Q1912" s="13">
        <f>IFERROR(__xludf.DUMMYFUNCTION("VALUE(SUBSTITUTE((INDEX(SPLIT(A1912,"",""),2)),""."","","",1))"),38.146186)</f>
        <v>38.146186</v>
      </c>
      <c r="R1912" s="14" t="b">
        <f t="shared" si="1"/>
        <v>0</v>
      </c>
      <c r="S1912" s="14" t="str">
        <f t="shared" si="2"/>
        <v>45.135727,38.146186</v>
      </c>
      <c r="T1912" s="12"/>
    </row>
    <row r="1913">
      <c r="A1913" s="15" t="s">
        <v>12375</v>
      </c>
      <c r="B1913" s="16" t="s">
        <v>12376</v>
      </c>
      <c r="C1913" s="16" t="s">
        <v>12377</v>
      </c>
      <c r="D1913" s="16" t="s">
        <v>16</v>
      </c>
      <c r="E1913" s="17" t="s">
        <v>12378</v>
      </c>
      <c r="F1913" s="16" t="s">
        <v>8566</v>
      </c>
      <c r="G1913" s="16">
        <v>23.61</v>
      </c>
      <c r="H1913" s="16"/>
      <c r="I1913" s="16"/>
      <c r="J1913" s="16" t="s">
        <v>12379</v>
      </c>
      <c r="K1913" s="16" t="s">
        <v>12380</v>
      </c>
      <c r="L1913" s="16"/>
      <c r="M1913" s="16"/>
      <c r="N1913" s="12"/>
      <c r="O1913" s="12"/>
      <c r="P1913" s="13">
        <f>IFERROR(__xludf.DUMMYFUNCTION("VALUE(SUBSTITUTE((INDEX(SPLIT(A1913,"",""),1)),""."","","",1))"),44.862199)</f>
        <v>44.862199</v>
      </c>
      <c r="Q1913" s="13">
        <f>IFERROR(__xludf.DUMMYFUNCTION("VALUE(SUBSTITUTE((INDEX(SPLIT(A1913,"",""),2)),""."","","",1))"),38.148944)</f>
        <v>38.148944</v>
      </c>
      <c r="R1913" s="14" t="b">
        <f t="shared" si="1"/>
        <v>0</v>
      </c>
      <c r="S1913" s="14" t="str">
        <f t="shared" si="2"/>
        <v>44.862199,38.148944</v>
      </c>
      <c r="T1913" s="12"/>
    </row>
    <row r="1914">
      <c r="A1914" s="7" t="s">
        <v>12381</v>
      </c>
      <c r="B1914" s="8" t="s">
        <v>10685</v>
      </c>
      <c r="C1914" s="8" t="s">
        <v>10686</v>
      </c>
      <c r="D1914" s="8" t="s">
        <v>16</v>
      </c>
      <c r="E1914" s="9" t="s">
        <v>12382</v>
      </c>
      <c r="F1914" s="10" t="s">
        <v>3760</v>
      </c>
      <c r="G1914" s="8">
        <v>23.61</v>
      </c>
      <c r="H1914" s="8"/>
      <c r="I1914" s="10"/>
      <c r="J1914" s="10" t="s">
        <v>12383</v>
      </c>
      <c r="K1914" s="10" t="s">
        <v>12384</v>
      </c>
      <c r="L1914" s="11" t="s">
        <v>12385</v>
      </c>
      <c r="M1914" s="10"/>
      <c r="N1914" s="12"/>
      <c r="O1914" s="12"/>
      <c r="P1914" s="13">
        <f>IFERROR(__xludf.DUMMYFUNCTION("VALUE(SUBSTITUTE((INDEX(SPLIT(A1914,"",""),1)),""."","","",1))"),56.337386)</f>
        <v>56.337386</v>
      </c>
      <c r="Q1914" s="13">
        <f>IFERROR(__xludf.DUMMYFUNCTION("VALUE(SUBSTITUTE((INDEX(SPLIT(A1914,"",""),2)),""."","","",1))"),38.150264)</f>
        <v>38.150264</v>
      </c>
      <c r="R1914" s="14" t="b">
        <f t="shared" si="1"/>
        <v>0</v>
      </c>
      <c r="S1914" s="14" t="str">
        <f t="shared" si="2"/>
        <v>56.337386,38.150264</v>
      </c>
      <c r="T1914" s="12"/>
    </row>
    <row r="1915">
      <c r="A1915" s="15" t="s">
        <v>12386</v>
      </c>
      <c r="B1915" s="16" t="s">
        <v>12387</v>
      </c>
      <c r="C1915" s="16" t="s">
        <v>12388</v>
      </c>
      <c r="D1915" s="16" t="s">
        <v>16</v>
      </c>
      <c r="E1915" s="17" t="s">
        <v>12389</v>
      </c>
      <c r="F1915" s="16" t="s">
        <v>3760</v>
      </c>
      <c r="G1915" s="16">
        <v>23.61</v>
      </c>
      <c r="H1915" s="16"/>
      <c r="I1915" s="16"/>
      <c r="J1915" s="16" t="s">
        <v>12390</v>
      </c>
      <c r="K1915" s="16" t="s">
        <v>12391</v>
      </c>
      <c r="L1915" s="16"/>
      <c r="M1915" s="25" t="s">
        <v>12392</v>
      </c>
      <c r="N1915" s="12"/>
      <c r="O1915" s="12"/>
      <c r="P1915" s="13">
        <f>IFERROR(__xludf.DUMMYFUNCTION("VALUE(SUBSTITUTE((INDEX(SPLIT(A1915,"",""),1)),""."","","",1))"),54.834589)</f>
        <v>54.834589</v>
      </c>
      <c r="Q1915" s="13">
        <f>IFERROR(__xludf.DUMMYFUNCTION("VALUE(SUBSTITUTE((INDEX(SPLIT(A1915,"",""),2)),""."","","",1))"),38.15154)</f>
        <v>38.15154</v>
      </c>
      <c r="R1915" s="14" t="b">
        <f t="shared" si="1"/>
        <v>0</v>
      </c>
      <c r="S1915" s="14" t="str">
        <f t="shared" si="2"/>
        <v>54.834589,38.15154</v>
      </c>
      <c r="T1915" s="12"/>
    </row>
    <row r="1916">
      <c r="A1916" s="18" t="s">
        <v>12393</v>
      </c>
      <c r="B1916" s="8" t="s">
        <v>12394</v>
      </c>
      <c r="C1916" s="8" t="s">
        <v>12395</v>
      </c>
      <c r="D1916" s="8" t="s">
        <v>16</v>
      </c>
      <c r="E1916" s="19" t="s">
        <v>12396</v>
      </c>
      <c r="F1916" s="8" t="s">
        <v>6732</v>
      </c>
      <c r="G1916" s="8">
        <v>23.61</v>
      </c>
      <c r="H1916" s="8"/>
      <c r="I1916" s="8"/>
      <c r="J1916" s="8" t="s">
        <v>12397</v>
      </c>
      <c r="K1916" s="8" t="s">
        <v>12398</v>
      </c>
      <c r="L1916" s="8"/>
      <c r="M1916" s="24" t="s">
        <v>12399</v>
      </c>
      <c r="N1916" s="12"/>
      <c r="O1916" s="12"/>
      <c r="P1916" s="13">
        <f>IFERROR(__xludf.DUMMYFUNCTION("VALUE(SUBSTITUTE((INDEX(SPLIT(A1916,"",""),1)),""."","","",1))"),53.942958)</f>
        <v>53.942958</v>
      </c>
      <c r="Q1916" s="13">
        <f>IFERROR(__xludf.DUMMYFUNCTION("VALUE(SUBSTITUTE((INDEX(SPLIT(A1916,"",""),2)),""."","","",1))"),38.15225)</f>
        <v>38.15225</v>
      </c>
      <c r="R1916" s="14" t="b">
        <f t="shared" si="1"/>
        <v>0</v>
      </c>
      <c r="S1916" s="14" t="str">
        <f t="shared" si="2"/>
        <v>53.942958,38.15225</v>
      </c>
      <c r="T1916" s="12"/>
    </row>
    <row r="1917">
      <c r="A1917" s="15" t="s">
        <v>12400</v>
      </c>
      <c r="B1917" s="16" t="s">
        <v>12401</v>
      </c>
      <c r="C1917" s="16" t="s">
        <v>12402</v>
      </c>
      <c r="D1917" s="16" t="s">
        <v>16</v>
      </c>
      <c r="E1917" s="17" t="s">
        <v>12403</v>
      </c>
      <c r="F1917" s="16" t="s">
        <v>6732</v>
      </c>
      <c r="G1917" s="16">
        <v>23.61</v>
      </c>
      <c r="H1917" s="16"/>
      <c r="I1917" s="16"/>
      <c r="J1917" s="16" t="s">
        <v>12404</v>
      </c>
      <c r="K1917" s="16" t="s">
        <v>12405</v>
      </c>
      <c r="L1917" s="16"/>
      <c r="M1917" s="16"/>
      <c r="N1917" s="12"/>
      <c r="O1917" s="12"/>
      <c r="P1917" s="13">
        <f>IFERROR(__xludf.DUMMYFUNCTION("VALUE(SUBSTITUTE((INDEX(SPLIT(A1917,"",""),1)),""."","","",1))"),53.974935)</f>
        <v>53.974935</v>
      </c>
      <c r="Q1917" s="13">
        <f>IFERROR(__xludf.DUMMYFUNCTION("VALUE(SUBSTITUTE((INDEX(SPLIT(A1917,"",""),2)),""."","","",1))"),38.155475)</f>
        <v>38.155475</v>
      </c>
      <c r="R1917" s="14" t="b">
        <f t="shared" si="1"/>
        <v>0</v>
      </c>
      <c r="S1917" s="14" t="str">
        <f t="shared" si="2"/>
        <v>53.974935,38.155475</v>
      </c>
      <c r="T1917" s="12"/>
    </row>
    <row r="1918">
      <c r="A1918" s="18" t="s">
        <v>12406</v>
      </c>
      <c r="B1918" s="8" t="s">
        <v>12407</v>
      </c>
      <c r="C1918" s="8" t="s">
        <v>12408</v>
      </c>
      <c r="D1918" s="8" t="s">
        <v>16</v>
      </c>
      <c r="E1918" s="19" t="s">
        <v>12409</v>
      </c>
      <c r="F1918" s="8" t="s">
        <v>6732</v>
      </c>
      <c r="G1918" s="8">
        <v>23.61</v>
      </c>
      <c r="H1918" s="8"/>
      <c r="I1918" s="8"/>
      <c r="J1918" s="8" t="s">
        <v>12410</v>
      </c>
      <c r="K1918" s="8" t="s">
        <v>12411</v>
      </c>
      <c r="L1918" s="8"/>
      <c r="M1918" s="24" t="s">
        <v>12412</v>
      </c>
      <c r="N1918" s="12"/>
      <c r="O1918" s="12"/>
      <c r="P1918" s="13">
        <f>IFERROR(__xludf.DUMMYFUNCTION("VALUE(SUBSTITUTE((INDEX(SPLIT(A1918,"",""),1)),""."","","",1))"),53.97844)</f>
        <v>53.97844</v>
      </c>
      <c r="Q1918" s="13">
        <f>IFERROR(__xludf.DUMMYFUNCTION("VALUE(SUBSTITUTE((INDEX(SPLIT(A1918,"",""),2)),""."","","",1))"),38.160308)</f>
        <v>38.160308</v>
      </c>
      <c r="R1918" s="14" t="b">
        <f t="shared" si="1"/>
        <v>0</v>
      </c>
      <c r="S1918" s="14" t="str">
        <f t="shared" si="2"/>
        <v>53.97844,38.160308</v>
      </c>
      <c r="T1918" s="12"/>
    </row>
    <row r="1919">
      <c r="A1919" s="20" t="s">
        <v>12413</v>
      </c>
      <c r="B1919" s="16" t="s">
        <v>12414</v>
      </c>
      <c r="C1919" s="16" t="s">
        <v>12415</v>
      </c>
      <c r="D1919" s="16" t="s">
        <v>16</v>
      </c>
      <c r="E1919" s="21" t="s">
        <v>12416</v>
      </c>
      <c r="F1919" s="22" t="s">
        <v>8566</v>
      </c>
      <c r="G1919" s="16">
        <v>23.61</v>
      </c>
      <c r="H1919" s="16"/>
      <c r="I1919" s="22"/>
      <c r="J1919" s="22" t="s">
        <v>12417</v>
      </c>
      <c r="K1919" s="22" t="s">
        <v>12418</v>
      </c>
      <c r="L1919" s="23" t="s">
        <v>12419</v>
      </c>
      <c r="M1919" s="22"/>
      <c r="N1919" s="12"/>
      <c r="O1919" s="12"/>
      <c r="P1919" s="13">
        <f>IFERROR(__xludf.DUMMYFUNCTION("VALUE(SUBSTITUTE((INDEX(SPLIT(A1919,"",""),1)),""."","","",1))"),45.238389)</f>
        <v>45.238389</v>
      </c>
      <c r="Q1919" s="13">
        <f>IFERROR(__xludf.DUMMYFUNCTION("VALUE(SUBSTITUTE((INDEX(SPLIT(A1919,"",""),2)),""."","","",1))"),38.162652)</f>
        <v>38.162652</v>
      </c>
      <c r="R1919" s="14" t="b">
        <f t="shared" si="1"/>
        <v>0</v>
      </c>
      <c r="S1919" s="14" t="str">
        <f t="shared" si="2"/>
        <v>45.238389,38.162652</v>
      </c>
      <c r="T1919" s="12"/>
    </row>
    <row r="1920">
      <c r="A1920" s="18" t="s">
        <v>12420</v>
      </c>
      <c r="B1920" s="8" t="s">
        <v>12421</v>
      </c>
      <c r="C1920" s="8" t="s">
        <v>12422</v>
      </c>
      <c r="D1920" s="8" t="s">
        <v>16</v>
      </c>
      <c r="E1920" s="19" t="s">
        <v>12423</v>
      </c>
      <c r="F1920" s="8" t="s">
        <v>3760</v>
      </c>
      <c r="G1920" s="8">
        <v>23.61</v>
      </c>
      <c r="H1920" s="8"/>
      <c r="I1920" s="8"/>
      <c r="J1920" s="8" t="s">
        <v>12424</v>
      </c>
      <c r="K1920" s="8" t="s">
        <v>12425</v>
      </c>
      <c r="L1920" s="8"/>
      <c r="M1920" s="24" t="s">
        <v>12426</v>
      </c>
      <c r="N1920" s="12"/>
      <c r="O1920" s="12"/>
      <c r="P1920" s="13">
        <f>IFERROR(__xludf.DUMMYFUNCTION("VALUE(SUBSTITUTE((INDEX(SPLIT(A1920,"",""),1)),""."","","",1))"),55.806778)</f>
        <v>55.806778</v>
      </c>
      <c r="Q1920" s="13">
        <f>IFERROR(__xludf.DUMMYFUNCTION("VALUE(SUBSTITUTE((INDEX(SPLIT(A1920,"",""),2)),""."","","",1))"),38.167287)</f>
        <v>38.167287</v>
      </c>
      <c r="R1920" s="14" t="b">
        <f t="shared" si="1"/>
        <v>0</v>
      </c>
      <c r="S1920" s="14" t="str">
        <f t="shared" si="2"/>
        <v>55.806778,38.167287</v>
      </c>
      <c r="T1920" s="12"/>
    </row>
    <row r="1921">
      <c r="A1921" s="15" t="s">
        <v>12427</v>
      </c>
      <c r="B1921" s="16" t="s">
        <v>12428</v>
      </c>
      <c r="C1921" s="16" t="s">
        <v>12429</v>
      </c>
      <c r="D1921" s="16" t="s">
        <v>16</v>
      </c>
      <c r="E1921" s="17" t="s">
        <v>12430</v>
      </c>
      <c r="F1921" s="16" t="s">
        <v>3760</v>
      </c>
      <c r="G1921" s="16">
        <v>23.61</v>
      </c>
      <c r="H1921" s="16"/>
      <c r="I1921" s="16"/>
      <c r="J1921" s="16" t="s">
        <v>12431</v>
      </c>
      <c r="K1921" s="16" t="s">
        <v>12432</v>
      </c>
      <c r="L1921" s="16"/>
      <c r="M1921" s="25" t="s">
        <v>12433</v>
      </c>
      <c r="N1921" s="12"/>
      <c r="O1921" s="12"/>
      <c r="P1921" s="13">
        <f>IFERROR(__xludf.DUMMYFUNCTION("VALUE(SUBSTITUTE((INDEX(SPLIT(A1921,"",""),1)),""."","","",1))"),54.845627)</f>
        <v>54.845627</v>
      </c>
      <c r="Q1921" s="13">
        <f>IFERROR(__xludf.DUMMYFUNCTION("VALUE(SUBSTITUTE((INDEX(SPLIT(A1921,"",""),2)),""."","","",1))"),38.17795)</f>
        <v>38.17795</v>
      </c>
      <c r="R1921" s="14" t="b">
        <f t="shared" si="1"/>
        <v>0</v>
      </c>
      <c r="S1921" s="14" t="str">
        <f t="shared" si="2"/>
        <v>54.845627,38.17795</v>
      </c>
      <c r="T1921" s="12"/>
    </row>
    <row r="1922">
      <c r="A1922" s="7" t="s">
        <v>12434</v>
      </c>
      <c r="B1922" s="8" t="s">
        <v>12435</v>
      </c>
      <c r="C1922" s="8" t="s">
        <v>12436</v>
      </c>
      <c r="D1922" s="8" t="s">
        <v>16</v>
      </c>
      <c r="E1922" s="9" t="s">
        <v>12437</v>
      </c>
      <c r="F1922" s="10" t="s">
        <v>8566</v>
      </c>
      <c r="G1922" s="8">
        <v>23.61</v>
      </c>
      <c r="H1922" s="8"/>
      <c r="I1922" s="10"/>
      <c r="J1922" s="10" t="s">
        <v>12438</v>
      </c>
      <c r="K1922" s="10" t="s">
        <v>12439</v>
      </c>
      <c r="L1922" s="11" t="s">
        <v>12440</v>
      </c>
      <c r="M1922" s="11" t="s">
        <v>12441</v>
      </c>
      <c r="N1922" s="12"/>
      <c r="O1922" s="12"/>
      <c r="P1922" s="13">
        <f>IFERROR(__xludf.DUMMYFUNCTION("VALUE(SUBSTITUTE((INDEX(SPLIT(A1922,"",""),1)),""."","","",1))"),44.850481)</f>
        <v>44.850481</v>
      </c>
      <c r="Q1922" s="13">
        <f>IFERROR(__xludf.DUMMYFUNCTION("VALUE(SUBSTITUTE((INDEX(SPLIT(A1922,"",""),2)),""."","","",1))"),38.180331)</f>
        <v>38.180331</v>
      </c>
      <c r="R1922" s="14" t="b">
        <f t="shared" si="1"/>
        <v>0</v>
      </c>
      <c r="S1922" s="14" t="str">
        <f t="shared" si="2"/>
        <v>44.850481,38.180331</v>
      </c>
      <c r="T1922" s="12"/>
    </row>
    <row r="1923">
      <c r="A1923" s="20" t="s">
        <v>12442</v>
      </c>
      <c r="B1923" s="16" t="s">
        <v>12443</v>
      </c>
      <c r="C1923" s="16" t="s">
        <v>12444</v>
      </c>
      <c r="D1923" s="16" t="s">
        <v>16</v>
      </c>
      <c r="E1923" s="21" t="s">
        <v>12445</v>
      </c>
      <c r="F1923" s="22" t="s">
        <v>3760</v>
      </c>
      <c r="G1923" s="16">
        <v>23.61</v>
      </c>
      <c r="H1923" s="16"/>
      <c r="I1923" s="22"/>
      <c r="J1923" s="22" t="s">
        <v>12446</v>
      </c>
      <c r="K1923" s="22" t="s">
        <v>12447</v>
      </c>
      <c r="L1923" s="23" t="s">
        <v>12448</v>
      </c>
      <c r="M1923" s="22"/>
      <c r="N1923" s="12"/>
      <c r="O1923" s="12"/>
      <c r="P1923" s="13">
        <f>IFERROR(__xludf.DUMMYFUNCTION("VALUE(SUBSTITUTE((INDEX(SPLIT(A1923,"",""),1)),""."","","",1))"),55.86495)</f>
        <v>55.86495</v>
      </c>
      <c r="Q1923" s="13">
        <f>IFERROR(__xludf.DUMMYFUNCTION("VALUE(SUBSTITUTE((INDEX(SPLIT(A1923,"",""),2)),""."","","",1))"),38.197498)</f>
        <v>38.197498</v>
      </c>
      <c r="R1923" s="14" t="b">
        <f t="shared" si="1"/>
        <v>0</v>
      </c>
      <c r="S1923" s="14" t="str">
        <f t="shared" si="2"/>
        <v>55.86495,38.197498</v>
      </c>
      <c r="T1923" s="12"/>
    </row>
    <row r="1924">
      <c r="A1924" s="7" t="s">
        <v>12449</v>
      </c>
      <c r="B1924" s="8" t="s">
        <v>12450</v>
      </c>
      <c r="C1924" s="8" t="s">
        <v>12451</v>
      </c>
      <c r="D1924" s="8" t="s">
        <v>16</v>
      </c>
      <c r="E1924" s="9" t="s">
        <v>12452</v>
      </c>
      <c r="F1924" s="10" t="s">
        <v>3760</v>
      </c>
      <c r="G1924" s="8">
        <v>23.61</v>
      </c>
      <c r="H1924" s="8"/>
      <c r="I1924" s="10"/>
      <c r="J1924" s="10" t="s">
        <v>12453</v>
      </c>
      <c r="K1924" s="10" t="s">
        <v>12454</v>
      </c>
      <c r="L1924" s="11" t="s">
        <v>12455</v>
      </c>
      <c r="M1924" s="11" t="s">
        <v>12456</v>
      </c>
      <c r="N1924" s="12"/>
      <c r="O1924" s="12"/>
      <c r="P1924" s="13">
        <f>IFERROR(__xludf.DUMMYFUNCTION("VALUE(SUBSTITUTE((INDEX(SPLIT(A1924,"",""),1)),""."","","",1))"),54.859062)</f>
        <v>54.859062</v>
      </c>
      <c r="Q1924" s="13">
        <f>IFERROR(__xludf.DUMMYFUNCTION("VALUE(SUBSTITUTE((INDEX(SPLIT(A1924,"",""),2)),""."","","",1))"),38.212787)</f>
        <v>38.212787</v>
      </c>
      <c r="R1924" s="14" t="b">
        <f t="shared" si="1"/>
        <v>0</v>
      </c>
      <c r="S1924" s="14" t="str">
        <f t="shared" si="2"/>
        <v>54.859062,38.212787</v>
      </c>
      <c r="T1924" s="12"/>
    </row>
    <row r="1925">
      <c r="A1925" s="15" t="s">
        <v>12449</v>
      </c>
      <c r="B1925" s="16" t="s">
        <v>12457</v>
      </c>
      <c r="C1925" s="16" t="s">
        <v>12458</v>
      </c>
      <c r="D1925" s="16" t="s">
        <v>16</v>
      </c>
      <c r="E1925" s="17" t="s">
        <v>12459</v>
      </c>
      <c r="F1925" s="16" t="s">
        <v>3760</v>
      </c>
      <c r="G1925" s="16">
        <v>23.61</v>
      </c>
      <c r="H1925" s="16"/>
      <c r="I1925" s="16"/>
      <c r="J1925" s="16" t="s">
        <v>12460</v>
      </c>
      <c r="K1925" s="16" t="s">
        <v>12461</v>
      </c>
      <c r="L1925" s="16"/>
      <c r="M1925" s="25" t="s">
        <v>12462</v>
      </c>
      <c r="N1925" s="12"/>
      <c r="O1925" s="12"/>
      <c r="P1925" s="13">
        <f>IFERROR(__xludf.DUMMYFUNCTION("VALUE(SUBSTITUTE((INDEX(SPLIT(A1925,"",""),1)),""."","","",1))"),54.859062)</f>
        <v>54.859062</v>
      </c>
      <c r="Q1925" s="13">
        <f>IFERROR(__xludf.DUMMYFUNCTION("VALUE(SUBSTITUTE((INDEX(SPLIT(A1925,"",""),2)),""."","","",1))"),38.212787)</f>
        <v>38.212787</v>
      </c>
      <c r="R1925" s="14" t="b">
        <f t="shared" si="1"/>
        <v>0</v>
      </c>
      <c r="S1925" s="14" t="str">
        <f t="shared" si="2"/>
        <v>54.859062,38.212787</v>
      </c>
      <c r="T1925" s="12"/>
    </row>
    <row r="1926">
      <c r="A1926" s="18" t="s">
        <v>12463</v>
      </c>
      <c r="B1926" s="8" t="s">
        <v>12464</v>
      </c>
      <c r="C1926" s="8" t="s">
        <v>12465</v>
      </c>
      <c r="D1926" s="8" t="s">
        <v>16</v>
      </c>
      <c r="E1926" s="19" t="s">
        <v>12466</v>
      </c>
      <c r="F1926" s="8" t="s">
        <v>3760</v>
      </c>
      <c r="G1926" s="8">
        <v>23.61</v>
      </c>
      <c r="H1926" s="8"/>
      <c r="I1926" s="8"/>
      <c r="J1926" s="8" t="s">
        <v>12467</v>
      </c>
      <c r="K1926" s="8" t="s">
        <v>12468</v>
      </c>
      <c r="L1926" s="8"/>
      <c r="M1926" s="24" t="s">
        <v>12469</v>
      </c>
      <c r="N1926" s="12"/>
      <c r="O1926" s="12"/>
      <c r="P1926" s="13">
        <f>IFERROR(__xludf.DUMMYFUNCTION("VALUE(SUBSTITUTE((INDEX(SPLIT(A1926,"",""),1)),""."","","",1))"),55.769454)</f>
        <v>55.769454</v>
      </c>
      <c r="Q1926" s="13">
        <f>IFERROR(__xludf.DUMMYFUNCTION("VALUE(SUBSTITUTE((INDEX(SPLIT(A1926,"",""),2)),""."","","",1))"),38.215716)</f>
        <v>38.215716</v>
      </c>
      <c r="R1926" s="14" t="b">
        <f t="shared" si="1"/>
        <v>0</v>
      </c>
      <c r="S1926" s="14" t="str">
        <f t="shared" si="2"/>
        <v>55.769454,38.215716</v>
      </c>
      <c r="T1926" s="12"/>
    </row>
    <row r="1927">
      <c r="A1927" s="15" t="s">
        <v>12470</v>
      </c>
      <c r="B1927" s="16" t="s">
        <v>12471</v>
      </c>
      <c r="C1927" s="16" t="s">
        <v>12472</v>
      </c>
      <c r="D1927" s="16" t="s">
        <v>16</v>
      </c>
      <c r="E1927" s="17" t="s">
        <v>12473</v>
      </c>
      <c r="F1927" s="16" t="s">
        <v>3760</v>
      </c>
      <c r="G1927" s="16">
        <v>23.61</v>
      </c>
      <c r="H1927" s="16"/>
      <c r="I1927" s="16"/>
      <c r="J1927" s="16" t="s">
        <v>12474</v>
      </c>
      <c r="K1927" s="16" t="s">
        <v>12475</v>
      </c>
      <c r="L1927" s="16"/>
      <c r="M1927" s="16"/>
      <c r="N1927" s="12"/>
      <c r="O1927" s="12"/>
      <c r="P1927" s="13">
        <f>IFERROR(__xludf.DUMMYFUNCTION("VALUE(SUBSTITUTE((INDEX(SPLIT(A1927,"",""),1)),""."","","",1))"),55.582477)</f>
        <v>55.582477</v>
      </c>
      <c r="Q1927" s="13">
        <f>IFERROR(__xludf.DUMMYFUNCTION("VALUE(SUBSTITUTE((INDEX(SPLIT(A1927,"",""),2)),""."","","",1))"),38.221878)</f>
        <v>38.221878</v>
      </c>
      <c r="R1927" s="14" t="b">
        <f t="shared" si="1"/>
        <v>0</v>
      </c>
      <c r="S1927" s="14" t="str">
        <f t="shared" si="2"/>
        <v>55.582477,38.221878</v>
      </c>
      <c r="T1927" s="12"/>
    </row>
    <row r="1928">
      <c r="A1928" s="7" t="s">
        <v>12476</v>
      </c>
      <c r="B1928" s="8" t="s">
        <v>12477</v>
      </c>
      <c r="C1928" s="8" t="s">
        <v>12478</v>
      </c>
      <c r="D1928" s="8" t="s">
        <v>16</v>
      </c>
      <c r="E1928" s="9" t="s">
        <v>12479</v>
      </c>
      <c r="F1928" s="10" t="s">
        <v>3760</v>
      </c>
      <c r="G1928" s="8">
        <v>23.61</v>
      </c>
      <c r="H1928" s="8"/>
      <c r="I1928" s="10"/>
      <c r="J1928" s="10" t="s">
        <v>12480</v>
      </c>
      <c r="K1928" s="10" t="s">
        <v>12481</v>
      </c>
      <c r="L1928" s="11" t="s">
        <v>12482</v>
      </c>
      <c r="M1928" s="10"/>
      <c r="N1928" s="12"/>
      <c r="O1928" s="12"/>
      <c r="P1928" s="13">
        <f>IFERROR(__xludf.DUMMYFUNCTION("VALUE(SUBSTITUTE((INDEX(SPLIT(A1928,"",""),1)),""."","","",1))"),55.57324)</f>
        <v>55.57324</v>
      </c>
      <c r="Q1928" s="13">
        <f>IFERROR(__xludf.DUMMYFUNCTION("VALUE(SUBSTITUTE((INDEX(SPLIT(A1928,"",""),2)),""."","","",1))"),38.233915)</f>
        <v>38.233915</v>
      </c>
      <c r="R1928" s="14" t="b">
        <f t="shared" si="1"/>
        <v>0</v>
      </c>
      <c r="S1928" s="14" t="str">
        <f t="shared" si="2"/>
        <v>55.57324,38.233915</v>
      </c>
      <c r="T1928" s="12"/>
    </row>
    <row r="1929">
      <c r="A1929" s="20" t="s">
        <v>12483</v>
      </c>
      <c r="B1929" s="16" t="s">
        <v>12484</v>
      </c>
      <c r="C1929" s="16" t="s">
        <v>12485</v>
      </c>
      <c r="D1929" s="16" t="s">
        <v>16</v>
      </c>
      <c r="E1929" s="21" t="s">
        <v>12486</v>
      </c>
      <c r="F1929" s="22" t="s">
        <v>3760</v>
      </c>
      <c r="G1929" s="16">
        <v>23.61</v>
      </c>
      <c r="H1929" s="16"/>
      <c r="I1929" s="22"/>
      <c r="J1929" s="22" t="s">
        <v>12487</v>
      </c>
      <c r="K1929" s="22" t="s">
        <v>12488</v>
      </c>
      <c r="L1929" s="23" t="s">
        <v>12489</v>
      </c>
      <c r="M1929" s="23" t="s">
        <v>12490</v>
      </c>
      <c r="N1929" s="12"/>
      <c r="O1929" s="12"/>
      <c r="P1929" s="13">
        <f>IFERROR(__xludf.DUMMYFUNCTION("VALUE(SUBSTITUTE((INDEX(SPLIT(A1929,"",""),1)),""."","","",1))"),56.088549)</f>
        <v>56.088549</v>
      </c>
      <c r="Q1929" s="13">
        <f>IFERROR(__xludf.DUMMYFUNCTION("VALUE(SUBSTITUTE((INDEX(SPLIT(A1929,"",""),2)),""."","","",1))"),38.234032)</f>
        <v>38.234032</v>
      </c>
      <c r="R1929" s="14" t="b">
        <f t="shared" si="1"/>
        <v>0</v>
      </c>
      <c r="S1929" s="14" t="str">
        <f t="shared" si="2"/>
        <v>56.088549,38.234032</v>
      </c>
      <c r="T1929" s="12"/>
    </row>
    <row r="1930">
      <c r="A1930" s="18" t="s">
        <v>12491</v>
      </c>
      <c r="B1930" s="8" t="s">
        <v>12492</v>
      </c>
      <c r="C1930" s="8" t="s">
        <v>12493</v>
      </c>
      <c r="D1930" s="8" t="s">
        <v>16</v>
      </c>
      <c r="E1930" s="19" t="s">
        <v>12494</v>
      </c>
      <c r="F1930" s="8" t="s">
        <v>3760</v>
      </c>
      <c r="G1930" s="8">
        <v>23.61</v>
      </c>
      <c r="H1930" s="8"/>
      <c r="I1930" s="8"/>
      <c r="J1930" s="8" t="s">
        <v>12495</v>
      </c>
      <c r="K1930" s="8" t="s">
        <v>12496</v>
      </c>
      <c r="L1930" s="8"/>
      <c r="M1930" s="8"/>
      <c r="N1930" s="12"/>
      <c r="O1930" s="12"/>
      <c r="P1930" s="13">
        <f>IFERROR(__xludf.DUMMYFUNCTION("VALUE(SUBSTITUTE((INDEX(SPLIT(A1930,"",""),1)),""."","","",1))"),55.574869)</f>
        <v>55.574869</v>
      </c>
      <c r="Q1930" s="13">
        <f>IFERROR(__xludf.DUMMYFUNCTION("VALUE(SUBSTITUTE((INDEX(SPLIT(A1930,"",""),2)),""."","","",1))"),38.237275)</f>
        <v>38.237275</v>
      </c>
      <c r="R1930" s="14" t="b">
        <f t="shared" si="1"/>
        <v>0</v>
      </c>
      <c r="S1930" s="14" t="str">
        <f t="shared" si="2"/>
        <v>55.574869,38.237275</v>
      </c>
      <c r="T1930" s="12"/>
    </row>
    <row r="1931">
      <c r="A1931" s="15" t="s">
        <v>12497</v>
      </c>
      <c r="B1931" s="16" t="s">
        <v>12498</v>
      </c>
      <c r="C1931" s="16" t="s">
        <v>12499</v>
      </c>
      <c r="D1931" s="16" t="s">
        <v>16</v>
      </c>
      <c r="E1931" s="17" t="s">
        <v>12500</v>
      </c>
      <c r="F1931" s="16" t="s">
        <v>3760</v>
      </c>
      <c r="G1931" s="16">
        <v>23.61</v>
      </c>
      <c r="H1931" s="16"/>
      <c r="I1931" s="16"/>
      <c r="J1931" s="16" t="s">
        <v>12501</v>
      </c>
      <c r="K1931" s="16" t="s">
        <v>12502</v>
      </c>
      <c r="L1931" s="16"/>
      <c r="M1931" s="16"/>
      <c r="N1931" s="12"/>
      <c r="O1931" s="12"/>
      <c r="P1931" s="13">
        <f>IFERROR(__xludf.DUMMYFUNCTION("VALUE(SUBSTITUTE((INDEX(SPLIT(A1931,"",""),1)),""."","","",1))"),55.590007)</f>
        <v>55.590007</v>
      </c>
      <c r="Q1931" s="13">
        <f>IFERROR(__xludf.DUMMYFUNCTION("VALUE(SUBSTITUTE((INDEX(SPLIT(A1931,"",""),2)),""."","","",1))"),38.251361)</f>
        <v>38.251361</v>
      </c>
      <c r="R1931" s="14" t="b">
        <f t="shared" si="1"/>
        <v>0</v>
      </c>
      <c r="S1931" s="14" t="str">
        <f t="shared" si="2"/>
        <v>55.590007,38.251361</v>
      </c>
      <c r="T1931" s="12"/>
    </row>
    <row r="1932">
      <c r="A1932" s="18" t="s">
        <v>12503</v>
      </c>
      <c r="B1932" s="8" t="s">
        <v>12504</v>
      </c>
      <c r="C1932" s="8" t="s">
        <v>12505</v>
      </c>
      <c r="D1932" s="8" t="s">
        <v>16</v>
      </c>
      <c r="E1932" s="19" t="s">
        <v>12506</v>
      </c>
      <c r="F1932" s="8" t="s">
        <v>3760</v>
      </c>
      <c r="G1932" s="8">
        <v>23.61</v>
      </c>
      <c r="H1932" s="8"/>
      <c r="I1932" s="8"/>
      <c r="J1932" s="8" t="s">
        <v>12507</v>
      </c>
      <c r="K1932" s="8" t="s">
        <v>12508</v>
      </c>
      <c r="L1932" s="8"/>
      <c r="M1932" s="8"/>
      <c r="N1932" s="12"/>
      <c r="O1932" s="12"/>
      <c r="P1932" s="13">
        <f>IFERROR(__xludf.DUMMYFUNCTION("VALUE(SUBSTITUTE((INDEX(SPLIT(A1932,"",""),1)),""."","","",1))"),55.427801)</f>
        <v>55.427801</v>
      </c>
      <c r="Q1932" s="13">
        <f>IFERROR(__xludf.DUMMYFUNCTION("VALUE(SUBSTITUTE((INDEX(SPLIT(A1932,"",""),2)),""."","","",1))"),38.252322)</f>
        <v>38.252322</v>
      </c>
      <c r="R1932" s="14" t="b">
        <f t="shared" si="1"/>
        <v>0</v>
      </c>
      <c r="S1932" s="14" t="str">
        <f t="shared" si="2"/>
        <v>55.427801,38.252322</v>
      </c>
      <c r="T1932" s="12"/>
    </row>
    <row r="1933">
      <c r="A1933" s="15" t="s">
        <v>12509</v>
      </c>
      <c r="B1933" s="16" t="s">
        <v>12510</v>
      </c>
      <c r="C1933" s="16" t="s">
        <v>12511</v>
      </c>
      <c r="D1933" s="16" t="s">
        <v>16</v>
      </c>
      <c r="E1933" s="17" t="s">
        <v>12512</v>
      </c>
      <c r="F1933" s="16" t="s">
        <v>3760</v>
      </c>
      <c r="G1933" s="16">
        <v>23.61</v>
      </c>
      <c r="H1933" s="16"/>
      <c r="I1933" s="16"/>
      <c r="J1933" s="16" t="s">
        <v>12513</v>
      </c>
      <c r="K1933" s="16" t="s">
        <v>12514</v>
      </c>
      <c r="L1933" s="16"/>
      <c r="M1933" s="16"/>
      <c r="N1933" s="12"/>
      <c r="O1933" s="12"/>
      <c r="P1933" s="13">
        <f>IFERROR(__xludf.DUMMYFUNCTION("VALUE(SUBSTITUTE((INDEX(SPLIT(A1933,"",""),1)),""."","","",1))"),55.558906)</f>
        <v>55.558906</v>
      </c>
      <c r="Q1933" s="13">
        <f>IFERROR(__xludf.DUMMYFUNCTION("VALUE(SUBSTITUTE((INDEX(SPLIT(A1933,"",""),2)),""."","","",1))"),38.253885)</f>
        <v>38.253885</v>
      </c>
      <c r="R1933" s="14" t="b">
        <f t="shared" si="1"/>
        <v>0</v>
      </c>
      <c r="S1933" s="14" t="str">
        <f t="shared" si="2"/>
        <v>55.558906,38.253885</v>
      </c>
      <c r="T1933" s="12"/>
    </row>
    <row r="1934">
      <c r="A1934" s="18" t="s">
        <v>12515</v>
      </c>
      <c r="B1934" s="8" t="s">
        <v>12516</v>
      </c>
      <c r="C1934" s="8" t="s">
        <v>12517</v>
      </c>
      <c r="D1934" s="8" t="s">
        <v>16</v>
      </c>
      <c r="E1934" s="19" t="s">
        <v>12518</v>
      </c>
      <c r="F1934" s="8" t="s">
        <v>3760</v>
      </c>
      <c r="G1934" s="8">
        <v>23.61</v>
      </c>
      <c r="H1934" s="8"/>
      <c r="I1934" s="8"/>
      <c r="J1934" s="8" t="s">
        <v>12519</v>
      </c>
      <c r="K1934" s="8" t="s">
        <v>12520</v>
      </c>
      <c r="L1934" s="8"/>
      <c r="M1934" s="8"/>
      <c r="N1934" s="12"/>
      <c r="O1934" s="12"/>
      <c r="P1934" s="13">
        <f>IFERROR(__xludf.DUMMYFUNCTION("VALUE(SUBSTITUTE((INDEX(SPLIT(A1934,"",""),1)),""."","","",1))"),55.553686)</f>
        <v>55.553686</v>
      </c>
      <c r="Q1934" s="13">
        <f>IFERROR(__xludf.DUMMYFUNCTION("VALUE(SUBSTITUTE((INDEX(SPLIT(A1934,"",""),2)),""."","","",1))"),38.261045)</f>
        <v>38.261045</v>
      </c>
      <c r="R1934" s="14" t="b">
        <f t="shared" si="1"/>
        <v>0</v>
      </c>
      <c r="S1934" s="14" t="str">
        <f t="shared" si="2"/>
        <v>55.553686,38.261045</v>
      </c>
      <c r="T1934" s="12"/>
    </row>
    <row r="1935">
      <c r="A1935" s="20" t="s">
        <v>12521</v>
      </c>
      <c r="B1935" s="16" t="s">
        <v>12522</v>
      </c>
      <c r="C1935" s="16" t="s">
        <v>12522</v>
      </c>
      <c r="D1935" s="16" t="s">
        <v>16</v>
      </c>
      <c r="E1935" s="21" t="s">
        <v>12523</v>
      </c>
      <c r="F1935" s="22" t="s">
        <v>12524</v>
      </c>
      <c r="G1935" s="16">
        <v>23.61</v>
      </c>
      <c r="H1935" s="16"/>
      <c r="I1935" s="22"/>
      <c r="J1935" s="22" t="s">
        <v>12525</v>
      </c>
      <c r="K1935" s="22" t="s">
        <v>12526</v>
      </c>
      <c r="L1935" s="23" t="s">
        <v>12527</v>
      </c>
      <c r="M1935" s="22"/>
      <c r="N1935" s="12"/>
      <c r="O1935" s="12"/>
      <c r="P1935" s="13">
        <f>IFERROR(__xludf.DUMMYFUNCTION("VALUE(SUBSTITUTE((INDEX(SPLIT(A1935,"",""),1)),""."","","",1))"),52.121217)</f>
        <v>52.121217</v>
      </c>
      <c r="Q1935" s="13">
        <f>IFERROR(__xludf.DUMMYFUNCTION("VALUE(SUBSTITUTE((INDEX(SPLIT(A1935,"",""),2)),""."","","",1))"),38.273899)</f>
        <v>38.273899</v>
      </c>
      <c r="R1935" s="14" t="b">
        <f t="shared" si="1"/>
        <v>0</v>
      </c>
      <c r="S1935" s="14" t="str">
        <f t="shared" si="2"/>
        <v>52.121217,38.273899</v>
      </c>
      <c r="T1935" s="12"/>
    </row>
    <row r="1936">
      <c r="A1936" s="7" t="s">
        <v>12528</v>
      </c>
      <c r="B1936" s="8" t="s">
        <v>12529</v>
      </c>
      <c r="C1936" s="8" t="s">
        <v>12530</v>
      </c>
      <c r="D1936" s="8" t="s">
        <v>16</v>
      </c>
      <c r="E1936" s="9" t="s">
        <v>12531</v>
      </c>
      <c r="F1936" s="10" t="s">
        <v>8566</v>
      </c>
      <c r="G1936" s="8">
        <v>23.61</v>
      </c>
      <c r="H1936" s="8"/>
      <c r="I1936" s="10"/>
      <c r="J1936" s="10" t="s">
        <v>12532</v>
      </c>
      <c r="K1936" s="10" t="s">
        <v>12533</v>
      </c>
      <c r="L1936" s="11" t="s">
        <v>12534</v>
      </c>
      <c r="M1936" s="10"/>
      <c r="N1936" s="12"/>
      <c r="O1936" s="12"/>
      <c r="P1936" s="13">
        <f>IFERROR(__xludf.DUMMYFUNCTION("VALUE(SUBSTITUTE((INDEX(SPLIT(A1936,"",""),1)),""."","","",1))"),46.675136)</f>
        <v>46.675136</v>
      </c>
      <c r="Q1936" s="13">
        <f>IFERROR(__xludf.DUMMYFUNCTION("VALUE(SUBSTITUTE((INDEX(SPLIT(A1936,"",""),2)),""."","","",1))"),38.276576)</f>
        <v>38.276576</v>
      </c>
      <c r="R1936" s="14" t="b">
        <f t="shared" si="1"/>
        <v>0</v>
      </c>
      <c r="S1936" s="14" t="str">
        <f t="shared" si="2"/>
        <v>46.675136,38.276576</v>
      </c>
      <c r="T1936" s="12"/>
    </row>
    <row r="1937">
      <c r="A1937" s="15" t="s">
        <v>12535</v>
      </c>
      <c r="B1937" s="16" t="s">
        <v>12536</v>
      </c>
      <c r="C1937" s="16" t="s">
        <v>12537</v>
      </c>
      <c r="D1937" s="16" t="s">
        <v>16</v>
      </c>
      <c r="E1937" s="17" t="s">
        <v>12538</v>
      </c>
      <c r="F1937" s="16" t="s">
        <v>8566</v>
      </c>
      <c r="G1937" s="16">
        <v>23.61</v>
      </c>
      <c r="H1937" s="16"/>
      <c r="I1937" s="16"/>
      <c r="J1937" s="16" t="s">
        <v>12539</v>
      </c>
      <c r="K1937" s="16" t="s">
        <v>12540</v>
      </c>
      <c r="L1937" s="16"/>
      <c r="M1937" s="16"/>
      <c r="N1937" s="12"/>
      <c r="O1937" s="12"/>
      <c r="P1937" s="13">
        <f>IFERROR(__xludf.DUMMYFUNCTION("VALUE(SUBSTITUTE((INDEX(SPLIT(A1937,"",""),1)),""."","","",1))"),46.677368)</f>
        <v>46.677368</v>
      </c>
      <c r="Q1937" s="13">
        <f>IFERROR(__xludf.DUMMYFUNCTION("VALUE(SUBSTITUTE((INDEX(SPLIT(A1937,"",""),2)),""."","","",1))"),38.283323)</f>
        <v>38.283323</v>
      </c>
      <c r="R1937" s="14" t="b">
        <f t="shared" si="1"/>
        <v>0</v>
      </c>
      <c r="S1937" s="14" t="str">
        <f t="shared" si="2"/>
        <v>46.677368,38.283323</v>
      </c>
      <c r="T1937" s="12"/>
    </row>
    <row r="1938">
      <c r="A1938" s="7" t="s">
        <v>12535</v>
      </c>
      <c r="B1938" s="8" t="s">
        <v>12541</v>
      </c>
      <c r="C1938" s="8" t="s">
        <v>12542</v>
      </c>
      <c r="D1938" s="8" t="s">
        <v>16</v>
      </c>
      <c r="E1938" s="9" t="s">
        <v>12543</v>
      </c>
      <c r="F1938" s="10" t="s">
        <v>8566</v>
      </c>
      <c r="G1938" s="8">
        <v>23.61</v>
      </c>
      <c r="H1938" s="8"/>
      <c r="I1938" s="10"/>
      <c r="J1938" s="10" t="s">
        <v>12544</v>
      </c>
      <c r="K1938" s="10" t="s">
        <v>12545</v>
      </c>
      <c r="L1938" s="11" t="s">
        <v>12546</v>
      </c>
      <c r="M1938" s="10"/>
      <c r="N1938" s="12"/>
      <c r="O1938" s="12"/>
      <c r="P1938" s="13">
        <f>IFERROR(__xludf.DUMMYFUNCTION("VALUE(SUBSTITUTE((INDEX(SPLIT(A1938,"",""),1)),""."","","",1))"),46.677368)</f>
        <v>46.677368</v>
      </c>
      <c r="Q1938" s="13">
        <f>IFERROR(__xludf.DUMMYFUNCTION("VALUE(SUBSTITUTE((INDEX(SPLIT(A1938,"",""),2)),""."","","",1))"),38.283323)</f>
        <v>38.283323</v>
      </c>
      <c r="R1938" s="14" t="b">
        <f t="shared" si="1"/>
        <v>0</v>
      </c>
      <c r="S1938" s="14" t="str">
        <f t="shared" si="2"/>
        <v>46.677368,38.283323</v>
      </c>
      <c r="T1938" s="12"/>
    </row>
    <row r="1939">
      <c r="A1939" s="15" t="s">
        <v>12547</v>
      </c>
      <c r="B1939" s="16" t="s">
        <v>12548</v>
      </c>
      <c r="C1939" s="16" t="s">
        <v>12549</v>
      </c>
      <c r="D1939" s="16" t="s">
        <v>16</v>
      </c>
      <c r="E1939" s="17" t="s">
        <v>12550</v>
      </c>
      <c r="F1939" s="16" t="s">
        <v>3760</v>
      </c>
      <c r="G1939" s="16">
        <v>23.61</v>
      </c>
      <c r="H1939" s="16"/>
      <c r="I1939" s="16"/>
      <c r="J1939" s="16" t="s">
        <v>12551</v>
      </c>
      <c r="K1939" s="16" t="s">
        <v>12552</v>
      </c>
      <c r="L1939" s="16"/>
      <c r="M1939" s="25" t="s">
        <v>12553</v>
      </c>
      <c r="N1939" s="12"/>
      <c r="O1939" s="12"/>
      <c r="P1939" s="13">
        <f>IFERROR(__xludf.DUMMYFUNCTION("VALUE(SUBSTITUTE((INDEX(SPLIT(A1939,"",""),1)),""."","","",1))"),55.548238)</f>
        <v>55.548238</v>
      </c>
      <c r="Q1939" s="13">
        <f>IFERROR(__xludf.DUMMYFUNCTION("VALUE(SUBSTITUTE((INDEX(SPLIT(A1939,"",""),2)),""."","","",1))"),38.28432)</f>
        <v>38.28432</v>
      </c>
      <c r="R1939" s="14" t="b">
        <f t="shared" si="1"/>
        <v>0</v>
      </c>
      <c r="S1939" s="14" t="str">
        <f t="shared" si="2"/>
        <v>55.548238,38.28432</v>
      </c>
      <c r="T1939" s="12"/>
    </row>
    <row r="1940">
      <c r="A1940" s="18" t="s">
        <v>12554</v>
      </c>
      <c r="B1940" s="8" t="s">
        <v>12555</v>
      </c>
      <c r="C1940" s="8" t="s">
        <v>12556</v>
      </c>
      <c r="D1940" s="8" t="s">
        <v>16</v>
      </c>
      <c r="E1940" s="19" t="s">
        <v>12557</v>
      </c>
      <c r="F1940" s="8" t="s">
        <v>3760</v>
      </c>
      <c r="G1940" s="8">
        <v>23.61</v>
      </c>
      <c r="H1940" s="8"/>
      <c r="I1940" s="8"/>
      <c r="J1940" s="8" t="s">
        <v>12558</v>
      </c>
      <c r="K1940" s="8" t="s">
        <v>12559</v>
      </c>
      <c r="L1940" s="8"/>
      <c r="M1940" s="8"/>
      <c r="N1940" s="12"/>
      <c r="O1940" s="12"/>
      <c r="P1940" s="13">
        <f>IFERROR(__xludf.DUMMYFUNCTION("VALUE(SUBSTITUTE((INDEX(SPLIT(A1940,"",""),1)),""."","","",1))"),55.415319)</f>
        <v>55.415319</v>
      </c>
      <c r="Q1940" s="13">
        <f>IFERROR(__xludf.DUMMYFUNCTION("VALUE(SUBSTITUTE((INDEX(SPLIT(A1940,"",""),2)),""."","","",1))"),38.287536)</f>
        <v>38.287536</v>
      </c>
      <c r="R1940" s="14" t="b">
        <f t="shared" si="1"/>
        <v>0</v>
      </c>
      <c r="S1940" s="14" t="str">
        <f t="shared" si="2"/>
        <v>55.415319,38.287536</v>
      </c>
      <c r="T1940" s="12"/>
    </row>
    <row r="1941">
      <c r="A1941" s="20" t="s">
        <v>12560</v>
      </c>
      <c r="B1941" s="16" t="s">
        <v>12561</v>
      </c>
      <c r="C1941" s="16" t="s">
        <v>12562</v>
      </c>
      <c r="D1941" s="16" t="s">
        <v>16</v>
      </c>
      <c r="E1941" s="21" t="s">
        <v>12563</v>
      </c>
      <c r="F1941" s="22" t="s">
        <v>3760</v>
      </c>
      <c r="G1941" s="16">
        <v>23.61</v>
      </c>
      <c r="H1941" s="16"/>
      <c r="I1941" s="22"/>
      <c r="J1941" s="22" t="s">
        <v>12564</v>
      </c>
      <c r="K1941" s="22" t="s">
        <v>12565</v>
      </c>
      <c r="L1941" s="23" t="s">
        <v>12566</v>
      </c>
      <c r="M1941" s="22"/>
      <c r="N1941" s="12"/>
      <c r="O1941" s="12"/>
      <c r="P1941" s="13">
        <f>IFERROR(__xludf.DUMMYFUNCTION("VALUE(SUBSTITUTE((INDEX(SPLIT(A1941,"",""),1)),""."","","",1))"),55.147109)</f>
        <v>55.147109</v>
      </c>
      <c r="Q1941" s="13">
        <f>IFERROR(__xludf.DUMMYFUNCTION("VALUE(SUBSTITUTE((INDEX(SPLIT(A1941,"",""),2)),""."","","",1))"),38.289458)</f>
        <v>38.289458</v>
      </c>
      <c r="R1941" s="14" t="b">
        <f t="shared" si="1"/>
        <v>0</v>
      </c>
      <c r="S1941" s="14" t="str">
        <f t="shared" si="2"/>
        <v>55.147109,38.289458</v>
      </c>
      <c r="T1941" s="12"/>
    </row>
    <row r="1942">
      <c r="A1942" s="7" t="s">
        <v>12567</v>
      </c>
      <c r="B1942" s="8" t="s">
        <v>8640</v>
      </c>
      <c r="C1942" s="8" t="s">
        <v>8641</v>
      </c>
      <c r="D1942" s="8" t="s">
        <v>16</v>
      </c>
      <c r="E1942" s="9" t="s">
        <v>12568</v>
      </c>
      <c r="F1942" s="10" t="s">
        <v>6732</v>
      </c>
      <c r="G1942" s="8">
        <v>23.61</v>
      </c>
      <c r="H1942" s="8"/>
      <c r="I1942" s="10"/>
      <c r="J1942" s="10" t="s">
        <v>12569</v>
      </c>
      <c r="K1942" s="10" t="s">
        <v>12570</v>
      </c>
      <c r="L1942" s="11" t="s">
        <v>12571</v>
      </c>
      <c r="M1942" s="10"/>
      <c r="N1942" s="12"/>
      <c r="O1942" s="12"/>
      <c r="P1942" s="13">
        <f>IFERROR(__xludf.DUMMYFUNCTION("VALUE(SUBSTITUTE((INDEX(SPLIT(A1942,"",""),1)),""."","","",1))"),54.011983)</f>
        <v>54.011983</v>
      </c>
      <c r="Q1942" s="13">
        <f>IFERROR(__xludf.DUMMYFUNCTION("VALUE(SUBSTITUTE((INDEX(SPLIT(A1942,"",""),2)),""."","","",1))"),38.300022)</f>
        <v>38.300022</v>
      </c>
      <c r="R1942" s="14" t="b">
        <f t="shared" si="1"/>
        <v>0</v>
      </c>
      <c r="S1942" s="14" t="str">
        <f t="shared" si="2"/>
        <v>54.011983,38.300022</v>
      </c>
      <c r="T1942" s="12"/>
    </row>
    <row r="1943">
      <c r="A1943" s="15" t="s">
        <v>12572</v>
      </c>
      <c r="B1943" s="16" t="s">
        <v>12573</v>
      </c>
      <c r="C1943" s="16" t="s">
        <v>12574</v>
      </c>
      <c r="D1943" s="16" t="s">
        <v>16</v>
      </c>
      <c r="E1943" s="17" t="s">
        <v>12575</v>
      </c>
      <c r="F1943" s="16" t="s">
        <v>3760</v>
      </c>
      <c r="G1943" s="16">
        <v>23.61</v>
      </c>
      <c r="H1943" s="16"/>
      <c r="I1943" s="16"/>
      <c r="J1943" s="16" t="s">
        <v>12576</v>
      </c>
      <c r="K1943" s="16" t="s">
        <v>12577</v>
      </c>
      <c r="L1943" s="16"/>
      <c r="M1943" s="25" t="s">
        <v>12578</v>
      </c>
      <c r="N1943" s="12"/>
      <c r="O1943" s="12"/>
      <c r="P1943" s="13">
        <f>IFERROR(__xludf.DUMMYFUNCTION("VALUE(SUBSTITUTE((INDEX(SPLIT(A1943,"",""),1)),""."","","",1))"),55.506887)</f>
        <v>55.506887</v>
      </c>
      <c r="Q1943" s="13">
        <f>IFERROR(__xludf.DUMMYFUNCTION("VALUE(SUBSTITUTE((INDEX(SPLIT(A1943,"",""),2)),""."","","",1))"),38.321995)</f>
        <v>38.321995</v>
      </c>
      <c r="R1943" s="14" t="b">
        <f t="shared" si="1"/>
        <v>0</v>
      </c>
      <c r="S1943" s="14" t="str">
        <f t="shared" si="2"/>
        <v>55.506887,38.321995</v>
      </c>
      <c r="T1943" s="12"/>
    </row>
    <row r="1944">
      <c r="A1944" s="7" t="s">
        <v>12579</v>
      </c>
      <c r="B1944" s="8" t="s">
        <v>12580</v>
      </c>
      <c r="C1944" s="8" t="s">
        <v>12581</v>
      </c>
      <c r="D1944" s="8" t="s">
        <v>16</v>
      </c>
      <c r="E1944" s="9" t="s">
        <v>12582</v>
      </c>
      <c r="F1944" s="10" t="s">
        <v>3760</v>
      </c>
      <c r="G1944" s="8">
        <v>23.61</v>
      </c>
      <c r="H1944" s="8"/>
      <c r="I1944" s="10"/>
      <c r="J1944" s="10" t="s">
        <v>12583</v>
      </c>
      <c r="K1944" s="10" t="s">
        <v>12584</v>
      </c>
      <c r="L1944" s="11" t="s">
        <v>12585</v>
      </c>
      <c r="M1944" s="10"/>
      <c r="N1944" s="12"/>
      <c r="O1944" s="12"/>
      <c r="P1944" s="13">
        <f>IFERROR(__xludf.DUMMYFUNCTION("VALUE(SUBSTITUTE((INDEX(SPLIT(A1944,"",""),1)),""."","","",1))"),55.721959)</f>
        <v>55.721959</v>
      </c>
      <c r="Q1944" s="13">
        <f>IFERROR(__xludf.DUMMYFUNCTION("VALUE(SUBSTITUTE((INDEX(SPLIT(A1944,"",""),2)),""."","","",1))"),38.348963)</f>
        <v>38.348963</v>
      </c>
      <c r="R1944" s="14" t="b">
        <f t="shared" si="1"/>
        <v>0</v>
      </c>
      <c r="S1944" s="14" t="str">
        <f t="shared" si="2"/>
        <v>55.721959,38.348963</v>
      </c>
      <c r="T1944" s="12"/>
    </row>
    <row r="1945">
      <c r="A1945" s="15" t="s">
        <v>12586</v>
      </c>
      <c r="B1945" s="16" t="s">
        <v>12587</v>
      </c>
      <c r="C1945" s="16" t="s">
        <v>12588</v>
      </c>
      <c r="D1945" s="16" t="s">
        <v>16</v>
      </c>
      <c r="E1945" s="17" t="s">
        <v>12589</v>
      </c>
      <c r="F1945" s="16" t="s">
        <v>3760</v>
      </c>
      <c r="G1945" s="16">
        <v>23.61</v>
      </c>
      <c r="H1945" s="16"/>
      <c r="I1945" s="16"/>
      <c r="J1945" s="16" t="s">
        <v>12590</v>
      </c>
      <c r="K1945" s="16" t="s">
        <v>12577</v>
      </c>
      <c r="L1945" s="16"/>
      <c r="M1945" s="16"/>
      <c r="N1945" s="12"/>
      <c r="O1945" s="12"/>
      <c r="P1945" s="13">
        <f>IFERROR(__xludf.DUMMYFUNCTION("VALUE(SUBSTITUTE((INDEX(SPLIT(A1945,"",""),1)),""."","","",1))"),55.990917)</f>
        <v>55.990917</v>
      </c>
      <c r="Q1945" s="13">
        <f>IFERROR(__xludf.DUMMYFUNCTION("VALUE(SUBSTITUTE((INDEX(SPLIT(A1945,"",""),2)),""."","","",1))"),38.359976)</f>
        <v>38.359976</v>
      </c>
      <c r="R1945" s="14" t="b">
        <f t="shared" si="1"/>
        <v>0</v>
      </c>
      <c r="S1945" s="14" t="str">
        <f t="shared" si="2"/>
        <v>55.990917,38.359976</v>
      </c>
      <c r="T1945" s="12"/>
    </row>
    <row r="1946">
      <c r="A1946" s="18" t="s">
        <v>12591</v>
      </c>
      <c r="B1946" s="8" t="s">
        <v>12592</v>
      </c>
      <c r="C1946" s="8" t="s">
        <v>12593</v>
      </c>
      <c r="D1946" s="8" t="s">
        <v>16</v>
      </c>
      <c r="E1946" s="19" t="s">
        <v>12594</v>
      </c>
      <c r="F1946" s="8" t="s">
        <v>3760</v>
      </c>
      <c r="G1946" s="8">
        <v>23.61</v>
      </c>
      <c r="H1946" s="8"/>
      <c r="I1946" s="8"/>
      <c r="J1946" s="8" t="s">
        <v>12595</v>
      </c>
      <c r="K1946" s="8" t="s">
        <v>12596</v>
      </c>
      <c r="L1946" s="8"/>
      <c r="M1946" s="8"/>
      <c r="N1946" s="12"/>
      <c r="O1946" s="12"/>
      <c r="P1946" s="13">
        <f>IFERROR(__xludf.DUMMYFUNCTION("VALUE(SUBSTITUTE((INDEX(SPLIT(A1946,"",""),1)),""."","","",1))"),55.416407)</f>
        <v>55.416407</v>
      </c>
      <c r="Q1946" s="13">
        <f>IFERROR(__xludf.DUMMYFUNCTION("VALUE(SUBSTITUTE((INDEX(SPLIT(A1946,"",""),2)),""."","","",1))"),38.360057)</f>
        <v>38.360057</v>
      </c>
      <c r="R1946" s="14" t="b">
        <f t="shared" si="1"/>
        <v>0</v>
      </c>
      <c r="S1946" s="14" t="str">
        <f t="shared" si="2"/>
        <v>55.416407,38.360057</v>
      </c>
      <c r="T1946" s="12"/>
    </row>
    <row r="1947">
      <c r="A1947" s="15" t="s">
        <v>12597</v>
      </c>
      <c r="B1947" s="16" t="s">
        <v>12598</v>
      </c>
      <c r="C1947" s="16" t="s">
        <v>12599</v>
      </c>
      <c r="D1947" s="16" t="s">
        <v>16</v>
      </c>
      <c r="E1947" s="17" t="s">
        <v>12600</v>
      </c>
      <c r="F1947" s="16" t="s">
        <v>3760</v>
      </c>
      <c r="G1947" s="16">
        <v>23.61</v>
      </c>
      <c r="H1947" s="16"/>
      <c r="I1947" s="16"/>
      <c r="J1947" s="16" t="s">
        <v>12601</v>
      </c>
      <c r="K1947" s="16" t="s">
        <v>12602</v>
      </c>
      <c r="L1947" s="16"/>
      <c r="M1947" s="16"/>
      <c r="N1947" s="12"/>
      <c r="O1947" s="12"/>
      <c r="P1947" s="13">
        <f>IFERROR(__xludf.DUMMYFUNCTION("VALUE(SUBSTITUTE((INDEX(SPLIT(A1947,"",""),1)),""."","","",1))"),55.84255)</f>
        <v>55.84255</v>
      </c>
      <c r="Q1947" s="13">
        <f>IFERROR(__xludf.DUMMYFUNCTION("VALUE(SUBSTITUTE((INDEX(SPLIT(A1947,"",""),2)),""."","","",1))"),38.392926)</f>
        <v>38.392926</v>
      </c>
      <c r="R1947" s="14" t="b">
        <f t="shared" si="1"/>
        <v>0</v>
      </c>
      <c r="S1947" s="14" t="str">
        <f t="shared" si="2"/>
        <v>55.84255,38.392926</v>
      </c>
      <c r="T1947" s="12"/>
    </row>
    <row r="1948">
      <c r="A1948" s="7" t="s">
        <v>12603</v>
      </c>
      <c r="B1948" s="8" t="s">
        <v>12604</v>
      </c>
      <c r="C1948" s="8" t="s">
        <v>12605</v>
      </c>
      <c r="D1948" s="8" t="s">
        <v>16</v>
      </c>
      <c r="E1948" s="9" t="s">
        <v>12606</v>
      </c>
      <c r="F1948" s="10" t="s">
        <v>4327</v>
      </c>
      <c r="G1948" s="8">
        <v>23.61</v>
      </c>
      <c r="H1948" s="8"/>
      <c r="I1948" s="10"/>
      <c r="J1948" s="10" t="s">
        <v>12607</v>
      </c>
      <c r="K1948" s="10" t="s">
        <v>12608</v>
      </c>
      <c r="L1948" s="11" t="s">
        <v>12609</v>
      </c>
      <c r="M1948" s="10"/>
      <c r="N1948" s="12"/>
      <c r="O1948" s="12"/>
      <c r="P1948" s="13">
        <f>IFERROR(__xludf.DUMMYFUNCTION("VALUE(SUBSTITUTE((INDEX(SPLIT(A1948,"",""),1)),""."","","",1))"),50.785576)</f>
        <v>50.785576</v>
      </c>
      <c r="Q1948" s="13">
        <f>IFERROR(__xludf.DUMMYFUNCTION("VALUE(SUBSTITUTE((INDEX(SPLIT(A1948,"",""),2)),""."","","",1))"),38.434141)</f>
        <v>38.434141</v>
      </c>
      <c r="R1948" s="14" t="b">
        <f t="shared" si="1"/>
        <v>0</v>
      </c>
      <c r="S1948" s="14" t="str">
        <f t="shared" si="2"/>
        <v>50.785576,38.434141</v>
      </c>
      <c r="T1948" s="12"/>
    </row>
    <row r="1949">
      <c r="A1949" s="15" t="s">
        <v>12610</v>
      </c>
      <c r="B1949" s="16" t="s">
        <v>12611</v>
      </c>
      <c r="C1949" s="16" t="s">
        <v>12612</v>
      </c>
      <c r="D1949" s="16" t="s">
        <v>16</v>
      </c>
      <c r="E1949" s="17" t="s">
        <v>12613</v>
      </c>
      <c r="F1949" s="16" t="s">
        <v>3760</v>
      </c>
      <c r="G1949" s="16">
        <v>23.61</v>
      </c>
      <c r="H1949" s="16"/>
      <c r="I1949" s="16"/>
      <c r="J1949" s="16" t="s">
        <v>12614</v>
      </c>
      <c r="K1949" s="16" t="s">
        <v>12615</v>
      </c>
      <c r="L1949" s="16"/>
      <c r="M1949" s="25" t="s">
        <v>12616</v>
      </c>
      <c r="N1949" s="12"/>
      <c r="O1949" s="12"/>
      <c r="P1949" s="13">
        <f>IFERROR(__xludf.DUMMYFUNCTION("VALUE(SUBSTITUTE((INDEX(SPLIT(A1949,"",""),1)),""."","","",1))"),55.78809)</f>
        <v>55.78809</v>
      </c>
      <c r="Q1949" s="13">
        <f>IFERROR(__xludf.DUMMYFUNCTION("VALUE(SUBSTITUTE((INDEX(SPLIT(A1949,"",""),2)),""."","","",1))"),38.438336)</f>
        <v>38.438336</v>
      </c>
      <c r="R1949" s="14" t="b">
        <f t="shared" si="1"/>
        <v>0</v>
      </c>
      <c r="S1949" s="14" t="str">
        <f t="shared" si="2"/>
        <v>55.78809,38.438336</v>
      </c>
      <c r="T1949" s="12"/>
    </row>
    <row r="1950">
      <c r="A1950" s="7" t="s">
        <v>12617</v>
      </c>
      <c r="B1950" s="8" t="s">
        <v>12618</v>
      </c>
      <c r="C1950" s="8" t="s">
        <v>12619</v>
      </c>
      <c r="D1950" s="8" t="s">
        <v>16</v>
      </c>
      <c r="E1950" s="9" t="s">
        <v>12620</v>
      </c>
      <c r="F1950" s="10" t="s">
        <v>12524</v>
      </c>
      <c r="G1950" s="8">
        <v>23.61</v>
      </c>
      <c r="H1950" s="8"/>
      <c r="I1950" s="10"/>
      <c r="J1950" s="10" t="s">
        <v>12621</v>
      </c>
      <c r="K1950" s="10" t="s">
        <v>12622</v>
      </c>
      <c r="L1950" s="11" t="s">
        <v>12623</v>
      </c>
      <c r="M1950" s="10"/>
      <c r="N1950" s="12"/>
      <c r="O1950" s="12"/>
      <c r="P1950" s="13">
        <f>IFERROR(__xludf.DUMMYFUNCTION("VALUE(SUBSTITUTE((INDEX(SPLIT(A1950,"",""),1)),""."","","",1))"),52.634002)</f>
        <v>52.634002</v>
      </c>
      <c r="Q1950" s="13">
        <f>IFERROR(__xludf.DUMMYFUNCTION("VALUE(SUBSTITUTE((INDEX(SPLIT(A1950,"",""),2)),""."","","",1))"),38.454245)</f>
        <v>38.454245</v>
      </c>
      <c r="R1950" s="14" t="b">
        <f t="shared" si="1"/>
        <v>0</v>
      </c>
      <c r="S1950" s="14" t="str">
        <f t="shared" si="2"/>
        <v>52.634002,38.454245</v>
      </c>
      <c r="T1950" s="12"/>
    </row>
    <row r="1951">
      <c r="A1951" s="20" t="s">
        <v>12624</v>
      </c>
      <c r="B1951" s="16" t="s">
        <v>12625</v>
      </c>
      <c r="C1951" s="16" t="s">
        <v>12626</v>
      </c>
      <c r="D1951" s="16" t="s">
        <v>16</v>
      </c>
      <c r="E1951" s="21" t="s">
        <v>12627</v>
      </c>
      <c r="F1951" s="22" t="s">
        <v>12524</v>
      </c>
      <c r="G1951" s="16">
        <v>23.61</v>
      </c>
      <c r="H1951" s="16"/>
      <c r="I1951" s="28" t="s">
        <v>12628</v>
      </c>
      <c r="J1951" s="22" t="s">
        <v>12629</v>
      </c>
      <c r="K1951" s="22" t="s">
        <v>12630</v>
      </c>
      <c r="L1951" s="23" t="s">
        <v>12631</v>
      </c>
      <c r="M1951" s="23" t="s">
        <v>12632</v>
      </c>
      <c r="N1951" s="12"/>
      <c r="O1951" s="12"/>
      <c r="P1951" s="13">
        <f>IFERROR(__xludf.DUMMYFUNCTION("VALUE(SUBSTITUTE((INDEX(SPLIT(A1951,"",""),1)),""."","","",1))"),52.629935)</f>
        <v>52.629935</v>
      </c>
      <c r="Q1951" s="13">
        <f>IFERROR(__xludf.DUMMYFUNCTION("VALUE(SUBSTITUTE((INDEX(SPLIT(A1951,"",""),2)),""."","","",1))"),38.454829)</f>
        <v>38.454829</v>
      </c>
      <c r="R1951" s="14" t="b">
        <f t="shared" si="1"/>
        <v>0</v>
      </c>
      <c r="S1951" s="14" t="str">
        <f t="shared" si="2"/>
        <v>52.629935,38.454829</v>
      </c>
      <c r="T1951" s="12"/>
    </row>
    <row r="1952">
      <c r="A1952" s="18" t="s">
        <v>12633</v>
      </c>
      <c r="B1952" s="8" t="s">
        <v>12634</v>
      </c>
      <c r="C1952" s="8" t="s">
        <v>12635</v>
      </c>
      <c r="D1952" s="8" t="s">
        <v>16</v>
      </c>
      <c r="E1952" s="19" t="s">
        <v>12636</v>
      </c>
      <c r="F1952" s="8" t="s">
        <v>3760</v>
      </c>
      <c r="G1952" s="8">
        <v>23.61</v>
      </c>
      <c r="H1952" s="8"/>
      <c r="I1952" s="8"/>
      <c r="J1952" s="8" t="s">
        <v>12637</v>
      </c>
      <c r="K1952" s="8" t="s">
        <v>12638</v>
      </c>
      <c r="L1952" s="8"/>
      <c r="M1952" s="8"/>
      <c r="N1952" s="12"/>
      <c r="O1952" s="12"/>
      <c r="P1952" s="13">
        <f>IFERROR(__xludf.DUMMYFUNCTION("VALUE(SUBSTITUTE((INDEX(SPLIT(A1952,"",""),1)),""."","","",1))"),55.875183)</f>
        <v>55.875183</v>
      </c>
      <c r="Q1952" s="13">
        <f>IFERROR(__xludf.DUMMYFUNCTION("VALUE(SUBSTITUTE((INDEX(SPLIT(A1952,"",""),2)),""."","","",1))"),38.461953)</f>
        <v>38.461953</v>
      </c>
      <c r="R1952" s="14" t="b">
        <f t="shared" si="1"/>
        <v>0</v>
      </c>
      <c r="S1952" s="14" t="str">
        <f t="shared" si="2"/>
        <v>55.875183,38.461953</v>
      </c>
      <c r="T1952" s="12"/>
    </row>
    <row r="1953">
      <c r="A1953" s="15" t="s">
        <v>12639</v>
      </c>
      <c r="B1953" s="16" t="s">
        <v>12640</v>
      </c>
      <c r="C1953" s="16" t="s">
        <v>12641</v>
      </c>
      <c r="D1953" s="16" t="s">
        <v>16</v>
      </c>
      <c r="E1953" s="17" t="s">
        <v>12642</v>
      </c>
      <c r="F1953" s="16" t="s">
        <v>3760</v>
      </c>
      <c r="G1953" s="16">
        <v>23.61</v>
      </c>
      <c r="H1953" s="16"/>
      <c r="I1953" s="16"/>
      <c r="J1953" s="16" t="s">
        <v>12643</v>
      </c>
      <c r="K1953" s="16" t="s">
        <v>12644</v>
      </c>
      <c r="L1953" s="16"/>
      <c r="M1953" s="16"/>
      <c r="N1953" s="12"/>
      <c r="O1953" s="12"/>
      <c r="P1953" s="13">
        <f>IFERROR(__xludf.DUMMYFUNCTION("VALUE(SUBSTITUTE((INDEX(SPLIT(A1953,"",""),1)),""."","","",1))"),55.301623)</f>
        <v>55.301623</v>
      </c>
      <c r="Q1953" s="13">
        <f>IFERROR(__xludf.DUMMYFUNCTION("VALUE(SUBSTITUTE((INDEX(SPLIT(A1953,"",""),2)),""."","","",1))"),38.462788)</f>
        <v>38.462788</v>
      </c>
      <c r="R1953" s="14" t="b">
        <f t="shared" si="1"/>
        <v>0</v>
      </c>
      <c r="S1953" s="14" t="str">
        <f t="shared" si="2"/>
        <v>55.301623,38.462788</v>
      </c>
      <c r="T1953" s="12"/>
    </row>
    <row r="1954">
      <c r="A1954" s="7" t="s">
        <v>12645</v>
      </c>
      <c r="B1954" s="8" t="s">
        <v>12646</v>
      </c>
      <c r="C1954" s="8" t="s">
        <v>12647</v>
      </c>
      <c r="D1954" s="8" t="s">
        <v>16</v>
      </c>
      <c r="E1954" s="9" t="s">
        <v>12648</v>
      </c>
      <c r="F1954" s="10" t="s">
        <v>3760</v>
      </c>
      <c r="G1954" s="8">
        <v>23.61</v>
      </c>
      <c r="H1954" s="8"/>
      <c r="I1954" s="10"/>
      <c r="J1954" s="10" t="s">
        <v>12649</v>
      </c>
      <c r="K1954" s="10" t="s">
        <v>12650</v>
      </c>
      <c r="L1954" s="11" t="s">
        <v>10786</v>
      </c>
      <c r="M1954" s="10"/>
      <c r="N1954" s="12"/>
      <c r="O1954" s="12"/>
      <c r="P1954" s="13">
        <f>IFERROR(__xludf.DUMMYFUNCTION("VALUE(SUBSTITUTE((INDEX(SPLIT(A1954,"",""),1)),""."","","",1))"),55.793713)</f>
        <v>55.793713</v>
      </c>
      <c r="Q1954" s="13">
        <f>IFERROR(__xludf.DUMMYFUNCTION("VALUE(SUBSTITUTE((INDEX(SPLIT(A1954,"",""),2)),""."","","",1))"),38.474996)</f>
        <v>38.474996</v>
      </c>
      <c r="R1954" s="14" t="b">
        <f t="shared" si="1"/>
        <v>0</v>
      </c>
      <c r="S1954" s="14" t="str">
        <f t="shared" si="2"/>
        <v>55.793713,38.474996</v>
      </c>
      <c r="T1954" s="12"/>
    </row>
    <row r="1955">
      <c r="A1955" s="15" t="s">
        <v>12651</v>
      </c>
      <c r="B1955" s="16" t="s">
        <v>12652</v>
      </c>
      <c r="C1955" s="16" t="s">
        <v>12653</v>
      </c>
      <c r="D1955" s="16" t="s">
        <v>16</v>
      </c>
      <c r="E1955" s="17" t="s">
        <v>12654</v>
      </c>
      <c r="F1955" s="16" t="s">
        <v>3760</v>
      </c>
      <c r="G1955" s="16">
        <v>23.61</v>
      </c>
      <c r="H1955" s="16"/>
      <c r="I1955" s="16"/>
      <c r="J1955" s="16" t="s">
        <v>12655</v>
      </c>
      <c r="K1955" s="16" t="s">
        <v>12656</v>
      </c>
      <c r="L1955" s="16"/>
      <c r="M1955" s="16"/>
      <c r="N1955" s="12"/>
      <c r="O1955" s="12"/>
      <c r="P1955" s="13">
        <f>IFERROR(__xludf.DUMMYFUNCTION("VALUE(SUBSTITUTE((INDEX(SPLIT(A1955,"",""),1)),""."","","",1))"),55.864854)</f>
        <v>55.864854</v>
      </c>
      <c r="Q1955" s="13">
        <f>IFERROR(__xludf.DUMMYFUNCTION("VALUE(SUBSTITUTE((INDEX(SPLIT(A1955,"",""),2)),""."","","",1))"),38.492208)</f>
        <v>38.492208</v>
      </c>
      <c r="R1955" s="14" t="b">
        <f t="shared" si="1"/>
        <v>0</v>
      </c>
      <c r="S1955" s="14" t="str">
        <f t="shared" si="2"/>
        <v>55.864854,38.492208</v>
      </c>
      <c r="T1955" s="12"/>
    </row>
    <row r="1956">
      <c r="A1956" s="7" t="s">
        <v>12657</v>
      </c>
      <c r="B1956" s="8" t="s">
        <v>12658</v>
      </c>
      <c r="C1956" s="8" t="s">
        <v>12659</v>
      </c>
      <c r="D1956" s="8" t="s">
        <v>16</v>
      </c>
      <c r="E1956" s="9" t="s">
        <v>12660</v>
      </c>
      <c r="F1956" s="10" t="s">
        <v>8566</v>
      </c>
      <c r="G1956" s="8">
        <v>23.61</v>
      </c>
      <c r="H1956" s="8"/>
      <c r="I1956" s="10"/>
      <c r="J1956" s="10" t="s">
        <v>12661</v>
      </c>
      <c r="K1956" s="10" t="s">
        <v>12662</v>
      </c>
      <c r="L1956" s="11" t="s">
        <v>12663</v>
      </c>
      <c r="M1956" s="11" t="s">
        <v>12664</v>
      </c>
      <c r="N1956" s="12"/>
      <c r="O1956" s="12"/>
      <c r="P1956" s="13">
        <f>IFERROR(__xludf.DUMMYFUNCTION("VALUE(SUBSTITUTE((INDEX(SPLIT(A1956,"",""),1)),""."","","",1))"),44.850411)</f>
        <v>44.850411</v>
      </c>
      <c r="Q1956" s="13">
        <f>IFERROR(__xludf.DUMMYFUNCTION("VALUE(SUBSTITUTE((INDEX(SPLIT(A1956,"",""),2)),""."","","",1))"),38.498344)</f>
        <v>38.498344</v>
      </c>
      <c r="R1956" s="14" t="b">
        <f t="shared" si="1"/>
        <v>0</v>
      </c>
      <c r="S1956" s="14" t="str">
        <f t="shared" si="2"/>
        <v>44.850411,38.498344</v>
      </c>
      <c r="T1956" s="12"/>
    </row>
    <row r="1957">
      <c r="A1957" s="15" t="s">
        <v>12665</v>
      </c>
      <c r="B1957" s="16" t="s">
        <v>12666</v>
      </c>
      <c r="C1957" s="16" t="s">
        <v>12667</v>
      </c>
      <c r="D1957" s="16" t="s">
        <v>16</v>
      </c>
      <c r="E1957" s="17" t="s">
        <v>12668</v>
      </c>
      <c r="F1957" s="16" t="s">
        <v>12524</v>
      </c>
      <c r="G1957" s="16">
        <v>23.61</v>
      </c>
      <c r="H1957" s="16"/>
      <c r="I1957" s="16"/>
      <c r="J1957" s="16" t="s">
        <v>12669</v>
      </c>
      <c r="K1957" s="16" t="s">
        <v>12670</v>
      </c>
      <c r="L1957" s="16"/>
      <c r="M1957" s="16"/>
      <c r="N1957" s="12"/>
      <c r="O1957" s="12"/>
      <c r="P1957" s="13">
        <f>IFERROR(__xludf.DUMMYFUNCTION("VALUE(SUBSTITUTE((INDEX(SPLIT(A1957,"",""),1)),""."","","",1))"),52.622107)</f>
        <v>52.622107</v>
      </c>
      <c r="Q1957" s="13">
        <f>IFERROR(__xludf.DUMMYFUNCTION("VALUE(SUBSTITUTE((INDEX(SPLIT(A1957,"",""),2)),""."","","",1))"),38.499538)</f>
        <v>38.499538</v>
      </c>
      <c r="R1957" s="14" t="b">
        <f t="shared" si="1"/>
        <v>0</v>
      </c>
      <c r="S1957" s="14" t="str">
        <f t="shared" si="2"/>
        <v>52.622107,38.499538</v>
      </c>
      <c r="T1957" s="12"/>
    </row>
    <row r="1958">
      <c r="A1958" s="7" t="s">
        <v>12671</v>
      </c>
      <c r="B1958" s="8" t="s">
        <v>12672</v>
      </c>
      <c r="C1958" s="8" t="s">
        <v>12673</v>
      </c>
      <c r="D1958" s="8" t="s">
        <v>16</v>
      </c>
      <c r="E1958" s="9" t="s">
        <v>12674</v>
      </c>
      <c r="F1958" s="10" t="s">
        <v>12524</v>
      </c>
      <c r="G1958" s="8">
        <v>23.61</v>
      </c>
      <c r="H1958" s="8"/>
      <c r="I1958" s="10"/>
      <c r="J1958" s="10" t="s">
        <v>12675</v>
      </c>
      <c r="K1958" s="10" t="s">
        <v>12676</v>
      </c>
      <c r="L1958" s="11" t="s">
        <v>12677</v>
      </c>
      <c r="M1958" s="11" t="s">
        <v>12678</v>
      </c>
      <c r="N1958" s="12"/>
      <c r="O1958" s="12"/>
      <c r="P1958" s="13">
        <f>IFERROR(__xludf.DUMMYFUNCTION("VALUE(SUBSTITUTE((INDEX(SPLIT(A1958,"",""),1)),""."","","",1))"),52.603056)</f>
        <v>52.603056</v>
      </c>
      <c r="Q1958" s="13">
        <f>IFERROR(__xludf.DUMMYFUNCTION("VALUE(SUBSTITUTE((INDEX(SPLIT(A1958,"",""),2)),""."","","",1))"),38.500032)</f>
        <v>38.500032</v>
      </c>
      <c r="R1958" s="14" t="b">
        <f t="shared" si="1"/>
        <v>0</v>
      </c>
      <c r="S1958" s="14" t="str">
        <f t="shared" si="2"/>
        <v>52.603056,38.500032</v>
      </c>
      <c r="T1958" s="12"/>
    </row>
    <row r="1959">
      <c r="A1959" s="20" t="s">
        <v>12679</v>
      </c>
      <c r="B1959" s="16" t="s">
        <v>12680</v>
      </c>
      <c r="C1959" s="16" t="s">
        <v>12681</v>
      </c>
      <c r="D1959" s="16" t="s">
        <v>16</v>
      </c>
      <c r="E1959" s="21" t="s">
        <v>12682</v>
      </c>
      <c r="F1959" s="22" t="s">
        <v>3760</v>
      </c>
      <c r="G1959" s="16">
        <v>23.61</v>
      </c>
      <c r="H1959" s="16"/>
      <c r="I1959" s="22"/>
      <c r="J1959" s="22" t="s">
        <v>12683</v>
      </c>
      <c r="K1959" s="22" t="s">
        <v>12684</v>
      </c>
      <c r="L1959" s="23" t="s">
        <v>12685</v>
      </c>
      <c r="M1959" s="22"/>
      <c r="N1959" s="12"/>
      <c r="O1959" s="12"/>
      <c r="P1959" s="13">
        <f>IFERROR(__xludf.DUMMYFUNCTION("VALUE(SUBSTITUTE((INDEX(SPLIT(A1959,"",""),1)),""."","","",1))"),55.85623)</f>
        <v>55.85623</v>
      </c>
      <c r="Q1959" s="13">
        <f>IFERROR(__xludf.DUMMYFUNCTION("VALUE(SUBSTITUTE((INDEX(SPLIT(A1959,"",""),2)),""."","","",1))"),38.508189)</f>
        <v>38.508189</v>
      </c>
      <c r="R1959" s="14" t="b">
        <f t="shared" si="1"/>
        <v>0</v>
      </c>
      <c r="S1959" s="14" t="str">
        <f t="shared" si="2"/>
        <v>55.85623,38.508189</v>
      </c>
      <c r="T1959" s="12"/>
    </row>
    <row r="1960">
      <c r="A1960" s="7" t="s">
        <v>12686</v>
      </c>
      <c r="B1960" s="8" t="s">
        <v>12687</v>
      </c>
      <c r="C1960" s="8" t="s">
        <v>12688</v>
      </c>
      <c r="D1960" s="8" t="s">
        <v>16</v>
      </c>
      <c r="E1960" s="9" t="s">
        <v>12689</v>
      </c>
      <c r="F1960" s="10" t="s">
        <v>3760</v>
      </c>
      <c r="G1960" s="8">
        <v>23.61</v>
      </c>
      <c r="H1960" s="8"/>
      <c r="I1960" s="10"/>
      <c r="J1960" s="10" t="s">
        <v>12690</v>
      </c>
      <c r="K1960" s="10" t="s">
        <v>12691</v>
      </c>
      <c r="L1960" s="11" t="s">
        <v>12692</v>
      </c>
      <c r="M1960" s="10"/>
      <c r="N1960" s="12"/>
      <c r="O1960" s="12"/>
      <c r="P1960" s="13">
        <f>IFERROR(__xludf.DUMMYFUNCTION("VALUE(SUBSTITUTE((INDEX(SPLIT(A1960,"",""),1)),""."","","",1))"),54.850318)</f>
        <v>54.850318</v>
      </c>
      <c r="Q1960" s="13">
        <f>IFERROR(__xludf.DUMMYFUNCTION("VALUE(SUBSTITUTE((INDEX(SPLIT(A1960,"",""),2)),""."","","",1))"),38.520478)</f>
        <v>38.520478</v>
      </c>
      <c r="R1960" s="14" t="b">
        <f t="shared" si="1"/>
        <v>0</v>
      </c>
      <c r="S1960" s="14" t="str">
        <f t="shared" si="2"/>
        <v>54.850318,38.520478</v>
      </c>
      <c r="T1960" s="12"/>
    </row>
    <row r="1961">
      <c r="A1961" s="20" t="s">
        <v>12693</v>
      </c>
      <c r="B1961" s="16" t="s">
        <v>12694</v>
      </c>
      <c r="C1961" s="16" t="s">
        <v>12695</v>
      </c>
      <c r="D1961" s="16" t="s">
        <v>16</v>
      </c>
      <c r="E1961" s="21" t="s">
        <v>12696</v>
      </c>
      <c r="F1961" s="22" t="s">
        <v>3760</v>
      </c>
      <c r="G1961" s="16">
        <v>23.61</v>
      </c>
      <c r="H1961" s="16"/>
      <c r="I1961" s="22"/>
      <c r="J1961" s="22" t="s">
        <v>12697</v>
      </c>
      <c r="K1961" s="22" t="s">
        <v>12698</v>
      </c>
      <c r="L1961" s="23" t="s">
        <v>12699</v>
      </c>
      <c r="M1961" s="22"/>
      <c r="N1961" s="12"/>
      <c r="O1961" s="12"/>
      <c r="P1961" s="13">
        <f>IFERROR(__xludf.DUMMYFUNCTION("VALUE(SUBSTITUTE((INDEX(SPLIT(A1961,"",""),1)),""."","","",1))"),54.68614)</f>
        <v>54.68614</v>
      </c>
      <c r="Q1961" s="13">
        <f>IFERROR(__xludf.DUMMYFUNCTION("VALUE(SUBSTITUTE((INDEX(SPLIT(A1961,"",""),2)),""."","","",1))"),38.522697)</f>
        <v>38.522697</v>
      </c>
      <c r="R1961" s="14" t="b">
        <f t="shared" si="1"/>
        <v>0</v>
      </c>
      <c r="S1961" s="14" t="str">
        <f t="shared" si="2"/>
        <v>54.68614,38.522697</v>
      </c>
      <c r="T1961" s="12"/>
    </row>
    <row r="1962">
      <c r="A1962" s="7" t="s">
        <v>12700</v>
      </c>
      <c r="B1962" s="8" t="s">
        <v>12701</v>
      </c>
      <c r="C1962" s="8" t="s">
        <v>12702</v>
      </c>
      <c r="D1962" s="8" t="s">
        <v>16</v>
      </c>
      <c r="E1962" s="9" t="s">
        <v>12703</v>
      </c>
      <c r="F1962" s="10" t="s">
        <v>3760</v>
      </c>
      <c r="G1962" s="8">
        <v>23.61</v>
      </c>
      <c r="H1962" s="8"/>
      <c r="I1962" s="10"/>
      <c r="J1962" s="10" t="s">
        <v>12704</v>
      </c>
      <c r="K1962" s="10" t="s">
        <v>12705</v>
      </c>
      <c r="L1962" s="11" t="s">
        <v>12706</v>
      </c>
      <c r="M1962" s="10"/>
      <c r="N1962" s="12"/>
      <c r="O1962" s="12"/>
      <c r="P1962" s="13">
        <f>IFERROR(__xludf.DUMMYFUNCTION("VALUE(SUBSTITUTE((INDEX(SPLIT(A1962,"",""),1)),""."","","",1))"),55.42662)</f>
        <v>55.42662</v>
      </c>
      <c r="Q1962" s="13">
        <f>IFERROR(__xludf.DUMMYFUNCTION("VALUE(SUBSTITUTE((INDEX(SPLIT(A1962,"",""),2)),""."","","",1))"),38.554021)</f>
        <v>38.554021</v>
      </c>
      <c r="R1962" s="14" t="b">
        <f t="shared" si="1"/>
        <v>0</v>
      </c>
      <c r="S1962" s="14" t="str">
        <f t="shared" si="2"/>
        <v>55.42662,38.554021</v>
      </c>
      <c r="T1962" s="12"/>
    </row>
    <row r="1963">
      <c r="A1963" s="15" t="s">
        <v>12707</v>
      </c>
      <c r="B1963" s="16" t="s">
        <v>12708</v>
      </c>
      <c r="C1963" s="16" t="s">
        <v>12709</v>
      </c>
      <c r="D1963" s="16" t="s">
        <v>16</v>
      </c>
      <c r="E1963" s="17" t="s">
        <v>12710</v>
      </c>
      <c r="F1963" s="16" t="s">
        <v>8566</v>
      </c>
      <c r="G1963" s="16">
        <v>23.61</v>
      </c>
      <c r="H1963" s="16"/>
      <c r="I1963" s="16"/>
      <c r="J1963" s="16" t="s">
        <v>12711</v>
      </c>
      <c r="K1963" s="16" t="s">
        <v>12712</v>
      </c>
      <c r="L1963" s="16"/>
      <c r="M1963" s="16"/>
      <c r="N1963" s="12"/>
      <c r="O1963" s="12"/>
      <c r="P1963" s="13">
        <f>IFERROR(__xludf.DUMMYFUNCTION("VALUE(SUBSTITUTE((INDEX(SPLIT(A1963,"",""),1)),""."","","",1))"),44.856238)</f>
        <v>44.856238</v>
      </c>
      <c r="Q1963" s="13">
        <f>IFERROR(__xludf.DUMMYFUNCTION("VALUE(SUBSTITUTE((INDEX(SPLIT(A1963,"",""),2)),""."","","",1))"),38.57444)</f>
        <v>38.57444</v>
      </c>
      <c r="R1963" s="14" t="b">
        <f t="shared" si="1"/>
        <v>0</v>
      </c>
      <c r="S1963" s="14" t="str">
        <f t="shared" si="2"/>
        <v>44.856238,38.57444</v>
      </c>
      <c r="T1963" s="12"/>
    </row>
    <row r="1964">
      <c r="A1964" s="7" t="s">
        <v>12713</v>
      </c>
      <c r="B1964" s="8" t="s">
        <v>12714</v>
      </c>
      <c r="C1964" s="8" t="s">
        <v>12715</v>
      </c>
      <c r="D1964" s="8" t="s">
        <v>16</v>
      </c>
      <c r="E1964" s="9" t="s">
        <v>12716</v>
      </c>
      <c r="F1964" s="10" t="s">
        <v>12717</v>
      </c>
      <c r="G1964" s="8">
        <v>23.61</v>
      </c>
      <c r="H1964" s="8"/>
      <c r="I1964" s="10"/>
      <c r="J1964" s="10" t="s">
        <v>12718</v>
      </c>
      <c r="K1964" s="10" t="s">
        <v>12719</v>
      </c>
      <c r="L1964" s="11" t="s">
        <v>12720</v>
      </c>
      <c r="M1964" s="10"/>
      <c r="N1964" s="12"/>
      <c r="O1964" s="12"/>
      <c r="P1964" s="13">
        <f>IFERROR(__xludf.DUMMYFUNCTION("VALUE(SUBSTITUTE((INDEX(SPLIT(A1964,"",""),1)),""."","","",1))"),56.385242)</f>
        <v>56.385242</v>
      </c>
      <c r="Q1964" s="13">
        <f>IFERROR(__xludf.DUMMYFUNCTION("VALUE(SUBSTITUTE((INDEX(SPLIT(A1964,"",""),2)),""."","","",1))"),38.579929)</f>
        <v>38.579929</v>
      </c>
      <c r="R1964" s="14" t="b">
        <f t="shared" si="1"/>
        <v>0</v>
      </c>
      <c r="S1964" s="14" t="str">
        <f t="shared" si="2"/>
        <v>56.385242,38.579929</v>
      </c>
      <c r="T1964" s="12"/>
    </row>
    <row r="1965">
      <c r="A1965" s="20" t="s">
        <v>12721</v>
      </c>
      <c r="B1965" s="16" t="s">
        <v>12722</v>
      </c>
      <c r="C1965" s="16" t="s">
        <v>12723</v>
      </c>
      <c r="D1965" s="16" t="s">
        <v>16</v>
      </c>
      <c r="E1965" s="21" t="s">
        <v>12724</v>
      </c>
      <c r="F1965" s="22" t="s">
        <v>3760</v>
      </c>
      <c r="G1965" s="16">
        <v>23.61</v>
      </c>
      <c r="H1965" s="16"/>
      <c r="I1965" s="22"/>
      <c r="J1965" s="22" t="s">
        <v>12725</v>
      </c>
      <c r="K1965" s="22" t="s">
        <v>12726</v>
      </c>
      <c r="L1965" s="23" t="s">
        <v>12727</v>
      </c>
      <c r="M1965" s="22"/>
      <c r="N1965" s="12"/>
      <c r="O1965" s="12"/>
      <c r="P1965" s="13">
        <f>IFERROR(__xludf.DUMMYFUNCTION("VALUE(SUBSTITUTE((INDEX(SPLIT(A1965,"",""),1)),""."","","",1))"),54.730796)</f>
        <v>54.730796</v>
      </c>
      <c r="Q1965" s="13">
        <f>IFERROR(__xludf.DUMMYFUNCTION("VALUE(SUBSTITUTE((INDEX(SPLIT(A1965,"",""),2)),""."","","",1))"),38.641454)</f>
        <v>38.641454</v>
      </c>
      <c r="R1965" s="14" t="b">
        <f t="shared" si="1"/>
        <v>0</v>
      </c>
      <c r="S1965" s="14" t="str">
        <f t="shared" si="2"/>
        <v>54.730796,38.641454</v>
      </c>
      <c r="T1965" s="12"/>
    </row>
    <row r="1966">
      <c r="A1966" s="7" t="s">
        <v>12728</v>
      </c>
      <c r="B1966" s="8" t="s">
        <v>12729</v>
      </c>
      <c r="C1966" s="8" t="s">
        <v>12730</v>
      </c>
      <c r="D1966" s="8" t="s">
        <v>16</v>
      </c>
      <c r="E1966" s="9" t="s">
        <v>12731</v>
      </c>
      <c r="F1966" s="10" t="s">
        <v>3760</v>
      </c>
      <c r="G1966" s="8">
        <v>23.61</v>
      </c>
      <c r="H1966" s="8"/>
      <c r="I1966" s="10"/>
      <c r="J1966" s="10" t="s">
        <v>12732</v>
      </c>
      <c r="K1966" s="10" t="s">
        <v>12733</v>
      </c>
      <c r="L1966" s="11" t="s">
        <v>12734</v>
      </c>
      <c r="M1966" s="10"/>
      <c r="N1966" s="12"/>
      <c r="O1966" s="12"/>
      <c r="P1966" s="13">
        <f>IFERROR(__xludf.DUMMYFUNCTION("VALUE(SUBSTITUTE((INDEX(SPLIT(A1966,"",""),1)),""."","","",1))"),55.776219)</f>
        <v>55.776219</v>
      </c>
      <c r="Q1966" s="13">
        <f>IFERROR(__xludf.DUMMYFUNCTION("VALUE(SUBSTITUTE((INDEX(SPLIT(A1966,"",""),2)),""."","","",1))"),38.653069)</f>
        <v>38.653069</v>
      </c>
      <c r="R1966" s="14" t="b">
        <f t="shared" si="1"/>
        <v>0</v>
      </c>
      <c r="S1966" s="14" t="str">
        <f t="shared" si="2"/>
        <v>55.776219,38.653069</v>
      </c>
      <c r="T1966" s="12"/>
    </row>
    <row r="1967">
      <c r="A1967" s="15" t="s">
        <v>12735</v>
      </c>
      <c r="B1967" s="16" t="s">
        <v>12736</v>
      </c>
      <c r="C1967" s="16" t="s">
        <v>12737</v>
      </c>
      <c r="D1967" s="16" t="s">
        <v>16</v>
      </c>
      <c r="E1967" s="17" t="s">
        <v>12738</v>
      </c>
      <c r="F1967" s="16" t="s">
        <v>3760</v>
      </c>
      <c r="G1967" s="16">
        <v>23.61</v>
      </c>
      <c r="H1967" s="16"/>
      <c r="I1967" s="16"/>
      <c r="J1967" s="16" t="s">
        <v>12739</v>
      </c>
      <c r="K1967" s="16" t="s">
        <v>12740</v>
      </c>
      <c r="L1967" s="16"/>
      <c r="M1967" s="16"/>
      <c r="N1967" s="12"/>
      <c r="O1967" s="12"/>
      <c r="P1967" s="13">
        <f>IFERROR(__xludf.DUMMYFUNCTION("VALUE(SUBSTITUTE((INDEX(SPLIT(A1967,"",""),1)),""."","","",1))"),55.061859)</f>
        <v>55.061859</v>
      </c>
      <c r="Q1967" s="13">
        <f>IFERROR(__xludf.DUMMYFUNCTION("VALUE(SUBSTITUTE((INDEX(SPLIT(A1967,"",""),2)),""."","","",1))"),38.659142)</f>
        <v>38.659142</v>
      </c>
      <c r="R1967" s="14" t="b">
        <f t="shared" si="1"/>
        <v>0</v>
      </c>
      <c r="S1967" s="14" t="str">
        <f t="shared" si="2"/>
        <v>55.061859,38.659142</v>
      </c>
      <c r="T1967" s="12"/>
    </row>
    <row r="1968">
      <c r="A1968" s="18" t="s">
        <v>12741</v>
      </c>
      <c r="B1968" s="8" t="s">
        <v>12742</v>
      </c>
      <c r="C1968" s="8" t="s">
        <v>12743</v>
      </c>
      <c r="D1968" s="8" t="s">
        <v>16</v>
      </c>
      <c r="E1968" s="19" t="s">
        <v>12744</v>
      </c>
      <c r="F1968" s="8" t="s">
        <v>8566</v>
      </c>
      <c r="G1968" s="8">
        <v>23.61</v>
      </c>
      <c r="H1968" s="8"/>
      <c r="I1968" s="8"/>
      <c r="J1968" s="8" t="s">
        <v>12745</v>
      </c>
      <c r="K1968" s="8" t="s">
        <v>12746</v>
      </c>
      <c r="L1968" s="8"/>
      <c r="M1968" s="8"/>
      <c r="N1968" s="12"/>
      <c r="O1968" s="12"/>
      <c r="P1968" s="13">
        <f>IFERROR(__xludf.DUMMYFUNCTION("VALUE(SUBSTITUTE((INDEX(SPLIT(A1968,"",""),1)),""."","","",1))"),44.850986)</f>
        <v>44.850986</v>
      </c>
      <c r="Q1968" s="13">
        <f>IFERROR(__xludf.DUMMYFUNCTION("VALUE(SUBSTITUTE((INDEX(SPLIT(A1968,"",""),2)),""."","","",1))"),38.659681)</f>
        <v>38.659681</v>
      </c>
      <c r="R1968" s="14" t="b">
        <f t="shared" si="1"/>
        <v>0</v>
      </c>
      <c r="S1968" s="14" t="str">
        <f t="shared" si="2"/>
        <v>44.850986,38.659681</v>
      </c>
      <c r="T1968" s="12"/>
    </row>
    <row r="1969">
      <c r="A1969" s="15" t="s">
        <v>12747</v>
      </c>
      <c r="B1969" s="16" t="s">
        <v>12748</v>
      </c>
      <c r="C1969" s="16" t="s">
        <v>12749</v>
      </c>
      <c r="D1969" s="16" t="s">
        <v>16</v>
      </c>
      <c r="E1969" s="17" t="s">
        <v>12750</v>
      </c>
      <c r="F1969" s="16" t="s">
        <v>3760</v>
      </c>
      <c r="G1969" s="16">
        <v>23.61</v>
      </c>
      <c r="H1969" s="16"/>
      <c r="I1969" s="16"/>
      <c r="J1969" s="16" t="s">
        <v>12751</v>
      </c>
      <c r="K1969" s="16" t="s">
        <v>12752</v>
      </c>
      <c r="L1969" s="16"/>
      <c r="M1969" s="16"/>
      <c r="N1969" s="12"/>
      <c r="O1969" s="12"/>
      <c r="P1969" s="13">
        <f>IFERROR(__xludf.DUMMYFUNCTION("VALUE(SUBSTITUTE((INDEX(SPLIT(A1969,"",""),1)),""."","","",1))"),55.322978)</f>
        <v>55.322978</v>
      </c>
      <c r="Q1969" s="13">
        <f>IFERROR(__xludf.DUMMYFUNCTION("VALUE(SUBSTITUTE((INDEX(SPLIT(A1969,"",""),2)),""."","","",1))"),38.673362)</f>
        <v>38.673362</v>
      </c>
      <c r="R1969" s="14" t="b">
        <f t="shared" si="1"/>
        <v>0</v>
      </c>
      <c r="S1969" s="14" t="str">
        <f t="shared" si="2"/>
        <v>55.322978,38.673362</v>
      </c>
      <c r="T1969" s="12"/>
    </row>
    <row r="1970">
      <c r="A1970" s="18" t="s">
        <v>12747</v>
      </c>
      <c r="B1970" s="8" t="s">
        <v>12753</v>
      </c>
      <c r="C1970" s="8" t="s">
        <v>12754</v>
      </c>
      <c r="D1970" s="8" t="s">
        <v>16</v>
      </c>
      <c r="E1970" s="19" t="s">
        <v>12755</v>
      </c>
      <c r="F1970" s="8" t="s">
        <v>3760</v>
      </c>
      <c r="G1970" s="8">
        <v>23.61</v>
      </c>
      <c r="H1970" s="8"/>
      <c r="I1970" s="8"/>
      <c r="J1970" s="8" t="s">
        <v>12756</v>
      </c>
      <c r="K1970" s="8" t="s">
        <v>12757</v>
      </c>
      <c r="L1970" s="8"/>
      <c r="M1970" s="24" t="s">
        <v>12758</v>
      </c>
      <c r="N1970" s="12"/>
      <c r="O1970" s="12"/>
      <c r="P1970" s="13">
        <f>IFERROR(__xludf.DUMMYFUNCTION("VALUE(SUBSTITUTE((INDEX(SPLIT(A1970,"",""),1)),""."","","",1))"),55.322978)</f>
        <v>55.322978</v>
      </c>
      <c r="Q1970" s="13">
        <f>IFERROR(__xludf.DUMMYFUNCTION("VALUE(SUBSTITUTE((INDEX(SPLIT(A1970,"",""),2)),""."","","",1))"),38.673362)</f>
        <v>38.673362</v>
      </c>
      <c r="R1970" s="14" t="b">
        <f t="shared" si="1"/>
        <v>0</v>
      </c>
      <c r="S1970" s="14" t="str">
        <f t="shared" si="2"/>
        <v>55.322978,38.673362</v>
      </c>
      <c r="T1970" s="12"/>
    </row>
    <row r="1971">
      <c r="A1971" s="20" t="s">
        <v>12759</v>
      </c>
      <c r="B1971" s="16" t="s">
        <v>12760</v>
      </c>
      <c r="C1971" s="16" t="s">
        <v>12761</v>
      </c>
      <c r="D1971" s="16" t="s">
        <v>16</v>
      </c>
      <c r="E1971" s="21" t="s">
        <v>12762</v>
      </c>
      <c r="F1971" s="22" t="s">
        <v>12763</v>
      </c>
      <c r="G1971" s="16">
        <v>23.61</v>
      </c>
      <c r="H1971" s="16"/>
      <c r="I1971" s="22"/>
      <c r="J1971" s="22" t="s">
        <v>12764</v>
      </c>
      <c r="K1971" s="22" t="s">
        <v>12765</v>
      </c>
      <c r="L1971" s="23" t="s">
        <v>12766</v>
      </c>
      <c r="M1971" s="23" t="s">
        <v>12767</v>
      </c>
      <c r="N1971" s="12"/>
      <c r="O1971" s="12"/>
      <c r="P1971" s="13">
        <f>IFERROR(__xludf.DUMMYFUNCTION("VALUE(SUBSTITUTE((INDEX(SPLIT(A1971,"",""),1)),""."","","",1))"),56.819784)</f>
        <v>56.819784</v>
      </c>
      <c r="Q1971" s="13">
        <f>IFERROR(__xludf.DUMMYFUNCTION("VALUE(SUBSTITUTE((INDEX(SPLIT(A1971,"",""),2)),""."","","",1))"),38.681914)</f>
        <v>38.681914</v>
      </c>
      <c r="R1971" s="14" t="b">
        <f t="shared" si="1"/>
        <v>0</v>
      </c>
      <c r="S1971" s="14" t="str">
        <f t="shared" si="2"/>
        <v>56.819784,38.681914</v>
      </c>
      <c r="T1971" s="12"/>
    </row>
    <row r="1972">
      <c r="A1972" s="7" t="s">
        <v>12768</v>
      </c>
      <c r="B1972" s="8" t="s">
        <v>12769</v>
      </c>
      <c r="C1972" s="8" t="s">
        <v>12770</v>
      </c>
      <c r="D1972" s="8" t="s">
        <v>16</v>
      </c>
      <c r="E1972" s="9" t="s">
        <v>12771</v>
      </c>
      <c r="F1972" s="10" t="s">
        <v>3760</v>
      </c>
      <c r="G1972" s="8">
        <v>23.61</v>
      </c>
      <c r="H1972" s="8"/>
      <c r="I1972" s="10"/>
      <c r="J1972" s="10" t="s">
        <v>12772</v>
      </c>
      <c r="K1972" s="10" t="s">
        <v>12773</v>
      </c>
      <c r="L1972" s="11" t="s">
        <v>12774</v>
      </c>
      <c r="M1972" s="10"/>
      <c r="N1972" s="12"/>
      <c r="O1972" s="12"/>
      <c r="P1972" s="13">
        <f>IFERROR(__xludf.DUMMYFUNCTION("VALUE(SUBSTITUTE((INDEX(SPLIT(A1972,"",""),1)),""."","","",1))"),54.856968)</f>
        <v>54.856968</v>
      </c>
      <c r="Q1972" s="13">
        <f>IFERROR(__xludf.DUMMYFUNCTION("VALUE(SUBSTITUTE((INDEX(SPLIT(A1972,"",""),2)),""."","","",1))"),38.683621)</f>
        <v>38.683621</v>
      </c>
      <c r="R1972" s="14" t="b">
        <f t="shared" si="1"/>
        <v>0</v>
      </c>
      <c r="S1972" s="14" t="str">
        <f t="shared" si="2"/>
        <v>54.856968,38.683621</v>
      </c>
      <c r="T1972" s="12"/>
    </row>
    <row r="1973">
      <c r="A1973" s="15" t="s">
        <v>12775</v>
      </c>
      <c r="B1973" s="16" t="s">
        <v>12776</v>
      </c>
      <c r="C1973" s="16" t="s">
        <v>12777</v>
      </c>
      <c r="D1973" s="16" t="s">
        <v>16</v>
      </c>
      <c r="E1973" s="17" t="s">
        <v>12778</v>
      </c>
      <c r="F1973" s="16" t="s">
        <v>12524</v>
      </c>
      <c r="G1973" s="16">
        <v>23.61</v>
      </c>
      <c r="H1973" s="16"/>
      <c r="I1973" s="16"/>
      <c r="J1973" s="16" t="s">
        <v>12779</v>
      </c>
      <c r="K1973" s="16" t="s">
        <v>12780</v>
      </c>
      <c r="L1973" s="16"/>
      <c r="M1973" s="25" t="s">
        <v>12781</v>
      </c>
      <c r="N1973" s="12"/>
      <c r="O1973" s="12"/>
      <c r="P1973" s="13">
        <f>IFERROR(__xludf.DUMMYFUNCTION("VALUE(SUBSTITUTE((INDEX(SPLIT(A1973,"",""),1)),""."","","",1))"),52.718432)</f>
        <v>52.718432</v>
      </c>
      <c r="Q1973" s="13">
        <f>IFERROR(__xludf.DUMMYFUNCTION("VALUE(SUBSTITUTE((INDEX(SPLIT(A1973,"",""),2)),""."","","",1))"),38.695048)</f>
        <v>38.695048</v>
      </c>
      <c r="R1973" s="14" t="b">
        <f t="shared" si="1"/>
        <v>0</v>
      </c>
      <c r="S1973" s="14" t="str">
        <f t="shared" si="2"/>
        <v>52.718432,38.695048</v>
      </c>
      <c r="T1973" s="12"/>
    </row>
    <row r="1974">
      <c r="A1974" s="7" t="s">
        <v>12782</v>
      </c>
      <c r="B1974" s="8" t="s">
        <v>12783</v>
      </c>
      <c r="C1974" s="8" t="s">
        <v>12784</v>
      </c>
      <c r="D1974" s="8" t="s">
        <v>16</v>
      </c>
      <c r="E1974" s="9" t="s">
        <v>12785</v>
      </c>
      <c r="F1974" s="10" t="s">
        <v>3760</v>
      </c>
      <c r="G1974" s="8">
        <v>23.61</v>
      </c>
      <c r="H1974" s="8"/>
      <c r="I1974" s="10"/>
      <c r="J1974" s="10" t="s">
        <v>12786</v>
      </c>
      <c r="K1974" s="10" t="s">
        <v>12787</v>
      </c>
      <c r="L1974" s="11" t="s">
        <v>12788</v>
      </c>
      <c r="M1974" s="10"/>
      <c r="N1974" s="12"/>
      <c r="O1974" s="12"/>
      <c r="P1974" s="13">
        <f>IFERROR(__xludf.DUMMYFUNCTION("VALUE(SUBSTITUTE((INDEX(SPLIT(A1974,"",""),1)),""."","","",1))"),55.307573)</f>
        <v>55.307573</v>
      </c>
      <c r="Q1974" s="13">
        <f>IFERROR(__xludf.DUMMYFUNCTION("VALUE(SUBSTITUTE((INDEX(SPLIT(A1974,"",""),2)),""."","","",1))"),38.696961)</f>
        <v>38.696961</v>
      </c>
      <c r="R1974" s="14" t="b">
        <f t="shared" si="1"/>
        <v>0</v>
      </c>
      <c r="S1974" s="14" t="str">
        <f t="shared" si="2"/>
        <v>55.307573,38.696961</v>
      </c>
      <c r="T1974" s="12"/>
    </row>
    <row r="1975">
      <c r="A1975" s="15" t="s">
        <v>12789</v>
      </c>
      <c r="B1975" s="16" t="s">
        <v>12790</v>
      </c>
      <c r="C1975" s="16" t="s">
        <v>12791</v>
      </c>
      <c r="D1975" s="16" t="s">
        <v>16</v>
      </c>
      <c r="E1975" s="17" t="s">
        <v>12792</v>
      </c>
      <c r="F1975" s="16" t="s">
        <v>3760</v>
      </c>
      <c r="G1975" s="16">
        <v>23.61</v>
      </c>
      <c r="H1975" s="16"/>
      <c r="I1975" s="16"/>
      <c r="J1975" s="16" t="s">
        <v>12793</v>
      </c>
      <c r="K1975" s="16" t="s">
        <v>12794</v>
      </c>
      <c r="L1975" s="16"/>
      <c r="M1975" s="16"/>
      <c r="N1975" s="12"/>
      <c r="O1975" s="12"/>
      <c r="P1975" s="13">
        <f>IFERROR(__xludf.DUMMYFUNCTION("VALUE(SUBSTITUTE((INDEX(SPLIT(A1975,"",""),1)),""."","","",1))"),55.773434)</f>
        <v>55.773434</v>
      </c>
      <c r="Q1975" s="13">
        <f>IFERROR(__xludf.DUMMYFUNCTION("VALUE(SUBSTITUTE((INDEX(SPLIT(A1975,"",""),2)),""."","","",1))"),38.698596)</f>
        <v>38.698596</v>
      </c>
      <c r="R1975" s="14" t="b">
        <f t="shared" si="1"/>
        <v>0</v>
      </c>
      <c r="S1975" s="14" t="str">
        <f t="shared" si="2"/>
        <v>55.773434,38.698596</v>
      </c>
      <c r="T1975" s="12"/>
    </row>
    <row r="1976">
      <c r="A1976" s="18" t="s">
        <v>12795</v>
      </c>
      <c r="B1976" s="8" t="s">
        <v>12796</v>
      </c>
      <c r="C1976" s="8" t="s">
        <v>12797</v>
      </c>
      <c r="D1976" s="8" t="s">
        <v>16</v>
      </c>
      <c r="E1976" s="19" t="s">
        <v>12798</v>
      </c>
      <c r="F1976" s="8" t="s">
        <v>3760</v>
      </c>
      <c r="G1976" s="8">
        <v>23.61</v>
      </c>
      <c r="H1976" s="8"/>
      <c r="I1976" s="8"/>
      <c r="J1976" s="8" t="s">
        <v>12799</v>
      </c>
      <c r="K1976" s="8" t="s">
        <v>12800</v>
      </c>
      <c r="L1976" s="8"/>
      <c r="M1976" s="8"/>
      <c r="N1976" s="12"/>
      <c r="O1976" s="12"/>
      <c r="P1976" s="13">
        <f>IFERROR(__xludf.DUMMYFUNCTION("VALUE(SUBSTITUTE((INDEX(SPLIT(A1976,"",""),1)),""."","","",1))"),55.773018)</f>
        <v>55.773018</v>
      </c>
      <c r="Q1976" s="13">
        <f>IFERROR(__xludf.DUMMYFUNCTION("VALUE(SUBSTITUTE((INDEX(SPLIT(A1976,"",""),2)),""."","","",1))"),38.701273)</f>
        <v>38.701273</v>
      </c>
      <c r="R1976" s="14" t="b">
        <f t="shared" si="1"/>
        <v>0</v>
      </c>
      <c r="S1976" s="14" t="str">
        <f t="shared" si="2"/>
        <v>55.773018,38.701273</v>
      </c>
      <c r="T1976" s="12"/>
    </row>
    <row r="1977">
      <c r="A1977" s="20" t="s">
        <v>12801</v>
      </c>
      <c r="B1977" s="16" t="s">
        <v>9763</v>
      </c>
      <c r="C1977" s="16" t="s">
        <v>9764</v>
      </c>
      <c r="D1977" s="16" t="s">
        <v>16</v>
      </c>
      <c r="E1977" s="21" t="s">
        <v>12802</v>
      </c>
      <c r="F1977" s="22" t="s">
        <v>12717</v>
      </c>
      <c r="G1977" s="16">
        <v>23.61</v>
      </c>
      <c r="H1977" s="16"/>
      <c r="I1977" s="22"/>
      <c r="J1977" s="22" t="s">
        <v>12803</v>
      </c>
      <c r="K1977" s="22" t="s">
        <v>12804</v>
      </c>
      <c r="L1977" s="23" t="s">
        <v>12805</v>
      </c>
      <c r="M1977" s="22"/>
      <c r="N1977" s="12"/>
      <c r="O1977" s="12"/>
      <c r="P1977" s="13">
        <f>IFERROR(__xludf.DUMMYFUNCTION("VALUE(SUBSTITUTE((INDEX(SPLIT(A1977,"",""),1)),""."","","",1))"),56.396349)</f>
        <v>56.396349</v>
      </c>
      <c r="Q1977" s="13">
        <f>IFERROR(__xludf.DUMMYFUNCTION("VALUE(SUBSTITUTE((INDEX(SPLIT(A1977,"",""),2)),""."","","",1))"),38.71358)</f>
        <v>38.71358</v>
      </c>
      <c r="R1977" s="14" t="b">
        <f t="shared" si="1"/>
        <v>0</v>
      </c>
      <c r="S1977" s="14" t="str">
        <f t="shared" si="2"/>
        <v>56.396349,38.71358</v>
      </c>
      <c r="T1977" s="12"/>
    </row>
    <row r="1978">
      <c r="A1978" s="18" t="s">
        <v>12806</v>
      </c>
      <c r="B1978" s="8" t="s">
        <v>12807</v>
      </c>
      <c r="C1978" s="8" t="s">
        <v>12808</v>
      </c>
      <c r="D1978" s="8" t="s">
        <v>16</v>
      </c>
      <c r="E1978" s="19" t="s">
        <v>12809</v>
      </c>
      <c r="F1978" s="8" t="s">
        <v>3760</v>
      </c>
      <c r="G1978" s="8">
        <v>23.61</v>
      </c>
      <c r="H1978" s="8"/>
      <c r="I1978" s="8"/>
      <c r="J1978" s="8" t="s">
        <v>12810</v>
      </c>
      <c r="K1978" s="8" t="s">
        <v>12811</v>
      </c>
      <c r="L1978" s="8"/>
      <c r="M1978" s="24" t="s">
        <v>12812</v>
      </c>
      <c r="N1978" s="12"/>
      <c r="O1978" s="12"/>
      <c r="P1978" s="13">
        <f>IFERROR(__xludf.DUMMYFUNCTION("VALUE(SUBSTITUTE((INDEX(SPLIT(A1978,"",""),1)),""."","","",1))"),55.274513)</f>
        <v>55.274513</v>
      </c>
      <c r="Q1978" s="13">
        <f>IFERROR(__xludf.DUMMYFUNCTION("VALUE(SUBSTITUTE((INDEX(SPLIT(A1978,"",""),2)),""."","","",1))"),38.732112)</f>
        <v>38.732112</v>
      </c>
      <c r="R1978" s="14" t="b">
        <f t="shared" si="1"/>
        <v>0</v>
      </c>
      <c r="S1978" s="14" t="str">
        <f t="shared" si="2"/>
        <v>55.274513,38.732112</v>
      </c>
      <c r="T1978" s="12"/>
    </row>
    <row r="1979">
      <c r="A1979" s="20" t="s">
        <v>12813</v>
      </c>
      <c r="B1979" s="16" t="s">
        <v>12814</v>
      </c>
      <c r="C1979" s="16" t="s">
        <v>12815</v>
      </c>
      <c r="D1979" s="16" t="s">
        <v>16</v>
      </c>
      <c r="E1979" s="21" t="s">
        <v>12816</v>
      </c>
      <c r="F1979" s="22" t="s">
        <v>12717</v>
      </c>
      <c r="G1979" s="16">
        <v>23.61</v>
      </c>
      <c r="H1979" s="16"/>
      <c r="I1979" s="28" t="s">
        <v>12817</v>
      </c>
      <c r="J1979" s="22" t="s">
        <v>12818</v>
      </c>
      <c r="K1979" s="22" t="s">
        <v>12819</v>
      </c>
      <c r="L1979" s="23" t="s">
        <v>12820</v>
      </c>
      <c r="M1979" s="23" t="s">
        <v>12821</v>
      </c>
      <c r="N1979" s="12"/>
      <c r="O1979" s="12"/>
      <c r="P1979" s="13">
        <f>IFERROR(__xludf.DUMMYFUNCTION("VALUE(SUBSTITUTE((INDEX(SPLIT(A1979,"",""),1)),""."","","",1))"),56.368858)</f>
        <v>56.368858</v>
      </c>
      <c r="Q1979" s="13">
        <f>IFERROR(__xludf.DUMMYFUNCTION("VALUE(SUBSTITUTE((INDEX(SPLIT(A1979,"",""),2)),""."","","",1))"),38.735247)</f>
        <v>38.735247</v>
      </c>
      <c r="R1979" s="14" t="b">
        <f t="shared" si="1"/>
        <v>0</v>
      </c>
      <c r="S1979" s="14" t="str">
        <f t="shared" si="2"/>
        <v>56.368858,38.735247</v>
      </c>
      <c r="T1979" s="12"/>
    </row>
    <row r="1980">
      <c r="A1980" s="7" t="s">
        <v>12822</v>
      </c>
      <c r="B1980" s="8" t="s">
        <v>12823</v>
      </c>
      <c r="C1980" s="8" t="s">
        <v>12824</v>
      </c>
      <c r="D1980" s="8" t="s">
        <v>16</v>
      </c>
      <c r="E1980" s="9" t="s">
        <v>12825</v>
      </c>
      <c r="F1980" s="10" t="s">
        <v>3760</v>
      </c>
      <c r="G1980" s="8">
        <v>23.61</v>
      </c>
      <c r="H1980" s="8"/>
      <c r="I1980" s="10"/>
      <c r="J1980" s="10" t="s">
        <v>12826</v>
      </c>
      <c r="K1980" s="10" t="s">
        <v>12827</v>
      </c>
      <c r="L1980" s="11" t="s">
        <v>12828</v>
      </c>
      <c r="M1980" s="10"/>
      <c r="N1980" s="12"/>
      <c r="O1980" s="12"/>
      <c r="P1980" s="13">
        <f>IFERROR(__xludf.DUMMYFUNCTION("VALUE(SUBSTITUTE((INDEX(SPLIT(A1980,"",""),1)),""."","","",1))"),55.251737)</f>
        <v>55.251737</v>
      </c>
      <c r="Q1980" s="13">
        <f>IFERROR(__xludf.DUMMYFUNCTION("VALUE(SUBSTITUTE((INDEX(SPLIT(A1980,"",""),2)),""."","","",1))"),38.743664)</f>
        <v>38.743664</v>
      </c>
      <c r="R1980" s="14" t="b">
        <f t="shared" si="1"/>
        <v>0</v>
      </c>
      <c r="S1980" s="14" t="str">
        <f t="shared" si="2"/>
        <v>55.251737,38.743664</v>
      </c>
      <c r="T1980" s="12"/>
    </row>
    <row r="1981">
      <c r="A1981" s="15" t="s">
        <v>12829</v>
      </c>
      <c r="B1981" s="16" t="s">
        <v>2582</v>
      </c>
      <c r="C1981" s="16" t="s">
        <v>2583</v>
      </c>
      <c r="D1981" s="16" t="s">
        <v>16</v>
      </c>
      <c r="E1981" s="17" t="s">
        <v>12830</v>
      </c>
      <c r="F1981" s="16" t="s">
        <v>3760</v>
      </c>
      <c r="G1981" s="16">
        <v>23.61</v>
      </c>
      <c r="H1981" s="16"/>
      <c r="I1981" s="16"/>
      <c r="J1981" s="16" t="s">
        <v>12831</v>
      </c>
      <c r="K1981" s="16" t="s">
        <v>12832</v>
      </c>
      <c r="L1981" s="16"/>
      <c r="M1981" s="16"/>
      <c r="N1981" s="12"/>
      <c r="O1981" s="12"/>
      <c r="P1981" s="13">
        <f>IFERROR(__xludf.DUMMYFUNCTION("VALUE(SUBSTITUTE((INDEX(SPLIT(A1981,"",""),1)),""."","","",1))"),55.272821)</f>
        <v>55.272821</v>
      </c>
      <c r="Q1981" s="13">
        <f>IFERROR(__xludf.DUMMYFUNCTION("VALUE(SUBSTITUTE((INDEX(SPLIT(A1981,"",""),2)),""."","","",1))"),38.748488)</f>
        <v>38.748488</v>
      </c>
      <c r="R1981" s="14" t="b">
        <f t="shared" si="1"/>
        <v>0</v>
      </c>
      <c r="S1981" s="14" t="str">
        <f t="shared" si="2"/>
        <v>55.272821,38.748488</v>
      </c>
      <c r="T1981" s="12"/>
    </row>
    <row r="1982">
      <c r="A1982" s="7" t="s">
        <v>12833</v>
      </c>
      <c r="B1982" s="8" t="s">
        <v>12834</v>
      </c>
      <c r="C1982" s="8" t="s">
        <v>12835</v>
      </c>
      <c r="D1982" s="8" t="s">
        <v>16</v>
      </c>
      <c r="E1982" s="9" t="s">
        <v>12836</v>
      </c>
      <c r="F1982" s="10" t="s">
        <v>12763</v>
      </c>
      <c r="G1982" s="8">
        <v>23.61</v>
      </c>
      <c r="H1982" s="8"/>
      <c r="I1982" s="31" t="s">
        <v>12837</v>
      </c>
      <c r="J1982" s="10" t="s">
        <v>12838</v>
      </c>
      <c r="K1982" s="10" t="s">
        <v>12839</v>
      </c>
      <c r="L1982" s="11" t="s">
        <v>12840</v>
      </c>
      <c r="M1982" s="11" t="s">
        <v>12841</v>
      </c>
      <c r="N1982" s="12"/>
      <c r="O1982" s="12"/>
      <c r="P1982" s="13">
        <f>IFERROR(__xludf.DUMMYFUNCTION("VALUE(SUBSTITUTE((INDEX(SPLIT(A1982,"",""),1)),""."","","",1))"),58.084401)</f>
        <v>58.084401</v>
      </c>
      <c r="Q1982" s="13">
        <f>IFERROR(__xludf.DUMMYFUNCTION("VALUE(SUBSTITUTE((INDEX(SPLIT(A1982,"",""),2)),""."","","",1))"),38.768853)</f>
        <v>38.768853</v>
      </c>
      <c r="R1982" s="14" t="b">
        <f t="shared" si="1"/>
        <v>0</v>
      </c>
      <c r="S1982" s="14" t="str">
        <f t="shared" si="2"/>
        <v>58.084401,38.768853</v>
      </c>
      <c r="T1982" s="12"/>
    </row>
    <row r="1983">
      <c r="A1983" s="15" t="s">
        <v>12842</v>
      </c>
      <c r="B1983" s="16" t="s">
        <v>12843</v>
      </c>
      <c r="C1983" s="16" t="s">
        <v>12844</v>
      </c>
      <c r="D1983" s="16" t="s">
        <v>16</v>
      </c>
      <c r="E1983" s="17" t="s">
        <v>12845</v>
      </c>
      <c r="F1983" s="16" t="s">
        <v>3760</v>
      </c>
      <c r="G1983" s="16">
        <v>23.61</v>
      </c>
      <c r="H1983" s="16"/>
      <c r="I1983" s="16"/>
      <c r="J1983" s="16" t="s">
        <v>12846</v>
      </c>
      <c r="K1983" s="16" t="s">
        <v>12847</v>
      </c>
      <c r="L1983" s="16"/>
      <c r="M1983" s="16"/>
      <c r="N1983" s="12"/>
      <c r="O1983" s="12"/>
      <c r="P1983" s="13">
        <f>IFERROR(__xludf.DUMMYFUNCTION("VALUE(SUBSTITUTE((INDEX(SPLIT(A1983,"",""),1)),""."","","",1))"),55.082127)</f>
        <v>55.082127</v>
      </c>
      <c r="Q1983" s="13">
        <f>IFERROR(__xludf.DUMMYFUNCTION("VALUE(SUBSTITUTE((INDEX(SPLIT(A1983,"",""),2)),""."","","",1))"),38.778411)</f>
        <v>38.778411</v>
      </c>
      <c r="R1983" s="14" t="b">
        <f t="shared" si="1"/>
        <v>0</v>
      </c>
      <c r="S1983" s="14" t="str">
        <f t="shared" si="2"/>
        <v>55.082127,38.778411</v>
      </c>
      <c r="T1983" s="12"/>
    </row>
    <row r="1984">
      <c r="A1984" s="7" t="s">
        <v>12848</v>
      </c>
      <c r="B1984" s="8" t="s">
        <v>12849</v>
      </c>
      <c r="C1984" s="8" t="s">
        <v>12850</v>
      </c>
      <c r="D1984" s="8" t="s">
        <v>16</v>
      </c>
      <c r="E1984" s="9" t="s">
        <v>12851</v>
      </c>
      <c r="F1984" s="10" t="s">
        <v>3760</v>
      </c>
      <c r="G1984" s="8">
        <v>23.61</v>
      </c>
      <c r="H1984" s="8"/>
      <c r="I1984" s="10"/>
      <c r="J1984" s="10" t="s">
        <v>12852</v>
      </c>
      <c r="K1984" s="10" t="s">
        <v>12853</v>
      </c>
      <c r="L1984" s="11" t="s">
        <v>12854</v>
      </c>
      <c r="M1984" s="11" t="s">
        <v>12855</v>
      </c>
      <c r="N1984" s="12"/>
      <c r="O1984" s="12"/>
      <c r="P1984" s="13">
        <f>IFERROR(__xludf.DUMMYFUNCTION("VALUE(SUBSTITUTE((INDEX(SPLIT(A1984,"",""),1)),""."","","",1))"),55.069881)</f>
        <v>55.069881</v>
      </c>
      <c r="Q1984" s="13">
        <f>IFERROR(__xludf.DUMMYFUNCTION("VALUE(SUBSTITUTE((INDEX(SPLIT(A1984,"",""),2)),""."","","",1))"),38.796315)</f>
        <v>38.796315</v>
      </c>
      <c r="R1984" s="14" t="b">
        <f t="shared" si="1"/>
        <v>0</v>
      </c>
      <c r="S1984" s="14" t="str">
        <f t="shared" si="2"/>
        <v>55.069881,38.796315</v>
      </c>
      <c r="T1984" s="12"/>
    </row>
    <row r="1985">
      <c r="A1985" s="20" t="s">
        <v>12856</v>
      </c>
      <c r="B1985" s="16" t="s">
        <v>12857</v>
      </c>
      <c r="C1985" s="16" t="s">
        <v>12858</v>
      </c>
      <c r="D1985" s="16" t="s">
        <v>16</v>
      </c>
      <c r="E1985" s="21" t="s">
        <v>12859</v>
      </c>
      <c r="F1985" s="22" t="s">
        <v>3760</v>
      </c>
      <c r="G1985" s="16">
        <v>23.61</v>
      </c>
      <c r="H1985" s="16"/>
      <c r="I1985" s="22"/>
      <c r="J1985" s="22" t="s">
        <v>12860</v>
      </c>
      <c r="K1985" s="22" t="s">
        <v>12861</v>
      </c>
      <c r="L1985" s="23" t="s">
        <v>12862</v>
      </c>
      <c r="M1985" s="22"/>
      <c r="N1985" s="12"/>
      <c r="O1985" s="12"/>
      <c r="P1985" s="13">
        <f>IFERROR(__xludf.DUMMYFUNCTION("VALUE(SUBSTITUTE((INDEX(SPLIT(A1985,"",""),1)),""."","","",1))"),55.327818)</f>
        <v>55.327818</v>
      </c>
      <c r="Q1985" s="13">
        <f>IFERROR(__xludf.DUMMYFUNCTION("VALUE(SUBSTITUTE((INDEX(SPLIT(A1985,"",""),2)),""."","","",1))"),38.815134)</f>
        <v>38.815134</v>
      </c>
      <c r="R1985" s="14" t="b">
        <f t="shared" si="1"/>
        <v>0</v>
      </c>
      <c r="S1985" s="14" t="str">
        <f t="shared" si="2"/>
        <v>55.327818,38.815134</v>
      </c>
      <c r="T1985" s="12"/>
    </row>
    <row r="1986">
      <c r="A1986" s="7" t="s">
        <v>12863</v>
      </c>
      <c r="B1986" s="8" t="s">
        <v>12864</v>
      </c>
      <c r="C1986" s="8" t="s">
        <v>12865</v>
      </c>
      <c r="D1986" s="8" t="s">
        <v>16</v>
      </c>
      <c r="E1986" s="9" t="s">
        <v>12866</v>
      </c>
      <c r="F1986" s="10" t="s">
        <v>12763</v>
      </c>
      <c r="G1986" s="8">
        <v>23.61</v>
      </c>
      <c r="H1986" s="8"/>
      <c r="I1986" s="10"/>
      <c r="J1986" s="10" t="s">
        <v>12867</v>
      </c>
      <c r="K1986" s="10" t="s">
        <v>12868</v>
      </c>
      <c r="L1986" s="11" t="s">
        <v>12869</v>
      </c>
      <c r="M1986" s="10"/>
      <c r="N1986" s="12"/>
      <c r="O1986" s="12"/>
      <c r="P1986" s="13">
        <f>IFERROR(__xludf.DUMMYFUNCTION("VALUE(SUBSTITUTE((INDEX(SPLIT(A1986,"",""),1)),""."","","",1))"),58.036836)</f>
        <v>58.036836</v>
      </c>
      <c r="Q1986" s="13">
        <f>IFERROR(__xludf.DUMMYFUNCTION("VALUE(SUBSTITUTE((INDEX(SPLIT(A1986,"",""),2)),""."","","",1))"),38.825214)</f>
        <v>38.825214</v>
      </c>
      <c r="R1986" s="14" t="b">
        <f t="shared" si="1"/>
        <v>0</v>
      </c>
      <c r="S1986" s="14" t="str">
        <f t="shared" si="2"/>
        <v>58.036836,38.825214</v>
      </c>
      <c r="T1986" s="12"/>
    </row>
    <row r="1987">
      <c r="A1987" s="20" t="s">
        <v>12870</v>
      </c>
      <c r="B1987" s="16" t="s">
        <v>12871</v>
      </c>
      <c r="C1987" s="16" t="s">
        <v>12872</v>
      </c>
      <c r="D1987" s="16" t="s">
        <v>16</v>
      </c>
      <c r="E1987" s="21" t="s">
        <v>12873</v>
      </c>
      <c r="F1987" s="22" t="s">
        <v>8566</v>
      </c>
      <c r="G1987" s="16">
        <v>23.61</v>
      </c>
      <c r="H1987" s="16"/>
      <c r="I1987" s="22"/>
      <c r="J1987" s="22" t="s">
        <v>12874</v>
      </c>
      <c r="K1987" s="22" t="s">
        <v>12875</v>
      </c>
      <c r="L1987" s="23" t="s">
        <v>12876</v>
      </c>
      <c r="M1987" s="22"/>
      <c r="N1987" s="12"/>
      <c r="O1987" s="12"/>
      <c r="P1987" s="13">
        <f>IFERROR(__xludf.DUMMYFUNCTION("VALUE(SUBSTITUTE((INDEX(SPLIT(A1987,"",""),1)),""."","","",1))"),44.913587)</f>
        <v>44.913587</v>
      </c>
      <c r="Q1987" s="13">
        <f>IFERROR(__xludf.DUMMYFUNCTION("VALUE(SUBSTITUTE((INDEX(SPLIT(A1987,"",""),2)),""."","","",1))"),38.834269)</f>
        <v>38.834269</v>
      </c>
      <c r="R1987" s="14" t="b">
        <f t="shared" si="1"/>
        <v>0</v>
      </c>
      <c r="S1987" s="14" t="str">
        <f t="shared" si="2"/>
        <v>44.913587,38.834269</v>
      </c>
      <c r="T1987" s="12"/>
    </row>
    <row r="1988">
      <c r="A1988" s="7" t="s">
        <v>12877</v>
      </c>
      <c r="B1988" s="8" t="s">
        <v>7681</v>
      </c>
      <c r="C1988" s="8" t="s">
        <v>7682</v>
      </c>
      <c r="D1988" s="8" t="s">
        <v>16</v>
      </c>
      <c r="E1988" s="9" t="s">
        <v>12878</v>
      </c>
      <c r="F1988" s="10" t="s">
        <v>9563</v>
      </c>
      <c r="G1988" s="8">
        <v>23.61</v>
      </c>
      <c r="H1988" s="8"/>
      <c r="I1988" s="10"/>
      <c r="J1988" s="10" t="s">
        <v>12879</v>
      </c>
      <c r="K1988" s="10" t="s">
        <v>12880</v>
      </c>
      <c r="L1988" s="11" t="s">
        <v>12881</v>
      </c>
      <c r="M1988" s="10"/>
      <c r="N1988" s="12"/>
      <c r="O1988" s="12"/>
      <c r="P1988" s="13">
        <f>IFERROR(__xludf.DUMMYFUNCTION("VALUE(SUBSTITUTE((INDEX(SPLIT(A1988,"",""),1)),""."","","",1))"),51.581019)</f>
        <v>51.581019</v>
      </c>
      <c r="Q1988" s="13">
        <f>IFERROR(__xludf.DUMMYFUNCTION("VALUE(SUBSTITUTE((INDEX(SPLIT(A1988,"",""),2)),""."","","",1))"),38.840799)</f>
        <v>38.840799</v>
      </c>
      <c r="R1988" s="14" t="b">
        <f t="shared" si="1"/>
        <v>0</v>
      </c>
      <c r="S1988" s="14" t="str">
        <f t="shared" si="2"/>
        <v>51.581019,38.840799</v>
      </c>
      <c r="T1988" s="12"/>
    </row>
    <row r="1989">
      <c r="A1989" s="15" t="s">
        <v>12882</v>
      </c>
      <c r="B1989" s="16" t="s">
        <v>516</v>
      </c>
      <c r="C1989" s="16" t="s">
        <v>517</v>
      </c>
      <c r="D1989" s="16" t="s">
        <v>16</v>
      </c>
      <c r="E1989" s="17" t="s">
        <v>12883</v>
      </c>
      <c r="F1989" s="16" t="s">
        <v>8566</v>
      </c>
      <c r="G1989" s="16">
        <v>23.61</v>
      </c>
      <c r="H1989" s="16"/>
      <c r="I1989" s="16"/>
      <c r="J1989" s="16" t="s">
        <v>12884</v>
      </c>
      <c r="K1989" s="16" t="s">
        <v>12885</v>
      </c>
      <c r="L1989" s="16"/>
      <c r="M1989" s="16"/>
      <c r="N1989" s="12"/>
      <c r="O1989" s="12"/>
      <c r="P1989" s="13">
        <f>IFERROR(__xludf.DUMMYFUNCTION("VALUE(SUBSTITUTE((INDEX(SPLIT(A1989,"",""),1)),""."","","",1))"),44.903348)</f>
        <v>44.903348</v>
      </c>
      <c r="Q1989" s="13">
        <f>IFERROR(__xludf.DUMMYFUNCTION("VALUE(SUBSTITUTE((INDEX(SPLIT(A1989,"",""),2)),""."","","",1))"),38.841132)</f>
        <v>38.841132</v>
      </c>
      <c r="R1989" s="14" t="b">
        <f t="shared" si="1"/>
        <v>0</v>
      </c>
      <c r="S1989" s="14" t="str">
        <f t="shared" si="2"/>
        <v>44.903348,38.841132</v>
      </c>
      <c r="T1989" s="12"/>
    </row>
    <row r="1990">
      <c r="A1990" s="18" t="s">
        <v>12886</v>
      </c>
      <c r="B1990" s="8" t="s">
        <v>12887</v>
      </c>
      <c r="C1990" s="8" t="s">
        <v>12888</v>
      </c>
      <c r="D1990" s="8" t="s">
        <v>16</v>
      </c>
      <c r="E1990" s="19" t="s">
        <v>12889</v>
      </c>
      <c r="F1990" s="8" t="s">
        <v>12763</v>
      </c>
      <c r="G1990" s="8">
        <v>23.61</v>
      </c>
      <c r="H1990" s="8"/>
      <c r="I1990" s="8"/>
      <c r="J1990" s="8" t="s">
        <v>12890</v>
      </c>
      <c r="K1990" s="8" t="s">
        <v>12891</v>
      </c>
      <c r="L1990" s="8"/>
      <c r="M1990" s="8"/>
      <c r="N1990" s="12"/>
      <c r="O1990" s="12"/>
      <c r="P1990" s="13">
        <f>IFERROR(__xludf.DUMMYFUNCTION("VALUE(SUBSTITUTE((INDEX(SPLIT(A1990,"",""),1)),""."","","",1))"),56.741781)</f>
        <v>56.741781</v>
      </c>
      <c r="Q1990" s="13">
        <f>IFERROR(__xludf.DUMMYFUNCTION("VALUE(SUBSTITUTE((INDEX(SPLIT(A1990,"",""),2)),""."","","",1))"),38.882517)</f>
        <v>38.882517</v>
      </c>
      <c r="R1990" s="14" t="b">
        <f t="shared" si="1"/>
        <v>0</v>
      </c>
      <c r="S1990" s="14" t="str">
        <f t="shared" si="2"/>
        <v>56.741781,38.882517</v>
      </c>
      <c r="T1990" s="12"/>
    </row>
    <row r="1991">
      <c r="A1991" s="20" t="s">
        <v>12892</v>
      </c>
      <c r="B1991" s="16" t="s">
        <v>12893</v>
      </c>
      <c r="C1991" s="16" t="s">
        <v>12894</v>
      </c>
      <c r="D1991" s="16" t="s">
        <v>16</v>
      </c>
      <c r="E1991" s="21" t="s">
        <v>12895</v>
      </c>
      <c r="F1991" s="22" t="s">
        <v>8566</v>
      </c>
      <c r="G1991" s="16">
        <v>23.61</v>
      </c>
      <c r="H1991" s="16"/>
      <c r="I1991" s="22"/>
      <c r="J1991" s="22" t="s">
        <v>12896</v>
      </c>
      <c r="K1991" s="22" t="s">
        <v>12897</v>
      </c>
      <c r="L1991" s="23" t="s">
        <v>12898</v>
      </c>
      <c r="M1991" s="23" t="s">
        <v>12899</v>
      </c>
      <c r="N1991" s="12"/>
      <c r="O1991" s="12"/>
      <c r="P1991" s="13">
        <f>IFERROR(__xludf.DUMMYFUNCTION("VALUE(SUBSTITUTE((INDEX(SPLIT(A1991,"",""),1)),""."","","",1))"),44.953647)</f>
        <v>44.953647</v>
      </c>
      <c r="Q1991" s="13">
        <f>IFERROR(__xludf.DUMMYFUNCTION("VALUE(SUBSTITUTE((INDEX(SPLIT(A1991,"",""),2)),""."","","",1))"),38.883685)</f>
        <v>38.883685</v>
      </c>
      <c r="R1991" s="14" t="b">
        <f t="shared" si="1"/>
        <v>0</v>
      </c>
      <c r="S1991" s="14" t="str">
        <f t="shared" si="2"/>
        <v>44.953647,38.883685</v>
      </c>
      <c r="T1991" s="12"/>
    </row>
    <row r="1992">
      <c r="A1992" s="7" t="s">
        <v>12900</v>
      </c>
      <c r="B1992" s="8" t="s">
        <v>12901</v>
      </c>
      <c r="C1992" s="8" t="s">
        <v>12902</v>
      </c>
      <c r="D1992" s="8" t="s">
        <v>16</v>
      </c>
      <c r="E1992" s="9" t="s">
        <v>12903</v>
      </c>
      <c r="F1992" s="10" t="s">
        <v>8566</v>
      </c>
      <c r="G1992" s="8">
        <v>23.61</v>
      </c>
      <c r="H1992" s="8"/>
      <c r="I1992" s="10"/>
      <c r="J1992" s="10" t="s">
        <v>12904</v>
      </c>
      <c r="K1992" s="10" t="s">
        <v>12905</v>
      </c>
      <c r="L1992" s="11" t="s">
        <v>12906</v>
      </c>
      <c r="M1992" s="11" t="s">
        <v>12907</v>
      </c>
      <c r="N1992" s="12"/>
      <c r="O1992" s="12"/>
      <c r="P1992" s="13">
        <f>IFERROR(__xludf.DUMMYFUNCTION("VALUE(SUBSTITUTE((INDEX(SPLIT(A1992,"",""),1)),""."","","",1))"),44.853804)</f>
        <v>44.853804</v>
      </c>
      <c r="Q1992" s="13">
        <f>IFERROR(__xludf.DUMMYFUNCTION("VALUE(SUBSTITUTE((INDEX(SPLIT(A1992,"",""),2)),""."","","",1))"),38.886434)</f>
        <v>38.886434</v>
      </c>
      <c r="R1992" s="14" t="b">
        <f t="shared" si="1"/>
        <v>0</v>
      </c>
      <c r="S1992" s="14" t="str">
        <f t="shared" si="2"/>
        <v>44.853804,38.886434</v>
      </c>
      <c r="T1992" s="12"/>
    </row>
    <row r="1993">
      <c r="A1993" s="20" t="s">
        <v>12908</v>
      </c>
      <c r="B1993" s="16" t="s">
        <v>12909</v>
      </c>
      <c r="C1993" s="16" t="s">
        <v>12910</v>
      </c>
      <c r="D1993" s="16" t="s">
        <v>16</v>
      </c>
      <c r="E1993" s="21" t="s">
        <v>12911</v>
      </c>
      <c r="F1993" s="22" t="s">
        <v>12912</v>
      </c>
      <c r="G1993" s="16">
        <v>23.61</v>
      </c>
      <c r="H1993" s="16"/>
      <c r="I1993" s="22"/>
      <c r="J1993" s="22" t="s">
        <v>12913</v>
      </c>
      <c r="K1993" s="22" t="s">
        <v>12914</v>
      </c>
      <c r="L1993" s="23" t="s">
        <v>12915</v>
      </c>
      <c r="M1993" s="23" t="s">
        <v>12916</v>
      </c>
      <c r="N1993" s="12"/>
      <c r="O1993" s="12"/>
      <c r="P1993" s="13">
        <f>IFERROR(__xludf.DUMMYFUNCTION("VALUE(SUBSTITUTE((INDEX(SPLIT(A1993,"",""),1)),""."","","",1))"),47.251354)</f>
        <v>47.251354</v>
      </c>
      <c r="Q1993" s="13">
        <f>IFERROR(__xludf.DUMMYFUNCTION("VALUE(SUBSTITUTE((INDEX(SPLIT(A1993,"",""),2)),""."","","",1))"),38.887566)</f>
        <v>38.887566</v>
      </c>
      <c r="R1993" s="14" t="b">
        <f t="shared" si="1"/>
        <v>0</v>
      </c>
      <c r="S1993" s="14" t="str">
        <f t="shared" si="2"/>
        <v>47.251354,38.887566</v>
      </c>
      <c r="T1993" s="12"/>
    </row>
    <row r="1994">
      <c r="A1994" s="7" t="s">
        <v>12917</v>
      </c>
      <c r="B1994" s="8" t="s">
        <v>12918</v>
      </c>
      <c r="C1994" s="8" t="s">
        <v>12919</v>
      </c>
      <c r="D1994" s="8" t="s">
        <v>16</v>
      </c>
      <c r="E1994" s="9" t="s">
        <v>12920</v>
      </c>
      <c r="F1994" s="10" t="s">
        <v>4263</v>
      </c>
      <c r="G1994" s="8">
        <v>23.61</v>
      </c>
      <c r="H1994" s="8"/>
      <c r="I1994" s="10"/>
      <c r="J1994" s="10" t="s">
        <v>12921</v>
      </c>
      <c r="K1994" s="10" t="s">
        <v>12922</v>
      </c>
      <c r="L1994" s="11" t="s">
        <v>12923</v>
      </c>
      <c r="M1994" s="10"/>
      <c r="N1994" s="12"/>
      <c r="O1994" s="12"/>
      <c r="P1994" s="13">
        <f>IFERROR(__xludf.DUMMYFUNCTION("VALUE(SUBSTITUTE((INDEX(SPLIT(A1994,"",""),1)),""."","","",1))"),44.921598)</f>
        <v>44.921598</v>
      </c>
      <c r="Q1994" s="13">
        <f>IFERROR(__xludf.DUMMYFUNCTION("VALUE(SUBSTITUTE((INDEX(SPLIT(A1994,"",""),2)),""."","","",1))"),38.888257)</f>
        <v>38.888257</v>
      </c>
      <c r="R1994" s="14" t="b">
        <f t="shared" si="1"/>
        <v>0</v>
      </c>
      <c r="S1994" s="14" t="str">
        <f t="shared" si="2"/>
        <v>44.921598,38.888257</v>
      </c>
      <c r="T1994" s="12"/>
    </row>
    <row r="1995">
      <c r="A1995" s="20" t="s">
        <v>12924</v>
      </c>
      <c r="B1995" s="16" t="s">
        <v>12925</v>
      </c>
      <c r="C1995" s="16" t="s">
        <v>12926</v>
      </c>
      <c r="D1995" s="16" t="s">
        <v>16</v>
      </c>
      <c r="E1995" s="21" t="s">
        <v>12927</v>
      </c>
      <c r="F1995" s="22" t="s">
        <v>12912</v>
      </c>
      <c r="G1995" s="16">
        <v>23.61</v>
      </c>
      <c r="H1995" s="16"/>
      <c r="I1995" s="22"/>
      <c r="J1995" s="22" t="s">
        <v>12928</v>
      </c>
      <c r="K1995" s="22" t="s">
        <v>12929</v>
      </c>
      <c r="L1995" s="23" t="s">
        <v>12930</v>
      </c>
      <c r="M1995" s="23" t="s">
        <v>12931</v>
      </c>
      <c r="N1995" s="12"/>
      <c r="O1995" s="12"/>
      <c r="P1995" s="13">
        <f>IFERROR(__xludf.DUMMYFUNCTION("VALUE(SUBSTITUTE((INDEX(SPLIT(A1995,"",""),1)),""."","","",1))"),47.231367)</f>
        <v>47.231367</v>
      </c>
      <c r="Q1995" s="13">
        <f>IFERROR(__xludf.DUMMYFUNCTION("VALUE(SUBSTITUTE((INDEX(SPLIT(A1995,"",""),2)),""."","","",1))"),38.895623)</f>
        <v>38.895623</v>
      </c>
      <c r="R1995" s="14" t="b">
        <f t="shared" si="1"/>
        <v>0</v>
      </c>
      <c r="S1995" s="14" t="str">
        <f t="shared" si="2"/>
        <v>47.231367,38.895623</v>
      </c>
      <c r="T1995" s="12"/>
    </row>
    <row r="1996">
      <c r="A1996" s="18" t="s">
        <v>12932</v>
      </c>
      <c r="B1996" s="8" t="s">
        <v>12933</v>
      </c>
      <c r="C1996" s="8" t="s">
        <v>12934</v>
      </c>
      <c r="D1996" s="8" t="s">
        <v>16</v>
      </c>
      <c r="E1996" s="19" t="s">
        <v>12935</v>
      </c>
      <c r="F1996" s="8" t="s">
        <v>12763</v>
      </c>
      <c r="G1996" s="8">
        <v>23.61</v>
      </c>
      <c r="H1996" s="8"/>
      <c r="I1996" s="27" t="s">
        <v>12936</v>
      </c>
      <c r="J1996" s="8" t="s">
        <v>12937</v>
      </c>
      <c r="K1996" s="8" t="s">
        <v>12938</v>
      </c>
      <c r="L1996" s="8"/>
      <c r="M1996" s="8"/>
      <c r="N1996" s="12"/>
      <c r="O1996" s="12"/>
      <c r="P1996" s="13">
        <f>IFERROR(__xludf.DUMMYFUNCTION("VALUE(SUBSTITUTE((INDEX(SPLIT(A1996,"",""),1)),""."","","",1))"),56.743637)</f>
        <v>56.743637</v>
      </c>
      <c r="Q1996" s="13">
        <f>IFERROR(__xludf.DUMMYFUNCTION("VALUE(SUBSTITUTE((INDEX(SPLIT(A1996,"",""),2)),""."","","",1))"),38.899477)</f>
        <v>38.899477</v>
      </c>
      <c r="R1996" s="14" t="b">
        <f t="shared" si="1"/>
        <v>0</v>
      </c>
      <c r="S1996" s="14" t="str">
        <f t="shared" si="2"/>
        <v>56.743637,38.899477</v>
      </c>
      <c r="T1996" s="12"/>
    </row>
    <row r="1997">
      <c r="A1997" s="20" t="s">
        <v>12939</v>
      </c>
      <c r="B1997" s="16" t="s">
        <v>3834</v>
      </c>
      <c r="C1997" s="16" t="s">
        <v>3835</v>
      </c>
      <c r="D1997" s="16" t="s">
        <v>16</v>
      </c>
      <c r="E1997" s="21" t="s">
        <v>12940</v>
      </c>
      <c r="F1997" s="22" t="s">
        <v>8566</v>
      </c>
      <c r="G1997" s="16">
        <v>23.61</v>
      </c>
      <c r="H1997" s="16"/>
      <c r="I1997" s="22"/>
      <c r="J1997" s="22" t="s">
        <v>12941</v>
      </c>
      <c r="K1997" s="22" t="s">
        <v>12942</v>
      </c>
      <c r="L1997" s="23" t="s">
        <v>12943</v>
      </c>
      <c r="M1997" s="22"/>
      <c r="N1997" s="12"/>
      <c r="O1997" s="12"/>
      <c r="P1997" s="13">
        <f>IFERROR(__xludf.DUMMYFUNCTION("VALUE(SUBSTITUTE((INDEX(SPLIT(A1997,"",""),1)),""."","","",1))"),45.028566)</f>
        <v>45.028566</v>
      </c>
      <c r="Q1997" s="13">
        <f>IFERROR(__xludf.DUMMYFUNCTION("VALUE(SUBSTITUTE((INDEX(SPLIT(A1997,"",""),2)),""."","","",1))"),38.912117)</f>
        <v>38.912117</v>
      </c>
      <c r="R1997" s="14" t="b">
        <f t="shared" si="1"/>
        <v>0</v>
      </c>
      <c r="S1997" s="14" t="str">
        <f t="shared" si="2"/>
        <v>45.028566,38.912117</v>
      </c>
      <c r="T1997" s="12"/>
    </row>
    <row r="1998">
      <c r="A1998" s="7" t="s">
        <v>12944</v>
      </c>
      <c r="B1998" s="8" t="s">
        <v>12945</v>
      </c>
      <c r="C1998" s="8" t="s">
        <v>12946</v>
      </c>
      <c r="D1998" s="8" t="s">
        <v>16</v>
      </c>
      <c r="E1998" s="9" t="s">
        <v>12947</v>
      </c>
      <c r="F1998" s="10" t="s">
        <v>8566</v>
      </c>
      <c r="G1998" s="8">
        <v>23.61</v>
      </c>
      <c r="H1998" s="8"/>
      <c r="I1998" s="10"/>
      <c r="J1998" s="10" t="s">
        <v>12948</v>
      </c>
      <c r="K1998" s="10" t="s">
        <v>12949</v>
      </c>
      <c r="L1998" s="11" t="s">
        <v>12950</v>
      </c>
      <c r="M1998" s="11" t="s">
        <v>12951</v>
      </c>
      <c r="N1998" s="12"/>
      <c r="O1998" s="12"/>
      <c r="P1998" s="13">
        <f>IFERROR(__xludf.DUMMYFUNCTION("VALUE(SUBSTITUTE((INDEX(SPLIT(A1998,"",""),1)),""."","","",1))"),45.039833)</f>
        <v>45.039833</v>
      </c>
      <c r="Q1998" s="13">
        <f>IFERROR(__xludf.DUMMYFUNCTION("VALUE(SUBSTITUTE((INDEX(SPLIT(A1998,"",""),2)),""."","","",1))"),38.920615)</f>
        <v>38.920615</v>
      </c>
      <c r="R1998" s="14" t="b">
        <f t="shared" si="1"/>
        <v>0</v>
      </c>
      <c r="S1998" s="14" t="str">
        <f t="shared" si="2"/>
        <v>45.039833,38.920615</v>
      </c>
      <c r="T1998" s="12"/>
    </row>
    <row r="1999">
      <c r="A1999" s="20" t="s">
        <v>12952</v>
      </c>
      <c r="B1999" s="16" t="s">
        <v>12953</v>
      </c>
      <c r="C1999" s="16" t="s">
        <v>12954</v>
      </c>
      <c r="D1999" s="16" t="s">
        <v>16</v>
      </c>
      <c r="E1999" s="21" t="s">
        <v>12955</v>
      </c>
      <c r="F1999" s="22" t="s">
        <v>8566</v>
      </c>
      <c r="G1999" s="16">
        <v>23.61</v>
      </c>
      <c r="H1999" s="16"/>
      <c r="I1999" s="22"/>
      <c r="J1999" s="22" t="s">
        <v>12956</v>
      </c>
      <c r="K1999" s="22" t="s">
        <v>12957</v>
      </c>
      <c r="L1999" s="23" t="s">
        <v>12958</v>
      </c>
      <c r="M1999" s="22"/>
      <c r="N1999" s="12"/>
      <c r="O1999" s="12"/>
      <c r="P1999" s="13">
        <f>IFERROR(__xludf.DUMMYFUNCTION("VALUE(SUBSTITUTE((INDEX(SPLIT(A1999,"",""),1)),""."","","",1))"),45.06918)</f>
        <v>45.06918</v>
      </c>
      <c r="Q1999" s="13">
        <f>IFERROR(__xludf.DUMMYFUNCTION("VALUE(SUBSTITUTE((INDEX(SPLIT(A1999,"",""),2)),""."","","",1))"),38.921603)</f>
        <v>38.921603</v>
      </c>
      <c r="R1999" s="14" t="b">
        <f t="shared" si="1"/>
        <v>0</v>
      </c>
      <c r="S1999" s="14" t="str">
        <f t="shared" si="2"/>
        <v>45.06918,38.921603</v>
      </c>
      <c r="T1999" s="12"/>
    </row>
    <row r="2000">
      <c r="A2000" s="18" t="s">
        <v>12959</v>
      </c>
      <c r="B2000" s="8" t="s">
        <v>12960</v>
      </c>
      <c r="C2000" s="8" t="s">
        <v>12961</v>
      </c>
      <c r="D2000" s="8" t="s">
        <v>16</v>
      </c>
      <c r="E2000" s="19" t="s">
        <v>12962</v>
      </c>
      <c r="F2000" s="8" t="s">
        <v>12912</v>
      </c>
      <c r="G2000" s="8">
        <v>23.61</v>
      </c>
      <c r="H2000" s="8"/>
      <c r="I2000" s="8"/>
      <c r="J2000" s="8" t="s">
        <v>12963</v>
      </c>
      <c r="K2000" s="8" t="s">
        <v>12964</v>
      </c>
      <c r="L2000" s="8"/>
      <c r="M2000" s="24" t="s">
        <v>12965</v>
      </c>
      <c r="N2000" s="12"/>
      <c r="O2000" s="12"/>
      <c r="P2000" s="13">
        <f>IFERROR(__xludf.DUMMYFUNCTION("VALUE(SUBSTITUTE((INDEX(SPLIT(A2000,"",""),1)),""."","","",1))"),47.212432)</f>
        <v>47.212432</v>
      </c>
      <c r="Q2000" s="13">
        <f>IFERROR(__xludf.DUMMYFUNCTION("VALUE(SUBSTITUTE((INDEX(SPLIT(A2000,"",""),2)),""."","","",1))"),38.92861)</f>
        <v>38.92861</v>
      </c>
      <c r="R2000" s="14" t="b">
        <f t="shared" si="1"/>
        <v>0</v>
      </c>
      <c r="S2000" s="14" t="str">
        <f t="shared" si="2"/>
        <v>47.212432,38.92861</v>
      </c>
      <c r="T2000" s="12"/>
    </row>
    <row r="2001">
      <c r="A2001" s="20" t="s">
        <v>12966</v>
      </c>
      <c r="B2001" s="16" t="s">
        <v>12967</v>
      </c>
      <c r="C2001" s="16" t="s">
        <v>12968</v>
      </c>
      <c r="D2001" s="16" t="s">
        <v>16</v>
      </c>
      <c r="E2001" s="21" t="s">
        <v>12969</v>
      </c>
      <c r="F2001" s="22" t="s">
        <v>12912</v>
      </c>
      <c r="G2001" s="16">
        <v>23.61</v>
      </c>
      <c r="H2001" s="16"/>
      <c r="I2001" s="22"/>
      <c r="J2001" s="22" t="s">
        <v>12970</v>
      </c>
      <c r="K2001" s="22" t="s">
        <v>12971</v>
      </c>
      <c r="L2001" s="23" t="s">
        <v>12972</v>
      </c>
      <c r="M2001" s="23" t="s">
        <v>12973</v>
      </c>
      <c r="N2001" s="12"/>
      <c r="O2001" s="12"/>
      <c r="P2001" s="13">
        <f>IFERROR(__xludf.DUMMYFUNCTION("VALUE(SUBSTITUTE((INDEX(SPLIT(A2001,"",""),1)),""."","","",1))"),47.277856)</f>
        <v>47.277856</v>
      </c>
      <c r="Q2001" s="13">
        <f>IFERROR(__xludf.DUMMYFUNCTION("VALUE(SUBSTITUTE((INDEX(SPLIT(A2001,"",""),2)),""."","","",1))"),38.929436)</f>
        <v>38.929436</v>
      </c>
      <c r="R2001" s="14" t="b">
        <f t="shared" si="1"/>
        <v>0</v>
      </c>
      <c r="S2001" s="14" t="str">
        <f t="shared" si="2"/>
        <v>47.277856,38.929436</v>
      </c>
      <c r="T2001" s="12"/>
    </row>
    <row r="2002">
      <c r="A2002" s="18" t="s">
        <v>12974</v>
      </c>
      <c r="B2002" s="8" t="s">
        <v>12975</v>
      </c>
      <c r="C2002" s="8" t="s">
        <v>12976</v>
      </c>
      <c r="D2002" s="8" t="s">
        <v>16</v>
      </c>
      <c r="E2002" s="19" t="s">
        <v>12977</v>
      </c>
      <c r="F2002" s="8" t="s">
        <v>8566</v>
      </c>
      <c r="G2002" s="8">
        <v>23.61</v>
      </c>
      <c r="H2002" s="8"/>
      <c r="I2002" s="8"/>
      <c r="J2002" s="8" t="s">
        <v>12978</v>
      </c>
      <c r="K2002" s="8" t="s">
        <v>12979</v>
      </c>
      <c r="L2002" s="8"/>
      <c r="M2002" s="24" t="s">
        <v>12980</v>
      </c>
      <c r="N2002" s="12"/>
      <c r="O2002" s="12"/>
      <c r="P2002" s="13">
        <f>IFERROR(__xludf.DUMMYFUNCTION("VALUE(SUBSTITUTE((INDEX(SPLIT(A2002,"",""),1)),""."","","",1))"),45.035706)</f>
        <v>45.035706</v>
      </c>
      <c r="Q2002" s="13">
        <f>IFERROR(__xludf.DUMMYFUNCTION("VALUE(SUBSTITUTE((INDEX(SPLIT(A2002,"",""),2)),""."","","",1))"),38.930415)</f>
        <v>38.930415</v>
      </c>
      <c r="R2002" s="14" t="b">
        <f t="shared" si="1"/>
        <v>0</v>
      </c>
      <c r="S2002" s="14" t="str">
        <f t="shared" si="2"/>
        <v>45.035706,38.930415</v>
      </c>
      <c r="T2002" s="12"/>
    </row>
    <row r="2003">
      <c r="A2003" s="20" t="s">
        <v>12981</v>
      </c>
      <c r="B2003" s="16" t="s">
        <v>12982</v>
      </c>
      <c r="C2003" s="16" t="s">
        <v>12983</v>
      </c>
      <c r="D2003" s="16" t="s">
        <v>16</v>
      </c>
      <c r="E2003" s="21" t="s">
        <v>12984</v>
      </c>
      <c r="F2003" s="22" t="s">
        <v>12912</v>
      </c>
      <c r="G2003" s="16">
        <v>23.61</v>
      </c>
      <c r="H2003" s="16"/>
      <c r="I2003" s="22"/>
      <c r="J2003" s="22" t="s">
        <v>12985</v>
      </c>
      <c r="K2003" s="22" t="s">
        <v>12986</v>
      </c>
      <c r="L2003" s="23" t="s">
        <v>12987</v>
      </c>
      <c r="M2003" s="23" t="s">
        <v>12988</v>
      </c>
      <c r="N2003" s="12"/>
      <c r="O2003" s="12"/>
      <c r="P2003" s="13">
        <f>IFERROR(__xludf.DUMMYFUNCTION("VALUE(SUBSTITUTE((INDEX(SPLIT(A2003,"",""),1)),""."","","",1))"),47.262784)</f>
        <v>47.262784</v>
      </c>
      <c r="Q2003" s="13">
        <f>IFERROR(__xludf.DUMMYFUNCTION("VALUE(SUBSTITUTE((INDEX(SPLIT(A2003,"",""),2)),""."","","",1))"),38.938383)</f>
        <v>38.938383</v>
      </c>
      <c r="R2003" s="14" t="b">
        <f t="shared" si="1"/>
        <v>0</v>
      </c>
      <c r="S2003" s="14" t="str">
        <f t="shared" si="2"/>
        <v>47.262784,38.938383</v>
      </c>
      <c r="T2003" s="12"/>
    </row>
    <row r="2004">
      <c r="A2004" s="18" t="s">
        <v>12989</v>
      </c>
      <c r="B2004" s="8" t="s">
        <v>12990</v>
      </c>
      <c r="C2004" s="8" t="s">
        <v>12991</v>
      </c>
      <c r="D2004" s="8" t="s">
        <v>16</v>
      </c>
      <c r="E2004" s="19" t="s">
        <v>12992</v>
      </c>
      <c r="F2004" s="8" t="s">
        <v>12993</v>
      </c>
      <c r="G2004" s="8">
        <v>23.61</v>
      </c>
      <c r="H2004" s="8"/>
      <c r="I2004" s="8"/>
      <c r="J2004" s="8" t="s">
        <v>12994</v>
      </c>
      <c r="K2004" s="8" t="s">
        <v>12995</v>
      </c>
      <c r="L2004" s="8"/>
      <c r="M2004" s="24" t="s">
        <v>12996</v>
      </c>
      <c r="N2004" s="12"/>
      <c r="O2004" s="12"/>
      <c r="P2004" s="13">
        <f>IFERROR(__xludf.DUMMYFUNCTION("VALUE(SUBSTITUTE((INDEX(SPLIT(A2004,"",""),1)),""."","","",1))"),45.060039)</f>
        <v>45.060039</v>
      </c>
      <c r="Q2004" s="13">
        <f>IFERROR(__xludf.DUMMYFUNCTION("VALUE(SUBSTITUTE((INDEX(SPLIT(A2004,"",""),2)),""."","","",1))"),38.941159)</f>
        <v>38.941159</v>
      </c>
      <c r="R2004" s="14" t="b">
        <f t="shared" si="1"/>
        <v>0</v>
      </c>
      <c r="S2004" s="14" t="str">
        <f t="shared" si="2"/>
        <v>45.060039,38.941159</v>
      </c>
      <c r="T2004" s="12"/>
    </row>
    <row r="2005">
      <c r="A2005" s="20" t="s">
        <v>12997</v>
      </c>
      <c r="B2005" s="16" t="s">
        <v>12998</v>
      </c>
      <c r="C2005" s="16" t="s">
        <v>12999</v>
      </c>
      <c r="D2005" s="16" t="s">
        <v>16</v>
      </c>
      <c r="E2005" s="21" t="s">
        <v>13000</v>
      </c>
      <c r="F2005" s="22" t="s">
        <v>12912</v>
      </c>
      <c r="G2005" s="16">
        <v>23.61</v>
      </c>
      <c r="H2005" s="16"/>
      <c r="I2005" s="22"/>
      <c r="J2005" s="22" t="s">
        <v>13001</v>
      </c>
      <c r="K2005" s="22" t="s">
        <v>13002</v>
      </c>
      <c r="L2005" s="23" t="s">
        <v>13003</v>
      </c>
      <c r="M2005" s="22"/>
      <c r="N2005" s="12"/>
      <c r="O2005" s="12"/>
      <c r="P2005" s="13">
        <f>IFERROR(__xludf.DUMMYFUNCTION("VALUE(SUBSTITUTE((INDEX(SPLIT(A2005,"",""),1)),""."","","",1))"),47.209555)</f>
        <v>47.209555</v>
      </c>
      <c r="Q2005" s="13">
        <f>IFERROR(__xludf.DUMMYFUNCTION("VALUE(SUBSTITUTE((INDEX(SPLIT(A2005,"",""),2)),""."","","",1))"),38.943423)</f>
        <v>38.943423</v>
      </c>
      <c r="R2005" s="14" t="b">
        <f t="shared" si="1"/>
        <v>0</v>
      </c>
      <c r="S2005" s="14" t="str">
        <f t="shared" si="2"/>
        <v>47.209555,38.943423</v>
      </c>
      <c r="T2005" s="12"/>
    </row>
    <row r="2006">
      <c r="A2006" s="18" t="s">
        <v>13004</v>
      </c>
      <c r="B2006" s="8" t="s">
        <v>13005</v>
      </c>
      <c r="C2006" s="8" t="s">
        <v>13006</v>
      </c>
      <c r="D2006" s="8" t="s">
        <v>16</v>
      </c>
      <c r="E2006" s="19" t="s">
        <v>13007</v>
      </c>
      <c r="F2006" s="8" t="s">
        <v>8566</v>
      </c>
      <c r="G2006" s="8">
        <v>23.61</v>
      </c>
      <c r="H2006" s="8"/>
      <c r="I2006" s="8"/>
      <c r="J2006" s="8" t="s">
        <v>13008</v>
      </c>
      <c r="K2006" s="8" t="s">
        <v>1503</v>
      </c>
      <c r="L2006" s="8"/>
      <c r="M2006" s="24" t="s">
        <v>13009</v>
      </c>
      <c r="N2006" s="12"/>
      <c r="O2006" s="12"/>
      <c r="P2006" s="13">
        <f>IFERROR(__xludf.DUMMYFUNCTION("VALUE(SUBSTITUTE((INDEX(SPLIT(A2006,"",""),1)),""."","","",1))"),45.037814)</f>
        <v>45.037814</v>
      </c>
      <c r="Q2006" s="13">
        <f>IFERROR(__xludf.DUMMYFUNCTION("VALUE(SUBSTITUTE((INDEX(SPLIT(A2006,"",""),2)),""."","","",1))"),38.944627)</f>
        <v>38.944627</v>
      </c>
      <c r="R2006" s="14" t="b">
        <f t="shared" si="1"/>
        <v>0</v>
      </c>
      <c r="S2006" s="14" t="str">
        <f t="shared" si="2"/>
        <v>45.037814,38.944627</v>
      </c>
      <c r="T2006" s="12"/>
    </row>
    <row r="2007">
      <c r="A2007" s="15" t="s">
        <v>13010</v>
      </c>
      <c r="B2007" s="16" t="s">
        <v>7574</v>
      </c>
      <c r="C2007" s="16" t="s">
        <v>7575</v>
      </c>
      <c r="D2007" s="16" t="s">
        <v>16</v>
      </c>
      <c r="E2007" s="17" t="s">
        <v>13011</v>
      </c>
      <c r="F2007" s="16" t="s">
        <v>8566</v>
      </c>
      <c r="G2007" s="16">
        <v>23.61</v>
      </c>
      <c r="H2007" s="16"/>
      <c r="I2007" s="16"/>
      <c r="J2007" s="16" t="s">
        <v>13012</v>
      </c>
      <c r="K2007" s="16" t="s">
        <v>13013</v>
      </c>
      <c r="L2007" s="16"/>
      <c r="M2007" s="16"/>
      <c r="N2007" s="12"/>
      <c r="O2007" s="12"/>
      <c r="P2007" s="13">
        <f>IFERROR(__xludf.DUMMYFUNCTION("VALUE(SUBSTITUTE((INDEX(SPLIT(A2007,"",""),1)),""."","","",1))"),45.067042)</f>
        <v>45.067042</v>
      </c>
      <c r="Q2007" s="13">
        <f>IFERROR(__xludf.DUMMYFUNCTION("VALUE(SUBSTITUTE((INDEX(SPLIT(A2007,"",""),2)),""."","","",1))"),38.948058)</f>
        <v>38.948058</v>
      </c>
      <c r="R2007" s="14" t="b">
        <f t="shared" si="1"/>
        <v>0</v>
      </c>
      <c r="S2007" s="14" t="str">
        <f t="shared" si="2"/>
        <v>45.067042,38.948058</v>
      </c>
      <c r="T2007" s="12"/>
    </row>
    <row r="2008">
      <c r="A2008" s="7" t="s">
        <v>13014</v>
      </c>
      <c r="B2008" s="8" t="s">
        <v>13015</v>
      </c>
      <c r="C2008" s="8" t="s">
        <v>13016</v>
      </c>
      <c r="D2008" s="8" t="s">
        <v>16</v>
      </c>
      <c r="E2008" s="9" t="s">
        <v>13017</v>
      </c>
      <c r="F2008" s="10" t="s">
        <v>8566</v>
      </c>
      <c r="G2008" s="8">
        <v>23.61</v>
      </c>
      <c r="H2008" s="8"/>
      <c r="I2008" s="10"/>
      <c r="J2008" s="10" t="s">
        <v>13018</v>
      </c>
      <c r="K2008" s="10" t="s">
        <v>13019</v>
      </c>
      <c r="L2008" s="11" t="s">
        <v>13020</v>
      </c>
      <c r="M2008" s="11" t="s">
        <v>13021</v>
      </c>
      <c r="N2008" s="12"/>
      <c r="O2008" s="12"/>
      <c r="P2008" s="13">
        <f>IFERROR(__xludf.DUMMYFUNCTION("VALUE(SUBSTITUTE((INDEX(SPLIT(A2008,"",""),1)),""."","","",1))"),45.043069)</f>
        <v>45.043069</v>
      </c>
      <c r="Q2008" s="13">
        <f>IFERROR(__xludf.DUMMYFUNCTION("VALUE(SUBSTITUTE((INDEX(SPLIT(A2008,"",""),2)),""."","","",1))"),38.94866)</f>
        <v>38.94866</v>
      </c>
      <c r="R2008" s="14" t="b">
        <f t="shared" si="1"/>
        <v>0</v>
      </c>
      <c r="S2008" s="14" t="str">
        <f t="shared" si="2"/>
        <v>45.043069,38.94866</v>
      </c>
      <c r="T2008" s="12"/>
    </row>
    <row r="2009">
      <c r="A2009" s="20" t="s">
        <v>13022</v>
      </c>
      <c r="B2009" s="16" t="s">
        <v>13023</v>
      </c>
      <c r="C2009" s="16" t="s">
        <v>13024</v>
      </c>
      <c r="D2009" s="16" t="s">
        <v>16</v>
      </c>
      <c r="E2009" s="21" t="s">
        <v>13025</v>
      </c>
      <c r="F2009" s="22" t="s">
        <v>8566</v>
      </c>
      <c r="G2009" s="16">
        <v>23.61</v>
      </c>
      <c r="H2009" s="16"/>
      <c r="I2009" s="22"/>
      <c r="J2009" s="22" t="s">
        <v>13026</v>
      </c>
      <c r="K2009" s="22" t="s">
        <v>13027</v>
      </c>
      <c r="L2009" s="23" t="s">
        <v>13028</v>
      </c>
      <c r="M2009" s="22"/>
      <c r="N2009" s="12"/>
      <c r="O2009" s="12"/>
      <c r="P2009" s="13">
        <f>IFERROR(__xludf.DUMMYFUNCTION("VALUE(SUBSTITUTE((INDEX(SPLIT(A2009,"",""),1)),""."","","",1))"),45.052672)</f>
        <v>45.052672</v>
      </c>
      <c r="Q2009" s="13">
        <f>IFERROR(__xludf.DUMMYFUNCTION("VALUE(SUBSTITUTE((INDEX(SPLIT(A2009,"",""),2)),""."","","",1))"),38.948669)</f>
        <v>38.948669</v>
      </c>
      <c r="R2009" s="14" t="b">
        <f t="shared" si="1"/>
        <v>0</v>
      </c>
      <c r="S2009" s="14" t="str">
        <f t="shared" si="2"/>
        <v>45.052672,38.948669</v>
      </c>
      <c r="T2009" s="12"/>
    </row>
    <row r="2010">
      <c r="A2010" s="18" t="s">
        <v>13029</v>
      </c>
      <c r="B2010" s="8" t="s">
        <v>89</v>
      </c>
      <c r="C2010" s="8" t="s">
        <v>90</v>
      </c>
      <c r="D2010" s="8" t="s">
        <v>16</v>
      </c>
      <c r="E2010" s="19" t="s">
        <v>13030</v>
      </c>
      <c r="F2010" s="8" t="s">
        <v>8566</v>
      </c>
      <c r="G2010" s="8">
        <v>23.61</v>
      </c>
      <c r="H2010" s="8"/>
      <c r="I2010" s="8"/>
      <c r="J2010" s="8" t="s">
        <v>13031</v>
      </c>
      <c r="K2010" s="8" t="s">
        <v>13032</v>
      </c>
      <c r="L2010" s="8"/>
      <c r="M2010" s="8"/>
      <c r="N2010" s="12"/>
      <c r="O2010" s="12"/>
      <c r="P2010" s="13">
        <f>IFERROR(__xludf.DUMMYFUNCTION("VALUE(SUBSTITUTE((INDEX(SPLIT(A2010,"",""),1)),""."","","",1))"),46.065518)</f>
        <v>46.065518</v>
      </c>
      <c r="Q2010" s="13">
        <f>IFERROR(__xludf.DUMMYFUNCTION("VALUE(SUBSTITUTE((INDEX(SPLIT(A2010,"",""),2)),""."","","",1))"),38.954688)</f>
        <v>38.954688</v>
      </c>
      <c r="R2010" s="14" t="b">
        <f t="shared" si="1"/>
        <v>0</v>
      </c>
      <c r="S2010" s="14" t="str">
        <f t="shared" si="2"/>
        <v>46.065518,38.954688</v>
      </c>
      <c r="T2010" s="12"/>
    </row>
    <row r="2011">
      <c r="A2011" s="15" t="s">
        <v>13033</v>
      </c>
      <c r="B2011" s="16" t="s">
        <v>13034</v>
      </c>
      <c r="C2011" s="16" t="s">
        <v>13035</v>
      </c>
      <c r="D2011" s="16" t="s">
        <v>16</v>
      </c>
      <c r="E2011" s="17" t="s">
        <v>13036</v>
      </c>
      <c r="F2011" s="16" t="s">
        <v>8566</v>
      </c>
      <c r="G2011" s="16">
        <v>23.61</v>
      </c>
      <c r="H2011" s="16"/>
      <c r="I2011" s="16"/>
      <c r="J2011" s="16" t="s">
        <v>13037</v>
      </c>
      <c r="K2011" s="16" t="s">
        <v>13038</v>
      </c>
      <c r="L2011" s="16"/>
      <c r="M2011" s="16"/>
      <c r="N2011" s="12"/>
      <c r="O2011" s="12"/>
      <c r="P2011" s="13">
        <f>IFERROR(__xludf.DUMMYFUNCTION("VALUE(SUBSTITUTE((INDEX(SPLIT(A2011,"",""),1)),""."","","",1))"),45.02331)</f>
        <v>45.02331</v>
      </c>
      <c r="Q2011" s="13">
        <f>IFERROR(__xludf.DUMMYFUNCTION("VALUE(SUBSTITUTE((INDEX(SPLIT(A2011,"",""),2)),""."","","",1))"),38.957832)</f>
        <v>38.957832</v>
      </c>
      <c r="R2011" s="14" t="b">
        <f t="shared" si="1"/>
        <v>0</v>
      </c>
      <c r="S2011" s="14" t="str">
        <f t="shared" si="2"/>
        <v>45.02331,38.957832</v>
      </c>
      <c r="T2011" s="12"/>
    </row>
    <row r="2012">
      <c r="A2012" s="18" t="s">
        <v>13039</v>
      </c>
      <c r="B2012" s="8" t="s">
        <v>13040</v>
      </c>
      <c r="C2012" s="8" t="s">
        <v>13041</v>
      </c>
      <c r="D2012" s="8" t="s">
        <v>16</v>
      </c>
      <c r="E2012" s="19" t="s">
        <v>13042</v>
      </c>
      <c r="F2012" s="8" t="s">
        <v>8566</v>
      </c>
      <c r="G2012" s="8">
        <v>23.61</v>
      </c>
      <c r="H2012" s="8"/>
      <c r="I2012" s="8"/>
      <c r="J2012" s="8" t="s">
        <v>13043</v>
      </c>
      <c r="K2012" s="8" t="s">
        <v>13044</v>
      </c>
      <c r="L2012" s="8"/>
      <c r="M2012" s="24" t="s">
        <v>13045</v>
      </c>
      <c r="N2012" s="12"/>
      <c r="O2012" s="12"/>
      <c r="P2012" s="13">
        <f>IFERROR(__xludf.DUMMYFUNCTION("VALUE(SUBSTITUTE((INDEX(SPLIT(A2012,"",""),1)),""."","","",1))"),45.055461)</f>
        <v>45.055461</v>
      </c>
      <c r="Q2012" s="13">
        <f>IFERROR(__xludf.DUMMYFUNCTION("VALUE(SUBSTITUTE((INDEX(SPLIT(A2012,"",""),2)),""."","","",1))"),38.958335)</f>
        <v>38.958335</v>
      </c>
      <c r="R2012" s="14" t="b">
        <f t="shared" si="1"/>
        <v>0</v>
      </c>
      <c r="S2012" s="14" t="str">
        <f t="shared" si="2"/>
        <v>45.055461,38.958335</v>
      </c>
      <c r="T2012" s="12"/>
    </row>
    <row r="2013">
      <c r="A2013" s="20" t="s">
        <v>13046</v>
      </c>
      <c r="B2013" s="16" t="s">
        <v>13047</v>
      </c>
      <c r="C2013" s="16" t="s">
        <v>13048</v>
      </c>
      <c r="D2013" s="16" t="s">
        <v>16</v>
      </c>
      <c r="E2013" s="21" t="s">
        <v>13049</v>
      </c>
      <c r="F2013" s="22" t="s">
        <v>8566</v>
      </c>
      <c r="G2013" s="16">
        <v>23.61</v>
      </c>
      <c r="H2013" s="16"/>
      <c r="I2013" s="22"/>
      <c r="J2013" s="22" t="s">
        <v>13050</v>
      </c>
      <c r="K2013" s="22" t="s">
        <v>13051</v>
      </c>
      <c r="L2013" s="23" t="s">
        <v>13052</v>
      </c>
      <c r="M2013" s="22"/>
      <c r="N2013" s="12"/>
      <c r="O2013" s="12"/>
      <c r="P2013" s="13">
        <f>IFERROR(__xludf.DUMMYFUNCTION("VALUE(SUBSTITUTE((INDEX(SPLIT(A2013,"",""),1)),""."","","",1))"),45.037783)</f>
        <v>45.037783</v>
      </c>
      <c r="Q2013" s="13">
        <f>IFERROR(__xludf.DUMMYFUNCTION("VALUE(SUBSTITUTE((INDEX(SPLIT(A2013,"",""),2)),""."","","",1))"),38.962476)</f>
        <v>38.962476</v>
      </c>
      <c r="R2013" s="14" t="b">
        <f t="shared" si="1"/>
        <v>0</v>
      </c>
      <c r="S2013" s="14" t="str">
        <f t="shared" si="2"/>
        <v>45.037783,38.962476</v>
      </c>
      <c r="T2013" s="12"/>
    </row>
    <row r="2014">
      <c r="A2014" s="7" t="s">
        <v>13053</v>
      </c>
      <c r="B2014" s="8" t="s">
        <v>13054</v>
      </c>
      <c r="C2014" s="8" t="s">
        <v>13055</v>
      </c>
      <c r="D2014" s="8" t="s">
        <v>16</v>
      </c>
      <c r="E2014" s="9" t="s">
        <v>13056</v>
      </c>
      <c r="F2014" s="10" t="s">
        <v>8566</v>
      </c>
      <c r="G2014" s="8">
        <v>23.61</v>
      </c>
      <c r="H2014" s="8"/>
      <c r="I2014" s="10"/>
      <c r="J2014" s="10" t="s">
        <v>13057</v>
      </c>
      <c r="K2014" s="10" t="s">
        <v>13058</v>
      </c>
      <c r="L2014" s="11" t="s">
        <v>13059</v>
      </c>
      <c r="M2014" s="11" t="s">
        <v>13060</v>
      </c>
      <c r="N2014" s="12"/>
      <c r="O2014" s="12"/>
      <c r="P2014" s="13">
        <f>IFERROR(__xludf.DUMMYFUNCTION("VALUE(SUBSTITUTE((INDEX(SPLIT(A2014,"",""),1)),""."","","",1))"),45.059536)</f>
        <v>45.059536</v>
      </c>
      <c r="Q2014" s="13">
        <f>IFERROR(__xludf.DUMMYFUNCTION("VALUE(SUBSTITUTE((INDEX(SPLIT(A2014,"",""),2)),""."","","",1))"),38.962692)</f>
        <v>38.962692</v>
      </c>
      <c r="R2014" s="14" t="b">
        <f t="shared" si="1"/>
        <v>0</v>
      </c>
      <c r="S2014" s="14" t="str">
        <f t="shared" si="2"/>
        <v>45.059536,38.962692</v>
      </c>
      <c r="T2014" s="12"/>
    </row>
    <row r="2015">
      <c r="A2015" s="20" t="s">
        <v>13061</v>
      </c>
      <c r="B2015" s="16" t="s">
        <v>13062</v>
      </c>
      <c r="C2015" s="16" t="s">
        <v>13063</v>
      </c>
      <c r="D2015" s="16" t="s">
        <v>16</v>
      </c>
      <c r="E2015" s="21" t="s">
        <v>13064</v>
      </c>
      <c r="F2015" s="22" t="s">
        <v>8566</v>
      </c>
      <c r="G2015" s="16">
        <v>23.61</v>
      </c>
      <c r="H2015" s="16"/>
      <c r="I2015" s="22"/>
      <c r="J2015" s="22" t="s">
        <v>13065</v>
      </c>
      <c r="K2015" s="22" t="s">
        <v>13066</v>
      </c>
      <c r="L2015" s="23" t="s">
        <v>13067</v>
      </c>
      <c r="M2015" s="22"/>
      <c r="N2015" s="12"/>
      <c r="O2015" s="12"/>
      <c r="P2015" s="13">
        <f>IFERROR(__xludf.DUMMYFUNCTION("VALUE(SUBSTITUTE((INDEX(SPLIT(A2015,"",""),1)),""."","","",1))"),45.0387)</f>
        <v>45.0387</v>
      </c>
      <c r="Q2015" s="13">
        <f>IFERROR(__xludf.DUMMYFUNCTION("VALUE(SUBSTITUTE((INDEX(SPLIT(A2015,"",""),2)),""."","","",1))"),38.966734)</f>
        <v>38.966734</v>
      </c>
      <c r="R2015" s="14" t="b">
        <f t="shared" si="1"/>
        <v>0</v>
      </c>
      <c r="S2015" s="14" t="str">
        <f t="shared" si="2"/>
        <v>45.0387,38.966734</v>
      </c>
      <c r="T2015" s="12"/>
    </row>
    <row r="2016">
      <c r="A2016" s="7" t="s">
        <v>13068</v>
      </c>
      <c r="B2016" s="8" t="s">
        <v>13069</v>
      </c>
      <c r="C2016" s="8" t="s">
        <v>13070</v>
      </c>
      <c r="D2016" s="8" t="s">
        <v>16</v>
      </c>
      <c r="E2016" s="9" t="s">
        <v>13071</v>
      </c>
      <c r="F2016" s="10" t="s">
        <v>8566</v>
      </c>
      <c r="G2016" s="8">
        <v>23.61</v>
      </c>
      <c r="H2016" s="8"/>
      <c r="I2016" s="10"/>
      <c r="J2016" s="10" t="s">
        <v>13072</v>
      </c>
      <c r="K2016" s="10" t="s">
        <v>13073</v>
      </c>
      <c r="L2016" s="11" t="s">
        <v>13074</v>
      </c>
      <c r="M2016" s="10"/>
      <c r="N2016" s="12"/>
      <c r="O2016" s="12"/>
      <c r="P2016" s="13">
        <f>IFERROR(__xludf.DUMMYFUNCTION("VALUE(SUBSTITUTE((INDEX(SPLIT(A2016,"",""),1)),""."","","",1))"),45.060268)</f>
        <v>45.060268</v>
      </c>
      <c r="Q2016" s="13">
        <f>IFERROR(__xludf.DUMMYFUNCTION("VALUE(SUBSTITUTE((INDEX(SPLIT(A2016,"",""),2)),""."","","",1))"),38.966995)</f>
        <v>38.966995</v>
      </c>
      <c r="R2016" s="14" t="b">
        <f t="shared" si="1"/>
        <v>0</v>
      </c>
      <c r="S2016" s="14" t="str">
        <f t="shared" si="2"/>
        <v>45.060268,38.966995</v>
      </c>
      <c r="T2016" s="12"/>
    </row>
    <row r="2017">
      <c r="A2017" s="20" t="s">
        <v>13075</v>
      </c>
      <c r="B2017" s="16" t="s">
        <v>13076</v>
      </c>
      <c r="C2017" s="16" t="s">
        <v>13077</v>
      </c>
      <c r="D2017" s="16" t="s">
        <v>16</v>
      </c>
      <c r="E2017" s="21" t="s">
        <v>13078</v>
      </c>
      <c r="F2017" s="22" t="s">
        <v>8566</v>
      </c>
      <c r="G2017" s="16">
        <v>23.61</v>
      </c>
      <c r="H2017" s="16"/>
      <c r="I2017" s="22"/>
      <c r="J2017" s="22" t="s">
        <v>13079</v>
      </c>
      <c r="K2017" s="22" t="s">
        <v>13080</v>
      </c>
      <c r="L2017" s="23" t="s">
        <v>13081</v>
      </c>
      <c r="M2017" s="22"/>
      <c r="N2017" s="12"/>
      <c r="O2017" s="12"/>
      <c r="P2017" s="13">
        <f>IFERROR(__xludf.DUMMYFUNCTION("VALUE(SUBSTITUTE((INDEX(SPLIT(A2017,"",""),1)),""."","","",1))"),45.061764)</f>
        <v>45.061764</v>
      </c>
      <c r="Q2017" s="13">
        <f>IFERROR(__xludf.DUMMYFUNCTION("VALUE(SUBSTITUTE((INDEX(SPLIT(A2017,"",""),2)),""."","","",1))"),38.968477)</f>
        <v>38.968477</v>
      </c>
      <c r="R2017" s="14" t="b">
        <f t="shared" si="1"/>
        <v>0</v>
      </c>
      <c r="S2017" s="14" t="str">
        <f t="shared" si="2"/>
        <v>45.061764,38.968477</v>
      </c>
      <c r="T2017" s="12"/>
    </row>
    <row r="2018">
      <c r="A2018" s="7" t="s">
        <v>13082</v>
      </c>
      <c r="B2018" s="8" t="s">
        <v>13083</v>
      </c>
      <c r="C2018" s="8" t="s">
        <v>13084</v>
      </c>
      <c r="D2018" s="8" t="s">
        <v>16</v>
      </c>
      <c r="E2018" s="9" t="s">
        <v>13085</v>
      </c>
      <c r="F2018" s="10" t="s">
        <v>8566</v>
      </c>
      <c r="G2018" s="8">
        <v>23.61</v>
      </c>
      <c r="H2018" s="8"/>
      <c r="I2018" s="31" t="s">
        <v>13086</v>
      </c>
      <c r="J2018" s="10" t="s">
        <v>13087</v>
      </c>
      <c r="K2018" s="10" t="s">
        <v>13088</v>
      </c>
      <c r="L2018" s="11" t="s">
        <v>13089</v>
      </c>
      <c r="M2018" s="11" t="s">
        <v>13090</v>
      </c>
      <c r="N2018" s="12"/>
      <c r="O2018" s="12"/>
      <c r="P2018" s="13">
        <f>IFERROR(__xludf.DUMMYFUNCTION("VALUE(SUBSTITUTE((INDEX(SPLIT(A2018,"",""),1)),""."","","",1))"),45.034904)</f>
        <v>45.034904</v>
      </c>
      <c r="Q2018" s="13">
        <f>IFERROR(__xludf.DUMMYFUNCTION("VALUE(SUBSTITUTE((INDEX(SPLIT(A2018,"",""),2)),""."","","",1))"),38.970157)</f>
        <v>38.970157</v>
      </c>
      <c r="R2018" s="14" t="b">
        <f t="shared" si="1"/>
        <v>0</v>
      </c>
      <c r="S2018" s="14" t="str">
        <f t="shared" si="2"/>
        <v>45.034904,38.970157</v>
      </c>
      <c r="T2018" s="12"/>
    </row>
    <row r="2019">
      <c r="A2019" s="20" t="s">
        <v>13091</v>
      </c>
      <c r="B2019" s="16" t="s">
        <v>13092</v>
      </c>
      <c r="C2019" s="16" t="s">
        <v>13093</v>
      </c>
      <c r="D2019" s="16" t="s">
        <v>16</v>
      </c>
      <c r="E2019" s="21" t="s">
        <v>13094</v>
      </c>
      <c r="F2019" s="22" t="s">
        <v>8566</v>
      </c>
      <c r="G2019" s="16">
        <v>23.61</v>
      </c>
      <c r="H2019" s="16"/>
      <c r="I2019" s="28" t="s">
        <v>13095</v>
      </c>
      <c r="J2019" s="22" t="s">
        <v>13096</v>
      </c>
      <c r="K2019" s="22" t="s">
        <v>13097</v>
      </c>
      <c r="L2019" s="23" t="s">
        <v>13098</v>
      </c>
      <c r="M2019" s="22"/>
      <c r="N2019" s="12"/>
      <c r="O2019" s="12"/>
      <c r="P2019" s="13">
        <f>IFERROR(__xludf.DUMMYFUNCTION("VALUE(SUBSTITUTE((INDEX(SPLIT(A2019,"",""),1)),""."","","",1))"),45.040445)</f>
        <v>45.040445</v>
      </c>
      <c r="Q2019" s="13">
        <f>IFERROR(__xludf.DUMMYFUNCTION("VALUE(SUBSTITUTE((INDEX(SPLIT(A2019,"",""),2)),""."","","",1))"),38.970795)</f>
        <v>38.970795</v>
      </c>
      <c r="R2019" s="14" t="b">
        <f t="shared" si="1"/>
        <v>0</v>
      </c>
      <c r="S2019" s="14" t="str">
        <f t="shared" si="2"/>
        <v>45.040445,38.970795</v>
      </c>
      <c r="T2019" s="12"/>
    </row>
    <row r="2020">
      <c r="A2020" s="7" t="s">
        <v>13099</v>
      </c>
      <c r="B2020" s="8" t="s">
        <v>13100</v>
      </c>
      <c r="C2020" s="8" t="s">
        <v>13101</v>
      </c>
      <c r="D2020" s="8" t="s">
        <v>16</v>
      </c>
      <c r="E2020" s="9" t="s">
        <v>13102</v>
      </c>
      <c r="F2020" s="10" t="s">
        <v>8566</v>
      </c>
      <c r="G2020" s="8">
        <v>23.61</v>
      </c>
      <c r="H2020" s="8"/>
      <c r="I2020" s="10"/>
      <c r="J2020" s="10" t="s">
        <v>13103</v>
      </c>
      <c r="K2020" s="10" t="s">
        <v>13104</v>
      </c>
      <c r="L2020" s="11" t="s">
        <v>13105</v>
      </c>
      <c r="M2020" s="11" t="s">
        <v>13106</v>
      </c>
      <c r="N2020" s="12"/>
      <c r="O2020" s="12"/>
      <c r="P2020" s="13">
        <f>IFERROR(__xludf.DUMMYFUNCTION("VALUE(SUBSTITUTE((INDEX(SPLIT(A2020,"",""),1)),""."","","",1))"),45.619294)</f>
        <v>45.619294</v>
      </c>
      <c r="Q2020" s="13">
        <f>IFERROR(__xludf.DUMMYFUNCTION("VALUE(SUBSTITUTE((INDEX(SPLIT(A2020,"",""),2)),""."","","",1))"),38.971307)</f>
        <v>38.971307</v>
      </c>
      <c r="R2020" s="14" t="b">
        <f t="shared" si="1"/>
        <v>0</v>
      </c>
      <c r="S2020" s="14" t="str">
        <f t="shared" si="2"/>
        <v>45.619294,38.971307</v>
      </c>
      <c r="T2020" s="12"/>
    </row>
    <row r="2021">
      <c r="A2021" s="20" t="s">
        <v>13107</v>
      </c>
      <c r="B2021" s="16" t="s">
        <v>13108</v>
      </c>
      <c r="C2021" s="16" t="s">
        <v>13109</v>
      </c>
      <c r="D2021" s="16" t="s">
        <v>16</v>
      </c>
      <c r="E2021" s="21" t="s">
        <v>13110</v>
      </c>
      <c r="F2021" s="22" t="s">
        <v>13111</v>
      </c>
      <c r="G2021" s="16">
        <v>23.61</v>
      </c>
      <c r="H2021" s="16"/>
      <c r="I2021" s="22"/>
      <c r="J2021" s="22" t="s">
        <v>13112</v>
      </c>
      <c r="K2021" s="22" t="s">
        <v>13113</v>
      </c>
      <c r="L2021" s="23" t="s">
        <v>13114</v>
      </c>
      <c r="M2021" s="23" t="s">
        <v>13115</v>
      </c>
      <c r="N2021" s="12"/>
      <c r="O2021" s="12"/>
      <c r="P2021" s="13">
        <f>IFERROR(__xludf.DUMMYFUNCTION("VALUE(SUBSTITUTE((INDEX(SPLIT(A2021,"",""),1)),""."","","",1))"),45.0228)</f>
        <v>45.0228</v>
      </c>
      <c r="Q2021" s="13">
        <f>IFERROR(__xludf.DUMMYFUNCTION("VALUE(SUBSTITUTE((INDEX(SPLIT(A2021,"",""),2)),""."","","",1))"),38.972295)</f>
        <v>38.972295</v>
      </c>
      <c r="R2021" s="14" t="b">
        <f t="shared" si="1"/>
        <v>0</v>
      </c>
      <c r="S2021" s="14" t="str">
        <f t="shared" si="2"/>
        <v>45.0228,38.972295</v>
      </c>
      <c r="T2021" s="12"/>
    </row>
    <row r="2022">
      <c r="A2022" s="18" t="s">
        <v>13116</v>
      </c>
      <c r="B2022" s="8" t="s">
        <v>13117</v>
      </c>
      <c r="C2022" s="8" t="s">
        <v>13118</v>
      </c>
      <c r="D2022" s="8" t="s">
        <v>16</v>
      </c>
      <c r="E2022" s="19" t="s">
        <v>13119</v>
      </c>
      <c r="F2022" s="8" t="s">
        <v>8566</v>
      </c>
      <c r="G2022" s="8">
        <v>23.61</v>
      </c>
      <c r="H2022" s="8"/>
      <c r="I2022" s="8"/>
      <c r="J2022" s="8" t="s">
        <v>13120</v>
      </c>
      <c r="K2022" s="8" t="s">
        <v>13121</v>
      </c>
      <c r="L2022" s="8"/>
      <c r="M2022" s="24" t="s">
        <v>13122</v>
      </c>
      <c r="N2022" s="12"/>
      <c r="O2022" s="12"/>
      <c r="P2022" s="13">
        <f>IFERROR(__xludf.DUMMYFUNCTION("VALUE(SUBSTITUTE((INDEX(SPLIT(A2022,"",""),1)),""."","","",1))"),45.060491)</f>
        <v>45.060491</v>
      </c>
      <c r="Q2022" s="13">
        <f>IFERROR(__xludf.DUMMYFUNCTION("VALUE(SUBSTITUTE((INDEX(SPLIT(A2022,"",""),2)),""."","","",1))"),38.97304)</f>
        <v>38.97304</v>
      </c>
      <c r="R2022" s="14" t="b">
        <f t="shared" si="1"/>
        <v>0</v>
      </c>
      <c r="S2022" s="14" t="str">
        <f t="shared" si="2"/>
        <v>45.060491,38.97304</v>
      </c>
      <c r="T2022" s="12"/>
    </row>
    <row r="2023">
      <c r="A2023" s="20" t="s">
        <v>13123</v>
      </c>
      <c r="B2023" s="16" t="s">
        <v>7972</v>
      </c>
      <c r="C2023" s="16" t="s">
        <v>7973</v>
      </c>
      <c r="D2023" s="16" t="s">
        <v>16</v>
      </c>
      <c r="E2023" s="21" t="s">
        <v>13124</v>
      </c>
      <c r="F2023" s="22" t="s">
        <v>8566</v>
      </c>
      <c r="G2023" s="16">
        <v>23.61</v>
      </c>
      <c r="H2023" s="16"/>
      <c r="I2023" s="22"/>
      <c r="J2023" s="22" t="s">
        <v>13125</v>
      </c>
      <c r="K2023" s="22" t="s">
        <v>13126</v>
      </c>
      <c r="L2023" s="23" t="s">
        <v>13127</v>
      </c>
      <c r="M2023" s="22"/>
      <c r="N2023" s="12"/>
      <c r="O2023" s="12"/>
      <c r="P2023" s="13">
        <f>IFERROR(__xludf.DUMMYFUNCTION("VALUE(SUBSTITUTE((INDEX(SPLIT(A2023,"",""),1)),""."","","",1))"),45.048921)</f>
        <v>45.048921</v>
      </c>
      <c r="Q2023" s="13">
        <f>IFERROR(__xludf.DUMMYFUNCTION("VALUE(SUBSTITUTE((INDEX(SPLIT(A2023,"",""),2)),""."","","",1))"),38.973624)</f>
        <v>38.973624</v>
      </c>
      <c r="R2023" s="14" t="b">
        <f t="shared" si="1"/>
        <v>0</v>
      </c>
      <c r="S2023" s="14" t="str">
        <f t="shared" si="2"/>
        <v>45.048921,38.973624</v>
      </c>
      <c r="T2023" s="12"/>
    </row>
    <row r="2024">
      <c r="A2024" s="18" t="s">
        <v>13128</v>
      </c>
      <c r="B2024" s="8" t="s">
        <v>13129</v>
      </c>
      <c r="C2024" s="8" t="s">
        <v>13130</v>
      </c>
      <c r="D2024" s="8" t="s">
        <v>16</v>
      </c>
      <c r="E2024" s="19" t="s">
        <v>13131</v>
      </c>
      <c r="F2024" s="8" t="s">
        <v>8566</v>
      </c>
      <c r="G2024" s="8">
        <v>23.61</v>
      </c>
      <c r="H2024" s="8"/>
      <c r="I2024" s="8"/>
      <c r="J2024" s="8" t="s">
        <v>13132</v>
      </c>
      <c r="K2024" s="8" t="s">
        <v>6444</v>
      </c>
      <c r="L2024" s="8"/>
      <c r="M2024" s="8"/>
      <c r="N2024" s="12"/>
      <c r="O2024" s="12"/>
      <c r="P2024" s="13">
        <f>IFERROR(__xludf.DUMMYFUNCTION("VALUE(SUBSTITUTE((INDEX(SPLIT(A2024,"",""),1)),""."","","",1))"),45.037884)</f>
        <v>45.037884</v>
      </c>
      <c r="Q2024" s="13">
        <f>IFERROR(__xludf.DUMMYFUNCTION("VALUE(SUBSTITUTE((INDEX(SPLIT(A2024,"",""),2)),""."","","",1))"),38.973858)</f>
        <v>38.973858</v>
      </c>
      <c r="R2024" s="14" t="b">
        <f t="shared" si="1"/>
        <v>0</v>
      </c>
      <c r="S2024" s="14" t="str">
        <f t="shared" si="2"/>
        <v>45.037884,38.973858</v>
      </c>
      <c r="T2024" s="12"/>
    </row>
    <row r="2025">
      <c r="A2025" s="20" t="s">
        <v>13133</v>
      </c>
      <c r="B2025" s="16" t="s">
        <v>13134</v>
      </c>
      <c r="C2025" s="16" t="s">
        <v>13135</v>
      </c>
      <c r="D2025" s="16" t="s">
        <v>16</v>
      </c>
      <c r="E2025" s="21" t="s">
        <v>13136</v>
      </c>
      <c r="F2025" s="22" t="s">
        <v>8566</v>
      </c>
      <c r="G2025" s="16">
        <v>23.61</v>
      </c>
      <c r="H2025" s="16"/>
      <c r="I2025" s="22"/>
      <c r="J2025" s="22" t="s">
        <v>13137</v>
      </c>
      <c r="K2025" s="22" t="s">
        <v>13138</v>
      </c>
      <c r="L2025" s="23" t="s">
        <v>13139</v>
      </c>
      <c r="M2025" s="22"/>
      <c r="N2025" s="12"/>
      <c r="O2025" s="12"/>
      <c r="P2025" s="13">
        <f>IFERROR(__xludf.DUMMYFUNCTION("VALUE(SUBSTITUTE((INDEX(SPLIT(A2025,"",""),1)),""."","","",1))"),45.027737)</f>
        <v>45.027737</v>
      </c>
      <c r="Q2025" s="13">
        <f>IFERROR(__xludf.DUMMYFUNCTION("VALUE(SUBSTITUTE((INDEX(SPLIT(A2025,"",""),2)),""."","","",1))"),38.974307)</f>
        <v>38.974307</v>
      </c>
      <c r="R2025" s="14" t="b">
        <f t="shared" si="1"/>
        <v>0</v>
      </c>
      <c r="S2025" s="14" t="str">
        <f t="shared" si="2"/>
        <v>45.027737,38.974307</v>
      </c>
      <c r="T2025" s="12"/>
    </row>
    <row r="2026">
      <c r="A2026" s="18" t="s">
        <v>13140</v>
      </c>
      <c r="B2026" s="8" t="s">
        <v>13141</v>
      </c>
      <c r="C2026" s="8" t="s">
        <v>13142</v>
      </c>
      <c r="D2026" s="8" t="s">
        <v>16</v>
      </c>
      <c r="E2026" s="19" t="s">
        <v>13143</v>
      </c>
      <c r="F2026" s="8" t="s">
        <v>3760</v>
      </c>
      <c r="G2026" s="8">
        <v>23.61</v>
      </c>
      <c r="H2026" s="8"/>
      <c r="I2026" s="8"/>
      <c r="J2026" s="8" t="s">
        <v>13144</v>
      </c>
      <c r="K2026" s="8" t="s">
        <v>13145</v>
      </c>
      <c r="L2026" s="8"/>
      <c r="M2026" s="8"/>
      <c r="N2026" s="12"/>
      <c r="O2026" s="12"/>
      <c r="P2026" s="13">
        <f>IFERROR(__xludf.DUMMYFUNCTION("VALUE(SUBSTITUTE((INDEX(SPLIT(A2026,"",""),1)),""."","","",1))"),55.810951)</f>
        <v>55.810951</v>
      </c>
      <c r="Q2026" s="13">
        <f>IFERROR(__xludf.DUMMYFUNCTION("VALUE(SUBSTITUTE((INDEX(SPLIT(A2026,"",""),2)),""."","","",1))"),38.974361)</f>
        <v>38.974361</v>
      </c>
      <c r="R2026" s="14" t="b">
        <f t="shared" si="1"/>
        <v>0</v>
      </c>
      <c r="S2026" s="14" t="str">
        <f t="shared" si="2"/>
        <v>55.810951,38.974361</v>
      </c>
      <c r="T2026" s="12"/>
    </row>
    <row r="2027">
      <c r="A2027" s="20" t="s">
        <v>13146</v>
      </c>
      <c r="B2027" s="16" t="s">
        <v>13147</v>
      </c>
      <c r="C2027" s="16" t="s">
        <v>13148</v>
      </c>
      <c r="D2027" s="16" t="s">
        <v>16</v>
      </c>
      <c r="E2027" s="21" t="s">
        <v>13149</v>
      </c>
      <c r="F2027" s="22" t="s">
        <v>8566</v>
      </c>
      <c r="G2027" s="16">
        <v>23.61</v>
      </c>
      <c r="H2027" s="16"/>
      <c r="I2027" s="22"/>
      <c r="J2027" s="22" t="s">
        <v>13150</v>
      </c>
      <c r="K2027" s="22" t="s">
        <v>13151</v>
      </c>
      <c r="L2027" s="23" t="s">
        <v>13152</v>
      </c>
      <c r="M2027" s="22"/>
      <c r="N2027" s="12"/>
      <c r="O2027" s="12"/>
      <c r="P2027" s="13">
        <f>IFERROR(__xludf.DUMMYFUNCTION("VALUE(SUBSTITUTE((INDEX(SPLIT(A2027,"",""),1)),""."","","",1))"),45.03547)</f>
        <v>45.03547</v>
      </c>
      <c r="Q2027" s="13">
        <f>IFERROR(__xludf.DUMMYFUNCTION("VALUE(SUBSTITUTE((INDEX(SPLIT(A2027,"",""),2)),""."","","",1))"),38.975313)</f>
        <v>38.975313</v>
      </c>
      <c r="R2027" s="14" t="b">
        <f t="shared" si="1"/>
        <v>0</v>
      </c>
      <c r="S2027" s="14" t="str">
        <f t="shared" si="2"/>
        <v>45.03547,38.975313</v>
      </c>
      <c r="T2027" s="12"/>
    </row>
    <row r="2028">
      <c r="A2028" s="18" t="s">
        <v>13146</v>
      </c>
      <c r="B2028" s="8" t="s">
        <v>13153</v>
      </c>
      <c r="C2028" s="8" t="s">
        <v>13154</v>
      </c>
      <c r="D2028" s="8" t="s">
        <v>16</v>
      </c>
      <c r="E2028" s="19" t="s">
        <v>13155</v>
      </c>
      <c r="F2028" s="8" t="s">
        <v>8566</v>
      </c>
      <c r="G2028" s="8">
        <v>23.61</v>
      </c>
      <c r="H2028" s="8"/>
      <c r="I2028" s="8"/>
      <c r="J2028" s="8" t="s">
        <v>13156</v>
      </c>
      <c r="K2028" s="8" t="s">
        <v>13157</v>
      </c>
      <c r="L2028" s="8"/>
      <c r="M2028" s="8"/>
      <c r="N2028" s="12"/>
      <c r="O2028" s="12"/>
      <c r="P2028" s="13">
        <f>IFERROR(__xludf.DUMMYFUNCTION("VALUE(SUBSTITUTE((INDEX(SPLIT(A2028,"",""),1)),""."","","",1))"),45.03547)</f>
        <v>45.03547</v>
      </c>
      <c r="Q2028" s="13">
        <f>IFERROR(__xludf.DUMMYFUNCTION("VALUE(SUBSTITUTE((INDEX(SPLIT(A2028,"",""),2)),""."","","",1))"),38.975313)</f>
        <v>38.975313</v>
      </c>
      <c r="R2028" s="14" t="b">
        <f t="shared" si="1"/>
        <v>0</v>
      </c>
      <c r="S2028" s="14" t="str">
        <f t="shared" si="2"/>
        <v>45.03547,38.975313</v>
      </c>
      <c r="T2028" s="12"/>
    </row>
    <row r="2029">
      <c r="A2029" s="20" t="s">
        <v>13158</v>
      </c>
      <c r="B2029" s="16" t="s">
        <v>13159</v>
      </c>
      <c r="C2029" s="16" t="s">
        <v>13160</v>
      </c>
      <c r="D2029" s="16" t="s">
        <v>16</v>
      </c>
      <c r="E2029" s="21" t="s">
        <v>13161</v>
      </c>
      <c r="F2029" s="22" t="s">
        <v>8566</v>
      </c>
      <c r="G2029" s="16">
        <v>23.61</v>
      </c>
      <c r="H2029" s="16"/>
      <c r="I2029" s="22"/>
      <c r="J2029" s="22" t="s">
        <v>13162</v>
      </c>
      <c r="K2029" s="22" t="s">
        <v>13163</v>
      </c>
      <c r="L2029" s="23" t="s">
        <v>13164</v>
      </c>
      <c r="M2029" s="22"/>
      <c r="N2029" s="12"/>
      <c r="O2029" s="12"/>
      <c r="P2029" s="13">
        <f>IFERROR(__xludf.DUMMYFUNCTION("VALUE(SUBSTITUTE((INDEX(SPLIT(A2029,"",""),1)),""."","","",1))"),45.074088)</f>
        <v>45.074088</v>
      </c>
      <c r="Q2029" s="13">
        <f>IFERROR(__xludf.DUMMYFUNCTION("VALUE(SUBSTITUTE((INDEX(SPLIT(A2029,"",""),2)),""."","","",1))"),38.977523)</f>
        <v>38.977523</v>
      </c>
      <c r="R2029" s="14" t="b">
        <f t="shared" si="1"/>
        <v>0</v>
      </c>
      <c r="S2029" s="14" t="str">
        <f t="shared" si="2"/>
        <v>45.074088,38.977523</v>
      </c>
      <c r="T2029" s="12"/>
    </row>
    <row r="2030">
      <c r="A2030" s="18" t="s">
        <v>13165</v>
      </c>
      <c r="B2030" s="8" t="s">
        <v>13166</v>
      </c>
      <c r="C2030" s="8" t="s">
        <v>13167</v>
      </c>
      <c r="D2030" s="8" t="s">
        <v>16</v>
      </c>
      <c r="E2030" s="19" t="s">
        <v>13168</v>
      </c>
      <c r="F2030" s="8" t="s">
        <v>8566</v>
      </c>
      <c r="G2030" s="8">
        <v>23.61</v>
      </c>
      <c r="H2030" s="8"/>
      <c r="I2030" s="8"/>
      <c r="J2030" s="8" t="s">
        <v>13169</v>
      </c>
      <c r="K2030" s="8" t="s">
        <v>13170</v>
      </c>
      <c r="L2030" s="8"/>
      <c r="M2030" s="24" t="s">
        <v>13171</v>
      </c>
      <c r="N2030" s="12"/>
      <c r="O2030" s="12"/>
      <c r="P2030" s="13">
        <f>IFERROR(__xludf.DUMMYFUNCTION("VALUE(SUBSTITUTE((INDEX(SPLIT(A2030,"",""),1)),""."","","",1))"),45.075329)</f>
        <v>45.075329</v>
      </c>
      <c r="Q2030" s="13">
        <f>IFERROR(__xludf.DUMMYFUNCTION("VALUE(SUBSTITUTE((INDEX(SPLIT(A2030,"",""),2)),""."","","",1))"),38.977586)</f>
        <v>38.977586</v>
      </c>
      <c r="R2030" s="14" t="b">
        <f t="shared" si="1"/>
        <v>0</v>
      </c>
      <c r="S2030" s="14" t="str">
        <f t="shared" si="2"/>
        <v>45.075329,38.977586</v>
      </c>
      <c r="T2030" s="12"/>
    </row>
    <row r="2031">
      <c r="A2031" s="20" t="s">
        <v>13172</v>
      </c>
      <c r="B2031" s="16" t="s">
        <v>13173</v>
      </c>
      <c r="C2031" s="16" t="s">
        <v>13174</v>
      </c>
      <c r="D2031" s="16" t="s">
        <v>16</v>
      </c>
      <c r="E2031" s="21" t="s">
        <v>13175</v>
      </c>
      <c r="F2031" s="22" t="s">
        <v>8566</v>
      </c>
      <c r="G2031" s="16">
        <v>23.61</v>
      </c>
      <c r="H2031" s="16"/>
      <c r="I2031" s="22"/>
      <c r="J2031" s="22" t="s">
        <v>13176</v>
      </c>
      <c r="K2031" s="22" t="s">
        <v>13177</v>
      </c>
      <c r="L2031" s="23" t="s">
        <v>13178</v>
      </c>
      <c r="M2031" s="22"/>
      <c r="N2031" s="12"/>
      <c r="O2031" s="12"/>
      <c r="P2031" s="13">
        <f>IFERROR(__xludf.DUMMYFUNCTION("VALUE(SUBSTITUTE((INDEX(SPLIT(A2031,"",""),1)),""."","","",1))"),45.091513)</f>
        <v>45.091513</v>
      </c>
      <c r="Q2031" s="13">
        <f>IFERROR(__xludf.DUMMYFUNCTION("VALUE(SUBSTITUTE((INDEX(SPLIT(A2031,"",""),2)),""."","","",1))"),38.977783)</f>
        <v>38.977783</v>
      </c>
      <c r="R2031" s="14" t="b">
        <f t="shared" si="1"/>
        <v>0</v>
      </c>
      <c r="S2031" s="14" t="str">
        <f t="shared" si="2"/>
        <v>45.091513,38.977783</v>
      </c>
      <c r="T2031" s="12"/>
    </row>
    <row r="2032">
      <c r="A2032" s="7" t="s">
        <v>13179</v>
      </c>
      <c r="B2032" s="8" t="s">
        <v>13180</v>
      </c>
      <c r="C2032" s="8" t="s">
        <v>13181</v>
      </c>
      <c r="D2032" s="8" t="s">
        <v>16</v>
      </c>
      <c r="E2032" s="9" t="s">
        <v>13182</v>
      </c>
      <c r="F2032" s="10" t="s">
        <v>3883</v>
      </c>
      <c r="G2032" s="8">
        <v>23.61</v>
      </c>
      <c r="H2032" s="8"/>
      <c r="I2032" s="10"/>
      <c r="J2032" s="10" t="s">
        <v>13183</v>
      </c>
      <c r="K2032" s="10" t="s">
        <v>13184</v>
      </c>
      <c r="L2032" s="11" t="s">
        <v>13185</v>
      </c>
      <c r="M2032" s="11" t="s">
        <v>13186</v>
      </c>
      <c r="N2032" s="12"/>
      <c r="O2032" s="12"/>
      <c r="P2032" s="13">
        <f>IFERROR(__xludf.DUMMYFUNCTION("VALUE(SUBSTITUTE((INDEX(SPLIT(A2032,"",""),1)),""."","","",1))"),45.808788)</f>
        <v>45.808788</v>
      </c>
      <c r="Q2032" s="13">
        <f>IFERROR(__xludf.DUMMYFUNCTION("VALUE(SUBSTITUTE((INDEX(SPLIT(A2032,"",""),2)),""."","","",1))"),38.979284)</f>
        <v>38.979284</v>
      </c>
      <c r="R2032" s="14" t="b">
        <f t="shared" si="1"/>
        <v>0</v>
      </c>
      <c r="S2032" s="14" t="str">
        <f t="shared" si="2"/>
        <v>45.808788,38.979284</v>
      </c>
      <c r="T2032" s="12"/>
    </row>
    <row r="2033">
      <c r="A2033" s="20" t="s">
        <v>13187</v>
      </c>
      <c r="B2033" s="16" t="s">
        <v>13188</v>
      </c>
      <c r="C2033" s="16" t="s">
        <v>13189</v>
      </c>
      <c r="D2033" s="16" t="s">
        <v>16</v>
      </c>
      <c r="E2033" s="21" t="s">
        <v>13190</v>
      </c>
      <c r="F2033" s="22" t="s">
        <v>8566</v>
      </c>
      <c r="G2033" s="16">
        <v>23.61</v>
      </c>
      <c r="H2033" s="16"/>
      <c r="I2033" s="22"/>
      <c r="J2033" s="22" t="s">
        <v>13191</v>
      </c>
      <c r="K2033" s="22" t="s">
        <v>13192</v>
      </c>
      <c r="L2033" s="23" t="s">
        <v>13193</v>
      </c>
      <c r="M2033" s="23" t="s">
        <v>13194</v>
      </c>
      <c r="N2033" s="12"/>
      <c r="O2033" s="12"/>
      <c r="P2033" s="13">
        <f>IFERROR(__xludf.DUMMYFUNCTION("VALUE(SUBSTITUTE((INDEX(SPLIT(A2033,"",""),1)),""."","","",1))"),45.013396)</f>
        <v>45.013396</v>
      </c>
      <c r="Q2033" s="13">
        <f>IFERROR(__xludf.DUMMYFUNCTION("VALUE(SUBSTITUTE((INDEX(SPLIT(A2033,"",""),2)),""."","","",1))"),38.979823)</f>
        <v>38.979823</v>
      </c>
      <c r="R2033" s="14" t="b">
        <f t="shared" si="1"/>
        <v>0</v>
      </c>
      <c r="S2033" s="14" t="str">
        <f t="shared" si="2"/>
        <v>45.013396,38.979823</v>
      </c>
      <c r="T2033" s="12"/>
    </row>
    <row r="2034">
      <c r="A2034" s="7" t="s">
        <v>13195</v>
      </c>
      <c r="B2034" s="8" t="s">
        <v>3410</v>
      </c>
      <c r="C2034" s="8" t="s">
        <v>3411</v>
      </c>
      <c r="D2034" s="8" t="s">
        <v>16</v>
      </c>
      <c r="E2034" s="9" t="s">
        <v>13196</v>
      </c>
      <c r="F2034" s="10" t="s">
        <v>8566</v>
      </c>
      <c r="G2034" s="8">
        <v>23.61</v>
      </c>
      <c r="H2034" s="8"/>
      <c r="I2034" s="10"/>
      <c r="J2034" s="10" t="s">
        <v>13197</v>
      </c>
      <c r="K2034" s="10" t="s">
        <v>13198</v>
      </c>
      <c r="L2034" s="11" t="s">
        <v>13199</v>
      </c>
      <c r="M2034" s="10"/>
      <c r="N2034" s="12"/>
      <c r="O2034" s="12"/>
      <c r="P2034" s="13">
        <f>IFERROR(__xludf.DUMMYFUNCTION("VALUE(SUBSTITUTE((INDEX(SPLIT(A2034,"",""),1)),""."","","",1))"),45.069473)</f>
        <v>45.069473</v>
      </c>
      <c r="Q2034" s="13">
        <f>IFERROR(__xludf.DUMMYFUNCTION("VALUE(SUBSTITUTE((INDEX(SPLIT(A2034,"",""),2)),""."","","",1))"),38.981547)</f>
        <v>38.981547</v>
      </c>
      <c r="R2034" s="14" t="b">
        <f t="shared" si="1"/>
        <v>0</v>
      </c>
      <c r="S2034" s="14" t="str">
        <f t="shared" si="2"/>
        <v>45.069473,38.981547</v>
      </c>
      <c r="T2034" s="12"/>
    </row>
    <row r="2035">
      <c r="A2035" s="20" t="s">
        <v>13200</v>
      </c>
      <c r="B2035" s="16" t="s">
        <v>13201</v>
      </c>
      <c r="C2035" s="16" t="s">
        <v>13202</v>
      </c>
      <c r="D2035" s="16" t="s">
        <v>16</v>
      </c>
      <c r="E2035" s="21" t="s">
        <v>13203</v>
      </c>
      <c r="F2035" s="22" t="s">
        <v>8566</v>
      </c>
      <c r="G2035" s="16">
        <v>23.61</v>
      </c>
      <c r="H2035" s="16"/>
      <c r="I2035" s="28" t="s">
        <v>13204</v>
      </c>
      <c r="J2035" s="22" t="s">
        <v>13205</v>
      </c>
      <c r="K2035" s="22" t="s">
        <v>13206</v>
      </c>
      <c r="L2035" s="23" t="s">
        <v>13207</v>
      </c>
      <c r="M2035" s="22"/>
      <c r="N2035" s="12"/>
      <c r="O2035" s="12"/>
      <c r="P2035" s="13">
        <f>IFERROR(__xludf.DUMMYFUNCTION("VALUE(SUBSTITUTE((INDEX(SPLIT(A2035,"",""),1)),""."","","",1))"),45.066201)</f>
        <v>45.066201</v>
      </c>
      <c r="Q2035" s="13">
        <f>IFERROR(__xludf.DUMMYFUNCTION("VALUE(SUBSTITUTE((INDEX(SPLIT(A2035,"",""),2)),""."","","",1))"),38.983533)</f>
        <v>38.983533</v>
      </c>
      <c r="R2035" s="14" t="b">
        <f t="shared" si="1"/>
        <v>0</v>
      </c>
      <c r="S2035" s="14" t="str">
        <f t="shared" si="2"/>
        <v>45.066201,38.983533</v>
      </c>
      <c r="T2035" s="12"/>
    </row>
    <row r="2036">
      <c r="A2036" s="7" t="s">
        <v>13208</v>
      </c>
      <c r="B2036" s="8" t="s">
        <v>13209</v>
      </c>
      <c r="C2036" s="8" t="s">
        <v>13210</v>
      </c>
      <c r="D2036" s="8" t="s">
        <v>16</v>
      </c>
      <c r="E2036" s="9" t="s">
        <v>13211</v>
      </c>
      <c r="F2036" s="10" t="s">
        <v>8566</v>
      </c>
      <c r="G2036" s="8">
        <v>23.61</v>
      </c>
      <c r="H2036" s="8"/>
      <c r="I2036" s="10"/>
      <c r="J2036" s="10" t="s">
        <v>13212</v>
      </c>
      <c r="K2036" s="10" t="s">
        <v>13213</v>
      </c>
      <c r="L2036" s="11" t="s">
        <v>13214</v>
      </c>
      <c r="M2036" s="10"/>
      <c r="N2036" s="12"/>
      <c r="O2036" s="12"/>
      <c r="P2036" s="13">
        <f>IFERROR(__xludf.DUMMYFUNCTION("VALUE(SUBSTITUTE((INDEX(SPLIT(A2036,"",""),1)),""."","","",1))"),45.81463)</f>
        <v>45.81463</v>
      </c>
      <c r="Q2036" s="13">
        <f>IFERROR(__xludf.DUMMYFUNCTION("VALUE(SUBSTITUTE((INDEX(SPLIT(A2036,"",""),2)),""."","","",1))"),38.984413)</f>
        <v>38.984413</v>
      </c>
      <c r="R2036" s="14" t="b">
        <f t="shared" si="1"/>
        <v>0</v>
      </c>
      <c r="S2036" s="14" t="str">
        <f t="shared" si="2"/>
        <v>45.81463,38.984413</v>
      </c>
      <c r="T2036" s="12"/>
    </row>
    <row r="2037">
      <c r="A2037" s="15" t="s">
        <v>13215</v>
      </c>
      <c r="B2037" s="16" t="s">
        <v>13216</v>
      </c>
      <c r="C2037" s="16" t="s">
        <v>13217</v>
      </c>
      <c r="D2037" s="16" t="s">
        <v>16</v>
      </c>
      <c r="E2037" s="17" t="s">
        <v>13218</v>
      </c>
      <c r="F2037" s="16" t="s">
        <v>8566</v>
      </c>
      <c r="G2037" s="16">
        <v>23.61</v>
      </c>
      <c r="H2037" s="16"/>
      <c r="I2037" s="16"/>
      <c r="J2037" s="16" t="s">
        <v>13219</v>
      </c>
      <c r="K2037" s="16" t="s">
        <v>13220</v>
      </c>
      <c r="L2037" s="16"/>
      <c r="M2037" s="25" t="s">
        <v>13221</v>
      </c>
      <c r="N2037" s="12"/>
      <c r="O2037" s="12"/>
      <c r="P2037" s="13">
        <f>IFERROR(__xludf.DUMMYFUNCTION("VALUE(SUBSTITUTE((INDEX(SPLIT(A2037,"",""),1)),""."","","",1))"),45.013479)</f>
        <v>45.013479</v>
      </c>
      <c r="Q2037" s="13">
        <f>IFERROR(__xludf.DUMMYFUNCTION("VALUE(SUBSTITUTE((INDEX(SPLIT(A2037,"",""),2)),""."","","",1))"),38.995184)</f>
        <v>38.995184</v>
      </c>
      <c r="R2037" s="14" t="b">
        <f t="shared" si="1"/>
        <v>0</v>
      </c>
      <c r="S2037" s="14" t="str">
        <f t="shared" si="2"/>
        <v>45.013479,38.995184</v>
      </c>
      <c r="T2037" s="12"/>
    </row>
    <row r="2038">
      <c r="A2038" s="18" t="s">
        <v>13222</v>
      </c>
      <c r="B2038" s="8" t="s">
        <v>13223</v>
      </c>
      <c r="C2038" s="8" t="s">
        <v>13224</v>
      </c>
      <c r="D2038" s="8" t="s">
        <v>16</v>
      </c>
      <c r="E2038" s="19" t="s">
        <v>13225</v>
      </c>
      <c r="F2038" s="8" t="s">
        <v>8566</v>
      </c>
      <c r="G2038" s="8">
        <v>23.61</v>
      </c>
      <c r="H2038" s="8"/>
      <c r="I2038" s="8"/>
      <c r="J2038" s="8" t="s">
        <v>13226</v>
      </c>
      <c r="K2038" s="8" t="s">
        <v>13227</v>
      </c>
      <c r="L2038" s="8"/>
      <c r="M2038" s="8"/>
      <c r="N2038" s="12"/>
      <c r="O2038" s="12"/>
      <c r="P2038" s="13">
        <f>IFERROR(__xludf.DUMMYFUNCTION("VALUE(SUBSTITUTE((INDEX(SPLIT(A2038,"",""),1)),""."","","",1))"),45.143706)</f>
        <v>45.143706</v>
      </c>
      <c r="Q2038" s="13">
        <f>IFERROR(__xludf.DUMMYFUNCTION("VALUE(SUBSTITUTE((INDEX(SPLIT(A2038,"",""),2)),""."","","",1))"),38.995947)</f>
        <v>38.995947</v>
      </c>
      <c r="R2038" s="14" t="b">
        <f t="shared" si="1"/>
        <v>0</v>
      </c>
      <c r="S2038" s="14" t="str">
        <f t="shared" si="2"/>
        <v>45.143706,38.995947</v>
      </c>
      <c r="T2038" s="12"/>
    </row>
    <row r="2039">
      <c r="A2039" s="15" t="s">
        <v>13228</v>
      </c>
      <c r="B2039" s="16" t="s">
        <v>13229</v>
      </c>
      <c r="C2039" s="16" t="s">
        <v>13230</v>
      </c>
      <c r="D2039" s="16" t="s">
        <v>16</v>
      </c>
      <c r="E2039" s="17" t="s">
        <v>13231</v>
      </c>
      <c r="F2039" s="16" t="s">
        <v>8566</v>
      </c>
      <c r="G2039" s="16">
        <v>23.61</v>
      </c>
      <c r="H2039" s="16"/>
      <c r="I2039" s="16"/>
      <c r="J2039" s="16" t="s">
        <v>13232</v>
      </c>
      <c r="K2039" s="16" t="s">
        <v>13233</v>
      </c>
      <c r="L2039" s="16"/>
      <c r="M2039" s="16"/>
      <c r="N2039" s="12"/>
      <c r="O2039" s="12"/>
      <c r="P2039" s="13">
        <f>IFERROR(__xludf.DUMMYFUNCTION("VALUE(SUBSTITUTE((INDEX(SPLIT(A2039,"",""),1)),""."","","",1))"),45.008591)</f>
        <v>45.008591</v>
      </c>
      <c r="Q2039" s="13">
        <f>IFERROR(__xludf.DUMMYFUNCTION("VALUE(SUBSTITUTE((INDEX(SPLIT(A2039,"",""),2)),""."","","",1))"),38.996756)</f>
        <v>38.996756</v>
      </c>
      <c r="R2039" s="14" t="b">
        <f t="shared" si="1"/>
        <v>0</v>
      </c>
      <c r="S2039" s="14" t="str">
        <f t="shared" si="2"/>
        <v>45.008591,38.996756</v>
      </c>
      <c r="T2039" s="12"/>
    </row>
    <row r="2040">
      <c r="A2040" s="7" t="s">
        <v>13234</v>
      </c>
      <c r="B2040" s="8" t="s">
        <v>13235</v>
      </c>
      <c r="C2040" s="8" t="s">
        <v>13236</v>
      </c>
      <c r="D2040" s="8" t="s">
        <v>16</v>
      </c>
      <c r="E2040" s="9" t="s">
        <v>13237</v>
      </c>
      <c r="F2040" s="10" t="s">
        <v>8566</v>
      </c>
      <c r="G2040" s="8">
        <v>23.61</v>
      </c>
      <c r="H2040" s="8"/>
      <c r="I2040" s="10"/>
      <c r="J2040" s="10" t="s">
        <v>13238</v>
      </c>
      <c r="K2040" s="10" t="s">
        <v>13239</v>
      </c>
      <c r="L2040" s="11" t="s">
        <v>13240</v>
      </c>
      <c r="M2040" s="10"/>
      <c r="N2040" s="12"/>
      <c r="O2040" s="12"/>
      <c r="P2040" s="13">
        <f>IFERROR(__xludf.DUMMYFUNCTION("VALUE(SUBSTITUTE((INDEX(SPLIT(A2040,"",""),1)),""."","","",1))"),45.119155)</f>
        <v>45.119155</v>
      </c>
      <c r="Q2040" s="13">
        <f>IFERROR(__xludf.DUMMYFUNCTION("VALUE(SUBSTITUTE((INDEX(SPLIT(A2040,"",""),2)),""."","","",1))"),39.001715)</f>
        <v>39.001715</v>
      </c>
      <c r="R2040" s="14" t="b">
        <f t="shared" si="1"/>
        <v>0</v>
      </c>
      <c r="S2040" s="14" t="str">
        <f t="shared" si="2"/>
        <v>45.119155,39.001715</v>
      </c>
      <c r="T2040" s="12"/>
    </row>
    <row r="2041">
      <c r="A2041" s="15" t="s">
        <v>13241</v>
      </c>
      <c r="B2041" s="16" t="s">
        <v>13242</v>
      </c>
      <c r="C2041" s="16" t="s">
        <v>13243</v>
      </c>
      <c r="D2041" s="16" t="s">
        <v>16</v>
      </c>
      <c r="E2041" s="17" t="s">
        <v>13244</v>
      </c>
      <c r="F2041" s="16" t="s">
        <v>8566</v>
      </c>
      <c r="G2041" s="16">
        <v>23.61</v>
      </c>
      <c r="H2041" s="16"/>
      <c r="I2041" s="16"/>
      <c r="J2041" s="16" t="s">
        <v>13245</v>
      </c>
      <c r="K2041" s="16" t="s">
        <v>13246</v>
      </c>
      <c r="L2041" s="16"/>
      <c r="M2041" s="16"/>
      <c r="N2041" s="12"/>
      <c r="O2041" s="12"/>
      <c r="P2041" s="13">
        <f>IFERROR(__xludf.DUMMYFUNCTION("VALUE(SUBSTITUTE((INDEX(SPLIT(A2041,"",""),1)),""."","","",1))"),45.069104)</f>
        <v>45.069104</v>
      </c>
      <c r="Q2041" s="13">
        <f>IFERROR(__xludf.DUMMYFUNCTION("VALUE(SUBSTITUTE((INDEX(SPLIT(A2041,"",""),2)),""."","","",1))"),39.008991)</f>
        <v>39.008991</v>
      </c>
      <c r="R2041" s="14" t="b">
        <f t="shared" si="1"/>
        <v>0</v>
      </c>
      <c r="S2041" s="14" t="str">
        <f t="shared" si="2"/>
        <v>45.069104,39.008991</v>
      </c>
      <c r="T2041" s="12"/>
    </row>
    <row r="2042">
      <c r="A2042" s="18" t="s">
        <v>13247</v>
      </c>
      <c r="B2042" s="8" t="s">
        <v>13248</v>
      </c>
      <c r="C2042" s="8" t="s">
        <v>13249</v>
      </c>
      <c r="D2042" s="8" t="s">
        <v>16</v>
      </c>
      <c r="E2042" s="19" t="s">
        <v>13250</v>
      </c>
      <c r="F2042" s="8" t="s">
        <v>9563</v>
      </c>
      <c r="G2042" s="8">
        <v>23.61</v>
      </c>
      <c r="H2042" s="8"/>
      <c r="I2042" s="8"/>
      <c r="J2042" s="8" t="s">
        <v>13251</v>
      </c>
      <c r="K2042" s="8" t="s">
        <v>13252</v>
      </c>
      <c r="L2042" s="8"/>
      <c r="M2042" s="24" t="s">
        <v>13253</v>
      </c>
      <c r="N2042" s="12"/>
      <c r="O2042" s="12"/>
      <c r="P2042" s="13">
        <f>IFERROR(__xludf.DUMMYFUNCTION("VALUE(SUBSTITUTE((INDEX(SPLIT(A2042,"",""),1)),""."","","",1))"),51.469412)</f>
        <v>51.469412</v>
      </c>
      <c r="Q2042" s="13">
        <f>IFERROR(__xludf.DUMMYFUNCTION("VALUE(SUBSTITUTE((INDEX(SPLIT(A2042,"",""),2)),""."","","",1))"),39.010734)</f>
        <v>39.010734</v>
      </c>
      <c r="R2042" s="14" t="b">
        <f t="shared" si="1"/>
        <v>0</v>
      </c>
      <c r="S2042" s="14" t="str">
        <f t="shared" si="2"/>
        <v>51.469412,39.010734</v>
      </c>
      <c r="T2042" s="12"/>
    </row>
    <row r="2043">
      <c r="A2043" s="20" t="s">
        <v>13254</v>
      </c>
      <c r="B2043" s="16" t="s">
        <v>13255</v>
      </c>
      <c r="C2043" s="16" t="s">
        <v>13256</v>
      </c>
      <c r="D2043" s="16" t="s">
        <v>16</v>
      </c>
      <c r="E2043" s="21" t="s">
        <v>13257</v>
      </c>
      <c r="F2043" s="22" t="s">
        <v>8566</v>
      </c>
      <c r="G2043" s="16">
        <v>23.61</v>
      </c>
      <c r="H2043" s="16"/>
      <c r="I2043" s="22"/>
      <c r="J2043" s="22" t="s">
        <v>13258</v>
      </c>
      <c r="K2043" s="22" t="s">
        <v>13259</v>
      </c>
      <c r="L2043" s="23" t="s">
        <v>13260</v>
      </c>
      <c r="M2043" s="23" t="s">
        <v>13261</v>
      </c>
      <c r="N2043" s="12"/>
      <c r="O2043" s="12"/>
      <c r="P2043" s="13">
        <f>IFERROR(__xludf.DUMMYFUNCTION("VALUE(SUBSTITUTE((INDEX(SPLIT(A2043,"",""),1)),""."","","",1))"),45.023807)</f>
        <v>45.023807</v>
      </c>
      <c r="Q2043" s="13">
        <f>IFERROR(__xludf.DUMMYFUNCTION("VALUE(SUBSTITUTE((INDEX(SPLIT(A2043,"",""),2)),""."","","",1))"),39.010779)</f>
        <v>39.010779</v>
      </c>
      <c r="R2043" s="14" t="b">
        <f t="shared" si="1"/>
        <v>0</v>
      </c>
      <c r="S2043" s="14" t="str">
        <f t="shared" si="2"/>
        <v>45.023807,39.010779</v>
      </c>
      <c r="T2043" s="12"/>
    </row>
    <row r="2044">
      <c r="A2044" s="7" t="s">
        <v>13262</v>
      </c>
      <c r="B2044" s="8" t="s">
        <v>13263</v>
      </c>
      <c r="C2044" s="8" t="s">
        <v>13264</v>
      </c>
      <c r="D2044" s="8" t="s">
        <v>16</v>
      </c>
      <c r="E2044" s="9" t="s">
        <v>13265</v>
      </c>
      <c r="F2044" s="10" t="s">
        <v>8566</v>
      </c>
      <c r="G2044" s="8">
        <v>23.61</v>
      </c>
      <c r="H2044" s="8"/>
      <c r="I2044" s="10"/>
      <c r="J2044" s="10" t="s">
        <v>13266</v>
      </c>
      <c r="K2044" s="10" t="s">
        <v>13267</v>
      </c>
      <c r="L2044" s="11" t="s">
        <v>13268</v>
      </c>
      <c r="M2044" s="11" t="s">
        <v>13269</v>
      </c>
      <c r="N2044" s="12"/>
      <c r="O2044" s="12"/>
      <c r="P2044" s="13">
        <f>IFERROR(__xludf.DUMMYFUNCTION("VALUE(SUBSTITUTE((INDEX(SPLIT(A2044,"",""),1)),""."","","",1))"),45.070193)</f>
        <v>45.070193</v>
      </c>
      <c r="Q2044" s="13">
        <f>IFERROR(__xludf.DUMMYFUNCTION("VALUE(SUBSTITUTE((INDEX(SPLIT(A2044,"",""),2)),""."","","",1))"),39.012243)</f>
        <v>39.012243</v>
      </c>
      <c r="R2044" s="14" t="b">
        <f t="shared" si="1"/>
        <v>0</v>
      </c>
      <c r="S2044" s="14" t="str">
        <f t="shared" si="2"/>
        <v>45.070193,39.012243</v>
      </c>
      <c r="T2044" s="12"/>
    </row>
    <row r="2045">
      <c r="A2045" s="20" t="s">
        <v>13270</v>
      </c>
      <c r="B2045" s="16" t="s">
        <v>13271</v>
      </c>
      <c r="C2045" s="16" t="s">
        <v>13272</v>
      </c>
      <c r="D2045" s="16" t="s">
        <v>16</v>
      </c>
      <c r="E2045" s="21" t="s">
        <v>13273</v>
      </c>
      <c r="F2045" s="22" t="s">
        <v>8566</v>
      </c>
      <c r="G2045" s="16">
        <v>23.61</v>
      </c>
      <c r="H2045" s="16"/>
      <c r="I2045" s="22"/>
      <c r="J2045" s="22" t="s">
        <v>13274</v>
      </c>
      <c r="K2045" s="22" t="s">
        <v>13275</v>
      </c>
      <c r="L2045" s="23" t="s">
        <v>13276</v>
      </c>
      <c r="M2045" s="23" t="s">
        <v>13277</v>
      </c>
      <c r="N2045" s="12"/>
      <c r="O2045" s="12"/>
      <c r="P2045" s="13">
        <f>IFERROR(__xludf.DUMMYFUNCTION("VALUE(SUBSTITUTE((INDEX(SPLIT(A2045,"",""),1)),""."","","",1))"),45.11205)</f>
        <v>45.11205</v>
      </c>
      <c r="Q2045" s="13">
        <f>IFERROR(__xludf.DUMMYFUNCTION("VALUE(SUBSTITUTE((INDEX(SPLIT(A2045,"",""),2)),""."","","",1))"),39.012764)</f>
        <v>39.012764</v>
      </c>
      <c r="R2045" s="14" t="b">
        <f t="shared" si="1"/>
        <v>0</v>
      </c>
      <c r="S2045" s="14" t="str">
        <f t="shared" si="2"/>
        <v>45.11205,39.012764</v>
      </c>
      <c r="T2045" s="12"/>
    </row>
    <row r="2046">
      <c r="A2046" s="7" t="s">
        <v>13278</v>
      </c>
      <c r="B2046" s="8" t="s">
        <v>13279</v>
      </c>
      <c r="C2046" s="8" t="s">
        <v>13280</v>
      </c>
      <c r="D2046" s="8" t="s">
        <v>16</v>
      </c>
      <c r="E2046" s="9" t="s">
        <v>13281</v>
      </c>
      <c r="F2046" s="10" t="s">
        <v>8566</v>
      </c>
      <c r="G2046" s="8">
        <v>23.61</v>
      </c>
      <c r="H2046" s="8"/>
      <c r="I2046" s="10"/>
      <c r="J2046" s="10" t="s">
        <v>13282</v>
      </c>
      <c r="K2046" s="10" t="s">
        <v>13283</v>
      </c>
      <c r="L2046" s="11" t="s">
        <v>13284</v>
      </c>
      <c r="M2046" s="10"/>
      <c r="N2046" s="12"/>
      <c r="O2046" s="12"/>
      <c r="P2046" s="13">
        <f>IFERROR(__xludf.DUMMYFUNCTION("VALUE(SUBSTITUTE((INDEX(SPLIT(A2046,"",""),1)),""."","","",1))"),45.234498)</f>
        <v>45.234498</v>
      </c>
      <c r="Q2046" s="13">
        <f>IFERROR(__xludf.DUMMYFUNCTION("VALUE(SUBSTITUTE((INDEX(SPLIT(A2046,"",""),2)),""."","","",1))"),39.017327)</f>
        <v>39.017327</v>
      </c>
      <c r="R2046" s="14" t="b">
        <f t="shared" si="1"/>
        <v>0</v>
      </c>
      <c r="S2046" s="14" t="str">
        <f t="shared" si="2"/>
        <v>45.234498,39.017327</v>
      </c>
      <c r="T2046" s="12"/>
    </row>
    <row r="2047">
      <c r="A2047" s="20" t="s">
        <v>13285</v>
      </c>
      <c r="B2047" s="16" t="s">
        <v>13286</v>
      </c>
      <c r="C2047" s="16" t="s">
        <v>13287</v>
      </c>
      <c r="D2047" s="16" t="s">
        <v>16</v>
      </c>
      <c r="E2047" s="21" t="s">
        <v>13288</v>
      </c>
      <c r="F2047" s="22" t="s">
        <v>9563</v>
      </c>
      <c r="G2047" s="16">
        <v>23.61</v>
      </c>
      <c r="H2047" s="16"/>
      <c r="I2047" s="28" t="s">
        <v>13289</v>
      </c>
      <c r="J2047" s="22" t="s">
        <v>13290</v>
      </c>
      <c r="K2047" s="22" t="s">
        <v>13291</v>
      </c>
      <c r="L2047" s="23" t="s">
        <v>13292</v>
      </c>
      <c r="M2047" s="22"/>
      <c r="N2047" s="12"/>
      <c r="O2047" s="12"/>
      <c r="P2047" s="13">
        <f>IFERROR(__xludf.DUMMYFUNCTION("VALUE(SUBSTITUTE((INDEX(SPLIT(A2047,"",""),1)),""."","","",1))"),51.698018)</f>
        <v>51.698018</v>
      </c>
      <c r="Q2047" s="13">
        <f>IFERROR(__xludf.DUMMYFUNCTION("VALUE(SUBSTITUTE((INDEX(SPLIT(A2047,"",""),2)),""."","","",1))"),39.017579)</f>
        <v>39.017579</v>
      </c>
      <c r="R2047" s="14" t="b">
        <f t="shared" si="1"/>
        <v>0</v>
      </c>
      <c r="S2047" s="14" t="str">
        <f t="shared" si="2"/>
        <v>51.698018,39.017579</v>
      </c>
      <c r="T2047" s="12"/>
    </row>
    <row r="2048">
      <c r="A2048" s="18" t="s">
        <v>13293</v>
      </c>
      <c r="B2048" s="8" t="s">
        <v>13294</v>
      </c>
      <c r="C2048" s="8" t="s">
        <v>13295</v>
      </c>
      <c r="D2048" s="8" t="s">
        <v>16</v>
      </c>
      <c r="E2048" s="19" t="s">
        <v>13296</v>
      </c>
      <c r="F2048" s="8" t="s">
        <v>8566</v>
      </c>
      <c r="G2048" s="8">
        <v>23.61</v>
      </c>
      <c r="H2048" s="8"/>
      <c r="I2048" s="8"/>
      <c r="J2048" s="8" t="s">
        <v>13297</v>
      </c>
      <c r="K2048" s="8" t="s">
        <v>13298</v>
      </c>
      <c r="L2048" s="8"/>
      <c r="M2048" s="8"/>
      <c r="N2048" s="12"/>
      <c r="O2048" s="12"/>
      <c r="P2048" s="13">
        <f>IFERROR(__xludf.DUMMYFUNCTION("VALUE(SUBSTITUTE((INDEX(SPLIT(A2048,"",""),1)),""."","","",1))"),45.02552)</f>
        <v>45.02552</v>
      </c>
      <c r="Q2048" s="13">
        <f>IFERROR(__xludf.DUMMYFUNCTION("VALUE(SUBSTITUTE((INDEX(SPLIT(A2048,"",""),2)),""."","","",1))"),39.019896)</f>
        <v>39.019896</v>
      </c>
      <c r="R2048" s="14" t="b">
        <f t="shared" si="1"/>
        <v>0</v>
      </c>
      <c r="S2048" s="14" t="str">
        <f t="shared" si="2"/>
        <v>45.02552,39.019896</v>
      </c>
      <c r="T2048" s="12"/>
    </row>
    <row r="2049">
      <c r="A2049" s="15" t="s">
        <v>13293</v>
      </c>
      <c r="B2049" s="16" t="s">
        <v>13299</v>
      </c>
      <c r="C2049" s="16" t="s">
        <v>13300</v>
      </c>
      <c r="D2049" s="16" t="s">
        <v>16</v>
      </c>
      <c r="E2049" s="17" t="s">
        <v>13301</v>
      </c>
      <c r="F2049" s="16" t="s">
        <v>8566</v>
      </c>
      <c r="G2049" s="16">
        <v>23.61</v>
      </c>
      <c r="H2049" s="16"/>
      <c r="I2049" s="16"/>
      <c r="J2049" s="16" t="s">
        <v>13297</v>
      </c>
      <c r="K2049" s="16" t="s">
        <v>13302</v>
      </c>
      <c r="L2049" s="16"/>
      <c r="M2049" s="16"/>
      <c r="N2049" s="12"/>
      <c r="O2049" s="12"/>
      <c r="P2049" s="13">
        <f>IFERROR(__xludf.DUMMYFUNCTION("VALUE(SUBSTITUTE((INDEX(SPLIT(A2049,"",""),1)),""."","","",1))"),45.02552)</f>
        <v>45.02552</v>
      </c>
      <c r="Q2049" s="13">
        <f>IFERROR(__xludf.DUMMYFUNCTION("VALUE(SUBSTITUTE((INDEX(SPLIT(A2049,"",""),2)),""."","","",1))"),39.019896)</f>
        <v>39.019896</v>
      </c>
      <c r="R2049" s="14" t="b">
        <f t="shared" si="1"/>
        <v>0</v>
      </c>
      <c r="S2049" s="14" t="str">
        <f t="shared" si="2"/>
        <v>45.02552,39.019896</v>
      </c>
      <c r="T2049" s="12"/>
    </row>
    <row r="2050">
      <c r="A2050" s="7" t="s">
        <v>13303</v>
      </c>
      <c r="B2050" s="8" t="s">
        <v>13304</v>
      </c>
      <c r="C2050" s="8" t="s">
        <v>13304</v>
      </c>
      <c r="D2050" s="8" t="s">
        <v>16</v>
      </c>
      <c r="E2050" s="9" t="s">
        <v>13305</v>
      </c>
      <c r="F2050" s="10" t="s">
        <v>9563</v>
      </c>
      <c r="G2050" s="8">
        <v>23.61</v>
      </c>
      <c r="H2050" s="8"/>
      <c r="I2050" s="10"/>
      <c r="J2050" s="10" t="s">
        <v>13306</v>
      </c>
      <c r="K2050" s="10" t="s">
        <v>7879</v>
      </c>
      <c r="L2050" s="11" t="s">
        <v>13307</v>
      </c>
      <c r="M2050" s="10"/>
      <c r="N2050" s="12"/>
      <c r="O2050" s="12"/>
      <c r="P2050" s="13">
        <f>IFERROR(__xludf.DUMMYFUNCTION("VALUE(SUBSTITUTE((INDEX(SPLIT(A2050,"",""),1)),""."","","",1))"),51.69463)</f>
        <v>51.69463</v>
      </c>
      <c r="Q2050" s="13">
        <f>IFERROR(__xludf.DUMMYFUNCTION("VALUE(SUBSTITUTE((INDEX(SPLIT(A2050,"",""),2)),""."","","",1))"),39.020211)</f>
        <v>39.020211</v>
      </c>
      <c r="R2050" s="14" t="b">
        <f t="shared" si="1"/>
        <v>0</v>
      </c>
      <c r="S2050" s="14" t="str">
        <f t="shared" si="2"/>
        <v>51.69463,39.020211</v>
      </c>
      <c r="T2050" s="12"/>
    </row>
    <row r="2051">
      <c r="A2051" s="20" t="s">
        <v>13308</v>
      </c>
      <c r="B2051" s="16" t="s">
        <v>13309</v>
      </c>
      <c r="C2051" s="16" t="s">
        <v>13310</v>
      </c>
      <c r="D2051" s="16" t="s">
        <v>16</v>
      </c>
      <c r="E2051" s="21" t="s">
        <v>13311</v>
      </c>
      <c r="F2051" s="22" t="s">
        <v>9563</v>
      </c>
      <c r="G2051" s="16">
        <v>23.61</v>
      </c>
      <c r="H2051" s="16"/>
      <c r="I2051" s="22"/>
      <c r="J2051" s="22" t="s">
        <v>13312</v>
      </c>
      <c r="K2051" s="22" t="s">
        <v>13313</v>
      </c>
      <c r="L2051" s="23" t="s">
        <v>13314</v>
      </c>
      <c r="M2051" s="22"/>
      <c r="N2051" s="12"/>
      <c r="O2051" s="12"/>
      <c r="P2051" s="13">
        <f>IFERROR(__xludf.DUMMYFUNCTION("VALUE(SUBSTITUTE((INDEX(SPLIT(A2051,"",""),1)),""."","","",1))"),51.692782)</f>
        <v>51.692782</v>
      </c>
      <c r="Q2051" s="13">
        <f>IFERROR(__xludf.DUMMYFUNCTION("VALUE(SUBSTITUTE((INDEX(SPLIT(A2051,"",""),2)),""."","","",1))"),39.020417)</f>
        <v>39.020417</v>
      </c>
      <c r="R2051" s="14" t="b">
        <f t="shared" si="1"/>
        <v>0</v>
      </c>
      <c r="S2051" s="14" t="str">
        <f t="shared" si="2"/>
        <v>51.692782,39.020417</v>
      </c>
      <c r="T2051" s="12"/>
    </row>
    <row r="2052">
      <c r="A2052" s="7" t="s">
        <v>13315</v>
      </c>
      <c r="B2052" s="8" t="s">
        <v>13316</v>
      </c>
      <c r="C2052" s="8" t="s">
        <v>13317</v>
      </c>
      <c r="D2052" s="8" t="s">
        <v>16</v>
      </c>
      <c r="E2052" s="9" t="s">
        <v>13318</v>
      </c>
      <c r="F2052" s="10" t="s">
        <v>8566</v>
      </c>
      <c r="G2052" s="8">
        <v>23.61</v>
      </c>
      <c r="H2052" s="8"/>
      <c r="I2052" s="10"/>
      <c r="J2052" s="10" t="s">
        <v>13319</v>
      </c>
      <c r="K2052" s="10" t="s">
        <v>13320</v>
      </c>
      <c r="L2052" s="11" t="s">
        <v>13321</v>
      </c>
      <c r="M2052" s="10"/>
      <c r="N2052" s="12"/>
      <c r="O2052" s="12"/>
      <c r="P2052" s="13">
        <f>IFERROR(__xludf.DUMMYFUNCTION("VALUE(SUBSTITUTE((INDEX(SPLIT(A2052,"",""),1)),""."","","",1))"),45.016697)</f>
        <v>45.016697</v>
      </c>
      <c r="Q2052" s="13">
        <f>IFERROR(__xludf.DUMMYFUNCTION("VALUE(SUBSTITUTE((INDEX(SPLIT(A2052,"",""),2)),""."","","",1))"),39.027056)</f>
        <v>39.027056</v>
      </c>
      <c r="R2052" s="14" t="b">
        <f t="shared" si="1"/>
        <v>0</v>
      </c>
      <c r="S2052" s="14" t="str">
        <f t="shared" si="2"/>
        <v>45.016697,39.027056</v>
      </c>
      <c r="T2052" s="12"/>
    </row>
    <row r="2053">
      <c r="A2053" s="15" t="s">
        <v>13322</v>
      </c>
      <c r="B2053" s="16" t="s">
        <v>13323</v>
      </c>
      <c r="C2053" s="16" t="s">
        <v>13324</v>
      </c>
      <c r="D2053" s="16" t="s">
        <v>16</v>
      </c>
      <c r="E2053" s="17" t="s">
        <v>13325</v>
      </c>
      <c r="F2053" s="16" t="s">
        <v>8566</v>
      </c>
      <c r="G2053" s="16">
        <v>23.61</v>
      </c>
      <c r="H2053" s="16"/>
      <c r="I2053" s="16"/>
      <c r="J2053" s="16" t="s">
        <v>13326</v>
      </c>
      <c r="K2053" s="16" t="s">
        <v>13327</v>
      </c>
      <c r="L2053" s="16"/>
      <c r="M2053" s="16"/>
      <c r="N2053" s="12"/>
      <c r="O2053" s="12"/>
      <c r="P2053" s="13">
        <f>IFERROR(__xludf.DUMMYFUNCTION("VALUE(SUBSTITUTE((INDEX(SPLIT(A2053,"",""),1)),""."","","",1))"),46.524395)</f>
        <v>46.524395</v>
      </c>
      <c r="Q2053" s="13">
        <f>IFERROR(__xludf.DUMMYFUNCTION("VALUE(SUBSTITUTE((INDEX(SPLIT(A2053,"",""),2)),""."","","",1))"),39.027119)</f>
        <v>39.027119</v>
      </c>
      <c r="R2053" s="14" t="b">
        <f t="shared" si="1"/>
        <v>0</v>
      </c>
      <c r="S2053" s="14" t="str">
        <f t="shared" si="2"/>
        <v>46.524395,39.027119</v>
      </c>
      <c r="T2053" s="12"/>
    </row>
    <row r="2054">
      <c r="A2054" s="18" t="s">
        <v>13328</v>
      </c>
      <c r="B2054" s="8" t="s">
        <v>13329</v>
      </c>
      <c r="C2054" s="8" t="s">
        <v>13330</v>
      </c>
      <c r="D2054" s="8" t="s">
        <v>16</v>
      </c>
      <c r="E2054" s="19" t="s">
        <v>13331</v>
      </c>
      <c r="F2054" s="8" t="s">
        <v>8566</v>
      </c>
      <c r="G2054" s="8">
        <v>23.61</v>
      </c>
      <c r="H2054" s="8"/>
      <c r="I2054" s="8"/>
      <c r="J2054" s="8" t="s">
        <v>13332</v>
      </c>
      <c r="K2054" s="8" t="s">
        <v>13333</v>
      </c>
      <c r="L2054" s="8"/>
      <c r="M2054" s="8"/>
      <c r="N2054" s="12"/>
      <c r="O2054" s="12"/>
      <c r="P2054" s="13">
        <f>IFERROR(__xludf.DUMMYFUNCTION("VALUE(SUBSTITUTE((INDEX(SPLIT(A2054,"",""),1)),""."","","",1))"),45.060211)</f>
        <v>45.060211</v>
      </c>
      <c r="Q2054" s="13">
        <f>IFERROR(__xludf.DUMMYFUNCTION("VALUE(SUBSTITUTE((INDEX(SPLIT(A2054,"",""),2)),""."","","",1))"),39.029266)</f>
        <v>39.029266</v>
      </c>
      <c r="R2054" s="14" t="b">
        <f t="shared" si="1"/>
        <v>0</v>
      </c>
      <c r="S2054" s="14" t="str">
        <f t="shared" si="2"/>
        <v>45.060211,39.029266</v>
      </c>
      <c r="T2054" s="12"/>
    </row>
    <row r="2055">
      <c r="A2055" s="20" t="s">
        <v>13334</v>
      </c>
      <c r="B2055" s="16" t="s">
        <v>13335</v>
      </c>
      <c r="C2055" s="16" t="s">
        <v>13336</v>
      </c>
      <c r="D2055" s="16" t="s">
        <v>16</v>
      </c>
      <c r="E2055" s="21" t="s">
        <v>13337</v>
      </c>
      <c r="F2055" s="22" t="s">
        <v>8566</v>
      </c>
      <c r="G2055" s="16">
        <v>23.61</v>
      </c>
      <c r="H2055" s="16"/>
      <c r="I2055" s="22"/>
      <c r="J2055" s="22" t="s">
        <v>13338</v>
      </c>
      <c r="K2055" s="22" t="s">
        <v>13339</v>
      </c>
      <c r="L2055" s="23" t="s">
        <v>13340</v>
      </c>
      <c r="M2055" s="22"/>
      <c r="N2055" s="12"/>
      <c r="O2055" s="12"/>
      <c r="P2055" s="13">
        <f>IFERROR(__xludf.DUMMYFUNCTION("VALUE(SUBSTITUTE((INDEX(SPLIT(A2055,"",""),1)),""."","","",1))"),45.053219)</f>
        <v>45.053219</v>
      </c>
      <c r="Q2055" s="13">
        <f>IFERROR(__xludf.DUMMYFUNCTION("VALUE(SUBSTITUTE((INDEX(SPLIT(A2055,"",""),2)),""."","","",1))"),39.029571)</f>
        <v>39.029571</v>
      </c>
      <c r="R2055" s="14" t="b">
        <f t="shared" si="1"/>
        <v>0</v>
      </c>
      <c r="S2055" s="14" t="str">
        <f t="shared" si="2"/>
        <v>45.053219,39.029571</v>
      </c>
      <c r="T2055" s="12"/>
    </row>
    <row r="2056">
      <c r="A2056" s="18" t="s">
        <v>13341</v>
      </c>
      <c r="B2056" s="8" t="s">
        <v>13342</v>
      </c>
      <c r="C2056" s="8" t="s">
        <v>13343</v>
      </c>
      <c r="D2056" s="8" t="s">
        <v>16</v>
      </c>
      <c r="E2056" s="19" t="s">
        <v>13344</v>
      </c>
      <c r="F2056" s="8" t="s">
        <v>8566</v>
      </c>
      <c r="G2056" s="8">
        <v>23.61</v>
      </c>
      <c r="H2056" s="8"/>
      <c r="I2056" s="8"/>
      <c r="J2056" s="8" t="s">
        <v>13345</v>
      </c>
      <c r="K2056" s="8" t="s">
        <v>13346</v>
      </c>
      <c r="L2056" s="8"/>
      <c r="M2056" s="24" t="s">
        <v>13347</v>
      </c>
      <c r="N2056" s="12"/>
      <c r="O2056" s="12"/>
      <c r="P2056" s="13">
        <f>IFERROR(__xludf.DUMMYFUNCTION("VALUE(SUBSTITUTE((INDEX(SPLIT(A2056,"",""),1)),""."","","",1))"),45.02638)</f>
        <v>45.02638</v>
      </c>
      <c r="Q2056" s="13">
        <f>IFERROR(__xludf.DUMMYFUNCTION("VALUE(SUBSTITUTE((INDEX(SPLIT(A2056,"",""),2)),""."","","",1))"),39.033461)</f>
        <v>39.033461</v>
      </c>
      <c r="R2056" s="14" t="b">
        <f t="shared" si="1"/>
        <v>0</v>
      </c>
      <c r="S2056" s="14" t="str">
        <f t="shared" si="2"/>
        <v>45.02638,39.033461</v>
      </c>
      <c r="T2056" s="12"/>
    </row>
    <row r="2057">
      <c r="A2057" s="20" t="s">
        <v>13348</v>
      </c>
      <c r="B2057" s="16" t="s">
        <v>13349</v>
      </c>
      <c r="C2057" s="16" t="s">
        <v>13350</v>
      </c>
      <c r="D2057" s="16" t="s">
        <v>16</v>
      </c>
      <c r="E2057" s="21" t="s">
        <v>13351</v>
      </c>
      <c r="F2057" s="22" t="s">
        <v>8566</v>
      </c>
      <c r="G2057" s="16">
        <v>23.61</v>
      </c>
      <c r="H2057" s="16"/>
      <c r="I2057" s="22"/>
      <c r="J2057" s="22" t="s">
        <v>13352</v>
      </c>
      <c r="K2057" s="22" t="s">
        <v>13353</v>
      </c>
      <c r="L2057" s="23" t="s">
        <v>13354</v>
      </c>
      <c r="M2057" s="22"/>
      <c r="N2057" s="12"/>
      <c r="O2057" s="12"/>
      <c r="P2057" s="13">
        <f>IFERROR(__xludf.DUMMYFUNCTION("VALUE(SUBSTITUTE((INDEX(SPLIT(A2057,"",""),1)),""."","","",1))"),45.056569)</f>
        <v>45.056569</v>
      </c>
      <c r="Q2057" s="13">
        <f>IFERROR(__xludf.DUMMYFUNCTION("VALUE(SUBSTITUTE((INDEX(SPLIT(A2057,"",""),2)),""."","","",1))"),39.035518)</f>
        <v>39.035518</v>
      </c>
      <c r="R2057" s="14" t="b">
        <f t="shared" si="1"/>
        <v>0</v>
      </c>
      <c r="S2057" s="14" t="str">
        <f t="shared" si="2"/>
        <v>45.056569,39.035518</v>
      </c>
      <c r="T2057" s="12"/>
    </row>
    <row r="2058">
      <c r="A2058" s="18" t="s">
        <v>13355</v>
      </c>
      <c r="B2058" s="8" t="s">
        <v>13356</v>
      </c>
      <c r="C2058" s="8" t="s">
        <v>13357</v>
      </c>
      <c r="D2058" s="8" t="s">
        <v>16</v>
      </c>
      <c r="E2058" s="19" t="s">
        <v>13358</v>
      </c>
      <c r="F2058" s="8" t="s">
        <v>13359</v>
      </c>
      <c r="G2058" s="8">
        <v>23.61</v>
      </c>
      <c r="H2058" s="8"/>
      <c r="I2058" s="8"/>
      <c r="J2058" s="8" t="s">
        <v>13360</v>
      </c>
      <c r="K2058" s="8" t="s">
        <v>13361</v>
      </c>
      <c r="L2058" s="8"/>
      <c r="M2058" s="8"/>
      <c r="N2058" s="12"/>
      <c r="O2058" s="12"/>
      <c r="P2058" s="13">
        <f>IFERROR(__xludf.DUMMYFUNCTION("VALUE(SUBSTITUTE((INDEX(SPLIT(A2058,"",""),1)),""."","","",1))"),54.229464)</f>
        <v>54.229464</v>
      </c>
      <c r="Q2058" s="13">
        <f>IFERROR(__xludf.DUMMYFUNCTION("VALUE(SUBSTITUTE((INDEX(SPLIT(A2058,"",""),2)),""."","","",1))"),39.043235)</f>
        <v>39.043235</v>
      </c>
      <c r="R2058" s="14" t="b">
        <f t="shared" si="1"/>
        <v>0</v>
      </c>
      <c r="S2058" s="14" t="str">
        <f t="shared" si="2"/>
        <v>54.229464,39.043235</v>
      </c>
      <c r="T2058" s="12"/>
    </row>
    <row r="2059">
      <c r="A2059" s="20" t="s">
        <v>13362</v>
      </c>
      <c r="B2059" s="16" t="s">
        <v>13363</v>
      </c>
      <c r="C2059" s="16" t="s">
        <v>13364</v>
      </c>
      <c r="D2059" s="16" t="s">
        <v>16</v>
      </c>
      <c r="E2059" s="21" t="s">
        <v>13365</v>
      </c>
      <c r="F2059" s="22" t="s">
        <v>8566</v>
      </c>
      <c r="G2059" s="16">
        <v>23.61</v>
      </c>
      <c r="H2059" s="16"/>
      <c r="I2059" s="22"/>
      <c r="J2059" s="22" t="s">
        <v>13366</v>
      </c>
      <c r="K2059" s="22" t="s">
        <v>13367</v>
      </c>
      <c r="L2059" s="23" t="s">
        <v>13368</v>
      </c>
      <c r="M2059" s="22"/>
      <c r="N2059" s="12"/>
      <c r="O2059" s="12"/>
      <c r="P2059" s="13">
        <f>IFERROR(__xludf.DUMMYFUNCTION("VALUE(SUBSTITUTE((INDEX(SPLIT(A2059,"",""),1)),""."","","",1))"),45.04915)</f>
        <v>45.04915</v>
      </c>
      <c r="Q2059" s="13">
        <f>IFERROR(__xludf.DUMMYFUNCTION("VALUE(SUBSTITUTE((INDEX(SPLIT(A2059,"",""),2)),""."","","",1))"),39.056404)</f>
        <v>39.056404</v>
      </c>
      <c r="R2059" s="14" t="b">
        <f t="shared" si="1"/>
        <v>0</v>
      </c>
      <c r="S2059" s="14" t="str">
        <f t="shared" si="2"/>
        <v>45.04915,39.056404</v>
      </c>
      <c r="T2059" s="12"/>
    </row>
    <row r="2060">
      <c r="A2060" s="7" t="s">
        <v>13369</v>
      </c>
      <c r="B2060" s="8" t="s">
        <v>13370</v>
      </c>
      <c r="C2060" s="8" t="s">
        <v>13371</v>
      </c>
      <c r="D2060" s="8" t="s">
        <v>16</v>
      </c>
      <c r="E2060" s="9" t="s">
        <v>13372</v>
      </c>
      <c r="F2060" s="10" t="s">
        <v>9563</v>
      </c>
      <c r="G2060" s="8">
        <v>23.61</v>
      </c>
      <c r="H2060" s="8"/>
      <c r="I2060" s="10"/>
      <c r="J2060" s="10" t="s">
        <v>13373</v>
      </c>
      <c r="K2060" s="10" t="s">
        <v>13374</v>
      </c>
      <c r="L2060" s="11" t="s">
        <v>13375</v>
      </c>
      <c r="M2060" s="11" t="s">
        <v>13376</v>
      </c>
      <c r="N2060" s="12"/>
      <c r="O2060" s="12"/>
      <c r="P2060" s="13">
        <f>IFERROR(__xludf.DUMMYFUNCTION("VALUE(SUBSTITUTE((INDEX(SPLIT(A2060,"",""),1)),""."","","",1))"),51.644794)</f>
        <v>51.644794</v>
      </c>
      <c r="Q2060" s="13">
        <f>IFERROR(__xludf.DUMMYFUNCTION("VALUE(SUBSTITUTE((INDEX(SPLIT(A2060,"",""),2)),""."","","",1))"),39.06041)</f>
        <v>39.06041</v>
      </c>
      <c r="R2060" s="14" t="b">
        <f t="shared" si="1"/>
        <v>0</v>
      </c>
      <c r="S2060" s="14" t="str">
        <f t="shared" si="2"/>
        <v>51.644794,39.06041</v>
      </c>
      <c r="T2060" s="12"/>
    </row>
    <row r="2061">
      <c r="A2061" s="20" t="s">
        <v>13377</v>
      </c>
      <c r="B2061" s="16" t="s">
        <v>6155</v>
      </c>
      <c r="C2061" s="16" t="s">
        <v>6156</v>
      </c>
      <c r="D2061" s="16" t="s">
        <v>16</v>
      </c>
      <c r="E2061" s="21" t="s">
        <v>13378</v>
      </c>
      <c r="F2061" s="22" t="s">
        <v>8566</v>
      </c>
      <c r="G2061" s="16">
        <v>23.61</v>
      </c>
      <c r="H2061" s="16"/>
      <c r="I2061" s="22"/>
      <c r="J2061" s="22" t="s">
        <v>13379</v>
      </c>
      <c r="K2061" s="22" t="s">
        <v>13380</v>
      </c>
      <c r="L2061" s="23" t="s">
        <v>13381</v>
      </c>
      <c r="M2061" s="22"/>
      <c r="N2061" s="12"/>
      <c r="O2061" s="12"/>
      <c r="P2061" s="13">
        <f>IFERROR(__xludf.DUMMYFUNCTION("VALUE(SUBSTITUTE((INDEX(SPLIT(A2061,"",""),1)),""."","","",1))"),45.028432)</f>
        <v>45.028432</v>
      </c>
      <c r="Q2061" s="13">
        <f>IFERROR(__xludf.DUMMYFUNCTION("VALUE(SUBSTITUTE((INDEX(SPLIT(A2061,"",""),2)),""."","","",1))"),39.063626)</f>
        <v>39.063626</v>
      </c>
      <c r="R2061" s="14" t="b">
        <f t="shared" si="1"/>
        <v>0</v>
      </c>
      <c r="S2061" s="14" t="str">
        <f t="shared" si="2"/>
        <v>45.028432,39.063626</v>
      </c>
      <c r="T2061" s="12"/>
    </row>
    <row r="2062">
      <c r="A2062" s="7" t="s">
        <v>13382</v>
      </c>
      <c r="B2062" s="8" t="s">
        <v>13383</v>
      </c>
      <c r="C2062" s="8" t="s">
        <v>13384</v>
      </c>
      <c r="D2062" s="8" t="s">
        <v>16</v>
      </c>
      <c r="E2062" s="9" t="s">
        <v>13385</v>
      </c>
      <c r="F2062" s="10" t="s">
        <v>8566</v>
      </c>
      <c r="G2062" s="8">
        <v>23.61</v>
      </c>
      <c r="H2062" s="8"/>
      <c r="I2062" s="10"/>
      <c r="J2062" s="10" t="s">
        <v>13386</v>
      </c>
      <c r="K2062" s="10" t="s">
        <v>13387</v>
      </c>
      <c r="L2062" s="11" t="s">
        <v>13388</v>
      </c>
      <c r="M2062" s="10"/>
      <c r="N2062" s="12"/>
      <c r="O2062" s="12"/>
      <c r="P2062" s="13">
        <f>IFERROR(__xludf.DUMMYFUNCTION("VALUE(SUBSTITUTE((INDEX(SPLIT(A2062,"",""),1)),""."","","",1))"),45.018474)</f>
        <v>45.018474</v>
      </c>
      <c r="Q2062" s="13">
        <f>IFERROR(__xludf.DUMMYFUNCTION("VALUE(SUBSTITUTE((INDEX(SPLIT(A2062,"",""),2)),""."","","",1))"),39.067399)</f>
        <v>39.067399</v>
      </c>
      <c r="R2062" s="14" t="b">
        <f t="shared" si="1"/>
        <v>0</v>
      </c>
      <c r="S2062" s="14" t="str">
        <f t="shared" si="2"/>
        <v>45.018474,39.067399</v>
      </c>
      <c r="T2062" s="12"/>
    </row>
    <row r="2063">
      <c r="A2063" s="15" t="s">
        <v>13389</v>
      </c>
      <c r="B2063" s="16" t="s">
        <v>13390</v>
      </c>
      <c r="C2063" s="16" t="s">
        <v>13391</v>
      </c>
      <c r="D2063" s="16" t="s">
        <v>16</v>
      </c>
      <c r="E2063" s="17" t="s">
        <v>13392</v>
      </c>
      <c r="F2063" s="16" t="s">
        <v>9563</v>
      </c>
      <c r="G2063" s="16">
        <v>23.61</v>
      </c>
      <c r="H2063" s="16"/>
      <c r="I2063" s="16"/>
      <c r="J2063" s="16" t="s">
        <v>13393</v>
      </c>
      <c r="K2063" s="16" t="s">
        <v>13394</v>
      </c>
      <c r="L2063" s="16"/>
      <c r="M2063" s="25" t="s">
        <v>13395</v>
      </c>
      <c r="N2063" s="12"/>
      <c r="O2063" s="12"/>
      <c r="P2063" s="13">
        <f>IFERROR(__xludf.DUMMYFUNCTION("VALUE(SUBSTITUTE((INDEX(SPLIT(A2063,"",""),1)),""."","","",1))"),51.692302)</f>
        <v>51.692302</v>
      </c>
      <c r="Q2063" s="13">
        <f>IFERROR(__xludf.DUMMYFUNCTION("VALUE(SUBSTITUTE((INDEX(SPLIT(A2063,"",""),2)),""."","","",1))"),39.069403)</f>
        <v>39.069403</v>
      </c>
      <c r="R2063" s="14" t="b">
        <f t="shared" si="1"/>
        <v>0</v>
      </c>
      <c r="S2063" s="14" t="str">
        <f t="shared" si="2"/>
        <v>51.692302,39.069403</v>
      </c>
      <c r="T2063" s="12"/>
    </row>
    <row r="2064">
      <c r="A2064" s="7" t="s">
        <v>13396</v>
      </c>
      <c r="B2064" s="8" t="s">
        <v>13397</v>
      </c>
      <c r="C2064" s="8" t="s">
        <v>13398</v>
      </c>
      <c r="D2064" s="8" t="s">
        <v>16</v>
      </c>
      <c r="E2064" s="9" t="s">
        <v>13399</v>
      </c>
      <c r="F2064" s="10" t="s">
        <v>8566</v>
      </c>
      <c r="G2064" s="8">
        <v>23.61</v>
      </c>
      <c r="H2064" s="8"/>
      <c r="I2064" s="31" t="s">
        <v>13400</v>
      </c>
      <c r="J2064" s="10" t="s">
        <v>13401</v>
      </c>
      <c r="K2064" s="10" t="s">
        <v>13402</v>
      </c>
      <c r="L2064" s="29" t="s">
        <v>13403</v>
      </c>
      <c r="M2064" s="10"/>
      <c r="N2064" s="12"/>
      <c r="O2064" s="12"/>
      <c r="P2064" s="13">
        <f>IFERROR(__xludf.DUMMYFUNCTION("VALUE(SUBSTITUTE((INDEX(SPLIT(A2064,"",""),1)),""."","","",1))"),45.043158)</f>
        <v>45.043158</v>
      </c>
      <c r="Q2064" s="13">
        <f>IFERROR(__xludf.DUMMYFUNCTION("VALUE(SUBSTITUTE((INDEX(SPLIT(A2064,"",""),2)),""."","","",1))"),39.072493)</f>
        <v>39.072493</v>
      </c>
      <c r="R2064" s="14" t="b">
        <f t="shared" si="1"/>
        <v>0</v>
      </c>
      <c r="S2064" s="14" t="str">
        <f t="shared" si="2"/>
        <v>45.043158,39.072493</v>
      </c>
      <c r="T2064" s="12"/>
    </row>
    <row r="2065">
      <c r="A2065" s="20" t="s">
        <v>13396</v>
      </c>
      <c r="B2065" s="16" t="s">
        <v>13404</v>
      </c>
      <c r="C2065" s="16" t="s">
        <v>13405</v>
      </c>
      <c r="D2065" s="16" t="s">
        <v>16</v>
      </c>
      <c r="E2065" s="21" t="s">
        <v>13406</v>
      </c>
      <c r="F2065" s="22" t="s">
        <v>8566</v>
      </c>
      <c r="G2065" s="16">
        <v>23.61</v>
      </c>
      <c r="H2065" s="16"/>
      <c r="I2065" s="22"/>
      <c r="J2065" s="22" t="s">
        <v>13407</v>
      </c>
      <c r="K2065" s="22" t="s">
        <v>13408</v>
      </c>
      <c r="L2065" s="23" t="s">
        <v>13409</v>
      </c>
      <c r="M2065" s="22"/>
      <c r="N2065" s="12"/>
      <c r="O2065" s="12"/>
      <c r="P2065" s="13">
        <f>IFERROR(__xludf.DUMMYFUNCTION("VALUE(SUBSTITUTE((INDEX(SPLIT(A2065,"",""),1)),""."","","",1))"),45.043158)</f>
        <v>45.043158</v>
      </c>
      <c r="Q2065" s="13">
        <f>IFERROR(__xludf.DUMMYFUNCTION("VALUE(SUBSTITUTE((INDEX(SPLIT(A2065,"",""),2)),""."","","",1))"),39.072493)</f>
        <v>39.072493</v>
      </c>
      <c r="R2065" s="14" t="b">
        <f t="shared" si="1"/>
        <v>0</v>
      </c>
      <c r="S2065" s="14" t="str">
        <f t="shared" si="2"/>
        <v>45.043158,39.072493</v>
      </c>
      <c r="T2065" s="12"/>
    </row>
    <row r="2066">
      <c r="A2066" s="18" t="s">
        <v>13410</v>
      </c>
      <c r="B2066" s="8" t="s">
        <v>13411</v>
      </c>
      <c r="C2066" s="8" t="s">
        <v>13412</v>
      </c>
      <c r="D2066" s="8" t="s">
        <v>16</v>
      </c>
      <c r="E2066" s="19" t="s">
        <v>13413</v>
      </c>
      <c r="F2066" s="8" t="s">
        <v>8566</v>
      </c>
      <c r="G2066" s="8">
        <v>23.61</v>
      </c>
      <c r="H2066" s="8"/>
      <c r="I2066" s="8"/>
      <c r="J2066" s="8" t="s">
        <v>13414</v>
      </c>
      <c r="K2066" s="8" t="s">
        <v>13415</v>
      </c>
      <c r="L2066" s="8"/>
      <c r="M2066" s="8"/>
      <c r="N2066" s="12"/>
      <c r="O2066" s="12"/>
      <c r="P2066" s="13">
        <f>IFERROR(__xludf.DUMMYFUNCTION("VALUE(SUBSTITUTE((INDEX(SPLIT(A2066,"",""),1)),""."","","",1))"),45.089133)</f>
        <v>45.089133</v>
      </c>
      <c r="Q2066" s="13">
        <f>IFERROR(__xludf.DUMMYFUNCTION("VALUE(SUBSTITUTE((INDEX(SPLIT(A2066,"",""),2)),""."","","",1))"),39.073175)</f>
        <v>39.073175</v>
      </c>
      <c r="R2066" s="14" t="b">
        <f t="shared" si="1"/>
        <v>0</v>
      </c>
      <c r="S2066" s="14" t="str">
        <f t="shared" si="2"/>
        <v>45.089133,39.073175</v>
      </c>
      <c r="T2066" s="12"/>
    </row>
    <row r="2067">
      <c r="A2067" s="15" t="s">
        <v>13416</v>
      </c>
      <c r="B2067" s="16" t="s">
        <v>13417</v>
      </c>
      <c r="C2067" s="16" t="s">
        <v>13418</v>
      </c>
      <c r="D2067" s="16" t="s">
        <v>16</v>
      </c>
      <c r="E2067" s="17" t="s">
        <v>13419</v>
      </c>
      <c r="F2067" s="16" t="s">
        <v>8566</v>
      </c>
      <c r="G2067" s="16">
        <v>23.61</v>
      </c>
      <c r="H2067" s="16"/>
      <c r="I2067" s="16"/>
      <c r="J2067" s="16" t="s">
        <v>13420</v>
      </c>
      <c r="K2067" s="16" t="s">
        <v>13421</v>
      </c>
      <c r="L2067" s="16"/>
      <c r="M2067" s="25" t="s">
        <v>13422</v>
      </c>
      <c r="N2067" s="12"/>
      <c r="O2067" s="12"/>
      <c r="P2067" s="13">
        <f>IFERROR(__xludf.DUMMYFUNCTION("VALUE(SUBSTITUTE((INDEX(SPLIT(A2067,"",""),1)),""."","","",1))"),45.006648)</f>
        <v>45.006648</v>
      </c>
      <c r="Q2067" s="13">
        <f>IFERROR(__xludf.DUMMYFUNCTION("VALUE(SUBSTITUTE((INDEX(SPLIT(A2067,"",""),2)),""."","","",1))"),39.073382)</f>
        <v>39.073382</v>
      </c>
      <c r="R2067" s="14" t="b">
        <f t="shared" si="1"/>
        <v>0</v>
      </c>
      <c r="S2067" s="14" t="str">
        <f t="shared" si="2"/>
        <v>45.006648,39.073382</v>
      </c>
      <c r="T2067" s="12"/>
    </row>
    <row r="2068">
      <c r="A2068" s="7" t="s">
        <v>13423</v>
      </c>
      <c r="B2068" s="8" t="s">
        <v>13424</v>
      </c>
      <c r="C2068" s="8" t="s">
        <v>13425</v>
      </c>
      <c r="D2068" s="8" t="s">
        <v>16</v>
      </c>
      <c r="E2068" s="9" t="s">
        <v>13426</v>
      </c>
      <c r="F2068" s="10" t="s">
        <v>8566</v>
      </c>
      <c r="G2068" s="8">
        <v>23.61</v>
      </c>
      <c r="H2068" s="8"/>
      <c r="I2068" s="31" t="s">
        <v>13427</v>
      </c>
      <c r="J2068" s="10" t="s">
        <v>13428</v>
      </c>
      <c r="K2068" s="10" t="s">
        <v>13429</v>
      </c>
      <c r="L2068" s="11" t="s">
        <v>13430</v>
      </c>
      <c r="M2068" s="11" t="s">
        <v>13431</v>
      </c>
      <c r="N2068" s="12"/>
      <c r="O2068" s="12"/>
      <c r="P2068" s="13">
        <f>IFERROR(__xludf.DUMMYFUNCTION("VALUE(SUBSTITUTE((INDEX(SPLIT(A2068,"",""),1)),""."","","",1))"),45.030967)</f>
        <v>45.030967</v>
      </c>
      <c r="Q2068" s="13">
        <f>IFERROR(__xludf.DUMMYFUNCTION("VALUE(SUBSTITUTE((INDEX(SPLIT(A2068,"",""),2)),""."","","",1))"),39.086668)</f>
        <v>39.086668</v>
      </c>
      <c r="R2068" s="14" t="b">
        <f t="shared" si="1"/>
        <v>0</v>
      </c>
      <c r="S2068" s="14" t="str">
        <f t="shared" si="2"/>
        <v>45.030967,39.086668</v>
      </c>
      <c r="T2068" s="12"/>
    </row>
    <row r="2069">
      <c r="A2069" s="15" t="s">
        <v>13432</v>
      </c>
      <c r="B2069" s="16" t="s">
        <v>13433</v>
      </c>
      <c r="C2069" s="16" t="s">
        <v>13434</v>
      </c>
      <c r="D2069" s="16" t="s">
        <v>16</v>
      </c>
      <c r="E2069" s="17" t="s">
        <v>13435</v>
      </c>
      <c r="F2069" s="16" t="s">
        <v>8566</v>
      </c>
      <c r="G2069" s="16">
        <v>23.61</v>
      </c>
      <c r="H2069" s="16"/>
      <c r="I2069" s="16"/>
      <c r="J2069" s="16" t="s">
        <v>13436</v>
      </c>
      <c r="K2069" s="16" t="s">
        <v>13437</v>
      </c>
      <c r="L2069" s="16"/>
      <c r="M2069" s="25" t="s">
        <v>13438</v>
      </c>
      <c r="N2069" s="12"/>
      <c r="O2069" s="12"/>
      <c r="P2069" s="13">
        <f>IFERROR(__xludf.DUMMYFUNCTION("VALUE(SUBSTITUTE((INDEX(SPLIT(A2069,"",""),1)),""."","","",1))"),45.026419)</f>
        <v>45.026419</v>
      </c>
      <c r="Q2069" s="13">
        <f>IFERROR(__xludf.DUMMYFUNCTION("VALUE(SUBSTITUTE((INDEX(SPLIT(A2069,"",""),2)),""."","","",1))"),39.088186)</f>
        <v>39.088186</v>
      </c>
      <c r="R2069" s="14" t="b">
        <f t="shared" si="1"/>
        <v>0</v>
      </c>
      <c r="S2069" s="14" t="str">
        <f t="shared" si="2"/>
        <v>45.026419,39.088186</v>
      </c>
      <c r="T2069" s="12"/>
    </row>
    <row r="2070">
      <c r="A2070" s="7" t="s">
        <v>13439</v>
      </c>
      <c r="B2070" s="8" t="s">
        <v>13440</v>
      </c>
      <c r="C2070" s="8" t="s">
        <v>13441</v>
      </c>
      <c r="D2070" s="8" t="s">
        <v>16</v>
      </c>
      <c r="E2070" s="9" t="s">
        <v>13442</v>
      </c>
      <c r="F2070" s="10" t="s">
        <v>8566</v>
      </c>
      <c r="G2070" s="8">
        <v>23.61</v>
      </c>
      <c r="H2070" s="8"/>
      <c r="I2070" s="10"/>
      <c r="J2070" s="10" t="s">
        <v>13443</v>
      </c>
      <c r="K2070" s="10" t="s">
        <v>13444</v>
      </c>
      <c r="L2070" s="11" t="s">
        <v>13445</v>
      </c>
      <c r="M2070" s="10"/>
      <c r="N2070" s="12"/>
      <c r="O2070" s="12"/>
      <c r="P2070" s="13">
        <f>IFERROR(__xludf.DUMMYFUNCTION("VALUE(SUBSTITUTE((INDEX(SPLIT(A2070,"",""),1)),""."","","",1))"),45.097214)</f>
        <v>45.097214</v>
      </c>
      <c r="Q2070" s="13">
        <f>IFERROR(__xludf.DUMMYFUNCTION("VALUE(SUBSTITUTE((INDEX(SPLIT(A2070,"",""),2)),""."","","",1))"),39.0916)</f>
        <v>39.0916</v>
      </c>
      <c r="R2070" s="14" t="b">
        <f t="shared" si="1"/>
        <v>0</v>
      </c>
      <c r="S2070" s="14" t="str">
        <f t="shared" si="2"/>
        <v>45.097214,39.0916</v>
      </c>
      <c r="T2070" s="12"/>
    </row>
    <row r="2071">
      <c r="A2071" s="20" t="s">
        <v>13446</v>
      </c>
      <c r="B2071" s="16" t="s">
        <v>13447</v>
      </c>
      <c r="C2071" s="16" t="s">
        <v>13448</v>
      </c>
      <c r="D2071" s="16" t="s">
        <v>16</v>
      </c>
      <c r="E2071" s="21" t="s">
        <v>13449</v>
      </c>
      <c r="F2071" s="22" t="s">
        <v>8566</v>
      </c>
      <c r="G2071" s="16">
        <v>23.61</v>
      </c>
      <c r="H2071" s="16"/>
      <c r="I2071" s="22"/>
      <c r="J2071" s="22" t="s">
        <v>13450</v>
      </c>
      <c r="K2071" s="22" t="s">
        <v>13451</v>
      </c>
      <c r="L2071" s="23" t="s">
        <v>13452</v>
      </c>
      <c r="M2071" s="23" t="s">
        <v>13453</v>
      </c>
      <c r="N2071" s="12"/>
      <c r="O2071" s="12"/>
      <c r="P2071" s="13">
        <f>IFERROR(__xludf.DUMMYFUNCTION("VALUE(SUBSTITUTE((INDEX(SPLIT(A2071,"",""),1)),""."","","",1))"),45.036757)</f>
        <v>45.036757</v>
      </c>
      <c r="Q2071" s="13">
        <f>IFERROR(__xludf.DUMMYFUNCTION("VALUE(SUBSTITUTE((INDEX(SPLIT(A2071,"",""),2)),""."","","",1))"),39.09186)</f>
        <v>39.09186</v>
      </c>
      <c r="R2071" s="14" t="b">
        <f t="shared" si="1"/>
        <v>0</v>
      </c>
      <c r="S2071" s="14" t="str">
        <f t="shared" si="2"/>
        <v>45.036757,39.09186</v>
      </c>
      <c r="T2071" s="12"/>
    </row>
    <row r="2072">
      <c r="A2072" s="7" t="s">
        <v>13454</v>
      </c>
      <c r="B2072" s="8" t="s">
        <v>13455</v>
      </c>
      <c r="C2072" s="8" t="s">
        <v>13456</v>
      </c>
      <c r="D2072" s="8" t="s">
        <v>16</v>
      </c>
      <c r="E2072" s="9" t="s">
        <v>13457</v>
      </c>
      <c r="F2072" s="10" t="s">
        <v>8566</v>
      </c>
      <c r="G2072" s="8">
        <v>23.61</v>
      </c>
      <c r="H2072" s="8"/>
      <c r="I2072" s="10"/>
      <c r="J2072" s="10" t="s">
        <v>13458</v>
      </c>
      <c r="K2072" s="10" t="s">
        <v>13459</v>
      </c>
      <c r="L2072" s="11" t="s">
        <v>13460</v>
      </c>
      <c r="M2072" s="11" t="s">
        <v>13461</v>
      </c>
      <c r="N2072" s="12"/>
      <c r="O2072" s="12"/>
      <c r="P2072" s="13">
        <f>IFERROR(__xludf.DUMMYFUNCTION("VALUE(SUBSTITUTE((INDEX(SPLIT(A2072,"",""),1)),""."","","",1))"),45.027489)</f>
        <v>45.027489</v>
      </c>
      <c r="Q2072" s="13">
        <f>IFERROR(__xludf.DUMMYFUNCTION("VALUE(SUBSTITUTE((INDEX(SPLIT(A2072,"",""),2)),""."","","",1))"),39.098328)</f>
        <v>39.098328</v>
      </c>
      <c r="R2072" s="14" t="b">
        <f t="shared" si="1"/>
        <v>0</v>
      </c>
      <c r="S2072" s="14" t="str">
        <f t="shared" si="2"/>
        <v>45.027489,39.098328</v>
      </c>
      <c r="T2072" s="12"/>
    </row>
    <row r="2073">
      <c r="A2073" s="15" t="s">
        <v>13462</v>
      </c>
      <c r="B2073" s="16" t="s">
        <v>13463</v>
      </c>
      <c r="C2073" s="16" t="s">
        <v>13464</v>
      </c>
      <c r="D2073" s="16" t="s">
        <v>16</v>
      </c>
      <c r="E2073" s="17" t="s">
        <v>13465</v>
      </c>
      <c r="F2073" s="16" t="s">
        <v>8566</v>
      </c>
      <c r="G2073" s="16">
        <v>23.61</v>
      </c>
      <c r="H2073" s="16"/>
      <c r="I2073" s="16"/>
      <c r="J2073" s="16" t="s">
        <v>13466</v>
      </c>
      <c r="K2073" s="16" t="s">
        <v>13467</v>
      </c>
      <c r="L2073" s="16"/>
      <c r="M2073" s="25" t="s">
        <v>13468</v>
      </c>
      <c r="N2073" s="12"/>
      <c r="O2073" s="12"/>
      <c r="P2073" s="13">
        <f>IFERROR(__xludf.DUMMYFUNCTION("VALUE(SUBSTITUTE((INDEX(SPLIT(A2073,"",""),1)),""."","","",1))"),45.00638)</f>
        <v>45.00638</v>
      </c>
      <c r="Q2073" s="13">
        <f>IFERROR(__xludf.DUMMYFUNCTION("VALUE(SUBSTITUTE((INDEX(SPLIT(A2073,"",""),2)),""."","","",1))"),39.106476)</f>
        <v>39.106476</v>
      </c>
      <c r="R2073" s="14" t="b">
        <f t="shared" si="1"/>
        <v>0</v>
      </c>
      <c r="S2073" s="14" t="str">
        <f t="shared" si="2"/>
        <v>45.00638,39.106476</v>
      </c>
      <c r="T2073" s="12"/>
    </row>
    <row r="2074">
      <c r="A2074" s="18" t="s">
        <v>13462</v>
      </c>
      <c r="B2074" s="8" t="s">
        <v>13469</v>
      </c>
      <c r="C2074" s="8" t="s">
        <v>13470</v>
      </c>
      <c r="D2074" s="8" t="s">
        <v>16</v>
      </c>
      <c r="E2074" s="19" t="s">
        <v>13471</v>
      </c>
      <c r="F2074" s="8" t="s">
        <v>8566</v>
      </c>
      <c r="G2074" s="8">
        <v>23.61</v>
      </c>
      <c r="H2074" s="8"/>
      <c r="I2074" s="8"/>
      <c r="J2074" s="8" t="s">
        <v>13466</v>
      </c>
      <c r="K2074" s="8" t="s">
        <v>13467</v>
      </c>
      <c r="L2074" s="8"/>
      <c r="M2074" s="24" t="s">
        <v>13468</v>
      </c>
      <c r="N2074" s="12"/>
      <c r="O2074" s="12"/>
      <c r="P2074" s="13">
        <f>IFERROR(__xludf.DUMMYFUNCTION("VALUE(SUBSTITUTE((INDEX(SPLIT(A2074,"",""),1)),""."","","",1))"),45.00638)</f>
        <v>45.00638</v>
      </c>
      <c r="Q2074" s="13">
        <f>IFERROR(__xludf.DUMMYFUNCTION("VALUE(SUBSTITUTE((INDEX(SPLIT(A2074,"",""),2)),""."","","",1))"),39.106476)</f>
        <v>39.106476</v>
      </c>
      <c r="R2074" s="14" t="b">
        <f t="shared" si="1"/>
        <v>0</v>
      </c>
      <c r="S2074" s="14" t="str">
        <f t="shared" si="2"/>
        <v>45.00638,39.106476</v>
      </c>
      <c r="T2074" s="12"/>
    </row>
    <row r="2075">
      <c r="A2075" s="15" t="s">
        <v>13472</v>
      </c>
      <c r="B2075" s="16" t="s">
        <v>13473</v>
      </c>
      <c r="C2075" s="16" t="s">
        <v>13474</v>
      </c>
      <c r="D2075" s="16" t="s">
        <v>16</v>
      </c>
      <c r="E2075" s="17" t="s">
        <v>13475</v>
      </c>
      <c r="F2075" s="16" t="s">
        <v>4263</v>
      </c>
      <c r="G2075" s="16">
        <v>23.61</v>
      </c>
      <c r="H2075" s="16"/>
      <c r="I2075" s="16"/>
      <c r="J2075" s="16" t="s">
        <v>13476</v>
      </c>
      <c r="K2075" s="16" t="s">
        <v>13477</v>
      </c>
      <c r="L2075" s="16"/>
      <c r="M2075" s="16"/>
      <c r="N2075" s="12"/>
      <c r="O2075" s="12"/>
      <c r="P2075" s="13">
        <f>IFERROR(__xludf.DUMMYFUNCTION("VALUE(SUBSTITUTE((INDEX(SPLIT(A2075,"",""),1)),""."","","",1))"),44.992046)</f>
        <v>44.992046</v>
      </c>
      <c r="Q2075" s="13">
        <f>IFERROR(__xludf.DUMMYFUNCTION("VALUE(SUBSTITUTE((INDEX(SPLIT(A2075,"",""),2)),""."","","",1))"),39.111004)</f>
        <v>39.111004</v>
      </c>
      <c r="R2075" s="14" t="b">
        <f t="shared" si="1"/>
        <v>0</v>
      </c>
      <c r="S2075" s="14" t="str">
        <f t="shared" si="2"/>
        <v>44.992046,39.111004</v>
      </c>
      <c r="T2075" s="12"/>
    </row>
    <row r="2076">
      <c r="A2076" s="18" t="s">
        <v>13478</v>
      </c>
      <c r="B2076" s="8" t="s">
        <v>13479</v>
      </c>
      <c r="C2076" s="8" t="s">
        <v>13480</v>
      </c>
      <c r="D2076" s="8" t="s">
        <v>16</v>
      </c>
      <c r="E2076" s="19" t="s">
        <v>13481</v>
      </c>
      <c r="F2076" s="8" t="s">
        <v>13482</v>
      </c>
      <c r="G2076" s="8">
        <v>23.61</v>
      </c>
      <c r="H2076" s="8"/>
      <c r="I2076" s="8"/>
      <c r="J2076" s="8" t="s">
        <v>13483</v>
      </c>
      <c r="K2076" s="8" t="s">
        <v>13484</v>
      </c>
      <c r="L2076" s="8"/>
      <c r="M2076" s="8"/>
      <c r="N2076" s="12"/>
      <c r="O2076" s="12"/>
      <c r="P2076" s="13">
        <f>IFERROR(__xludf.DUMMYFUNCTION("VALUE(SUBSTITUTE((INDEX(SPLIT(A2076,"",""),1)),""."","","",1))"),45.039235)</f>
        <v>45.039235</v>
      </c>
      <c r="Q2076" s="13">
        <f>IFERROR(__xludf.DUMMYFUNCTION("VALUE(SUBSTITUTE((INDEX(SPLIT(A2076,"",""),2)),""."","","",1))"),39.115055)</f>
        <v>39.115055</v>
      </c>
      <c r="R2076" s="14" t="b">
        <f t="shared" si="1"/>
        <v>0</v>
      </c>
      <c r="S2076" s="14" t="str">
        <f t="shared" si="2"/>
        <v>45.039235,39.115055</v>
      </c>
      <c r="T2076" s="12"/>
    </row>
    <row r="2077">
      <c r="A2077" s="15" t="s">
        <v>13485</v>
      </c>
      <c r="B2077" s="16" t="s">
        <v>13486</v>
      </c>
      <c r="C2077" s="16" t="s">
        <v>13487</v>
      </c>
      <c r="D2077" s="16" t="s">
        <v>16</v>
      </c>
      <c r="E2077" s="17" t="s">
        <v>13488</v>
      </c>
      <c r="F2077" s="16" t="s">
        <v>9563</v>
      </c>
      <c r="G2077" s="16">
        <v>23.61</v>
      </c>
      <c r="H2077" s="16"/>
      <c r="I2077" s="16"/>
      <c r="J2077" s="16" t="s">
        <v>13489</v>
      </c>
      <c r="K2077" s="16" t="s">
        <v>13490</v>
      </c>
      <c r="L2077" s="16"/>
      <c r="M2077" s="16"/>
      <c r="N2077" s="12"/>
      <c r="O2077" s="12"/>
      <c r="P2077" s="13">
        <f>IFERROR(__xludf.DUMMYFUNCTION("VALUE(SUBSTITUTE((INDEX(SPLIT(A2077,"",""),1)),""."","","",1))"),51.690152)</f>
        <v>51.690152</v>
      </c>
      <c r="Q2077" s="13">
        <f>IFERROR(__xludf.DUMMYFUNCTION("VALUE(SUBSTITUTE((INDEX(SPLIT(A2077,"",""),2)),""."","","",1))"),39.126392)</f>
        <v>39.126392</v>
      </c>
      <c r="R2077" s="14" t="b">
        <f t="shared" si="1"/>
        <v>0</v>
      </c>
      <c r="S2077" s="14" t="str">
        <f t="shared" si="2"/>
        <v>51.690152,39.126392</v>
      </c>
      <c r="T2077" s="12"/>
    </row>
    <row r="2078">
      <c r="A2078" s="7" t="s">
        <v>13491</v>
      </c>
      <c r="B2078" s="8" t="s">
        <v>13492</v>
      </c>
      <c r="C2078" s="8" t="s">
        <v>13493</v>
      </c>
      <c r="D2078" s="8" t="s">
        <v>16</v>
      </c>
      <c r="E2078" s="9" t="s">
        <v>13494</v>
      </c>
      <c r="F2078" s="10" t="s">
        <v>9563</v>
      </c>
      <c r="G2078" s="8">
        <v>23.61</v>
      </c>
      <c r="H2078" s="8"/>
      <c r="I2078" s="10"/>
      <c r="J2078" s="10" t="s">
        <v>13495</v>
      </c>
      <c r="K2078" s="10" t="s">
        <v>13496</v>
      </c>
      <c r="L2078" s="11" t="s">
        <v>13497</v>
      </c>
      <c r="M2078" s="10"/>
      <c r="N2078" s="12"/>
      <c r="O2078" s="12"/>
      <c r="P2078" s="13">
        <f>IFERROR(__xludf.DUMMYFUNCTION("VALUE(SUBSTITUTE((INDEX(SPLIT(A2078,"",""),1)),""."","","",1))"),51.723304)</f>
        <v>51.723304</v>
      </c>
      <c r="Q2078" s="13">
        <f>IFERROR(__xludf.DUMMYFUNCTION("VALUE(SUBSTITUTE((INDEX(SPLIT(A2078,"",""),2)),""."","","",1))"),39.135555)</f>
        <v>39.135555</v>
      </c>
      <c r="R2078" s="14" t="b">
        <f t="shared" si="1"/>
        <v>0</v>
      </c>
      <c r="S2078" s="14" t="str">
        <f t="shared" si="2"/>
        <v>51.723304,39.135555</v>
      </c>
      <c r="T2078" s="12"/>
    </row>
    <row r="2079">
      <c r="A2079" s="15" t="s">
        <v>13498</v>
      </c>
      <c r="B2079" s="16" t="s">
        <v>516</v>
      </c>
      <c r="C2079" s="16" t="s">
        <v>517</v>
      </c>
      <c r="D2079" s="16" t="s">
        <v>16</v>
      </c>
      <c r="E2079" s="17" t="s">
        <v>13499</v>
      </c>
      <c r="F2079" s="16" t="s">
        <v>9563</v>
      </c>
      <c r="G2079" s="16">
        <v>23.61</v>
      </c>
      <c r="H2079" s="16"/>
      <c r="I2079" s="16"/>
      <c r="J2079" s="16" t="s">
        <v>13500</v>
      </c>
      <c r="K2079" s="16" t="s">
        <v>13501</v>
      </c>
      <c r="L2079" s="16"/>
      <c r="M2079" s="16"/>
      <c r="N2079" s="12"/>
      <c r="O2079" s="12"/>
      <c r="P2079" s="13">
        <f>IFERROR(__xludf.DUMMYFUNCTION("VALUE(SUBSTITUTE((INDEX(SPLIT(A2079,"",""),1)),""."","","",1))"),51.660764)</f>
        <v>51.660764</v>
      </c>
      <c r="Q2079" s="13">
        <f>IFERROR(__xludf.DUMMYFUNCTION("VALUE(SUBSTITUTE((INDEX(SPLIT(A2079,"",""),2)),""."","","",1))"),39.143927)</f>
        <v>39.143927</v>
      </c>
      <c r="R2079" s="14" t="b">
        <f t="shared" si="1"/>
        <v>0</v>
      </c>
      <c r="S2079" s="14" t="str">
        <f t="shared" si="2"/>
        <v>51.660764,39.143927</v>
      </c>
      <c r="T2079" s="12"/>
    </row>
    <row r="2080">
      <c r="A2080" s="7" t="s">
        <v>13502</v>
      </c>
      <c r="B2080" s="8" t="s">
        <v>10210</v>
      </c>
      <c r="C2080" s="8" t="s">
        <v>10211</v>
      </c>
      <c r="D2080" s="8" t="s">
        <v>16</v>
      </c>
      <c r="E2080" s="9" t="s">
        <v>13503</v>
      </c>
      <c r="F2080" s="10" t="s">
        <v>9563</v>
      </c>
      <c r="G2080" s="8">
        <v>23.61</v>
      </c>
      <c r="H2080" s="8"/>
      <c r="I2080" s="10"/>
      <c r="J2080" s="10" t="s">
        <v>13504</v>
      </c>
      <c r="K2080" s="10" t="s">
        <v>13505</v>
      </c>
      <c r="L2080" s="11" t="s">
        <v>13506</v>
      </c>
      <c r="M2080" s="10"/>
      <c r="N2080" s="12"/>
      <c r="O2080" s="12"/>
      <c r="P2080" s="13">
        <f>IFERROR(__xludf.DUMMYFUNCTION("VALUE(SUBSTITUTE((INDEX(SPLIT(A2080,"",""),1)),""."","","",1))"),51.706106)</f>
        <v>51.706106</v>
      </c>
      <c r="Q2080" s="13">
        <f>IFERROR(__xludf.DUMMYFUNCTION("VALUE(SUBSTITUTE((INDEX(SPLIT(A2080,"",""),2)),""."","","",1))"),39.151221)</f>
        <v>39.151221</v>
      </c>
      <c r="R2080" s="14" t="b">
        <f t="shared" si="1"/>
        <v>0</v>
      </c>
      <c r="S2080" s="14" t="str">
        <f t="shared" si="2"/>
        <v>51.706106,39.151221</v>
      </c>
      <c r="T2080" s="12"/>
    </row>
    <row r="2081">
      <c r="A2081" s="15" t="s">
        <v>13507</v>
      </c>
      <c r="B2081" s="16" t="s">
        <v>13508</v>
      </c>
      <c r="C2081" s="16" t="s">
        <v>13509</v>
      </c>
      <c r="D2081" s="16" t="s">
        <v>16</v>
      </c>
      <c r="E2081" s="17" t="s">
        <v>13510</v>
      </c>
      <c r="F2081" s="16" t="s">
        <v>9563</v>
      </c>
      <c r="G2081" s="16">
        <v>23.61</v>
      </c>
      <c r="H2081" s="16"/>
      <c r="I2081" s="16"/>
      <c r="J2081" s="16" t="s">
        <v>13511</v>
      </c>
      <c r="K2081" s="16" t="s">
        <v>13512</v>
      </c>
      <c r="L2081" s="16"/>
      <c r="M2081" s="16"/>
      <c r="N2081" s="12"/>
      <c r="O2081" s="12"/>
      <c r="P2081" s="13">
        <f>IFERROR(__xludf.DUMMYFUNCTION("VALUE(SUBSTITUTE((INDEX(SPLIT(A2081,"",""),1)),""."","","",1))"),51.688293)</f>
        <v>51.688293</v>
      </c>
      <c r="Q2081" s="13">
        <f>IFERROR(__xludf.DUMMYFUNCTION("VALUE(SUBSTITUTE((INDEX(SPLIT(A2081,"",""),2)),""."","","",1))"),39.151329)</f>
        <v>39.151329</v>
      </c>
      <c r="R2081" s="14" t="b">
        <f t="shared" si="1"/>
        <v>0</v>
      </c>
      <c r="S2081" s="14" t="str">
        <f t="shared" si="2"/>
        <v>51.688293,39.151329</v>
      </c>
      <c r="T2081" s="12"/>
    </row>
    <row r="2082">
      <c r="A2082" s="7" t="s">
        <v>13513</v>
      </c>
      <c r="B2082" s="8" t="s">
        <v>13514</v>
      </c>
      <c r="C2082" s="8" t="s">
        <v>13515</v>
      </c>
      <c r="D2082" s="8" t="s">
        <v>16</v>
      </c>
      <c r="E2082" s="9" t="s">
        <v>13516</v>
      </c>
      <c r="F2082" s="10" t="s">
        <v>8566</v>
      </c>
      <c r="G2082" s="8">
        <v>23.61</v>
      </c>
      <c r="H2082" s="8"/>
      <c r="I2082" s="10"/>
      <c r="J2082" s="10" t="s">
        <v>13517</v>
      </c>
      <c r="K2082" s="10" t="s">
        <v>13518</v>
      </c>
      <c r="L2082" s="11" t="s">
        <v>13519</v>
      </c>
      <c r="M2082" s="10"/>
      <c r="N2082" s="12"/>
      <c r="O2082" s="12"/>
      <c r="P2082" s="13">
        <f>IFERROR(__xludf.DUMMYFUNCTION("VALUE(SUBSTITUTE((INDEX(SPLIT(A2082,"",""),1)),""."","","",1))"),44.635567)</f>
        <v>44.635567</v>
      </c>
      <c r="Q2082" s="13">
        <f>IFERROR(__xludf.DUMMYFUNCTION("VALUE(SUBSTITUTE((INDEX(SPLIT(A2082,"",""),2)),""."","","",1))"),39.152003)</f>
        <v>39.152003</v>
      </c>
      <c r="R2082" s="14" t="b">
        <f t="shared" si="1"/>
        <v>0</v>
      </c>
      <c r="S2082" s="14" t="str">
        <f t="shared" si="2"/>
        <v>44.635567,39.152003</v>
      </c>
      <c r="T2082" s="12"/>
    </row>
    <row r="2083">
      <c r="A2083" s="15" t="s">
        <v>13520</v>
      </c>
      <c r="B2083" s="16" t="s">
        <v>13521</v>
      </c>
      <c r="C2083" s="16" t="s">
        <v>13522</v>
      </c>
      <c r="D2083" s="16" t="s">
        <v>16</v>
      </c>
      <c r="E2083" s="17" t="s">
        <v>13523</v>
      </c>
      <c r="F2083" s="16" t="s">
        <v>9563</v>
      </c>
      <c r="G2083" s="16">
        <v>23.61</v>
      </c>
      <c r="H2083" s="16"/>
      <c r="I2083" s="16"/>
      <c r="J2083" s="16" t="s">
        <v>13524</v>
      </c>
      <c r="K2083" s="16" t="s">
        <v>13525</v>
      </c>
      <c r="L2083" s="16"/>
      <c r="M2083" s="16"/>
      <c r="N2083" s="12"/>
      <c r="O2083" s="12"/>
      <c r="P2083" s="13">
        <f>IFERROR(__xludf.DUMMYFUNCTION("VALUE(SUBSTITUTE((INDEX(SPLIT(A2083,"",""),1)),""."","","",1))"),51.658177)</f>
        <v>51.658177</v>
      </c>
      <c r="Q2083" s="13">
        <f>IFERROR(__xludf.DUMMYFUNCTION("VALUE(SUBSTITUTE((INDEX(SPLIT(A2083,"",""),2)),""."","","",1))"),39.154051)</f>
        <v>39.154051</v>
      </c>
      <c r="R2083" s="14" t="b">
        <f t="shared" si="1"/>
        <v>0</v>
      </c>
      <c r="S2083" s="14" t="str">
        <f t="shared" si="2"/>
        <v>51.658177,39.154051</v>
      </c>
      <c r="T2083" s="12"/>
    </row>
    <row r="2084">
      <c r="A2084" s="18" t="s">
        <v>13526</v>
      </c>
      <c r="B2084" s="8" t="s">
        <v>13527</v>
      </c>
      <c r="C2084" s="8" t="s">
        <v>13528</v>
      </c>
      <c r="D2084" s="8" t="s">
        <v>16</v>
      </c>
      <c r="E2084" s="19" t="s">
        <v>13529</v>
      </c>
      <c r="F2084" s="8" t="s">
        <v>12524</v>
      </c>
      <c r="G2084" s="8">
        <v>23.61</v>
      </c>
      <c r="H2084" s="8"/>
      <c r="I2084" s="8"/>
      <c r="J2084" s="8" t="s">
        <v>13530</v>
      </c>
      <c r="K2084" s="8" t="s">
        <v>13531</v>
      </c>
      <c r="L2084" s="8"/>
      <c r="M2084" s="8"/>
      <c r="N2084" s="12"/>
      <c r="O2084" s="12"/>
      <c r="P2084" s="13">
        <f>IFERROR(__xludf.DUMMYFUNCTION("VALUE(SUBSTITUTE((INDEX(SPLIT(A2084,"",""),1)),""."","","",1))"),53.252236)</f>
        <v>53.252236</v>
      </c>
      <c r="Q2084" s="13">
        <f>IFERROR(__xludf.DUMMYFUNCTION("VALUE(SUBSTITUTE((INDEX(SPLIT(A2084,"",""),2)),""."","","",1))"),39.165091)</f>
        <v>39.165091</v>
      </c>
      <c r="R2084" s="14" t="b">
        <f t="shared" si="1"/>
        <v>0</v>
      </c>
      <c r="S2084" s="14" t="str">
        <f t="shared" si="2"/>
        <v>53.252236,39.165091</v>
      </c>
      <c r="T2084" s="12"/>
    </row>
    <row r="2085">
      <c r="A2085" s="15" t="s">
        <v>13532</v>
      </c>
      <c r="B2085" s="16" t="s">
        <v>13533</v>
      </c>
      <c r="C2085" s="16" t="s">
        <v>13534</v>
      </c>
      <c r="D2085" s="16" t="s">
        <v>16</v>
      </c>
      <c r="E2085" s="17" t="s">
        <v>13535</v>
      </c>
      <c r="F2085" s="16" t="s">
        <v>9563</v>
      </c>
      <c r="G2085" s="16">
        <v>23.61</v>
      </c>
      <c r="H2085" s="16"/>
      <c r="I2085" s="16"/>
      <c r="J2085" s="16" t="s">
        <v>13536</v>
      </c>
      <c r="K2085" s="16" t="s">
        <v>13537</v>
      </c>
      <c r="L2085" s="16"/>
      <c r="M2085" s="16"/>
      <c r="N2085" s="12"/>
      <c r="O2085" s="12"/>
      <c r="P2085" s="13">
        <f>IFERROR(__xludf.DUMMYFUNCTION("VALUE(SUBSTITUTE((INDEX(SPLIT(A2085,"",""),1)),""."","","",1))"),51.722969)</f>
        <v>51.722969</v>
      </c>
      <c r="Q2085" s="13">
        <f>IFERROR(__xludf.DUMMYFUNCTION("VALUE(SUBSTITUTE((INDEX(SPLIT(A2085,"",""),2)),""."","","",1))"),39.172044)</f>
        <v>39.172044</v>
      </c>
      <c r="R2085" s="14" t="b">
        <f t="shared" si="1"/>
        <v>0</v>
      </c>
      <c r="S2085" s="14" t="str">
        <f t="shared" si="2"/>
        <v>51.722969,39.172044</v>
      </c>
      <c r="T2085" s="12"/>
    </row>
    <row r="2086">
      <c r="A2086" s="7" t="s">
        <v>13538</v>
      </c>
      <c r="B2086" s="8" t="s">
        <v>13539</v>
      </c>
      <c r="C2086" s="8" t="s">
        <v>13540</v>
      </c>
      <c r="D2086" s="8" t="s">
        <v>16</v>
      </c>
      <c r="E2086" s="9" t="s">
        <v>13541</v>
      </c>
      <c r="F2086" s="10" t="s">
        <v>9563</v>
      </c>
      <c r="G2086" s="8">
        <v>23.61</v>
      </c>
      <c r="H2086" s="8"/>
      <c r="I2086" s="10"/>
      <c r="J2086" s="10" t="s">
        <v>13542</v>
      </c>
      <c r="K2086" s="10" t="s">
        <v>13543</v>
      </c>
      <c r="L2086" s="11" t="s">
        <v>13544</v>
      </c>
      <c r="M2086" s="10"/>
      <c r="N2086" s="12"/>
      <c r="O2086" s="12"/>
      <c r="P2086" s="13">
        <f>IFERROR(__xludf.DUMMYFUNCTION("VALUE(SUBSTITUTE((INDEX(SPLIT(A2086,"",""),1)),""."","","",1))"),51.627051)</f>
        <v>51.627051</v>
      </c>
      <c r="Q2086" s="13">
        <f>IFERROR(__xludf.DUMMYFUNCTION("VALUE(SUBSTITUTE((INDEX(SPLIT(A2086,"",""),2)),""."","","",1))"),39.172978)</f>
        <v>39.172978</v>
      </c>
      <c r="R2086" s="14" t="b">
        <f t="shared" si="1"/>
        <v>0</v>
      </c>
      <c r="S2086" s="14" t="str">
        <f t="shared" si="2"/>
        <v>51.627051,39.172978</v>
      </c>
      <c r="T2086" s="12"/>
    </row>
    <row r="2087">
      <c r="A2087" s="20" t="s">
        <v>13545</v>
      </c>
      <c r="B2087" s="16" t="s">
        <v>13546</v>
      </c>
      <c r="C2087" s="16" t="s">
        <v>13547</v>
      </c>
      <c r="D2087" s="16" t="s">
        <v>16</v>
      </c>
      <c r="E2087" s="21" t="s">
        <v>13548</v>
      </c>
      <c r="F2087" s="22" t="s">
        <v>9563</v>
      </c>
      <c r="G2087" s="16">
        <v>23.61</v>
      </c>
      <c r="H2087" s="16"/>
      <c r="I2087" s="22"/>
      <c r="J2087" s="22" t="s">
        <v>13549</v>
      </c>
      <c r="K2087" s="22" t="s">
        <v>13550</v>
      </c>
      <c r="L2087" s="23" t="s">
        <v>13551</v>
      </c>
      <c r="M2087" s="22"/>
      <c r="N2087" s="12"/>
      <c r="O2087" s="12"/>
      <c r="P2087" s="13">
        <f>IFERROR(__xludf.DUMMYFUNCTION("VALUE(SUBSTITUTE((INDEX(SPLIT(A2087,"",""),1)),""."","","",1))"),51.677024)</f>
        <v>51.677024</v>
      </c>
      <c r="Q2087" s="13">
        <f>IFERROR(__xludf.DUMMYFUNCTION("VALUE(SUBSTITUTE((INDEX(SPLIT(A2087,"",""),2)),""."","","",1))"),39.173895)</f>
        <v>39.173895</v>
      </c>
      <c r="R2087" s="14" t="b">
        <f t="shared" si="1"/>
        <v>0</v>
      </c>
      <c r="S2087" s="14" t="str">
        <f t="shared" si="2"/>
        <v>51.677024,39.173895</v>
      </c>
      <c r="T2087" s="12"/>
    </row>
    <row r="2088">
      <c r="A2088" s="18" t="s">
        <v>13552</v>
      </c>
      <c r="B2088" s="8" t="s">
        <v>13553</v>
      </c>
      <c r="C2088" s="8" t="s">
        <v>13554</v>
      </c>
      <c r="D2088" s="8" t="s">
        <v>16</v>
      </c>
      <c r="E2088" s="19" t="s">
        <v>13555</v>
      </c>
      <c r="F2088" s="8" t="s">
        <v>8566</v>
      </c>
      <c r="G2088" s="8">
        <v>23.61</v>
      </c>
      <c r="H2088" s="8"/>
      <c r="I2088" s="8"/>
      <c r="J2088" s="8" t="s">
        <v>13556</v>
      </c>
      <c r="K2088" s="8" t="s">
        <v>13557</v>
      </c>
      <c r="L2088" s="8"/>
      <c r="M2088" s="24" t="s">
        <v>13558</v>
      </c>
      <c r="N2088" s="12"/>
      <c r="O2088" s="12"/>
      <c r="P2088" s="13">
        <f>IFERROR(__xludf.DUMMYFUNCTION("VALUE(SUBSTITUTE((INDEX(SPLIT(A2088,"",""),1)),""."","","",1))"),44.643456)</f>
        <v>44.643456</v>
      </c>
      <c r="Q2088" s="13">
        <f>IFERROR(__xludf.DUMMYFUNCTION("VALUE(SUBSTITUTE((INDEX(SPLIT(A2088,"",""),2)),""."","","",1))"),39.174299)</f>
        <v>39.174299</v>
      </c>
      <c r="R2088" s="14" t="b">
        <f t="shared" si="1"/>
        <v>0</v>
      </c>
      <c r="S2088" s="14" t="str">
        <f t="shared" si="2"/>
        <v>44.643456,39.174299</v>
      </c>
      <c r="T2088" s="12"/>
    </row>
    <row r="2089">
      <c r="A2089" s="15" t="s">
        <v>13559</v>
      </c>
      <c r="B2089" s="16" t="s">
        <v>13560</v>
      </c>
      <c r="C2089" s="16" t="s">
        <v>13561</v>
      </c>
      <c r="D2089" s="16" t="s">
        <v>16</v>
      </c>
      <c r="E2089" s="17" t="s">
        <v>13562</v>
      </c>
      <c r="F2089" s="16" t="s">
        <v>9563</v>
      </c>
      <c r="G2089" s="16">
        <v>23.61</v>
      </c>
      <c r="H2089" s="16"/>
      <c r="I2089" s="16"/>
      <c r="J2089" s="16" t="s">
        <v>13563</v>
      </c>
      <c r="K2089" s="16" t="s">
        <v>13564</v>
      </c>
      <c r="L2089" s="16"/>
      <c r="M2089" s="16"/>
      <c r="N2089" s="12"/>
      <c r="O2089" s="12"/>
      <c r="P2089" s="13">
        <f>IFERROR(__xludf.DUMMYFUNCTION("VALUE(SUBSTITUTE((INDEX(SPLIT(A2089,"",""),1)),""."","","",1))"),51.711575)</f>
        <v>51.711575</v>
      </c>
      <c r="Q2089" s="13">
        <f>IFERROR(__xludf.DUMMYFUNCTION("VALUE(SUBSTITUTE((INDEX(SPLIT(A2089,"",""),2)),""."","","",1))"),39.178754)</f>
        <v>39.178754</v>
      </c>
      <c r="R2089" s="14" t="b">
        <f t="shared" si="1"/>
        <v>0</v>
      </c>
      <c r="S2089" s="14" t="str">
        <f t="shared" si="2"/>
        <v>51.711575,39.178754</v>
      </c>
      <c r="T2089" s="12"/>
    </row>
    <row r="2090">
      <c r="A2090" s="18" t="s">
        <v>13565</v>
      </c>
      <c r="B2090" s="8" t="s">
        <v>13566</v>
      </c>
      <c r="C2090" s="8" t="s">
        <v>13567</v>
      </c>
      <c r="D2090" s="8" t="s">
        <v>16</v>
      </c>
      <c r="E2090" s="19" t="s">
        <v>13568</v>
      </c>
      <c r="F2090" s="8" t="s">
        <v>8566</v>
      </c>
      <c r="G2090" s="8">
        <v>23.61</v>
      </c>
      <c r="H2090" s="8"/>
      <c r="I2090" s="8"/>
      <c r="J2090" s="8" t="s">
        <v>13569</v>
      </c>
      <c r="K2090" s="8" t="s">
        <v>13570</v>
      </c>
      <c r="L2090" s="8"/>
      <c r="M2090" s="8"/>
      <c r="N2090" s="12"/>
      <c r="O2090" s="12"/>
      <c r="P2090" s="13">
        <f>IFERROR(__xludf.DUMMYFUNCTION("VALUE(SUBSTITUTE((INDEX(SPLIT(A2090,"",""),1)),""."","","",1))"),45.065151)</f>
        <v>45.065151</v>
      </c>
      <c r="Q2090" s="13">
        <f>IFERROR(__xludf.DUMMYFUNCTION("VALUE(SUBSTITUTE((INDEX(SPLIT(A2090,"",""),2)),""."","","",1))"),39.179895)</f>
        <v>39.179895</v>
      </c>
      <c r="R2090" s="14" t="b">
        <f t="shared" si="1"/>
        <v>0</v>
      </c>
      <c r="S2090" s="14" t="str">
        <f t="shared" si="2"/>
        <v>45.065151,39.179895</v>
      </c>
      <c r="T2090" s="12"/>
    </row>
    <row r="2091">
      <c r="A2091" s="20" t="s">
        <v>13571</v>
      </c>
      <c r="B2091" s="16" t="s">
        <v>13572</v>
      </c>
      <c r="C2091" s="16" t="s">
        <v>13573</v>
      </c>
      <c r="D2091" s="16" t="s">
        <v>16</v>
      </c>
      <c r="E2091" s="21" t="s">
        <v>13574</v>
      </c>
      <c r="F2091" s="22" t="s">
        <v>9563</v>
      </c>
      <c r="G2091" s="16">
        <v>23.61</v>
      </c>
      <c r="H2091" s="16"/>
      <c r="I2091" s="28" t="s">
        <v>13575</v>
      </c>
      <c r="J2091" s="22" t="s">
        <v>13576</v>
      </c>
      <c r="K2091" s="22" t="s">
        <v>13577</v>
      </c>
      <c r="L2091" s="23" t="s">
        <v>13578</v>
      </c>
      <c r="M2091" s="22"/>
      <c r="N2091" s="12"/>
      <c r="O2091" s="12"/>
      <c r="P2091" s="13">
        <f>IFERROR(__xludf.DUMMYFUNCTION("VALUE(SUBSTITUTE((INDEX(SPLIT(A2091,"",""),1)),""."","","",1))"),51.733033)</f>
        <v>51.733033</v>
      </c>
      <c r="Q2091" s="13">
        <f>IFERROR(__xludf.DUMMYFUNCTION("VALUE(SUBSTITUTE((INDEX(SPLIT(A2091,"",""),2)),""."","","",1))"),39.18701)</f>
        <v>39.18701</v>
      </c>
      <c r="R2091" s="14" t="b">
        <f t="shared" si="1"/>
        <v>0</v>
      </c>
      <c r="S2091" s="14" t="str">
        <f t="shared" si="2"/>
        <v>51.733033,39.18701</v>
      </c>
      <c r="T2091" s="12"/>
    </row>
    <row r="2092">
      <c r="A2092" s="7" t="s">
        <v>13579</v>
      </c>
      <c r="B2092" s="8" t="s">
        <v>1780</v>
      </c>
      <c r="C2092" s="8" t="s">
        <v>1781</v>
      </c>
      <c r="D2092" s="8" t="s">
        <v>16</v>
      </c>
      <c r="E2092" s="9" t="s">
        <v>13580</v>
      </c>
      <c r="F2092" s="10" t="s">
        <v>9563</v>
      </c>
      <c r="G2092" s="8">
        <v>23.61</v>
      </c>
      <c r="H2092" s="8"/>
      <c r="I2092" s="10"/>
      <c r="J2092" s="10" t="s">
        <v>13581</v>
      </c>
      <c r="K2092" s="10" t="s">
        <v>13582</v>
      </c>
      <c r="L2092" s="11" t="s">
        <v>13583</v>
      </c>
      <c r="M2092" s="10"/>
      <c r="N2092" s="12"/>
      <c r="O2092" s="12"/>
      <c r="P2092" s="13">
        <f>IFERROR(__xludf.DUMMYFUNCTION("VALUE(SUBSTITUTE((INDEX(SPLIT(A2092,"",""),1)),""."","","",1))"),51.6953)</f>
        <v>51.6953</v>
      </c>
      <c r="Q2092" s="13">
        <f>IFERROR(__xludf.DUMMYFUNCTION("VALUE(SUBSTITUTE((INDEX(SPLIT(A2092,"",""),2)),""."","","",1))"),39.188196)</f>
        <v>39.188196</v>
      </c>
      <c r="R2092" s="14" t="b">
        <f t="shared" si="1"/>
        <v>0</v>
      </c>
      <c r="S2092" s="14" t="str">
        <f t="shared" si="2"/>
        <v>51.6953,39.188196</v>
      </c>
      <c r="T2092" s="12"/>
    </row>
    <row r="2093">
      <c r="A2093" s="20" t="s">
        <v>13584</v>
      </c>
      <c r="B2093" s="16" t="s">
        <v>13585</v>
      </c>
      <c r="C2093" s="16" t="s">
        <v>13586</v>
      </c>
      <c r="D2093" s="16" t="s">
        <v>16</v>
      </c>
      <c r="E2093" s="21" t="s">
        <v>13587</v>
      </c>
      <c r="F2093" s="22" t="s">
        <v>4263</v>
      </c>
      <c r="G2093" s="16">
        <v>23.61</v>
      </c>
      <c r="H2093" s="16"/>
      <c r="I2093" s="22"/>
      <c r="J2093" s="22" t="s">
        <v>13588</v>
      </c>
      <c r="K2093" s="22" t="s">
        <v>13589</v>
      </c>
      <c r="L2093" s="23" t="s">
        <v>13590</v>
      </c>
      <c r="M2093" s="23" t="s">
        <v>13591</v>
      </c>
      <c r="N2093" s="12"/>
      <c r="O2093" s="12"/>
      <c r="P2093" s="13">
        <f>IFERROR(__xludf.DUMMYFUNCTION("VALUE(SUBSTITUTE((INDEX(SPLIT(A2093,"",""),1)),""."","","",1))"),44.88287)</f>
        <v>44.88287</v>
      </c>
      <c r="Q2093" s="13">
        <f>IFERROR(__xludf.DUMMYFUNCTION("VALUE(SUBSTITUTE((INDEX(SPLIT(A2093,"",""),2)),""."","","",1))"),39.189912)</f>
        <v>39.189912</v>
      </c>
      <c r="R2093" s="14" t="b">
        <f t="shared" si="1"/>
        <v>0</v>
      </c>
      <c r="S2093" s="14" t="str">
        <f t="shared" si="2"/>
        <v>44.88287,39.189912</v>
      </c>
      <c r="T2093" s="12"/>
    </row>
    <row r="2094">
      <c r="A2094" s="7" t="s">
        <v>13592</v>
      </c>
      <c r="B2094" s="8" t="s">
        <v>13593</v>
      </c>
      <c r="C2094" s="8" t="s">
        <v>13594</v>
      </c>
      <c r="D2094" s="8" t="s">
        <v>16</v>
      </c>
      <c r="E2094" s="9" t="s">
        <v>13595</v>
      </c>
      <c r="F2094" s="10" t="s">
        <v>9563</v>
      </c>
      <c r="G2094" s="8">
        <v>23.61</v>
      </c>
      <c r="H2094" s="8"/>
      <c r="I2094" s="10"/>
      <c r="J2094" s="10" t="s">
        <v>13596</v>
      </c>
      <c r="K2094" s="10" t="s">
        <v>13597</v>
      </c>
      <c r="L2094" s="11" t="s">
        <v>13598</v>
      </c>
      <c r="M2094" s="10"/>
      <c r="N2094" s="12"/>
      <c r="O2094" s="12"/>
      <c r="P2094" s="13">
        <f>IFERROR(__xludf.DUMMYFUNCTION("VALUE(SUBSTITUTE((INDEX(SPLIT(A2094,"",""),1)),""."","","",1))"),51.648627)</f>
        <v>51.648627</v>
      </c>
      <c r="Q2094" s="13">
        <f>IFERROR(__xludf.DUMMYFUNCTION("VALUE(SUBSTITUTE((INDEX(SPLIT(A2094,"",""),2)),""."","","",1))"),39.190235)</f>
        <v>39.190235</v>
      </c>
      <c r="R2094" s="14" t="b">
        <f t="shared" si="1"/>
        <v>0</v>
      </c>
      <c r="S2094" s="14" t="str">
        <f t="shared" si="2"/>
        <v>51.648627,39.190235</v>
      </c>
      <c r="T2094" s="12"/>
    </row>
    <row r="2095">
      <c r="A2095" s="20" t="s">
        <v>13599</v>
      </c>
      <c r="B2095" s="16" t="s">
        <v>13600</v>
      </c>
      <c r="C2095" s="16" t="s">
        <v>13601</v>
      </c>
      <c r="D2095" s="16" t="s">
        <v>16</v>
      </c>
      <c r="E2095" s="21" t="s">
        <v>13602</v>
      </c>
      <c r="F2095" s="22" t="s">
        <v>9563</v>
      </c>
      <c r="G2095" s="16">
        <v>23.61</v>
      </c>
      <c r="H2095" s="16"/>
      <c r="I2095" s="22"/>
      <c r="J2095" s="22" t="s">
        <v>13603</v>
      </c>
      <c r="K2095" s="22" t="s">
        <v>13604</v>
      </c>
      <c r="L2095" s="23" t="s">
        <v>13605</v>
      </c>
      <c r="M2095" s="22"/>
      <c r="N2095" s="12"/>
      <c r="O2095" s="12"/>
      <c r="P2095" s="13">
        <f>IFERROR(__xludf.DUMMYFUNCTION("VALUE(SUBSTITUTE((INDEX(SPLIT(A2095,"",""),1)),""."","","",1))"),51.680045)</f>
        <v>51.680045</v>
      </c>
      <c r="Q2095" s="13">
        <f>IFERROR(__xludf.DUMMYFUNCTION("VALUE(SUBSTITUTE((INDEX(SPLIT(A2095,"",""),2)),""."","","",1))"),39.190774)</f>
        <v>39.190774</v>
      </c>
      <c r="R2095" s="14" t="b">
        <f t="shared" si="1"/>
        <v>0</v>
      </c>
      <c r="S2095" s="14" t="str">
        <f t="shared" si="2"/>
        <v>51.680045,39.190774</v>
      </c>
      <c r="T2095" s="12"/>
    </row>
    <row r="2096">
      <c r="A2096" s="18" t="s">
        <v>13606</v>
      </c>
      <c r="B2096" s="8" t="s">
        <v>13607</v>
      </c>
      <c r="C2096" s="8" t="s">
        <v>13608</v>
      </c>
      <c r="D2096" s="8" t="s">
        <v>16</v>
      </c>
      <c r="E2096" s="19" t="s">
        <v>13609</v>
      </c>
      <c r="F2096" s="8" t="s">
        <v>9563</v>
      </c>
      <c r="G2096" s="8">
        <v>23.61</v>
      </c>
      <c r="H2096" s="8"/>
      <c r="I2096" s="8"/>
      <c r="J2096" s="8" t="s">
        <v>13610</v>
      </c>
      <c r="K2096" s="8" t="s">
        <v>13611</v>
      </c>
      <c r="L2096" s="8"/>
      <c r="M2096" s="24" t="s">
        <v>13612</v>
      </c>
      <c r="N2096" s="12"/>
      <c r="O2096" s="12"/>
      <c r="P2096" s="13">
        <f>IFERROR(__xludf.DUMMYFUNCTION("VALUE(SUBSTITUTE((INDEX(SPLIT(A2096,"",""),1)),""."","","",1))"),51.648136)</f>
        <v>51.648136</v>
      </c>
      <c r="Q2096" s="13">
        <f>IFERROR(__xludf.DUMMYFUNCTION("VALUE(SUBSTITUTE((INDEX(SPLIT(A2096,"",""),2)),""."","","",1))"),39.191448)</f>
        <v>39.191448</v>
      </c>
      <c r="R2096" s="14" t="b">
        <f t="shared" si="1"/>
        <v>0</v>
      </c>
      <c r="S2096" s="14" t="str">
        <f t="shared" si="2"/>
        <v>51.648136,39.191448</v>
      </c>
      <c r="T2096" s="12"/>
    </row>
    <row r="2097">
      <c r="A2097" s="20" t="s">
        <v>13613</v>
      </c>
      <c r="B2097" s="16" t="s">
        <v>13614</v>
      </c>
      <c r="C2097" s="16" t="s">
        <v>13615</v>
      </c>
      <c r="D2097" s="16" t="s">
        <v>16</v>
      </c>
      <c r="E2097" s="21" t="s">
        <v>13616</v>
      </c>
      <c r="F2097" s="22" t="s">
        <v>12763</v>
      </c>
      <c r="G2097" s="16">
        <v>23.61</v>
      </c>
      <c r="H2097" s="16"/>
      <c r="I2097" s="22"/>
      <c r="J2097" s="22" t="s">
        <v>13617</v>
      </c>
      <c r="K2097" s="22" t="s">
        <v>13618</v>
      </c>
      <c r="L2097" s="23" t="s">
        <v>13619</v>
      </c>
      <c r="M2097" s="23" t="s">
        <v>13620</v>
      </c>
      <c r="N2097" s="12"/>
      <c r="O2097" s="12"/>
      <c r="P2097" s="13">
        <f>IFERROR(__xludf.DUMMYFUNCTION("VALUE(SUBSTITUTE((INDEX(SPLIT(A2097,"",""),1)),""."","","",1))"),56.954115)</f>
        <v>56.954115</v>
      </c>
      <c r="Q2097" s="13">
        <f>IFERROR(__xludf.DUMMYFUNCTION("VALUE(SUBSTITUTE((INDEX(SPLIT(A2097,"",""),2)),""."","","",1))"),39.19152)</f>
        <v>39.19152</v>
      </c>
      <c r="R2097" s="14" t="b">
        <f t="shared" si="1"/>
        <v>0</v>
      </c>
      <c r="S2097" s="14" t="str">
        <f t="shared" si="2"/>
        <v>56.954115,39.19152</v>
      </c>
      <c r="T2097" s="12"/>
    </row>
    <row r="2098">
      <c r="A2098" s="18" t="s">
        <v>13621</v>
      </c>
      <c r="B2098" s="8" t="s">
        <v>13622</v>
      </c>
      <c r="C2098" s="8" t="s">
        <v>13623</v>
      </c>
      <c r="D2098" s="8" t="s">
        <v>16</v>
      </c>
      <c r="E2098" s="19" t="s">
        <v>13624</v>
      </c>
      <c r="F2098" s="8" t="s">
        <v>9563</v>
      </c>
      <c r="G2098" s="8">
        <v>23.61</v>
      </c>
      <c r="H2098" s="8"/>
      <c r="I2098" s="8"/>
      <c r="J2098" s="8" t="s">
        <v>13625</v>
      </c>
      <c r="K2098" s="8" t="s">
        <v>13626</v>
      </c>
      <c r="L2098" s="8"/>
      <c r="M2098" s="8"/>
      <c r="N2098" s="12"/>
      <c r="O2098" s="12"/>
      <c r="P2098" s="13">
        <f>IFERROR(__xludf.DUMMYFUNCTION("VALUE(SUBSTITUTE((INDEX(SPLIT(A2098,"",""),1)),""."","","",1))"),51.70187)</f>
        <v>51.70187</v>
      </c>
      <c r="Q2098" s="13">
        <f>IFERROR(__xludf.DUMMYFUNCTION("VALUE(SUBSTITUTE((INDEX(SPLIT(A2098,"",""),2)),""."","","",1))"),39.192355)</f>
        <v>39.192355</v>
      </c>
      <c r="R2098" s="14" t="b">
        <f t="shared" si="1"/>
        <v>0</v>
      </c>
      <c r="S2098" s="14" t="str">
        <f t="shared" si="2"/>
        <v>51.70187,39.192355</v>
      </c>
      <c r="T2098" s="12"/>
    </row>
    <row r="2099">
      <c r="A2099" s="20" t="s">
        <v>13627</v>
      </c>
      <c r="B2099" s="16" t="s">
        <v>13628</v>
      </c>
      <c r="C2099" s="16" t="s">
        <v>13629</v>
      </c>
      <c r="D2099" s="16" t="s">
        <v>16</v>
      </c>
      <c r="E2099" s="21" t="s">
        <v>13630</v>
      </c>
      <c r="F2099" s="22" t="s">
        <v>9563</v>
      </c>
      <c r="G2099" s="16">
        <v>23.61</v>
      </c>
      <c r="H2099" s="16"/>
      <c r="I2099" s="28" t="s">
        <v>13631</v>
      </c>
      <c r="J2099" s="22" t="s">
        <v>13632</v>
      </c>
      <c r="K2099" s="22" t="s">
        <v>13633</v>
      </c>
      <c r="L2099" s="23" t="s">
        <v>13634</v>
      </c>
      <c r="M2099" s="22"/>
      <c r="N2099" s="12"/>
      <c r="O2099" s="12"/>
      <c r="P2099" s="13">
        <f>IFERROR(__xludf.DUMMYFUNCTION("VALUE(SUBSTITUTE((INDEX(SPLIT(A2099,"",""),1)),""."","","",1))"),51.682469)</f>
        <v>51.682469</v>
      </c>
      <c r="Q2099" s="13">
        <f>IFERROR(__xludf.DUMMYFUNCTION("VALUE(SUBSTITUTE((INDEX(SPLIT(A2099,"",""),2)),""."","","",1))"),39.195984)</f>
        <v>39.195984</v>
      </c>
      <c r="R2099" s="14" t="b">
        <f t="shared" si="1"/>
        <v>0</v>
      </c>
      <c r="S2099" s="14" t="str">
        <f t="shared" si="2"/>
        <v>51.682469,39.195984</v>
      </c>
      <c r="T2099" s="12"/>
    </row>
    <row r="2100">
      <c r="A2100" s="7" t="s">
        <v>13635</v>
      </c>
      <c r="B2100" s="8" t="s">
        <v>13636</v>
      </c>
      <c r="C2100" s="8" t="s">
        <v>13637</v>
      </c>
      <c r="D2100" s="8" t="s">
        <v>16</v>
      </c>
      <c r="E2100" s="9" t="s">
        <v>13638</v>
      </c>
      <c r="F2100" s="10" t="s">
        <v>9563</v>
      </c>
      <c r="G2100" s="8">
        <v>23.61</v>
      </c>
      <c r="H2100" s="8"/>
      <c r="I2100" s="10"/>
      <c r="J2100" s="10" t="s">
        <v>13639</v>
      </c>
      <c r="K2100" s="10" t="s">
        <v>13640</v>
      </c>
      <c r="L2100" s="11" t="s">
        <v>13641</v>
      </c>
      <c r="M2100" s="10"/>
      <c r="N2100" s="12"/>
      <c r="O2100" s="12"/>
      <c r="P2100" s="13">
        <f>IFERROR(__xludf.DUMMYFUNCTION("VALUE(SUBSTITUTE((INDEX(SPLIT(A2100,"",""),1)),""."","","",1))"),51.66454)</f>
        <v>51.66454</v>
      </c>
      <c r="Q2100" s="13">
        <f>IFERROR(__xludf.DUMMYFUNCTION("VALUE(SUBSTITUTE((INDEX(SPLIT(A2100,"",""),2)),""."","","",1))"),39.197107)</f>
        <v>39.197107</v>
      </c>
      <c r="R2100" s="14" t="b">
        <f t="shared" si="1"/>
        <v>0</v>
      </c>
      <c r="S2100" s="14" t="str">
        <f t="shared" si="2"/>
        <v>51.66454,39.197107</v>
      </c>
      <c r="T2100" s="12"/>
    </row>
    <row r="2101">
      <c r="A2101" s="20" t="s">
        <v>13642</v>
      </c>
      <c r="B2101" s="16" t="s">
        <v>13643</v>
      </c>
      <c r="C2101" s="16" t="s">
        <v>13644</v>
      </c>
      <c r="D2101" s="16" t="s">
        <v>16</v>
      </c>
      <c r="E2101" s="21" t="s">
        <v>13645</v>
      </c>
      <c r="F2101" s="22" t="s">
        <v>12717</v>
      </c>
      <c r="G2101" s="16">
        <v>23.61</v>
      </c>
      <c r="H2101" s="16"/>
      <c r="I2101" s="28" t="s">
        <v>13646</v>
      </c>
      <c r="J2101" s="22" t="s">
        <v>13647</v>
      </c>
      <c r="K2101" s="22" t="s">
        <v>13648</v>
      </c>
      <c r="L2101" s="23" t="s">
        <v>13649</v>
      </c>
      <c r="M2101" s="23" t="s">
        <v>13650</v>
      </c>
      <c r="N2101" s="12"/>
      <c r="O2101" s="12"/>
      <c r="P2101" s="13">
        <f>IFERROR(__xludf.DUMMYFUNCTION("VALUE(SUBSTITUTE((INDEX(SPLIT(A2101,"",""),1)),""."","","",1))"),55.897009)</f>
        <v>55.897009</v>
      </c>
      <c r="Q2101" s="13">
        <f>IFERROR(__xludf.DUMMYFUNCTION("VALUE(SUBSTITUTE((INDEX(SPLIT(A2101,"",""),2)),""."","","",1))"),39.198167)</f>
        <v>39.198167</v>
      </c>
      <c r="R2101" s="14" t="b">
        <f t="shared" si="1"/>
        <v>0</v>
      </c>
      <c r="S2101" s="14" t="str">
        <f t="shared" si="2"/>
        <v>55.897009,39.198167</v>
      </c>
      <c r="T2101" s="12"/>
    </row>
    <row r="2102">
      <c r="A2102" s="18" t="s">
        <v>13651</v>
      </c>
      <c r="B2102" s="8" t="s">
        <v>13652</v>
      </c>
      <c r="C2102" s="8" t="s">
        <v>13653</v>
      </c>
      <c r="D2102" s="8" t="s">
        <v>16</v>
      </c>
      <c r="E2102" s="19" t="s">
        <v>13654</v>
      </c>
      <c r="F2102" s="8" t="s">
        <v>9563</v>
      </c>
      <c r="G2102" s="8">
        <v>23.61</v>
      </c>
      <c r="H2102" s="8"/>
      <c r="I2102" s="8"/>
      <c r="J2102" s="8" t="s">
        <v>13655</v>
      </c>
      <c r="K2102" s="8" t="s">
        <v>13656</v>
      </c>
      <c r="L2102" s="8"/>
      <c r="M2102" s="8"/>
      <c r="N2102" s="12"/>
      <c r="O2102" s="12"/>
      <c r="P2102" s="13">
        <f>IFERROR(__xludf.DUMMYFUNCTION("VALUE(SUBSTITUTE((INDEX(SPLIT(A2102,"",""),1)),""."","","",1))"),51.660781)</f>
        <v>51.660781</v>
      </c>
      <c r="Q2102" s="13">
        <f>IFERROR(__xludf.DUMMYFUNCTION("VALUE(SUBSTITUTE((INDEX(SPLIT(A2102,"",""),2)),""."","","",1))"),39.200296)</f>
        <v>39.200296</v>
      </c>
      <c r="R2102" s="14" t="b">
        <f t="shared" si="1"/>
        <v>0</v>
      </c>
      <c r="S2102" s="14" t="str">
        <f t="shared" si="2"/>
        <v>51.660781,39.200296</v>
      </c>
      <c r="T2102" s="12"/>
    </row>
    <row r="2103">
      <c r="A2103" s="15" t="s">
        <v>13651</v>
      </c>
      <c r="B2103" s="16" t="s">
        <v>13657</v>
      </c>
      <c r="C2103" s="16" t="s">
        <v>13658</v>
      </c>
      <c r="D2103" s="16" t="s">
        <v>16</v>
      </c>
      <c r="E2103" s="17" t="s">
        <v>13659</v>
      </c>
      <c r="F2103" s="16" t="s">
        <v>9563</v>
      </c>
      <c r="G2103" s="16">
        <v>23.61</v>
      </c>
      <c r="H2103" s="16"/>
      <c r="I2103" s="16"/>
      <c r="J2103" s="16" t="s">
        <v>13660</v>
      </c>
      <c r="K2103" s="16" t="s">
        <v>13661</v>
      </c>
      <c r="L2103" s="16"/>
      <c r="M2103" s="16"/>
      <c r="N2103" s="12"/>
      <c r="O2103" s="12"/>
      <c r="P2103" s="13">
        <f>IFERROR(__xludf.DUMMYFUNCTION("VALUE(SUBSTITUTE((INDEX(SPLIT(A2103,"",""),1)),""."","","",1))"),51.660781)</f>
        <v>51.660781</v>
      </c>
      <c r="Q2103" s="13">
        <f>IFERROR(__xludf.DUMMYFUNCTION("VALUE(SUBSTITUTE((INDEX(SPLIT(A2103,"",""),2)),""."","","",1))"),39.200296)</f>
        <v>39.200296</v>
      </c>
      <c r="R2103" s="14" t="b">
        <f t="shared" si="1"/>
        <v>0</v>
      </c>
      <c r="S2103" s="14" t="str">
        <f t="shared" si="2"/>
        <v>51.660781,39.200296</v>
      </c>
      <c r="T2103" s="12"/>
    </row>
    <row r="2104">
      <c r="A2104" s="18" t="s">
        <v>13651</v>
      </c>
      <c r="B2104" s="8" t="s">
        <v>13662</v>
      </c>
      <c r="C2104" s="8" t="s">
        <v>13663</v>
      </c>
      <c r="D2104" s="8" t="s">
        <v>16</v>
      </c>
      <c r="E2104" s="19" t="s">
        <v>13664</v>
      </c>
      <c r="F2104" s="8" t="s">
        <v>9563</v>
      </c>
      <c r="G2104" s="8">
        <v>23.61</v>
      </c>
      <c r="H2104" s="8"/>
      <c r="I2104" s="8"/>
      <c r="J2104" s="8" t="s">
        <v>13665</v>
      </c>
      <c r="K2104" s="8" t="s">
        <v>13666</v>
      </c>
      <c r="L2104" s="8"/>
      <c r="M2104" s="24" t="s">
        <v>13667</v>
      </c>
      <c r="N2104" s="12"/>
      <c r="O2104" s="12"/>
      <c r="P2104" s="13">
        <f>IFERROR(__xludf.DUMMYFUNCTION("VALUE(SUBSTITUTE((INDEX(SPLIT(A2104,"",""),1)),""."","","",1))"),51.660781)</f>
        <v>51.660781</v>
      </c>
      <c r="Q2104" s="13">
        <f>IFERROR(__xludf.DUMMYFUNCTION("VALUE(SUBSTITUTE((INDEX(SPLIT(A2104,"",""),2)),""."","","",1))"),39.200296)</f>
        <v>39.200296</v>
      </c>
      <c r="R2104" s="14" t="b">
        <f t="shared" si="1"/>
        <v>0</v>
      </c>
      <c r="S2104" s="14" t="str">
        <f t="shared" si="2"/>
        <v>51.660781,39.200296</v>
      </c>
      <c r="T2104" s="12"/>
    </row>
    <row r="2105">
      <c r="A2105" s="20" t="s">
        <v>13651</v>
      </c>
      <c r="B2105" s="16" t="s">
        <v>89</v>
      </c>
      <c r="C2105" s="16" t="s">
        <v>90</v>
      </c>
      <c r="D2105" s="16" t="s">
        <v>16</v>
      </c>
      <c r="E2105" s="21" t="s">
        <v>13668</v>
      </c>
      <c r="F2105" s="22" t="s">
        <v>9563</v>
      </c>
      <c r="G2105" s="16">
        <v>23.61</v>
      </c>
      <c r="H2105" s="16"/>
      <c r="I2105" s="22"/>
      <c r="J2105" s="22" t="s">
        <v>13669</v>
      </c>
      <c r="K2105" s="22" t="s">
        <v>13670</v>
      </c>
      <c r="L2105" s="23" t="s">
        <v>13671</v>
      </c>
      <c r="M2105" s="22"/>
      <c r="N2105" s="12"/>
      <c r="O2105" s="12"/>
      <c r="P2105" s="13">
        <f>IFERROR(__xludf.DUMMYFUNCTION("VALUE(SUBSTITUTE((INDEX(SPLIT(A2105,"",""),1)),""."","","",1))"),51.660781)</f>
        <v>51.660781</v>
      </c>
      <c r="Q2105" s="13">
        <f>IFERROR(__xludf.DUMMYFUNCTION("VALUE(SUBSTITUTE((INDEX(SPLIT(A2105,"",""),2)),""."","","",1))"),39.200296)</f>
        <v>39.200296</v>
      </c>
      <c r="R2105" s="14" t="b">
        <f t="shared" si="1"/>
        <v>0</v>
      </c>
      <c r="S2105" s="14" t="str">
        <f t="shared" si="2"/>
        <v>51.660781,39.200296</v>
      </c>
      <c r="T2105" s="12"/>
    </row>
    <row r="2106">
      <c r="A2106" s="7" t="s">
        <v>13651</v>
      </c>
      <c r="B2106" s="8" t="s">
        <v>13672</v>
      </c>
      <c r="C2106" s="8" t="s">
        <v>13673</v>
      </c>
      <c r="D2106" s="8" t="s">
        <v>16</v>
      </c>
      <c r="E2106" s="9" t="s">
        <v>13674</v>
      </c>
      <c r="F2106" s="10" t="s">
        <v>9563</v>
      </c>
      <c r="G2106" s="8">
        <v>23.61</v>
      </c>
      <c r="H2106" s="8"/>
      <c r="I2106" s="10"/>
      <c r="J2106" s="10" t="s">
        <v>13675</v>
      </c>
      <c r="K2106" s="10" t="s">
        <v>13676</v>
      </c>
      <c r="L2106" s="11" t="s">
        <v>13677</v>
      </c>
      <c r="M2106" s="10"/>
      <c r="N2106" s="12"/>
      <c r="O2106" s="12"/>
      <c r="P2106" s="13">
        <f>IFERROR(__xludf.DUMMYFUNCTION("VALUE(SUBSTITUTE((INDEX(SPLIT(A2106,"",""),1)),""."","","",1))"),51.660781)</f>
        <v>51.660781</v>
      </c>
      <c r="Q2106" s="13">
        <f>IFERROR(__xludf.DUMMYFUNCTION("VALUE(SUBSTITUTE((INDEX(SPLIT(A2106,"",""),2)),""."","","",1))"),39.200296)</f>
        <v>39.200296</v>
      </c>
      <c r="R2106" s="14" t="b">
        <f t="shared" si="1"/>
        <v>0</v>
      </c>
      <c r="S2106" s="14" t="str">
        <f t="shared" si="2"/>
        <v>51.660781,39.200296</v>
      </c>
      <c r="T2106" s="12"/>
    </row>
    <row r="2107">
      <c r="A2107" s="20" t="s">
        <v>13678</v>
      </c>
      <c r="B2107" s="16" t="s">
        <v>13679</v>
      </c>
      <c r="C2107" s="16" t="s">
        <v>13680</v>
      </c>
      <c r="D2107" s="16" t="s">
        <v>16</v>
      </c>
      <c r="E2107" s="21" t="s">
        <v>13681</v>
      </c>
      <c r="F2107" s="22" t="s">
        <v>9563</v>
      </c>
      <c r="G2107" s="16">
        <v>23.61</v>
      </c>
      <c r="H2107" s="16"/>
      <c r="I2107" s="22"/>
      <c r="J2107" s="22" t="s">
        <v>13682</v>
      </c>
      <c r="K2107" s="22" t="s">
        <v>13683</v>
      </c>
      <c r="L2107" s="23" t="s">
        <v>13684</v>
      </c>
      <c r="M2107" s="23" t="s">
        <v>13685</v>
      </c>
      <c r="N2107" s="12"/>
      <c r="O2107" s="12"/>
      <c r="P2107" s="13">
        <f>IFERROR(__xludf.DUMMYFUNCTION("VALUE(SUBSTITUTE((INDEX(SPLIT(A2107,"",""),1)),""."","","",1))"),51.63106)</f>
        <v>51.63106</v>
      </c>
      <c r="Q2107" s="13">
        <f>IFERROR(__xludf.DUMMYFUNCTION("VALUE(SUBSTITUTE((INDEX(SPLIT(A2107,"",""),2)),""."","","",1))"),39.203036)</f>
        <v>39.203036</v>
      </c>
      <c r="R2107" s="14" t="b">
        <f t="shared" si="1"/>
        <v>0</v>
      </c>
      <c r="S2107" s="14" t="str">
        <f t="shared" si="2"/>
        <v>51.63106,39.203036</v>
      </c>
      <c r="T2107" s="12"/>
    </row>
    <row r="2108">
      <c r="A2108" s="18" t="s">
        <v>13686</v>
      </c>
      <c r="B2108" s="8" t="s">
        <v>13687</v>
      </c>
      <c r="C2108" s="8" t="s">
        <v>13688</v>
      </c>
      <c r="D2108" s="8" t="s">
        <v>16</v>
      </c>
      <c r="E2108" s="19" t="s">
        <v>13689</v>
      </c>
      <c r="F2108" s="8" t="s">
        <v>4263</v>
      </c>
      <c r="G2108" s="8">
        <v>23.61</v>
      </c>
      <c r="H2108" s="8"/>
      <c r="I2108" s="8"/>
      <c r="J2108" s="8" t="s">
        <v>13690</v>
      </c>
      <c r="K2108" s="8" t="s">
        <v>13691</v>
      </c>
      <c r="L2108" s="8"/>
      <c r="M2108" s="8"/>
      <c r="N2108" s="12"/>
      <c r="O2108" s="12"/>
      <c r="P2108" s="13">
        <f>IFERROR(__xludf.DUMMYFUNCTION("VALUE(SUBSTITUTE((INDEX(SPLIT(A2108,"",""),1)),""."","","",1))"),44.878642)</f>
        <v>44.878642</v>
      </c>
      <c r="Q2108" s="13">
        <f>IFERROR(__xludf.DUMMYFUNCTION("VALUE(SUBSTITUTE((INDEX(SPLIT(A2108,"",""),2)),""."","","",1))"),39.205327)</f>
        <v>39.205327</v>
      </c>
      <c r="R2108" s="14" t="b">
        <f t="shared" si="1"/>
        <v>0</v>
      </c>
      <c r="S2108" s="14" t="str">
        <f t="shared" si="2"/>
        <v>44.878642,39.205327</v>
      </c>
      <c r="T2108" s="12"/>
    </row>
    <row r="2109">
      <c r="A2109" s="20" t="s">
        <v>13692</v>
      </c>
      <c r="B2109" s="16" t="s">
        <v>13693</v>
      </c>
      <c r="C2109" s="16" t="s">
        <v>13694</v>
      </c>
      <c r="D2109" s="16" t="s">
        <v>16</v>
      </c>
      <c r="E2109" s="21" t="s">
        <v>13695</v>
      </c>
      <c r="F2109" s="22" t="s">
        <v>12763</v>
      </c>
      <c r="G2109" s="16">
        <v>23.61</v>
      </c>
      <c r="H2109" s="16"/>
      <c r="I2109" s="22"/>
      <c r="J2109" s="22" t="s">
        <v>13696</v>
      </c>
      <c r="K2109" s="22" t="s">
        <v>13697</v>
      </c>
      <c r="L2109" s="23" t="s">
        <v>13698</v>
      </c>
      <c r="M2109" s="22"/>
      <c r="N2109" s="12"/>
      <c r="O2109" s="12"/>
      <c r="P2109" s="13">
        <f>IFERROR(__xludf.DUMMYFUNCTION("VALUE(SUBSTITUTE((INDEX(SPLIT(A2109,"",""),1)),""."","","",1))"),56.964186)</f>
        <v>56.964186</v>
      </c>
      <c r="Q2109" s="13">
        <f>IFERROR(__xludf.DUMMYFUNCTION("VALUE(SUBSTITUTE((INDEX(SPLIT(A2109,"",""),2)),""."","","",1))"),39.205524)</f>
        <v>39.205524</v>
      </c>
      <c r="R2109" s="14" t="b">
        <f t="shared" si="1"/>
        <v>0</v>
      </c>
      <c r="S2109" s="14" t="str">
        <f t="shared" si="2"/>
        <v>56.964186,39.205524</v>
      </c>
      <c r="T2109" s="12"/>
    </row>
    <row r="2110">
      <c r="A2110" s="18" t="s">
        <v>13692</v>
      </c>
      <c r="B2110" s="8" t="s">
        <v>13699</v>
      </c>
      <c r="C2110" s="8" t="s">
        <v>13700</v>
      </c>
      <c r="D2110" s="8" t="s">
        <v>16</v>
      </c>
      <c r="E2110" s="19" t="s">
        <v>13701</v>
      </c>
      <c r="F2110" s="8" t="s">
        <v>12763</v>
      </c>
      <c r="G2110" s="8">
        <v>23.61</v>
      </c>
      <c r="H2110" s="8"/>
      <c r="I2110" s="8"/>
      <c r="J2110" s="8" t="s">
        <v>13702</v>
      </c>
      <c r="K2110" s="8" t="s">
        <v>13618</v>
      </c>
      <c r="L2110" s="8"/>
      <c r="M2110" s="8"/>
      <c r="N2110" s="12"/>
      <c r="O2110" s="12"/>
      <c r="P2110" s="13">
        <f>IFERROR(__xludf.DUMMYFUNCTION("VALUE(SUBSTITUTE((INDEX(SPLIT(A2110,"",""),1)),""."","","",1))"),56.964186)</f>
        <v>56.964186</v>
      </c>
      <c r="Q2110" s="13">
        <f>IFERROR(__xludf.DUMMYFUNCTION("VALUE(SUBSTITUTE((INDEX(SPLIT(A2110,"",""),2)),""."","","",1))"),39.205524)</f>
        <v>39.205524</v>
      </c>
      <c r="R2110" s="14" t="b">
        <f t="shared" si="1"/>
        <v>0</v>
      </c>
      <c r="S2110" s="14" t="str">
        <f t="shared" si="2"/>
        <v>56.964186,39.205524</v>
      </c>
      <c r="T2110" s="12"/>
    </row>
    <row r="2111">
      <c r="A2111" s="15" t="s">
        <v>13703</v>
      </c>
      <c r="B2111" s="16" t="s">
        <v>13704</v>
      </c>
      <c r="C2111" s="16" t="s">
        <v>13705</v>
      </c>
      <c r="D2111" s="16" t="s">
        <v>16</v>
      </c>
      <c r="E2111" s="17" t="s">
        <v>13706</v>
      </c>
      <c r="F2111" s="16" t="s">
        <v>12763</v>
      </c>
      <c r="G2111" s="16">
        <v>23.61</v>
      </c>
      <c r="H2111" s="16"/>
      <c r="I2111" s="16"/>
      <c r="J2111" s="16" t="s">
        <v>13707</v>
      </c>
      <c r="K2111" s="16" t="s">
        <v>13697</v>
      </c>
      <c r="L2111" s="16"/>
      <c r="M2111" s="25" t="s">
        <v>13708</v>
      </c>
      <c r="N2111" s="12"/>
      <c r="O2111" s="12"/>
      <c r="P2111" s="13">
        <f>IFERROR(__xludf.DUMMYFUNCTION("VALUE(SUBSTITUTE((INDEX(SPLIT(A2111,"",""),1)),""."","","",1))"),56.966487)</f>
        <v>56.966487</v>
      </c>
      <c r="Q2111" s="13">
        <f>IFERROR(__xludf.DUMMYFUNCTION("VALUE(SUBSTITUTE((INDEX(SPLIT(A2111,"",""),2)),""."","","",1))"),39.20636)</f>
        <v>39.20636</v>
      </c>
      <c r="R2111" s="14" t="b">
        <f t="shared" si="1"/>
        <v>0</v>
      </c>
      <c r="S2111" s="14" t="str">
        <f t="shared" si="2"/>
        <v>56.966487,39.20636</v>
      </c>
      <c r="T2111" s="12"/>
    </row>
    <row r="2112">
      <c r="A2112" s="18" t="s">
        <v>13709</v>
      </c>
      <c r="B2112" s="8" t="s">
        <v>13710</v>
      </c>
      <c r="C2112" s="8" t="s">
        <v>13711</v>
      </c>
      <c r="D2112" s="8" t="s">
        <v>16</v>
      </c>
      <c r="E2112" s="19" t="s">
        <v>13712</v>
      </c>
      <c r="F2112" s="8" t="s">
        <v>9563</v>
      </c>
      <c r="G2112" s="8">
        <v>23.61</v>
      </c>
      <c r="H2112" s="8"/>
      <c r="I2112" s="8"/>
      <c r="J2112" s="8" t="s">
        <v>13713</v>
      </c>
      <c r="K2112" s="8" t="s">
        <v>13714</v>
      </c>
      <c r="L2112" s="8"/>
      <c r="M2112" s="8"/>
      <c r="N2112" s="12"/>
      <c r="O2112" s="12"/>
      <c r="P2112" s="13">
        <f>IFERROR(__xludf.DUMMYFUNCTION("VALUE(SUBSTITUTE((INDEX(SPLIT(A2112,"",""),1)),""."","","",1))"),51.666607)</f>
        <v>51.666607</v>
      </c>
      <c r="Q2112" s="13">
        <f>IFERROR(__xludf.DUMMYFUNCTION("VALUE(SUBSTITUTE((INDEX(SPLIT(A2112,"",""),2)),""."","","",1))"),39.206557)</f>
        <v>39.206557</v>
      </c>
      <c r="R2112" s="14" t="b">
        <f t="shared" si="1"/>
        <v>0</v>
      </c>
      <c r="S2112" s="14" t="str">
        <f t="shared" si="2"/>
        <v>51.666607,39.206557</v>
      </c>
      <c r="T2112" s="12"/>
    </row>
    <row r="2113">
      <c r="A2113" s="15" t="s">
        <v>13715</v>
      </c>
      <c r="B2113" s="16" t="s">
        <v>13716</v>
      </c>
      <c r="C2113" s="16" t="s">
        <v>13717</v>
      </c>
      <c r="D2113" s="16" t="s">
        <v>16</v>
      </c>
      <c r="E2113" s="17" t="s">
        <v>13718</v>
      </c>
      <c r="F2113" s="16" t="s">
        <v>9563</v>
      </c>
      <c r="G2113" s="16">
        <v>23.61</v>
      </c>
      <c r="H2113" s="16"/>
      <c r="I2113" s="16"/>
      <c r="J2113" s="16" t="s">
        <v>13719</v>
      </c>
      <c r="K2113" s="16" t="s">
        <v>13720</v>
      </c>
      <c r="L2113" s="16"/>
      <c r="M2113" s="16"/>
      <c r="N2113" s="12"/>
      <c r="O2113" s="12"/>
      <c r="P2113" s="13">
        <f>IFERROR(__xludf.DUMMYFUNCTION("VALUE(SUBSTITUTE((INDEX(SPLIT(A2113,"",""),1)),""."","","",1))"),51.695512)</f>
        <v>51.695512</v>
      </c>
      <c r="Q2113" s="13">
        <f>IFERROR(__xludf.DUMMYFUNCTION("VALUE(SUBSTITUTE((INDEX(SPLIT(A2113,"",""),2)),""."","","",1))"),39.210348)</f>
        <v>39.210348</v>
      </c>
      <c r="R2113" s="14" t="b">
        <f t="shared" si="1"/>
        <v>0</v>
      </c>
      <c r="S2113" s="14" t="str">
        <f t="shared" si="2"/>
        <v>51.695512,39.210348</v>
      </c>
      <c r="T2113" s="12"/>
    </row>
    <row r="2114">
      <c r="A2114" s="18" t="s">
        <v>13721</v>
      </c>
      <c r="B2114" s="8" t="s">
        <v>13722</v>
      </c>
      <c r="C2114" s="8" t="s">
        <v>13723</v>
      </c>
      <c r="D2114" s="8" t="s">
        <v>16</v>
      </c>
      <c r="E2114" s="19" t="s">
        <v>13724</v>
      </c>
      <c r="F2114" s="8" t="s">
        <v>9563</v>
      </c>
      <c r="G2114" s="8">
        <v>23.61</v>
      </c>
      <c r="H2114" s="8"/>
      <c r="I2114" s="8"/>
      <c r="J2114" s="8" t="s">
        <v>13725</v>
      </c>
      <c r="K2114" s="8" t="s">
        <v>13726</v>
      </c>
      <c r="L2114" s="8"/>
      <c r="M2114" s="8"/>
      <c r="N2114" s="12"/>
      <c r="O2114" s="12"/>
      <c r="P2114" s="13">
        <f>IFERROR(__xludf.DUMMYFUNCTION("VALUE(SUBSTITUTE((INDEX(SPLIT(A2114,"",""),1)),""."","","",1))"),51.684993)</f>
        <v>51.684993</v>
      </c>
      <c r="Q2114" s="13">
        <f>IFERROR(__xludf.DUMMYFUNCTION("VALUE(SUBSTITUTE((INDEX(SPLIT(A2114,"",""),2)),""."","","",1))"),39.213142)</f>
        <v>39.213142</v>
      </c>
      <c r="R2114" s="14" t="b">
        <f t="shared" si="1"/>
        <v>0</v>
      </c>
      <c r="S2114" s="14" t="str">
        <f t="shared" si="2"/>
        <v>51.684993,39.213142</v>
      </c>
      <c r="T2114" s="12"/>
    </row>
    <row r="2115">
      <c r="A2115" s="20" t="s">
        <v>13727</v>
      </c>
      <c r="B2115" s="16" t="s">
        <v>13728</v>
      </c>
      <c r="C2115" s="16" t="s">
        <v>13729</v>
      </c>
      <c r="D2115" s="16" t="s">
        <v>16</v>
      </c>
      <c r="E2115" s="21" t="s">
        <v>13730</v>
      </c>
      <c r="F2115" s="22" t="s">
        <v>8566</v>
      </c>
      <c r="G2115" s="16">
        <v>23.61</v>
      </c>
      <c r="H2115" s="16"/>
      <c r="I2115" s="22"/>
      <c r="J2115" s="22" t="s">
        <v>13731</v>
      </c>
      <c r="K2115" s="22" t="s">
        <v>13732</v>
      </c>
      <c r="L2115" s="23" t="s">
        <v>13733</v>
      </c>
      <c r="M2115" s="23" t="s">
        <v>13734</v>
      </c>
      <c r="N2115" s="12"/>
      <c r="O2115" s="12"/>
      <c r="P2115" s="13">
        <f>IFERROR(__xludf.DUMMYFUNCTION("VALUE(SUBSTITUTE((INDEX(SPLIT(A2115,"",""),1)),""."","","",1))"),45.209072)</f>
        <v>45.209072</v>
      </c>
      <c r="Q2115" s="13">
        <f>IFERROR(__xludf.DUMMYFUNCTION("VALUE(SUBSTITUTE((INDEX(SPLIT(A2115,"",""),2)),""."","","",1))"),39.227874)</f>
        <v>39.227874</v>
      </c>
      <c r="R2115" s="14" t="b">
        <f t="shared" si="1"/>
        <v>0</v>
      </c>
      <c r="S2115" s="14" t="str">
        <f t="shared" si="2"/>
        <v>45.209072,39.227874</v>
      </c>
      <c r="T2115" s="12"/>
    </row>
    <row r="2116">
      <c r="A2116" s="18" t="s">
        <v>13735</v>
      </c>
      <c r="B2116" s="8" t="s">
        <v>13736</v>
      </c>
      <c r="C2116" s="8" t="s">
        <v>13737</v>
      </c>
      <c r="D2116" s="8" t="s">
        <v>16</v>
      </c>
      <c r="E2116" s="19" t="s">
        <v>13738</v>
      </c>
      <c r="F2116" s="8" t="s">
        <v>9563</v>
      </c>
      <c r="G2116" s="8">
        <v>23.61</v>
      </c>
      <c r="H2116" s="8"/>
      <c r="I2116" s="8"/>
      <c r="J2116" s="8" t="s">
        <v>13739</v>
      </c>
      <c r="K2116" s="8" t="s">
        <v>13740</v>
      </c>
      <c r="L2116" s="8"/>
      <c r="M2116" s="8"/>
      <c r="N2116" s="12"/>
      <c r="O2116" s="12"/>
      <c r="P2116" s="13">
        <f>IFERROR(__xludf.DUMMYFUNCTION("VALUE(SUBSTITUTE((INDEX(SPLIT(A2116,"",""),1)),""."","","",1))"),51.671891)</f>
        <v>51.671891</v>
      </c>
      <c r="Q2116" s="13">
        <f>IFERROR(__xludf.DUMMYFUNCTION("VALUE(SUBSTITUTE((INDEX(SPLIT(A2116,"",""),2)),""."","","",1))"),39.228629)</f>
        <v>39.228629</v>
      </c>
      <c r="R2116" s="14" t="b">
        <f t="shared" si="1"/>
        <v>0</v>
      </c>
      <c r="S2116" s="14" t="str">
        <f t="shared" si="2"/>
        <v>51.671891,39.228629</v>
      </c>
      <c r="T2116" s="12"/>
    </row>
    <row r="2117">
      <c r="A2117" s="15" t="s">
        <v>13741</v>
      </c>
      <c r="B2117" s="16" t="s">
        <v>13742</v>
      </c>
      <c r="C2117" s="16" t="s">
        <v>13743</v>
      </c>
      <c r="D2117" s="16" t="s">
        <v>16</v>
      </c>
      <c r="E2117" s="17" t="s">
        <v>13744</v>
      </c>
      <c r="F2117" s="16" t="s">
        <v>9563</v>
      </c>
      <c r="G2117" s="16">
        <v>23.61</v>
      </c>
      <c r="H2117" s="16"/>
      <c r="I2117" s="16"/>
      <c r="J2117" s="16" t="s">
        <v>13745</v>
      </c>
      <c r="K2117" s="16" t="s">
        <v>13746</v>
      </c>
      <c r="L2117" s="16"/>
      <c r="M2117" s="25" t="s">
        <v>13747</v>
      </c>
      <c r="N2117" s="12"/>
      <c r="O2117" s="12"/>
      <c r="P2117" s="13">
        <f>IFERROR(__xludf.DUMMYFUNCTION("VALUE(SUBSTITUTE((INDEX(SPLIT(A2117,"",""),1)),""."","","",1))"),51.622729)</f>
        <v>51.622729</v>
      </c>
      <c r="Q2117" s="13">
        <f>IFERROR(__xludf.DUMMYFUNCTION("VALUE(SUBSTITUTE((INDEX(SPLIT(A2117,"",""),2)),""."","","",1))"),39.229222)</f>
        <v>39.229222</v>
      </c>
      <c r="R2117" s="14" t="b">
        <f t="shared" si="1"/>
        <v>0</v>
      </c>
      <c r="S2117" s="14" t="str">
        <f t="shared" si="2"/>
        <v>51.622729,39.229222</v>
      </c>
      <c r="T2117" s="12"/>
    </row>
    <row r="2118">
      <c r="A2118" s="18" t="s">
        <v>13748</v>
      </c>
      <c r="B2118" s="8" t="s">
        <v>13749</v>
      </c>
      <c r="C2118" s="8" t="s">
        <v>13750</v>
      </c>
      <c r="D2118" s="8" t="s">
        <v>16</v>
      </c>
      <c r="E2118" s="19" t="s">
        <v>13751</v>
      </c>
      <c r="F2118" s="8" t="s">
        <v>9563</v>
      </c>
      <c r="G2118" s="8">
        <v>23.61</v>
      </c>
      <c r="H2118" s="8"/>
      <c r="I2118" s="8"/>
      <c r="J2118" s="8" t="s">
        <v>13752</v>
      </c>
      <c r="K2118" s="8" t="s">
        <v>13753</v>
      </c>
      <c r="L2118" s="8"/>
      <c r="M2118" s="24" t="s">
        <v>13754</v>
      </c>
      <c r="N2118" s="12"/>
      <c r="O2118" s="12"/>
      <c r="P2118" s="13">
        <f>IFERROR(__xludf.DUMMYFUNCTION("VALUE(SUBSTITUTE((INDEX(SPLIT(A2118,"",""),1)),""."","","",1))"),51.613759)</f>
        <v>51.613759</v>
      </c>
      <c r="Q2118" s="13">
        <f>IFERROR(__xludf.DUMMYFUNCTION("VALUE(SUBSTITUTE((INDEX(SPLIT(A2118,"",""),2)),""."","","",1))"),39.235115)</f>
        <v>39.235115</v>
      </c>
      <c r="R2118" s="14" t="b">
        <f t="shared" si="1"/>
        <v>0</v>
      </c>
      <c r="S2118" s="14" t="str">
        <f t="shared" si="2"/>
        <v>51.613759,39.235115</v>
      </c>
      <c r="T2118" s="12"/>
    </row>
    <row r="2119">
      <c r="A2119" s="20" t="s">
        <v>13755</v>
      </c>
      <c r="B2119" s="16" t="s">
        <v>13756</v>
      </c>
      <c r="C2119" s="16" t="s">
        <v>13757</v>
      </c>
      <c r="D2119" s="16" t="s">
        <v>16</v>
      </c>
      <c r="E2119" s="21" t="s">
        <v>13758</v>
      </c>
      <c r="F2119" s="22" t="s">
        <v>9563</v>
      </c>
      <c r="G2119" s="16">
        <v>23.61</v>
      </c>
      <c r="H2119" s="16"/>
      <c r="I2119" s="22"/>
      <c r="J2119" s="22" t="s">
        <v>13759</v>
      </c>
      <c r="K2119" s="22" t="s">
        <v>13760</v>
      </c>
      <c r="L2119" s="23" t="s">
        <v>13761</v>
      </c>
      <c r="M2119" s="22"/>
      <c r="N2119" s="12"/>
      <c r="O2119" s="12"/>
      <c r="P2119" s="13">
        <f>IFERROR(__xludf.DUMMYFUNCTION("VALUE(SUBSTITUTE((INDEX(SPLIT(A2119,"",""),1)),""."","","",1))"),51.711168)</f>
        <v>51.711168</v>
      </c>
      <c r="Q2119" s="13">
        <f>IFERROR(__xludf.DUMMYFUNCTION("VALUE(SUBSTITUTE((INDEX(SPLIT(A2119,"",""),2)),""."","","",1))"),39.235393)</f>
        <v>39.235393</v>
      </c>
      <c r="R2119" s="14" t="b">
        <f t="shared" si="1"/>
        <v>0</v>
      </c>
      <c r="S2119" s="14" t="str">
        <f t="shared" si="2"/>
        <v>51.711168,39.235393</v>
      </c>
      <c r="T2119" s="12"/>
    </row>
    <row r="2120">
      <c r="A2120" s="18" t="s">
        <v>13762</v>
      </c>
      <c r="B2120" s="8" t="s">
        <v>13763</v>
      </c>
      <c r="C2120" s="8" t="s">
        <v>13764</v>
      </c>
      <c r="D2120" s="8" t="s">
        <v>16</v>
      </c>
      <c r="E2120" s="19" t="s">
        <v>13765</v>
      </c>
      <c r="F2120" s="8" t="s">
        <v>8566</v>
      </c>
      <c r="G2120" s="8">
        <v>23.61</v>
      </c>
      <c r="H2120" s="8"/>
      <c r="I2120" s="8"/>
      <c r="J2120" s="8" t="s">
        <v>13766</v>
      </c>
      <c r="K2120" s="8" t="s">
        <v>13767</v>
      </c>
      <c r="L2120" s="8"/>
      <c r="M2120" s="24" t="s">
        <v>13768</v>
      </c>
      <c r="N2120" s="12"/>
      <c r="O2120" s="12"/>
      <c r="P2120" s="13">
        <f>IFERROR(__xludf.DUMMYFUNCTION("VALUE(SUBSTITUTE((INDEX(SPLIT(A2120,"",""),1)),""."","","",1))"),45.194796)</f>
        <v>45.194796</v>
      </c>
      <c r="Q2120" s="13">
        <f>IFERROR(__xludf.DUMMYFUNCTION("VALUE(SUBSTITUTE((INDEX(SPLIT(A2120,"",""),2)),""."","","",1))"),39.235824)</f>
        <v>39.235824</v>
      </c>
      <c r="R2120" s="14" t="b">
        <f t="shared" si="1"/>
        <v>0</v>
      </c>
      <c r="S2120" s="14" t="str">
        <f t="shared" si="2"/>
        <v>45.194796,39.235824</v>
      </c>
      <c r="T2120" s="12"/>
    </row>
    <row r="2121">
      <c r="A2121" s="15" t="s">
        <v>13769</v>
      </c>
      <c r="B2121" s="16" t="s">
        <v>13770</v>
      </c>
      <c r="C2121" s="16" t="s">
        <v>13771</v>
      </c>
      <c r="D2121" s="16" t="s">
        <v>16</v>
      </c>
      <c r="E2121" s="17" t="s">
        <v>13772</v>
      </c>
      <c r="F2121" s="16" t="s">
        <v>8566</v>
      </c>
      <c r="G2121" s="16">
        <v>23.61</v>
      </c>
      <c r="H2121" s="16"/>
      <c r="I2121" s="16"/>
      <c r="J2121" s="16" t="s">
        <v>13773</v>
      </c>
      <c r="K2121" s="16" t="s">
        <v>13774</v>
      </c>
      <c r="L2121" s="16"/>
      <c r="M2121" s="16"/>
      <c r="N2121" s="12"/>
      <c r="O2121" s="12"/>
      <c r="P2121" s="13">
        <f>IFERROR(__xludf.DUMMYFUNCTION("VALUE(SUBSTITUTE((INDEX(SPLIT(A2121,"",""),1)),""."","","",1))"),45.195526)</f>
        <v>45.195526</v>
      </c>
      <c r="Q2121" s="13">
        <f>IFERROR(__xludf.DUMMYFUNCTION("VALUE(SUBSTITUTE((INDEX(SPLIT(A2121,"",""),2)),""."","","",1))"),39.236175)</f>
        <v>39.236175</v>
      </c>
      <c r="R2121" s="14" t="b">
        <f t="shared" si="1"/>
        <v>0</v>
      </c>
      <c r="S2121" s="14" t="str">
        <f t="shared" si="2"/>
        <v>45.195526,39.236175</v>
      </c>
      <c r="T2121" s="12"/>
    </row>
    <row r="2122">
      <c r="A2122" s="7" t="s">
        <v>13775</v>
      </c>
      <c r="B2122" s="8" t="s">
        <v>13776</v>
      </c>
      <c r="C2122" s="8" t="s">
        <v>13777</v>
      </c>
      <c r="D2122" s="8" t="s">
        <v>16</v>
      </c>
      <c r="E2122" s="9" t="s">
        <v>13778</v>
      </c>
      <c r="F2122" s="10" t="s">
        <v>8566</v>
      </c>
      <c r="G2122" s="8">
        <v>23.61</v>
      </c>
      <c r="H2122" s="8"/>
      <c r="I2122" s="10"/>
      <c r="J2122" s="10" t="s">
        <v>13779</v>
      </c>
      <c r="K2122" s="10" t="s">
        <v>13780</v>
      </c>
      <c r="L2122" s="11" t="s">
        <v>13781</v>
      </c>
      <c r="M2122" s="10"/>
      <c r="N2122" s="12"/>
      <c r="O2122" s="12"/>
      <c r="P2122" s="13">
        <f>IFERROR(__xludf.DUMMYFUNCTION("VALUE(SUBSTITUTE((INDEX(SPLIT(A2122,"",""),1)),""."","","",1))"),45.203262)</f>
        <v>45.203262</v>
      </c>
      <c r="Q2122" s="13">
        <f>IFERROR(__xludf.DUMMYFUNCTION("VALUE(SUBSTITUTE((INDEX(SPLIT(A2122,"",""),2)),""."","","",1))"),39.238322)</f>
        <v>39.238322</v>
      </c>
      <c r="R2122" s="14" t="b">
        <f t="shared" si="1"/>
        <v>0</v>
      </c>
      <c r="S2122" s="14" t="str">
        <f t="shared" si="2"/>
        <v>45.203262,39.238322</v>
      </c>
      <c r="T2122" s="12"/>
    </row>
    <row r="2123">
      <c r="A2123" s="15" t="s">
        <v>13782</v>
      </c>
      <c r="B2123" s="16" t="s">
        <v>13783</v>
      </c>
      <c r="C2123" s="16" t="s">
        <v>13784</v>
      </c>
      <c r="D2123" s="16" t="s">
        <v>16</v>
      </c>
      <c r="E2123" s="17" t="s">
        <v>13785</v>
      </c>
      <c r="F2123" s="16" t="s">
        <v>9563</v>
      </c>
      <c r="G2123" s="16">
        <v>23.61</v>
      </c>
      <c r="H2123" s="16"/>
      <c r="I2123" s="16"/>
      <c r="J2123" s="16" t="s">
        <v>13786</v>
      </c>
      <c r="K2123" s="16" t="s">
        <v>13787</v>
      </c>
      <c r="L2123" s="16"/>
      <c r="M2123" s="16"/>
      <c r="N2123" s="12"/>
      <c r="O2123" s="12"/>
      <c r="P2123" s="13">
        <f>IFERROR(__xludf.DUMMYFUNCTION("VALUE(SUBSTITUTE((INDEX(SPLIT(A2123,"",""),1)),""."","","",1))"),51.650075)</f>
        <v>51.650075</v>
      </c>
      <c r="Q2123" s="13">
        <f>IFERROR(__xludf.DUMMYFUNCTION("VALUE(SUBSTITUTE((INDEX(SPLIT(A2123,"",""),2)),""."","","",1))"),39.24046)</f>
        <v>39.24046</v>
      </c>
      <c r="R2123" s="14" t="b">
        <f t="shared" si="1"/>
        <v>0</v>
      </c>
      <c r="S2123" s="14" t="str">
        <f t="shared" si="2"/>
        <v>51.650075,39.24046</v>
      </c>
      <c r="T2123" s="12"/>
    </row>
    <row r="2124">
      <c r="A2124" s="7" t="s">
        <v>13788</v>
      </c>
      <c r="B2124" s="8" t="s">
        <v>13789</v>
      </c>
      <c r="C2124" s="8" t="s">
        <v>13790</v>
      </c>
      <c r="D2124" s="8" t="s">
        <v>16</v>
      </c>
      <c r="E2124" s="9" t="s">
        <v>13791</v>
      </c>
      <c r="F2124" s="10" t="s">
        <v>9563</v>
      </c>
      <c r="G2124" s="8">
        <v>23.61</v>
      </c>
      <c r="H2124" s="8"/>
      <c r="I2124" s="31" t="s">
        <v>13792</v>
      </c>
      <c r="J2124" s="10" t="s">
        <v>13793</v>
      </c>
      <c r="K2124" s="10" t="s">
        <v>13794</v>
      </c>
      <c r="L2124" s="11" t="s">
        <v>13795</v>
      </c>
      <c r="M2124" s="10"/>
      <c r="N2124" s="12"/>
      <c r="O2124" s="12"/>
      <c r="P2124" s="13">
        <f>IFERROR(__xludf.DUMMYFUNCTION("VALUE(SUBSTITUTE((INDEX(SPLIT(A2124,"",""),1)),""."","","",1))"),51.597907)</f>
        <v>51.597907</v>
      </c>
      <c r="Q2124" s="13">
        <f>IFERROR(__xludf.DUMMYFUNCTION("VALUE(SUBSTITUTE((INDEX(SPLIT(A2124,"",""),2)),""."","","",1))"),39.252695)</f>
        <v>39.252695</v>
      </c>
      <c r="R2124" s="14" t="b">
        <f t="shared" si="1"/>
        <v>0</v>
      </c>
      <c r="S2124" s="14" t="str">
        <f t="shared" si="2"/>
        <v>51.597907,39.252695</v>
      </c>
      <c r="T2124" s="12"/>
    </row>
    <row r="2125">
      <c r="A2125" s="20" t="s">
        <v>13796</v>
      </c>
      <c r="B2125" s="16" t="s">
        <v>13797</v>
      </c>
      <c r="C2125" s="16" t="s">
        <v>13798</v>
      </c>
      <c r="D2125" s="16" t="s">
        <v>16</v>
      </c>
      <c r="E2125" s="21" t="s">
        <v>13799</v>
      </c>
      <c r="F2125" s="22" t="s">
        <v>9563</v>
      </c>
      <c r="G2125" s="16">
        <v>23.61</v>
      </c>
      <c r="H2125" s="16"/>
      <c r="I2125" s="22"/>
      <c r="J2125" s="22" t="s">
        <v>13800</v>
      </c>
      <c r="K2125" s="22" t="s">
        <v>13801</v>
      </c>
      <c r="L2125" s="23" t="s">
        <v>13802</v>
      </c>
      <c r="M2125" s="23" t="s">
        <v>13803</v>
      </c>
      <c r="N2125" s="12"/>
      <c r="O2125" s="12"/>
      <c r="P2125" s="13">
        <f>IFERROR(__xludf.DUMMYFUNCTION("VALUE(SUBSTITUTE((INDEX(SPLIT(A2125,"",""),1)),""."","","",1))"),51.630948)</f>
        <v>51.630948</v>
      </c>
      <c r="Q2125" s="13">
        <f>IFERROR(__xludf.DUMMYFUNCTION("VALUE(SUBSTITUTE((INDEX(SPLIT(A2125,"",""),2)),""."","","",1))"),39.257177)</f>
        <v>39.257177</v>
      </c>
      <c r="R2125" s="14" t="b">
        <f t="shared" si="1"/>
        <v>0</v>
      </c>
      <c r="S2125" s="14" t="str">
        <f t="shared" si="2"/>
        <v>51.630948,39.257177</v>
      </c>
      <c r="T2125" s="12"/>
    </row>
    <row r="2126">
      <c r="A2126" s="18" t="s">
        <v>13804</v>
      </c>
      <c r="B2126" s="8" t="s">
        <v>13805</v>
      </c>
      <c r="C2126" s="8" t="s">
        <v>13806</v>
      </c>
      <c r="D2126" s="8" t="s">
        <v>16</v>
      </c>
      <c r="E2126" s="19" t="s">
        <v>13807</v>
      </c>
      <c r="F2126" s="8" t="s">
        <v>9563</v>
      </c>
      <c r="G2126" s="8">
        <v>23.61</v>
      </c>
      <c r="H2126" s="8"/>
      <c r="I2126" s="8"/>
      <c r="J2126" s="8" t="s">
        <v>13808</v>
      </c>
      <c r="K2126" s="8" t="s">
        <v>13809</v>
      </c>
      <c r="L2126" s="8"/>
      <c r="M2126" s="8"/>
      <c r="N2126" s="12"/>
      <c r="O2126" s="12"/>
      <c r="P2126" s="13">
        <f>IFERROR(__xludf.DUMMYFUNCTION("VALUE(SUBSTITUTE((INDEX(SPLIT(A2126,"",""),1)),""."","","",1))"),51.635281)</f>
        <v>51.635281</v>
      </c>
      <c r="Q2126" s="13">
        <f>IFERROR(__xludf.DUMMYFUNCTION("VALUE(SUBSTITUTE((INDEX(SPLIT(A2126,"",""),2)),""."","","",1))"),39.265235)</f>
        <v>39.265235</v>
      </c>
      <c r="R2126" s="14" t="b">
        <f t="shared" si="1"/>
        <v>0</v>
      </c>
      <c r="S2126" s="14" t="str">
        <f t="shared" si="2"/>
        <v>51.635281,39.265235</v>
      </c>
      <c r="T2126" s="12"/>
    </row>
    <row r="2127">
      <c r="A2127" s="20" t="s">
        <v>13810</v>
      </c>
      <c r="B2127" s="16" t="s">
        <v>13811</v>
      </c>
      <c r="C2127" s="16" t="s">
        <v>13812</v>
      </c>
      <c r="D2127" s="16" t="s">
        <v>16</v>
      </c>
      <c r="E2127" s="21" t="s">
        <v>13813</v>
      </c>
      <c r="F2127" s="22" t="s">
        <v>9563</v>
      </c>
      <c r="G2127" s="16">
        <v>23.61</v>
      </c>
      <c r="H2127" s="16"/>
      <c r="I2127" s="22"/>
      <c r="J2127" s="22" t="s">
        <v>13814</v>
      </c>
      <c r="K2127" s="22" t="s">
        <v>13815</v>
      </c>
      <c r="L2127" s="23" t="s">
        <v>13816</v>
      </c>
      <c r="M2127" s="22"/>
      <c r="N2127" s="12"/>
      <c r="O2127" s="12"/>
      <c r="P2127" s="13">
        <f>IFERROR(__xludf.DUMMYFUNCTION("VALUE(SUBSTITUTE((INDEX(SPLIT(A2127,"",""),1)),""."","","",1))"),51.693234)</f>
        <v>51.693234</v>
      </c>
      <c r="Q2127" s="13">
        <f>IFERROR(__xludf.DUMMYFUNCTION("VALUE(SUBSTITUTE((INDEX(SPLIT(A2127,"",""),2)),""."","","",1))"),39.269987)</f>
        <v>39.269987</v>
      </c>
      <c r="R2127" s="14" t="b">
        <f t="shared" si="1"/>
        <v>0</v>
      </c>
      <c r="S2127" s="14" t="str">
        <f t="shared" si="2"/>
        <v>51.693234,39.269987</v>
      </c>
      <c r="T2127" s="12"/>
    </row>
    <row r="2128">
      <c r="A2128" s="18" t="s">
        <v>13817</v>
      </c>
      <c r="B2128" s="8" t="s">
        <v>13818</v>
      </c>
      <c r="C2128" s="8" t="s">
        <v>13819</v>
      </c>
      <c r="D2128" s="8" t="s">
        <v>16</v>
      </c>
      <c r="E2128" s="19" t="s">
        <v>13820</v>
      </c>
      <c r="F2128" s="8" t="s">
        <v>9563</v>
      </c>
      <c r="G2128" s="8">
        <v>23.61</v>
      </c>
      <c r="H2128" s="8"/>
      <c r="I2128" s="8"/>
      <c r="J2128" s="8" t="s">
        <v>13821</v>
      </c>
      <c r="K2128" s="8" t="s">
        <v>13822</v>
      </c>
      <c r="L2128" s="8"/>
      <c r="M2128" s="24" t="s">
        <v>13823</v>
      </c>
      <c r="N2128" s="12"/>
      <c r="O2128" s="12"/>
      <c r="P2128" s="13">
        <f>IFERROR(__xludf.DUMMYFUNCTION("VALUE(SUBSTITUTE((INDEX(SPLIT(A2128,"",""),1)),""."","","",1))"),51.636583)</f>
        <v>51.636583</v>
      </c>
      <c r="Q2128" s="13">
        <f>IFERROR(__xludf.DUMMYFUNCTION("VALUE(SUBSTITUTE((INDEX(SPLIT(A2128,"",""),2)),""."","","",1))"),39.272233)</f>
        <v>39.272233</v>
      </c>
      <c r="R2128" s="14" t="b">
        <f t="shared" si="1"/>
        <v>0</v>
      </c>
      <c r="S2128" s="14" t="str">
        <f t="shared" si="2"/>
        <v>51.636583,39.272233</v>
      </c>
      <c r="T2128" s="12"/>
    </row>
    <row r="2129">
      <c r="A2129" s="20" t="s">
        <v>13824</v>
      </c>
      <c r="B2129" s="16" t="s">
        <v>13825</v>
      </c>
      <c r="C2129" s="16" t="s">
        <v>13826</v>
      </c>
      <c r="D2129" s="16" t="s">
        <v>16</v>
      </c>
      <c r="E2129" s="21" t="s">
        <v>13827</v>
      </c>
      <c r="F2129" s="22" t="s">
        <v>12763</v>
      </c>
      <c r="G2129" s="16">
        <v>23.61</v>
      </c>
      <c r="H2129" s="16"/>
      <c r="I2129" s="28" t="s">
        <v>13828</v>
      </c>
      <c r="J2129" s="22" t="s">
        <v>13829</v>
      </c>
      <c r="K2129" s="22" t="s">
        <v>13830</v>
      </c>
      <c r="L2129" s="23" t="s">
        <v>13831</v>
      </c>
      <c r="M2129" s="23" t="s">
        <v>13832</v>
      </c>
      <c r="N2129" s="12"/>
      <c r="O2129" s="12"/>
      <c r="P2129" s="13">
        <f>IFERROR(__xludf.DUMMYFUNCTION("VALUE(SUBSTITUTE((INDEX(SPLIT(A2129,"",""),1)),""."","","",1))"),57.150514)</f>
        <v>57.150514</v>
      </c>
      <c r="Q2129" s="13">
        <f>IFERROR(__xludf.DUMMYFUNCTION("VALUE(SUBSTITUTE((INDEX(SPLIT(A2129,"",""),2)),""."","","",1))"),39.280426)</f>
        <v>39.280426</v>
      </c>
      <c r="R2129" s="14" t="b">
        <f t="shared" si="1"/>
        <v>0</v>
      </c>
      <c r="S2129" s="14" t="str">
        <f t="shared" si="2"/>
        <v>57.150514,39.280426</v>
      </c>
      <c r="T2129" s="12"/>
    </row>
    <row r="2130">
      <c r="A2130" s="7" t="s">
        <v>13833</v>
      </c>
      <c r="B2130" s="8" t="s">
        <v>13834</v>
      </c>
      <c r="C2130" s="8" t="s">
        <v>13835</v>
      </c>
      <c r="D2130" s="8" t="s">
        <v>16</v>
      </c>
      <c r="E2130" s="9" t="s">
        <v>13836</v>
      </c>
      <c r="F2130" s="10" t="s">
        <v>9563</v>
      </c>
      <c r="G2130" s="8">
        <v>23.61</v>
      </c>
      <c r="H2130" s="8"/>
      <c r="I2130" s="31" t="s">
        <v>13837</v>
      </c>
      <c r="J2130" s="10" t="s">
        <v>13838</v>
      </c>
      <c r="K2130" s="10" t="s">
        <v>13839</v>
      </c>
      <c r="L2130" s="29" t="s">
        <v>13840</v>
      </c>
      <c r="M2130" s="10"/>
      <c r="N2130" s="12"/>
      <c r="O2130" s="12"/>
      <c r="P2130" s="13">
        <f>IFERROR(__xludf.DUMMYFUNCTION("VALUE(SUBSTITUTE((INDEX(SPLIT(A2130,"",""),1)),""."","","",1))"),51.65217)</f>
        <v>51.65217</v>
      </c>
      <c r="Q2130" s="13">
        <f>IFERROR(__xludf.DUMMYFUNCTION("VALUE(SUBSTITUTE((INDEX(SPLIT(A2130,"",""),2)),""."","","",1))"),39.280866)</f>
        <v>39.280866</v>
      </c>
      <c r="R2130" s="14" t="b">
        <f t="shared" si="1"/>
        <v>0</v>
      </c>
      <c r="S2130" s="14" t="str">
        <f t="shared" si="2"/>
        <v>51.65217,39.280866</v>
      </c>
      <c r="T2130" s="12"/>
    </row>
    <row r="2131">
      <c r="A2131" s="20" t="s">
        <v>13841</v>
      </c>
      <c r="B2131" s="16" t="s">
        <v>13842</v>
      </c>
      <c r="C2131" s="16" t="s">
        <v>13843</v>
      </c>
      <c r="D2131" s="16" t="s">
        <v>16</v>
      </c>
      <c r="E2131" s="21" t="s">
        <v>13844</v>
      </c>
      <c r="F2131" s="22" t="s">
        <v>9563</v>
      </c>
      <c r="G2131" s="16">
        <v>23.61</v>
      </c>
      <c r="H2131" s="16"/>
      <c r="I2131" s="22"/>
      <c r="J2131" s="22" t="s">
        <v>13845</v>
      </c>
      <c r="K2131" s="22" t="s">
        <v>13846</v>
      </c>
      <c r="L2131" s="30" t="s">
        <v>13847</v>
      </c>
      <c r="M2131" s="22"/>
      <c r="N2131" s="12"/>
      <c r="O2131" s="12"/>
      <c r="P2131" s="13">
        <f>IFERROR(__xludf.DUMMYFUNCTION("VALUE(SUBSTITUTE((INDEX(SPLIT(A2131,"",""),1)),""."","","",1))"),51.646929)</f>
        <v>51.646929</v>
      </c>
      <c r="Q2131" s="13">
        <f>IFERROR(__xludf.DUMMYFUNCTION("VALUE(SUBSTITUTE((INDEX(SPLIT(A2131,"",""),2)),""."","","",1))"),39.285708)</f>
        <v>39.285708</v>
      </c>
      <c r="R2131" s="14" t="b">
        <f t="shared" si="1"/>
        <v>0</v>
      </c>
      <c r="S2131" s="14" t="str">
        <f t="shared" si="2"/>
        <v>51.646929,39.285708</v>
      </c>
      <c r="T2131" s="12"/>
    </row>
    <row r="2132">
      <c r="A2132" s="7" t="s">
        <v>13848</v>
      </c>
      <c r="B2132" s="8" t="s">
        <v>13849</v>
      </c>
      <c r="C2132" s="8" t="s">
        <v>13850</v>
      </c>
      <c r="D2132" s="8" t="s">
        <v>16</v>
      </c>
      <c r="E2132" s="9" t="s">
        <v>13851</v>
      </c>
      <c r="F2132" s="10" t="s">
        <v>9563</v>
      </c>
      <c r="G2132" s="8">
        <v>23.61</v>
      </c>
      <c r="H2132" s="8"/>
      <c r="I2132" s="10"/>
      <c r="J2132" s="10" t="s">
        <v>13852</v>
      </c>
      <c r="K2132" s="10" t="s">
        <v>13853</v>
      </c>
      <c r="L2132" s="11" t="s">
        <v>13854</v>
      </c>
      <c r="M2132" s="10"/>
      <c r="N2132" s="12"/>
      <c r="O2132" s="12"/>
      <c r="P2132" s="13">
        <f>IFERROR(__xludf.DUMMYFUNCTION("VALUE(SUBSTITUTE((INDEX(SPLIT(A2132,"",""),1)),""."","","",1))"),51.902942)</f>
        <v>51.902942</v>
      </c>
      <c r="Q2132" s="13">
        <f>IFERROR(__xludf.DUMMYFUNCTION("VALUE(SUBSTITUTE((INDEX(SPLIT(A2132,"",""),2)),""."","","",1))"),39.286157)</f>
        <v>39.286157</v>
      </c>
      <c r="R2132" s="14" t="b">
        <f t="shared" si="1"/>
        <v>0</v>
      </c>
      <c r="S2132" s="14" t="str">
        <f t="shared" si="2"/>
        <v>51.902942,39.286157</v>
      </c>
      <c r="T2132" s="12"/>
    </row>
    <row r="2133">
      <c r="A2133" s="20" t="s">
        <v>13855</v>
      </c>
      <c r="B2133" s="16" t="s">
        <v>13856</v>
      </c>
      <c r="C2133" s="16" t="s">
        <v>13857</v>
      </c>
      <c r="D2133" s="16" t="s">
        <v>16</v>
      </c>
      <c r="E2133" s="21" t="s">
        <v>13858</v>
      </c>
      <c r="F2133" s="22" t="s">
        <v>9563</v>
      </c>
      <c r="G2133" s="16">
        <v>23.61</v>
      </c>
      <c r="H2133" s="16"/>
      <c r="I2133" s="22"/>
      <c r="J2133" s="22" t="s">
        <v>13859</v>
      </c>
      <c r="K2133" s="22" t="s">
        <v>13860</v>
      </c>
      <c r="L2133" s="23" t="s">
        <v>13861</v>
      </c>
      <c r="M2133" s="23" t="s">
        <v>13862</v>
      </c>
      <c r="N2133" s="12"/>
      <c r="O2133" s="12"/>
      <c r="P2133" s="13">
        <f>IFERROR(__xludf.DUMMYFUNCTION("VALUE(SUBSTITUTE((INDEX(SPLIT(A2133,"",""),1)),""."","","",1))"),51.713177)</f>
        <v>51.713177</v>
      </c>
      <c r="Q2133" s="13">
        <f>IFERROR(__xludf.DUMMYFUNCTION("VALUE(SUBSTITUTE((INDEX(SPLIT(A2133,"",""),2)),""."","","",1))"),39.291358)</f>
        <v>39.291358</v>
      </c>
      <c r="R2133" s="14" t="b">
        <f t="shared" si="1"/>
        <v>0</v>
      </c>
      <c r="S2133" s="14" t="str">
        <f t="shared" si="2"/>
        <v>51.713177,39.291358</v>
      </c>
      <c r="T2133" s="12"/>
    </row>
    <row r="2134">
      <c r="A2134" s="18" t="s">
        <v>13863</v>
      </c>
      <c r="B2134" s="8" t="s">
        <v>13864</v>
      </c>
      <c r="C2134" s="8" t="s">
        <v>13865</v>
      </c>
      <c r="D2134" s="8" t="s">
        <v>16</v>
      </c>
      <c r="E2134" s="19" t="s">
        <v>13866</v>
      </c>
      <c r="F2134" s="8" t="s">
        <v>9563</v>
      </c>
      <c r="G2134" s="8">
        <v>23.61</v>
      </c>
      <c r="H2134" s="8"/>
      <c r="I2134" s="8"/>
      <c r="J2134" s="8" t="s">
        <v>13867</v>
      </c>
      <c r="K2134" s="8" t="s">
        <v>13868</v>
      </c>
      <c r="L2134" s="8"/>
      <c r="M2134" s="24" t="s">
        <v>13869</v>
      </c>
      <c r="N2134" s="12"/>
      <c r="O2134" s="12"/>
      <c r="P2134" s="13">
        <f>IFERROR(__xludf.DUMMYFUNCTION("VALUE(SUBSTITUTE((INDEX(SPLIT(A2134,"",""),1)),""."","","",1))"),51.682681)</f>
        <v>51.682681</v>
      </c>
      <c r="Q2134" s="13">
        <f>IFERROR(__xludf.DUMMYFUNCTION("VALUE(SUBSTITUTE((INDEX(SPLIT(A2134,"",""),2)),""."","","",1))"),39.295958)</f>
        <v>39.295958</v>
      </c>
      <c r="R2134" s="14" t="b">
        <f t="shared" si="1"/>
        <v>0</v>
      </c>
      <c r="S2134" s="14" t="str">
        <f t="shared" si="2"/>
        <v>51.682681,39.295958</v>
      </c>
      <c r="T2134" s="12"/>
    </row>
    <row r="2135">
      <c r="A2135" s="15" t="s">
        <v>13870</v>
      </c>
      <c r="B2135" s="16" t="s">
        <v>749</v>
      </c>
      <c r="C2135" s="16" t="s">
        <v>750</v>
      </c>
      <c r="D2135" s="16" t="s">
        <v>16</v>
      </c>
      <c r="E2135" s="17" t="s">
        <v>13871</v>
      </c>
      <c r="F2135" s="16" t="s">
        <v>9563</v>
      </c>
      <c r="G2135" s="16">
        <v>23.61</v>
      </c>
      <c r="H2135" s="16"/>
      <c r="I2135" s="16"/>
      <c r="J2135" s="16" t="s">
        <v>13872</v>
      </c>
      <c r="K2135" s="16" t="s">
        <v>13873</v>
      </c>
      <c r="L2135" s="16"/>
      <c r="M2135" s="16"/>
      <c r="N2135" s="12"/>
      <c r="O2135" s="12"/>
      <c r="P2135" s="13">
        <f>IFERROR(__xludf.DUMMYFUNCTION("VALUE(SUBSTITUTE((INDEX(SPLIT(A2135,"",""),1)),""."","","",1))"),51.675818)</f>
        <v>51.675818</v>
      </c>
      <c r="Q2135" s="13">
        <f>IFERROR(__xludf.DUMMYFUNCTION("VALUE(SUBSTITUTE((INDEX(SPLIT(A2135,"",""),2)),""."","","",1))"),39.315343)</f>
        <v>39.315343</v>
      </c>
      <c r="R2135" s="14" t="b">
        <f t="shared" si="1"/>
        <v>0</v>
      </c>
      <c r="S2135" s="14" t="str">
        <f t="shared" si="2"/>
        <v>51.675818,39.315343</v>
      </c>
      <c r="T2135" s="12"/>
    </row>
    <row r="2136">
      <c r="A2136" s="18" t="s">
        <v>13874</v>
      </c>
      <c r="B2136" s="8" t="s">
        <v>13875</v>
      </c>
      <c r="C2136" s="8" t="s">
        <v>13876</v>
      </c>
      <c r="D2136" s="8" t="s">
        <v>16</v>
      </c>
      <c r="E2136" s="19" t="s">
        <v>13877</v>
      </c>
      <c r="F2136" s="8" t="s">
        <v>9563</v>
      </c>
      <c r="G2136" s="8">
        <v>23.61</v>
      </c>
      <c r="H2136" s="8"/>
      <c r="I2136" s="8"/>
      <c r="J2136" s="8" t="s">
        <v>13878</v>
      </c>
      <c r="K2136" s="8" t="s">
        <v>13714</v>
      </c>
      <c r="L2136" s="8"/>
      <c r="M2136" s="8"/>
      <c r="N2136" s="12"/>
      <c r="O2136" s="12"/>
      <c r="P2136" s="13">
        <f>IFERROR(__xludf.DUMMYFUNCTION("VALUE(SUBSTITUTE((INDEX(SPLIT(A2136,"",""),1)),""."","","",1))"),51.677672)</f>
        <v>51.677672</v>
      </c>
      <c r="Q2136" s="13">
        <f>IFERROR(__xludf.DUMMYFUNCTION("VALUE(SUBSTITUTE((INDEX(SPLIT(A2136,"",""),2)),""."","","",1))"),39.317688)</f>
        <v>39.317688</v>
      </c>
      <c r="R2136" s="14" t="b">
        <f t="shared" si="1"/>
        <v>0</v>
      </c>
      <c r="S2136" s="14" t="str">
        <f t="shared" si="2"/>
        <v>51.677672,39.317688</v>
      </c>
      <c r="T2136" s="12"/>
    </row>
    <row r="2137">
      <c r="A2137" s="20" t="s">
        <v>13879</v>
      </c>
      <c r="B2137" s="16" t="s">
        <v>13880</v>
      </c>
      <c r="C2137" s="16" t="s">
        <v>13881</v>
      </c>
      <c r="D2137" s="16" t="s">
        <v>16</v>
      </c>
      <c r="E2137" s="21" t="s">
        <v>13882</v>
      </c>
      <c r="F2137" s="22" t="s">
        <v>12912</v>
      </c>
      <c r="G2137" s="16">
        <v>23.61</v>
      </c>
      <c r="H2137" s="16"/>
      <c r="I2137" s="22"/>
      <c r="J2137" s="22" t="s">
        <v>13883</v>
      </c>
      <c r="K2137" s="22" t="s">
        <v>13884</v>
      </c>
      <c r="L2137" s="23" t="s">
        <v>13885</v>
      </c>
      <c r="M2137" s="23" t="s">
        <v>13886</v>
      </c>
      <c r="N2137" s="12"/>
      <c r="O2137" s="12"/>
      <c r="P2137" s="13">
        <f>IFERROR(__xludf.DUMMYFUNCTION("VALUE(SUBSTITUTE((INDEX(SPLIT(A2137,"",""),1)),""."","","",1))"),47.07605)</f>
        <v>47.07605</v>
      </c>
      <c r="Q2137" s="13">
        <f>IFERROR(__xludf.DUMMYFUNCTION("VALUE(SUBSTITUTE((INDEX(SPLIT(A2137,"",""),2)),""."","","",1))"),39.320509)</f>
        <v>39.320509</v>
      </c>
      <c r="R2137" s="14" t="b">
        <f t="shared" si="1"/>
        <v>0</v>
      </c>
      <c r="S2137" s="14" t="str">
        <f t="shared" si="2"/>
        <v>47.07605,39.320509</v>
      </c>
      <c r="T2137" s="12"/>
    </row>
    <row r="2138">
      <c r="A2138" s="7" t="s">
        <v>13887</v>
      </c>
      <c r="B2138" s="8" t="s">
        <v>13888</v>
      </c>
      <c r="C2138" s="8" t="s">
        <v>13889</v>
      </c>
      <c r="D2138" s="8" t="s">
        <v>16</v>
      </c>
      <c r="E2138" s="9" t="s">
        <v>13890</v>
      </c>
      <c r="F2138" s="10" t="s">
        <v>8566</v>
      </c>
      <c r="G2138" s="8">
        <v>23.61</v>
      </c>
      <c r="H2138" s="8"/>
      <c r="I2138" s="10"/>
      <c r="J2138" s="10" t="s">
        <v>13891</v>
      </c>
      <c r="K2138" s="10" t="s">
        <v>13892</v>
      </c>
      <c r="L2138" s="11" t="s">
        <v>13893</v>
      </c>
      <c r="M2138" s="10"/>
      <c r="N2138" s="12"/>
      <c r="O2138" s="12"/>
      <c r="P2138" s="13">
        <f>IFERROR(__xludf.DUMMYFUNCTION("VALUE(SUBSTITUTE((INDEX(SPLIT(A2138,"",""),1)),""."","","",1))"),45.067786)</f>
        <v>45.067786</v>
      </c>
      <c r="Q2138" s="13">
        <f>IFERROR(__xludf.DUMMYFUNCTION("VALUE(SUBSTITUTE((INDEX(SPLIT(A2138,"",""),2)),""."","","",1))"),39.327596)</f>
        <v>39.327596</v>
      </c>
      <c r="R2138" s="14" t="b">
        <f t="shared" si="1"/>
        <v>0</v>
      </c>
      <c r="S2138" s="14" t="str">
        <f t="shared" si="2"/>
        <v>45.067786,39.327596</v>
      </c>
      <c r="T2138" s="12"/>
    </row>
    <row r="2139">
      <c r="A2139" s="15" t="s">
        <v>13894</v>
      </c>
      <c r="B2139" s="16" t="s">
        <v>13895</v>
      </c>
      <c r="C2139" s="16" t="s">
        <v>13896</v>
      </c>
      <c r="D2139" s="16" t="s">
        <v>16</v>
      </c>
      <c r="E2139" s="17" t="s">
        <v>13897</v>
      </c>
      <c r="F2139" s="16" t="s">
        <v>9563</v>
      </c>
      <c r="G2139" s="16">
        <v>23.61</v>
      </c>
      <c r="H2139" s="16"/>
      <c r="I2139" s="16"/>
      <c r="J2139" s="16" t="s">
        <v>13898</v>
      </c>
      <c r="K2139" s="16" t="s">
        <v>13899</v>
      </c>
      <c r="L2139" s="16"/>
      <c r="M2139" s="16"/>
      <c r="N2139" s="12"/>
      <c r="O2139" s="12"/>
      <c r="P2139" s="13">
        <f>IFERROR(__xludf.DUMMYFUNCTION("VALUE(SUBSTITUTE((INDEX(SPLIT(A2139,"",""),1)),""."","","",1))"),51.627638)</f>
        <v>51.627638</v>
      </c>
      <c r="Q2139" s="13">
        <f>IFERROR(__xludf.DUMMYFUNCTION("VALUE(SUBSTITUTE((INDEX(SPLIT(A2139,"",""),2)),""."","","",1))"),39.384073)</f>
        <v>39.384073</v>
      </c>
      <c r="R2139" s="14" t="b">
        <f t="shared" si="1"/>
        <v>0</v>
      </c>
      <c r="S2139" s="14" t="str">
        <f t="shared" si="2"/>
        <v>51.627638,39.384073</v>
      </c>
      <c r="T2139" s="12"/>
    </row>
    <row r="2140">
      <c r="A2140" s="7" t="s">
        <v>13900</v>
      </c>
      <c r="B2140" s="8" t="s">
        <v>13901</v>
      </c>
      <c r="C2140" s="8" t="s">
        <v>13902</v>
      </c>
      <c r="D2140" s="8" t="s">
        <v>16</v>
      </c>
      <c r="E2140" s="9" t="s">
        <v>13903</v>
      </c>
      <c r="F2140" s="10" t="s">
        <v>12717</v>
      </c>
      <c r="G2140" s="8">
        <v>23.61</v>
      </c>
      <c r="H2140" s="8"/>
      <c r="I2140" s="10"/>
      <c r="J2140" s="10" t="s">
        <v>13904</v>
      </c>
      <c r="K2140" s="10" t="s">
        <v>13905</v>
      </c>
      <c r="L2140" s="11" t="s">
        <v>13906</v>
      </c>
      <c r="M2140" s="10"/>
      <c r="N2140" s="12"/>
      <c r="O2140" s="12"/>
      <c r="P2140" s="13">
        <f>IFERROR(__xludf.DUMMYFUNCTION("VALUE(SUBSTITUTE((INDEX(SPLIT(A2140,"",""),1)),""."","","",1))"),56.310498)</f>
        <v>56.310498</v>
      </c>
      <c r="Q2140" s="13">
        <f>IFERROR(__xludf.DUMMYFUNCTION("VALUE(SUBSTITUTE((INDEX(SPLIT(A2140,"",""),2)),""."","","",1))"),39.388754)</f>
        <v>39.388754</v>
      </c>
      <c r="R2140" s="14" t="b">
        <f t="shared" si="1"/>
        <v>0</v>
      </c>
      <c r="S2140" s="14" t="str">
        <f t="shared" si="2"/>
        <v>56.310498,39.388754</v>
      </c>
      <c r="T2140" s="12"/>
    </row>
    <row r="2141">
      <c r="A2141" s="15" t="s">
        <v>13907</v>
      </c>
      <c r="B2141" s="16" t="s">
        <v>13908</v>
      </c>
      <c r="C2141" s="16" t="s">
        <v>13909</v>
      </c>
      <c r="D2141" s="16" t="s">
        <v>16</v>
      </c>
      <c r="E2141" s="17" t="s">
        <v>13910</v>
      </c>
      <c r="F2141" s="16" t="s">
        <v>12717</v>
      </c>
      <c r="G2141" s="16">
        <v>23.61</v>
      </c>
      <c r="H2141" s="16"/>
      <c r="I2141" s="16"/>
      <c r="J2141" s="16" t="s">
        <v>13911</v>
      </c>
      <c r="K2141" s="16" t="s">
        <v>13912</v>
      </c>
      <c r="L2141" s="16"/>
      <c r="M2141" s="16"/>
      <c r="N2141" s="12"/>
      <c r="O2141" s="12"/>
      <c r="P2141" s="13">
        <f>IFERROR(__xludf.DUMMYFUNCTION("VALUE(SUBSTITUTE((INDEX(SPLIT(A2141,"",""),1)),""."","","",1))"),56.306897)</f>
        <v>56.306897</v>
      </c>
      <c r="Q2141" s="13">
        <f>IFERROR(__xludf.DUMMYFUNCTION("VALUE(SUBSTITUTE((INDEX(SPLIT(A2141,"",""),2)),""."","","",1))"),39.40133)</f>
        <v>39.40133</v>
      </c>
      <c r="R2141" s="14" t="b">
        <f t="shared" si="1"/>
        <v>0</v>
      </c>
      <c r="S2141" s="14" t="str">
        <f t="shared" si="2"/>
        <v>56.306897,39.40133</v>
      </c>
      <c r="T2141" s="12"/>
    </row>
    <row r="2142">
      <c r="A2142" s="7" t="s">
        <v>13913</v>
      </c>
      <c r="B2142" s="8" t="s">
        <v>13914</v>
      </c>
      <c r="C2142" s="8" t="s">
        <v>13915</v>
      </c>
      <c r="D2142" s="8" t="s">
        <v>16</v>
      </c>
      <c r="E2142" s="9" t="s">
        <v>13916</v>
      </c>
      <c r="F2142" s="10" t="s">
        <v>9563</v>
      </c>
      <c r="G2142" s="8">
        <v>23.61</v>
      </c>
      <c r="H2142" s="8"/>
      <c r="I2142" s="10"/>
      <c r="J2142" s="10" t="s">
        <v>13917</v>
      </c>
      <c r="K2142" s="10" t="s">
        <v>13918</v>
      </c>
      <c r="L2142" s="11" t="s">
        <v>13919</v>
      </c>
      <c r="M2142" s="10"/>
      <c r="N2142" s="12"/>
      <c r="O2142" s="12"/>
      <c r="P2142" s="13">
        <f>IFERROR(__xludf.DUMMYFUNCTION("VALUE(SUBSTITUTE((INDEX(SPLIT(A2142,"",""),1)),""."","","",1))"),51.611931)</f>
        <v>51.611931</v>
      </c>
      <c r="Q2142" s="13">
        <f>IFERROR(__xludf.DUMMYFUNCTION("VALUE(SUBSTITUTE((INDEX(SPLIT(A2142,"",""),2)),""."","","",1))"),39.402417)</f>
        <v>39.402417</v>
      </c>
      <c r="R2142" s="14" t="b">
        <f t="shared" si="1"/>
        <v>0</v>
      </c>
      <c r="S2142" s="14" t="str">
        <f t="shared" si="2"/>
        <v>51.611931,39.402417</v>
      </c>
      <c r="T2142" s="12"/>
    </row>
    <row r="2143">
      <c r="A2143" s="20" t="s">
        <v>13920</v>
      </c>
      <c r="B2143" s="16" t="s">
        <v>13921</v>
      </c>
      <c r="C2143" s="16" t="s">
        <v>13922</v>
      </c>
      <c r="D2143" s="16" t="s">
        <v>16</v>
      </c>
      <c r="E2143" s="21" t="s">
        <v>13923</v>
      </c>
      <c r="F2143" s="22" t="s">
        <v>9563</v>
      </c>
      <c r="G2143" s="16">
        <v>23.61</v>
      </c>
      <c r="H2143" s="16"/>
      <c r="I2143" s="22"/>
      <c r="J2143" s="22" t="s">
        <v>13924</v>
      </c>
      <c r="K2143" s="22" t="s">
        <v>13925</v>
      </c>
      <c r="L2143" s="23" t="s">
        <v>13926</v>
      </c>
      <c r="M2143" s="22"/>
      <c r="N2143" s="12"/>
      <c r="O2143" s="12"/>
      <c r="P2143" s="13">
        <f>IFERROR(__xludf.DUMMYFUNCTION("VALUE(SUBSTITUTE((INDEX(SPLIT(A2143,"",""),1)),""."","","",1))"),51.325797)</f>
        <v>51.325797</v>
      </c>
      <c r="Q2143" s="13">
        <f>IFERROR(__xludf.DUMMYFUNCTION("VALUE(SUBSTITUTE((INDEX(SPLIT(A2143,"",""),2)),""."","","",1))"),39.40486)</f>
        <v>39.40486</v>
      </c>
      <c r="R2143" s="14" t="b">
        <f t="shared" si="1"/>
        <v>0</v>
      </c>
      <c r="S2143" s="14" t="str">
        <f t="shared" si="2"/>
        <v>51.325797,39.40486</v>
      </c>
      <c r="T2143" s="12"/>
    </row>
    <row r="2144">
      <c r="A2144" s="18" t="s">
        <v>13927</v>
      </c>
      <c r="B2144" s="8" t="s">
        <v>13928</v>
      </c>
      <c r="C2144" s="8" t="s">
        <v>13929</v>
      </c>
      <c r="D2144" s="8" t="s">
        <v>16</v>
      </c>
      <c r="E2144" s="19" t="s">
        <v>13930</v>
      </c>
      <c r="F2144" s="8" t="s">
        <v>8566</v>
      </c>
      <c r="G2144" s="8">
        <v>23.61</v>
      </c>
      <c r="H2144" s="8"/>
      <c r="I2144" s="8"/>
      <c r="J2144" s="8" t="s">
        <v>13931</v>
      </c>
      <c r="K2144" s="8" t="s">
        <v>13932</v>
      </c>
      <c r="L2144" s="8"/>
      <c r="M2144" s="8"/>
      <c r="N2144" s="12"/>
      <c r="O2144" s="12"/>
      <c r="P2144" s="13">
        <f>IFERROR(__xludf.DUMMYFUNCTION("VALUE(SUBSTITUTE((INDEX(SPLIT(A2144,"",""),1)),""."","","",1))"),46.310731)</f>
        <v>46.310731</v>
      </c>
      <c r="Q2144" s="13">
        <f>IFERROR(__xludf.DUMMYFUNCTION("VALUE(SUBSTITUTE((INDEX(SPLIT(A2144,"",""),2)),""."","","",1))"),39.414904)</f>
        <v>39.414904</v>
      </c>
      <c r="R2144" s="14" t="b">
        <f t="shared" si="1"/>
        <v>0</v>
      </c>
      <c r="S2144" s="14" t="str">
        <f t="shared" si="2"/>
        <v>46.310731,39.414904</v>
      </c>
      <c r="T2144" s="12"/>
    </row>
    <row r="2145">
      <c r="A2145" s="20" t="s">
        <v>13933</v>
      </c>
      <c r="B2145" s="16" t="s">
        <v>13934</v>
      </c>
      <c r="C2145" s="16" t="s">
        <v>13935</v>
      </c>
      <c r="D2145" s="16" t="s">
        <v>16</v>
      </c>
      <c r="E2145" s="21" t="s">
        <v>13936</v>
      </c>
      <c r="F2145" s="22" t="s">
        <v>8566</v>
      </c>
      <c r="G2145" s="16">
        <v>23.61</v>
      </c>
      <c r="H2145" s="16"/>
      <c r="I2145" s="22"/>
      <c r="J2145" s="22" t="s">
        <v>13937</v>
      </c>
      <c r="K2145" s="22" t="s">
        <v>13938</v>
      </c>
      <c r="L2145" s="23" t="s">
        <v>13939</v>
      </c>
      <c r="M2145" s="22"/>
      <c r="N2145" s="12"/>
      <c r="O2145" s="12"/>
      <c r="P2145" s="13">
        <f>IFERROR(__xludf.DUMMYFUNCTION("VALUE(SUBSTITUTE((INDEX(SPLIT(A2145,"",""),1)),""."","","",1))"),45.119142)</f>
        <v>45.119142</v>
      </c>
      <c r="Q2145" s="13">
        <f>IFERROR(__xludf.DUMMYFUNCTION("VALUE(SUBSTITUTE((INDEX(SPLIT(A2145,"",""),2)),""."","","",1))"),39.416341)</f>
        <v>39.416341</v>
      </c>
      <c r="R2145" s="14" t="b">
        <f t="shared" si="1"/>
        <v>0</v>
      </c>
      <c r="S2145" s="14" t="str">
        <f t="shared" si="2"/>
        <v>45.119142,39.416341</v>
      </c>
      <c r="T2145" s="12"/>
    </row>
    <row r="2146">
      <c r="A2146" s="18" t="s">
        <v>13940</v>
      </c>
      <c r="B2146" s="8" t="s">
        <v>13941</v>
      </c>
      <c r="C2146" s="8" t="s">
        <v>13942</v>
      </c>
      <c r="D2146" s="8" t="s">
        <v>16</v>
      </c>
      <c r="E2146" s="19" t="s">
        <v>13943</v>
      </c>
      <c r="F2146" s="8" t="s">
        <v>12524</v>
      </c>
      <c r="G2146" s="8">
        <v>23.61</v>
      </c>
      <c r="H2146" s="8"/>
      <c r="I2146" s="8"/>
      <c r="J2146" s="8" t="s">
        <v>13944</v>
      </c>
      <c r="K2146" s="8" t="s">
        <v>13945</v>
      </c>
      <c r="L2146" s="8"/>
      <c r="M2146" s="24" t="s">
        <v>13946</v>
      </c>
      <c r="N2146" s="12"/>
      <c r="O2146" s="12"/>
      <c r="P2146" s="13">
        <f>IFERROR(__xludf.DUMMYFUNCTION("VALUE(SUBSTITUTE((INDEX(SPLIT(A2146,"",""),1)),""."","","",1))"),52.585004)</f>
        <v>52.585004</v>
      </c>
      <c r="Q2146" s="13">
        <f>IFERROR(__xludf.DUMMYFUNCTION("VALUE(SUBSTITUTE((INDEX(SPLIT(A2146,"",""),2)),""."","","",1))"),39.457843)</f>
        <v>39.457843</v>
      </c>
      <c r="R2146" s="14" t="b">
        <f t="shared" si="1"/>
        <v>0</v>
      </c>
      <c r="S2146" s="14" t="str">
        <f t="shared" si="2"/>
        <v>52.585004,39.457843</v>
      </c>
      <c r="T2146" s="12"/>
    </row>
    <row r="2147">
      <c r="A2147" s="15" t="s">
        <v>13947</v>
      </c>
      <c r="B2147" s="16" t="s">
        <v>13948</v>
      </c>
      <c r="C2147" s="16" t="s">
        <v>13949</v>
      </c>
      <c r="D2147" s="16" t="s">
        <v>16</v>
      </c>
      <c r="E2147" s="17" t="s">
        <v>13950</v>
      </c>
      <c r="F2147" s="16" t="s">
        <v>12524</v>
      </c>
      <c r="G2147" s="16">
        <v>23.61</v>
      </c>
      <c r="H2147" s="16"/>
      <c r="I2147" s="16"/>
      <c r="J2147" s="16" t="s">
        <v>13951</v>
      </c>
      <c r="K2147" s="16" t="s">
        <v>13952</v>
      </c>
      <c r="L2147" s="16"/>
      <c r="M2147" s="16"/>
      <c r="N2147" s="12"/>
      <c r="O2147" s="12"/>
      <c r="P2147" s="13">
        <f>IFERROR(__xludf.DUMMYFUNCTION("VALUE(SUBSTITUTE((INDEX(SPLIT(A2147,"",""),1)),""."","","",1))"),52.880003)</f>
        <v>52.880003</v>
      </c>
      <c r="Q2147" s="13">
        <f>IFERROR(__xludf.DUMMYFUNCTION("VALUE(SUBSTITUTE((INDEX(SPLIT(A2147,"",""),2)),""."","","",1))"),39.472971)</f>
        <v>39.472971</v>
      </c>
      <c r="R2147" s="14" t="b">
        <f t="shared" si="1"/>
        <v>0</v>
      </c>
      <c r="S2147" s="14" t="str">
        <f t="shared" si="2"/>
        <v>52.880003,39.472971</v>
      </c>
      <c r="T2147" s="12"/>
    </row>
    <row r="2148">
      <c r="A2148" s="18" t="s">
        <v>13953</v>
      </c>
      <c r="B2148" s="8" t="s">
        <v>13954</v>
      </c>
      <c r="C2148" s="8" t="s">
        <v>13955</v>
      </c>
      <c r="D2148" s="8" t="s">
        <v>16</v>
      </c>
      <c r="E2148" s="19" t="s">
        <v>13956</v>
      </c>
      <c r="F2148" s="8" t="s">
        <v>12524</v>
      </c>
      <c r="G2148" s="8">
        <v>23.61</v>
      </c>
      <c r="H2148" s="8"/>
      <c r="I2148" s="8"/>
      <c r="J2148" s="8" t="s">
        <v>13957</v>
      </c>
      <c r="K2148" s="8" t="s">
        <v>13958</v>
      </c>
      <c r="L2148" s="8"/>
      <c r="M2148" s="24" t="s">
        <v>13959</v>
      </c>
      <c r="N2148" s="12"/>
      <c r="O2148" s="12"/>
      <c r="P2148" s="13">
        <f>IFERROR(__xludf.DUMMYFUNCTION("VALUE(SUBSTITUTE((INDEX(SPLIT(A2148,"",""),1)),""."","","",1))"),52.578618)</f>
        <v>52.578618</v>
      </c>
      <c r="Q2148" s="13">
        <f>IFERROR(__xludf.DUMMYFUNCTION("VALUE(SUBSTITUTE((INDEX(SPLIT(A2148,"",""),2)),""."","","",1))"),39.480741)</f>
        <v>39.480741</v>
      </c>
      <c r="R2148" s="14" t="b">
        <f t="shared" si="1"/>
        <v>0</v>
      </c>
      <c r="S2148" s="14" t="str">
        <f t="shared" si="2"/>
        <v>52.578618,39.480741</v>
      </c>
      <c r="T2148" s="12"/>
    </row>
    <row r="2149">
      <c r="A2149" s="15" t="s">
        <v>13960</v>
      </c>
      <c r="B2149" s="16" t="s">
        <v>13961</v>
      </c>
      <c r="C2149" s="16" t="s">
        <v>13962</v>
      </c>
      <c r="D2149" s="16" t="s">
        <v>16</v>
      </c>
      <c r="E2149" s="17" t="s">
        <v>13963</v>
      </c>
      <c r="F2149" s="16" t="s">
        <v>12524</v>
      </c>
      <c r="G2149" s="16">
        <v>23.61</v>
      </c>
      <c r="H2149" s="16"/>
      <c r="I2149" s="32" t="s">
        <v>13964</v>
      </c>
      <c r="J2149" s="16" t="s">
        <v>13965</v>
      </c>
      <c r="K2149" s="16" t="s">
        <v>13966</v>
      </c>
      <c r="L2149" s="16"/>
      <c r="M2149" s="16"/>
      <c r="N2149" s="12"/>
      <c r="O2149" s="12"/>
      <c r="P2149" s="13">
        <f>IFERROR(__xludf.DUMMYFUNCTION("VALUE(SUBSTITUTE((INDEX(SPLIT(A2149,"",""),1)),""."","","",1))"),52.589452)</f>
        <v>52.589452</v>
      </c>
      <c r="Q2149" s="13">
        <f>IFERROR(__xludf.DUMMYFUNCTION("VALUE(SUBSTITUTE((INDEX(SPLIT(A2149,"",""),2)),""."","","",1))"),39.490416)</f>
        <v>39.490416</v>
      </c>
      <c r="R2149" s="14" t="b">
        <f t="shared" si="1"/>
        <v>0</v>
      </c>
      <c r="S2149" s="14" t="str">
        <f t="shared" si="2"/>
        <v>52.589452,39.490416</v>
      </c>
      <c r="T2149" s="12"/>
    </row>
    <row r="2150">
      <c r="A2150" s="18" t="s">
        <v>13967</v>
      </c>
      <c r="B2150" s="8" t="s">
        <v>13968</v>
      </c>
      <c r="C2150" s="8" t="s">
        <v>13969</v>
      </c>
      <c r="D2150" s="8" t="s">
        <v>16</v>
      </c>
      <c r="E2150" s="19" t="s">
        <v>13970</v>
      </c>
      <c r="F2150" s="8" t="s">
        <v>12524</v>
      </c>
      <c r="G2150" s="8">
        <v>23.61</v>
      </c>
      <c r="H2150" s="8"/>
      <c r="I2150" s="8"/>
      <c r="J2150" s="8" t="s">
        <v>13971</v>
      </c>
      <c r="K2150" s="8" t="s">
        <v>13972</v>
      </c>
      <c r="L2150" s="8"/>
      <c r="M2150" s="8"/>
      <c r="N2150" s="12"/>
      <c r="O2150" s="12"/>
      <c r="P2150" s="13">
        <f>IFERROR(__xludf.DUMMYFUNCTION("VALUE(SUBSTITUTE((INDEX(SPLIT(A2150,"",""),1)),""."","","",1))"),52.59077)</f>
        <v>52.59077</v>
      </c>
      <c r="Q2150" s="13">
        <f>IFERROR(__xludf.DUMMYFUNCTION("VALUE(SUBSTITUTE((INDEX(SPLIT(A2150,"",""),2)),""."","","",1))"),39.495959)</f>
        <v>39.495959</v>
      </c>
      <c r="R2150" s="14" t="b">
        <f t="shared" si="1"/>
        <v>0</v>
      </c>
      <c r="S2150" s="14" t="str">
        <f t="shared" si="2"/>
        <v>52.59077,39.495959</v>
      </c>
      <c r="T2150" s="12"/>
    </row>
    <row r="2151">
      <c r="A2151" s="15" t="s">
        <v>13973</v>
      </c>
      <c r="B2151" s="16" t="s">
        <v>13974</v>
      </c>
      <c r="C2151" s="16" t="s">
        <v>13975</v>
      </c>
      <c r="D2151" s="16" t="s">
        <v>16</v>
      </c>
      <c r="E2151" s="17" t="s">
        <v>13976</v>
      </c>
      <c r="F2151" s="16" t="s">
        <v>12524</v>
      </c>
      <c r="G2151" s="16">
        <v>23.61</v>
      </c>
      <c r="H2151" s="16"/>
      <c r="I2151" s="16"/>
      <c r="J2151" s="16" t="s">
        <v>13977</v>
      </c>
      <c r="K2151" s="16" t="s">
        <v>13978</v>
      </c>
      <c r="L2151" s="16"/>
      <c r="M2151" s="16"/>
      <c r="N2151" s="12"/>
      <c r="O2151" s="12"/>
      <c r="P2151" s="13">
        <f>IFERROR(__xludf.DUMMYFUNCTION("VALUE(SUBSTITUTE((INDEX(SPLIT(A2151,"",""),1)),""."","","",1))"),52.602602)</f>
        <v>52.602602</v>
      </c>
      <c r="Q2151" s="13">
        <f>IFERROR(__xludf.DUMMYFUNCTION("VALUE(SUBSTITUTE((INDEX(SPLIT(A2151,"",""),2)),""."","","",1))"),39.508984)</f>
        <v>39.508984</v>
      </c>
      <c r="R2151" s="14" t="b">
        <f t="shared" si="1"/>
        <v>0</v>
      </c>
      <c r="S2151" s="14" t="str">
        <f t="shared" si="2"/>
        <v>52.602602,39.508984</v>
      </c>
      <c r="T2151" s="12"/>
    </row>
    <row r="2152">
      <c r="A2152" s="7" t="s">
        <v>13979</v>
      </c>
      <c r="B2152" s="8" t="s">
        <v>13980</v>
      </c>
      <c r="C2152" s="8" t="s">
        <v>13981</v>
      </c>
      <c r="D2152" s="8" t="s">
        <v>16</v>
      </c>
      <c r="E2152" s="9" t="s">
        <v>13982</v>
      </c>
      <c r="F2152" s="10" t="s">
        <v>12524</v>
      </c>
      <c r="G2152" s="8">
        <v>23.61</v>
      </c>
      <c r="H2152" s="8"/>
      <c r="I2152" s="10"/>
      <c r="J2152" s="10" t="s">
        <v>13983</v>
      </c>
      <c r="K2152" s="10" t="s">
        <v>13984</v>
      </c>
      <c r="L2152" s="11" t="s">
        <v>13985</v>
      </c>
      <c r="M2152" s="11" t="s">
        <v>13986</v>
      </c>
      <c r="N2152" s="12"/>
      <c r="O2152" s="12"/>
      <c r="P2152" s="13">
        <f>IFERROR(__xludf.DUMMYFUNCTION("VALUE(SUBSTITUTE((INDEX(SPLIT(A2152,"",""),1)),""."","","",1))"),52.585184)</f>
        <v>52.585184</v>
      </c>
      <c r="Q2152" s="13">
        <f>IFERROR(__xludf.DUMMYFUNCTION("VALUE(SUBSTITUTE((INDEX(SPLIT(A2152,"",""),2)),""."","","",1))"),39.509981)</f>
        <v>39.509981</v>
      </c>
      <c r="R2152" s="14" t="b">
        <f t="shared" si="1"/>
        <v>0</v>
      </c>
      <c r="S2152" s="14" t="str">
        <f t="shared" si="2"/>
        <v>52.585184,39.509981</v>
      </c>
      <c r="T2152" s="12"/>
    </row>
    <row r="2153">
      <c r="A2153" s="20" t="s">
        <v>13987</v>
      </c>
      <c r="B2153" s="16" t="s">
        <v>13988</v>
      </c>
      <c r="C2153" s="16" t="s">
        <v>13705</v>
      </c>
      <c r="D2153" s="16" t="s">
        <v>16</v>
      </c>
      <c r="E2153" s="21" t="s">
        <v>13989</v>
      </c>
      <c r="F2153" s="22" t="s">
        <v>12912</v>
      </c>
      <c r="G2153" s="16">
        <v>23.61</v>
      </c>
      <c r="H2153" s="16"/>
      <c r="I2153" s="22"/>
      <c r="J2153" s="22" t="s">
        <v>13990</v>
      </c>
      <c r="K2153" s="22" t="s">
        <v>13991</v>
      </c>
      <c r="L2153" s="23" t="s">
        <v>13992</v>
      </c>
      <c r="M2153" s="22"/>
      <c r="N2153" s="12"/>
      <c r="O2153" s="12"/>
      <c r="P2153" s="13">
        <f>IFERROR(__xludf.DUMMYFUNCTION("VALUE(SUBSTITUTE((INDEX(SPLIT(A2153,"",""),1)),""."","","",1))"),47.276224)</f>
        <v>47.276224</v>
      </c>
      <c r="Q2153" s="13">
        <f>IFERROR(__xludf.DUMMYFUNCTION("VALUE(SUBSTITUTE((INDEX(SPLIT(A2153,"",""),2)),""."","","",1))"),39.513539)</f>
        <v>39.513539</v>
      </c>
      <c r="R2153" s="14" t="b">
        <f t="shared" si="1"/>
        <v>0</v>
      </c>
      <c r="S2153" s="14" t="str">
        <f t="shared" si="2"/>
        <v>47.276224,39.513539</v>
      </c>
      <c r="T2153" s="12"/>
    </row>
    <row r="2154">
      <c r="A2154" s="18" t="s">
        <v>13993</v>
      </c>
      <c r="B2154" s="8" t="s">
        <v>13994</v>
      </c>
      <c r="C2154" s="8" t="s">
        <v>13995</v>
      </c>
      <c r="D2154" s="8" t="s">
        <v>16</v>
      </c>
      <c r="E2154" s="19" t="s">
        <v>13996</v>
      </c>
      <c r="F2154" s="8" t="s">
        <v>12524</v>
      </c>
      <c r="G2154" s="8">
        <v>23.61</v>
      </c>
      <c r="H2154" s="8"/>
      <c r="I2154" s="8"/>
      <c r="J2154" s="8" t="s">
        <v>13997</v>
      </c>
      <c r="K2154" s="8" t="s">
        <v>13998</v>
      </c>
      <c r="L2154" s="8"/>
      <c r="M2154" s="8"/>
      <c r="N2154" s="12"/>
      <c r="O2154" s="12"/>
      <c r="P2154" s="13">
        <f>IFERROR(__xludf.DUMMYFUNCTION("VALUE(SUBSTITUTE((INDEX(SPLIT(A2154,"",""),1)),""."","","",1))"),52.58479)</f>
        <v>52.58479</v>
      </c>
      <c r="Q2154" s="13">
        <f>IFERROR(__xludf.DUMMYFUNCTION("VALUE(SUBSTITUTE((INDEX(SPLIT(A2154,"",""),2)),""."","","",1))"),39.52059)</f>
        <v>39.52059</v>
      </c>
      <c r="R2154" s="14" t="b">
        <f t="shared" si="1"/>
        <v>0</v>
      </c>
      <c r="S2154" s="14" t="str">
        <f t="shared" si="2"/>
        <v>52.58479,39.52059</v>
      </c>
      <c r="T2154" s="12"/>
    </row>
    <row r="2155">
      <c r="A2155" s="15" t="s">
        <v>13999</v>
      </c>
      <c r="B2155" s="16" t="s">
        <v>14000</v>
      </c>
      <c r="C2155" s="16" t="s">
        <v>14001</v>
      </c>
      <c r="D2155" s="16" t="s">
        <v>16</v>
      </c>
      <c r="E2155" s="17" t="s">
        <v>14002</v>
      </c>
      <c r="F2155" s="16" t="s">
        <v>12524</v>
      </c>
      <c r="G2155" s="16">
        <v>23.61</v>
      </c>
      <c r="H2155" s="16"/>
      <c r="I2155" s="16"/>
      <c r="J2155" s="16" t="s">
        <v>14003</v>
      </c>
      <c r="K2155" s="16" t="s">
        <v>14004</v>
      </c>
      <c r="L2155" s="16"/>
      <c r="M2155" s="25" t="s">
        <v>14005</v>
      </c>
      <c r="N2155" s="12"/>
      <c r="O2155" s="12"/>
      <c r="P2155" s="13">
        <f>IFERROR(__xludf.DUMMYFUNCTION("VALUE(SUBSTITUTE((INDEX(SPLIT(A2155,"",""),1)),""."","","",1))"),52.613168)</f>
        <v>52.613168</v>
      </c>
      <c r="Q2155" s="13">
        <f>IFERROR(__xludf.DUMMYFUNCTION("VALUE(SUBSTITUTE((INDEX(SPLIT(A2155,"",""),2)),""."","","",1))"),39.525109)</f>
        <v>39.525109</v>
      </c>
      <c r="R2155" s="14" t="b">
        <f t="shared" si="1"/>
        <v>0</v>
      </c>
      <c r="S2155" s="14" t="str">
        <f t="shared" si="2"/>
        <v>52.613168,39.525109</v>
      </c>
      <c r="T2155" s="12"/>
    </row>
    <row r="2156">
      <c r="A2156" s="7" t="s">
        <v>14006</v>
      </c>
      <c r="B2156" s="8" t="s">
        <v>14007</v>
      </c>
      <c r="C2156" s="8" t="s">
        <v>14008</v>
      </c>
      <c r="D2156" s="8" t="s">
        <v>16</v>
      </c>
      <c r="E2156" s="9" t="s">
        <v>14009</v>
      </c>
      <c r="F2156" s="10" t="s">
        <v>12524</v>
      </c>
      <c r="G2156" s="8">
        <v>23.61</v>
      </c>
      <c r="H2156" s="8"/>
      <c r="I2156" s="10"/>
      <c r="J2156" s="10" t="s">
        <v>14010</v>
      </c>
      <c r="K2156" s="10" t="s">
        <v>14011</v>
      </c>
      <c r="L2156" s="11" t="s">
        <v>14012</v>
      </c>
      <c r="M2156" s="10"/>
      <c r="N2156" s="12"/>
      <c r="O2156" s="12"/>
      <c r="P2156" s="13">
        <f>IFERROR(__xludf.DUMMYFUNCTION("VALUE(SUBSTITUTE((INDEX(SPLIT(A2156,"",""),1)),""."","","",1))"),52.587816)</f>
        <v>52.587816</v>
      </c>
      <c r="Q2156" s="13">
        <f>IFERROR(__xludf.DUMMYFUNCTION("VALUE(SUBSTITUTE((INDEX(SPLIT(A2156,"",""),2)),""."","","",1))"),39.528136)</f>
        <v>39.528136</v>
      </c>
      <c r="R2156" s="14" t="b">
        <f t="shared" si="1"/>
        <v>0</v>
      </c>
      <c r="S2156" s="14" t="str">
        <f t="shared" si="2"/>
        <v>52.587816,39.528136</v>
      </c>
      <c r="T2156" s="12"/>
    </row>
    <row r="2157">
      <c r="A2157" s="20" t="s">
        <v>14013</v>
      </c>
      <c r="B2157" s="16" t="s">
        <v>4707</v>
      </c>
      <c r="C2157" s="16" t="s">
        <v>4708</v>
      </c>
      <c r="D2157" s="16" t="s">
        <v>16</v>
      </c>
      <c r="E2157" s="21" t="s">
        <v>14014</v>
      </c>
      <c r="F2157" s="22" t="s">
        <v>12763</v>
      </c>
      <c r="G2157" s="16">
        <v>23.61</v>
      </c>
      <c r="H2157" s="16"/>
      <c r="I2157" s="22"/>
      <c r="J2157" s="22" t="s">
        <v>14015</v>
      </c>
      <c r="K2157" s="22" t="s">
        <v>14016</v>
      </c>
      <c r="L2157" s="23" t="s">
        <v>14017</v>
      </c>
      <c r="M2157" s="22"/>
      <c r="N2157" s="12"/>
      <c r="O2157" s="12"/>
      <c r="P2157" s="13">
        <f>IFERROR(__xludf.DUMMYFUNCTION("VALUE(SUBSTITUTE((INDEX(SPLIT(A2157,"",""),1)),""."","","",1))"),57.276889)</f>
        <v>57.276889</v>
      </c>
      <c r="Q2157" s="13">
        <f>IFERROR(__xludf.DUMMYFUNCTION("VALUE(SUBSTITUTE((INDEX(SPLIT(A2157,"",""),2)),""."","","",1))"),39.535952)</f>
        <v>39.535952</v>
      </c>
      <c r="R2157" s="14" t="b">
        <f t="shared" si="1"/>
        <v>0</v>
      </c>
      <c r="S2157" s="14" t="str">
        <f t="shared" si="2"/>
        <v>57.276889,39.535952</v>
      </c>
      <c r="T2157" s="12"/>
    </row>
    <row r="2158">
      <c r="A2158" s="7" t="s">
        <v>14018</v>
      </c>
      <c r="B2158" s="8" t="s">
        <v>14019</v>
      </c>
      <c r="C2158" s="8" t="s">
        <v>14020</v>
      </c>
      <c r="D2158" s="8" t="s">
        <v>16</v>
      </c>
      <c r="E2158" s="9" t="s">
        <v>14021</v>
      </c>
      <c r="F2158" s="10" t="s">
        <v>8566</v>
      </c>
      <c r="G2158" s="8">
        <v>23.61</v>
      </c>
      <c r="H2158" s="8"/>
      <c r="I2158" s="10"/>
      <c r="J2158" s="10" t="s">
        <v>14022</v>
      </c>
      <c r="K2158" s="10" t="s">
        <v>14023</v>
      </c>
      <c r="L2158" s="11" t="s">
        <v>14024</v>
      </c>
      <c r="M2158" s="11" t="s">
        <v>14025</v>
      </c>
      <c r="N2158" s="12"/>
      <c r="O2158" s="12"/>
      <c r="P2158" s="13">
        <f>IFERROR(__xludf.DUMMYFUNCTION("VALUE(SUBSTITUTE((INDEX(SPLIT(A2158,"",""),1)),""."","","",1))"),45.190705)</f>
        <v>45.190705</v>
      </c>
      <c r="Q2158" s="13">
        <f>IFERROR(__xludf.DUMMYFUNCTION("VALUE(SUBSTITUTE((INDEX(SPLIT(A2158,"",""),2)),""."","","",1))"),39.539266)</f>
        <v>39.539266</v>
      </c>
      <c r="R2158" s="14" t="b">
        <f t="shared" si="1"/>
        <v>0</v>
      </c>
      <c r="S2158" s="14" t="str">
        <f t="shared" si="2"/>
        <v>45.190705,39.539266</v>
      </c>
      <c r="T2158" s="12"/>
    </row>
    <row r="2159">
      <c r="A2159" s="15" t="s">
        <v>14026</v>
      </c>
      <c r="B2159" s="16" t="s">
        <v>14027</v>
      </c>
      <c r="C2159" s="16" t="s">
        <v>14028</v>
      </c>
      <c r="D2159" s="16" t="s">
        <v>16</v>
      </c>
      <c r="E2159" s="17" t="s">
        <v>14029</v>
      </c>
      <c r="F2159" s="16" t="s">
        <v>12912</v>
      </c>
      <c r="G2159" s="16">
        <v>23.61</v>
      </c>
      <c r="H2159" s="16"/>
      <c r="I2159" s="16"/>
      <c r="J2159" s="16" t="s">
        <v>14030</v>
      </c>
      <c r="K2159" s="16" t="s">
        <v>14031</v>
      </c>
      <c r="L2159" s="16"/>
      <c r="M2159" s="16"/>
      <c r="N2159" s="12"/>
      <c r="O2159" s="12"/>
      <c r="P2159" s="13">
        <f>IFERROR(__xludf.DUMMYFUNCTION("VALUE(SUBSTITUTE((INDEX(SPLIT(A2159,"",""),1)),""."","","",1))"),47.168403)</f>
        <v>47.168403</v>
      </c>
      <c r="Q2159" s="13">
        <f>IFERROR(__xludf.DUMMYFUNCTION("VALUE(SUBSTITUTE((INDEX(SPLIT(A2159,"",""),2)),""."","","",1))"),39.548726)</f>
        <v>39.548726</v>
      </c>
      <c r="R2159" s="14" t="b">
        <f t="shared" si="1"/>
        <v>0</v>
      </c>
      <c r="S2159" s="14" t="str">
        <f t="shared" si="2"/>
        <v>47.168403,39.548726</v>
      </c>
      <c r="T2159" s="12"/>
    </row>
    <row r="2160">
      <c r="A2160" s="18" t="s">
        <v>14032</v>
      </c>
      <c r="B2160" s="8" t="s">
        <v>14033</v>
      </c>
      <c r="C2160" s="8" t="s">
        <v>14034</v>
      </c>
      <c r="D2160" s="8" t="s">
        <v>16</v>
      </c>
      <c r="E2160" s="19" t="s">
        <v>14035</v>
      </c>
      <c r="F2160" s="8" t="s">
        <v>12524</v>
      </c>
      <c r="G2160" s="8">
        <v>23.61</v>
      </c>
      <c r="H2160" s="8"/>
      <c r="I2160" s="8"/>
      <c r="J2160" s="8" t="s">
        <v>14036</v>
      </c>
      <c r="K2160" s="8" t="s">
        <v>14037</v>
      </c>
      <c r="L2160" s="8"/>
      <c r="M2160" s="24" t="s">
        <v>14038</v>
      </c>
      <c r="N2160" s="12"/>
      <c r="O2160" s="12"/>
      <c r="P2160" s="13">
        <f>IFERROR(__xludf.DUMMYFUNCTION("VALUE(SUBSTITUTE((INDEX(SPLIT(A2160,"",""),1)),""."","","",1))"),52.606152)</f>
        <v>52.606152</v>
      </c>
      <c r="Q2160" s="13">
        <f>IFERROR(__xludf.DUMMYFUNCTION("VALUE(SUBSTITUTE((INDEX(SPLIT(A2160,"",""),2)),""."","","",1))"),39.558248)</f>
        <v>39.558248</v>
      </c>
      <c r="R2160" s="14" t="b">
        <f t="shared" si="1"/>
        <v>0</v>
      </c>
      <c r="S2160" s="14" t="str">
        <f t="shared" si="2"/>
        <v>52.606152,39.558248</v>
      </c>
      <c r="T2160" s="12"/>
    </row>
    <row r="2161">
      <c r="A2161" s="20" t="s">
        <v>14039</v>
      </c>
      <c r="B2161" s="16" t="s">
        <v>14040</v>
      </c>
      <c r="C2161" s="16" t="s">
        <v>14041</v>
      </c>
      <c r="D2161" s="16" t="s">
        <v>16</v>
      </c>
      <c r="E2161" s="21" t="s">
        <v>14042</v>
      </c>
      <c r="F2161" s="22" t="s">
        <v>12524</v>
      </c>
      <c r="G2161" s="16">
        <v>23.61</v>
      </c>
      <c r="H2161" s="16"/>
      <c r="I2161" s="22"/>
      <c r="J2161" s="22" t="s">
        <v>14043</v>
      </c>
      <c r="K2161" s="22" t="s">
        <v>14044</v>
      </c>
      <c r="L2161" s="23" t="s">
        <v>14045</v>
      </c>
      <c r="M2161" s="22"/>
      <c r="N2161" s="12"/>
      <c r="O2161" s="12"/>
      <c r="P2161" s="13">
        <f>IFERROR(__xludf.DUMMYFUNCTION("VALUE(SUBSTITUTE((INDEX(SPLIT(A2161,"",""),1)),""."","","",1))"),52.604177)</f>
        <v>52.604177</v>
      </c>
      <c r="Q2161" s="13">
        <f>IFERROR(__xludf.DUMMYFUNCTION("VALUE(SUBSTITUTE((INDEX(SPLIT(A2161,"",""),2)),""."","","",1))"),39.561545)</f>
        <v>39.561545</v>
      </c>
      <c r="R2161" s="14" t="b">
        <f t="shared" si="1"/>
        <v>0</v>
      </c>
      <c r="S2161" s="14" t="str">
        <f t="shared" si="2"/>
        <v>52.604177,39.561545</v>
      </c>
      <c r="T2161" s="12"/>
    </row>
    <row r="2162">
      <c r="A2162" s="18" t="s">
        <v>14046</v>
      </c>
      <c r="B2162" s="8" t="s">
        <v>14047</v>
      </c>
      <c r="C2162" s="8" t="s">
        <v>14048</v>
      </c>
      <c r="D2162" s="8" t="s">
        <v>16</v>
      </c>
      <c r="E2162" s="19" t="s">
        <v>14049</v>
      </c>
      <c r="F2162" s="8" t="s">
        <v>12524</v>
      </c>
      <c r="G2162" s="8">
        <v>23.61</v>
      </c>
      <c r="H2162" s="8"/>
      <c r="I2162" s="8"/>
      <c r="J2162" s="8" t="s">
        <v>14050</v>
      </c>
      <c r="K2162" s="8" t="s">
        <v>14051</v>
      </c>
      <c r="L2162" s="8"/>
      <c r="M2162" s="24" t="s">
        <v>14052</v>
      </c>
      <c r="N2162" s="12"/>
      <c r="O2162" s="12"/>
      <c r="P2162" s="13">
        <f>IFERROR(__xludf.DUMMYFUNCTION("VALUE(SUBSTITUTE((INDEX(SPLIT(A2162,"",""),1)),""."","","",1))"),52.61191)</f>
        <v>52.61191</v>
      </c>
      <c r="Q2162" s="13">
        <f>IFERROR(__xludf.DUMMYFUNCTION("VALUE(SUBSTITUTE((INDEX(SPLIT(A2162,"",""),2)),""."","","",1))"),39.563925)</f>
        <v>39.563925</v>
      </c>
      <c r="R2162" s="14" t="b">
        <f t="shared" si="1"/>
        <v>0</v>
      </c>
      <c r="S2162" s="14" t="str">
        <f t="shared" si="2"/>
        <v>52.61191,39.563925</v>
      </c>
      <c r="T2162" s="12"/>
    </row>
    <row r="2163">
      <c r="A2163" s="15" t="s">
        <v>14053</v>
      </c>
      <c r="B2163" s="16" t="s">
        <v>14054</v>
      </c>
      <c r="C2163" s="16" t="s">
        <v>14055</v>
      </c>
      <c r="D2163" s="16" t="s">
        <v>16</v>
      </c>
      <c r="E2163" s="17" t="s">
        <v>14056</v>
      </c>
      <c r="F2163" s="16" t="s">
        <v>12912</v>
      </c>
      <c r="G2163" s="16">
        <v>23.61</v>
      </c>
      <c r="H2163" s="16"/>
      <c r="I2163" s="16"/>
      <c r="J2163" s="16" t="s">
        <v>14057</v>
      </c>
      <c r="K2163" s="16" t="s">
        <v>14058</v>
      </c>
      <c r="L2163" s="16"/>
      <c r="M2163" s="16"/>
      <c r="N2163" s="12"/>
      <c r="O2163" s="12"/>
      <c r="P2163" s="13">
        <f>IFERROR(__xludf.DUMMYFUNCTION("VALUE(SUBSTITUTE((INDEX(SPLIT(A2163,"",""),1)),""."","","",1))"),47.223681)</f>
        <v>47.223681</v>
      </c>
      <c r="Q2163" s="13">
        <f>IFERROR(__xludf.DUMMYFUNCTION("VALUE(SUBSTITUTE((INDEX(SPLIT(A2163,"",""),2)),""."","","",1))"),39.569495)</f>
        <v>39.569495</v>
      </c>
      <c r="R2163" s="14" t="b">
        <f t="shared" si="1"/>
        <v>0</v>
      </c>
      <c r="S2163" s="14" t="str">
        <f t="shared" si="2"/>
        <v>47.223681,39.569495</v>
      </c>
      <c r="T2163" s="12"/>
    </row>
    <row r="2164">
      <c r="A2164" s="7" t="s">
        <v>14059</v>
      </c>
      <c r="B2164" s="8" t="s">
        <v>14060</v>
      </c>
      <c r="C2164" s="8" t="s">
        <v>14061</v>
      </c>
      <c r="D2164" s="8" t="s">
        <v>16</v>
      </c>
      <c r="E2164" s="9" t="s">
        <v>14062</v>
      </c>
      <c r="F2164" s="10" t="s">
        <v>12912</v>
      </c>
      <c r="G2164" s="8">
        <v>23.61</v>
      </c>
      <c r="H2164" s="8"/>
      <c r="I2164" s="10"/>
      <c r="J2164" s="10" t="s">
        <v>14063</v>
      </c>
      <c r="K2164" s="10" t="s">
        <v>14064</v>
      </c>
      <c r="L2164" s="29" t="s">
        <v>14065</v>
      </c>
      <c r="M2164" s="10"/>
      <c r="N2164" s="12"/>
      <c r="O2164" s="12"/>
      <c r="P2164" s="13">
        <f>IFERROR(__xludf.DUMMYFUNCTION("VALUE(SUBSTITUTE((INDEX(SPLIT(A2164,"",""),1)),""."","","",1))"),47.214213)</f>
        <v>47.214213</v>
      </c>
      <c r="Q2164" s="13">
        <f>IFERROR(__xludf.DUMMYFUNCTION("VALUE(SUBSTITUTE((INDEX(SPLIT(A2164,"",""),2)),""."","","",1))"),39.573771)</f>
        <v>39.573771</v>
      </c>
      <c r="R2164" s="14" t="b">
        <f t="shared" si="1"/>
        <v>0</v>
      </c>
      <c r="S2164" s="14" t="str">
        <f t="shared" si="2"/>
        <v>47.214213,39.573771</v>
      </c>
      <c r="T2164" s="12"/>
    </row>
    <row r="2165">
      <c r="A2165" s="15" t="s">
        <v>14066</v>
      </c>
      <c r="B2165" s="16" t="s">
        <v>14067</v>
      </c>
      <c r="C2165" s="16" t="s">
        <v>14068</v>
      </c>
      <c r="D2165" s="16" t="s">
        <v>16</v>
      </c>
      <c r="E2165" s="17" t="s">
        <v>14069</v>
      </c>
      <c r="F2165" s="16" t="s">
        <v>12912</v>
      </c>
      <c r="G2165" s="16">
        <v>23.61</v>
      </c>
      <c r="H2165" s="16"/>
      <c r="I2165" s="16"/>
      <c r="J2165" s="16" t="s">
        <v>14070</v>
      </c>
      <c r="K2165" s="16" t="s">
        <v>14071</v>
      </c>
      <c r="L2165" s="16"/>
      <c r="M2165" s="16"/>
      <c r="N2165" s="12"/>
      <c r="O2165" s="12"/>
      <c r="P2165" s="13">
        <f>IFERROR(__xludf.DUMMYFUNCTION("VALUE(SUBSTITUTE((INDEX(SPLIT(A2165,"",""),1)),""."","","",1))"),47.242166)</f>
        <v>47.242166</v>
      </c>
      <c r="Q2165" s="13">
        <f>IFERROR(__xludf.DUMMYFUNCTION("VALUE(SUBSTITUTE((INDEX(SPLIT(A2165,"",""),2)),""."","","",1))"),39.578595)</f>
        <v>39.578595</v>
      </c>
      <c r="R2165" s="14" t="b">
        <f t="shared" si="1"/>
        <v>0</v>
      </c>
      <c r="S2165" s="14" t="str">
        <f t="shared" si="2"/>
        <v>47.242166,39.578595</v>
      </c>
      <c r="T2165" s="12"/>
    </row>
    <row r="2166">
      <c r="A2166" s="7" t="s">
        <v>14072</v>
      </c>
      <c r="B2166" s="8" t="s">
        <v>14073</v>
      </c>
      <c r="C2166" s="8" t="s">
        <v>14074</v>
      </c>
      <c r="D2166" s="8" t="s">
        <v>16</v>
      </c>
      <c r="E2166" s="9" t="s">
        <v>14075</v>
      </c>
      <c r="F2166" s="10" t="s">
        <v>12524</v>
      </c>
      <c r="G2166" s="8">
        <v>23.61</v>
      </c>
      <c r="H2166" s="8"/>
      <c r="I2166" s="10"/>
      <c r="J2166" s="10" t="s">
        <v>14076</v>
      </c>
      <c r="K2166" s="10" t="s">
        <v>14077</v>
      </c>
      <c r="L2166" s="11" t="s">
        <v>14078</v>
      </c>
      <c r="M2166" s="11" t="s">
        <v>14079</v>
      </c>
      <c r="N2166" s="12"/>
      <c r="O2166" s="12"/>
      <c r="P2166" s="13">
        <f>IFERROR(__xludf.DUMMYFUNCTION("VALUE(SUBSTITUTE((INDEX(SPLIT(A2166,"",""),1)),""."","","",1))"),52.618532)</f>
        <v>52.618532</v>
      </c>
      <c r="Q2166" s="13">
        <f>IFERROR(__xludf.DUMMYFUNCTION("VALUE(SUBSTITUTE((INDEX(SPLIT(A2166,"",""),2)),""."","","",1))"),39.579735)</f>
        <v>39.579735</v>
      </c>
      <c r="R2166" s="14" t="b">
        <f t="shared" si="1"/>
        <v>0</v>
      </c>
      <c r="S2166" s="14" t="str">
        <f t="shared" si="2"/>
        <v>52.618532,39.579735</v>
      </c>
      <c r="T2166" s="12"/>
    </row>
    <row r="2167">
      <c r="A2167" s="20" t="s">
        <v>14080</v>
      </c>
      <c r="B2167" s="16" t="s">
        <v>14081</v>
      </c>
      <c r="C2167" s="16" t="s">
        <v>14082</v>
      </c>
      <c r="D2167" s="16" t="s">
        <v>16</v>
      </c>
      <c r="E2167" s="21" t="s">
        <v>14083</v>
      </c>
      <c r="F2167" s="22" t="s">
        <v>12524</v>
      </c>
      <c r="G2167" s="16">
        <v>23.61</v>
      </c>
      <c r="H2167" s="16"/>
      <c r="I2167" s="22"/>
      <c r="J2167" s="22" t="s">
        <v>14084</v>
      </c>
      <c r="K2167" s="22" t="s">
        <v>14085</v>
      </c>
      <c r="L2167" s="30" t="s">
        <v>14086</v>
      </c>
      <c r="M2167" s="22"/>
      <c r="N2167" s="12"/>
      <c r="O2167" s="12"/>
      <c r="P2167" s="13">
        <f>IFERROR(__xludf.DUMMYFUNCTION("VALUE(SUBSTITUTE((INDEX(SPLIT(A2167,"",""),1)),""."","","",1))"),52.605993)</f>
        <v>52.605993</v>
      </c>
      <c r="Q2167" s="13">
        <f>IFERROR(__xludf.DUMMYFUNCTION("VALUE(SUBSTITUTE((INDEX(SPLIT(A2167,"",""),2)),""."","","",1))"),39.589563)</f>
        <v>39.589563</v>
      </c>
      <c r="R2167" s="14" t="b">
        <f t="shared" si="1"/>
        <v>0</v>
      </c>
      <c r="S2167" s="14" t="str">
        <f t="shared" si="2"/>
        <v>52.605993,39.589563</v>
      </c>
      <c r="T2167" s="12"/>
    </row>
    <row r="2168">
      <c r="A2168" s="18" t="s">
        <v>14087</v>
      </c>
      <c r="B2168" s="8" t="s">
        <v>14088</v>
      </c>
      <c r="C2168" s="8" t="s">
        <v>14089</v>
      </c>
      <c r="D2168" s="8" t="s">
        <v>16</v>
      </c>
      <c r="E2168" s="19" t="s">
        <v>14090</v>
      </c>
      <c r="F2168" s="8" t="s">
        <v>12912</v>
      </c>
      <c r="G2168" s="8">
        <v>23.61</v>
      </c>
      <c r="H2168" s="8"/>
      <c r="I2168" s="8"/>
      <c r="J2168" s="8" t="s">
        <v>14091</v>
      </c>
      <c r="K2168" s="8" t="s">
        <v>14092</v>
      </c>
      <c r="L2168" s="8"/>
      <c r="M2168" s="8"/>
      <c r="N2168" s="12"/>
      <c r="O2168" s="12"/>
      <c r="P2168" s="13">
        <f>IFERROR(__xludf.DUMMYFUNCTION("VALUE(SUBSTITUTE((INDEX(SPLIT(A2168,"",""),1)),""."","","",1))"),47.238226)</f>
        <v>47.238226</v>
      </c>
      <c r="Q2168" s="13">
        <f>IFERROR(__xludf.DUMMYFUNCTION("VALUE(SUBSTITUTE((INDEX(SPLIT(A2168,"",""),2)),""."","","",1))"),39.599454)</f>
        <v>39.599454</v>
      </c>
      <c r="R2168" s="14" t="b">
        <f t="shared" si="1"/>
        <v>0</v>
      </c>
      <c r="S2168" s="14" t="str">
        <f t="shared" si="2"/>
        <v>47.238226,39.599454</v>
      </c>
      <c r="T2168" s="12"/>
    </row>
    <row r="2169">
      <c r="A2169" s="15" t="s">
        <v>14093</v>
      </c>
      <c r="B2169" s="16" t="s">
        <v>14094</v>
      </c>
      <c r="C2169" s="16" t="s">
        <v>14095</v>
      </c>
      <c r="D2169" s="16" t="s">
        <v>16</v>
      </c>
      <c r="E2169" s="17" t="s">
        <v>14096</v>
      </c>
      <c r="F2169" s="16" t="s">
        <v>12524</v>
      </c>
      <c r="G2169" s="16">
        <v>23.61</v>
      </c>
      <c r="H2169" s="16"/>
      <c r="I2169" s="32" t="s">
        <v>14097</v>
      </c>
      <c r="J2169" s="16" t="s">
        <v>14098</v>
      </c>
      <c r="K2169" s="16" t="s">
        <v>14099</v>
      </c>
      <c r="L2169" s="16"/>
      <c r="M2169" s="16"/>
      <c r="N2169" s="12"/>
      <c r="O2169" s="12"/>
      <c r="P2169" s="13">
        <f>IFERROR(__xludf.DUMMYFUNCTION("VALUE(SUBSTITUTE((INDEX(SPLIT(A2169,"",""),1)),""."","","",1))"),52.541275)</f>
        <v>52.541275</v>
      </c>
      <c r="Q2169" s="13">
        <f>IFERROR(__xludf.DUMMYFUNCTION("VALUE(SUBSTITUTE((INDEX(SPLIT(A2169,"",""),2)),""."","","",1))"),39.600909)</f>
        <v>39.600909</v>
      </c>
      <c r="R2169" s="14" t="b">
        <f t="shared" si="1"/>
        <v>0</v>
      </c>
      <c r="S2169" s="14" t="str">
        <f t="shared" si="2"/>
        <v>52.541275,39.600909</v>
      </c>
      <c r="T2169" s="12"/>
    </row>
    <row r="2170">
      <c r="A2170" s="18" t="s">
        <v>14093</v>
      </c>
      <c r="B2170" s="8" t="s">
        <v>14100</v>
      </c>
      <c r="C2170" s="8" t="s">
        <v>14101</v>
      </c>
      <c r="D2170" s="8" t="s">
        <v>16</v>
      </c>
      <c r="E2170" s="19" t="s">
        <v>14102</v>
      </c>
      <c r="F2170" s="8" t="s">
        <v>12524</v>
      </c>
      <c r="G2170" s="8">
        <v>23.61</v>
      </c>
      <c r="H2170" s="8"/>
      <c r="I2170" s="8"/>
      <c r="J2170" s="8" t="s">
        <v>14103</v>
      </c>
      <c r="K2170" s="8" t="s">
        <v>14104</v>
      </c>
      <c r="L2170" s="8"/>
      <c r="M2170" s="8"/>
      <c r="N2170" s="12"/>
      <c r="O2170" s="12"/>
      <c r="P2170" s="13">
        <f>IFERROR(__xludf.DUMMYFUNCTION("VALUE(SUBSTITUTE((INDEX(SPLIT(A2170,"",""),1)),""."","","",1))"),52.541275)</f>
        <v>52.541275</v>
      </c>
      <c r="Q2170" s="13">
        <f>IFERROR(__xludf.DUMMYFUNCTION("VALUE(SUBSTITUTE((INDEX(SPLIT(A2170,"",""),2)),""."","","",1))"),39.600909)</f>
        <v>39.600909</v>
      </c>
      <c r="R2170" s="14" t="b">
        <f t="shared" si="1"/>
        <v>0</v>
      </c>
      <c r="S2170" s="14" t="str">
        <f t="shared" si="2"/>
        <v>52.541275,39.600909</v>
      </c>
      <c r="T2170" s="12"/>
    </row>
    <row r="2171">
      <c r="A2171" s="20" t="s">
        <v>14105</v>
      </c>
      <c r="B2171" s="16" t="s">
        <v>14106</v>
      </c>
      <c r="C2171" s="16" t="s">
        <v>14107</v>
      </c>
      <c r="D2171" s="16" t="s">
        <v>16</v>
      </c>
      <c r="E2171" s="21" t="s">
        <v>14108</v>
      </c>
      <c r="F2171" s="22" t="s">
        <v>13359</v>
      </c>
      <c r="G2171" s="16">
        <v>23.61</v>
      </c>
      <c r="H2171" s="16"/>
      <c r="I2171" s="22"/>
      <c r="J2171" s="22" t="s">
        <v>14109</v>
      </c>
      <c r="K2171" s="22" t="s">
        <v>14110</v>
      </c>
      <c r="L2171" s="23" t="s">
        <v>14111</v>
      </c>
      <c r="M2171" s="22"/>
      <c r="N2171" s="12"/>
      <c r="O2171" s="12"/>
      <c r="P2171" s="13">
        <f>IFERROR(__xludf.DUMMYFUNCTION("VALUE(SUBSTITUTE((INDEX(SPLIT(A2171,"",""),1)),""."","","",1))"),54.690652)</f>
        <v>54.690652</v>
      </c>
      <c r="Q2171" s="13">
        <f>IFERROR(__xludf.DUMMYFUNCTION("VALUE(SUBSTITUTE((INDEX(SPLIT(A2171,"",""),2)),""."","","",1))"),39.60222)</f>
        <v>39.60222</v>
      </c>
      <c r="R2171" s="14" t="b">
        <f t="shared" si="1"/>
        <v>0</v>
      </c>
      <c r="S2171" s="14" t="str">
        <f t="shared" si="2"/>
        <v>54.690652,39.60222</v>
      </c>
      <c r="T2171" s="12"/>
    </row>
    <row r="2172">
      <c r="A2172" s="7" t="s">
        <v>14112</v>
      </c>
      <c r="B2172" s="8" t="s">
        <v>14113</v>
      </c>
      <c r="C2172" s="8" t="s">
        <v>14114</v>
      </c>
      <c r="D2172" s="8" t="s">
        <v>16</v>
      </c>
      <c r="E2172" s="9" t="s">
        <v>14115</v>
      </c>
      <c r="F2172" s="10" t="s">
        <v>12524</v>
      </c>
      <c r="G2172" s="8">
        <v>23.61</v>
      </c>
      <c r="H2172" s="8"/>
      <c r="I2172" s="10"/>
      <c r="J2172" s="10" t="s">
        <v>14116</v>
      </c>
      <c r="K2172" s="10" t="s">
        <v>14117</v>
      </c>
      <c r="L2172" s="11" t="s">
        <v>14118</v>
      </c>
      <c r="M2172" s="10"/>
      <c r="N2172" s="12"/>
      <c r="O2172" s="12"/>
      <c r="P2172" s="13">
        <f>IFERROR(__xludf.DUMMYFUNCTION("VALUE(SUBSTITUTE((INDEX(SPLIT(A2172,"",""),1)),""."","","",1))"),52.569051)</f>
        <v>52.569051</v>
      </c>
      <c r="Q2172" s="13">
        <f>IFERROR(__xludf.DUMMYFUNCTION("VALUE(SUBSTITUTE((INDEX(SPLIT(A2172,"",""),2)),""."","","",1))"),39.602544)</f>
        <v>39.602544</v>
      </c>
      <c r="R2172" s="14" t="b">
        <f t="shared" si="1"/>
        <v>0</v>
      </c>
      <c r="S2172" s="14" t="str">
        <f t="shared" si="2"/>
        <v>52.569051,39.602544</v>
      </c>
      <c r="T2172" s="12"/>
    </row>
    <row r="2173">
      <c r="A2173" s="15" t="s">
        <v>14119</v>
      </c>
      <c r="B2173" s="16" t="s">
        <v>14120</v>
      </c>
      <c r="C2173" s="16" t="s">
        <v>14121</v>
      </c>
      <c r="D2173" s="16" t="s">
        <v>16</v>
      </c>
      <c r="E2173" s="17" t="s">
        <v>14122</v>
      </c>
      <c r="F2173" s="16" t="s">
        <v>12524</v>
      </c>
      <c r="G2173" s="16">
        <v>23.61</v>
      </c>
      <c r="H2173" s="16"/>
      <c r="I2173" s="16"/>
      <c r="J2173" s="16" t="s">
        <v>14123</v>
      </c>
      <c r="K2173" s="16" t="s">
        <v>14124</v>
      </c>
      <c r="L2173" s="16"/>
      <c r="M2173" s="16"/>
      <c r="N2173" s="12"/>
      <c r="O2173" s="12"/>
      <c r="P2173" s="13">
        <f>IFERROR(__xludf.DUMMYFUNCTION("VALUE(SUBSTITUTE((INDEX(SPLIT(A2173,"",""),1)),""."","","",1))"),52.574026)</f>
        <v>52.574026</v>
      </c>
      <c r="Q2173" s="13">
        <f>IFERROR(__xludf.DUMMYFUNCTION("VALUE(SUBSTITUTE((INDEX(SPLIT(A2173,"",""),2)),""."","","",1))"),39.607152)</f>
        <v>39.607152</v>
      </c>
      <c r="R2173" s="14" t="b">
        <f t="shared" si="1"/>
        <v>0</v>
      </c>
      <c r="S2173" s="14" t="str">
        <f t="shared" si="2"/>
        <v>52.574026,39.607152</v>
      </c>
      <c r="T2173" s="12"/>
    </row>
    <row r="2174">
      <c r="A2174" s="18" t="s">
        <v>14125</v>
      </c>
      <c r="B2174" s="8" t="s">
        <v>14126</v>
      </c>
      <c r="C2174" s="8" t="s">
        <v>14127</v>
      </c>
      <c r="D2174" s="8" t="s">
        <v>16</v>
      </c>
      <c r="E2174" s="19" t="s">
        <v>14128</v>
      </c>
      <c r="F2174" s="8" t="s">
        <v>12524</v>
      </c>
      <c r="G2174" s="8">
        <v>23.61</v>
      </c>
      <c r="H2174" s="8"/>
      <c r="I2174" s="8"/>
      <c r="J2174" s="8" t="s">
        <v>14129</v>
      </c>
      <c r="K2174" s="8" t="s">
        <v>14130</v>
      </c>
      <c r="L2174" s="8"/>
      <c r="M2174" s="8"/>
      <c r="N2174" s="12"/>
      <c r="O2174" s="12"/>
      <c r="P2174" s="13">
        <f>IFERROR(__xludf.DUMMYFUNCTION("VALUE(SUBSTITUTE((INDEX(SPLIT(A2174,"",""),1)),""."","","",1))"),52.625316)</f>
        <v>52.625316</v>
      </c>
      <c r="Q2174" s="13">
        <f>IFERROR(__xludf.DUMMYFUNCTION("VALUE(SUBSTITUTE((INDEX(SPLIT(A2174,"",""),2)),""."","","",1))"),39.609506)</f>
        <v>39.609506</v>
      </c>
      <c r="R2174" s="14" t="b">
        <f t="shared" si="1"/>
        <v>0</v>
      </c>
      <c r="S2174" s="14" t="str">
        <f t="shared" si="2"/>
        <v>52.625316,39.609506</v>
      </c>
      <c r="T2174" s="12"/>
    </row>
    <row r="2175">
      <c r="A2175" s="15" t="s">
        <v>14131</v>
      </c>
      <c r="B2175" s="16" t="s">
        <v>14132</v>
      </c>
      <c r="C2175" s="16" t="s">
        <v>14133</v>
      </c>
      <c r="D2175" s="16" t="s">
        <v>16</v>
      </c>
      <c r="E2175" s="17" t="s">
        <v>14134</v>
      </c>
      <c r="F2175" s="16" t="s">
        <v>13359</v>
      </c>
      <c r="G2175" s="16">
        <v>23.61</v>
      </c>
      <c r="H2175" s="16"/>
      <c r="I2175" s="16"/>
      <c r="J2175" s="16" t="s">
        <v>14135</v>
      </c>
      <c r="K2175" s="16" t="s">
        <v>14136</v>
      </c>
      <c r="L2175" s="16"/>
      <c r="M2175" s="25" t="s">
        <v>14137</v>
      </c>
      <c r="N2175" s="12"/>
      <c r="O2175" s="12"/>
      <c r="P2175" s="13">
        <f>IFERROR(__xludf.DUMMYFUNCTION("VALUE(SUBSTITUTE((INDEX(SPLIT(A2175,"",""),1)),""."","","",1))"),54.682586)</f>
        <v>54.682586</v>
      </c>
      <c r="Q2175" s="13">
        <f>IFERROR(__xludf.DUMMYFUNCTION("VALUE(SUBSTITUTE((INDEX(SPLIT(A2175,"",""),2)),""."","","",1))"),39.61185)</f>
        <v>39.61185</v>
      </c>
      <c r="R2175" s="14" t="b">
        <f t="shared" si="1"/>
        <v>0</v>
      </c>
      <c r="S2175" s="14" t="str">
        <f t="shared" si="2"/>
        <v>54.682586,39.61185</v>
      </c>
      <c r="T2175" s="12"/>
    </row>
    <row r="2176">
      <c r="A2176" s="7" t="s">
        <v>14138</v>
      </c>
      <c r="B2176" s="8" t="s">
        <v>14139</v>
      </c>
      <c r="C2176" s="8" t="s">
        <v>14140</v>
      </c>
      <c r="D2176" s="8" t="s">
        <v>16</v>
      </c>
      <c r="E2176" s="9" t="s">
        <v>14141</v>
      </c>
      <c r="F2176" s="10" t="s">
        <v>12524</v>
      </c>
      <c r="G2176" s="8">
        <v>23.61</v>
      </c>
      <c r="H2176" s="8"/>
      <c r="I2176" s="10"/>
      <c r="J2176" s="10" t="s">
        <v>14142</v>
      </c>
      <c r="K2176" s="10" t="s">
        <v>14143</v>
      </c>
      <c r="L2176" s="11" t="s">
        <v>14144</v>
      </c>
      <c r="M2176" s="10"/>
      <c r="N2176" s="12"/>
      <c r="O2176" s="12"/>
      <c r="P2176" s="13">
        <f>IFERROR(__xludf.DUMMYFUNCTION("VALUE(SUBSTITUTE((INDEX(SPLIT(A2176,"",""),1)),""."","","",1))"),52.572527)</f>
        <v>52.572527</v>
      </c>
      <c r="Q2176" s="13">
        <f>IFERROR(__xludf.DUMMYFUNCTION("VALUE(SUBSTITUTE((INDEX(SPLIT(A2176,"",""),2)),""."","","",1))"),39.614626)</f>
        <v>39.614626</v>
      </c>
      <c r="R2176" s="14" t="b">
        <f t="shared" si="1"/>
        <v>0</v>
      </c>
      <c r="S2176" s="14" t="str">
        <f t="shared" si="2"/>
        <v>52.572527,39.614626</v>
      </c>
      <c r="T2176" s="12"/>
    </row>
    <row r="2177">
      <c r="A2177" s="20" t="s">
        <v>14145</v>
      </c>
      <c r="B2177" s="16" t="s">
        <v>14146</v>
      </c>
      <c r="C2177" s="16" t="s">
        <v>14147</v>
      </c>
      <c r="D2177" s="16" t="s">
        <v>16</v>
      </c>
      <c r="E2177" s="21" t="s">
        <v>14148</v>
      </c>
      <c r="F2177" s="22" t="s">
        <v>12524</v>
      </c>
      <c r="G2177" s="16">
        <v>23.61</v>
      </c>
      <c r="H2177" s="16"/>
      <c r="I2177" s="22"/>
      <c r="J2177" s="22" t="s">
        <v>14149</v>
      </c>
      <c r="K2177" s="22" t="s">
        <v>14150</v>
      </c>
      <c r="L2177" s="23" t="s">
        <v>14151</v>
      </c>
      <c r="M2177" s="22"/>
      <c r="N2177" s="12"/>
      <c r="O2177" s="12"/>
      <c r="P2177" s="13">
        <f>IFERROR(__xludf.DUMMYFUNCTION("VALUE(SUBSTITUTE((INDEX(SPLIT(A2177,"",""),1)),""."","","",1))"),52.616902)</f>
        <v>52.616902</v>
      </c>
      <c r="Q2177" s="13">
        <f>IFERROR(__xludf.DUMMYFUNCTION("VALUE(SUBSTITUTE((INDEX(SPLIT(A2177,"",""),2)),""."","","",1))"),39.615075)</f>
        <v>39.615075</v>
      </c>
      <c r="R2177" s="14" t="b">
        <f t="shared" si="1"/>
        <v>0</v>
      </c>
      <c r="S2177" s="14" t="str">
        <f t="shared" si="2"/>
        <v>52.616902,39.615075</v>
      </c>
      <c r="T2177" s="12"/>
    </row>
    <row r="2178">
      <c r="A2178" s="18" t="s">
        <v>14152</v>
      </c>
      <c r="B2178" s="8" t="s">
        <v>14153</v>
      </c>
      <c r="C2178" s="8" t="s">
        <v>14154</v>
      </c>
      <c r="D2178" s="8" t="s">
        <v>16</v>
      </c>
      <c r="E2178" s="19" t="s">
        <v>14155</v>
      </c>
      <c r="F2178" s="8" t="s">
        <v>12524</v>
      </c>
      <c r="G2178" s="8">
        <v>23.61</v>
      </c>
      <c r="H2178" s="8"/>
      <c r="I2178" s="8"/>
      <c r="J2178" s="8" t="s">
        <v>14156</v>
      </c>
      <c r="K2178" s="8" t="s">
        <v>14157</v>
      </c>
      <c r="L2178" s="8"/>
      <c r="M2178" s="8"/>
      <c r="N2178" s="12"/>
      <c r="O2178" s="12"/>
      <c r="P2178" s="13">
        <f>IFERROR(__xludf.DUMMYFUNCTION("VALUE(SUBSTITUTE((INDEX(SPLIT(A2178,"",""),1)),""."","","",1))"),52.571158)</f>
        <v>52.571158</v>
      </c>
      <c r="Q2178" s="13">
        <f>IFERROR(__xludf.DUMMYFUNCTION("VALUE(SUBSTITUTE((INDEX(SPLIT(A2178,"",""),2)),""."","","",1))"),39.616369)</f>
        <v>39.616369</v>
      </c>
      <c r="R2178" s="14" t="b">
        <f t="shared" si="1"/>
        <v>0</v>
      </c>
      <c r="S2178" s="14" t="str">
        <f t="shared" si="2"/>
        <v>52.571158,39.616369</v>
      </c>
      <c r="T2178" s="12"/>
    </row>
    <row r="2179">
      <c r="A2179" s="15" t="s">
        <v>14158</v>
      </c>
      <c r="B2179" s="16" t="s">
        <v>14159</v>
      </c>
      <c r="C2179" s="16" t="s">
        <v>14160</v>
      </c>
      <c r="D2179" s="16" t="s">
        <v>16</v>
      </c>
      <c r="E2179" s="17" t="s">
        <v>14161</v>
      </c>
      <c r="F2179" s="16" t="s">
        <v>12524</v>
      </c>
      <c r="G2179" s="16">
        <v>23.61</v>
      </c>
      <c r="H2179" s="16"/>
      <c r="I2179" s="16"/>
      <c r="J2179" s="16" t="s">
        <v>14162</v>
      </c>
      <c r="K2179" s="16" t="s">
        <v>14163</v>
      </c>
      <c r="L2179" s="16"/>
      <c r="M2179" s="16"/>
      <c r="N2179" s="12"/>
      <c r="O2179" s="12"/>
      <c r="P2179" s="13">
        <f>IFERROR(__xludf.DUMMYFUNCTION("VALUE(SUBSTITUTE((INDEX(SPLIT(A2179,"",""),1)),""."","","",1))"),52.667738)</f>
        <v>52.667738</v>
      </c>
      <c r="Q2179" s="13">
        <f>IFERROR(__xludf.DUMMYFUNCTION("VALUE(SUBSTITUTE((INDEX(SPLIT(A2179,"",""),2)),""."","","",1))"),39.617582)</f>
        <v>39.617582</v>
      </c>
      <c r="R2179" s="14" t="b">
        <f t="shared" si="1"/>
        <v>0</v>
      </c>
      <c r="S2179" s="14" t="str">
        <f t="shared" si="2"/>
        <v>52.667738,39.617582</v>
      </c>
      <c r="T2179" s="12"/>
    </row>
    <row r="2180">
      <c r="A2180" s="7" t="s">
        <v>14158</v>
      </c>
      <c r="B2180" s="8" t="s">
        <v>14164</v>
      </c>
      <c r="C2180" s="8" t="s">
        <v>14165</v>
      </c>
      <c r="D2180" s="8" t="s">
        <v>16</v>
      </c>
      <c r="E2180" s="9" t="s">
        <v>14166</v>
      </c>
      <c r="F2180" s="10" t="s">
        <v>12524</v>
      </c>
      <c r="G2180" s="8">
        <v>23.61</v>
      </c>
      <c r="H2180" s="8"/>
      <c r="I2180" s="10"/>
      <c r="J2180" s="10" t="s">
        <v>14167</v>
      </c>
      <c r="K2180" s="10" t="s">
        <v>14168</v>
      </c>
      <c r="L2180" s="11" t="s">
        <v>14169</v>
      </c>
      <c r="M2180" s="10"/>
      <c r="N2180" s="12"/>
      <c r="O2180" s="12"/>
      <c r="P2180" s="13">
        <f>IFERROR(__xludf.DUMMYFUNCTION("VALUE(SUBSTITUTE((INDEX(SPLIT(A2180,"",""),1)),""."","","",1))"),52.667738)</f>
        <v>52.667738</v>
      </c>
      <c r="Q2180" s="13">
        <f>IFERROR(__xludf.DUMMYFUNCTION("VALUE(SUBSTITUTE((INDEX(SPLIT(A2180,"",""),2)),""."","","",1))"),39.617582)</f>
        <v>39.617582</v>
      </c>
      <c r="R2180" s="14" t="b">
        <f t="shared" si="1"/>
        <v>0</v>
      </c>
      <c r="S2180" s="14" t="str">
        <f t="shared" si="2"/>
        <v>52.667738,39.617582</v>
      </c>
      <c r="T2180" s="12"/>
    </row>
    <row r="2181">
      <c r="A2181" s="20" t="s">
        <v>14170</v>
      </c>
      <c r="B2181" s="16" t="s">
        <v>14171</v>
      </c>
      <c r="C2181" s="16" t="s">
        <v>14172</v>
      </c>
      <c r="D2181" s="16" t="s">
        <v>16</v>
      </c>
      <c r="E2181" s="21" t="s">
        <v>14173</v>
      </c>
      <c r="F2181" s="22" t="s">
        <v>13359</v>
      </c>
      <c r="G2181" s="16">
        <v>23.61</v>
      </c>
      <c r="H2181" s="16"/>
      <c r="I2181" s="22"/>
      <c r="J2181" s="22" t="s">
        <v>14174</v>
      </c>
      <c r="K2181" s="22" t="s">
        <v>14175</v>
      </c>
      <c r="L2181" s="23" t="s">
        <v>14176</v>
      </c>
      <c r="M2181" s="23" t="s">
        <v>14177</v>
      </c>
      <c r="N2181" s="12"/>
      <c r="O2181" s="12"/>
      <c r="P2181" s="13">
        <f>IFERROR(__xludf.DUMMYFUNCTION("VALUE(SUBSTITUTE((INDEX(SPLIT(A2181,"",""),1)),""."","","",1))"),54.681243)</f>
        <v>54.681243</v>
      </c>
      <c r="Q2181" s="13">
        <f>IFERROR(__xludf.DUMMYFUNCTION("VALUE(SUBSTITUTE((INDEX(SPLIT(A2181,"",""),2)),""."","","",1))"),39.623007)</f>
        <v>39.623007</v>
      </c>
      <c r="R2181" s="14" t="b">
        <f t="shared" si="1"/>
        <v>0</v>
      </c>
      <c r="S2181" s="14" t="str">
        <f t="shared" si="2"/>
        <v>54.681243,39.623007</v>
      </c>
      <c r="T2181" s="12"/>
    </row>
    <row r="2182">
      <c r="A2182" s="18" t="s">
        <v>14178</v>
      </c>
      <c r="B2182" s="8" t="s">
        <v>14179</v>
      </c>
      <c r="C2182" s="8" t="s">
        <v>14180</v>
      </c>
      <c r="D2182" s="8" t="s">
        <v>16</v>
      </c>
      <c r="E2182" s="19" t="s">
        <v>14181</v>
      </c>
      <c r="F2182" s="8" t="s">
        <v>12524</v>
      </c>
      <c r="G2182" s="8">
        <v>23.61</v>
      </c>
      <c r="H2182" s="8"/>
      <c r="I2182" s="8"/>
      <c r="J2182" s="8" t="s">
        <v>14182</v>
      </c>
      <c r="K2182" s="8" t="s">
        <v>14183</v>
      </c>
      <c r="L2182" s="8"/>
      <c r="M2182" s="8"/>
      <c r="N2182" s="12"/>
      <c r="O2182" s="12"/>
      <c r="P2182" s="13">
        <f>IFERROR(__xludf.DUMMYFUNCTION("VALUE(SUBSTITUTE((INDEX(SPLIT(A2182,"",""),1)),""."","","",1))"),52.652154)</f>
        <v>52.652154</v>
      </c>
      <c r="Q2182" s="13">
        <f>IFERROR(__xludf.DUMMYFUNCTION("VALUE(SUBSTITUTE((INDEX(SPLIT(A2182,"",""),2)),""."","","",1))"),39.624049)</f>
        <v>39.624049</v>
      </c>
      <c r="R2182" s="14" t="b">
        <f t="shared" si="1"/>
        <v>0</v>
      </c>
      <c r="S2182" s="14" t="str">
        <f t="shared" si="2"/>
        <v>52.652154,39.624049</v>
      </c>
      <c r="T2182" s="12"/>
    </row>
    <row r="2183">
      <c r="A2183" s="20" t="s">
        <v>14184</v>
      </c>
      <c r="B2183" s="16" t="s">
        <v>14185</v>
      </c>
      <c r="C2183" s="16" t="s">
        <v>14186</v>
      </c>
      <c r="D2183" s="16" t="s">
        <v>16</v>
      </c>
      <c r="E2183" s="21" t="s">
        <v>14187</v>
      </c>
      <c r="F2183" s="22" t="s">
        <v>12912</v>
      </c>
      <c r="G2183" s="16">
        <v>23.61</v>
      </c>
      <c r="H2183" s="16"/>
      <c r="I2183" s="22"/>
      <c r="J2183" s="22" t="s">
        <v>14188</v>
      </c>
      <c r="K2183" s="22" t="s">
        <v>14189</v>
      </c>
      <c r="L2183" s="30" t="s">
        <v>14190</v>
      </c>
      <c r="M2183" s="22"/>
      <c r="N2183" s="12"/>
      <c r="O2183" s="12"/>
      <c r="P2183" s="13">
        <f>IFERROR(__xludf.DUMMYFUNCTION("VALUE(SUBSTITUTE((INDEX(SPLIT(A2183,"",""),1)),""."","","",1))"),47.214697)</f>
        <v>47.214697</v>
      </c>
      <c r="Q2183" s="13">
        <f>IFERROR(__xludf.DUMMYFUNCTION("VALUE(SUBSTITUTE((INDEX(SPLIT(A2183,"",""),2)),""."","","",1))"),39.627301)</f>
        <v>39.627301</v>
      </c>
      <c r="R2183" s="14" t="b">
        <f t="shared" si="1"/>
        <v>0</v>
      </c>
      <c r="S2183" s="14" t="str">
        <f t="shared" si="2"/>
        <v>47.214697,39.627301</v>
      </c>
      <c r="T2183" s="12"/>
    </row>
    <row r="2184">
      <c r="A2184" s="18" t="s">
        <v>14191</v>
      </c>
      <c r="B2184" s="8" t="s">
        <v>14192</v>
      </c>
      <c r="C2184" s="8" t="s">
        <v>14193</v>
      </c>
      <c r="D2184" s="8" t="s">
        <v>16</v>
      </c>
      <c r="E2184" s="19" t="s">
        <v>14194</v>
      </c>
      <c r="F2184" s="8" t="s">
        <v>12524</v>
      </c>
      <c r="G2184" s="8">
        <v>23.61</v>
      </c>
      <c r="H2184" s="8"/>
      <c r="I2184" s="8"/>
      <c r="J2184" s="8" t="s">
        <v>14195</v>
      </c>
      <c r="K2184" s="8" t="s">
        <v>14196</v>
      </c>
      <c r="L2184" s="8"/>
      <c r="M2184" s="8"/>
      <c r="N2184" s="12"/>
      <c r="O2184" s="12"/>
      <c r="P2184" s="13">
        <f>IFERROR(__xludf.DUMMYFUNCTION("VALUE(SUBSTITUTE((INDEX(SPLIT(A2184,"",""),1)),""."","","",1))"),52.645172)</f>
        <v>52.645172</v>
      </c>
      <c r="Q2184" s="13">
        <f>IFERROR(__xludf.DUMMYFUNCTION("VALUE(SUBSTITUTE((INDEX(SPLIT(A2184,"",""),2)),""."","","",1))"),39.630966)</f>
        <v>39.630966</v>
      </c>
      <c r="R2184" s="14" t="b">
        <f t="shared" si="1"/>
        <v>0</v>
      </c>
      <c r="S2184" s="14" t="str">
        <f t="shared" si="2"/>
        <v>52.645172,39.630966</v>
      </c>
      <c r="T2184" s="12"/>
    </row>
    <row r="2185">
      <c r="A2185" s="15" t="s">
        <v>14197</v>
      </c>
      <c r="B2185" s="16" t="s">
        <v>14198</v>
      </c>
      <c r="C2185" s="16" t="s">
        <v>14199</v>
      </c>
      <c r="D2185" s="16" t="s">
        <v>16</v>
      </c>
      <c r="E2185" s="17" t="s">
        <v>14200</v>
      </c>
      <c r="F2185" s="16" t="s">
        <v>12912</v>
      </c>
      <c r="G2185" s="16">
        <v>23.61</v>
      </c>
      <c r="H2185" s="16"/>
      <c r="I2185" s="16"/>
      <c r="J2185" s="16" t="s">
        <v>14201</v>
      </c>
      <c r="K2185" s="16" t="s">
        <v>14202</v>
      </c>
      <c r="L2185" s="16"/>
      <c r="M2185" s="25" t="s">
        <v>14203</v>
      </c>
      <c r="N2185" s="12"/>
      <c r="O2185" s="12"/>
      <c r="P2185" s="13">
        <f>IFERROR(__xludf.DUMMYFUNCTION("VALUE(SUBSTITUTE((INDEX(SPLIT(A2185,"",""),1)),""."","","",1))"),47.256351)</f>
        <v>47.256351</v>
      </c>
      <c r="Q2185" s="13">
        <f>IFERROR(__xludf.DUMMYFUNCTION("VALUE(SUBSTITUTE((INDEX(SPLIT(A2185,"",""),2)),""."","","",1))"),39.637641)</f>
        <v>39.637641</v>
      </c>
      <c r="R2185" s="14" t="b">
        <f t="shared" si="1"/>
        <v>0</v>
      </c>
      <c r="S2185" s="14" t="str">
        <f t="shared" si="2"/>
        <v>47.256351,39.637641</v>
      </c>
      <c r="T2185" s="12"/>
    </row>
    <row r="2186">
      <c r="A2186" s="7" t="s">
        <v>14204</v>
      </c>
      <c r="B2186" s="8" t="s">
        <v>14205</v>
      </c>
      <c r="C2186" s="8" t="s">
        <v>14206</v>
      </c>
      <c r="D2186" s="8" t="s">
        <v>16</v>
      </c>
      <c r="E2186" s="9" t="s">
        <v>14207</v>
      </c>
      <c r="F2186" s="10" t="s">
        <v>13359</v>
      </c>
      <c r="G2186" s="8">
        <v>23.61</v>
      </c>
      <c r="H2186" s="8"/>
      <c r="I2186" s="10"/>
      <c r="J2186" s="10" t="s">
        <v>14208</v>
      </c>
      <c r="K2186" s="10" t="s">
        <v>14209</v>
      </c>
      <c r="L2186" s="11" t="s">
        <v>14210</v>
      </c>
      <c r="M2186" s="10"/>
      <c r="N2186" s="12"/>
      <c r="O2186" s="12"/>
      <c r="P2186" s="13">
        <f>IFERROR(__xludf.DUMMYFUNCTION("VALUE(SUBSTITUTE((INDEX(SPLIT(A2186,"",""),1)),""."","","",1))"),54.677386)</f>
        <v>54.677386</v>
      </c>
      <c r="Q2186" s="13">
        <f>IFERROR(__xludf.DUMMYFUNCTION("VALUE(SUBSTITUTE((INDEX(SPLIT(A2186,"",""),2)),""."","","",1))"),39.645681)</f>
        <v>39.645681</v>
      </c>
      <c r="R2186" s="14" t="b">
        <f t="shared" si="1"/>
        <v>0</v>
      </c>
      <c r="S2186" s="14" t="str">
        <f t="shared" si="2"/>
        <v>54.677386,39.645681</v>
      </c>
      <c r="T2186" s="12"/>
    </row>
    <row r="2187">
      <c r="A2187" s="15" t="s">
        <v>14211</v>
      </c>
      <c r="B2187" s="16" t="s">
        <v>14212</v>
      </c>
      <c r="C2187" s="16" t="s">
        <v>14213</v>
      </c>
      <c r="D2187" s="16" t="s">
        <v>16</v>
      </c>
      <c r="E2187" s="17" t="s">
        <v>14214</v>
      </c>
      <c r="F2187" s="16" t="s">
        <v>12912</v>
      </c>
      <c r="G2187" s="16">
        <v>23.61</v>
      </c>
      <c r="H2187" s="16"/>
      <c r="I2187" s="16"/>
      <c r="J2187" s="16" t="s">
        <v>14215</v>
      </c>
      <c r="K2187" s="16" t="s">
        <v>14216</v>
      </c>
      <c r="L2187" s="16"/>
      <c r="M2187" s="25" t="s">
        <v>14217</v>
      </c>
      <c r="N2187" s="12"/>
      <c r="O2187" s="12"/>
      <c r="P2187" s="13">
        <f>IFERROR(__xludf.DUMMYFUNCTION("VALUE(SUBSTITUTE((INDEX(SPLIT(A2187,"",""),1)),""."","","",1))"),47.096525)</f>
        <v>47.096525</v>
      </c>
      <c r="Q2187" s="13">
        <f>IFERROR(__xludf.DUMMYFUNCTION("VALUE(SUBSTITUTE((INDEX(SPLIT(A2187,"",""),2)),""."","","",1))"),39.650891)</f>
        <v>39.650891</v>
      </c>
      <c r="R2187" s="14" t="b">
        <f t="shared" si="1"/>
        <v>0</v>
      </c>
      <c r="S2187" s="14" t="str">
        <f t="shared" si="2"/>
        <v>47.096525,39.650891</v>
      </c>
      <c r="T2187" s="12"/>
    </row>
    <row r="2188">
      <c r="A2188" s="7" t="s">
        <v>14218</v>
      </c>
      <c r="B2188" s="8" t="s">
        <v>2685</v>
      </c>
      <c r="C2188" s="8" t="s">
        <v>2686</v>
      </c>
      <c r="D2188" s="8" t="s">
        <v>16</v>
      </c>
      <c r="E2188" s="9" t="s">
        <v>14219</v>
      </c>
      <c r="F2188" s="10" t="s">
        <v>12524</v>
      </c>
      <c r="G2188" s="8">
        <v>23.61</v>
      </c>
      <c r="H2188" s="8"/>
      <c r="I2188" s="10"/>
      <c r="J2188" s="10" t="s">
        <v>14220</v>
      </c>
      <c r="K2188" s="10" t="s">
        <v>14221</v>
      </c>
      <c r="L2188" s="29" t="s">
        <v>14222</v>
      </c>
      <c r="M2188" s="10"/>
      <c r="N2188" s="12"/>
      <c r="O2188" s="12"/>
      <c r="P2188" s="13">
        <f>IFERROR(__xludf.DUMMYFUNCTION("VALUE(SUBSTITUTE((INDEX(SPLIT(A2188,"",""),1)),""."","","",1))"),52.633947)</f>
        <v>52.633947</v>
      </c>
      <c r="Q2188" s="13">
        <f>IFERROR(__xludf.DUMMYFUNCTION("VALUE(SUBSTITUTE((INDEX(SPLIT(A2188,"",""),2)),""."","","",1))"),39.651709)</f>
        <v>39.651709</v>
      </c>
      <c r="R2188" s="14" t="b">
        <f t="shared" si="1"/>
        <v>0</v>
      </c>
      <c r="S2188" s="14" t="str">
        <f t="shared" si="2"/>
        <v>52.633947,39.651709</v>
      </c>
      <c r="T2188" s="12"/>
    </row>
    <row r="2189">
      <c r="A2189" s="20" t="s">
        <v>14223</v>
      </c>
      <c r="B2189" s="16" t="s">
        <v>14224</v>
      </c>
      <c r="C2189" s="16" t="s">
        <v>14225</v>
      </c>
      <c r="D2189" s="16" t="s">
        <v>16</v>
      </c>
      <c r="E2189" s="21" t="s">
        <v>14226</v>
      </c>
      <c r="F2189" s="22" t="s">
        <v>8566</v>
      </c>
      <c r="G2189" s="16">
        <v>23.61</v>
      </c>
      <c r="H2189" s="16"/>
      <c r="I2189" s="22"/>
      <c r="J2189" s="22" t="s">
        <v>14227</v>
      </c>
      <c r="K2189" s="22" t="s">
        <v>14228</v>
      </c>
      <c r="L2189" s="23" t="s">
        <v>14229</v>
      </c>
      <c r="M2189" s="23" t="s">
        <v>14230</v>
      </c>
      <c r="N2189" s="12"/>
      <c r="O2189" s="12"/>
      <c r="P2189" s="13">
        <f>IFERROR(__xludf.DUMMYFUNCTION("VALUE(SUBSTITUTE((INDEX(SPLIT(A2189,"",""),1)),""."","","",1))"),43.651519)</f>
        <v>43.651519</v>
      </c>
      <c r="Q2189" s="13">
        <f>IFERROR(__xludf.DUMMYFUNCTION("VALUE(SUBSTITUTE((INDEX(SPLIT(A2189,"",""),2)),""."","","",1))"),39.654664)</f>
        <v>39.654664</v>
      </c>
      <c r="R2189" s="14" t="b">
        <f t="shared" si="1"/>
        <v>0</v>
      </c>
      <c r="S2189" s="14" t="str">
        <f t="shared" si="2"/>
        <v>43.651519,39.654664</v>
      </c>
      <c r="T2189" s="12"/>
    </row>
    <row r="2190">
      <c r="A2190" s="18" t="s">
        <v>14231</v>
      </c>
      <c r="B2190" s="8" t="s">
        <v>14232</v>
      </c>
      <c r="C2190" s="8" t="s">
        <v>14233</v>
      </c>
      <c r="D2190" s="8" t="s">
        <v>16</v>
      </c>
      <c r="E2190" s="19" t="s">
        <v>14234</v>
      </c>
      <c r="F2190" s="8" t="s">
        <v>12524</v>
      </c>
      <c r="G2190" s="8">
        <v>23.61</v>
      </c>
      <c r="H2190" s="8"/>
      <c r="I2190" s="27" t="s">
        <v>14235</v>
      </c>
      <c r="J2190" s="8" t="s">
        <v>14236</v>
      </c>
      <c r="K2190" s="8" t="s">
        <v>14237</v>
      </c>
      <c r="L2190" s="8"/>
      <c r="M2190" s="8"/>
      <c r="N2190" s="12"/>
      <c r="O2190" s="12"/>
      <c r="P2190" s="13">
        <f>IFERROR(__xludf.DUMMYFUNCTION("VALUE(SUBSTITUTE((INDEX(SPLIT(A2190,"",""),1)),""."","","",1))"),52.575657)</f>
        <v>52.575657</v>
      </c>
      <c r="Q2190" s="13">
        <f>IFERROR(__xludf.DUMMYFUNCTION("VALUE(SUBSTITUTE((INDEX(SPLIT(A2190,"",""),2)),""."","","",1))"),39.658311)</f>
        <v>39.658311</v>
      </c>
      <c r="R2190" s="14" t="b">
        <f t="shared" si="1"/>
        <v>0</v>
      </c>
      <c r="S2190" s="14" t="str">
        <f t="shared" si="2"/>
        <v>52.575657,39.658311</v>
      </c>
      <c r="T2190" s="12"/>
    </row>
    <row r="2191">
      <c r="A2191" s="20" t="s">
        <v>14231</v>
      </c>
      <c r="B2191" s="16" t="s">
        <v>14238</v>
      </c>
      <c r="C2191" s="16" t="s">
        <v>14239</v>
      </c>
      <c r="D2191" s="16" t="s">
        <v>16</v>
      </c>
      <c r="E2191" s="21" t="s">
        <v>14240</v>
      </c>
      <c r="F2191" s="22" t="s">
        <v>12524</v>
      </c>
      <c r="G2191" s="16">
        <v>23.61</v>
      </c>
      <c r="H2191" s="16"/>
      <c r="I2191" s="22"/>
      <c r="J2191" s="22" t="s">
        <v>14241</v>
      </c>
      <c r="K2191" s="22" t="s">
        <v>14242</v>
      </c>
      <c r="L2191" s="23" t="s">
        <v>14243</v>
      </c>
      <c r="M2191" s="23" t="s">
        <v>14244</v>
      </c>
      <c r="N2191" s="12"/>
      <c r="O2191" s="12"/>
      <c r="P2191" s="13">
        <f>IFERROR(__xludf.DUMMYFUNCTION("VALUE(SUBSTITUTE((INDEX(SPLIT(A2191,"",""),1)),""."","","",1))"),52.575657)</f>
        <v>52.575657</v>
      </c>
      <c r="Q2191" s="13">
        <f>IFERROR(__xludf.DUMMYFUNCTION("VALUE(SUBSTITUTE((INDEX(SPLIT(A2191,"",""),2)),""."","","",1))"),39.658311)</f>
        <v>39.658311</v>
      </c>
      <c r="R2191" s="14" t="b">
        <f t="shared" si="1"/>
        <v>0</v>
      </c>
      <c r="S2191" s="14" t="str">
        <f t="shared" si="2"/>
        <v>52.575657,39.658311</v>
      </c>
      <c r="T2191" s="12"/>
    </row>
    <row r="2192">
      <c r="A2192" s="7" t="s">
        <v>14231</v>
      </c>
      <c r="B2192" s="8" t="s">
        <v>14245</v>
      </c>
      <c r="C2192" s="8" t="s">
        <v>14246</v>
      </c>
      <c r="D2192" s="8" t="s">
        <v>16</v>
      </c>
      <c r="E2192" s="9" t="s">
        <v>14247</v>
      </c>
      <c r="F2192" s="10" t="s">
        <v>12524</v>
      </c>
      <c r="G2192" s="8">
        <v>23.61</v>
      </c>
      <c r="H2192" s="8"/>
      <c r="I2192" s="10"/>
      <c r="J2192" s="10" t="s">
        <v>14248</v>
      </c>
      <c r="K2192" s="10" t="s">
        <v>13984</v>
      </c>
      <c r="L2192" s="11" t="s">
        <v>14249</v>
      </c>
      <c r="M2192" s="10"/>
      <c r="N2192" s="12"/>
      <c r="O2192" s="12"/>
      <c r="P2192" s="13">
        <f>IFERROR(__xludf.DUMMYFUNCTION("VALUE(SUBSTITUTE((INDEX(SPLIT(A2192,"",""),1)),""."","","",1))"),52.575657)</f>
        <v>52.575657</v>
      </c>
      <c r="Q2192" s="13">
        <f>IFERROR(__xludf.DUMMYFUNCTION("VALUE(SUBSTITUTE((INDEX(SPLIT(A2192,"",""),2)),""."","","",1))"),39.658311)</f>
        <v>39.658311</v>
      </c>
      <c r="R2192" s="14" t="b">
        <f t="shared" si="1"/>
        <v>0</v>
      </c>
      <c r="S2192" s="14" t="str">
        <f t="shared" si="2"/>
        <v>52.575657,39.658311</v>
      </c>
      <c r="T2192" s="12"/>
    </row>
    <row r="2193">
      <c r="A2193" s="15" t="s">
        <v>14250</v>
      </c>
      <c r="B2193" s="16" t="s">
        <v>14251</v>
      </c>
      <c r="C2193" s="16" t="s">
        <v>14252</v>
      </c>
      <c r="D2193" s="16" t="s">
        <v>16</v>
      </c>
      <c r="E2193" s="17" t="s">
        <v>14253</v>
      </c>
      <c r="F2193" s="16" t="s">
        <v>12524</v>
      </c>
      <c r="G2193" s="16">
        <v>23.61</v>
      </c>
      <c r="H2193" s="16"/>
      <c r="I2193" s="16"/>
      <c r="J2193" s="16" t="s">
        <v>14254</v>
      </c>
      <c r="K2193" s="16" t="s">
        <v>14255</v>
      </c>
      <c r="L2193" s="16"/>
      <c r="M2193" s="16"/>
      <c r="N2193" s="12"/>
      <c r="O2193" s="12"/>
      <c r="P2193" s="13">
        <f>IFERROR(__xludf.DUMMYFUNCTION("VALUE(SUBSTITUTE((INDEX(SPLIT(A2193,"",""),1)),""."","","",1))"),52.589441)</f>
        <v>52.589441</v>
      </c>
      <c r="Q2193" s="13">
        <f>IFERROR(__xludf.DUMMYFUNCTION("VALUE(SUBSTITUTE((INDEX(SPLIT(A2193,"",""),2)),""."","","",1))"),39.659452)</f>
        <v>39.659452</v>
      </c>
      <c r="R2193" s="14" t="b">
        <f t="shared" si="1"/>
        <v>0</v>
      </c>
      <c r="S2193" s="14" t="str">
        <f t="shared" si="2"/>
        <v>52.589441,39.659452</v>
      </c>
      <c r="T2193" s="12"/>
    </row>
    <row r="2194">
      <c r="A2194" s="7" t="s">
        <v>14256</v>
      </c>
      <c r="B2194" s="8" t="s">
        <v>14257</v>
      </c>
      <c r="C2194" s="8" t="s">
        <v>14258</v>
      </c>
      <c r="D2194" s="8" t="s">
        <v>16</v>
      </c>
      <c r="E2194" s="9" t="s">
        <v>14259</v>
      </c>
      <c r="F2194" s="10" t="s">
        <v>12912</v>
      </c>
      <c r="G2194" s="8">
        <v>23.61</v>
      </c>
      <c r="H2194" s="8"/>
      <c r="I2194" s="10"/>
      <c r="J2194" s="10" t="s">
        <v>14260</v>
      </c>
      <c r="K2194" s="10" t="s">
        <v>14261</v>
      </c>
      <c r="L2194" s="11" t="s">
        <v>14262</v>
      </c>
      <c r="M2194" s="10"/>
      <c r="N2194" s="12"/>
      <c r="O2194" s="12"/>
      <c r="P2194" s="13">
        <f>IFERROR(__xludf.DUMMYFUNCTION("VALUE(SUBSTITUTE((INDEX(SPLIT(A2194,"",""),1)),""."","","",1))"),47.198762)</f>
        <v>47.198762</v>
      </c>
      <c r="Q2194" s="13">
        <f>IFERROR(__xludf.DUMMYFUNCTION("VALUE(SUBSTITUTE((INDEX(SPLIT(A2194,"",""),2)),""."","","",1))"),39.66026)</f>
        <v>39.66026</v>
      </c>
      <c r="R2194" s="14" t="b">
        <f t="shared" si="1"/>
        <v>0</v>
      </c>
      <c r="S2194" s="14" t="str">
        <f t="shared" si="2"/>
        <v>47.198762,39.66026</v>
      </c>
      <c r="T2194" s="12"/>
    </row>
    <row r="2195">
      <c r="A2195" s="15" t="s">
        <v>14263</v>
      </c>
      <c r="B2195" s="16" t="s">
        <v>14264</v>
      </c>
      <c r="C2195" s="16" t="s">
        <v>14265</v>
      </c>
      <c r="D2195" s="16" t="s">
        <v>16</v>
      </c>
      <c r="E2195" s="17" t="s">
        <v>14266</v>
      </c>
      <c r="F2195" s="16" t="s">
        <v>12912</v>
      </c>
      <c r="G2195" s="16">
        <v>23.61</v>
      </c>
      <c r="H2195" s="16"/>
      <c r="I2195" s="16"/>
      <c r="J2195" s="16" t="s">
        <v>14267</v>
      </c>
      <c r="K2195" s="16" t="s">
        <v>14268</v>
      </c>
      <c r="L2195" s="16"/>
      <c r="M2195" s="16"/>
      <c r="N2195" s="12"/>
      <c r="O2195" s="12"/>
      <c r="P2195" s="13">
        <f>IFERROR(__xludf.DUMMYFUNCTION("VALUE(SUBSTITUTE((INDEX(SPLIT(A2195,"",""),1)),""."","","",1))"),47.295032)</f>
        <v>47.295032</v>
      </c>
      <c r="Q2195" s="13">
        <f>IFERROR(__xludf.DUMMYFUNCTION("VALUE(SUBSTITUTE((INDEX(SPLIT(A2195,"",""),2)),""."","","",1))"),39.667231)</f>
        <v>39.667231</v>
      </c>
      <c r="R2195" s="14" t="b">
        <f t="shared" si="1"/>
        <v>0</v>
      </c>
      <c r="S2195" s="14" t="str">
        <f t="shared" si="2"/>
        <v>47.295032,39.667231</v>
      </c>
      <c r="T2195" s="12"/>
    </row>
    <row r="2196">
      <c r="A2196" s="7" t="s">
        <v>14269</v>
      </c>
      <c r="B2196" s="8" t="s">
        <v>9600</v>
      </c>
      <c r="C2196" s="8" t="s">
        <v>9601</v>
      </c>
      <c r="D2196" s="8" t="s">
        <v>16</v>
      </c>
      <c r="E2196" s="9" t="s">
        <v>14270</v>
      </c>
      <c r="F2196" s="10" t="s">
        <v>10045</v>
      </c>
      <c r="G2196" s="8">
        <v>23.61</v>
      </c>
      <c r="H2196" s="8"/>
      <c r="I2196" s="10"/>
      <c r="J2196" s="10" t="s">
        <v>14271</v>
      </c>
      <c r="K2196" s="10" t="s">
        <v>14272</v>
      </c>
      <c r="L2196" s="11" t="s">
        <v>14273</v>
      </c>
      <c r="M2196" s="10"/>
      <c r="N2196" s="12"/>
      <c r="O2196" s="12"/>
      <c r="P2196" s="13">
        <f>IFERROR(__xludf.DUMMYFUNCTION("VALUE(SUBSTITUTE((INDEX(SPLIT(A2196,"",""),1)),""."","","",1))"),44.4122)</f>
        <v>44.4122</v>
      </c>
      <c r="Q2196" s="13">
        <f>IFERROR(__xludf.DUMMYFUNCTION("VALUE(SUBSTITUTE((INDEX(SPLIT(A2196,"",""),2)),""."","","",1))"),39.667609)</f>
        <v>39.667609</v>
      </c>
      <c r="R2196" s="14" t="b">
        <f t="shared" si="1"/>
        <v>0</v>
      </c>
      <c r="S2196" s="14" t="str">
        <f t="shared" si="2"/>
        <v>44.4122,39.667609</v>
      </c>
      <c r="T2196" s="12"/>
    </row>
    <row r="2197">
      <c r="A2197" s="20" t="s">
        <v>14274</v>
      </c>
      <c r="B2197" s="16" t="s">
        <v>11646</v>
      </c>
      <c r="C2197" s="16" t="s">
        <v>11647</v>
      </c>
      <c r="D2197" s="16" t="s">
        <v>16</v>
      </c>
      <c r="E2197" s="21" t="s">
        <v>14275</v>
      </c>
      <c r="F2197" s="22" t="s">
        <v>13359</v>
      </c>
      <c r="G2197" s="16">
        <v>23.61</v>
      </c>
      <c r="H2197" s="16"/>
      <c r="I2197" s="22"/>
      <c r="J2197" s="22" t="s">
        <v>14276</v>
      </c>
      <c r="K2197" s="22" t="s">
        <v>14277</v>
      </c>
      <c r="L2197" s="23" t="s">
        <v>14278</v>
      </c>
      <c r="M2197" s="22"/>
      <c r="N2197" s="12"/>
      <c r="O2197" s="12"/>
      <c r="P2197" s="13">
        <f>IFERROR(__xludf.DUMMYFUNCTION("VALUE(SUBSTITUTE((INDEX(SPLIT(A2197,"",""),1)),""."","","",1))"),54.664229)</f>
        <v>54.664229</v>
      </c>
      <c r="Q2197" s="13">
        <f>IFERROR(__xludf.DUMMYFUNCTION("VALUE(SUBSTITUTE((INDEX(SPLIT(A2197,"",""),2)),""."","","",1))"),39.667914)</f>
        <v>39.667914</v>
      </c>
      <c r="R2197" s="14" t="b">
        <f t="shared" si="1"/>
        <v>0</v>
      </c>
      <c r="S2197" s="14" t="str">
        <f t="shared" si="2"/>
        <v>54.664229,39.667914</v>
      </c>
      <c r="T2197" s="12"/>
    </row>
    <row r="2198">
      <c r="A2198" s="7" t="s">
        <v>14279</v>
      </c>
      <c r="B2198" s="8" t="s">
        <v>14280</v>
      </c>
      <c r="C2198" s="8" t="s">
        <v>14281</v>
      </c>
      <c r="D2198" s="8" t="s">
        <v>16</v>
      </c>
      <c r="E2198" s="9" t="s">
        <v>14282</v>
      </c>
      <c r="F2198" s="10" t="s">
        <v>12912</v>
      </c>
      <c r="G2198" s="8">
        <v>23.61</v>
      </c>
      <c r="H2198" s="8"/>
      <c r="I2198" s="10"/>
      <c r="J2198" s="10" t="s">
        <v>14283</v>
      </c>
      <c r="K2198" s="10" t="s">
        <v>14284</v>
      </c>
      <c r="L2198" s="11" t="s">
        <v>14285</v>
      </c>
      <c r="M2198" s="11" t="s">
        <v>14286</v>
      </c>
      <c r="N2198" s="12"/>
      <c r="O2198" s="12"/>
      <c r="P2198" s="13">
        <f>IFERROR(__xludf.DUMMYFUNCTION("VALUE(SUBSTITUTE((INDEX(SPLIT(A2198,"",""),1)),""."","","",1))"),47.263335)</f>
        <v>47.263335</v>
      </c>
      <c r="Q2198" s="13">
        <f>IFERROR(__xludf.DUMMYFUNCTION("VALUE(SUBSTITUTE((INDEX(SPLIT(A2198,"",""),2)),""."","","",1))"),39.668794)</f>
        <v>39.668794</v>
      </c>
      <c r="R2198" s="14" t="b">
        <f t="shared" si="1"/>
        <v>0</v>
      </c>
      <c r="S2198" s="14" t="str">
        <f t="shared" si="2"/>
        <v>47.263335,39.668794</v>
      </c>
      <c r="T2198" s="12"/>
    </row>
    <row r="2199">
      <c r="A2199" s="15" t="s">
        <v>14287</v>
      </c>
      <c r="B2199" s="16" t="s">
        <v>14288</v>
      </c>
      <c r="C2199" s="16" t="s">
        <v>14289</v>
      </c>
      <c r="D2199" s="16" t="s">
        <v>16</v>
      </c>
      <c r="E2199" s="17" t="s">
        <v>14290</v>
      </c>
      <c r="F2199" s="16" t="s">
        <v>12524</v>
      </c>
      <c r="G2199" s="16">
        <v>23.61</v>
      </c>
      <c r="H2199" s="16"/>
      <c r="I2199" s="16"/>
      <c r="J2199" s="16" t="s">
        <v>14291</v>
      </c>
      <c r="K2199" s="16" t="s">
        <v>14292</v>
      </c>
      <c r="L2199" s="16"/>
      <c r="M2199" s="25" t="s">
        <v>14293</v>
      </c>
      <c r="N2199" s="12"/>
      <c r="O2199" s="12"/>
      <c r="P2199" s="13">
        <f>IFERROR(__xludf.DUMMYFUNCTION("VALUE(SUBSTITUTE((INDEX(SPLIT(A2199,"",""),1)),""."","","",1))"),52.571443)</f>
        <v>52.571443</v>
      </c>
      <c r="Q2199" s="13">
        <f>IFERROR(__xludf.DUMMYFUNCTION("VALUE(SUBSTITUTE((INDEX(SPLIT(A2199,"",""),2)),""."","","",1))"),39.670061)</f>
        <v>39.670061</v>
      </c>
      <c r="R2199" s="14" t="b">
        <f t="shared" si="1"/>
        <v>0</v>
      </c>
      <c r="S2199" s="14" t="str">
        <f t="shared" si="2"/>
        <v>52.571443,39.670061</v>
      </c>
      <c r="T2199" s="12"/>
    </row>
    <row r="2200">
      <c r="A2200" s="18" t="s">
        <v>14294</v>
      </c>
      <c r="B2200" s="8" t="s">
        <v>14295</v>
      </c>
      <c r="C2200" s="8" t="s">
        <v>14296</v>
      </c>
      <c r="D2200" s="8" t="s">
        <v>16</v>
      </c>
      <c r="E2200" s="19" t="s">
        <v>14297</v>
      </c>
      <c r="F2200" s="8" t="s">
        <v>12912</v>
      </c>
      <c r="G2200" s="8">
        <v>23.61</v>
      </c>
      <c r="H2200" s="8"/>
      <c r="I2200" s="8"/>
      <c r="J2200" s="8" t="s">
        <v>14298</v>
      </c>
      <c r="K2200" s="8" t="s">
        <v>14299</v>
      </c>
      <c r="L2200" s="8"/>
      <c r="M2200" s="8"/>
      <c r="N2200" s="12"/>
      <c r="O2200" s="12"/>
      <c r="P2200" s="13">
        <f>IFERROR(__xludf.DUMMYFUNCTION("VALUE(SUBSTITUTE((INDEX(SPLIT(A2200,"",""),1)),""."","","",1))"),47.386606)</f>
        <v>47.386606</v>
      </c>
      <c r="Q2200" s="13">
        <f>IFERROR(__xludf.DUMMYFUNCTION("VALUE(SUBSTITUTE((INDEX(SPLIT(A2200,"",""),2)),""."","","",1))"),39.670214)</f>
        <v>39.670214</v>
      </c>
      <c r="R2200" s="14" t="b">
        <f t="shared" si="1"/>
        <v>0</v>
      </c>
      <c r="S2200" s="14" t="str">
        <f t="shared" si="2"/>
        <v>47.386606,39.670214</v>
      </c>
      <c r="T2200" s="12"/>
    </row>
    <row r="2201">
      <c r="A2201" s="20" t="s">
        <v>14300</v>
      </c>
      <c r="B2201" s="16" t="s">
        <v>14301</v>
      </c>
      <c r="C2201" s="16" t="s">
        <v>14302</v>
      </c>
      <c r="D2201" s="16" t="s">
        <v>16</v>
      </c>
      <c r="E2201" s="21" t="s">
        <v>14303</v>
      </c>
      <c r="F2201" s="22" t="s">
        <v>11562</v>
      </c>
      <c r="G2201" s="16">
        <v>23.61</v>
      </c>
      <c r="H2201" s="16"/>
      <c r="I2201" s="22"/>
      <c r="J2201" s="22" t="s">
        <v>14304</v>
      </c>
      <c r="K2201" s="22" t="s">
        <v>14305</v>
      </c>
      <c r="L2201" s="23" t="s">
        <v>14306</v>
      </c>
      <c r="M2201" s="23" t="s">
        <v>14307</v>
      </c>
      <c r="N2201" s="12"/>
      <c r="O2201" s="12"/>
      <c r="P2201" s="13">
        <f>IFERROR(__xludf.DUMMYFUNCTION("VALUE(SUBSTITUTE((INDEX(SPLIT(A2201,"",""),1)),""."","","",1))"),59.288368)</f>
        <v>59.288368</v>
      </c>
      <c r="Q2201" s="13">
        <f>IFERROR(__xludf.DUMMYFUNCTION("VALUE(SUBSTITUTE((INDEX(SPLIT(A2201,"",""),2)),""."","","",1))"),39.675711)</f>
        <v>39.675711</v>
      </c>
      <c r="R2201" s="14" t="b">
        <f t="shared" si="1"/>
        <v>0</v>
      </c>
      <c r="S2201" s="14" t="str">
        <f t="shared" si="2"/>
        <v>59.288368,39.675711</v>
      </c>
      <c r="T2201" s="12"/>
    </row>
    <row r="2202">
      <c r="A2202" s="7" t="s">
        <v>14308</v>
      </c>
      <c r="B2202" s="8" t="s">
        <v>14309</v>
      </c>
      <c r="C2202" s="8" t="s">
        <v>14310</v>
      </c>
      <c r="D2202" s="8" t="s">
        <v>16</v>
      </c>
      <c r="E2202" s="9" t="s">
        <v>14311</v>
      </c>
      <c r="F2202" s="10" t="s">
        <v>13359</v>
      </c>
      <c r="G2202" s="8">
        <v>23.61</v>
      </c>
      <c r="H2202" s="8"/>
      <c r="I2202" s="10"/>
      <c r="J2202" s="10" t="s">
        <v>14312</v>
      </c>
      <c r="K2202" s="10" t="s">
        <v>14313</v>
      </c>
      <c r="L2202" s="29" t="s">
        <v>14314</v>
      </c>
      <c r="M2202" s="10"/>
      <c r="N2202" s="12"/>
      <c r="O2202" s="12"/>
      <c r="P2202" s="13">
        <f>IFERROR(__xludf.DUMMYFUNCTION("VALUE(SUBSTITUTE((INDEX(SPLIT(A2202,"",""),1)),""."","","",1))"),54.646453)</f>
        <v>54.646453</v>
      </c>
      <c r="Q2202" s="13">
        <f>IFERROR(__xludf.DUMMYFUNCTION("VALUE(SUBSTITUTE((INDEX(SPLIT(A2202,"",""),2)),""."","","",1))"),39.678622)</f>
        <v>39.678622</v>
      </c>
      <c r="R2202" s="14" t="b">
        <f t="shared" si="1"/>
        <v>0</v>
      </c>
      <c r="S2202" s="14" t="str">
        <f t="shared" si="2"/>
        <v>54.646453,39.678622</v>
      </c>
      <c r="T2202" s="12"/>
    </row>
    <row r="2203">
      <c r="A2203" s="20" t="s">
        <v>14315</v>
      </c>
      <c r="B2203" s="16" t="s">
        <v>14316</v>
      </c>
      <c r="C2203" s="16" t="s">
        <v>14317</v>
      </c>
      <c r="D2203" s="16" t="s">
        <v>16</v>
      </c>
      <c r="E2203" s="21" t="s">
        <v>14318</v>
      </c>
      <c r="F2203" s="22" t="s">
        <v>8566</v>
      </c>
      <c r="G2203" s="16">
        <v>23.61</v>
      </c>
      <c r="H2203" s="16"/>
      <c r="I2203" s="22"/>
      <c r="J2203" s="22" t="s">
        <v>14319</v>
      </c>
      <c r="K2203" s="22" t="s">
        <v>14320</v>
      </c>
      <c r="L2203" s="23" t="s">
        <v>14321</v>
      </c>
      <c r="M2203" s="23" t="s">
        <v>14322</v>
      </c>
      <c r="N2203" s="12"/>
      <c r="O2203" s="12"/>
      <c r="P2203" s="13">
        <f>IFERROR(__xludf.DUMMYFUNCTION("VALUE(SUBSTITUTE((INDEX(SPLIT(A2203,"",""),1)),""."","","",1))"),43.684756)</f>
        <v>43.684756</v>
      </c>
      <c r="Q2203" s="13">
        <f>IFERROR(__xludf.DUMMYFUNCTION("VALUE(SUBSTITUTE((INDEX(SPLIT(A2203,"",""),2)),""."","","",1))"),39.67961)</f>
        <v>39.67961</v>
      </c>
      <c r="R2203" s="14" t="b">
        <f t="shared" si="1"/>
        <v>0</v>
      </c>
      <c r="S2203" s="14" t="str">
        <f t="shared" si="2"/>
        <v>43.684756,39.67961</v>
      </c>
      <c r="T2203" s="12"/>
    </row>
    <row r="2204">
      <c r="A2204" s="7" t="s">
        <v>14323</v>
      </c>
      <c r="B2204" s="8" t="s">
        <v>14324</v>
      </c>
      <c r="C2204" s="8" t="s">
        <v>14325</v>
      </c>
      <c r="D2204" s="8" t="s">
        <v>16</v>
      </c>
      <c r="E2204" s="9" t="s">
        <v>14326</v>
      </c>
      <c r="F2204" s="10" t="s">
        <v>12912</v>
      </c>
      <c r="G2204" s="8">
        <v>23.61</v>
      </c>
      <c r="H2204" s="8"/>
      <c r="I2204" s="10"/>
      <c r="J2204" s="10" t="s">
        <v>14327</v>
      </c>
      <c r="K2204" s="10" t="s">
        <v>4038</v>
      </c>
      <c r="L2204" s="11" t="s">
        <v>14328</v>
      </c>
      <c r="M2204" s="10"/>
      <c r="N2204" s="12"/>
      <c r="O2204" s="12"/>
      <c r="P2204" s="13">
        <f>IFERROR(__xludf.DUMMYFUNCTION("VALUE(SUBSTITUTE((INDEX(SPLIT(A2204,"",""),1)),""."","","",1))"),47.275093)</f>
        <v>47.275093</v>
      </c>
      <c r="Q2204" s="13">
        <f>IFERROR(__xludf.DUMMYFUNCTION("VALUE(SUBSTITUTE((INDEX(SPLIT(A2204,"",""),2)),""."","","",1))"),39.689564)</f>
        <v>39.689564</v>
      </c>
      <c r="R2204" s="14" t="b">
        <f t="shared" si="1"/>
        <v>0</v>
      </c>
      <c r="S2204" s="14" t="str">
        <f t="shared" si="2"/>
        <v>47.275093,39.689564</v>
      </c>
      <c r="T2204" s="12"/>
    </row>
    <row r="2205">
      <c r="A2205" s="15" t="s">
        <v>14329</v>
      </c>
      <c r="B2205" s="16" t="s">
        <v>14330</v>
      </c>
      <c r="C2205" s="16" t="s">
        <v>14331</v>
      </c>
      <c r="D2205" s="16" t="s">
        <v>16</v>
      </c>
      <c r="E2205" s="17" t="s">
        <v>14332</v>
      </c>
      <c r="F2205" s="16" t="s">
        <v>8566</v>
      </c>
      <c r="G2205" s="16">
        <v>23.61</v>
      </c>
      <c r="H2205" s="16"/>
      <c r="I2205" s="16"/>
      <c r="J2205" s="16" t="s">
        <v>14333</v>
      </c>
      <c r="K2205" s="16" t="s">
        <v>14334</v>
      </c>
      <c r="L2205" s="16"/>
      <c r="M2205" s="16"/>
      <c r="N2205" s="12"/>
      <c r="O2205" s="12"/>
      <c r="P2205" s="13">
        <f>IFERROR(__xludf.DUMMYFUNCTION("VALUE(SUBSTITUTE((INDEX(SPLIT(A2205,"",""),1)),""."","","",1))"),45.221415)</f>
        <v>45.221415</v>
      </c>
      <c r="Q2205" s="13">
        <f>IFERROR(__xludf.DUMMYFUNCTION("VALUE(SUBSTITUTE((INDEX(SPLIT(A2205,"",""),2)),""."","","",1))"),39.691737)</f>
        <v>39.691737</v>
      </c>
      <c r="R2205" s="14" t="b">
        <f t="shared" si="1"/>
        <v>0</v>
      </c>
      <c r="S2205" s="14" t="str">
        <f t="shared" si="2"/>
        <v>45.221415,39.691737</v>
      </c>
      <c r="T2205" s="12"/>
    </row>
    <row r="2206">
      <c r="A2206" s="18" t="s">
        <v>14335</v>
      </c>
      <c r="B2206" s="8" t="s">
        <v>14336</v>
      </c>
      <c r="C2206" s="8" t="s">
        <v>14337</v>
      </c>
      <c r="D2206" s="8" t="s">
        <v>16</v>
      </c>
      <c r="E2206" s="19" t="s">
        <v>14338</v>
      </c>
      <c r="F2206" s="8" t="s">
        <v>12912</v>
      </c>
      <c r="G2206" s="8">
        <v>23.61</v>
      </c>
      <c r="H2206" s="8"/>
      <c r="I2206" s="8"/>
      <c r="J2206" s="8" t="s">
        <v>14339</v>
      </c>
      <c r="K2206" s="8" t="s">
        <v>14340</v>
      </c>
      <c r="L2206" s="8"/>
      <c r="M2206" s="8"/>
      <c r="N2206" s="12"/>
      <c r="O2206" s="12"/>
      <c r="P2206" s="13">
        <f>IFERROR(__xludf.DUMMYFUNCTION("VALUE(SUBSTITUTE((INDEX(SPLIT(A2206,"",""),1)),""."","","",1))"),47.245947)</f>
        <v>47.245947</v>
      </c>
      <c r="Q2206" s="13">
        <f>IFERROR(__xludf.DUMMYFUNCTION("VALUE(SUBSTITUTE((INDEX(SPLIT(A2206,"",""),2)),""."","","",1))"),39.692995)</f>
        <v>39.692995</v>
      </c>
      <c r="R2206" s="14" t="b">
        <f t="shared" si="1"/>
        <v>0</v>
      </c>
      <c r="S2206" s="14" t="str">
        <f t="shared" si="2"/>
        <v>47.245947,39.692995</v>
      </c>
      <c r="T2206" s="12"/>
    </row>
    <row r="2207">
      <c r="A2207" s="20" t="s">
        <v>14341</v>
      </c>
      <c r="B2207" s="16" t="s">
        <v>14342</v>
      </c>
      <c r="C2207" s="16" t="s">
        <v>14343</v>
      </c>
      <c r="D2207" s="16" t="s">
        <v>16</v>
      </c>
      <c r="E2207" s="21" t="s">
        <v>14344</v>
      </c>
      <c r="F2207" s="22" t="s">
        <v>12912</v>
      </c>
      <c r="G2207" s="16">
        <v>23.61</v>
      </c>
      <c r="H2207" s="16"/>
      <c r="I2207" s="22"/>
      <c r="J2207" s="22" t="s">
        <v>14345</v>
      </c>
      <c r="K2207" s="22" t="s">
        <v>14346</v>
      </c>
      <c r="L2207" s="30" t="s">
        <v>14347</v>
      </c>
      <c r="M2207" s="22"/>
      <c r="N2207" s="12"/>
      <c r="O2207" s="12"/>
      <c r="P2207" s="13">
        <f>IFERROR(__xludf.DUMMYFUNCTION("VALUE(SUBSTITUTE((INDEX(SPLIT(A2207,"",""),1)),""."","","",1))"),47.272984)</f>
        <v>47.272984</v>
      </c>
      <c r="Q2207" s="13">
        <f>IFERROR(__xludf.DUMMYFUNCTION("VALUE(SUBSTITUTE((INDEX(SPLIT(A2207,"",""),2)),""."","","",1))"),39.693301)</f>
        <v>39.693301</v>
      </c>
      <c r="R2207" s="14" t="b">
        <f t="shared" si="1"/>
        <v>0</v>
      </c>
      <c r="S2207" s="14" t="str">
        <f t="shared" si="2"/>
        <v>47.272984,39.693301</v>
      </c>
      <c r="T2207" s="12"/>
    </row>
    <row r="2208">
      <c r="A2208" s="18" t="s">
        <v>14348</v>
      </c>
      <c r="B2208" s="8" t="s">
        <v>14349</v>
      </c>
      <c r="C2208" s="8" t="s">
        <v>14350</v>
      </c>
      <c r="D2208" s="8" t="s">
        <v>16</v>
      </c>
      <c r="E2208" s="19" t="s">
        <v>14351</v>
      </c>
      <c r="F2208" s="8" t="s">
        <v>13359</v>
      </c>
      <c r="G2208" s="8">
        <v>23.61</v>
      </c>
      <c r="H2208" s="8"/>
      <c r="I2208" s="8"/>
      <c r="J2208" s="8" t="s">
        <v>14352</v>
      </c>
      <c r="K2208" s="8" t="s">
        <v>14353</v>
      </c>
      <c r="L2208" s="8"/>
      <c r="M2208" s="8"/>
      <c r="N2208" s="12"/>
      <c r="O2208" s="12"/>
      <c r="P2208" s="13">
        <f>IFERROR(__xludf.DUMMYFUNCTION("VALUE(SUBSTITUTE((INDEX(SPLIT(A2208,"",""),1)),""."","","",1))"),54.620902)</f>
        <v>54.620902</v>
      </c>
      <c r="Q2208" s="13">
        <f>IFERROR(__xludf.DUMMYFUNCTION("VALUE(SUBSTITUTE((INDEX(SPLIT(A2208,"",""),2)),""."","","",1))"),39.694361)</f>
        <v>39.694361</v>
      </c>
      <c r="R2208" s="14" t="b">
        <f t="shared" si="1"/>
        <v>0</v>
      </c>
      <c r="S2208" s="14" t="str">
        <f t="shared" si="2"/>
        <v>54.620902,39.694361</v>
      </c>
      <c r="T2208" s="12"/>
    </row>
    <row r="2209">
      <c r="A2209" s="20" t="s">
        <v>14354</v>
      </c>
      <c r="B2209" s="16" t="s">
        <v>14355</v>
      </c>
      <c r="C2209" s="16" t="s">
        <v>14356</v>
      </c>
      <c r="D2209" s="16" t="s">
        <v>16</v>
      </c>
      <c r="E2209" s="21" t="s">
        <v>14357</v>
      </c>
      <c r="F2209" s="22" t="s">
        <v>12912</v>
      </c>
      <c r="G2209" s="16">
        <v>23.61</v>
      </c>
      <c r="H2209" s="16"/>
      <c r="I2209" s="22"/>
      <c r="J2209" s="22" t="s">
        <v>14358</v>
      </c>
      <c r="K2209" s="22" t="s">
        <v>14359</v>
      </c>
      <c r="L2209" s="23" t="s">
        <v>14360</v>
      </c>
      <c r="M2209" s="23" t="s">
        <v>14361</v>
      </c>
      <c r="N2209" s="12"/>
      <c r="O2209" s="12"/>
      <c r="P2209" s="13">
        <f>IFERROR(__xludf.DUMMYFUNCTION("VALUE(SUBSTITUTE((INDEX(SPLIT(A2209,"",""),1)),""."","","",1))"),47.26668)</f>
        <v>47.26668</v>
      </c>
      <c r="Q2209" s="13">
        <f>IFERROR(__xludf.DUMMYFUNCTION("VALUE(SUBSTITUTE((INDEX(SPLIT(A2209,"",""),2)),""."","","",1))"),39.695187)</f>
        <v>39.695187</v>
      </c>
      <c r="R2209" s="14" t="b">
        <f t="shared" si="1"/>
        <v>0</v>
      </c>
      <c r="S2209" s="14" t="str">
        <f t="shared" si="2"/>
        <v>47.26668,39.695187</v>
      </c>
      <c r="T2209" s="12"/>
    </row>
    <row r="2210">
      <c r="A2210" s="7" t="s">
        <v>14362</v>
      </c>
      <c r="B2210" s="8" t="s">
        <v>5568</v>
      </c>
      <c r="C2210" s="8" t="s">
        <v>5569</v>
      </c>
      <c r="D2210" s="8" t="s">
        <v>16</v>
      </c>
      <c r="E2210" s="9" t="s">
        <v>14363</v>
      </c>
      <c r="F2210" s="10" t="s">
        <v>12912</v>
      </c>
      <c r="G2210" s="8">
        <v>23.61</v>
      </c>
      <c r="H2210" s="8"/>
      <c r="I2210" s="10"/>
      <c r="J2210" s="10" t="s">
        <v>14364</v>
      </c>
      <c r="K2210" s="10" t="s">
        <v>14365</v>
      </c>
      <c r="L2210" s="29" t="s">
        <v>14366</v>
      </c>
      <c r="M2210" s="10"/>
      <c r="N2210" s="12"/>
      <c r="O2210" s="12"/>
      <c r="P2210" s="13">
        <f>IFERROR(__xludf.DUMMYFUNCTION("VALUE(SUBSTITUTE((INDEX(SPLIT(A2210,"",""),1)),""."","","",1))"),47.299799)</f>
        <v>47.299799</v>
      </c>
      <c r="Q2210" s="13">
        <f>IFERROR(__xludf.DUMMYFUNCTION("VALUE(SUBSTITUTE((INDEX(SPLIT(A2210,"",""),2)),""."","","",1))"),39.699903)</f>
        <v>39.699903</v>
      </c>
      <c r="R2210" s="14" t="b">
        <f t="shared" si="1"/>
        <v>0</v>
      </c>
      <c r="S2210" s="14" t="str">
        <f t="shared" si="2"/>
        <v>47.299799,39.699903</v>
      </c>
      <c r="T2210" s="12"/>
    </row>
    <row r="2211">
      <c r="A2211" s="15" t="s">
        <v>14367</v>
      </c>
      <c r="B2211" s="16" t="s">
        <v>14368</v>
      </c>
      <c r="C2211" s="16" t="s">
        <v>14369</v>
      </c>
      <c r="D2211" s="16" t="s">
        <v>16</v>
      </c>
      <c r="E2211" s="17" t="s">
        <v>14370</v>
      </c>
      <c r="F2211" s="16" t="s">
        <v>12912</v>
      </c>
      <c r="G2211" s="16">
        <v>23.61</v>
      </c>
      <c r="H2211" s="16"/>
      <c r="I2211" s="16"/>
      <c r="J2211" s="16" t="s">
        <v>14371</v>
      </c>
      <c r="K2211" s="16" t="s">
        <v>14372</v>
      </c>
      <c r="L2211" s="16"/>
      <c r="M2211" s="16"/>
      <c r="N2211" s="12"/>
      <c r="O2211" s="12"/>
      <c r="P2211" s="13">
        <f>IFERROR(__xludf.DUMMYFUNCTION("VALUE(SUBSTITUTE((INDEX(SPLIT(A2211,"",""),1)),""."","","",1))"),47.238556)</f>
        <v>47.238556</v>
      </c>
      <c r="Q2211" s="13">
        <f>IFERROR(__xludf.DUMMYFUNCTION("VALUE(SUBSTITUTE((INDEX(SPLIT(A2211,"",""),2)),""."","","",1))"),39.704215)</f>
        <v>39.704215</v>
      </c>
      <c r="R2211" s="14" t="b">
        <f t="shared" si="1"/>
        <v>0</v>
      </c>
      <c r="S2211" s="14" t="str">
        <f t="shared" si="2"/>
        <v>47.238556,39.704215</v>
      </c>
      <c r="T2211" s="12"/>
    </row>
    <row r="2212">
      <c r="A2212" s="7" t="s">
        <v>14373</v>
      </c>
      <c r="B2212" s="8" t="s">
        <v>14374</v>
      </c>
      <c r="C2212" s="8" t="s">
        <v>14375</v>
      </c>
      <c r="D2212" s="8" t="s">
        <v>16</v>
      </c>
      <c r="E2212" s="9" t="s">
        <v>14376</v>
      </c>
      <c r="F2212" s="10" t="s">
        <v>12912</v>
      </c>
      <c r="G2212" s="8">
        <v>23.61</v>
      </c>
      <c r="H2212" s="8"/>
      <c r="I2212" s="10"/>
      <c r="J2212" s="10" t="s">
        <v>14377</v>
      </c>
      <c r="K2212" s="10" t="s">
        <v>14378</v>
      </c>
      <c r="L2212" s="11" t="s">
        <v>14379</v>
      </c>
      <c r="M2212" s="11" t="s">
        <v>14380</v>
      </c>
      <c r="N2212" s="12"/>
      <c r="O2212" s="12"/>
      <c r="P2212" s="13">
        <f>IFERROR(__xludf.DUMMYFUNCTION("VALUE(SUBSTITUTE((INDEX(SPLIT(A2212,"",""),1)),""."","","",1))"),47.234892)</f>
        <v>47.234892</v>
      </c>
      <c r="Q2212" s="13">
        <f>IFERROR(__xludf.DUMMYFUNCTION("VALUE(SUBSTITUTE((INDEX(SPLIT(A2212,"",""),2)),""."","","",1))"),39.704529)</f>
        <v>39.704529</v>
      </c>
      <c r="R2212" s="14" t="b">
        <f t="shared" si="1"/>
        <v>0</v>
      </c>
      <c r="S2212" s="14" t="str">
        <f t="shared" si="2"/>
        <v>47.234892,39.704529</v>
      </c>
      <c r="T2212" s="12"/>
    </row>
    <row r="2213">
      <c r="A2213" s="15" t="s">
        <v>14381</v>
      </c>
      <c r="B2213" s="16" t="s">
        <v>14382</v>
      </c>
      <c r="C2213" s="16" t="s">
        <v>14383</v>
      </c>
      <c r="D2213" s="16" t="s">
        <v>16</v>
      </c>
      <c r="E2213" s="17" t="s">
        <v>14384</v>
      </c>
      <c r="F2213" s="16" t="s">
        <v>12912</v>
      </c>
      <c r="G2213" s="16">
        <v>23.61</v>
      </c>
      <c r="H2213" s="16"/>
      <c r="I2213" s="16"/>
      <c r="J2213" s="16" t="s">
        <v>14385</v>
      </c>
      <c r="K2213" s="16" t="s">
        <v>14386</v>
      </c>
      <c r="L2213" s="16"/>
      <c r="M2213" s="25" t="s">
        <v>14387</v>
      </c>
      <c r="N2213" s="12"/>
      <c r="O2213" s="12"/>
      <c r="P2213" s="13">
        <f>IFERROR(__xludf.DUMMYFUNCTION("VALUE(SUBSTITUTE((INDEX(SPLIT(A2213,"",""),1)),""."","","",1))"),47.225842)</f>
        <v>47.225842</v>
      </c>
      <c r="Q2213" s="13">
        <f>IFERROR(__xludf.DUMMYFUNCTION("VALUE(SUBSTITUTE((INDEX(SPLIT(A2213,"",""),2)),""."","","",1))"),39.705518)</f>
        <v>39.705518</v>
      </c>
      <c r="R2213" s="14" t="b">
        <f t="shared" si="1"/>
        <v>0</v>
      </c>
      <c r="S2213" s="14" t="str">
        <f t="shared" si="2"/>
        <v>47.225842,39.705518</v>
      </c>
      <c r="T2213" s="12"/>
    </row>
    <row r="2214">
      <c r="A2214" s="7" t="s">
        <v>14388</v>
      </c>
      <c r="B2214" s="8" t="s">
        <v>14389</v>
      </c>
      <c r="C2214" s="8" t="s">
        <v>14390</v>
      </c>
      <c r="D2214" s="8" t="s">
        <v>16</v>
      </c>
      <c r="E2214" s="9" t="s">
        <v>14391</v>
      </c>
      <c r="F2214" s="10" t="s">
        <v>12912</v>
      </c>
      <c r="G2214" s="8">
        <v>23.61</v>
      </c>
      <c r="H2214" s="8"/>
      <c r="I2214" s="10"/>
      <c r="J2214" s="10" t="s">
        <v>14392</v>
      </c>
      <c r="K2214" s="10" t="s">
        <v>14393</v>
      </c>
      <c r="L2214" s="29" t="s">
        <v>14394</v>
      </c>
      <c r="M2214" s="10"/>
      <c r="N2214" s="12"/>
      <c r="O2214" s="12"/>
      <c r="P2214" s="13">
        <f>IFERROR(__xludf.DUMMYFUNCTION("VALUE(SUBSTITUTE((INDEX(SPLIT(A2214,"",""),1)),""."","","",1))"),47.236562)</f>
        <v>47.236562</v>
      </c>
      <c r="Q2214" s="13">
        <f>IFERROR(__xludf.DUMMYFUNCTION("VALUE(SUBSTITUTE((INDEX(SPLIT(A2214,"",""),2)),""."","","",1))"),39.706146)</f>
        <v>39.706146</v>
      </c>
      <c r="R2214" s="14" t="b">
        <f t="shared" si="1"/>
        <v>0</v>
      </c>
      <c r="S2214" s="14" t="str">
        <f t="shared" si="2"/>
        <v>47.236562,39.706146</v>
      </c>
      <c r="T2214" s="12"/>
    </row>
    <row r="2215">
      <c r="A2215" s="20" t="s">
        <v>14395</v>
      </c>
      <c r="B2215" s="16" t="s">
        <v>14396</v>
      </c>
      <c r="C2215" s="16" t="s">
        <v>14397</v>
      </c>
      <c r="D2215" s="16" t="s">
        <v>16</v>
      </c>
      <c r="E2215" s="21" t="s">
        <v>14398</v>
      </c>
      <c r="F2215" s="22" t="s">
        <v>12912</v>
      </c>
      <c r="G2215" s="16">
        <v>23.61</v>
      </c>
      <c r="H2215" s="16"/>
      <c r="I2215" s="22"/>
      <c r="J2215" s="22" t="s">
        <v>14399</v>
      </c>
      <c r="K2215" s="22" t="s">
        <v>14400</v>
      </c>
      <c r="L2215" s="23" t="s">
        <v>14401</v>
      </c>
      <c r="M2215" s="22"/>
      <c r="N2215" s="12"/>
      <c r="O2215" s="12"/>
      <c r="P2215" s="13">
        <f>IFERROR(__xludf.DUMMYFUNCTION("VALUE(SUBSTITUTE((INDEX(SPLIT(A2215,"",""),1)),""."","","",1))"),47.218357)</f>
        <v>47.218357</v>
      </c>
      <c r="Q2215" s="13">
        <f>IFERROR(__xludf.DUMMYFUNCTION("VALUE(SUBSTITUTE((INDEX(SPLIT(A2215,"",""),2)),""."","","",1))"),39.709794)</f>
        <v>39.709794</v>
      </c>
      <c r="R2215" s="14" t="b">
        <f t="shared" si="1"/>
        <v>0</v>
      </c>
      <c r="S2215" s="14" t="str">
        <f t="shared" si="2"/>
        <v>47.218357,39.709794</v>
      </c>
      <c r="T2215" s="12"/>
    </row>
    <row r="2216">
      <c r="A2216" s="7" t="s">
        <v>14402</v>
      </c>
      <c r="B2216" s="8" t="s">
        <v>14403</v>
      </c>
      <c r="C2216" s="8" t="s">
        <v>14404</v>
      </c>
      <c r="D2216" s="8" t="s">
        <v>16</v>
      </c>
      <c r="E2216" s="9" t="s">
        <v>14405</v>
      </c>
      <c r="F2216" s="10" t="s">
        <v>12912</v>
      </c>
      <c r="G2216" s="8">
        <v>23.61</v>
      </c>
      <c r="H2216" s="8"/>
      <c r="I2216" s="10"/>
      <c r="J2216" s="10" t="s">
        <v>14406</v>
      </c>
      <c r="K2216" s="10" t="s">
        <v>14407</v>
      </c>
      <c r="L2216" s="11" t="s">
        <v>14408</v>
      </c>
      <c r="M2216" s="11" t="s">
        <v>14409</v>
      </c>
      <c r="N2216" s="12"/>
      <c r="O2216" s="12"/>
      <c r="P2216" s="13">
        <f>IFERROR(__xludf.DUMMYFUNCTION("VALUE(SUBSTITUTE((INDEX(SPLIT(A2216,"",""),1)),""."","","",1))"),47.295986)</f>
        <v>47.295986</v>
      </c>
      <c r="Q2216" s="13">
        <f>IFERROR(__xludf.DUMMYFUNCTION("VALUE(SUBSTITUTE((INDEX(SPLIT(A2216,"",""),2)),""."","","",1))"),39.711959)</f>
        <v>39.711959</v>
      </c>
      <c r="R2216" s="14" t="b">
        <f t="shared" si="1"/>
        <v>0</v>
      </c>
      <c r="S2216" s="14" t="str">
        <f t="shared" si="2"/>
        <v>47.295986,39.711959</v>
      </c>
      <c r="T2216" s="12"/>
    </row>
    <row r="2217">
      <c r="A2217" s="15" t="s">
        <v>14410</v>
      </c>
      <c r="B2217" s="16" t="s">
        <v>14411</v>
      </c>
      <c r="C2217" s="16" t="s">
        <v>14412</v>
      </c>
      <c r="D2217" s="16" t="s">
        <v>16</v>
      </c>
      <c r="E2217" s="17" t="s">
        <v>14413</v>
      </c>
      <c r="F2217" s="16" t="s">
        <v>12912</v>
      </c>
      <c r="G2217" s="16">
        <v>23.61</v>
      </c>
      <c r="H2217" s="16"/>
      <c r="I2217" s="16"/>
      <c r="J2217" s="16" t="s">
        <v>14414</v>
      </c>
      <c r="K2217" s="16" t="s">
        <v>14415</v>
      </c>
      <c r="L2217" s="16"/>
      <c r="M2217" s="25" t="s">
        <v>14416</v>
      </c>
      <c r="N2217" s="12"/>
      <c r="O2217" s="12"/>
      <c r="P2217" s="13">
        <f>IFERROR(__xludf.DUMMYFUNCTION("VALUE(SUBSTITUTE((INDEX(SPLIT(A2217,"",""),1)),""."","","",1))"),47.288059)</f>
        <v>47.288059</v>
      </c>
      <c r="Q2217" s="13">
        <f>IFERROR(__xludf.DUMMYFUNCTION("VALUE(SUBSTITUTE((INDEX(SPLIT(A2217,"",""),2)),""."","","",1))"),39.713495)</f>
        <v>39.713495</v>
      </c>
      <c r="R2217" s="14" t="b">
        <f t="shared" si="1"/>
        <v>0</v>
      </c>
      <c r="S2217" s="14" t="str">
        <f t="shared" si="2"/>
        <v>47.288059,39.713495</v>
      </c>
      <c r="T2217" s="12"/>
    </row>
    <row r="2218">
      <c r="A2218" s="18" t="s">
        <v>14417</v>
      </c>
      <c r="B2218" s="8" t="s">
        <v>14418</v>
      </c>
      <c r="C2218" s="8" t="s">
        <v>14419</v>
      </c>
      <c r="D2218" s="8" t="s">
        <v>16</v>
      </c>
      <c r="E2218" s="19" t="s">
        <v>14420</v>
      </c>
      <c r="F2218" s="8" t="s">
        <v>12912</v>
      </c>
      <c r="G2218" s="8">
        <v>23.61</v>
      </c>
      <c r="H2218" s="8"/>
      <c r="I2218" s="8"/>
      <c r="J2218" s="8" t="s">
        <v>14421</v>
      </c>
      <c r="K2218" s="8" t="s">
        <v>14422</v>
      </c>
      <c r="L2218" s="8"/>
      <c r="M2218" s="8"/>
      <c r="N2218" s="12"/>
      <c r="O2218" s="12"/>
      <c r="P2218" s="13">
        <f>IFERROR(__xludf.DUMMYFUNCTION("VALUE(SUBSTITUTE((INDEX(SPLIT(A2218,"",""),1)),""."","","",1))"),47.220273)</f>
        <v>47.220273</v>
      </c>
      <c r="Q2218" s="13">
        <f>IFERROR(__xludf.DUMMYFUNCTION("VALUE(SUBSTITUTE((INDEX(SPLIT(A2218,"",""),2)),""."","","",1))"),39.715381)</f>
        <v>39.715381</v>
      </c>
      <c r="R2218" s="14" t="b">
        <f t="shared" si="1"/>
        <v>0</v>
      </c>
      <c r="S2218" s="14" t="str">
        <f t="shared" si="2"/>
        <v>47.220273,39.715381</v>
      </c>
      <c r="T2218" s="12"/>
    </row>
    <row r="2219">
      <c r="A2219" s="20" t="s">
        <v>14423</v>
      </c>
      <c r="B2219" s="16" t="s">
        <v>14424</v>
      </c>
      <c r="C2219" s="16" t="s">
        <v>14425</v>
      </c>
      <c r="D2219" s="16" t="s">
        <v>16</v>
      </c>
      <c r="E2219" s="21" t="s">
        <v>14426</v>
      </c>
      <c r="F2219" s="22" t="s">
        <v>12912</v>
      </c>
      <c r="G2219" s="16">
        <v>23.61</v>
      </c>
      <c r="H2219" s="16"/>
      <c r="I2219" s="22"/>
      <c r="J2219" s="22" t="s">
        <v>14427</v>
      </c>
      <c r="K2219" s="22" t="s">
        <v>14428</v>
      </c>
      <c r="L2219" s="30" t="s">
        <v>14429</v>
      </c>
      <c r="M2219" s="22"/>
      <c r="N2219" s="12"/>
      <c r="O2219" s="12"/>
      <c r="P2219" s="13">
        <f>IFERROR(__xludf.DUMMYFUNCTION("VALUE(SUBSTITUTE((INDEX(SPLIT(A2219,"",""),1)),""."","","",1))"),47.368819)</f>
        <v>47.368819</v>
      </c>
      <c r="Q2219" s="13">
        <f>IFERROR(__xludf.DUMMYFUNCTION("VALUE(SUBSTITUTE((INDEX(SPLIT(A2219,"",""),2)),""."","","",1))"),39.71654)</f>
        <v>39.71654</v>
      </c>
      <c r="R2219" s="14" t="b">
        <f t="shared" si="1"/>
        <v>0</v>
      </c>
      <c r="S2219" s="14" t="str">
        <f t="shared" si="2"/>
        <v>47.368819,39.71654</v>
      </c>
      <c r="T2219" s="12"/>
    </row>
    <row r="2220">
      <c r="A2220" s="7" t="s">
        <v>14430</v>
      </c>
      <c r="B2220" s="8" t="s">
        <v>14431</v>
      </c>
      <c r="C2220" s="8" t="s">
        <v>14432</v>
      </c>
      <c r="D2220" s="8" t="s">
        <v>16</v>
      </c>
      <c r="E2220" s="9" t="s">
        <v>14433</v>
      </c>
      <c r="F2220" s="10" t="s">
        <v>13359</v>
      </c>
      <c r="G2220" s="8">
        <v>23.61</v>
      </c>
      <c r="H2220" s="8"/>
      <c r="I2220" s="10"/>
      <c r="J2220" s="10" t="s">
        <v>14434</v>
      </c>
      <c r="K2220" s="10" t="s">
        <v>14435</v>
      </c>
      <c r="L2220" s="11" t="s">
        <v>14436</v>
      </c>
      <c r="M2220" s="11" t="s">
        <v>14437</v>
      </c>
      <c r="N2220" s="12"/>
      <c r="O2220" s="12"/>
      <c r="P2220" s="13">
        <f>IFERROR(__xludf.DUMMYFUNCTION("VALUE(SUBSTITUTE((INDEX(SPLIT(A2220,"",""),1)),""."","","",1))"),54.616596)</f>
        <v>54.616596</v>
      </c>
      <c r="Q2220" s="13">
        <f>IFERROR(__xludf.DUMMYFUNCTION("VALUE(SUBSTITUTE((INDEX(SPLIT(A2220,"",""),2)),""."","","",1))"),39.717807)</f>
        <v>39.717807</v>
      </c>
      <c r="R2220" s="14" t="b">
        <f t="shared" si="1"/>
        <v>0</v>
      </c>
      <c r="S2220" s="14" t="str">
        <f t="shared" si="2"/>
        <v>54.616596,39.717807</v>
      </c>
      <c r="T2220" s="12"/>
    </row>
    <row r="2221">
      <c r="A2221" s="20" t="s">
        <v>14438</v>
      </c>
      <c r="B2221" s="16" t="s">
        <v>1780</v>
      </c>
      <c r="C2221" s="16" t="s">
        <v>1781</v>
      </c>
      <c r="D2221" s="16" t="s">
        <v>16</v>
      </c>
      <c r="E2221" s="21" t="s">
        <v>14439</v>
      </c>
      <c r="F2221" s="22" t="s">
        <v>12912</v>
      </c>
      <c r="G2221" s="16">
        <v>23.61</v>
      </c>
      <c r="H2221" s="16"/>
      <c r="I2221" s="22"/>
      <c r="J2221" s="22" t="s">
        <v>14440</v>
      </c>
      <c r="K2221" s="22" t="s">
        <v>14441</v>
      </c>
      <c r="L2221" s="23" t="s">
        <v>14442</v>
      </c>
      <c r="M2221" s="22"/>
      <c r="N2221" s="12"/>
      <c r="O2221" s="12"/>
      <c r="P2221" s="13">
        <f>IFERROR(__xludf.DUMMYFUNCTION("VALUE(SUBSTITUTE((INDEX(SPLIT(A2221,"",""),1)),""."","","",1))"),47.224336)</f>
        <v>47.224336</v>
      </c>
      <c r="Q2221" s="13">
        <f>IFERROR(__xludf.DUMMYFUNCTION("VALUE(SUBSTITUTE((INDEX(SPLIT(A2221,"",""),2)),""."","","",1))"),39.718238)</f>
        <v>39.718238</v>
      </c>
      <c r="R2221" s="14" t="b">
        <f t="shared" si="1"/>
        <v>0</v>
      </c>
      <c r="S2221" s="14" t="str">
        <f t="shared" si="2"/>
        <v>47.224336,39.718238</v>
      </c>
      <c r="T2221" s="12"/>
    </row>
    <row r="2222">
      <c r="A2222" s="18" t="s">
        <v>14443</v>
      </c>
      <c r="B2222" s="8" t="s">
        <v>14444</v>
      </c>
      <c r="C2222" s="8" t="s">
        <v>14445</v>
      </c>
      <c r="D2222" s="8" t="s">
        <v>16</v>
      </c>
      <c r="E2222" s="19" t="s">
        <v>14446</v>
      </c>
      <c r="F2222" s="8" t="s">
        <v>12912</v>
      </c>
      <c r="G2222" s="8">
        <v>23.61</v>
      </c>
      <c r="H2222" s="8"/>
      <c r="I2222" s="8"/>
      <c r="J2222" s="8" t="s">
        <v>14447</v>
      </c>
      <c r="K2222" s="8" t="s">
        <v>14448</v>
      </c>
      <c r="L2222" s="8"/>
      <c r="M2222" s="24" t="s">
        <v>14449</v>
      </c>
      <c r="N2222" s="12"/>
      <c r="O2222" s="12"/>
      <c r="P2222" s="13">
        <f>IFERROR(__xludf.DUMMYFUNCTION("VALUE(SUBSTITUTE((INDEX(SPLIT(A2222,"",""),1)),""."","","",1))"),47.217965)</f>
        <v>47.217965</v>
      </c>
      <c r="Q2222" s="13">
        <f>IFERROR(__xludf.DUMMYFUNCTION("VALUE(SUBSTITUTE((INDEX(SPLIT(A2222,"",""),2)),""."","","",1))"),39.721445)</f>
        <v>39.721445</v>
      </c>
      <c r="R2222" s="14" t="b">
        <f t="shared" si="1"/>
        <v>0</v>
      </c>
      <c r="S2222" s="14" t="str">
        <f t="shared" si="2"/>
        <v>47.217965,39.721445</v>
      </c>
      <c r="T2222" s="12"/>
    </row>
    <row r="2223">
      <c r="A2223" s="20" t="s">
        <v>14450</v>
      </c>
      <c r="B2223" s="16" t="s">
        <v>14451</v>
      </c>
      <c r="C2223" s="16" t="s">
        <v>14452</v>
      </c>
      <c r="D2223" s="16" t="s">
        <v>16</v>
      </c>
      <c r="E2223" s="21" t="s">
        <v>14453</v>
      </c>
      <c r="F2223" s="22" t="s">
        <v>12524</v>
      </c>
      <c r="G2223" s="16">
        <v>23.61</v>
      </c>
      <c r="H2223" s="16"/>
      <c r="I2223" s="22"/>
      <c r="J2223" s="22" t="s">
        <v>14454</v>
      </c>
      <c r="K2223" s="22" t="s">
        <v>14455</v>
      </c>
      <c r="L2223" s="23" t="s">
        <v>14456</v>
      </c>
      <c r="M2223" s="23" t="s">
        <v>14457</v>
      </c>
      <c r="N2223" s="12"/>
      <c r="O2223" s="12"/>
      <c r="P2223" s="13">
        <f>IFERROR(__xludf.DUMMYFUNCTION("VALUE(SUBSTITUTE((INDEX(SPLIT(A2223,"",""),1)),""."","","",1))"),52.055028)</f>
        <v>52.055028</v>
      </c>
      <c r="Q2223" s="13">
        <f>IFERROR(__xludf.DUMMYFUNCTION("VALUE(SUBSTITUTE((INDEX(SPLIT(A2223,"",""),2)),""."","","",1))"),39.722154)</f>
        <v>39.722154</v>
      </c>
      <c r="R2223" s="14" t="b">
        <f t="shared" si="1"/>
        <v>0</v>
      </c>
      <c r="S2223" s="14" t="str">
        <f t="shared" si="2"/>
        <v>52.055028,39.722154</v>
      </c>
      <c r="T2223" s="12"/>
    </row>
    <row r="2224">
      <c r="A2224" s="18" t="s">
        <v>14458</v>
      </c>
      <c r="B2224" s="8" t="s">
        <v>14459</v>
      </c>
      <c r="C2224" s="8" t="s">
        <v>14460</v>
      </c>
      <c r="D2224" s="8" t="s">
        <v>16</v>
      </c>
      <c r="E2224" s="19" t="s">
        <v>14461</v>
      </c>
      <c r="F2224" s="8" t="s">
        <v>12912</v>
      </c>
      <c r="G2224" s="8">
        <v>23.61</v>
      </c>
      <c r="H2224" s="8"/>
      <c r="I2224" s="8"/>
      <c r="J2224" s="8" t="s">
        <v>14462</v>
      </c>
      <c r="K2224" s="8" t="s">
        <v>14463</v>
      </c>
      <c r="L2224" s="8"/>
      <c r="M2224" s="8"/>
      <c r="N2224" s="12"/>
      <c r="O2224" s="12"/>
      <c r="P2224" s="13">
        <f>IFERROR(__xludf.DUMMYFUNCTION("VALUE(SUBSTITUTE((INDEX(SPLIT(A2224,"",""),1)),""."","","",1))"),47.227806)</f>
        <v>47.227806</v>
      </c>
      <c r="Q2224" s="13">
        <f>IFERROR(__xludf.DUMMYFUNCTION("VALUE(SUBSTITUTE((INDEX(SPLIT(A2224,"",""),2)),""."","","",1))"),39.722882)</f>
        <v>39.722882</v>
      </c>
      <c r="R2224" s="14" t="b">
        <f t="shared" si="1"/>
        <v>0</v>
      </c>
      <c r="S2224" s="14" t="str">
        <f t="shared" si="2"/>
        <v>47.227806,39.722882</v>
      </c>
      <c r="T2224" s="12"/>
    </row>
    <row r="2225">
      <c r="A2225" s="20" t="s">
        <v>14464</v>
      </c>
      <c r="B2225" s="16" t="s">
        <v>14465</v>
      </c>
      <c r="C2225" s="16" t="s">
        <v>14466</v>
      </c>
      <c r="D2225" s="16" t="s">
        <v>16</v>
      </c>
      <c r="E2225" s="21" t="s">
        <v>14467</v>
      </c>
      <c r="F2225" s="22" t="s">
        <v>12912</v>
      </c>
      <c r="G2225" s="16">
        <v>23.61</v>
      </c>
      <c r="H2225" s="16"/>
      <c r="I2225" s="22"/>
      <c r="J2225" s="22" t="s">
        <v>14468</v>
      </c>
      <c r="K2225" s="22" t="s">
        <v>14469</v>
      </c>
      <c r="L2225" s="23" t="s">
        <v>14470</v>
      </c>
      <c r="M2225" s="22"/>
      <c r="N2225" s="12"/>
      <c r="O2225" s="12"/>
      <c r="P2225" s="13">
        <f>IFERROR(__xludf.DUMMYFUNCTION("VALUE(SUBSTITUTE((INDEX(SPLIT(A2225,"",""),1)),""."","","",1))"),47.242417)</f>
        <v>47.242417</v>
      </c>
      <c r="Q2225" s="13">
        <f>IFERROR(__xludf.DUMMYFUNCTION("VALUE(SUBSTITUTE((INDEX(SPLIT(A2225,"",""),2)),""."","","",1))"),39.723511)</f>
        <v>39.723511</v>
      </c>
      <c r="R2225" s="14" t="b">
        <f t="shared" si="1"/>
        <v>0</v>
      </c>
      <c r="S2225" s="14" t="str">
        <f t="shared" si="2"/>
        <v>47.242417,39.723511</v>
      </c>
      <c r="T2225" s="12"/>
    </row>
    <row r="2226">
      <c r="A2226" s="7" t="s">
        <v>14471</v>
      </c>
      <c r="B2226" s="8" t="s">
        <v>14472</v>
      </c>
      <c r="C2226" s="8" t="s">
        <v>14473</v>
      </c>
      <c r="D2226" s="8" t="s">
        <v>16</v>
      </c>
      <c r="E2226" s="9" t="s">
        <v>14474</v>
      </c>
      <c r="F2226" s="10" t="s">
        <v>12912</v>
      </c>
      <c r="G2226" s="8">
        <v>23.61</v>
      </c>
      <c r="H2226" s="8"/>
      <c r="I2226" s="10"/>
      <c r="J2226" s="10" t="s">
        <v>14475</v>
      </c>
      <c r="K2226" s="10" t="s">
        <v>14476</v>
      </c>
      <c r="L2226" s="11" t="s">
        <v>14477</v>
      </c>
      <c r="M2226" s="11" t="s">
        <v>14478</v>
      </c>
      <c r="N2226" s="12"/>
      <c r="O2226" s="12"/>
      <c r="P2226" s="13">
        <f>IFERROR(__xludf.DUMMYFUNCTION("VALUE(SUBSTITUTE((INDEX(SPLIT(A2226,"",""),1)),""."","","",1))"),47.29928)</f>
        <v>47.29928</v>
      </c>
      <c r="Q2226" s="13">
        <f>IFERROR(__xludf.DUMMYFUNCTION("VALUE(SUBSTITUTE((INDEX(SPLIT(A2226,"",""),2)),""."","","",1))"),39.725307)</f>
        <v>39.725307</v>
      </c>
      <c r="R2226" s="14" t="b">
        <f t="shared" si="1"/>
        <v>0</v>
      </c>
      <c r="S2226" s="14" t="str">
        <f t="shared" si="2"/>
        <v>47.29928,39.725307</v>
      </c>
      <c r="T2226" s="12"/>
    </row>
    <row r="2227">
      <c r="A2227" s="20" t="s">
        <v>14479</v>
      </c>
      <c r="B2227" s="16" t="s">
        <v>14480</v>
      </c>
      <c r="C2227" s="16" t="s">
        <v>14481</v>
      </c>
      <c r="D2227" s="16" t="s">
        <v>16</v>
      </c>
      <c r="E2227" s="21" t="s">
        <v>14482</v>
      </c>
      <c r="F2227" s="22" t="s">
        <v>13359</v>
      </c>
      <c r="G2227" s="16">
        <v>23.61</v>
      </c>
      <c r="H2227" s="16"/>
      <c r="I2227" s="22"/>
      <c r="J2227" s="22" t="s">
        <v>14483</v>
      </c>
      <c r="K2227" s="22" t="s">
        <v>14484</v>
      </c>
      <c r="L2227" s="23" t="s">
        <v>14485</v>
      </c>
      <c r="M2227" s="22"/>
      <c r="N2227" s="12"/>
      <c r="O2227" s="12"/>
      <c r="P2227" s="13">
        <f>IFERROR(__xludf.DUMMYFUNCTION("VALUE(SUBSTITUTE((INDEX(SPLIT(A2227,"",""),1)),""."","","",1))"),54.596201)</f>
        <v>54.596201</v>
      </c>
      <c r="Q2227" s="13">
        <f>IFERROR(__xludf.DUMMYFUNCTION("VALUE(SUBSTITUTE((INDEX(SPLIT(A2227,"",""),2)),""."","","",1))"),39.726592)</f>
        <v>39.726592</v>
      </c>
      <c r="R2227" s="14" t="b">
        <f t="shared" si="1"/>
        <v>0</v>
      </c>
      <c r="S2227" s="14" t="str">
        <f t="shared" si="2"/>
        <v>54.596201,39.726592</v>
      </c>
      <c r="T2227" s="12"/>
    </row>
    <row r="2228">
      <c r="A2228" s="18" t="s">
        <v>14486</v>
      </c>
      <c r="B2228" s="8" t="s">
        <v>14487</v>
      </c>
      <c r="C2228" s="8" t="s">
        <v>14488</v>
      </c>
      <c r="D2228" s="8" t="s">
        <v>16</v>
      </c>
      <c r="E2228" s="19" t="s">
        <v>14489</v>
      </c>
      <c r="F2228" s="8" t="s">
        <v>12912</v>
      </c>
      <c r="G2228" s="8">
        <v>23.61</v>
      </c>
      <c r="H2228" s="8"/>
      <c r="I2228" s="8"/>
      <c r="J2228" s="8" t="s">
        <v>14490</v>
      </c>
      <c r="K2228" s="8" t="s">
        <v>14491</v>
      </c>
      <c r="L2228" s="8"/>
      <c r="M2228" s="8"/>
      <c r="N2228" s="12"/>
      <c r="O2228" s="12"/>
      <c r="P2228" s="13">
        <f>IFERROR(__xludf.DUMMYFUNCTION("VALUE(SUBSTITUTE((INDEX(SPLIT(A2228,"",""),1)),""."","","",1))"),47.240771)</f>
        <v>47.240771</v>
      </c>
      <c r="Q2228" s="13">
        <f>IFERROR(__xludf.DUMMYFUNCTION("VALUE(SUBSTITUTE((INDEX(SPLIT(A2228,"",""),2)),""."","","",1))"),39.728425)</f>
        <v>39.728425</v>
      </c>
      <c r="R2228" s="14" t="b">
        <f t="shared" si="1"/>
        <v>0</v>
      </c>
      <c r="S2228" s="14" t="str">
        <f t="shared" si="2"/>
        <v>47.240771,39.728425</v>
      </c>
      <c r="T2228" s="12"/>
    </row>
    <row r="2229">
      <c r="A2229" s="15" t="s">
        <v>14492</v>
      </c>
      <c r="B2229" s="16" t="s">
        <v>14493</v>
      </c>
      <c r="C2229" s="16" t="s">
        <v>14494</v>
      </c>
      <c r="D2229" s="16" t="s">
        <v>16</v>
      </c>
      <c r="E2229" s="17" t="s">
        <v>14495</v>
      </c>
      <c r="F2229" s="16" t="s">
        <v>8566</v>
      </c>
      <c r="G2229" s="16">
        <v>23.61</v>
      </c>
      <c r="H2229" s="16"/>
      <c r="I2229" s="16"/>
      <c r="J2229" s="16" t="s">
        <v>14496</v>
      </c>
      <c r="K2229" s="16" t="s">
        <v>14497</v>
      </c>
      <c r="L2229" s="16"/>
      <c r="M2229" s="25" t="s">
        <v>14498</v>
      </c>
      <c r="N2229" s="12"/>
      <c r="O2229" s="12"/>
      <c r="P2229" s="13">
        <f>IFERROR(__xludf.DUMMYFUNCTION("VALUE(SUBSTITUTE((INDEX(SPLIT(A2229,"",""),1)),""."","","",1))"),43.61874)</f>
        <v>43.61874</v>
      </c>
      <c r="Q2229" s="13">
        <f>IFERROR(__xludf.DUMMYFUNCTION("VALUE(SUBSTITUTE((INDEX(SPLIT(A2229,"",""),2)),""."","","",1))"),39.728577)</f>
        <v>39.728577</v>
      </c>
      <c r="R2229" s="14" t="b">
        <f t="shared" si="1"/>
        <v>0</v>
      </c>
      <c r="S2229" s="14" t="str">
        <f t="shared" si="2"/>
        <v>43.61874,39.728577</v>
      </c>
      <c r="T2229" s="12"/>
    </row>
    <row r="2230">
      <c r="A2230" s="7" t="s">
        <v>14499</v>
      </c>
      <c r="B2230" s="8" t="s">
        <v>14500</v>
      </c>
      <c r="C2230" s="8" t="s">
        <v>14501</v>
      </c>
      <c r="D2230" s="8" t="s">
        <v>16</v>
      </c>
      <c r="E2230" s="9" t="s">
        <v>14502</v>
      </c>
      <c r="F2230" s="10" t="s">
        <v>12912</v>
      </c>
      <c r="G2230" s="8">
        <v>23.61</v>
      </c>
      <c r="H2230" s="8"/>
      <c r="I2230" s="10"/>
      <c r="J2230" s="10" t="s">
        <v>14503</v>
      </c>
      <c r="K2230" s="10" t="s">
        <v>14504</v>
      </c>
      <c r="L2230" s="11" t="s">
        <v>14505</v>
      </c>
      <c r="M2230" s="10"/>
      <c r="N2230" s="12"/>
      <c r="O2230" s="12"/>
      <c r="P2230" s="13">
        <f>IFERROR(__xludf.DUMMYFUNCTION("VALUE(SUBSTITUTE((INDEX(SPLIT(A2230,"",""),1)),""."","","",1))"),47.240863)</f>
        <v>47.240863</v>
      </c>
      <c r="Q2230" s="13">
        <f>IFERROR(__xludf.DUMMYFUNCTION("VALUE(SUBSTITUTE((INDEX(SPLIT(A2230,"",""),2)),""."","","",1))"),39.728802)</f>
        <v>39.728802</v>
      </c>
      <c r="R2230" s="14" t="b">
        <f t="shared" si="1"/>
        <v>0</v>
      </c>
      <c r="S2230" s="14" t="str">
        <f t="shared" si="2"/>
        <v>47.240863,39.728802</v>
      </c>
      <c r="T2230" s="12"/>
    </row>
    <row r="2231">
      <c r="A2231" s="20" t="s">
        <v>14506</v>
      </c>
      <c r="B2231" s="16" t="s">
        <v>14507</v>
      </c>
      <c r="C2231" s="16" t="s">
        <v>14508</v>
      </c>
      <c r="D2231" s="16" t="s">
        <v>16</v>
      </c>
      <c r="E2231" s="21" t="s">
        <v>14509</v>
      </c>
      <c r="F2231" s="22" t="s">
        <v>8566</v>
      </c>
      <c r="G2231" s="16">
        <v>23.61</v>
      </c>
      <c r="H2231" s="16"/>
      <c r="I2231" s="22"/>
      <c r="J2231" s="22" t="s">
        <v>14510</v>
      </c>
      <c r="K2231" s="22" t="s">
        <v>14511</v>
      </c>
      <c r="L2231" s="23" t="s">
        <v>14512</v>
      </c>
      <c r="M2231" s="23" t="s">
        <v>14513</v>
      </c>
      <c r="N2231" s="12"/>
      <c r="O2231" s="12"/>
      <c r="P2231" s="13">
        <f>IFERROR(__xludf.DUMMYFUNCTION("VALUE(SUBSTITUTE((INDEX(SPLIT(A2231,"",""),1)),""."","","",1))"),43.6097)</f>
        <v>43.6097</v>
      </c>
      <c r="Q2231" s="13">
        <f>IFERROR(__xludf.DUMMYFUNCTION("VALUE(SUBSTITUTE((INDEX(SPLIT(A2231,"",""),2)),""."","","",1))"),39.732458)</f>
        <v>39.732458</v>
      </c>
      <c r="R2231" s="14" t="b">
        <f t="shared" si="1"/>
        <v>0</v>
      </c>
      <c r="S2231" s="14" t="str">
        <f t="shared" si="2"/>
        <v>43.6097,39.732458</v>
      </c>
      <c r="T2231" s="12"/>
    </row>
    <row r="2232">
      <c r="A2232" s="18" t="s">
        <v>14514</v>
      </c>
      <c r="B2232" s="8" t="s">
        <v>14515</v>
      </c>
      <c r="C2232" s="8" t="s">
        <v>14516</v>
      </c>
      <c r="D2232" s="8" t="s">
        <v>16</v>
      </c>
      <c r="E2232" s="19" t="s">
        <v>14517</v>
      </c>
      <c r="F2232" s="8" t="s">
        <v>8566</v>
      </c>
      <c r="G2232" s="8">
        <v>23.61</v>
      </c>
      <c r="H2232" s="8"/>
      <c r="I2232" s="8"/>
      <c r="J2232" s="8" t="s">
        <v>14518</v>
      </c>
      <c r="K2232" s="8" t="s">
        <v>14519</v>
      </c>
      <c r="L2232" s="8"/>
      <c r="M2232" s="24" t="s">
        <v>14520</v>
      </c>
      <c r="N2232" s="12"/>
      <c r="O2232" s="12"/>
      <c r="P2232" s="13">
        <f>IFERROR(__xludf.DUMMYFUNCTION("VALUE(SUBSTITUTE((INDEX(SPLIT(A2232,"",""),1)),""."","","",1))"),43.58973)</f>
        <v>43.58973</v>
      </c>
      <c r="Q2232" s="13">
        <f>IFERROR(__xludf.DUMMYFUNCTION("VALUE(SUBSTITUTE((INDEX(SPLIT(A2232,"",""),2)),""."","","",1))"),39.734884)</f>
        <v>39.734884</v>
      </c>
      <c r="R2232" s="14" t="b">
        <f t="shared" si="1"/>
        <v>0</v>
      </c>
      <c r="S2232" s="14" t="str">
        <f t="shared" si="2"/>
        <v>43.58973,39.734884</v>
      </c>
      <c r="T2232" s="12"/>
    </row>
    <row r="2233">
      <c r="A2233" s="20" t="s">
        <v>14521</v>
      </c>
      <c r="B2233" s="16" t="s">
        <v>14522</v>
      </c>
      <c r="C2233" s="16" t="s">
        <v>14523</v>
      </c>
      <c r="D2233" s="16" t="s">
        <v>16</v>
      </c>
      <c r="E2233" s="21" t="s">
        <v>14524</v>
      </c>
      <c r="F2233" s="22" t="s">
        <v>12912</v>
      </c>
      <c r="G2233" s="16">
        <v>23.61</v>
      </c>
      <c r="H2233" s="16"/>
      <c r="I2233" s="22"/>
      <c r="J2233" s="22" t="s">
        <v>14525</v>
      </c>
      <c r="K2233" s="22" t="s">
        <v>14526</v>
      </c>
      <c r="L2233" s="23" t="s">
        <v>14527</v>
      </c>
      <c r="M2233" s="23" t="s">
        <v>14528</v>
      </c>
      <c r="N2233" s="12"/>
      <c r="O2233" s="12"/>
      <c r="P2233" s="13">
        <f>IFERROR(__xludf.DUMMYFUNCTION("VALUE(SUBSTITUTE((INDEX(SPLIT(A2233,"",""),1)),""."","","",1))"),47.12186)</f>
        <v>47.12186</v>
      </c>
      <c r="Q2233" s="13">
        <f>IFERROR(__xludf.DUMMYFUNCTION("VALUE(SUBSTITUTE((INDEX(SPLIT(A2233,"",""),2)),""."","","",1))"),39.73624)</f>
        <v>39.73624</v>
      </c>
      <c r="R2233" s="14" t="b">
        <f t="shared" si="1"/>
        <v>0</v>
      </c>
      <c r="S2233" s="14" t="str">
        <f t="shared" si="2"/>
        <v>47.12186,39.73624</v>
      </c>
      <c r="T2233" s="12"/>
    </row>
    <row r="2234">
      <c r="A2234" s="7" t="s">
        <v>14529</v>
      </c>
      <c r="B2234" s="8" t="s">
        <v>14530</v>
      </c>
      <c r="C2234" s="8" t="s">
        <v>14531</v>
      </c>
      <c r="D2234" s="8" t="s">
        <v>16</v>
      </c>
      <c r="E2234" s="9" t="s">
        <v>14532</v>
      </c>
      <c r="F2234" s="10" t="s">
        <v>13359</v>
      </c>
      <c r="G2234" s="8">
        <v>23.61</v>
      </c>
      <c r="H2234" s="8"/>
      <c r="I2234" s="10"/>
      <c r="J2234" s="10" t="s">
        <v>14533</v>
      </c>
      <c r="K2234" s="10" t="s">
        <v>14534</v>
      </c>
      <c r="L2234" s="11" t="s">
        <v>14535</v>
      </c>
      <c r="M2234" s="11" t="s">
        <v>14536</v>
      </c>
      <c r="N2234" s="12"/>
      <c r="O2234" s="12"/>
      <c r="P2234" s="13">
        <f>IFERROR(__xludf.DUMMYFUNCTION("VALUE(SUBSTITUTE((INDEX(SPLIT(A2234,"",""),1)),""."","","",1))"),54.630112)</f>
        <v>54.630112</v>
      </c>
      <c r="Q2234" s="13">
        <f>IFERROR(__xludf.DUMMYFUNCTION("VALUE(SUBSTITUTE((INDEX(SPLIT(A2234,"",""),2)),""."","","",1))"),39.73686)</f>
        <v>39.73686</v>
      </c>
      <c r="R2234" s="14" t="b">
        <f t="shared" si="1"/>
        <v>0</v>
      </c>
      <c r="S2234" s="14" t="str">
        <f t="shared" si="2"/>
        <v>54.630112,39.73686</v>
      </c>
      <c r="T2234" s="12"/>
    </row>
    <row r="2235">
      <c r="A2235" s="15" t="s">
        <v>14537</v>
      </c>
      <c r="B2235" s="16" t="s">
        <v>14538</v>
      </c>
      <c r="C2235" s="16" t="s">
        <v>14539</v>
      </c>
      <c r="D2235" s="16" t="s">
        <v>16</v>
      </c>
      <c r="E2235" s="17" t="s">
        <v>14540</v>
      </c>
      <c r="F2235" s="16" t="s">
        <v>8566</v>
      </c>
      <c r="G2235" s="16">
        <v>23.61</v>
      </c>
      <c r="H2235" s="16"/>
      <c r="I2235" s="16"/>
      <c r="J2235" s="16" t="s">
        <v>14541</v>
      </c>
      <c r="K2235" s="16" t="s">
        <v>14542</v>
      </c>
      <c r="L2235" s="16"/>
      <c r="M2235" s="16"/>
      <c r="N2235" s="12"/>
      <c r="O2235" s="12"/>
      <c r="P2235" s="13">
        <f>IFERROR(__xludf.DUMMYFUNCTION("VALUE(SUBSTITUTE((INDEX(SPLIT(A2235,"",""),1)),""."","","",1))"),43.602755)</f>
        <v>43.602755</v>
      </c>
      <c r="Q2235" s="13">
        <f>IFERROR(__xludf.DUMMYFUNCTION("VALUE(SUBSTITUTE((INDEX(SPLIT(A2235,"",""),2)),""."","","",1))"),39.738144)</f>
        <v>39.738144</v>
      </c>
      <c r="R2235" s="14" t="b">
        <f t="shared" si="1"/>
        <v>0</v>
      </c>
      <c r="S2235" s="14" t="str">
        <f t="shared" si="2"/>
        <v>43.602755,39.738144</v>
      </c>
      <c r="T2235" s="12"/>
    </row>
    <row r="2236">
      <c r="A2236" s="18" t="s">
        <v>14543</v>
      </c>
      <c r="B2236" s="8" t="s">
        <v>14544</v>
      </c>
      <c r="C2236" s="8" t="s">
        <v>14545</v>
      </c>
      <c r="D2236" s="8" t="s">
        <v>16</v>
      </c>
      <c r="E2236" s="19" t="s">
        <v>14546</v>
      </c>
      <c r="F2236" s="8" t="s">
        <v>13359</v>
      </c>
      <c r="G2236" s="8">
        <v>23.61</v>
      </c>
      <c r="H2236" s="8"/>
      <c r="I2236" s="8"/>
      <c r="J2236" s="8" t="s">
        <v>14547</v>
      </c>
      <c r="K2236" s="8" t="s">
        <v>14548</v>
      </c>
      <c r="L2236" s="8"/>
      <c r="M2236" s="8"/>
      <c r="N2236" s="12"/>
      <c r="O2236" s="12"/>
      <c r="P2236" s="13">
        <f>IFERROR(__xludf.DUMMYFUNCTION("VALUE(SUBSTITUTE((INDEX(SPLIT(A2236,"",""),1)),""."","","",1))"),54.633875)</f>
        <v>54.633875</v>
      </c>
      <c r="Q2236" s="13">
        <f>IFERROR(__xludf.DUMMYFUNCTION("VALUE(SUBSTITUTE((INDEX(SPLIT(A2236,"",""),2)),""."","","",1))"),39.74401)</f>
        <v>39.74401</v>
      </c>
      <c r="R2236" s="14" t="b">
        <f t="shared" si="1"/>
        <v>0</v>
      </c>
      <c r="S2236" s="14" t="str">
        <f t="shared" si="2"/>
        <v>54.633875,39.74401</v>
      </c>
      <c r="T2236" s="12"/>
    </row>
    <row r="2237">
      <c r="A2237" s="15" t="s">
        <v>14549</v>
      </c>
      <c r="B2237" s="16" t="s">
        <v>14550</v>
      </c>
      <c r="C2237" s="16" t="s">
        <v>14551</v>
      </c>
      <c r="D2237" s="16" t="s">
        <v>16</v>
      </c>
      <c r="E2237" s="17" t="s">
        <v>14552</v>
      </c>
      <c r="F2237" s="16" t="s">
        <v>2057</v>
      </c>
      <c r="G2237" s="16">
        <v>23.61</v>
      </c>
      <c r="H2237" s="16"/>
      <c r="I2237" s="16"/>
      <c r="J2237" s="16" t="s">
        <v>14553</v>
      </c>
      <c r="K2237" s="16" t="s">
        <v>14554</v>
      </c>
      <c r="L2237" s="16"/>
      <c r="M2237" s="16"/>
      <c r="N2237" s="12"/>
      <c r="O2237" s="12"/>
      <c r="P2237" s="13">
        <f>IFERROR(__xludf.DUMMYFUNCTION("VALUE(SUBSTITUTE((INDEX(SPLIT(A2237,"",""),1)),""."","","",1))"),54.608671)</f>
        <v>54.608671</v>
      </c>
      <c r="Q2237" s="13">
        <f>IFERROR(__xludf.DUMMYFUNCTION("VALUE(SUBSTITUTE((INDEX(SPLIT(A2237,"",""),2)),""."","","",1))"),39.744891)</f>
        <v>39.744891</v>
      </c>
      <c r="R2237" s="14" t="b">
        <f t="shared" si="1"/>
        <v>0</v>
      </c>
      <c r="S2237" s="14" t="str">
        <f t="shared" si="2"/>
        <v>54.608671,39.744891</v>
      </c>
      <c r="T2237" s="12"/>
    </row>
    <row r="2238">
      <c r="A2238" s="7" t="s">
        <v>14555</v>
      </c>
      <c r="B2238" s="8" t="s">
        <v>14556</v>
      </c>
      <c r="C2238" s="8" t="s">
        <v>14557</v>
      </c>
      <c r="D2238" s="8" t="s">
        <v>16</v>
      </c>
      <c r="E2238" s="9" t="s">
        <v>14558</v>
      </c>
      <c r="F2238" s="10" t="s">
        <v>13359</v>
      </c>
      <c r="G2238" s="8">
        <v>23.61</v>
      </c>
      <c r="H2238" s="8"/>
      <c r="I2238" s="10"/>
      <c r="J2238" s="10" t="s">
        <v>14559</v>
      </c>
      <c r="K2238" s="10" t="s">
        <v>14560</v>
      </c>
      <c r="L2238" s="11" t="s">
        <v>14561</v>
      </c>
      <c r="M2238" s="10"/>
      <c r="N2238" s="12"/>
      <c r="O2238" s="12"/>
      <c r="P2238" s="13">
        <f>IFERROR(__xludf.DUMMYFUNCTION("VALUE(SUBSTITUTE((INDEX(SPLIT(A2238,"",""),1)),""."","","",1))"),54.60817)</f>
        <v>54.60817</v>
      </c>
      <c r="Q2238" s="13">
        <f>IFERROR(__xludf.DUMMYFUNCTION("VALUE(SUBSTITUTE((INDEX(SPLIT(A2238,"",""),2)),""."","","",1))"),39.752455)</f>
        <v>39.752455</v>
      </c>
      <c r="R2238" s="14" t="b">
        <f t="shared" si="1"/>
        <v>0</v>
      </c>
      <c r="S2238" s="14" t="str">
        <f t="shared" si="2"/>
        <v>54.60817,39.752455</v>
      </c>
      <c r="T2238" s="12"/>
    </row>
    <row r="2239">
      <c r="A2239" s="20" t="s">
        <v>14562</v>
      </c>
      <c r="B2239" s="16" t="s">
        <v>5942</v>
      </c>
      <c r="C2239" s="16" t="s">
        <v>5943</v>
      </c>
      <c r="D2239" s="16" t="s">
        <v>16</v>
      </c>
      <c r="E2239" s="21" t="s">
        <v>14563</v>
      </c>
      <c r="F2239" s="22" t="s">
        <v>8566</v>
      </c>
      <c r="G2239" s="16">
        <v>23.61</v>
      </c>
      <c r="H2239" s="16"/>
      <c r="I2239" s="22"/>
      <c r="J2239" s="22" t="s">
        <v>14564</v>
      </c>
      <c r="K2239" s="22" t="s">
        <v>14565</v>
      </c>
      <c r="L2239" s="23" t="s">
        <v>14566</v>
      </c>
      <c r="M2239" s="23" t="s">
        <v>14567</v>
      </c>
      <c r="N2239" s="12"/>
      <c r="O2239" s="12"/>
      <c r="P2239" s="13">
        <f>IFERROR(__xludf.DUMMYFUNCTION("VALUE(SUBSTITUTE((INDEX(SPLIT(A2239,"",""),1)),""."","","",1))"),43.634035)</f>
        <v>43.634035</v>
      </c>
      <c r="Q2239" s="13">
        <f>IFERROR(__xludf.DUMMYFUNCTION("VALUE(SUBSTITUTE((INDEX(SPLIT(A2239,"",""),2)),""."","","",1))"),39.752796)</f>
        <v>39.752796</v>
      </c>
      <c r="R2239" s="14" t="b">
        <f t="shared" si="1"/>
        <v>0</v>
      </c>
      <c r="S2239" s="14" t="str">
        <f t="shared" si="2"/>
        <v>43.634035,39.752796</v>
      </c>
      <c r="T2239" s="12"/>
    </row>
    <row r="2240">
      <c r="A2240" s="7" t="s">
        <v>14568</v>
      </c>
      <c r="B2240" s="8" t="s">
        <v>14569</v>
      </c>
      <c r="C2240" s="8" t="s">
        <v>14570</v>
      </c>
      <c r="D2240" s="8" t="s">
        <v>16</v>
      </c>
      <c r="E2240" s="9" t="s">
        <v>14571</v>
      </c>
      <c r="F2240" s="10" t="s">
        <v>8566</v>
      </c>
      <c r="G2240" s="8">
        <v>23.61</v>
      </c>
      <c r="H2240" s="8"/>
      <c r="I2240" s="10"/>
      <c r="J2240" s="10" t="s">
        <v>14572</v>
      </c>
      <c r="K2240" s="10" t="s">
        <v>14573</v>
      </c>
      <c r="L2240" s="11" t="s">
        <v>14574</v>
      </c>
      <c r="M2240" s="11" t="s">
        <v>14575</v>
      </c>
      <c r="N2240" s="12"/>
      <c r="O2240" s="12"/>
      <c r="P2240" s="13">
        <f>IFERROR(__xludf.DUMMYFUNCTION("VALUE(SUBSTITUTE((INDEX(SPLIT(A2240,"",""),1)),""."","","",1))"),43.602213)</f>
        <v>43.602213</v>
      </c>
      <c r="Q2240" s="13">
        <f>IFERROR(__xludf.DUMMYFUNCTION("VALUE(SUBSTITUTE((INDEX(SPLIT(A2240,"",""),2)),""."","","",1))"),39.753991)</f>
        <v>39.753991</v>
      </c>
      <c r="R2240" s="14" t="b">
        <f t="shared" si="1"/>
        <v>0</v>
      </c>
      <c r="S2240" s="14" t="str">
        <f t="shared" si="2"/>
        <v>43.602213,39.753991</v>
      </c>
      <c r="T2240" s="12"/>
    </row>
    <row r="2241">
      <c r="A2241" s="15" t="s">
        <v>14576</v>
      </c>
      <c r="B2241" s="16" t="s">
        <v>14577</v>
      </c>
      <c r="C2241" s="16" t="s">
        <v>14578</v>
      </c>
      <c r="D2241" s="16" t="s">
        <v>16</v>
      </c>
      <c r="E2241" s="17" t="s">
        <v>14579</v>
      </c>
      <c r="F2241" s="16" t="s">
        <v>12912</v>
      </c>
      <c r="G2241" s="16">
        <v>23.61</v>
      </c>
      <c r="H2241" s="16"/>
      <c r="I2241" s="16"/>
      <c r="J2241" s="16" t="s">
        <v>14580</v>
      </c>
      <c r="K2241" s="16" t="s">
        <v>14581</v>
      </c>
      <c r="L2241" s="16"/>
      <c r="M2241" s="16"/>
      <c r="N2241" s="12"/>
      <c r="O2241" s="12"/>
      <c r="P2241" s="13">
        <f>IFERROR(__xludf.DUMMYFUNCTION("VALUE(SUBSTITUTE((INDEX(SPLIT(A2241,"",""),1)),""."","","",1))"),47.253641)</f>
        <v>47.253641</v>
      </c>
      <c r="Q2241" s="13">
        <f>IFERROR(__xludf.DUMMYFUNCTION("VALUE(SUBSTITUTE((INDEX(SPLIT(A2241,"",""),2)),""."","","",1))"),39.754287)</f>
        <v>39.754287</v>
      </c>
      <c r="R2241" s="14" t="b">
        <f t="shared" si="1"/>
        <v>0</v>
      </c>
      <c r="S2241" s="14" t="str">
        <f t="shared" si="2"/>
        <v>47.253641,39.754287</v>
      </c>
      <c r="T2241" s="12"/>
    </row>
    <row r="2242">
      <c r="A2242" s="7" t="s">
        <v>14582</v>
      </c>
      <c r="B2242" s="8" t="s">
        <v>14583</v>
      </c>
      <c r="C2242" s="8" t="s">
        <v>14584</v>
      </c>
      <c r="D2242" s="8" t="s">
        <v>16</v>
      </c>
      <c r="E2242" s="9" t="s">
        <v>14585</v>
      </c>
      <c r="F2242" s="10" t="s">
        <v>12912</v>
      </c>
      <c r="G2242" s="8">
        <v>23.61</v>
      </c>
      <c r="H2242" s="8"/>
      <c r="I2242" s="10"/>
      <c r="J2242" s="10" t="s">
        <v>14586</v>
      </c>
      <c r="K2242" s="10" t="s">
        <v>14587</v>
      </c>
      <c r="L2242" s="11" t="s">
        <v>14588</v>
      </c>
      <c r="M2242" s="10"/>
      <c r="N2242" s="12"/>
      <c r="O2242" s="12"/>
      <c r="P2242" s="13">
        <f>IFERROR(__xludf.DUMMYFUNCTION("VALUE(SUBSTITUTE((INDEX(SPLIT(A2242,"",""),1)),""."","","",1))"),47.229886)</f>
        <v>47.229886</v>
      </c>
      <c r="Q2242" s="13">
        <f>IFERROR(__xludf.DUMMYFUNCTION("VALUE(SUBSTITUTE((INDEX(SPLIT(A2242,"",""),2)),""."","","",1))"),39.758087)</f>
        <v>39.758087</v>
      </c>
      <c r="R2242" s="14" t="b">
        <f t="shared" si="1"/>
        <v>0</v>
      </c>
      <c r="S2242" s="14" t="str">
        <f t="shared" si="2"/>
        <v>47.229886,39.758087</v>
      </c>
      <c r="T2242" s="12"/>
    </row>
    <row r="2243">
      <c r="A2243" s="15" t="s">
        <v>14589</v>
      </c>
      <c r="B2243" s="16" t="s">
        <v>14590</v>
      </c>
      <c r="C2243" s="16" t="s">
        <v>14591</v>
      </c>
      <c r="D2243" s="16" t="s">
        <v>16</v>
      </c>
      <c r="E2243" s="17" t="s">
        <v>14592</v>
      </c>
      <c r="F2243" s="16" t="s">
        <v>12912</v>
      </c>
      <c r="G2243" s="16">
        <v>23.61</v>
      </c>
      <c r="H2243" s="16"/>
      <c r="I2243" s="16"/>
      <c r="J2243" s="16" t="s">
        <v>14593</v>
      </c>
      <c r="K2243" s="16" t="s">
        <v>14594</v>
      </c>
      <c r="L2243" s="16"/>
      <c r="M2243" s="16"/>
      <c r="N2243" s="12"/>
      <c r="O2243" s="12"/>
      <c r="P2243" s="13">
        <f>IFERROR(__xludf.DUMMYFUNCTION("VALUE(SUBSTITUTE((INDEX(SPLIT(A2243,"",""),1)),""."","","",1))"),47.124785)</f>
        <v>47.124785</v>
      </c>
      <c r="Q2243" s="13">
        <f>IFERROR(__xludf.DUMMYFUNCTION("VALUE(SUBSTITUTE((INDEX(SPLIT(A2243,"",""),2)),""."","","",1))"),39.766468)</f>
        <v>39.766468</v>
      </c>
      <c r="R2243" s="14" t="b">
        <f t="shared" si="1"/>
        <v>0</v>
      </c>
      <c r="S2243" s="14" t="str">
        <f t="shared" si="2"/>
        <v>47.124785,39.766468</v>
      </c>
      <c r="T2243" s="12"/>
    </row>
    <row r="2244">
      <c r="A2244" s="18" t="s">
        <v>14595</v>
      </c>
      <c r="B2244" s="8" t="s">
        <v>14596</v>
      </c>
      <c r="C2244" s="8" t="s">
        <v>14597</v>
      </c>
      <c r="D2244" s="8" t="s">
        <v>16</v>
      </c>
      <c r="E2244" s="19" t="s">
        <v>14598</v>
      </c>
      <c r="F2244" s="8" t="s">
        <v>13359</v>
      </c>
      <c r="G2244" s="8">
        <v>23.61</v>
      </c>
      <c r="H2244" s="8"/>
      <c r="I2244" s="8"/>
      <c r="J2244" s="8" t="s">
        <v>14599</v>
      </c>
      <c r="K2244" s="8" t="s">
        <v>14600</v>
      </c>
      <c r="L2244" s="8"/>
      <c r="M2244" s="8"/>
      <c r="N2244" s="12"/>
      <c r="O2244" s="12"/>
      <c r="P2244" s="13">
        <f>IFERROR(__xludf.DUMMYFUNCTION("VALUE(SUBSTITUTE((INDEX(SPLIT(A2244,"",""),1)),""."","","",1))"),54.582476)</f>
        <v>54.582476</v>
      </c>
      <c r="Q2244" s="13">
        <f>IFERROR(__xludf.DUMMYFUNCTION("VALUE(SUBSTITUTE((INDEX(SPLIT(A2244,"",""),2)),""."","","",1))"),39.766567)</f>
        <v>39.766567</v>
      </c>
      <c r="R2244" s="14" t="b">
        <f t="shared" si="1"/>
        <v>0</v>
      </c>
      <c r="S2244" s="14" t="str">
        <f t="shared" si="2"/>
        <v>54.582476,39.766567</v>
      </c>
      <c r="T2244" s="12"/>
    </row>
    <row r="2245">
      <c r="A2245" s="15" t="s">
        <v>14601</v>
      </c>
      <c r="B2245" s="16" t="s">
        <v>5213</v>
      </c>
      <c r="C2245" s="16" t="s">
        <v>5214</v>
      </c>
      <c r="D2245" s="16" t="s">
        <v>16</v>
      </c>
      <c r="E2245" s="17" t="s">
        <v>14602</v>
      </c>
      <c r="F2245" s="16" t="s">
        <v>12912</v>
      </c>
      <c r="G2245" s="16">
        <v>23.61</v>
      </c>
      <c r="H2245" s="16"/>
      <c r="I2245" s="16"/>
      <c r="J2245" s="16" t="s">
        <v>14603</v>
      </c>
      <c r="K2245" s="16" t="s">
        <v>14604</v>
      </c>
      <c r="L2245" s="16"/>
      <c r="M2245" s="16"/>
      <c r="N2245" s="12"/>
      <c r="O2245" s="12"/>
      <c r="P2245" s="13">
        <f>IFERROR(__xludf.DUMMYFUNCTION("VALUE(SUBSTITUTE((INDEX(SPLIT(A2245,"",""),1)),""."","","",1))"),47.118249)</f>
        <v>47.118249</v>
      </c>
      <c r="Q2245" s="13">
        <f>IFERROR(__xludf.DUMMYFUNCTION("VALUE(SUBSTITUTE((INDEX(SPLIT(A2245,"",""),2)),""."","","",1))"),39.768966)</f>
        <v>39.768966</v>
      </c>
      <c r="R2245" s="14" t="b">
        <f t="shared" si="1"/>
        <v>0</v>
      </c>
      <c r="S2245" s="14" t="str">
        <f t="shared" si="2"/>
        <v>47.118249,39.768966</v>
      </c>
      <c r="T2245" s="12"/>
    </row>
    <row r="2246">
      <c r="A2246" s="18" t="s">
        <v>14605</v>
      </c>
      <c r="B2246" s="8" t="s">
        <v>14606</v>
      </c>
      <c r="C2246" s="8" t="s">
        <v>14607</v>
      </c>
      <c r="D2246" s="8" t="s">
        <v>16</v>
      </c>
      <c r="E2246" s="19" t="s">
        <v>14608</v>
      </c>
      <c r="F2246" s="8" t="s">
        <v>13359</v>
      </c>
      <c r="G2246" s="8">
        <v>23.61</v>
      </c>
      <c r="H2246" s="8"/>
      <c r="I2246" s="8"/>
      <c r="J2246" s="8" t="s">
        <v>14609</v>
      </c>
      <c r="K2246" s="8" t="s">
        <v>14610</v>
      </c>
      <c r="L2246" s="8"/>
      <c r="M2246" s="24" t="s">
        <v>14611</v>
      </c>
      <c r="N2246" s="12"/>
      <c r="O2246" s="12"/>
      <c r="P2246" s="13">
        <f>IFERROR(__xludf.DUMMYFUNCTION("VALUE(SUBSTITUTE((INDEX(SPLIT(A2246,"",""),1)),""."","","",1))"),54.629956)</f>
        <v>54.629956</v>
      </c>
      <c r="Q2246" s="13">
        <f>IFERROR(__xludf.DUMMYFUNCTION("VALUE(SUBSTITUTE((INDEX(SPLIT(A2246,"",""),2)),""."","","",1))"),39.769298)</f>
        <v>39.769298</v>
      </c>
      <c r="R2246" s="14" t="b">
        <f t="shared" si="1"/>
        <v>0</v>
      </c>
      <c r="S2246" s="14" t="str">
        <f t="shared" si="2"/>
        <v>54.629956,39.769298</v>
      </c>
      <c r="T2246" s="12"/>
    </row>
    <row r="2247">
      <c r="A2247" s="15" t="s">
        <v>14612</v>
      </c>
      <c r="B2247" s="16" t="s">
        <v>14613</v>
      </c>
      <c r="C2247" s="16" t="s">
        <v>14614</v>
      </c>
      <c r="D2247" s="16" t="s">
        <v>16</v>
      </c>
      <c r="E2247" s="17" t="s">
        <v>14615</v>
      </c>
      <c r="F2247" s="16" t="s">
        <v>8566</v>
      </c>
      <c r="G2247" s="16">
        <v>23.61</v>
      </c>
      <c r="H2247" s="16"/>
      <c r="I2247" s="16"/>
      <c r="J2247" s="16" t="s">
        <v>14616</v>
      </c>
      <c r="K2247" s="16" t="s">
        <v>14617</v>
      </c>
      <c r="L2247" s="16"/>
      <c r="M2247" s="16"/>
      <c r="N2247" s="12"/>
      <c r="O2247" s="12"/>
      <c r="P2247" s="13">
        <f>IFERROR(__xludf.DUMMYFUNCTION("VALUE(SUBSTITUTE((INDEX(SPLIT(A2247,"",""),1)),""."","","",1))"),44.447468)</f>
        <v>44.447468</v>
      </c>
      <c r="Q2247" s="13">
        <f>IFERROR(__xludf.DUMMYFUNCTION("VALUE(SUBSTITUTE((INDEX(SPLIT(A2247,"",""),2)),""."","","",1))"),39.772253)</f>
        <v>39.772253</v>
      </c>
      <c r="R2247" s="14" t="b">
        <f t="shared" si="1"/>
        <v>0</v>
      </c>
      <c r="S2247" s="14" t="str">
        <f t="shared" si="2"/>
        <v>44.447468,39.772253</v>
      </c>
      <c r="T2247" s="12"/>
    </row>
    <row r="2248">
      <c r="A2248" s="18" t="s">
        <v>14618</v>
      </c>
      <c r="B2248" s="8" t="s">
        <v>2685</v>
      </c>
      <c r="C2248" s="8" t="s">
        <v>2686</v>
      </c>
      <c r="D2248" s="8" t="s">
        <v>16</v>
      </c>
      <c r="E2248" s="19" t="s">
        <v>14619</v>
      </c>
      <c r="F2248" s="8" t="s">
        <v>13359</v>
      </c>
      <c r="G2248" s="8">
        <v>23.61</v>
      </c>
      <c r="H2248" s="8"/>
      <c r="I2248" s="8"/>
      <c r="J2248" s="8" t="s">
        <v>14620</v>
      </c>
      <c r="K2248" s="8" t="s">
        <v>14621</v>
      </c>
      <c r="L2248" s="8"/>
      <c r="M2248" s="8"/>
      <c r="N2248" s="12"/>
      <c r="O2248" s="12"/>
      <c r="P2248" s="13">
        <f>IFERROR(__xludf.DUMMYFUNCTION("VALUE(SUBSTITUTE((INDEX(SPLIT(A2248,"",""),1)),""."","","",1))"),54.625776)</f>
        <v>54.625776</v>
      </c>
      <c r="Q2248" s="13">
        <f>IFERROR(__xludf.DUMMYFUNCTION("VALUE(SUBSTITUTE((INDEX(SPLIT(A2248,"",""),2)),""."","","",1))"),39.786034)</f>
        <v>39.786034</v>
      </c>
      <c r="R2248" s="14" t="b">
        <f t="shared" si="1"/>
        <v>0</v>
      </c>
      <c r="S2248" s="14" t="str">
        <f t="shared" si="2"/>
        <v>54.625776,39.786034</v>
      </c>
      <c r="T2248" s="12"/>
    </row>
    <row r="2249">
      <c r="A2249" s="20" t="s">
        <v>14622</v>
      </c>
      <c r="B2249" s="16" t="s">
        <v>14623</v>
      </c>
      <c r="C2249" s="16" t="s">
        <v>14624</v>
      </c>
      <c r="D2249" s="16" t="s">
        <v>16</v>
      </c>
      <c r="E2249" s="21" t="s">
        <v>14625</v>
      </c>
      <c r="F2249" s="22" t="s">
        <v>2057</v>
      </c>
      <c r="G2249" s="16">
        <v>23.61</v>
      </c>
      <c r="H2249" s="16"/>
      <c r="I2249" s="22"/>
      <c r="J2249" s="22" t="s">
        <v>14626</v>
      </c>
      <c r="K2249" s="22" t="s">
        <v>14627</v>
      </c>
      <c r="L2249" s="23" t="s">
        <v>14628</v>
      </c>
      <c r="M2249" s="22"/>
      <c r="N2249" s="12"/>
      <c r="O2249" s="12"/>
      <c r="P2249" s="13">
        <f>IFERROR(__xludf.DUMMYFUNCTION("VALUE(SUBSTITUTE((INDEX(SPLIT(A2249,"",""),1)),""."","","",1))"),47.383269)</f>
        <v>47.383269</v>
      </c>
      <c r="Q2249" s="13">
        <f>IFERROR(__xludf.DUMMYFUNCTION("VALUE(SUBSTITUTE((INDEX(SPLIT(A2249,"",""),2)),""."","","",1))"),39.789663)</f>
        <v>39.789663</v>
      </c>
      <c r="R2249" s="14" t="b">
        <f t="shared" si="1"/>
        <v>0</v>
      </c>
      <c r="S2249" s="14" t="str">
        <f t="shared" si="2"/>
        <v>47.383269,39.789663</v>
      </c>
      <c r="T2249" s="12"/>
    </row>
    <row r="2250">
      <c r="A2250" s="18" t="s">
        <v>14629</v>
      </c>
      <c r="B2250" s="8" t="s">
        <v>14630</v>
      </c>
      <c r="C2250" s="8" t="s">
        <v>14631</v>
      </c>
      <c r="D2250" s="8" t="s">
        <v>16</v>
      </c>
      <c r="E2250" s="19" t="s">
        <v>14632</v>
      </c>
      <c r="F2250" s="8" t="s">
        <v>12763</v>
      </c>
      <c r="G2250" s="8">
        <v>23.61</v>
      </c>
      <c r="H2250" s="8"/>
      <c r="I2250" s="8"/>
      <c r="J2250" s="8" t="s">
        <v>14633</v>
      </c>
      <c r="K2250" s="8" t="s">
        <v>14634</v>
      </c>
      <c r="L2250" s="8"/>
      <c r="M2250" s="24" t="s">
        <v>14635</v>
      </c>
      <c r="N2250" s="12"/>
      <c r="O2250" s="12"/>
      <c r="P2250" s="13">
        <f>IFERROR(__xludf.DUMMYFUNCTION("VALUE(SUBSTITUTE((INDEX(SPLIT(A2250,"",""),1)),""."","","",1))"),57.670608)</f>
        <v>57.670608</v>
      </c>
      <c r="Q2250" s="13">
        <f>IFERROR(__xludf.DUMMYFUNCTION("VALUE(SUBSTITUTE((INDEX(SPLIT(A2250,"",""),2)),""."","","",1))"),39.789708)</f>
        <v>39.789708</v>
      </c>
      <c r="R2250" s="14" t="b">
        <f t="shared" si="1"/>
        <v>0</v>
      </c>
      <c r="S2250" s="14" t="str">
        <f t="shared" si="2"/>
        <v>57.670608,39.789708</v>
      </c>
      <c r="T2250" s="12"/>
    </row>
    <row r="2251">
      <c r="A2251" s="15" t="s">
        <v>14636</v>
      </c>
      <c r="B2251" s="16" t="s">
        <v>14637</v>
      </c>
      <c r="C2251" s="16" t="s">
        <v>14638</v>
      </c>
      <c r="D2251" s="16" t="s">
        <v>16</v>
      </c>
      <c r="E2251" s="17" t="s">
        <v>14639</v>
      </c>
      <c r="F2251" s="16" t="s">
        <v>12763</v>
      </c>
      <c r="G2251" s="16">
        <v>23.61</v>
      </c>
      <c r="H2251" s="16"/>
      <c r="I2251" s="16"/>
      <c r="J2251" s="16" t="s">
        <v>14640</v>
      </c>
      <c r="K2251" s="16" t="s">
        <v>14641</v>
      </c>
      <c r="L2251" s="16"/>
      <c r="M2251" s="16"/>
      <c r="N2251" s="12"/>
      <c r="O2251" s="12"/>
      <c r="P2251" s="13">
        <f>IFERROR(__xludf.DUMMYFUNCTION("VALUE(SUBSTITUTE((INDEX(SPLIT(A2251,"",""),1)),""."","","",1))"),57.662165)</f>
        <v>57.662165</v>
      </c>
      <c r="Q2251" s="13">
        <f>IFERROR(__xludf.DUMMYFUNCTION("VALUE(SUBSTITUTE((INDEX(SPLIT(A2251,"",""),2)),""."","","",1))"),39.792528)</f>
        <v>39.792528</v>
      </c>
      <c r="R2251" s="14" t="b">
        <f t="shared" si="1"/>
        <v>0</v>
      </c>
      <c r="S2251" s="14" t="str">
        <f t="shared" si="2"/>
        <v>57.662165,39.792528</v>
      </c>
      <c r="T2251" s="12"/>
    </row>
    <row r="2252">
      <c r="A2252" s="18" t="s">
        <v>14642</v>
      </c>
      <c r="B2252" s="8" t="s">
        <v>14643</v>
      </c>
      <c r="C2252" s="8" t="s">
        <v>14644</v>
      </c>
      <c r="D2252" s="8" t="s">
        <v>16</v>
      </c>
      <c r="E2252" s="19" t="s">
        <v>14645</v>
      </c>
      <c r="F2252" s="8" t="s">
        <v>12763</v>
      </c>
      <c r="G2252" s="8">
        <v>23.61</v>
      </c>
      <c r="H2252" s="8"/>
      <c r="I2252" s="8"/>
      <c r="J2252" s="8" t="s">
        <v>14646</v>
      </c>
      <c r="K2252" s="8" t="s">
        <v>14647</v>
      </c>
      <c r="L2252" s="8"/>
      <c r="M2252" s="8"/>
      <c r="N2252" s="12"/>
      <c r="O2252" s="12"/>
      <c r="P2252" s="13">
        <f>IFERROR(__xludf.DUMMYFUNCTION("VALUE(SUBSTITUTE((INDEX(SPLIT(A2252,"",""),1)),""."","","",1))"),57.665241)</f>
        <v>57.665241</v>
      </c>
      <c r="Q2252" s="13">
        <f>IFERROR(__xludf.DUMMYFUNCTION("VALUE(SUBSTITUTE((INDEX(SPLIT(A2252,"",""),2)),""."","","",1))"),39.793229)</f>
        <v>39.793229</v>
      </c>
      <c r="R2252" s="14" t="b">
        <f t="shared" si="1"/>
        <v>0</v>
      </c>
      <c r="S2252" s="14" t="str">
        <f t="shared" si="2"/>
        <v>57.665241,39.793229</v>
      </c>
      <c r="T2252" s="12"/>
    </row>
    <row r="2253">
      <c r="A2253" s="15" t="s">
        <v>14648</v>
      </c>
      <c r="B2253" s="16" t="s">
        <v>14649</v>
      </c>
      <c r="C2253" s="16" t="s">
        <v>14650</v>
      </c>
      <c r="D2253" s="16" t="s">
        <v>16</v>
      </c>
      <c r="E2253" s="17" t="s">
        <v>14651</v>
      </c>
      <c r="F2253" s="16" t="s">
        <v>12763</v>
      </c>
      <c r="G2253" s="16">
        <v>23.61</v>
      </c>
      <c r="H2253" s="16"/>
      <c r="I2253" s="16"/>
      <c r="J2253" s="16" t="s">
        <v>14652</v>
      </c>
      <c r="K2253" s="16" t="s">
        <v>14653</v>
      </c>
      <c r="L2253" s="16"/>
      <c r="M2253" s="25" t="s">
        <v>14654</v>
      </c>
      <c r="N2253" s="12"/>
      <c r="O2253" s="12"/>
      <c r="P2253" s="13">
        <f>IFERROR(__xludf.DUMMYFUNCTION("VALUE(SUBSTITUTE((INDEX(SPLIT(A2253,"",""),1)),""."","","",1))"),57.571776)</f>
        <v>57.571776</v>
      </c>
      <c r="Q2253" s="13">
        <f>IFERROR(__xludf.DUMMYFUNCTION("VALUE(SUBSTITUTE((INDEX(SPLIT(A2253,"",""),2)),""."","","",1))"),39.797254)</f>
        <v>39.797254</v>
      </c>
      <c r="R2253" s="14" t="b">
        <f t="shared" si="1"/>
        <v>0</v>
      </c>
      <c r="S2253" s="14" t="str">
        <f t="shared" si="2"/>
        <v>57.571776,39.797254</v>
      </c>
      <c r="T2253" s="12"/>
    </row>
    <row r="2254">
      <c r="A2254" s="18" t="s">
        <v>14655</v>
      </c>
      <c r="B2254" s="8" t="s">
        <v>14656</v>
      </c>
      <c r="C2254" s="8" t="s">
        <v>14657</v>
      </c>
      <c r="D2254" s="8" t="s">
        <v>16</v>
      </c>
      <c r="E2254" s="19" t="s">
        <v>14658</v>
      </c>
      <c r="F2254" s="8" t="s">
        <v>12912</v>
      </c>
      <c r="G2254" s="8">
        <v>23.61</v>
      </c>
      <c r="H2254" s="8"/>
      <c r="I2254" s="8"/>
      <c r="J2254" s="8" t="s">
        <v>14659</v>
      </c>
      <c r="K2254" s="8" t="s">
        <v>14660</v>
      </c>
      <c r="L2254" s="8"/>
      <c r="M2254" s="24" t="s">
        <v>14661</v>
      </c>
      <c r="N2254" s="12"/>
      <c r="O2254" s="12"/>
      <c r="P2254" s="13">
        <f>IFERROR(__xludf.DUMMYFUNCTION("VALUE(SUBSTITUTE((INDEX(SPLIT(A2254,"",""),1)),""."","","",1))"),47.295448)</f>
        <v>47.295448</v>
      </c>
      <c r="Q2254" s="13">
        <f>IFERROR(__xludf.DUMMYFUNCTION("VALUE(SUBSTITUTE((INDEX(SPLIT(A2254,"",""),2)),""."","","",1))"),39.803982)</f>
        <v>39.803982</v>
      </c>
      <c r="R2254" s="14" t="b">
        <f t="shared" si="1"/>
        <v>0</v>
      </c>
      <c r="S2254" s="14" t="str">
        <f t="shared" si="2"/>
        <v>47.295448,39.803982</v>
      </c>
      <c r="T2254" s="12"/>
    </row>
    <row r="2255">
      <c r="A2255" s="20" t="s">
        <v>14662</v>
      </c>
      <c r="B2255" s="16" t="s">
        <v>14663</v>
      </c>
      <c r="C2255" s="16" t="s">
        <v>14664</v>
      </c>
      <c r="D2255" s="16" t="s">
        <v>16</v>
      </c>
      <c r="E2255" s="21" t="s">
        <v>14665</v>
      </c>
      <c r="F2255" s="22" t="s">
        <v>13359</v>
      </c>
      <c r="G2255" s="16">
        <v>23.61</v>
      </c>
      <c r="H2255" s="16"/>
      <c r="I2255" s="22"/>
      <c r="J2255" s="22" t="s">
        <v>14666</v>
      </c>
      <c r="K2255" s="22" t="s">
        <v>14667</v>
      </c>
      <c r="L2255" s="23" t="s">
        <v>14668</v>
      </c>
      <c r="M2255" s="22"/>
      <c r="N2255" s="12"/>
      <c r="O2255" s="12"/>
      <c r="P2255" s="13">
        <f>IFERROR(__xludf.DUMMYFUNCTION("VALUE(SUBSTITUTE((INDEX(SPLIT(A2255,"",""),1)),""."","","",1))"),54.029566)</f>
        <v>54.029566</v>
      </c>
      <c r="Q2255" s="13">
        <f>IFERROR(__xludf.DUMMYFUNCTION("VALUE(SUBSTITUTE((INDEX(SPLIT(A2255,"",""),2)),""."","","",1))"),39.805195)</f>
        <v>39.805195</v>
      </c>
      <c r="R2255" s="14" t="b">
        <f t="shared" si="1"/>
        <v>0</v>
      </c>
      <c r="S2255" s="14" t="str">
        <f t="shared" si="2"/>
        <v>54.029566,39.805195</v>
      </c>
      <c r="T2255" s="12"/>
    </row>
    <row r="2256">
      <c r="A2256" s="7" t="s">
        <v>14669</v>
      </c>
      <c r="B2256" s="8" t="s">
        <v>14670</v>
      </c>
      <c r="C2256" s="8" t="s">
        <v>14671</v>
      </c>
      <c r="D2256" s="8" t="s">
        <v>16</v>
      </c>
      <c r="E2256" s="9" t="s">
        <v>14672</v>
      </c>
      <c r="F2256" s="10" t="s">
        <v>12912</v>
      </c>
      <c r="G2256" s="8">
        <v>23.61</v>
      </c>
      <c r="H2256" s="8"/>
      <c r="I2256" s="10"/>
      <c r="J2256" s="10" t="s">
        <v>14673</v>
      </c>
      <c r="K2256" s="10" t="s">
        <v>14674</v>
      </c>
      <c r="L2256" s="11" t="s">
        <v>14675</v>
      </c>
      <c r="M2256" s="10"/>
      <c r="N2256" s="12"/>
      <c r="O2256" s="12"/>
      <c r="P2256" s="13">
        <f>IFERROR(__xludf.DUMMYFUNCTION("VALUE(SUBSTITUTE((INDEX(SPLIT(A2256,"",""),1)),""."","","",1))"),47.235626)</f>
        <v>47.235626</v>
      </c>
      <c r="Q2256" s="13">
        <f>IFERROR(__xludf.DUMMYFUNCTION("VALUE(SUBSTITUTE((INDEX(SPLIT(A2256,"",""),2)),""."","","",1))"),39.805689)</f>
        <v>39.805689</v>
      </c>
      <c r="R2256" s="14" t="b">
        <f t="shared" si="1"/>
        <v>0</v>
      </c>
      <c r="S2256" s="14" t="str">
        <f t="shared" si="2"/>
        <v>47.235626,39.805689</v>
      </c>
      <c r="T2256" s="12"/>
    </row>
    <row r="2257">
      <c r="A2257" s="20" t="s">
        <v>14676</v>
      </c>
      <c r="B2257" s="16" t="s">
        <v>14677</v>
      </c>
      <c r="C2257" s="16" t="s">
        <v>14678</v>
      </c>
      <c r="D2257" s="16" t="s">
        <v>16</v>
      </c>
      <c r="E2257" s="21" t="s">
        <v>14679</v>
      </c>
      <c r="F2257" s="22" t="s">
        <v>13359</v>
      </c>
      <c r="G2257" s="16">
        <v>23.61</v>
      </c>
      <c r="H2257" s="16"/>
      <c r="I2257" s="22"/>
      <c r="J2257" s="22" t="s">
        <v>14680</v>
      </c>
      <c r="K2257" s="22" t="s">
        <v>14681</v>
      </c>
      <c r="L2257" s="23" t="s">
        <v>14682</v>
      </c>
      <c r="M2257" s="22"/>
      <c r="N2257" s="12"/>
      <c r="O2257" s="12"/>
      <c r="P2257" s="13">
        <f>IFERROR(__xludf.DUMMYFUNCTION("VALUE(SUBSTITUTE((INDEX(SPLIT(A2257,"",""),1)),""."","","",1))"),54.604327)</f>
        <v>54.604327</v>
      </c>
      <c r="Q2257" s="13">
        <f>IFERROR(__xludf.DUMMYFUNCTION("VALUE(SUBSTITUTE((INDEX(SPLIT(A2257,"",""),2)),""."","","",1))"),39.818076)</f>
        <v>39.818076</v>
      </c>
      <c r="R2257" s="14" t="b">
        <f t="shared" si="1"/>
        <v>0</v>
      </c>
      <c r="S2257" s="14" t="str">
        <f t="shared" si="2"/>
        <v>54.604327,39.818076</v>
      </c>
      <c r="T2257" s="12"/>
    </row>
    <row r="2258">
      <c r="A2258" s="7" t="s">
        <v>14676</v>
      </c>
      <c r="B2258" s="8" t="s">
        <v>14683</v>
      </c>
      <c r="C2258" s="8" t="s">
        <v>14684</v>
      </c>
      <c r="D2258" s="8" t="s">
        <v>16</v>
      </c>
      <c r="E2258" s="9" t="s">
        <v>14685</v>
      </c>
      <c r="F2258" s="10" t="s">
        <v>13359</v>
      </c>
      <c r="G2258" s="8">
        <v>23.61</v>
      </c>
      <c r="H2258" s="8"/>
      <c r="I2258" s="10"/>
      <c r="J2258" s="10" t="s">
        <v>14686</v>
      </c>
      <c r="K2258" s="10" t="s">
        <v>14687</v>
      </c>
      <c r="L2258" s="11" t="s">
        <v>14688</v>
      </c>
      <c r="M2258" s="10"/>
      <c r="N2258" s="12"/>
      <c r="O2258" s="12"/>
      <c r="P2258" s="13">
        <f>IFERROR(__xludf.DUMMYFUNCTION("VALUE(SUBSTITUTE((INDEX(SPLIT(A2258,"",""),1)),""."","","",1))"),54.604327)</f>
        <v>54.604327</v>
      </c>
      <c r="Q2258" s="13">
        <f>IFERROR(__xludf.DUMMYFUNCTION("VALUE(SUBSTITUTE((INDEX(SPLIT(A2258,"",""),2)),""."","","",1))"),39.818076)</f>
        <v>39.818076</v>
      </c>
      <c r="R2258" s="14" t="b">
        <f t="shared" si="1"/>
        <v>0</v>
      </c>
      <c r="S2258" s="14" t="str">
        <f t="shared" si="2"/>
        <v>54.604327,39.818076</v>
      </c>
      <c r="T2258" s="12"/>
    </row>
    <row r="2259">
      <c r="A2259" s="15" t="s">
        <v>14689</v>
      </c>
      <c r="B2259" s="16" t="s">
        <v>14690</v>
      </c>
      <c r="C2259" s="16" t="s">
        <v>14691</v>
      </c>
      <c r="D2259" s="16" t="s">
        <v>16</v>
      </c>
      <c r="E2259" s="17" t="s">
        <v>14692</v>
      </c>
      <c r="F2259" s="16" t="s">
        <v>12763</v>
      </c>
      <c r="G2259" s="16">
        <v>23.61</v>
      </c>
      <c r="H2259" s="16"/>
      <c r="I2259" s="16"/>
      <c r="J2259" s="16" t="s">
        <v>14693</v>
      </c>
      <c r="K2259" s="16" t="s">
        <v>14694</v>
      </c>
      <c r="L2259" s="16"/>
      <c r="M2259" s="16"/>
      <c r="N2259" s="12"/>
      <c r="O2259" s="12"/>
      <c r="P2259" s="13">
        <f>IFERROR(__xludf.DUMMYFUNCTION("VALUE(SUBSTITUTE((INDEX(SPLIT(A2259,"",""),1)),""."","","",1))"),57.669299)</f>
        <v>57.669299</v>
      </c>
      <c r="Q2259" s="13">
        <f>IFERROR(__xludf.DUMMYFUNCTION("VALUE(SUBSTITUTE((INDEX(SPLIT(A2259,"",""),2)),""."","","",1))"),39.823197)</f>
        <v>39.823197</v>
      </c>
      <c r="R2259" s="14" t="b">
        <f t="shared" si="1"/>
        <v>0</v>
      </c>
      <c r="S2259" s="14" t="str">
        <f t="shared" si="2"/>
        <v>57.669299,39.823197</v>
      </c>
      <c r="T2259" s="12"/>
    </row>
    <row r="2260">
      <c r="A2260" s="7" t="s">
        <v>14695</v>
      </c>
      <c r="B2260" s="8" t="s">
        <v>14696</v>
      </c>
      <c r="C2260" s="8" t="s">
        <v>14697</v>
      </c>
      <c r="D2260" s="8" t="s">
        <v>16</v>
      </c>
      <c r="E2260" s="9" t="s">
        <v>14698</v>
      </c>
      <c r="F2260" s="10" t="s">
        <v>12912</v>
      </c>
      <c r="G2260" s="8">
        <v>23.61</v>
      </c>
      <c r="H2260" s="8"/>
      <c r="I2260" s="10"/>
      <c r="J2260" s="10" t="s">
        <v>14699</v>
      </c>
      <c r="K2260" s="10" t="s">
        <v>14700</v>
      </c>
      <c r="L2260" s="11" t="s">
        <v>14701</v>
      </c>
      <c r="M2260" s="10"/>
      <c r="N2260" s="12"/>
      <c r="O2260" s="12"/>
      <c r="P2260" s="13">
        <f>IFERROR(__xludf.DUMMYFUNCTION("VALUE(SUBSTITUTE((INDEX(SPLIT(A2260,"",""),1)),""."","","",1))"),47.10288)</f>
        <v>47.10288</v>
      </c>
      <c r="Q2260" s="13">
        <f>IFERROR(__xludf.DUMMYFUNCTION("VALUE(SUBSTITUTE((INDEX(SPLIT(A2260,"",""),2)),""."","","",1))"),39.823233)</f>
        <v>39.823233</v>
      </c>
      <c r="R2260" s="14" t="b">
        <f t="shared" si="1"/>
        <v>0</v>
      </c>
      <c r="S2260" s="14" t="str">
        <f t="shared" si="2"/>
        <v>47.10288,39.823233</v>
      </c>
      <c r="T2260" s="12"/>
    </row>
    <row r="2261">
      <c r="A2261" s="15" t="s">
        <v>14702</v>
      </c>
      <c r="B2261" s="16" t="s">
        <v>14703</v>
      </c>
      <c r="C2261" s="16" t="s">
        <v>14704</v>
      </c>
      <c r="D2261" s="16" t="s">
        <v>16</v>
      </c>
      <c r="E2261" s="17" t="s">
        <v>14705</v>
      </c>
      <c r="F2261" s="16" t="s">
        <v>14706</v>
      </c>
      <c r="G2261" s="16">
        <v>23.61</v>
      </c>
      <c r="H2261" s="16"/>
      <c r="I2261" s="16"/>
      <c r="J2261" s="16" t="s">
        <v>14707</v>
      </c>
      <c r="K2261" s="16" t="s">
        <v>14708</v>
      </c>
      <c r="L2261" s="16"/>
      <c r="M2261" s="16"/>
      <c r="N2261" s="12"/>
      <c r="O2261" s="12"/>
      <c r="P2261" s="13">
        <f>IFERROR(__xludf.DUMMYFUNCTION("VALUE(SUBSTITUTE((INDEX(SPLIT(A2261,"",""),1)),""."","","",1))"),64.563386)</f>
        <v>64.563386</v>
      </c>
      <c r="Q2261" s="13">
        <f>IFERROR(__xludf.DUMMYFUNCTION("VALUE(SUBSTITUTE((INDEX(SPLIT(A2261,"",""),2)),""."","","",1))"),39.823781)</f>
        <v>39.823781</v>
      </c>
      <c r="R2261" s="14" t="b">
        <f t="shared" si="1"/>
        <v>0</v>
      </c>
      <c r="S2261" s="14" t="str">
        <f t="shared" si="2"/>
        <v>64.563386,39.823781</v>
      </c>
      <c r="T2261" s="12"/>
    </row>
    <row r="2262">
      <c r="A2262" s="18" t="s">
        <v>14709</v>
      </c>
      <c r="B2262" s="8" t="s">
        <v>14710</v>
      </c>
      <c r="C2262" s="8" t="s">
        <v>14711</v>
      </c>
      <c r="D2262" s="8" t="s">
        <v>16</v>
      </c>
      <c r="E2262" s="19" t="s">
        <v>14712</v>
      </c>
      <c r="F2262" s="8" t="s">
        <v>13359</v>
      </c>
      <c r="G2262" s="8">
        <v>23.61</v>
      </c>
      <c r="H2262" s="8"/>
      <c r="I2262" s="8"/>
      <c r="J2262" s="8" t="s">
        <v>14713</v>
      </c>
      <c r="K2262" s="8" t="s">
        <v>14714</v>
      </c>
      <c r="L2262" s="8"/>
      <c r="M2262" s="24" t="s">
        <v>14715</v>
      </c>
      <c r="N2262" s="12"/>
      <c r="O2262" s="12"/>
      <c r="P2262" s="13">
        <f>IFERROR(__xludf.DUMMYFUNCTION("VALUE(SUBSTITUTE((INDEX(SPLIT(A2262,"",""),1)),""."","","",1))"),54.772972)</f>
        <v>54.772972</v>
      </c>
      <c r="Q2262" s="13">
        <f>IFERROR(__xludf.DUMMYFUNCTION("VALUE(SUBSTITUTE((INDEX(SPLIT(A2262,"",""),2)),""."","","",1))"),39.825317)</f>
        <v>39.825317</v>
      </c>
      <c r="R2262" s="14" t="b">
        <f t="shared" si="1"/>
        <v>0</v>
      </c>
      <c r="S2262" s="14" t="str">
        <f t="shared" si="2"/>
        <v>54.772972,39.825317</v>
      </c>
      <c r="T2262" s="12"/>
    </row>
    <row r="2263">
      <c r="A2263" s="15" t="s">
        <v>14716</v>
      </c>
      <c r="B2263" s="16" t="s">
        <v>14717</v>
      </c>
      <c r="C2263" s="16" t="s">
        <v>14718</v>
      </c>
      <c r="D2263" s="16" t="s">
        <v>16</v>
      </c>
      <c r="E2263" s="17" t="s">
        <v>14719</v>
      </c>
      <c r="F2263" s="16" t="s">
        <v>12763</v>
      </c>
      <c r="G2263" s="16">
        <v>23.61</v>
      </c>
      <c r="H2263" s="16"/>
      <c r="I2263" s="16"/>
      <c r="J2263" s="16" t="s">
        <v>14720</v>
      </c>
      <c r="K2263" s="16" t="s">
        <v>14721</v>
      </c>
      <c r="L2263" s="16"/>
      <c r="M2263" s="16"/>
      <c r="N2263" s="12"/>
      <c r="O2263" s="12"/>
      <c r="P2263" s="13">
        <f>IFERROR(__xludf.DUMMYFUNCTION("VALUE(SUBSTITUTE((INDEX(SPLIT(A2263,"",""),1)),""."","","",1))"),57.670315)</f>
        <v>57.670315</v>
      </c>
      <c r="Q2263" s="13">
        <f>IFERROR(__xludf.DUMMYFUNCTION("VALUE(SUBSTITUTE((INDEX(SPLIT(A2263,"",""),2)),""."","","",1))"),39.825919)</f>
        <v>39.825919</v>
      </c>
      <c r="R2263" s="14" t="b">
        <f t="shared" si="1"/>
        <v>0</v>
      </c>
      <c r="S2263" s="14" t="str">
        <f t="shared" si="2"/>
        <v>57.670315,39.825919</v>
      </c>
      <c r="T2263" s="12"/>
    </row>
    <row r="2264">
      <c r="A2264" s="7" t="s">
        <v>14722</v>
      </c>
      <c r="B2264" s="8" t="s">
        <v>14723</v>
      </c>
      <c r="C2264" s="8" t="s">
        <v>14724</v>
      </c>
      <c r="D2264" s="8" t="s">
        <v>16</v>
      </c>
      <c r="E2264" s="9" t="s">
        <v>14725</v>
      </c>
      <c r="F2264" s="10" t="s">
        <v>13359</v>
      </c>
      <c r="G2264" s="8">
        <v>23.61</v>
      </c>
      <c r="H2264" s="8"/>
      <c r="I2264" s="31" t="s">
        <v>14726</v>
      </c>
      <c r="J2264" s="10" t="s">
        <v>14727</v>
      </c>
      <c r="K2264" s="10" t="s">
        <v>14728</v>
      </c>
      <c r="L2264" s="11" t="s">
        <v>14729</v>
      </c>
      <c r="M2264" s="10"/>
      <c r="N2264" s="12"/>
      <c r="O2264" s="12"/>
      <c r="P2264" s="13">
        <f>IFERROR(__xludf.DUMMYFUNCTION("VALUE(SUBSTITUTE((INDEX(SPLIT(A2264,"",""),1)),""."","","",1))"),54.548917)</f>
        <v>54.548917</v>
      </c>
      <c r="Q2264" s="13">
        <f>IFERROR(__xludf.DUMMYFUNCTION("VALUE(SUBSTITUTE((INDEX(SPLIT(A2264,"",""),2)),""."","","",1))"),39.826619)</f>
        <v>39.826619</v>
      </c>
      <c r="R2264" s="14" t="b">
        <f t="shared" si="1"/>
        <v>0</v>
      </c>
      <c r="S2264" s="14" t="str">
        <f t="shared" si="2"/>
        <v>54.548917,39.826619</v>
      </c>
      <c r="T2264" s="12"/>
    </row>
    <row r="2265">
      <c r="A2265" s="15" t="s">
        <v>14730</v>
      </c>
      <c r="B2265" s="16" t="s">
        <v>14731</v>
      </c>
      <c r="C2265" s="16" t="s">
        <v>14732</v>
      </c>
      <c r="D2265" s="16" t="s">
        <v>16</v>
      </c>
      <c r="E2265" s="17" t="s">
        <v>14733</v>
      </c>
      <c r="F2265" s="16" t="s">
        <v>11562</v>
      </c>
      <c r="G2265" s="16">
        <v>23.61</v>
      </c>
      <c r="H2265" s="16"/>
      <c r="I2265" s="16"/>
      <c r="J2265" s="16" t="s">
        <v>14734</v>
      </c>
      <c r="K2265" s="16" t="s">
        <v>14735</v>
      </c>
      <c r="L2265" s="16"/>
      <c r="M2265" s="16"/>
      <c r="N2265" s="12"/>
      <c r="O2265" s="12"/>
      <c r="P2265" s="13">
        <f>IFERROR(__xludf.DUMMYFUNCTION("VALUE(SUBSTITUTE((INDEX(SPLIT(A2265,"",""),1)),""."","","",1))"),59.222513)</f>
        <v>59.222513</v>
      </c>
      <c r="Q2265" s="13">
        <f>IFERROR(__xludf.DUMMYFUNCTION("VALUE(SUBSTITUTE((INDEX(SPLIT(A2265,"",""),2)),""."","","",1))"),39.827401)</f>
        <v>39.827401</v>
      </c>
      <c r="R2265" s="14" t="b">
        <f t="shared" si="1"/>
        <v>0</v>
      </c>
      <c r="S2265" s="14" t="str">
        <f t="shared" si="2"/>
        <v>59.222513,39.827401</v>
      </c>
      <c r="T2265" s="12"/>
    </row>
    <row r="2266">
      <c r="A2266" s="18" t="s">
        <v>14736</v>
      </c>
      <c r="B2266" s="8" t="s">
        <v>14737</v>
      </c>
      <c r="C2266" s="8" t="s">
        <v>14738</v>
      </c>
      <c r="D2266" s="8" t="s">
        <v>16</v>
      </c>
      <c r="E2266" s="19" t="s">
        <v>14739</v>
      </c>
      <c r="F2266" s="8" t="s">
        <v>11562</v>
      </c>
      <c r="G2266" s="8">
        <v>23.61</v>
      </c>
      <c r="H2266" s="8"/>
      <c r="I2266" s="8"/>
      <c r="J2266" s="8" t="s">
        <v>14740</v>
      </c>
      <c r="K2266" s="8" t="s">
        <v>14741</v>
      </c>
      <c r="L2266" s="8"/>
      <c r="M2266" s="8"/>
      <c r="N2266" s="12"/>
      <c r="O2266" s="12"/>
      <c r="P2266" s="13">
        <f>IFERROR(__xludf.DUMMYFUNCTION("VALUE(SUBSTITUTE((INDEX(SPLIT(A2266,"",""),1)),""."","","",1))"),59.240849)</f>
        <v>59.240849</v>
      </c>
      <c r="Q2266" s="13">
        <f>IFERROR(__xludf.DUMMYFUNCTION("VALUE(SUBSTITUTE((INDEX(SPLIT(A2266,"",""),2)),""."","","",1))"),39.828874)</f>
        <v>39.828874</v>
      </c>
      <c r="R2266" s="14" t="b">
        <f t="shared" si="1"/>
        <v>0</v>
      </c>
      <c r="S2266" s="14" t="str">
        <f t="shared" si="2"/>
        <v>59.240849,39.828874</v>
      </c>
      <c r="T2266" s="12"/>
    </row>
    <row r="2267">
      <c r="A2267" s="20" t="s">
        <v>14742</v>
      </c>
      <c r="B2267" s="16" t="s">
        <v>14743</v>
      </c>
      <c r="C2267" s="16" t="s">
        <v>14744</v>
      </c>
      <c r="D2267" s="16" t="s">
        <v>16</v>
      </c>
      <c r="E2267" s="21" t="s">
        <v>14745</v>
      </c>
      <c r="F2267" s="22" t="s">
        <v>13359</v>
      </c>
      <c r="G2267" s="16">
        <v>23.61</v>
      </c>
      <c r="H2267" s="16"/>
      <c r="I2267" s="22"/>
      <c r="J2267" s="22" t="s">
        <v>14746</v>
      </c>
      <c r="K2267" s="22" t="s">
        <v>14747</v>
      </c>
      <c r="L2267" s="23" t="s">
        <v>14748</v>
      </c>
      <c r="M2267" s="22"/>
      <c r="N2267" s="12"/>
      <c r="O2267" s="12"/>
      <c r="P2267" s="13">
        <f>IFERROR(__xludf.DUMMYFUNCTION("VALUE(SUBSTITUTE((INDEX(SPLIT(A2267,"",""),1)),""."","","",1))"),54.73024)</f>
        <v>54.73024</v>
      </c>
      <c r="Q2267" s="13">
        <f>IFERROR(__xludf.DUMMYFUNCTION("VALUE(SUBSTITUTE((INDEX(SPLIT(A2267,"",""),2)),""."","","",1))"),39.832108)</f>
        <v>39.832108</v>
      </c>
      <c r="R2267" s="14" t="b">
        <f t="shared" si="1"/>
        <v>0</v>
      </c>
      <c r="S2267" s="14" t="str">
        <f t="shared" si="2"/>
        <v>54.73024,39.832108</v>
      </c>
      <c r="T2267" s="12"/>
    </row>
    <row r="2268">
      <c r="A2268" s="7" t="s">
        <v>14749</v>
      </c>
      <c r="B2268" s="8" t="s">
        <v>14750</v>
      </c>
      <c r="C2268" s="8" t="s">
        <v>14751</v>
      </c>
      <c r="D2268" s="8" t="s">
        <v>16</v>
      </c>
      <c r="E2268" s="9" t="s">
        <v>14752</v>
      </c>
      <c r="F2268" s="10" t="s">
        <v>13359</v>
      </c>
      <c r="G2268" s="8">
        <v>23.61</v>
      </c>
      <c r="H2268" s="8"/>
      <c r="I2268" s="10"/>
      <c r="J2268" s="10" t="s">
        <v>14753</v>
      </c>
      <c r="K2268" s="10" t="s">
        <v>14754</v>
      </c>
      <c r="L2268" s="11" t="s">
        <v>14755</v>
      </c>
      <c r="M2268" s="10"/>
      <c r="N2268" s="12"/>
      <c r="O2268" s="12"/>
      <c r="P2268" s="13">
        <f>IFERROR(__xludf.DUMMYFUNCTION("VALUE(SUBSTITUTE((INDEX(SPLIT(A2268,"",""),1)),""."","","",1))"),54.551622)</f>
        <v>54.551622</v>
      </c>
      <c r="Q2268" s="13">
        <f>IFERROR(__xludf.DUMMYFUNCTION("VALUE(SUBSTITUTE((INDEX(SPLIT(A2268,"",""),2)),""."","","",1))"),39.832575)</f>
        <v>39.832575</v>
      </c>
      <c r="R2268" s="14" t="b">
        <f t="shared" si="1"/>
        <v>0</v>
      </c>
      <c r="S2268" s="14" t="str">
        <f t="shared" si="2"/>
        <v>54.551622,39.832575</v>
      </c>
      <c r="T2268" s="12"/>
    </row>
    <row r="2269">
      <c r="A2269" s="15" t="s">
        <v>14756</v>
      </c>
      <c r="B2269" s="16" t="s">
        <v>14757</v>
      </c>
      <c r="C2269" s="16" t="s">
        <v>14758</v>
      </c>
      <c r="D2269" s="16" t="s">
        <v>16</v>
      </c>
      <c r="E2269" s="17" t="s">
        <v>14759</v>
      </c>
      <c r="F2269" s="16" t="s">
        <v>13359</v>
      </c>
      <c r="G2269" s="16">
        <v>23.61</v>
      </c>
      <c r="H2269" s="16"/>
      <c r="I2269" s="16"/>
      <c r="J2269" s="16" t="s">
        <v>14760</v>
      </c>
      <c r="K2269" s="16" t="s">
        <v>14761</v>
      </c>
      <c r="L2269" s="16"/>
      <c r="M2269" s="16"/>
      <c r="N2269" s="12"/>
      <c r="O2269" s="12"/>
      <c r="P2269" s="13">
        <f>IFERROR(__xludf.DUMMYFUNCTION("VALUE(SUBSTITUTE((INDEX(SPLIT(A2269,"",""),1)),""."","","",1))"),54.552702)</f>
        <v>54.552702</v>
      </c>
      <c r="Q2269" s="13">
        <f>IFERROR(__xludf.DUMMYFUNCTION("VALUE(SUBSTITUTE((INDEX(SPLIT(A2269,"",""),2)),""."","","",1))"),39.837705)</f>
        <v>39.837705</v>
      </c>
      <c r="R2269" s="14" t="b">
        <f t="shared" si="1"/>
        <v>0</v>
      </c>
      <c r="S2269" s="14" t="str">
        <f t="shared" si="2"/>
        <v>54.552702,39.837705</v>
      </c>
      <c r="T2269" s="12"/>
    </row>
    <row r="2270">
      <c r="A2270" s="18" t="s">
        <v>14762</v>
      </c>
      <c r="B2270" s="8" t="s">
        <v>14763</v>
      </c>
      <c r="C2270" s="8" t="s">
        <v>14764</v>
      </c>
      <c r="D2270" s="8" t="s">
        <v>16</v>
      </c>
      <c r="E2270" s="19" t="s">
        <v>14765</v>
      </c>
      <c r="F2270" s="8" t="s">
        <v>12763</v>
      </c>
      <c r="G2270" s="8">
        <v>23.61</v>
      </c>
      <c r="H2270" s="8"/>
      <c r="I2270" s="8"/>
      <c r="J2270" s="8" t="s">
        <v>14766</v>
      </c>
      <c r="K2270" s="8" t="s">
        <v>14767</v>
      </c>
      <c r="L2270" s="8"/>
      <c r="M2270" s="8"/>
      <c r="N2270" s="12"/>
      <c r="O2270" s="12"/>
      <c r="P2270" s="13">
        <f>IFERROR(__xludf.DUMMYFUNCTION("VALUE(SUBSTITUTE((INDEX(SPLIT(A2270,"",""),1)),""."","","",1))"),57.619204)</f>
        <v>57.619204</v>
      </c>
      <c r="Q2270" s="13">
        <f>IFERROR(__xludf.DUMMYFUNCTION("VALUE(SUBSTITUTE((INDEX(SPLIT(A2270,"",""),2)),""."","","",1))"),39.838396)</f>
        <v>39.838396</v>
      </c>
      <c r="R2270" s="14" t="b">
        <f t="shared" si="1"/>
        <v>0</v>
      </c>
      <c r="S2270" s="14" t="str">
        <f t="shared" si="2"/>
        <v>57.619204,39.838396</v>
      </c>
      <c r="T2270" s="12"/>
    </row>
    <row r="2271">
      <c r="A2271" s="15" t="s">
        <v>14762</v>
      </c>
      <c r="B2271" s="16" t="s">
        <v>14768</v>
      </c>
      <c r="C2271" s="16" t="s">
        <v>14769</v>
      </c>
      <c r="D2271" s="16" t="s">
        <v>16</v>
      </c>
      <c r="E2271" s="17" t="s">
        <v>14770</v>
      </c>
      <c r="F2271" s="16" t="s">
        <v>12763</v>
      </c>
      <c r="G2271" s="16">
        <v>23.61</v>
      </c>
      <c r="H2271" s="16"/>
      <c r="I2271" s="16"/>
      <c r="J2271" s="16" t="s">
        <v>14771</v>
      </c>
      <c r="K2271" s="16" t="s">
        <v>14772</v>
      </c>
      <c r="L2271" s="16"/>
      <c r="M2271" s="16"/>
      <c r="N2271" s="12"/>
      <c r="O2271" s="12"/>
      <c r="P2271" s="13">
        <f>IFERROR(__xludf.DUMMYFUNCTION("VALUE(SUBSTITUTE((INDEX(SPLIT(A2271,"",""),1)),""."","","",1))"),57.619204)</f>
        <v>57.619204</v>
      </c>
      <c r="Q2271" s="13">
        <f>IFERROR(__xludf.DUMMYFUNCTION("VALUE(SUBSTITUTE((INDEX(SPLIT(A2271,"",""),2)),""."","","",1))"),39.838396)</f>
        <v>39.838396</v>
      </c>
      <c r="R2271" s="14" t="b">
        <f t="shared" si="1"/>
        <v>0</v>
      </c>
      <c r="S2271" s="14" t="str">
        <f t="shared" si="2"/>
        <v>57.619204,39.838396</v>
      </c>
      <c r="T2271" s="12"/>
    </row>
    <row r="2272">
      <c r="A2272" s="7" t="s">
        <v>14773</v>
      </c>
      <c r="B2272" s="8" t="s">
        <v>14774</v>
      </c>
      <c r="C2272" s="8" t="s">
        <v>14775</v>
      </c>
      <c r="D2272" s="8" t="s">
        <v>16</v>
      </c>
      <c r="E2272" s="9" t="s">
        <v>14776</v>
      </c>
      <c r="F2272" s="10" t="s">
        <v>11562</v>
      </c>
      <c r="G2272" s="8">
        <v>23.61</v>
      </c>
      <c r="H2272" s="8"/>
      <c r="I2272" s="10"/>
      <c r="J2272" s="10" t="s">
        <v>14777</v>
      </c>
      <c r="K2272" s="10" t="s">
        <v>14778</v>
      </c>
      <c r="L2272" s="11" t="s">
        <v>14779</v>
      </c>
      <c r="M2272" s="10"/>
      <c r="N2272" s="12"/>
      <c r="O2272" s="12"/>
      <c r="P2272" s="13">
        <f>IFERROR(__xludf.DUMMYFUNCTION("VALUE(SUBSTITUTE((INDEX(SPLIT(A2272,"",""),1)),""."","","",1))"),59.218806)</f>
        <v>59.218806</v>
      </c>
      <c r="Q2272" s="13">
        <f>IFERROR(__xludf.DUMMYFUNCTION("VALUE(SUBSTITUTE((INDEX(SPLIT(A2272,"",""),2)),""."","","",1))"),39.840858)</f>
        <v>39.840858</v>
      </c>
      <c r="R2272" s="14" t="b">
        <f t="shared" si="1"/>
        <v>0</v>
      </c>
      <c r="S2272" s="14" t="str">
        <f t="shared" si="2"/>
        <v>59.218806,39.840858</v>
      </c>
      <c r="T2272" s="12"/>
    </row>
    <row r="2273">
      <c r="A2273" s="20" t="s">
        <v>14780</v>
      </c>
      <c r="B2273" s="16" t="s">
        <v>7551</v>
      </c>
      <c r="C2273" s="16" t="s">
        <v>7552</v>
      </c>
      <c r="D2273" s="16" t="s">
        <v>16</v>
      </c>
      <c r="E2273" s="21" t="s">
        <v>14781</v>
      </c>
      <c r="F2273" s="22" t="s">
        <v>11562</v>
      </c>
      <c r="G2273" s="16">
        <v>23.61</v>
      </c>
      <c r="H2273" s="16"/>
      <c r="I2273" s="22"/>
      <c r="J2273" s="22" t="s">
        <v>14782</v>
      </c>
      <c r="K2273" s="22" t="s">
        <v>14783</v>
      </c>
      <c r="L2273" s="23" t="s">
        <v>14779</v>
      </c>
      <c r="M2273" s="23" t="s">
        <v>14784</v>
      </c>
      <c r="N2273" s="12"/>
      <c r="O2273" s="12"/>
      <c r="P2273" s="13">
        <f>IFERROR(__xludf.DUMMYFUNCTION("VALUE(SUBSTITUTE((INDEX(SPLIT(A2273,"",""),1)),""."","","",1))"),59.218479)</f>
        <v>59.218479</v>
      </c>
      <c r="Q2273" s="13">
        <f>IFERROR(__xludf.DUMMYFUNCTION("VALUE(SUBSTITUTE((INDEX(SPLIT(A2273,"",""),2)),""."","","",1))"),39.840939)</f>
        <v>39.840939</v>
      </c>
      <c r="R2273" s="14" t="b">
        <f t="shared" si="1"/>
        <v>0</v>
      </c>
      <c r="S2273" s="14" t="str">
        <f t="shared" si="2"/>
        <v>59.218479,39.840939</v>
      </c>
      <c r="T2273" s="12"/>
    </row>
    <row r="2274">
      <c r="A2274" s="7" t="s">
        <v>14785</v>
      </c>
      <c r="B2274" s="8" t="s">
        <v>14786</v>
      </c>
      <c r="C2274" s="8" t="s">
        <v>14787</v>
      </c>
      <c r="D2274" s="8" t="s">
        <v>16</v>
      </c>
      <c r="E2274" s="9" t="s">
        <v>14788</v>
      </c>
      <c r="F2274" s="10" t="s">
        <v>12912</v>
      </c>
      <c r="G2274" s="8">
        <v>23.61</v>
      </c>
      <c r="H2274" s="8"/>
      <c r="I2274" s="10"/>
      <c r="J2274" s="10" t="s">
        <v>14789</v>
      </c>
      <c r="K2274" s="10" t="s">
        <v>14790</v>
      </c>
      <c r="L2274" s="29" t="s">
        <v>14791</v>
      </c>
      <c r="M2274" s="10"/>
      <c r="N2274" s="12"/>
      <c r="O2274" s="12"/>
      <c r="P2274" s="13">
        <f>IFERROR(__xludf.DUMMYFUNCTION("VALUE(SUBSTITUTE((INDEX(SPLIT(A2274,"",""),1)),""."","","",1))"),47.263427)</f>
        <v>47.263427</v>
      </c>
      <c r="Q2274" s="13">
        <f>IFERROR(__xludf.DUMMYFUNCTION("VALUE(SUBSTITUTE((INDEX(SPLIT(A2274,"",""),2)),""."","","",1))"),39.840948)</f>
        <v>39.840948</v>
      </c>
      <c r="R2274" s="14" t="b">
        <f t="shared" si="1"/>
        <v>0</v>
      </c>
      <c r="S2274" s="14" t="str">
        <f t="shared" si="2"/>
        <v>47.263427,39.840948</v>
      </c>
      <c r="T2274" s="12"/>
    </row>
    <row r="2275">
      <c r="A2275" s="20" t="s">
        <v>14792</v>
      </c>
      <c r="B2275" s="16" t="s">
        <v>14793</v>
      </c>
      <c r="C2275" s="16" t="s">
        <v>14794</v>
      </c>
      <c r="D2275" s="16" t="s">
        <v>16</v>
      </c>
      <c r="E2275" s="21" t="s">
        <v>14795</v>
      </c>
      <c r="F2275" s="22" t="s">
        <v>14706</v>
      </c>
      <c r="G2275" s="16">
        <v>23.61</v>
      </c>
      <c r="H2275" s="16"/>
      <c r="I2275" s="22"/>
      <c r="J2275" s="22" t="s">
        <v>14796</v>
      </c>
      <c r="K2275" s="22" t="s">
        <v>14797</v>
      </c>
      <c r="L2275" s="23" t="s">
        <v>14798</v>
      </c>
      <c r="M2275" s="22"/>
      <c r="N2275" s="12"/>
      <c r="O2275" s="12"/>
      <c r="P2275" s="13">
        <f>IFERROR(__xludf.DUMMYFUNCTION("VALUE(SUBSTITUTE((INDEX(SPLIT(A2275,"",""),1)),""."","","",1))"),64.5667)</f>
        <v>64.5667</v>
      </c>
      <c r="Q2275" s="13">
        <f>IFERROR(__xludf.DUMMYFUNCTION("VALUE(SUBSTITUTE((INDEX(SPLIT(A2275,"",""),2)),""."","","",1))"),39.853156)</f>
        <v>39.853156</v>
      </c>
      <c r="R2275" s="14" t="b">
        <f t="shared" si="1"/>
        <v>0</v>
      </c>
      <c r="S2275" s="14" t="str">
        <f t="shared" si="2"/>
        <v>64.5667,39.853156</v>
      </c>
      <c r="T2275" s="12"/>
    </row>
    <row r="2276">
      <c r="A2276" s="18" t="s">
        <v>14799</v>
      </c>
      <c r="B2276" s="8" t="s">
        <v>14800</v>
      </c>
      <c r="C2276" s="8" t="s">
        <v>14801</v>
      </c>
      <c r="D2276" s="8" t="s">
        <v>16</v>
      </c>
      <c r="E2276" s="19" t="s">
        <v>14802</v>
      </c>
      <c r="F2276" s="8" t="s">
        <v>14706</v>
      </c>
      <c r="G2276" s="8">
        <v>23.61</v>
      </c>
      <c r="H2276" s="8"/>
      <c r="I2276" s="8"/>
      <c r="J2276" s="8" t="s">
        <v>14803</v>
      </c>
      <c r="K2276" s="8" t="s">
        <v>14804</v>
      </c>
      <c r="L2276" s="8"/>
      <c r="M2276" s="8"/>
      <c r="N2276" s="12"/>
      <c r="O2276" s="12"/>
      <c r="P2276" s="13">
        <f>IFERROR(__xludf.DUMMYFUNCTION("VALUE(SUBSTITUTE((INDEX(SPLIT(A2276,"",""),1)),""."","","",1))"),64.578132)</f>
        <v>64.578132</v>
      </c>
      <c r="Q2276" s="13">
        <f>IFERROR(__xludf.DUMMYFUNCTION("VALUE(SUBSTITUTE((INDEX(SPLIT(A2276,"",""),2)),""."","","",1))"),39.862489)</f>
        <v>39.862489</v>
      </c>
      <c r="R2276" s="14" t="b">
        <f t="shared" si="1"/>
        <v>0</v>
      </c>
      <c r="S2276" s="14" t="str">
        <f t="shared" si="2"/>
        <v>64.578132,39.862489</v>
      </c>
      <c r="T2276" s="12"/>
    </row>
    <row r="2277">
      <c r="A2277" s="20" t="s">
        <v>14805</v>
      </c>
      <c r="B2277" s="16" t="s">
        <v>14806</v>
      </c>
      <c r="C2277" s="16" t="s">
        <v>14807</v>
      </c>
      <c r="D2277" s="16" t="s">
        <v>16</v>
      </c>
      <c r="E2277" s="21" t="s">
        <v>14808</v>
      </c>
      <c r="F2277" s="22" t="s">
        <v>13359</v>
      </c>
      <c r="G2277" s="16">
        <v>23.61</v>
      </c>
      <c r="H2277" s="16"/>
      <c r="I2277" s="22"/>
      <c r="J2277" s="22" t="s">
        <v>14809</v>
      </c>
      <c r="K2277" s="22" t="s">
        <v>14754</v>
      </c>
      <c r="L2277" s="23" t="s">
        <v>14810</v>
      </c>
      <c r="M2277" s="22"/>
      <c r="N2277" s="12"/>
      <c r="O2277" s="12"/>
      <c r="P2277" s="13">
        <f>IFERROR(__xludf.DUMMYFUNCTION("VALUE(SUBSTITUTE((INDEX(SPLIT(A2277,"",""),1)),""."","","",1))"),54.583608)</f>
        <v>54.583608</v>
      </c>
      <c r="Q2277" s="13">
        <f>IFERROR(__xludf.DUMMYFUNCTION("VALUE(SUBSTITUTE((INDEX(SPLIT(A2277,"",""),2)),""."","","",1))"),39.862615)</f>
        <v>39.862615</v>
      </c>
      <c r="R2277" s="14" t="b">
        <f t="shared" si="1"/>
        <v>0</v>
      </c>
      <c r="S2277" s="14" t="str">
        <f t="shared" si="2"/>
        <v>54.583608,39.862615</v>
      </c>
      <c r="T2277" s="12"/>
    </row>
    <row r="2278">
      <c r="A2278" s="7" t="s">
        <v>14811</v>
      </c>
      <c r="B2278" s="8" t="s">
        <v>14812</v>
      </c>
      <c r="C2278" s="8" t="s">
        <v>14813</v>
      </c>
      <c r="D2278" s="8" t="s">
        <v>16</v>
      </c>
      <c r="E2278" s="9" t="s">
        <v>14814</v>
      </c>
      <c r="F2278" s="10" t="s">
        <v>11562</v>
      </c>
      <c r="G2278" s="8">
        <v>23.61</v>
      </c>
      <c r="H2278" s="8"/>
      <c r="I2278" s="10"/>
      <c r="J2278" s="10" t="s">
        <v>14815</v>
      </c>
      <c r="K2278" s="10" t="s">
        <v>14816</v>
      </c>
      <c r="L2278" s="11" t="s">
        <v>14817</v>
      </c>
      <c r="M2278" s="11" t="s">
        <v>14818</v>
      </c>
      <c r="N2278" s="12"/>
      <c r="O2278" s="12"/>
      <c r="P2278" s="13">
        <f>IFERROR(__xludf.DUMMYFUNCTION("VALUE(SUBSTITUTE((INDEX(SPLIT(A2278,"",""),1)),""."","","",1))"),59.207489)</f>
        <v>59.207489</v>
      </c>
      <c r="Q2278" s="13">
        <f>IFERROR(__xludf.DUMMYFUNCTION("VALUE(SUBSTITUTE((INDEX(SPLIT(A2278,"",""),2)),""."","","",1))"),39.867789)</f>
        <v>39.867789</v>
      </c>
      <c r="R2278" s="14" t="b">
        <f t="shared" si="1"/>
        <v>0</v>
      </c>
      <c r="S2278" s="14" t="str">
        <f t="shared" si="2"/>
        <v>59.207489,39.867789</v>
      </c>
      <c r="T2278" s="12"/>
    </row>
    <row r="2279">
      <c r="A2279" s="20" t="s">
        <v>14819</v>
      </c>
      <c r="B2279" s="16" t="s">
        <v>14820</v>
      </c>
      <c r="C2279" s="16" t="s">
        <v>14821</v>
      </c>
      <c r="D2279" s="16" t="s">
        <v>16</v>
      </c>
      <c r="E2279" s="21" t="s">
        <v>14822</v>
      </c>
      <c r="F2279" s="22" t="s">
        <v>8566</v>
      </c>
      <c r="G2279" s="16">
        <v>23.61</v>
      </c>
      <c r="H2279" s="16"/>
      <c r="I2279" s="28" t="s">
        <v>14823</v>
      </c>
      <c r="J2279" s="22" t="s">
        <v>14824</v>
      </c>
      <c r="K2279" s="22" t="s">
        <v>14825</v>
      </c>
      <c r="L2279" s="23" t="s">
        <v>14826</v>
      </c>
      <c r="M2279" s="22"/>
      <c r="N2279" s="12"/>
      <c r="O2279" s="12"/>
      <c r="P2279" s="13">
        <f>IFERROR(__xludf.DUMMYFUNCTION("VALUE(SUBSTITUTE((INDEX(SPLIT(A2279,"",""),1)),""."","","",1))"),44.79342)</f>
        <v>44.79342</v>
      </c>
      <c r="Q2279" s="13">
        <f>IFERROR(__xludf.DUMMYFUNCTION("VALUE(SUBSTITUTE((INDEX(SPLIT(A2279,"",""),2)),""."","","",1))"),39.867942)</f>
        <v>39.867942</v>
      </c>
      <c r="R2279" s="14" t="b">
        <f t="shared" si="1"/>
        <v>0</v>
      </c>
      <c r="S2279" s="14" t="str">
        <f t="shared" si="2"/>
        <v>44.79342,39.867942</v>
      </c>
      <c r="T2279" s="12"/>
    </row>
    <row r="2280">
      <c r="A2280" s="18" t="s">
        <v>14827</v>
      </c>
      <c r="B2280" s="8" t="s">
        <v>14828</v>
      </c>
      <c r="C2280" s="8" t="s">
        <v>14829</v>
      </c>
      <c r="D2280" s="8" t="s">
        <v>16</v>
      </c>
      <c r="E2280" s="19" t="s">
        <v>14830</v>
      </c>
      <c r="F2280" s="8" t="s">
        <v>11562</v>
      </c>
      <c r="G2280" s="8">
        <v>23.61</v>
      </c>
      <c r="H2280" s="8"/>
      <c r="I2280" s="8"/>
      <c r="J2280" s="8" t="s">
        <v>14831</v>
      </c>
      <c r="K2280" s="8" t="s">
        <v>14832</v>
      </c>
      <c r="L2280" s="8"/>
      <c r="M2280" s="8"/>
      <c r="N2280" s="12"/>
      <c r="O2280" s="12"/>
      <c r="P2280" s="13">
        <f>IFERROR(__xludf.DUMMYFUNCTION("VALUE(SUBSTITUTE((INDEX(SPLIT(A2280,"",""),1)),""."","","",1))"),59.193569)</f>
        <v>59.193569</v>
      </c>
      <c r="Q2280" s="13">
        <f>IFERROR(__xludf.DUMMYFUNCTION("VALUE(SUBSTITUTE((INDEX(SPLIT(A2280,"",""),2)),""."","","",1))"),39.86946)</f>
        <v>39.86946</v>
      </c>
      <c r="R2280" s="14" t="b">
        <f t="shared" si="1"/>
        <v>0</v>
      </c>
      <c r="S2280" s="14" t="str">
        <f t="shared" si="2"/>
        <v>59.193569,39.86946</v>
      </c>
      <c r="T2280" s="12"/>
    </row>
    <row r="2281">
      <c r="A2281" s="20" t="s">
        <v>14833</v>
      </c>
      <c r="B2281" s="16" t="s">
        <v>14834</v>
      </c>
      <c r="C2281" s="16" t="s">
        <v>14835</v>
      </c>
      <c r="D2281" s="16" t="s">
        <v>16</v>
      </c>
      <c r="E2281" s="21" t="s">
        <v>14836</v>
      </c>
      <c r="F2281" s="22" t="s">
        <v>12912</v>
      </c>
      <c r="G2281" s="16">
        <v>23.61</v>
      </c>
      <c r="H2281" s="16"/>
      <c r="I2281" s="22"/>
      <c r="J2281" s="22" t="s">
        <v>14837</v>
      </c>
      <c r="K2281" s="22" t="s">
        <v>14838</v>
      </c>
      <c r="L2281" s="23" t="s">
        <v>14839</v>
      </c>
      <c r="M2281" s="22"/>
      <c r="N2281" s="12"/>
      <c r="O2281" s="12"/>
      <c r="P2281" s="13">
        <f>IFERROR(__xludf.DUMMYFUNCTION("VALUE(SUBSTITUTE((INDEX(SPLIT(A2281,"",""),1)),""."","","",1))"),47.262992)</f>
        <v>47.262992</v>
      </c>
      <c r="Q2281" s="13">
        <f>IFERROR(__xludf.DUMMYFUNCTION("VALUE(SUBSTITUTE((INDEX(SPLIT(A2281,"",""),2)),""."","","",1))"),39.871634)</f>
        <v>39.871634</v>
      </c>
      <c r="R2281" s="14" t="b">
        <f t="shared" si="1"/>
        <v>0</v>
      </c>
      <c r="S2281" s="14" t="str">
        <f t="shared" si="2"/>
        <v>47.262992,39.871634</v>
      </c>
      <c r="T2281" s="12"/>
    </row>
    <row r="2282">
      <c r="A2282" s="7" t="s">
        <v>14840</v>
      </c>
      <c r="B2282" s="8" t="s">
        <v>5034</v>
      </c>
      <c r="C2282" s="8" t="s">
        <v>5035</v>
      </c>
      <c r="D2282" s="8" t="s">
        <v>16</v>
      </c>
      <c r="E2282" s="9" t="s">
        <v>14841</v>
      </c>
      <c r="F2282" s="10" t="s">
        <v>12763</v>
      </c>
      <c r="G2282" s="8">
        <v>23.61</v>
      </c>
      <c r="H2282" s="8"/>
      <c r="I2282" s="10"/>
      <c r="J2282" s="10" t="s">
        <v>14842</v>
      </c>
      <c r="K2282" s="10" t="s">
        <v>14843</v>
      </c>
      <c r="L2282" s="11" t="s">
        <v>14844</v>
      </c>
      <c r="M2282" s="10"/>
      <c r="N2282" s="12"/>
      <c r="O2282" s="12"/>
      <c r="P2282" s="13">
        <f>IFERROR(__xludf.DUMMYFUNCTION("VALUE(SUBSTITUTE((INDEX(SPLIT(A2282,"",""),1)),""."","","",1))"),57.634062)</f>
        <v>57.634062</v>
      </c>
      <c r="Q2282" s="13">
        <f>IFERROR(__xludf.DUMMYFUNCTION("VALUE(SUBSTITUTE((INDEX(SPLIT(A2282,"",""),2)),""."","","",1))"),39.871823)</f>
        <v>39.871823</v>
      </c>
      <c r="R2282" s="14" t="b">
        <f t="shared" si="1"/>
        <v>0</v>
      </c>
      <c r="S2282" s="14" t="str">
        <f t="shared" si="2"/>
        <v>57.634062,39.871823</v>
      </c>
      <c r="T2282" s="12"/>
    </row>
    <row r="2283">
      <c r="A2283" s="15" t="s">
        <v>14845</v>
      </c>
      <c r="B2283" s="16" t="s">
        <v>14846</v>
      </c>
      <c r="C2283" s="16" t="s">
        <v>14847</v>
      </c>
      <c r="D2283" s="16" t="s">
        <v>16</v>
      </c>
      <c r="E2283" s="17" t="s">
        <v>14848</v>
      </c>
      <c r="F2283" s="16" t="s">
        <v>12763</v>
      </c>
      <c r="G2283" s="16">
        <v>23.61</v>
      </c>
      <c r="H2283" s="16"/>
      <c r="I2283" s="16"/>
      <c r="J2283" s="16" t="s">
        <v>14849</v>
      </c>
      <c r="K2283" s="16" t="s">
        <v>14850</v>
      </c>
      <c r="L2283" s="16"/>
      <c r="M2283" s="25" t="s">
        <v>14851</v>
      </c>
      <c r="N2283" s="12"/>
      <c r="O2283" s="12"/>
      <c r="P2283" s="13">
        <f>IFERROR(__xludf.DUMMYFUNCTION("VALUE(SUBSTITUTE((INDEX(SPLIT(A2283,"",""),1)),""."","","",1))"),57.631768)</f>
        <v>57.631768</v>
      </c>
      <c r="Q2283" s="13">
        <f>IFERROR(__xludf.DUMMYFUNCTION("VALUE(SUBSTITUTE((INDEX(SPLIT(A2283,"",""),2)),""."","","",1))"),39.872209)</f>
        <v>39.872209</v>
      </c>
      <c r="R2283" s="14" t="b">
        <f t="shared" si="1"/>
        <v>0</v>
      </c>
      <c r="S2283" s="14" t="str">
        <f t="shared" si="2"/>
        <v>57.631768,39.872209</v>
      </c>
      <c r="T2283" s="12"/>
    </row>
    <row r="2284">
      <c r="A2284" s="18" t="s">
        <v>14852</v>
      </c>
      <c r="B2284" s="8" t="s">
        <v>14846</v>
      </c>
      <c r="C2284" s="8" t="s">
        <v>14847</v>
      </c>
      <c r="D2284" s="8" t="s">
        <v>16</v>
      </c>
      <c r="E2284" s="19" t="s">
        <v>14853</v>
      </c>
      <c r="F2284" s="8" t="s">
        <v>12763</v>
      </c>
      <c r="G2284" s="8">
        <v>23.61</v>
      </c>
      <c r="H2284" s="8"/>
      <c r="I2284" s="8"/>
      <c r="J2284" s="8" t="s">
        <v>14854</v>
      </c>
      <c r="K2284" s="8" t="s">
        <v>14855</v>
      </c>
      <c r="L2284" s="8"/>
      <c r="M2284" s="8"/>
      <c r="N2284" s="12"/>
      <c r="O2284" s="12"/>
      <c r="P2284" s="13">
        <f>IFERROR(__xludf.DUMMYFUNCTION("VALUE(SUBSTITUTE((INDEX(SPLIT(A2284,"",""),1)),""."","","",1))"),57.630867)</f>
        <v>57.630867</v>
      </c>
      <c r="Q2284" s="13">
        <f>IFERROR(__xludf.DUMMYFUNCTION("VALUE(SUBSTITUTE((INDEX(SPLIT(A2284,"",""),2)),""."","","",1))"),39.873278)</f>
        <v>39.873278</v>
      </c>
      <c r="R2284" s="14" t="b">
        <f t="shared" si="1"/>
        <v>0</v>
      </c>
      <c r="S2284" s="14" t="str">
        <f t="shared" si="2"/>
        <v>57.630867,39.873278</v>
      </c>
      <c r="T2284" s="12"/>
    </row>
    <row r="2285">
      <c r="A2285" s="15" t="s">
        <v>14852</v>
      </c>
      <c r="B2285" s="16" t="s">
        <v>14856</v>
      </c>
      <c r="C2285" s="16" t="s">
        <v>14857</v>
      </c>
      <c r="D2285" s="16" t="s">
        <v>16</v>
      </c>
      <c r="E2285" s="17" t="s">
        <v>14858</v>
      </c>
      <c r="F2285" s="16" t="s">
        <v>12763</v>
      </c>
      <c r="G2285" s="16">
        <v>23.61</v>
      </c>
      <c r="H2285" s="16"/>
      <c r="I2285" s="16"/>
      <c r="J2285" s="16" t="s">
        <v>14859</v>
      </c>
      <c r="K2285" s="16" t="s">
        <v>14860</v>
      </c>
      <c r="L2285" s="16"/>
      <c r="M2285" s="16"/>
      <c r="N2285" s="12"/>
      <c r="O2285" s="12"/>
      <c r="P2285" s="13">
        <f>IFERROR(__xludf.DUMMYFUNCTION("VALUE(SUBSTITUTE((INDEX(SPLIT(A2285,"",""),1)),""."","","",1))"),57.630867)</f>
        <v>57.630867</v>
      </c>
      <c r="Q2285" s="13">
        <f>IFERROR(__xludf.DUMMYFUNCTION("VALUE(SUBSTITUTE((INDEX(SPLIT(A2285,"",""),2)),""."","","",1))"),39.873278)</f>
        <v>39.873278</v>
      </c>
      <c r="R2285" s="14" t="b">
        <f t="shared" si="1"/>
        <v>0</v>
      </c>
      <c r="S2285" s="14" t="str">
        <f t="shared" si="2"/>
        <v>57.630867,39.873278</v>
      </c>
      <c r="T2285" s="12"/>
    </row>
    <row r="2286">
      <c r="A2286" s="18" t="s">
        <v>14861</v>
      </c>
      <c r="B2286" s="8" t="s">
        <v>14862</v>
      </c>
      <c r="C2286" s="8" t="s">
        <v>14863</v>
      </c>
      <c r="D2286" s="8" t="s">
        <v>16</v>
      </c>
      <c r="E2286" s="19" t="s">
        <v>14864</v>
      </c>
      <c r="F2286" s="8" t="s">
        <v>11562</v>
      </c>
      <c r="G2286" s="8">
        <v>23.61</v>
      </c>
      <c r="H2286" s="8"/>
      <c r="I2286" s="8"/>
      <c r="J2286" s="8" t="s">
        <v>14865</v>
      </c>
      <c r="K2286" s="8" t="s">
        <v>14866</v>
      </c>
      <c r="L2286" s="8"/>
      <c r="M2286" s="8"/>
      <c r="N2286" s="12"/>
      <c r="O2286" s="12"/>
      <c r="P2286" s="13">
        <f>IFERROR(__xludf.DUMMYFUNCTION("VALUE(SUBSTITUTE((INDEX(SPLIT(A2286,"",""),1)),""."","","",1))"),59.196836)</f>
        <v>59.196836</v>
      </c>
      <c r="Q2286" s="13">
        <f>IFERROR(__xludf.DUMMYFUNCTION("VALUE(SUBSTITUTE((INDEX(SPLIT(A2286,"",""),2)),""."","","",1))"),39.875003)</f>
        <v>39.875003</v>
      </c>
      <c r="R2286" s="14" t="b">
        <f t="shared" si="1"/>
        <v>0</v>
      </c>
      <c r="S2286" s="14" t="str">
        <f t="shared" si="2"/>
        <v>59.196836,39.875003</v>
      </c>
      <c r="T2286" s="12"/>
    </row>
    <row r="2287">
      <c r="A2287" s="15" t="s">
        <v>14867</v>
      </c>
      <c r="B2287" s="16" t="s">
        <v>14868</v>
      </c>
      <c r="C2287" s="16" t="s">
        <v>14869</v>
      </c>
      <c r="D2287" s="16" t="s">
        <v>16</v>
      </c>
      <c r="E2287" s="17" t="s">
        <v>14870</v>
      </c>
      <c r="F2287" s="16" t="s">
        <v>12763</v>
      </c>
      <c r="G2287" s="16">
        <v>23.61</v>
      </c>
      <c r="H2287" s="16"/>
      <c r="I2287" s="16"/>
      <c r="J2287" s="16" t="s">
        <v>14871</v>
      </c>
      <c r="K2287" s="16" t="s">
        <v>14872</v>
      </c>
      <c r="L2287" s="16"/>
      <c r="M2287" s="16"/>
      <c r="N2287" s="12"/>
      <c r="O2287" s="12"/>
      <c r="P2287" s="13">
        <f>IFERROR(__xludf.DUMMYFUNCTION("VALUE(SUBSTITUTE((INDEX(SPLIT(A2287,"",""),1)),""."","","",1))"),57.62586)</f>
        <v>57.62586</v>
      </c>
      <c r="Q2287" s="13">
        <f>IFERROR(__xludf.DUMMYFUNCTION("VALUE(SUBSTITUTE((INDEX(SPLIT(A2287,"",""),2)),""."","","",1))"),39.875371)</f>
        <v>39.875371</v>
      </c>
      <c r="R2287" s="14" t="b">
        <f t="shared" si="1"/>
        <v>0</v>
      </c>
      <c r="S2287" s="14" t="str">
        <f t="shared" si="2"/>
        <v>57.62586,39.875371</v>
      </c>
      <c r="T2287" s="12"/>
    </row>
    <row r="2288">
      <c r="A2288" s="7" t="s">
        <v>14873</v>
      </c>
      <c r="B2288" s="8" t="s">
        <v>14874</v>
      </c>
      <c r="C2288" s="8" t="s">
        <v>14875</v>
      </c>
      <c r="D2288" s="8" t="s">
        <v>16</v>
      </c>
      <c r="E2288" s="9" t="s">
        <v>14876</v>
      </c>
      <c r="F2288" s="10" t="s">
        <v>11562</v>
      </c>
      <c r="G2288" s="8">
        <v>23.61</v>
      </c>
      <c r="H2288" s="8"/>
      <c r="I2288" s="10"/>
      <c r="J2288" s="10" t="s">
        <v>14877</v>
      </c>
      <c r="K2288" s="10" t="s">
        <v>14878</v>
      </c>
      <c r="L2288" s="11" t="s">
        <v>14879</v>
      </c>
      <c r="M2288" s="10"/>
      <c r="N2288" s="12"/>
      <c r="O2288" s="12"/>
      <c r="P2288" s="13">
        <f>IFERROR(__xludf.DUMMYFUNCTION("VALUE(SUBSTITUTE((INDEX(SPLIT(A2288,"",""),1)),""."","","",1))"),59.21163)</f>
        <v>59.21163</v>
      </c>
      <c r="Q2288" s="13">
        <f>IFERROR(__xludf.DUMMYFUNCTION("VALUE(SUBSTITUTE((INDEX(SPLIT(A2288,"",""),2)),""."","","",1))"),39.880357)</f>
        <v>39.880357</v>
      </c>
      <c r="R2288" s="14" t="b">
        <f t="shared" si="1"/>
        <v>0</v>
      </c>
      <c r="S2288" s="14" t="str">
        <f t="shared" si="2"/>
        <v>59.21163,39.880357</v>
      </c>
      <c r="T2288" s="12"/>
    </row>
    <row r="2289">
      <c r="A2289" s="15" t="s">
        <v>14880</v>
      </c>
      <c r="B2289" s="16" t="s">
        <v>14881</v>
      </c>
      <c r="C2289" s="16" t="s">
        <v>14882</v>
      </c>
      <c r="D2289" s="16" t="s">
        <v>16</v>
      </c>
      <c r="E2289" s="17" t="s">
        <v>14883</v>
      </c>
      <c r="F2289" s="16" t="s">
        <v>12763</v>
      </c>
      <c r="G2289" s="16">
        <v>23.61</v>
      </c>
      <c r="H2289" s="16"/>
      <c r="I2289" s="32" t="s">
        <v>14884</v>
      </c>
      <c r="J2289" s="16" t="s">
        <v>14885</v>
      </c>
      <c r="K2289" s="16" t="s">
        <v>14886</v>
      </c>
      <c r="L2289" s="16"/>
      <c r="M2289" s="16"/>
      <c r="N2289" s="12"/>
      <c r="O2289" s="12"/>
      <c r="P2289" s="13">
        <f>IFERROR(__xludf.DUMMYFUNCTION("VALUE(SUBSTITUTE((INDEX(SPLIT(A2289,"",""),1)),""."","","",1))"),57.625513)</f>
        <v>57.625513</v>
      </c>
      <c r="Q2289" s="13">
        <f>IFERROR(__xludf.DUMMYFUNCTION("VALUE(SUBSTITUTE((INDEX(SPLIT(A2289,"",""),2)),""."","","",1))"),39.882701)</f>
        <v>39.882701</v>
      </c>
      <c r="R2289" s="14" t="b">
        <f t="shared" si="1"/>
        <v>0</v>
      </c>
      <c r="S2289" s="14" t="str">
        <f t="shared" si="2"/>
        <v>57.625513,39.882701</v>
      </c>
      <c r="T2289" s="12"/>
    </row>
    <row r="2290">
      <c r="A2290" s="18" t="s">
        <v>14887</v>
      </c>
      <c r="B2290" s="8" t="s">
        <v>14888</v>
      </c>
      <c r="C2290" s="8" t="s">
        <v>14889</v>
      </c>
      <c r="D2290" s="8" t="s">
        <v>16</v>
      </c>
      <c r="E2290" s="19" t="s">
        <v>14890</v>
      </c>
      <c r="F2290" s="8" t="s">
        <v>12763</v>
      </c>
      <c r="G2290" s="8">
        <v>23.61</v>
      </c>
      <c r="H2290" s="8"/>
      <c r="I2290" s="8"/>
      <c r="J2290" s="8" t="s">
        <v>14891</v>
      </c>
      <c r="K2290" s="8" t="s">
        <v>14892</v>
      </c>
      <c r="L2290" s="8"/>
      <c r="M2290" s="8"/>
      <c r="N2290" s="12"/>
      <c r="O2290" s="12"/>
      <c r="P2290" s="13">
        <f>IFERROR(__xludf.DUMMYFUNCTION("VALUE(SUBSTITUTE((INDEX(SPLIT(A2290,"",""),1)),""."","","",1))"),57.614813)</f>
        <v>57.614813</v>
      </c>
      <c r="Q2290" s="13">
        <f>IFERROR(__xludf.DUMMYFUNCTION("VALUE(SUBSTITUTE((INDEX(SPLIT(A2290,"",""),2)),""."","","",1))"),39.884462)</f>
        <v>39.884462</v>
      </c>
      <c r="R2290" s="14" t="b">
        <f t="shared" si="1"/>
        <v>0</v>
      </c>
      <c r="S2290" s="14" t="str">
        <f t="shared" si="2"/>
        <v>57.614813,39.884462</v>
      </c>
      <c r="T2290" s="12"/>
    </row>
    <row r="2291">
      <c r="A2291" s="20" t="s">
        <v>14893</v>
      </c>
      <c r="B2291" s="16" t="s">
        <v>14894</v>
      </c>
      <c r="C2291" s="16" t="s">
        <v>14894</v>
      </c>
      <c r="D2291" s="16" t="s">
        <v>16</v>
      </c>
      <c r="E2291" s="21" t="s">
        <v>14895</v>
      </c>
      <c r="F2291" s="22" t="s">
        <v>11562</v>
      </c>
      <c r="G2291" s="16">
        <v>23.61</v>
      </c>
      <c r="H2291" s="16"/>
      <c r="I2291" s="22"/>
      <c r="J2291" s="22" t="s">
        <v>14896</v>
      </c>
      <c r="K2291" s="22" t="s">
        <v>14897</v>
      </c>
      <c r="L2291" s="23" t="s">
        <v>14898</v>
      </c>
      <c r="M2291" s="22"/>
      <c r="N2291" s="12"/>
      <c r="O2291" s="12"/>
      <c r="P2291" s="13">
        <f>IFERROR(__xludf.DUMMYFUNCTION("VALUE(SUBSTITUTE((INDEX(SPLIT(A2291,"",""),1)),""."","","",1))"),59.233204)</f>
        <v>59.233204</v>
      </c>
      <c r="Q2291" s="13">
        <f>IFERROR(__xludf.DUMMYFUNCTION("VALUE(SUBSTITUTE((INDEX(SPLIT(A2291,"",""),2)),""."","","",1))"),39.886088)</f>
        <v>39.886088</v>
      </c>
      <c r="R2291" s="14" t="b">
        <f t="shared" si="1"/>
        <v>0</v>
      </c>
      <c r="S2291" s="14" t="str">
        <f t="shared" si="2"/>
        <v>59.233204,39.886088</v>
      </c>
      <c r="T2291" s="12"/>
    </row>
    <row r="2292">
      <c r="A2292" s="7" t="s">
        <v>14899</v>
      </c>
      <c r="B2292" s="8" t="s">
        <v>14900</v>
      </c>
      <c r="C2292" s="8" t="s">
        <v>14901</v>
      </c>
      <c r="D2292" s="8" t="s">
        <v>16</v>
      </c>
      <c r="E2292" s="9" t="s">
        <v>14902</v>
      </c>
      <c r="F2292" s="10" t="s">
        <v>8566</v>
      </c>
      <c r="G2292" s="8">
        <v>23.61</v>
      </c>
      <c r="H2292" s="8"/>
      <c r="I2292" s="10"/>
      <c r="J2292" s="10" t="s">
        <v>14903</v>
      </c>
      <c r="K2292" s="10" t="s">
        <v>14825</v>
      </c>
      <c r="L2292" s="11" t="s">
        <v>14904</v>
      </c>
      <c r="M2292" s="10"/>
      <c r="N2292" s="12"/>
      <c r="O2292" s="12"/>
      <c r="P2292" s="13">
        <f>IFERROR(__xludf.DUMMYFUNCTION("VALUE(SUBSTITUTE((INDEX(SPLIT(A2292,"",""),1)),""."","","",1))"),44.741374)</f>
        <v>44.741374</v>
      </c>
      <c r="Q2292" s="13">
        <f>IFERROR(__xludf.DUMMYFUNCTION("VALUE(SUBSTITUTE((INDEX(SPLIT(A2292,"",""),2)),""."","","",1))"),39.886816)</f>
        <v>39.886816</v>
      </c>
      <c r="R2292" s="14" t="b">
        <f t="shared" si="1"/>
        <v>0</v>
      </c>
      <c r="S2292" s="14" t="str">
        <f t="shared" si="2"/>
        <v>44.741374,39.886816</v>
      </c>
      <c r="T2292" s="12"/>
    </row>
    <row r="2293">
      <c r="A2293" s="20" t="s">
        <v>14905</v>
      </c>
      <c r="B2293" s="16" t="s">
        <v>1826</v>
      </c>
      <c r="C2293" s="16" t="s">
        <v>1827</v>
      </c>
      <c r="D2293" s="16" t="s">
        <v>16</v>
      </c>
      <c r="E2293" s="21" t="s">
        <v>14906</v>
      </c>
      <c r="F2293" s="22" t="s">
        <v>12912</v>
      </c>
      <c r="G2293" s="16">
        <v>23.61</v>
      </c>
      <c r="H2293" s="16"/>
      <c r="I2293" s="22"/>
      <c r="J2293" s="22" t="s">
        <v>14907</v>
      </c>
      <c r="K2293" s="22" t="s">
        <v>14908</v>
      </c>
      <c r="L2293" s="23" t="s">
        <v>14909</v>
      </c>
      <c r="M2293" s="23" t="s">
        <v>14910</v>
      </c>
      <c r="N2293" s="12"/>
      <c r="O2293" s="12"/>
      <c r="P2293" s="13">
        <f>IFERROR(__xludf.DUMMYFUNCTION("VALUE(SUBSTITUTE((INDEX(SPLIT(A2293,"",""),1)),""."","","",1))"),47.260748)</f>
        <v>47.260748</v>
      </c>
      <c r="Q2293" s="13">
        <f>IFERROR(__xludf.DUMMYFUNCTION("VALUE(SUBSTITUTE((INDEX(SPLIT(A2293,"",""),2)),""."","","",1))"),39.888046)</f>
        <v>39.888046</v>
      </c>
      <c r="R2293" s="14" t="b">
        <f t="shared" si="1"/>
        <v>0</v>
      </c>
      <c r="S2293" s="14" t="str">
        <f t="shared" si="2"/>
        <v>47.260748,39.888046</v>
      </c>
      <c r="T2293" s="12"/>
    </row>
    <row r="2294">
      <c r="A2294" s="18" t="s">
        <v>14911</v>
      </c>
      <c r="B2294" s="8" t="s">
        <v>14912</v>
      </c>
      <c r="C2294" s="8" t="s">
        <v>14913</v>
      </c>
      <c r="D2294" s="8" t="s">
        <v>16</v>
      </c>
      <c r="E2294" s="19" t="s">
        <v>14914</v>
      </c>
      <c r="F2294" s="8" t="s">
        <v>8566</v>
      </c>
      <c r="G2294" s="8">
        <v>23.61</v>
      </c>
      <c r="H2294" s="8"/>
      <c r="I2294" s="8"/>
      <c r="J2294" s="8" t="s">
        <v>14915</v>
      </c>
      <c r="K2294" s="8" t="s">
        <v>14916</v>
      </c>
      <c r="L2294" s="8"/>
      <c r="M2294" s="8"/>
      <c r="N2294" s="12"/>
      <c r="O2294" s="12"/>
      <c r="P2294" s="13">
        <f>IFERROR(__xludf.DUMMYFUNCTION("VALUE(SUBSTITUTE((INDEX(SPLIT(A2294,"",""),1)),""."","","",1))"),44.747904)</f>
        <v>44.747904</v>
      </c>
      <c r="Q2294" s="13">
        <f>IFERROR(__xludf.DUMMYFUNCTION("VALUE(SUBSTITUTE((INDEX(SPLIT(A2294,"",""),2)),""."","","",1))"),39.88863)</f>
        <v>39.88863</v>
      </c>
      <c r="R2294" s="14" t="b">
        <f t="shared" si="1"/>
        <v>0</v>
      </c>
      <c r="S2294" s="14" t="str">
        <f t="shared" si="2"/>
        <v>44.747904,39.88863</v>
      </c>
      <c r="T2294" s="12"/>
    </row>
    <row r="2295">
      <c r="A2295" s="15" t="s">
        <v>14911</v>
      </c>
      <c r="B2295" s="16" t="s">
        <v>14917</v>
      </c>
      <c r="C2295" s="16" t="s">
        <v>14918</v>
      </c>
      <c r="D2295" s="16" t="s">
        <v>16</v>
      </c>
      <c r="E2295" s="17" t="s">
        <v>14919</v>
      </c>
      <c r="F2295" s="16" t="s">
        <v>8566</v>
      </c>
      <c r="G2295" s="16">
        <v>23.61</v>
      </c>
      <c r="H2295" s="16"/>
      <c r="I2295" s="16"/>
      <c r="J2295" s="16" t="s">
        <v>14915</v>
      </c>
      <c r="K2295" s="16" t="s">
        <v>14916</v>
      </c>
      <c r="L2295" s="16"/>
      <c r="M2295" s="16"/>
      <c r="N2295" s="12"/>
      <c r="O2295" s="12"/>
      <c r="P2295" s="13">
        <f>IFERROR(__xludf.DUMMYFUNCTION("VALUE(SUBSTITUTE((INDEX(SPLIT(A2295,"",""),1)),""."","","",1))"),44.747904)</f>
        <v>44.747904</v>
      </c>
      <c r="Q2295" s="13">
        <f>IFERROR(__xludf.DUMMYFUNCTION("VALUE(SUBSTITUTE((INDEX(SPLIT(A2295,"",""),2)),""."","","",1))"),39.88863)</f>
        <v>39.88863</v>
      </c>
      <c r="R2295" s="14" t="b">
        <f t="shared" si="1"/>
        <v>0</v>
      </c>
      <c r="S2295" s="14" t="str">
        <f t="shared" si="2"/>
        <v>44.747904,39.88863</v>
      </c>
      <c r="T2295" s="12"/>
    </row>
    <row r="2296">
      <c r="A2296" s="7" t="s">
        <v>14920</v>
      </c>
      <c r="B2296" s="8" t="s">
        <v>14921</v>
      </c>
      <c r="C2296" s="8" t="s">
        <v>14922</v>
      </c>
      <c r="D2296" s="8" t="s">
        <v>16</v>
      </c>
      <c r="E2296" s="9" t="s">
        <v>14923</v>
      </c>
      <c r="F2296" s="10" t="s">
        <v>12763</v>
      </c>
      <c r="G2296" s="8">
        <v>23.61</v>
      </c>
      <c r="H2296" s="8"/>
      <c r="I2296" s="31" t="s">
        <v>14924</v>
      </c>
      <c r="J2296" s="10" t="s">
        <v>14925</v>
      </c>
      <c r="K2296" s="10" t="s">
        <v>14926</v>
      </c>
      <c r="L2296" s="11" t="s">
        <v>14927</v>
      </c>
      <c r="M2296" s="10"/>
      <c r="N2296" s="12"/>
      <c r="O2296" s="12"/>
      <c r="P2296" s="13">
        <f>IFERROR(__xludf.DUMMYFUNCTION("VALUE(SUBSTITUTE((INDEX(SPLIT(A2296,"",""),1)),""."","","",1))"),57.625272)</f>
        <v>57.625272</v>
      </c>
      <c r="Q2296" s="13">
        <f>IFERROR(__xludf.DUMMYFUNCTION("VALUE(SUBSTITUTE((INDEX(SPLIT(A2296,"",""),2)),""."","","",1))"),39.888963)</f>
        <v>39.888963</v>
      </c>
      <c r="R2296" s="14" t="b">
        <f t="shared" si="1"/>
        <v>0</v>
      </c>
      <c r="S2296" s="14" t="str">
        <f t="shared" si="2"/>
        <v>57.625272,39.888963</v>
      </c>
      <c r="T2296" s="12"/>
    </row>
    <row r="2297">
      <c r="A2297" s="20" t="s">
        <v>14928</v>
      </c>
      <c r="B2297" s="16" t="s">
        <v>14929</v>
      </c>
      <c r="C2297" s="16" t="s">
        <v>14930</v>
      </c>
      <c r="D2297" s="16" t="s">
        <v>16</v>
      </c>
      <c r="E2297" s="21" t="s">
        <v>14931</v>
      </c>
      <c r="F2297" s="22" t="s">
        <v>11562</v>
      </c>
      <c r="G2297" s="16">
        <v>23.61</v>
      </c>
      <c r="H2297" s="16"/>
      <c r="I2297" s="22"/>
      <c r="J2297" s="22" t="s">
        <v>14932</v>
      </c>
      <c r="K2297" s="22" t="s">
        <v>14933</v>
      </c>
      <c r="L2297" s="23" t="s">
        <v>14934</v>
      </c>
      <c r="M2297" s="22"/>
      <c r="N2297" s="12"/>
      <c r="O2297" s="12"/>
      <c r="P2297" s="13">
        <f>IFERROR(__xludf.DUMMYFUNCTION("VALUE(SUBSTITUTE((INDEX(SPLIT(A2297,"",""),1)),""."","","",1))"),59.189425)</f>
        <v>59.189425</v>
      </c>
      <c r="Q2297" s="13">
        <f>IFERROR(__xludf.DUMMYFUNCTION("VALUE(SUBSTITUTE((INDEX(SPLIT(A2297,"",""),2)),""."","","",1))"),39.89314)</f>
        <v>39.89314</v>
      </c>
      <c r="R2297" s="14" t="b">
        <f t="shared" si="1"/>
        <v>0</v>
      </c>
      <c r="S2297" s="14" t="str">
        <f t="shared" si="2"/>
        <v>59.189425,39.89314</v>
      </c>
      <c r="T2297" s="12"/>
    </row>
    <row r="2298">
      <c r="A2298" s="18" t="s">
        <v>14935</v>
      </c>
      <c r="B2298" s="8" t="s">
        <v>14936</v>
      </c>
      <c r="C2298" s="8" t="s">
        <v>14937</v>
      </c>
      <c r="D2298" s="8" t="s">
        <v>16</v>
      </c>
      <c r="E2298" s="19" t="s">
        <v>14938</v>
      </c>
      <c r="F2298" s="8" t="s">
        <v>12763</v>
      </c>
      <c r="G2298" s="8">
        <v>23.61</v>
      </c>
      <c r="H2298" s="8"/>
      <c r="I2298" s="8"/>
      <c r="J2298" s="8" t="s">
        <v>14939</v>
      </c>
      <c r="K2298" s="8" t="s">
        <v>14940</v>
      </c>
      <c r="L2298" s="8"/>
      <c r="M2298" s="24" t="s">
        <v>14941</v>
      </c>
      <c r="N2298" s="12"/>
      <c r="O2298" s="12"/>
      <c r="P2298" s="13">
        <f>IFERROR(__xludf.DUMMYFUNCTION("VALUE(SUBSTITUTE((INDEX(SPLIT(A2298,"",""),1)),""."","","",1))"),57.601042)</f>
        <v>57.601042</v>
      </c>
      <c r="Q2298" s="13">
        <f>IFERROR(__xludf.DUMMYFUNCTION("VALUE(SUBSTITUTE((INDEX(SPLIT(A2298,"",""),2)),""."","","",1))"),39.893742)</f>
        <v>39.893742</v>
      </c>
      <c r="R2298" s="14" t="b">
        <f t="shared" si="1"/>
        <v>0</v>
      </c>
      <c r="S2298" s="14" t="str">
        <f t="shared" si="2"/>
        <v>57.601042,39.893742</v>
      </c>
      <c r="T2298" s="12"/>
    </row>
    <row r="2299">
      <c r="A2299" s="15" t="s">
        <v>14942</v>
      </c>
      <c r="B2299" s="16" t="s">
        <v>14943</v>
      </c>
      <c r="C2299" s="16" t="s">
        <v>14944</v>
      </c>
      <c r="D2299" s="16" t="s">
        <v>16</v>
      </c>
      <c r="E2299" s="17" t="s">
        <v>14945</v>
      </c>
      <c r="F2299" s="16" t="s">
        <v>12763</v>
      </c>
      <c r="G2299" s="16">
        <v>23.61</v>
      </c>
      <c r="H2299" s="16"/>
      <c r="I2299" s="16"/>
      <c r="J2299" s="16" t="s">
        <v>14946</v>
      </c>
      <c r="K2299" s="16" t="s">
        <v>14947</v>
      </c>
      <c r="L2299" s="16"/>
      <c r="M2299" s="16"/>
      <c r="N2299" s="12"/>
      <c r="O2299" s="12"/>
      <c r="P2299" s="13">
        <f>IFERROR(__xludf.DUMMYFUNCTION("VALUE(SUBSTITUTE((INDEX(SPLIT(A2299,"",""),1)),""."","","",1))"),57.626559)</f>
        <v>57.626559</v>
      </c>
      <c r="Q2299" s="13">
        <f>IFERROR(__xludf.DUMMYFUNCTION("VALUE(SUBSTITUTE((INDEX(SPLIT(A2299,"",""),2)),""."","","",1))"),39.893813)</f>
        <v>39.893813</v>
      </c>
      <c r="R2299" s="14" t="b">
        <f t="shared" si="1"/>
        <v>0</v>
      </c>
      <c r="S2299" s="14" t="str">
        <f t="shared" si="2"/>
        <v>57.626559,39.893813</v>
      </c>
      <c r="T2299" s="12"/>
    </row>
    <row r="2300">
      <c r="A2300" s="18" t="s">
        <v>14948</v>
      </c>
      <c r="B2300" s="8" t="s">
        <v>14949</v>
      </c>
      <c r="C2300" s="8" t="s">
        <v>14950</v>
      </c>
      <c r="D2300" s="8" t="s">
        <v>16</v>
      </c>
      <c r="E2300" s="19" t="s">
        <v>14951</v>
      </c>
      <c r="F2300" s="8" t="s">
        <v>12763</v>
      </c>
      <c r="G2300" s="8">
        <v>23.61</v>
      </c>
      <c r="H2300" s="8"/>
      <c r="I2300" s="8"/>
      <c r="J2300" s="8" t="s">
        <v>14952</v>
      </c>
      <c r="K2300" s="8" t="s">
        <v>14953</v>
      </c>
      <c r="L2300" s="8"/>
      <c r="M2300" s="24" t="s">
        <v>14954</v>
      </c>
      <c r="N2300" s="12"/>
      <c r="O2300" s="12"/>
      <c r="P2300" s="13">
        <f>IFERROR(__xludf.DUMMYFUNCTION("VALUE(SUBSTITUTE((INDEX(SPLIT(A2300,"",""),1)),""."","","",1))"),57.609987)</f>
        <v>57.609987</v>
      </c>
      <c r="Q2300" s="13">
        <f>IFERROR(__xludf.DUMMYFUNCTION("VALUE(SUBSTITUTE((INDEX(SPLIT(A2300,"",""),2)),""."","","",1))"),39.894038)</f>
        <v>39.894038</v>
      </c>
      <c r="R2300" s="14" t="b">
        <f t="shared" si="1"/>
        <v>0</v>
      </c>
      <c r="S2300" s="14" t="str">
        <f t="shared" si="2"/>
        <v>57.609987,39.894038</v>
      </c>
      <c r="T2300" s="12"/>
    </row>
    <row r="2301">
      <c r="A2301" s="15" t="s">
        <v>14955</v>
      </c>
      <c r="B2301" s="16" t="s">
        <v>14956</v>
      </c>
      <c r="C2301" s="16" t="s">
        <v>14957</v>
      </c>
      <c r="D2301" s="16" t="s">
        <v>16</v>
      </c>
      <c r="E2301" s="17" t="s">
        <v>14958</v>
      </c>
      <c r="F2301" s="16" t="s">
        <v>11562</v>
      </c>
      <c r="G2301" s="16">
        <v>23.61</v>
      </c>
      <c r="H2301" s="16"/>
      <c r="I2301" s="16"/>
      <c r="J2301" s="16" t="s">
        <v>14959</v>
      </c>
      <c r="K2301" s="16" t="s">
        <v>14960</v>
      </c>
      <c r="L2301" s="16"/>
      <c r="M2301" s="16"/>
      <c r="N2301" s="12"/>
      <c r="O2301" s="12"/>
      <c r="P2301" s="13">
        <f>IFERROR(__xludf.DUMMYFUNCTION("VALUE(SUBSTITUTE((INDEX(SPLIT(A2301,"",""),1)),""."","","",1))"),59.214965)</f>
        <v>59.214965</v>
      </c>
      <c r="Q2301" s="13">
        <f>IFERROR(__xludf.DUMMYFUNCTION("VALUE(SUBSTITUTE((INDEX(SPLIT(A2301,"",""),2)),""."","","",1))"),39.894586)</f>
        <v>39.894586</v>
      </c>
      <c r="R2301" s="14" t="b">
        <f t="shared" si="1"/>
        <v>0</v>
      </c>
      <c r="S2301" s="14" t="str">
        <f t="shared" si="2"/>
        <v>59.214965,39.894586</v>
      </c>
      <c r="T2301" s="12"/>
    </row>
    <row r="2302">
      <c r="A2302" s="7" t="s">
        <v>14961</v>
      </c>
      <c r="B2302" s="8" t="s">
        <v>14962</v>
      </c>
      <c r="C2302" s="8" t="s">
        <v>14963</v>
      </c>
      <c r="D2302" s="8" t="s">
        <v>16</v>
      </c>
      <c r="E2302" s="9" t="s">
        <v>14964</v>
      </c>
      <c r="F2302" s="10" t="s">
        <v>11562</v>
      </c>
      <c r="G2302" s="8">
        <v>23.61</v>
      </c>
      <c r="H2302" s="8"/>
      <c r="I2302" s="10"/>
      <c r="J2302" s="10" t="s">
        <v>14965</v>
      </c>
      <c r="K2302" s="10" t="s">
        <v>14966</v>
      </c>
      <c r="L2302" s="11" t="s">
        <v>14967</v>
      </c>
      <c r="M2302" s="11" t="s">
        <v>14968</v>
      </c>
      <c r="N2302" s="12"/>
      <c r="O2302" s="12"/>
      <c r="P2302" s="13">
        <f>IFERROR(__xludf.DUMMYFUNCTION("VALUE(SUBSTITUTE((INDEX(SPLIT(A2302,"",""),1)),""."","","",1))"),59.188941)</f>
        <v>59.188941</v>
      </c>
      <c r="Q2302" s="13">
        <f>IFERROR(__xludf.DUMMYFUNCTION("VALUE(SUBSTITUTE((INDEX(SPLIT(A2302,"",""),2)),""."","","",1))"),39.897335)</f>
        <v>39.897335</v>
      </c>
      <c r="R2302" s="14" t="b">
        <f t="shared" si="1"/>
        <v>0</v>
      </c>
      <c r="S2302" s="14" t="str">
        <f t="shared" si="2"/>
        <v>59.188941,39.897335</v>
      </c>
      <c r="T2302" s="12"/>
    </row>
    <row r="2303">
      <c r="A2303" s="15" t="s">
        <v>14969</v>
      </c>
      <c r="B2303" s="16" t="s">
        <v>14970</v>
      </c>
      <c r="C2303" s="16" t="s">
        <v>14971</v>
      </c>
      <c r="D2303" s="16" t="s">
        <v>16</v>
      </c>
      <c r="E2303" s="17" t="s">
        <v>14972</v>
      </c>
      <c r="F2303" s="16" t="s">
        <v>11562</v>
      </c>
      <c r="G2303" s="16">
        <v>23.61</v>
      </c>
      <c r="H2303" s="16"/>
      <c r="I2303" s="16"/>
      <c r="J2303" s="16" t="s">
        <v>14973</v>
      </c>
      <c r="K2303" s="16" t="s">
        <v>14974</v>
      </c>
      <c r="L2303" s="16"/>
      <c r="M2303" s="25" t="s">
        <v>14975</v>
      </c>
      <c r="N2303" s="12"/>
      <c r="O2303" s="12"/>
      <c r="P2303" s="13">
        <f>IFERROR(__xludf.DUMMYFUNCTION("VALUE(SUBSTITUTE((INDEX(SPLIT(A2303,"",""),1)),""."","","",1))"),59.212298)</f>
        <v>59.212298</v>
      </c>
      <c r="Q2303" s="13">
        <f>IFERROR(__xludf.DUMMYFUNCTION("VALUE(SUBSTITUTE((INDEX(SPLIT(A2303,"",""),2)),""."","","",1))"),39.897928)</f>
        <v>39.897928</v>
      </c>
      <c r="R2303" s="14" t="b">
        <f t="shared" si="1"/>
        <v>0</v>
      </c>
      <c r="S2303" s="14" t="str">
        <f t="shared" si="2"/>
        <v>59.212298,39.897928</v>
      </c>
      <c r="T2303" s="12"/>
    </row>
    <row r="2304">
      <c r="A2304" s="18" t="s">
        <v>14976</v>
      </c>
      <c r="B2304" s="8" t="s">
        <v>14977</v>
      </c>
      <c r="C2304" s="8" t="s">
        <v>14978</v>
      </c>
      <c r="D2304" s="8" t="s">
        <v>16</v>
      </c>
      <c r="E2304" s="19" t="s">
        <v>14979</v>
      </c>
      <c r="F2304" s="8" t="s">
        <v>8566</v>
      </c>
      <c r="G2304" s="8">
        <v>23.61</v>
      </c>
      <c r="H2304" s="8"/>
      <c r="I2304" s="8"/>
      <c r="J2304" s="8" t="s">
        <v>14980</v>
      </c>
      <c r="K2304" s="8" t="s">
        <v>14981</v>
      </c>
      <c r="L2304" s="8"/>
      <c r="M2304" s="8"/>
      <c r="N2304" s="12"/>
      <c r="O2304" s="12"/>
      <c r="P2304" s="13">
        <f>IFERROR(__xludf.DUMMYFUNCTION("VALUE(SUBSTITUTE((INDEX(SPLIT(A2304,"",""),1)),""."","","",1))"),43.467079)</f>
        <v>43.467079</v>
      </c>
      <c r="Q2304" s="13">
        <f>IFERROR(__xludf.DUMMYFUNCTION("VALUE(SUBSTITUTE((INDEX(SPLIT(A2304,"",""),2)),""."","","",1))"),39.899733)</f>
        <v>39.899733</v>
      </c>
      <c r="R2304" s="14" t="b">
        <f t="shared" si="1"/>
        <v>0</v>
      </c>
      <c r="S2304" s="14" t="str">
        <f t="shared" si="2"/>
        <v>43.467079,39.899733</v>
      </c>
      <c r="T2304" s="12"/>
    </row>
    <row r="2305">
      <c r="A2305" s="20" t="s">
        <v>14982</v>
      </c>
      <c r="B2305" s="16" t="s">
        <v>14983</v>
      </c>
      <c r="C2305" s="16" t="s">
        <v>14984</v>
      </c>
      <c r="D2305" s="16" t="s">
        <v>16</v>
      </c>
      <c r="E2305" s="21" t="s">
        <v>14985</v>
      </c>
      <c r="F2305" s="22" t="s">
        <v>12912</v>
      </c>
      <c r="G2305" s="16">
        <v>23.61</v>
      </c>
      <c r="H2305" s="16"/>
      <c r="I2305" s="22"/>
      <c r="J2305" s="22" t="s">
        <v>14986</v>
      </c>
      <c r="K2305" s="22" t="s">
        <v>14987</v>
      </c>
      <c r="L2305" s="23" t="s">
        <v>14988</v>
      </c>
      <c r="M2305" s="22"/>
      <c r="N2305" s="12"/>
      <c r="O2305" s="12"/>
      <c r="P2305" s="13">
        <f>IFERROR(__xludf.DUMMYFUNCTION("VALUE(SUBSTITUTE((INDEX(SPLIT(A2305,"",""),1)),""."","","",1))"),47.816135)</f>
        <v>47.816135</v>
      </c>
      <c r="Q2305" s="13">
        <f>IFERROR(__xludf.DUMMYFUNCTION("VALUE(SUBSTITUTE((INDEX(SPLIT(A2305,"",""),2)),""."","","",1))"),39.904512)</f>
        <v>39.904512</v>
      </c>
      <c r="R2305" s="14" t="b">
        <f t="shared" si="1"/>
        <v>0</v>
      </c>
      <c r="S2305" s="14" t="str">
        <f t="shared" si="2"/>
        <v>47.816135,39.904512</v>
      </c>
      <c r="T2305" s="12"/>
    </row>
    <row r="2306">
      <c r="A2306" s="7" t="s">
        <v>14982</v>
      </c>
      <c r="B2306" s="8" t="s">
        <v>7365</v>
      </c>
      <c r="C2306" s="8" t="s">
        <v>7366</v>
      </c>
      <c r="D2306" s="8" t="s">
        <v>16</v>
      </c>
      <c r="E2306" s="9" t="s">
        <v>14989</v>
      </c>
      <c r="F2306" s="10" t="s">
        <v>12912</v>
      </c>
      <c r="G2306" s="8">
        <v>23.61</v>
      </c>
      <c r="H2306" s="8"/>
      <c r="I2306" s="10"/>
      <c r="J2306" s="10" t="s">
        <v>14990</v>
      </c>
      <c r="K2306" s="10" t="s">
        <v>14991</v>
      </c>
      <c r="L2306" s="11" t="s">
        <v>14992</v>
      </c>
      <c r="M2306" s="11" t="s">
        <v>14993</v>
      </c>
      <c r="N2306" s="12"/>
      <c r="O2306" s="12"/>
      <c r="P2306" s="13">
        <f>IFERROR(__xludf.DUMMYFUNCTION("VALUE(SUBSTITUTE((INDEX(SPLIT(A2306,"",""),1)),""."","","",1))"),47.816135)</f>
        <v>47.816135</v>
      </c>
      <c r="Q2306" s="13">
        <f>IFERROR(__xludf.DUMMYFUNCTION("VALUE(SUBSTITUTE((INDEX(SPLIT(A2306,"",""),2)),""."","","",1))"),39.904512)</f>
        <v>39.904512</v>
      </c>
      <c r="R2306" s="14" t="b">
        <f t="shared" si="1"/>
        <v>0</v>
      </c>
      <c r="S2306" s="14" t="str">
        <f t="shared" si="2"/>
        <v>47.816135,39.904512</v>
      </c>
      <c r="T2306" s="12"/>
    </row>
    <row r="2307">
      <c r="A2307" s="20" t="s">
        <v>14982</v>
      </c>
      <c r="B2307" s="16" t="s">
        <v>14994</v>
      </c>
      <c r="C2307" s="16" t="s">
        <v>14995</v>
      </c>
      <c r="D2307" s="16" t="s">
        <v>16</v>
      </c>
      <c r="E2307" s="21" t="s">
        <v>14996</v>
      </c>
      <c r="F2307" s="22" t="s">
        <v>12912</v>
      </c>
      <c r="G2307" s="16">
        <v>23.61</v>
      </c>
      <c r="H2307" s="16"/>
      <c r="I2307" s="22"/>
      <c r="J2307" s="22" t="s">
        <v>14997</v>
      </c>
      <c r="K2307" s="22" t="s">
        <v>14998</v>
      </c>
      <c r="L2307" s="23" t="s">
        <v>14999</v>
      </c>
      <c r="M2307" s="22"/>
      <c r="N2307" s="12"/>
      <c r="O2307" s="12"/>
      <c r="P2307" s="13">
        <f>IFERROR(__xludf.DUMMYFUNCTION("VALUE(SUBSTITUTE((INDEX(SPLIT(A2307,"",""),1)),""."","","",1))"),47.816135)</f>
        <v>47.816135</v>
      </c>
      <c r="Q2307" s="13">
        <f>IFERROR(__xludf.DUMMYFUNCTION("VALUE(SUBSTITUTE((INDEX(SPLIT(A2307,"",""),2)),""."","","",1))"),39.904512)</f>
        <v>39.904512</v>
      </c>
      <c r="R2307" s="14" t="b">
        <f t="shared" si="1"/>
        <v>0</v>
      </c>
      <c r="S2307" s="14" t="str">
        <f t="shared" si="2"/>
        <v>47.816135,39.904512</v>
      </c>
      <c r="T2307" s="12"/>
    </row>
    <row r="2308">
      <c r="A2308" s="7" t="s">
        <v>14982</v>
      </c>
      <c r="B2308" s="8" t="s">
        <v>7365</v>
      </c>
      <c r="C2308" s="8" t="s">
        <v>7366</v>
      </c>
      <c r="D2308" s="8" t="s">
        <v>16</v>
      </c>
      <c r="E2308" s="9" t="s">
        <v>15000</v>
      </c>
      <c r="F2308" s="10" t="s">
        <v>12912</v>
      </c>
      <c r="G2308" s="8">
        <v>23.61</v>
      </c>
      <c r="H2308" s="8"/>
      <c r="I2308" s="10"/>
      <c r="J2308" s="10" t="s">
        <v>15001</v>
      </c>
      <c r="K2308" s="10" t="s">
        <v>14987</v>
      </c>
      <c r="L2308" s="11" t="s">
        <v>15002</v>
      </c>
      <c r="M2308" s="10"/>
      <c r="N2308" s="12"/>
      <c r="O2308" s="12"/>
      <c r="P2308" s="13">
        <f>IFERROR(__xludf.DUMMYFUNCTION("VALUE(SUBSTITUTE((INDEX(SPLIT(A2308,"",""),1)),""."","","",1))"),47.816135)</f>
        <v>47.816135</v>
      </c>
      <c r="Q2308" s="13">
        <f>IFERROR(__xludf.DUMMYFUNCTION("VALUE(SUBSTITUTE((INDEX(SPLIT(A2308,"",""),2)),""."","","",1))"),39.904512)</f>
        <v>39.904512</v>
      </c>
      <c r="R2308" s="14" t="b">
        <f t="shared" si="1"/>
        <v>0</v>
      </c>
      <c r="S2308" s="14" t="str">
        <f t="shared" si="2"/>
        <v>47.816135,39.904512</v>
      </c>
      <c r="T2308" s="12"/>
    </row>
    <row r="2309">
      <c r="A2309" s="15" t="s">
        <v>15003</v>
      </c>
      <c r="B2309" s="16" t="s">
        <v>15004</v>
      </c>
      <c r="C2309" s="16" t="s">
        <v>15005</v>
      </c>
      <c r="D2309" s="16" t="s">
        <v>16</v>
      </c>
      <c r="E2309" s="17" t="s">
        <v>15006</v>
      </c>
      <c r="F2309" s="16" t="s">
        <v>12912</v>
      </c>
      <c r="G2309" s="16">
        <v>23.61</v>
      </c>
      <c r="H2309" s="16"/>
      <c r="I2309" s="16"/>
      <c r="J2309" s="16" t="s">
        <v>15007</v>
      </c>
      <c r="K2309" s="16" t="s">
        <v>15008</v>
      </c>
      <c r="L2309" s="16"/>
      <c r="M2309" s="25" t="s">
        <v>15009</v>
      </c>
      <c r="N2309" s="12"/>
      <c r="O2309" s="12"/>
      <c r="P2309" s="13">
        <f>IFERROR(__xludf.DUMMYFUNCTION("VALUE(SUBSTITUTE((INDEX(SPLIT(A2309,"",""),1)),""."","","",1))"),47.788246)</f>
        <v>47.788246</v>
      </c>
      <c r="Q2309" s="13">
        <f>IFERROR(__xludf.DUMMYFUNCTION("VALUE(SUBSTITUTE((INDEX(SPLIT(A2309,"",""),2)),""."","","",1))"),39.908303)</f>
        <v>39.908303</v>
      </c>
      <c r="R2309" s="14" t="b">
        <f t="shared" si="1"/>
        <v>0</v>
      </c>
      <c r="S2309" s="14" t="str">
        <f t="shared" si="2"/>
        <v>47.788246,39.908303</v>
      </c>
      <c r="T2309" s="12"/>
    </row>
    <row r="2310">
      <c r="A2310" s="7" t="s">
        <v>15010</v>
      </c>
      <c r="B2310" s="8" t="s">
        <v>15011</v>
      </c>
      <c r="C2310" s="8" t="s">
        <v>15012</v>
      </c>
      <c r="D2310" s="8" t="s">
        <v>16</v>
      </c>
      <c r="E2310" s="9" t="s">
        <v>15013</v>
      </c>
      <c r="F2310" s="10" t="s">
        <v>8566</v>
      </c>
      <c r="G2310" s="8">
        <v>23.61</v>
      </c>
      <c r="H2310" s="8"/>
      <c r="I2310" s="10"/>
      <c r="J2310" s="10" t="s">
        <v>15014</v>
      </c>
      <c r="K2310" s="10" t="s">
        <v>15015</v>
      </c>
      <c r="L2310" s="11" t="s">
        <v>15016</v>
      </c>
      <c r="M2310" s="10"/>
      <c r="N2310" s="12"/>
      <c r="O2310" s="12"/>
      <c r="P2310" s="13">
        <f>IFERROR(__xludf.DUMMYFUNCTION("VALUE(SUBSTITUTE((INDEX(SPLIT(A2310,"",""),1)),""."","","",1))"),43.471933)</f>
        <v>43.471933</v>
      </c>
      <c r="Q2310" s="13">
        <f>IFERROR(__xludf.DUMMYFUNCTION("VALUE(SUBSTITUTE((INDEX(SPLIT(A2310,"",""),2)),""."","","",1))"),39.909013)</f>
        <v>39.909013</v>
      </c>
      <c r="R2310" s="14" t="b">
        <f t="shared" si="1"/>
        <v>0</v>
      </c>
      <c r="S2310" s="14" t="str">
        <f t="shared" si="2"/>
        <v>43.471933,39.909013</v>
      </c>
      <c r="T2310" s="12"/>
    </row>
    <row r="2311">
      <c r="A2311" s="15" t="s">
        <v>15017</v>
      </c>
      <c r="B2311" s="16" t="s">
        <v>15018</v>
      </c>
      <c r="C2311" s="16" t="s">
        <v>15019</v>
      </c>
      <c r="D2311" s="16" t="s">
        <v>16</v>
      </c>
      <c r="E2311" s="17" t="s">
        <v>15020</v>
      </c>
      <c r="F2311" s="16" t="s">
        <v>11562</v>
      </c>
      <c r="G2311" s="16">
        <v>23.61</v>
      </c>
      <c r="H2311" s="16"/>
      <c r="I2311" s="16"/>
      <c r="J2311" s="16" t="s">
        <v>15021</v>
      </c>
      <c r="K2311" s="16" t="s">
        <v>15022</v>
      </c>
      <c r="L2311" s="16"/>
      <c r="M2311" s="25" t="s">
        <v>15023</v>
      </c>
      <c r="N2311" s="12"/>
      <c r="O2311" s="12"/>
      <c r="P2311" s="13">
        <f>IFERROR(__xludf.DUMMYFUNCTION("VALUE(SUBSTITUTE((INDEX(SPLIT(A2311,"",""),1)),""."","","",1))"),59.19255)</f>
        <v>59.19255</v>
      </c>
      <c r="Q2311" s="13">
        <f>IFERROR(__xludf.DUMMYFUNCTION("VALUE(SUBSTITUTE((INDEX(SPLIT(A2311,"",""),2)),""."","","",1))"),39.911385)</f>
        <v>39.911385</v>
      </c>
      <c r="R2311" s="14" t="b">
        <f t="shared" si="1"/>
        <v>0</v>
      </c>
      <c r="S2311" s="14" t="str">
        <f t="shared" si="2"/>
        <v>59.19255,39.911385</v>
      </c>
      <c r="T2311" s="12"/>
    </row>
    <row r="2312">
      <c r="A2312" s="18" t="s">
        <v>15024</v>
      </c>
      <c r="B2312" s="8" t="s">
        <v>15025</v>
      </c>
      <c r="C2312" s="8" t="s">
        <v>15026</v>
      </c>
      <c r="D2312" s="8" t="s">
        <v>16</v>
      </c>
      <c r="E2312" s="19" t="s">
        <v>15027</v>
      </c>
      <c r="F2312" s="8" t="s">
        <v>8566</v>
      </c>
      <c r="G2312" s="8">
        <v>23.61</v>
      </c>
      <c r="H2312" s="8"/>
      <c r="I2312" s="8"/>
      <c r="J2312" s="8" t="s">
        <v>15028</v>
      </c>
      <c r="K2312" s="8" t="s">
        <v>15029</v>
      </c>
      <c r="L2312" s="8"/>
      <c r="M2312" s="8"/>
      <c r="N2312" s="12"/>
      <c r="O2312" s="12"/>
      <c r="P2312" s="13">
        <f>IFERROR(__xludf.DUMMYFUNCTION("VALUE(SUBSTITUTE((INDEX(SPLIT(A2312,"",""),1)),""."","","",1))"),43.497744)</f>
        <v>43.497744</v>
      </c>
      <c r="Q2312" s="13">
        <f>IFERROR(__xludf.DUMMYFUNCTION("VALUE(SUBSTITUTE((INDEX(SPLIT(A2312,"",""),2)),""."","","",1))"),39.912418)</f>
        <v>39.912418</v>
      </c>
      <c r="R2312" s="14" t="b">
        <f t="shared" si="1"/>
        <v>0</v>
      </c>
      <c r="S2312" s="14" t="str">
        <f t="shared" si="2"/>
        <v>43.497744,39.912418</v>
      </c>
      <c r="T2312" s="12"/>
    </row>
    <row r="2313">
      <c r="A2313" s="15" t="s">
        <v>15030</v>
      </c>
      <c r="B2313" s="16" t="s">
        <v>15031</v>
      </c>
      <c r="C2313" s="16" t="s">
        <v>15032</v>
      </c>
      <c r="D2313" s="16" t="s">
        <v>16</v>
      </c>
      <c r="E2313" s="17" t="s">
        <v>15033</v>
      </c>
      <c r="F2313" s="16" t="s">
        <v>11562</v>
      </c>
      <c r="G2313" s="16">
        <v>23.61</v>
      </c>
      <c r="H2313" s="16"/>
      <c r="I2313" s="16"/>
      <c r="J2313" s="16" t="s">
        <v>15034</v>
      </c>
      <c r="K2313" s="16" t="s">
        <v>15035</v>
      </c>
      <c r="L2313" s="16"/>
      <c r="M2313" s="16"/>
      <c r="N2313" s="12"/>
      <c r="O2313" s="12"/>
      <c r="P2313" s="13">
        <f>IFERROR(__xludf.DUMMYFUNCTION("VALUE(SUBSTITUTE((INDEX(SPLIT(A2313,"",""),1)),""."","","",1))"),59.21204)</f>
        <v>59.21204</v>
      </c>
      <c r="Q2313" s="13">
        <f>IFERROR(__xludf.DUMMYFUNCTION("VALUE(SUBSTITUTE((INDEX(SPLIT(A2313,"",""),2)),""."","","",1))"),39.912777)</f>
        <v>39.912777</v>
      </c>
      <c r="R2313" s="14" t="b">
        <f t="shared" si="1"/>
        <v>0</v>
      </c>
      <c r="S2313" s="14" t="str">
        <f t="shared" si="2"/>
        <v>59.21204,39.912777</v>
      </c>
      <c r="T2313" s="12"/>
    </row>
    <row r="2314">
      <c r="A2314" s="7" t="s">
        <v>15036</v>
      </c>
      <c r="B2314" s="8" t="s">
        <v>15037</v>
      </c>
      <c r="C2314" s="8" t="s">
        <v>15037</v>
      </c>
      <c r="D2314" s="8" t="s">
        <v>16</v>
      </c>
      <c r="E2314" s="9" t="s">
        <v>15038</v>
      </c>
      <c r="F2314" s="10" t="s">
        <v>3883</v>
      </c>
      <c r="G2314" s="8">
        <v>23.61</v>
      </c>
      <c r="H2314" s="8"/>
      <c r="I2314" s="10"/>
      <c r="J2314" s="10" t="s">
        <v>15039</v>
      </c>
      <c r="K2314" s="10" t="s">
        <v>15040</v>
      </c>
      <c r="L2314" s="11" t="s">
        <v>15041</v>
      </c>
      <c r="M2314" s="10"/>
      <c r="N2314" s="12"/>
      <c r="O2314" s="12"/>
      <c r="P2314" s="13">
        <f>IFERROR(__xludf.DUMMYFUNCTION("VALUE(SUBSTITUTE((INDEX(SPLIT(A2314,"",""),1)),""."","","",1))"),43.448187)</f>
        <v>43.448187</v>
      </c>
      <c r="Q2314" s="13">
        <f>IFERROR(__xludf.DUMMYFUNCTION("VALUE(SUBSTITUTE((INDEX(SPLIT(A2314,"",""),2)),""."","","",1))"),39.919829)</f>
        <v>39.919829</v>
      </c>
      <c r="R2314" s="14" t="b">
        <f t="shared" si="1"/>
        <v>0</v>
      </c>
      <c r="S2314" s="14" t="str">
        <f t="shared" si="2"/>
        <v>43.448187,39.919829</v>
      </c>
      <c r="T2314" s="12"/>
    </row>
    <row r="2315">
      <c r="A2315" s="15" t="s">
        <v>15042</v>
      </c>
      <c r="B2315" s="16" t="s">
        <v>15043</v>
      </c>
      <c r="C2315" s="16" t="s">
        <v>15044</v>
      </c>
      <c r="D2315" s="16" t="s">
        <v>16</v>
      </c>
      <c r="E2315" s="17" t="s">
        <v>15045</v>
      </c>
      <c r="F2315" s="16" t="s">
        <v>12763</v>
      </c>
      <c r="G2315" s="16">
        <v>23.61</v>
      </c>
      <c r="H2315" s="16"/>
      <c r="I2315" s="16"/>
      <c r="J2315" s="16" t="s">
        <v>15046</v>
      </c>
      <c r="K2315" s="16" t="s">
        <v>15047</v>
      </c>
      <c r="L2315" s="16"/>
      <c r="M2315" s="25" t="s">
        <v>15048</v>
      </c>
      <c r="N2315" s="12"/>
      <c r="O2315" s="12"/>
      <c r="P2315" s="13">
        <f>IFERROR(__xludf.DUMMYFUNCTION("VALUE(SUBSTITUTE((INDEX(SPLIT(A2315,"",""),1)),""."","","",1))"),57.629311)</f>
        <v>57.629311</v>
      </c>
      <c r="Q2315" s="13">
        <f>IFERROR(__xludf.DUMMYFUNCTION("VALUE(SUBSTITUTE((INDEX(SPLIT(A2315,"",""),2)),""."","","",1))"),39.920907)</f>
        <v>39.920907</v>
      </c>
      <c r="R2315" s="14" t="b">
        <f t="shared" si="1"/>
        <v>0</v>
      </c>
      <c r="S2315" s="14" t="str">
        <f t="shared" si="2"/>
        <v>57.629311,39.920907</v>
      </c>
      <c r="T2315" s="12"/>
    </row>
    <row r="2316">
      <c r="A2316" s="18" t="s">
        <v>15049</v>
      </c>
      <c r="B2316" s="8" t="s">
        <v>15050</v>
      </c>
      <c r="C2316" s="8" t="s">
        <v>15051</v>
      </c>
      <c r="D2316" s="8" t="s">
        <v>16</v>
      </c>
      <c r="E2316" s="19" t="s">
        <v>15052</v>
      </c>
      <c r="F2316" s="8" t="s">
        <v>11562</v>
      </c>
      <c r="G2316" s="8">
        <v>23.61</v>
      </c>
      <c r="H2316" s="8"/>
      <c r="I2316" s="8"/>
      <c r="J2316" s="8" t="s">
        <v>15053</v>
      </c>
      <c r="K2316" s="8" t="s">
        <v>15054</v>
      </c>
      <c r="L2316" s="8"/>
      <c r="M2316" s="8"/>
      <c r="N2316" s="12"/>
      <c r="O2316" s="12"/>
      <c r="P2316" s="13">
        <f>IFERROR(__xludf.DUMMYFUNCTION("VALUE(SUBSTITUTE((INDEX(SPLIT(A2316,"",""),1)),""."","","",1))"),59.213648)</f>
        <v>59.213648</v>
      </c>
      <c r="Q2316" s="13">
        <f>IFERROR(__xludf.DUMMYFUNCTION("VALUE(SUBSTITUTE((INDEX(SPLIT(A2316,"",""),2)),""."","","",1))"),39.924275)</f>
        <v>39.924275</v>
      </c>
      <c r="R2316" s="14" t="b">
        <f t="shared" si="1"/>
        <v>0</v>
      </c>
      <c r="S2316" s="14" t="str">
        <f t="shared" si="2"/>
        <v>59.213648,39.924275</v>
      </c>
      <c r="T2316" s="12"/>
    </row>
    <row r="2317">
      <c r="A2317" s="20" t="s">
        <v>15055</v>
      </c>
      <c r="B2317" s="16" t="s">
        <v>15056</v>
      </c>
      <c r="C2317" s="16" t="s">
        <v>15057</v>
      </c>
      <c r="D2317" s="16" t="s">
        <v>16</v>
      </c>
      <c r="E2317" s="21" t="s">
        <v>15058</v>
      </c>
      <c r="F2317" s="22" t="s">
        <v>11562</v>
      </c>
      <c r="G2317" s="16">
        <v>23.61</v>
      </c>
      <c r="H2317" s="16"/>
      <c r="I2317" s="22"/>
      <c r="J2317" s="22" t="s">
        <v>15059</v>
      </c>
      <c r="K2317" s="22" t="s">
        <v>15060</v>
      </c>
      <c r="L2317" s="23" t="s">
        <v>15061</v>
      </c>
      <c r="M2317" s="22"/>
      <c r="N2317" s="12"/>
      <c r="O2317" s="12"/>
      <c r="P2317" s="13">
        <f>IFERROR(__xludf.DUMMYFUNCTION("VALUE(SUBSTITUTE((INDEX(SPLIT(A2317,"",""),1)),""."","","",1))"),59.197813)</f>
        <v>59.197813</v>
      </c>
      <c r="Q2317" s="13">
        <f>IFERROR(__xludf.DUMMYFUNCTION("VALUE(SUBSTITUTE((INDEX(SPLIT(A2317,"",""),2)),""."","","",1))"),39.925111)</f>
        <v>39.925111</v>
      </c>
      <c r="R2317" s="14" t="b">
        <f t="shared" si="1"/>
        <v>0</v>
      </c>
      <c r="S2317" s="14" t="str">
        <f t="shared" si="2"/>
        <v>59.197813,39.925111</v>
      </c>
      <c r="T2317" s="12"/>
    </row>
    <row r="2318">
      <c r="A2318" s="7" t="s">
        <v>15062</v>
      </c>
      <c r="B2318" s="8" t="s">
        <v>15063</v>
      </c>
      <c r="C2318" s="8" t="s">
        <v>15064</v>
      </c>
      <c r="D2318" s="8" t="s">
        <v>16</v>
      </c>
      <c r="E2318" s="9" t="s">
        <v>15065</v>
      </c>
      <c r="F2318" s="10" t="s">
        <v>12912</v>
      </c>
      <c r="G2318" s="8">
        <v>23.61</v>
      </c>
      <c r="H2318" s="8"/>
      <c r="I2318" s="10"/>
      <c r="J2318" s="10" t="s">
        <v>15066</v>
      </c>
      <c r="K2318" s="10" t="s">
        <v>15067</v>
      </c>
      <c r="L2318" s="11" t="s">
        <v>15068</v>
      </c>
      <c r="M2318" s="10"/>
      <c r="N2318" s="12"/>
      <c r="O2318" s="12"/>
      <c r="P2318" s="13">
        <f>IFERROR(__xludf.DUMMYFUNCTION("VALUE(SUBSTITUTE((INDEX(SPLIT(A2318,"",""),1)),""."","","",1))"),48.059183)</f>
        <v>48.059183</v>
      </c>
      <c r="Q2318" s="13">
        <f>IFERROR(__xludf.DUMMYFUNCTION("VALUE(SUBSTITUTE((INDEX(SPLIT(A2318,"",""),2)),""."","","",1))"),39.926054)</f>
        <v>39.926054</v>
      </c>
      <c r="R2318" s="14" t="b">
        <f t="shared" si="1"/>
        <v>0</v>
      </c>
      <c r="S2318" s="14" t="str">
        <f t="shared" si="2"/>
        <v>48.059183,39.926054</v>
      </c>
      <c r="T2318" s="12"/>
    </row>
    <row r="2319">
      <c r="A2319" s="20" t="s">
        <v>15069</v>
      </c>
      <c r="B2319" s="16" t="s">
        <v>15070</v>
      </c>
      <c r="C2319" s="16" t="s">
        <v>15071</v>
      </c>
      <c r="D2319" s="16" t="s">
        <v>16</v>
      </c>
      <c r="E2319" s="21" t="s">
        <v>15072</v>
      </c>
      <c r="F2319" s="22" t="s">
        <v>12912</v>
      </c>
      <c r="G2319" s="16">
        <v>23.61</v>
      </c>
      <c r="H2319" s="16"/>
      <c r="I2319" s="22"/>
      <c r="J2319" s="22" t="s">
        <v>15073</v>
      </c>
      <c r="K2319" s="22" t="s">
        <v>15074</v>
      </c>
      <c r="L2319" s="23" t="s">
        <v>15075</v>
      </c>
      <c r="M2319" s="23" t="s">
        <v>15076</v>
      </c>
      <c r="N2319" s="12"/>
      <c r="O2319" s="12"/>
      <c r="P2319" s="13">
        <f>IFERROR(__xludf.DUMMYFUNCTION("VALUE(SUBSTITUTE((INDEX(SPLIT(A2319,"",""),1)),""."","","",1))"),48.054473)</f>
        <v>48.054473</v>
      </c>
      <c r="Q2319" s="13">
        <f>IFERROR(__xludf.DUMMYFUNCTION("VALUE(SUBSTITUTE((INDEX(SPLIT(A2319,"",""),2)),""."","","",1))"),39.927042)</f>
        <v>39.927042</v>
      </c>
      <c r="R2319" s="14" t="b">
        <f t="shared" si="1"/>
        <v>0</v>
      </c>
      <c r="S2319" s="14" t="str">
        <f t="shared" si="2"/>
        <v>48.054473,39.927042</v>
      </c>
      <c r="T2319" s="12"/>
    </row>
    <row r="2320">
      <c r="A2320" s="7" t="s">
        <v>15077</v>
      </c>
      <c r="B2320" s="8" t="s">
        <v>15078</v>
      </c>
      <c r="C2320" s="8" t="s">
        <v>15079</v>
      </c>
      <c r="D2320" s="8" t="s">
        <v>16</v>
      </c>
      <c r="E2320" s="9" t="s">
        <v>15080</v>
      </c>
      <c r="F2320" s="10" t="s">
        <v>12763</v>
      </c>
      <c r="G2320" s="8">
        <v>23.61</v>
      </c>
      <c r="H2320" s="8"/>
      <c r="I2320" s="10"/>
      <c r="J2320" s="10" t="s">
        <v>15081</v>
      </c>
      <c r="K2320" s="10" t="s">
        <v>15082</v>
      </c>
      <c r="L2320" s="11" t="s">
        <v>15083</v>
      </c>
      <c r="M2320" s="10"/>
      <c r="N2320" s="12"/>
      <c r="O2320" s="12"/>
      <c r="P2320" s="13">
        <f>IFERROR(__xludf.DUMMYFUNCTION("VALUE(SUBSTITUTE((INDEX(SPLIT(A2320,"",""),1)),""."","","",1))"),57.666392)</f>
        <v>57.666392</v>
      </c>
      <c r="Q2320" s="13">
        <f>IFERROR(__xludf.DUMMYFUNCTION("VALUE(SUBSTITUTE((INDEX(SPLIT(A2320,"",""),2)),""."","","",1))"),39.929683)</f>
        <v>39.929683</v>
      </c>
      <c r="R2320" s="14" t="b">
        <f t="shared" si="1"/>
        <v>0</v>
      </c>
      <c r="S2320" s="14" t="str">
        <f t="shared" si="2"/>
        <v>57.666392,39.929683</v>
      </c>
      <c r="T2320" s="12"/>
    </row>
    <row r="2321">
      <c r="A2321" s="20" t="s">
        <v>15084</v>
      </c>
      <c r="B2321" s="16" t="s">
        <v>15085</v>
      </c>
      <c r="C2321" s="16" t="s">
        <v>15086</v>
      </c>
      <c r="D2321" s="16" t="s">
        <v>16</v>
      </c>
      <c r="E2321" s="21" t="s">
        <v>15087</v>
      </c>
      <c r="F2321" s="22" t="s">
        <v>11562</v>
      </c>
      <c r="G2321" s="16">
        <v>23.61</v>
      </c>
      <c r="H2321" s="16"/>
      <c r="I2321" s="22"/>
      <c r="J2321" s="22" t="s">
        <v>15088</v>
      </c>
      <c r="K2321" s="22" t="s">
        <v>15089</v>
      </c>
      <c r="L2321" s="23" t="s">
        <v>15090</v>
      </c>
      <c r="M2321" s="22"/>
      <c r="N2321" s="12"/>
      <c r="O2321" s="12"/>
      <c r="P2321" s="13">
        <f>IFERROR(__xludf.DUMMYFUNCTION("VALUE(SUBSTITUTE((INDEX(SPLIT(A2321,"",""),1)),""."","","",1))"),59.211902)</f>
        <v>59.211902</v>
      </c>
      <c r="Q2321" s="13">
        <f>IFERROR(__xludf.DUMMYFUNCTION("VALUE(SUBSTITUTE((INDEX(SPLIT(A2321,"",""),2)),""."","","",1))"),39.931884)</f>
        <v>39.931884</v>
      </c>
      <c r="R2321" s="14" t="b">
        <f t="shared" si="1"/>
        <v>0</v>
      </c>
      <c r="S2321" s="14" t="str">
        <f t="shared" si="2"/>
        <v>59.211902,39.931884</v>
      </c>
      <c r="T2321" s="12"/>
    </row>
    <row r="2322">
      <c r="A2322" s="7" t="s">
        <v>15091</v>
      </c>
      <c r="B2322" s="8" t="s">
        <v>15092</v>
      </c>
      <c r="C2322" s="8" t="s">
        <v>15093</v>
      </c>
      <c r="D2322" s="8" t="s">
        <v>16</v>
      </c>
      <c r="E2322" s="9" t="s">
        <v>15094</v>
      </c>
      <c r="F2322" s="10" t="s">
        <v>8566</v>
      </c>
      <c r="G2322" s="8">
        <v>23.61</v>
      </c>
      <c r="H2322" s="8"/>
      <c r="I2322" s="10"/>
      <c r="J2322" s="10" t="s">
        <v>15095</v>
      </c>
      <c r="K2322" s="10" t="s">
        <v>15096</v>
      </c>
      <c r="L2322" s="11" t="s">
        <v>15097</v>
      </c>
      <c r="M2322" s="11" t="s">
        <v>15098</v>
      </c>
      <c r="N2322" s="12"/>
      <c r="O2322" s="12"/>
      <c r="P2322" s="13">
        <f>IFERROR(__xludf.DUMMYFUNCTION("VALUE(SUBSTITUTE((INDEX(SPLIT(A2322,"",""),1)),""."","","",1))"),43.424018)</f>
        <v>43.424018</v>
      </c>
      <c r="Q2322" s="13">
        <f>IFERROR(__xludf.DUMMYFUNCTION("VALUE(SUBSTITUTE((INDEX(SPLIT(A2322,"",""),2)),""."","","",1))"),39.933771)</f>
        <v>39.933771</v>
      </c>
      <c r="R2322" s="14" t="b">
        <f t="shared" si="1"/>
        <v>0</v>
      </c>
      <c r="S2322" s="14" t="str">
        <f t="shared" si="2"/>
        <v>43.424018,39.933771</v>
      </c>
      <c r="T2322" s="12"/>
    </row>
    <row r="2323">
      <c r="A2323" s="20" t="s">
        <v>15099</v>
      </c>
      <c r="B2323" s="16" t="s">
        <v>15100</v>
      </c>
      <c r="C2323" s="16" t="s">
        <v>15101</v>
      </c>
      <c r="D2323" s="16" t="s">
        <v>16</v>
      </c>
      <c r="E2323" s="21" t="s">
        <v>15102</v>
      </c>
      <c r="F2323" s="22" t="s">
        <v>11562</v>
      </c>
      <c r="G2323" s="16">
        <v>23.61</v>
      </c>
      <c r="H2323" s="16"/>
      <c r="I2323" s="22"/>
      <c r="J2323" s="22" t="s">
        <v>15103</v>
      </c>
      <c r="K2323" s="22" t="s">
        <v>15104</v>
      </c>
      <c r="L2323" s="23" t="s">
        <v>15105</v>
      </c>
      <c r="M2323" s="22"/>
      <c r="N2323" s="12"/>
      <c r="O2323" s="12"/>
      <c r="P2323" s="13">
        <f>IFERROR(__xludf.DUMMYFUNCTION("VALUE(SUBSTITUTE((INDEX(SPLIT(A2323,"",""),1)),""."","","",1))"),59.208982)</f>
        <v>59.208982</v>
      </c>
      <c r="Q2323" s="13">
        <f>IFERROR(__xludf.DUMMYFUNCTION("VALUE(SUBSTITUTE((INDEX(SPLIT(A2323,"",""),2)),""."","","",1))"),39.940355)</f>
        <v>39.940355</v>
      </c>
      <c r="R2323" s="14" t="b">
        <f t="shared" si="1"/>
        <v>0</v>
      </c>
      <c r="S2323" s="14" t="str">
        <f t="shared" si="2"/>
        <v>59.208982,39.940355</v>
      </c>
      <c r="T2323" s="12"/>
    </row>
    <row r="2324">
      <c r="A2324" s="7" t="s">
        <v>15106</v>
      </c>
      <c r="B2324" s="8" t="s">
        <v>15107</v>
      </c>
      <c r="C2324" s="8" t="s">
        <v>15108</v>
      </c>
      <c r="D2324" s="8" t="s">
        <v>16</v>
      </c>
      <c r="E2324" s="9" t="s">
        <v>15109</v>
      </c>
      <c r="F2324" s="10" t="s">
        <v>11562</v>
      </c>
      <c r="G2324" s="8">
        <v>23.61</v>
      </c>
      <c r="H2324" s="8"/>
      <c r="I2324" s="10"/>
      <c r="J2324" s="10" t="s">
        <v>15110</v>
      </c>
      <c r="K2324" s="10" t="s">
        <v>15111</v>
      </c>
      <c r="L2324" s="11" t="s">
        <v>15112</v>
      </c>
      <c r="M2324" s="11" t="s">
        <v>15113</v>
      </c>
      <c r="N2324" s="12"/>
      <c r="O2324" s="12"/>
      <c r="P2324" s="13">
        <f>IFERROR(__xludf.DUMMYFUNCTION("VALUE(SUBSTITUTE((INDEX(SPLIT(A2324,"",""),1)),""."","","",1))"),59.234332)</f>
        <v>59.234332</v>
      </c>
      <c r="Q2324" s="13">
        <f>IFERROR(__xludf.DUMMYFUNCTION("VALUE(SUBSTITUTE((INDEX(SPLIT(A2324,"",""),2)),""."","","",1))"),39.942754)</f>
        <v>39.942754</v>
      </c>
      <c r="R2324" s="14" t="b">
        <f t="shared" si="1"/>
        <v>0</v>
      </c>
      <c r="S2324" s="14" t="str">
        <f t="shared" si="2"/>
        <v>59.234332,39.942754</v>
      </c>
      <c r="T2324" s="12"/>
    </row>
    <row r="2325">
      <c r="A2325" s="20" t="s">
        <v>15114</v>
      </c>
      <c r="B2325" s="16" t="s">
        <v>15115</v>
      </c>
      <c r="C2325" s="16" t="s">
        <v>15116</v>
      </c>
      <c r="D2325" s="16" t="s">
        <v>16</v>
      </c>
      <c r="E2325" s="21" t="s">
        <v>15117</v>
      </c>
      <c r="F2325" s="22" t="s">
        <v>11562</v>
      </c>
      <c r="G2325" s="16">
        <v>23.61</v>
      </c>
      <c r="H2325" s="16"/>
      <c r="I2325" s="22"/>
      <c r="J2325" s="22" t="s">
        <v>15118</v>
      </c>
      <c r="K2325" s="22" t="s">
        <v>15119</v>
      </c>
      <c r="L2325" s="23" t="s">
        <v>15120</v>
      </c>
      <c r="M2325" s="22"/>
      <c r="N2325" s="12"/>
      <c r="O2325" s="12"/>
      <c r="P2325" s="13">
        <f>IFERROR(__xludf.DUMMYFUNCTION("VALUE(SUBSTITUTE((INDEX(SPLIT(A2325,"",""),1)),""."","","",1))"),59.229153)</f>
        <v>59.229153</v>
      </c>
      <c r="Q2325" s="13">
        <f>IFERROR(__xludf.DUMMYFUNCTION("VALUE(SUBSTITUTE((INDEX(SPLIT(A2325,"",""),2)),""."","","",1))"),39.944317)</f>
        <v>39.944317</v>
      </c>
      <c r="R2325" s="14" t="b">
        <f t="shared" si="1"/>
        <v>0</v>
      </c>
      <c r="S2325" s="14" t="str">
        <f t="shared" si="2"/>
        <v>59.229153,39.944317</v>
      </c>
      <c r="T2325" s="12"/>
    </row>
    <row r="2326">
      <c r="A2326" s="18" t="s">
        <v>15121</v>
      </c>
      <c r="B2326" s="8" t="s">
        <v>15122</v>
      </c>
      <c r="C2326" s="8" t="s">
        <v>15123</v>
      </c>
      <c r="D2326" s="8" t="s">
        <v>16</v>
      </c>
      <c r="E2326" s="19" t="s">
        <v>15124</v>
      </c>
      <c r="F2326" s="8" t="s">
        <v>11562</v>
      </c>
      <c r="G2326" s="8">
        <v>23.61</v>
      </c>
      <c r="H2326" s="8"/>
      <c r="I2326" s="8"/>
      <c r="J2326" s="8" t="s">
        <v>15125</v>
      </c>
      <c r="K2326" s="8" t="s">
        <v>15126</v>
      </c>
      <c r="L2326" s="8"/>
      <c r="M2326" s="8"/>
      <c r="N2326" s="12"/>
      <c r="O2326" s="12"/>
      <c r="P2326" s="13">
        <f>IFERROR(__xludf.DUMMYFUNCTION("VALUE(SUBSTITUTE((INDEX(SPLIT(A2326,"",""),1)),""."","","",1))"),59.200564)</f>
        <v>59.200564</v>
      </c>
      <c r="Q2326" s="13">
        <f>IFERROR(__xludf.DUMMYFUNCTION("VALUE(SUBSTITUTE((INDEX(SPLIT(A2326,"",""),2)),""."","","",1))"),39.945098)</f>
        <v>39.945098</v>
      </c>
      <c r="R2326" s="14" t="b">
        <f t="shared" si="1"/>
        <v>0</v>
      </c>
      <c r="S2326" s="14" t="str">
        <f t="shared" si="2"/>
        <v>59.200564,39.945098</v>
      </c>
      <c r="T2326" s="12"/>
    </row>
    <row r="2327">
      <c r="A2327" s="15" t="s">
        <v>15127</v>
      </c>
      <c r="B2327" s="16" t="s">
        <v>15128</v>
      </c>
      <c r="C2327" s="16" t="s">
        <v>15129</v>
      </c>
      <c r="D2327" s="16" t="s">
        <v>16</v>
      </c>
      <c r="E2327" s="17" t="s">
        <v>15130</v>
      </c>
      <c r="F2327" s="16" t="s">
        <v>12763</v>
      </c>
      <c r="G2327" s="16">
        <v>23.61</v>
      </c>
      <c r="H2327" s="16"/>
      <c r="I2327" s="16"/>
      <c r="J2327" s="16" t="s">
        <v>15131</v>
      </c>
      <c r="K2327" s="16" t="s">
        <v>15132</v>
      </c>
      <c r="L2327" s="16"/>
      <c r="M2327" s="16"/>
      <c r="N2327" s="12"/>
      <c r="O2327" s="12"/>
      <c r="P2327" s="13">
        <f>IFERROR(__xludf.DUMMYFUNCTION("VALUE(SUBSTITUTE((INDEX(SPLIT(A2327,"",""),1)),""."","","",1))"),57.638711)</f>
        <v>57.638711</v>
      </c>
      <c r="Q2327" s="13">
        <f>IFERROR(__xludf.DUMMYFUNCTION("VALUE(SUBSTITUTE((INDEX(SPLIT(A2327,"",""),2)),""."","","",1))"),39.949419)</f>
        <v>39.949419</v>
      </c>
      <c r="R2327" s="14" t="b">
        <f t="shared" si="1"/>
        <v>0</v>
      </c>
      <c r="S2327" s="14" t="str">
        <f t="shared" si="2"/>
        <v>57.638711,39.949419</v>
      </c>
      <c r="T2327" s="12"/>
    </row>
    <row r="2328">
      <c r="A2328" s="7" t="s">
        <v>15133</v>
      </c>
      <c r="B2328" s="8" t="s">
        <v>15134</v>
      </c>
      <c r="C2328" s="8" t="s">
        <v>15135</v>
      </c>
      <c r="D2328" s="8" t="s">
        <v>16</v>
      </c>
      <c r="E2328" s="9" t="s">
        <v>15136</v>
      </c>
      <c r="F2328" s="10" t="s">
        <v>12524</v>
      </c>
      <c r="G2328" s="8">
        <v>23.61</v>
      </c>
      <c r="H2328" s="8"/>
      <c r="I2328" s="10"/>
      <c r="J2328" s="10" t="s">
        <v>15137</v>
      </c>
      <c r="K2328" s="10" t="s">
        <v>15138</v>
      </c>
      <c r="L2328" s="11" t="s">
        <v>15139</v>
      </c>
      <c r="M2328" s="10"/>
      <c r="N2328" s="12"/>
      <c r="O2328" s="12"/>
      <c r="P2328" s="13">
        <f>IFERROR(__xludf.DUMMYFUNCTION("VALUE(SUBSTITUTE((INDEX(SPLIT(A2328,"",""),1)),""."","","",1))"),52.47324)</f>
        <v>52.47324</v>
      </c>
      <c r="Q2328" s="13">
        <f>IFERROR(__xludf.DUMMYFUNCTION("VALUE(SUBSTITUTE((INDEX(SPLIT(A2328,"",""),2)),""."","","",1))"),39.954037)</f>
        <v>39.954037</v>
      </c>
      <c r="R2328" s="14" t="b">
        <f t="shared" si="1"/>
        <v>0</v>
      </c>
      <c r="S2328" s="14" t="str">
        <f t="shared" si="2"/>
        <v>52.47324,39.954037</v>
      </c>
      <c r="T2328" s="12"/>
    </row>
    <row r="2329">
      <c r="A2329" s="20" t="s">
        <v>15140</v>
      </c>
      <c r="B2329" s="16" t="s">
        <v>15141</v>
      </c>
      <c r="C2329" s="16" t="s">
        <v>15142</v>
      </c>
      <c r="D2329" s="16" t="s">
        <v>16</v>
      </c>
      <c r="E2329" s="21" t="s">
        <v>15143</v>
      </c>
      <c r="F2329" s="22" t="s">
        <v>11562</v>
      </c>
      <c r="G2329" s="16">
        <v>23.61</v>
      </c>
      <c r="H2329" s="16"/>
      <c r="I2329" s="22"/>
      <c r="J2329" s="22" t="s">
        <v>15144</v>
      </c>
      <c r="K2329" s="22" t="s">
        <v>15145</v>
      </c>
      <c r="L2329" s="23" t="s">
        <v>15146</v>
      </c>
      <c r="M2329" s="22"/>
      <c r="N2329" s="12"/>
      <c r="O2329" s="12"/>
      <c r="P2329" s="13">
        <f>IFERROR(__xludf.DUMMYFUNCTION("VALUE(SUBSTITUTE((INDEX(SPLIT(A2329,"",""),1)),""."","","",1))"),59.182432)</f>
        <v>59.182432</v>
      </c>
      <c r="Q2329" s="13">
        <f>IFERROR(__xludf.DUMMYFUNCTION("VALUE(SUBSTITUTE((INDEX(SPLIT(A2329,"",""),2)),""."","","",1))"),39.955061)</f>
        <v>39.955061</v>
      </c>
      <c r="R2329" s="14" t="b">
        <f t="shared" si="1"/>
        <v>0</v>
      </c>
      <c r="S2329" s="14" t="str">
        <f t="shared" si="2"/>
        <v>59.182432,39.955061</v>
      </c>
      <c r="T2329" s="12"/>
    </row>
    <row r="2330">
      <c r="A2330" s="7" t="s">
        <v>15140</v>
      </c>
      <c r="B2330" s="8" t="s">
        <v>15147</v>
      </c>
      <c r="C2330" s="8" t="s">
        <v>15148</v>
      </c>
      <c r="D2330" s="8" t="s">
        <v>16</v>
      </c>
      <c r="E2330" s="9" t="s">
        <v>15149</v>
      </c>
      <c r="F2330" s="10" t="s">
        <v>11562</v>
      </c>
      <c r="G2330" s="8">
        <v>23.61</v>
      </c>
      <c r="H2330" s="8"/>
      <c r="I2330" s="10"/>
      <c r="J2330" s="10" t="s">
        <v>15150</v>
      </c>
      <c r="K2330" s="10" t="s">
        <v>15151</v>
      </c>
      <c r="L2330" s="11" t="s">
        <v>15152</v>
      </c>
      <c r="M2330" s="10"/>
      <c r="N2330" s="12"/>
      <c r="O2330" s="12"/>
      <c r="P2330" s="13">
        <f>IFERROR(__xludf.DUMMYFUNCTION("VALUE(SUBSTITUTE((INDEX(SPLIT(A2330,"",""),1)),""."","","",1))"),59.182432)</f>
        <v>59.182432</v>
      </c>
      <c r="Q2330" s="13">
        <f>IFERROR(__xludf.DUMMYFUNCTION("VALUE(SUBSTITUTE((INDEX(SPLIT(A2330,"",""),2)),""."","","",1))"),39.955061)</f>
        <v>39.955061</v>
      </c>
      <c r="R2330" s="14" t="b">
        <f t="shared" si="1"/>
        <v>0</v>
      </c>
      <c r="S2330" s="14" t="str">
        <f t="shared" si="2"/>
        <v>59.182432,39.955061</v>
      </c>
      <c r="T2330" s="12"/>
    </row>
    <row r="2331">
      <c r="A2331" s="20" t="s">
        <v>15153</v>
      </c>
      <c r="B2331" s="16" t="s">
        <v>15154</v>
      </c>
      <c r="C2331" s="16" t="s">
        <v>15155</v>
      </c>
      <c r="D2331" s="16" t="s">
        <v>16</v>
      </c>
      <c r="E2331" s="21" t="s">
        <v>15156</v>
      </c>
      <c r="F2331" s="22" t="s">
        <v>9563</v>
      </c>
      <c r="G2331" s="16">
        <v>23.61</v>
      </c>
      <c r="H2331" s="16"/>
      <c r="I2331" s="22"/>
      <c r="J2331" s="22" t="s">
        <v>15157</v>
      </c>
      <c r="K2331" s="22" t="s">
        <v>15158</v>
      </c>
      <c r="L2331" s="23" t="s">
        <v>15159</v>
      </c>
      <c r="M2331" s="22"/>
      <c r="N2331" s="12"/>
      <c r="O2331" s="12"/>
      <c r="P2331" s="13">
        <f>IFERROR(__xludf.DUMMYFUNCTION("VALUE(SUBSTITUTE((INDEX(SPLIT(A2331,"",""),1)),""."","","",1))"),51.061469)</f>
        <v>51.061469</v>
      </c>
      <c r="Q2331" s="13">
        <f>IFERROR(__xludf.DUMMYFUNCTION("VALUE(SUBSTITUTE((INDEX(SPLIT(A2331,"",""),2)),""."","","",1))"),39.958259)</f>
        <v>39.958259</v>
      </c>
      <c r="R2331" s="14" t="b">
        <f t="shared" si="1"/>
        <v>0</v>
      </c>
      <c r="S2331" s="14" t="str">
        <f t="shared" si="2"/>
        <v>51.061469,39.958259</v>
      </c>
      <c r="T2331" s="12"/>
    </row>
    <row r="2332">
      <c r="A2332" s="7" t="s">
        <v>15160</v>
      </c>
      <c r="B2332" s="8" t="s">
        <v>15161</v>
      </c>
      <c r="C2332" s="8" t="s">
        <v>15162</v>
      </c>
      <c r="D2332" s="8" t="s">
        <v>16</v>
      </c>
      <c r="E2332" s="9" t="s">
        <v>15163</v>
      </c>
      <c r="F2332" s="10" t="s">
        <v>12912</v>
      </c>
      <c r="G2332" s="8">
        <v>23.61</v>
      </c>
      <c r="H2332" s="8"/>
      <c r="I2332" s="10"/>
      <c r="J2332" s="10" t="s">
        <v>15164</v>
      </c>
      <c r="K2332" s="10" t="s">
        <v>15165</v>
      </c>
      <c r="L2332" s="11" t="s">
        <v>15166</v>
      </c>
      <c r="M2332" s="11" t="s">
        <v>15167</v>
      </c>
      <c r="N2332" s="12"/>
      <c r="O2332" s="12"/>
      <c r="P2332" s="13">
        <f>IFERROR(__xludf.DUMMYFUNCTION("VALUE(SUBSTITUTE((INDEX(SPLIT(A2332,"",""),1)),""."","","",1))"),48.05569)</f>
        <v>48.05569</v>
      </c>
      <c r="Q2332" s="13">
        <f>IFERROR(__xludf.DUMMYFUNCTION("VALUE(SUBSTITUTE((INDEX(SPLIT(A2332,"",""),2)),""."","","",1))"),39.958851)</f>
        <v>39.958851</v>
      </c>
      <c r="R2332" s="14" t="b">
        <f t="shared" si="1"/>
        <v>0</v>
      </c>
      <c r="S2332" s="14" t="str">
        <f t="shared" si="2"/>
        <v>48.05569,39.958851</v>
      </c>
      <c r="T2332" s="12"/>
    </row>
    <row r="2333">
      <c r="A2333" s="15" t="s">
        <v>15168</v>
      </c>
      <c r="B2333" s="16" t="s">
        <v>1903</v>
      </c>
      <c r="C2333" s="16" t="s">
        <v>1904</v>
      </c>
      <c r="D2333" s="16" t="s">
        <v>16</v>
      </c>
      <c r="E2333" s="17" t="s">
        <v>15169</v>
      </c>
      <c r="F2333" s="16" t="s">
        <v>12717</v>
      </c>
      <c r="G2333" s="16">
        <v>23.61</v>
      </c>
      <c r="H2333" s="16"/>
      <c r="I2333" s="16"/>
      <c r="J2333" s="16" t="s">
        <v>15170</v>
      </c>
      <c r="K2333" s="16" t="s">
        <v>15171</v>
      </c>
      <c r="L2333" s="16"/>
      <c r="M2333" s="25" t="s">
        <v>15172</v>
      </c>
      <c r="N2333" s="12"/>
      <c r="O2333" s="12"/>
      <c r="P2333" s="13">
        <f>IFERROR(__xludf.DUMMYFUNCTION("VALUE(SUBSTITUTE((INDEX(SPLIT(A2333,"",""),1)),""."","","",1))"),56.148664)</f>
        <v>56.148664</v>
      </c>
      <c r="Q2333" s="13">
        <f>IFERROR(__xludf.DUMMYFUNCTION("VALUE(SUBSTITUTE((INDEX(SPLIT(A2333,"",""),2)),""."","","",1))"),39.959714)</f>
        <v>39.959714</v>
      </c>
      <c r="R2333" s="14" t="b">
        <f t="shared" si="1"/>
        <v>0</v>
      </c>
      <c r="S2333" s="14" t="str">
        <f t="shared" si="2"/>
        <v>56.148664,39.959714</v>
      </c>
      <c r="T2333" s="12"/>
    </row>
    <row r="2334">
      <c r="A2334" s="18" t="s">
        <v>15173</v>
      </c>
      <c r="B2334" s="8" t="s">
        <v>15174</v>
      </c>
      <c r="C2334" s="8" t="s">
        <v>15175</v>
      </c>
      <c r="D2334" s="8" t="s">
        <v>16</v>
      </c>
      <c r="E2334" s="19" t="s">
        <v>15176</v>
      </c>
      <c r="F2334" s="8" t="s">
        <v>12763</v>
      </c>
      <c r="G2334" s="8">
        <v>23.61</v>
      </c>
      <c r="H2334" s="8"/>
      <c r="I2334" s="8"/>
      <c r="J2334" s="8" t="s">
        <v>15177</v>
      </c>
      <c r="K2334" s="8" t="s">
        <v>15178</v>
      </c>
      <c r="L2334" s="8"/>
      <c r="M2334" s="8"/>
      <c r="N2334" s="12"/>
      <c r="O2334" s="12"/>
      <c r="P2334" s="13">
        <f>IFERROR(__xludf.DUMMYFUNCTION("VALUE(SUBSTITUTE((INDEX(SPLIT(A2334,"",""),1)),""."","","",1))"),57.647107)</f>
        <v>57.647107</v>
      </c>
      <c r="Q2334" s="13">
        <f>IFERROR(__xludf.DUMMYFUNCTION("VALUE(SUBSTITUTE((INDEX(SPLIT(A2334,"",""),2)),""."","","",1))"),39.960424)</f>
        <v>39.960424</v>
      </c>
      <c r="R2334" s="14" t="b">
        <f t="shared" si="1"/>
        <v>0</v>
      </c>
      <c r="S2334" s="14" t="str">
        <f t="shared" si="2"/>
        <v>57.647107,39.960424</v>
      </c>
      <c r="T2334" s="12"/>
    </row>
    <row r="2335">
      <c r="A2335" s="15" t="s">
        <v>15179</v>
      </c>
      <c r="B2335" s="16" t="s">
        <v>15180</v>
      </c>
      <c r="C2335" s="16" t="s">
        <v>15181</v>
      </c>
      <c r="D2335" s="16" t="s">
        <v>16</v>
      </c>
      <c r="E2335" s="17" t="s">
        <v>15182</v>
      </c>
      <c r="F2335" s="16" t="s">
        <v>12912</v>
      </c>
      <c r="G2335" s="16">
        <v>23.61</v>
      </c>
      <c r="H2335" s="16"/>
      <c r="I2335" s="16"/>
      <c r="J2335" s="16" t="s">
        <v>15183</v>
      </c>
      <c r="K2335" s="16" t="s">
        <v>15184</v>
      </c>
      <c r="L2335" s="16"/>
      <c r="M2335" s="16"/>
      <c r="N2335" s="12"/>
      <c r="O2335" s="12"/>
      <c r="P2335" s="13">
        <f>IFERROR(__xludf.DUMMYFUNCTION("VALUE(SUBSTITUTE((INDEX(SPLIT(A2335,"",""),1)),""."","","",1))"),48.355246)</f>
        <v>48.355246</v>
      </c>
      <c r="Q2335" s="13">
        <f>IFERROR(__xludf.DUMMYFUNCTION("VALUE(SUBSTITUTE((INDEX(SPLIT(A2335,"",""),2)),""."","","",1))"),39.961115)</f>
        <v>39.961115</v>
      </c>
      <c r="R2335" s="14" t="b">
        <f t="shared" si="1"/>
        <v>0</v>
      </c>
      <c r="S2335" s="14" t="str">
        <f t="shared" si="2"/>
        <v>48.355246,39.961115</v>
      </c>
      <c r="T2335" s="12"/>
    </row>
    <row r="2336">
      <c r="A2336" s="18" t="s">
        <v>15185</v>
      </c>
      <c r="B2336" s="8" t="s">
        <v>15186</v>
      </c>
      <c r="C2336" s="8" t="s">
        <v>15187</v>
      </c>
      <c r="D2336" s="8" t="s">
        <v>16</v>
      </c>
      <c r="E2336" s="19" t="s">
        <v>15188</v>
      </c>
      <c r="F2336" s="8" t="s">
        <v>11562</v>
      </c>
      <c r="G2336" s="8">
        <v>23.61</v>
      </c>
      <c r="H2336" s="8"/>
      <c r="I2336" s="8"/>
      <c r="J2336" s="8" t="s">
        <v>15189</v>
      </c>
      <c r="K2336" s="8" t="s">
        <v>15190</v>
      </c>
      <c r="L2336" s="8"/>
      <c r="M2336" s="24" t="s">
        <v>14968</v>
      </c>
      <c r="N2336" s="12"/>
      <c r="O2336" s="12"/>
      <c r="P2336" s="13">
        <f>IFERROR(__xludf.DUMMYFUNCTION("VALUE(SUBSTITUTE((INDEX(SPLIT(A2336,"",""),1)),""."","","",1))"),59.20935)</f>
        <v>59.20935</v>
      </c>
      <c r="Q2336" s="13">
        <f>IFERROR(__xludf.DUMMYFUNCTION("VALUE(SUBSTITUTE((INDEX(SPLIT(A2336,"",""),2)),""."","","",1))"),39.961232)</f>
        <v>39.961232</v>
      </c>
      <c r="R2336" s="14" t="b">
        <f t="shared" si="1"/>
        <v>0</v>
      </c>
      <c r="S2336" s="14" t="str">
        <f t="shared" si="2"/>
        <v>59.20935,39.961232</v>
      </c>
      <c r="T2336" s="12"/>
    </row>
    <row r="2337">
      <c r="A2337" s="15" t="s">
        <v>15185</v>
      </c>
      <c r="B2337" s="16" t="s">
        <v>15191</v>
      </c>
      <c r="C2337" s="16" t="s">
        <v>15192</v>
      </c>
      <c r="D2337" s="16" t="s">
        <v>16</v>
      </c>
      <c r="E2337" s="17" t="s">
        <v>15193</v>
      </c>
      <c r="F2337" s="16" t="s">
        <v>11562</v>
      </c>
      <c r="G2337" s="16">
        <v>23.61</v>
      </c>
      <c r="H2337" s="16"/>
      <c r="I2337" s="16"/>
      <c r="J2337" s="16" t="s">
        <v>15194</v>
      </c>
      <c r="K2337" s="16" t="s">
        <v>15195</v>
      </c>
      <c r="L2337" s="16"/>
      <c r="M2337" s="25" t="s">
        <v>15196</v>
      </c>
      <c r="N2337" s="12"/>
      <c r="O2337" s="12"/>
      <c r="P2337" s="13">
        <f>IFERROR(__xludf.DUMMYFUNCTION("VALUE(SUBSTITUTE((INDEX(SPLIT(A2337,"",""),1)),""."","","",1))"),59.20935)</f>
        <v>59.20935</v>
      </c>
      <c r="Q2337" s="13">
        <f>IFERROR(__xludf.DUMMYFUNCTION("VALUE(SUBSTITUTE((INDEX(SPLIT(A2337,"",""),2)),""."","","",1))"),39.961232)</f>
        <v>39.961232</v>
      </c>
      <c r="R2337" s="14" t="b">
        <f t="shared" si="1"/>
        <v>0</v>
      </c>
      <c r="S2337" s="14" t="str">
        <f t="shared" si="2"/>
        <v>59.20935,39.961232</v>
      </c>
      <c r="T2337" s="12"/>
    </row>
    <row r="2338">
      <c r="A2338" s="18" t="s">
        <v>15197</v>
      </c>
      <c r="B2338" s="8" t="s">
        <v>15198</v>
      </c>
      <c r="C2338" s="8" t="s">
        <v>15199</v>
      </c>
      <c r="D2338" s="8" t="s">
        <v>16</v>
      </c>
      <c r="E2338" s="19" t="s">
        <v>15200</v>
      </c>
      <c r="F2338" s="8" t="s">
        <v>12524</v>
      </c>
      <c r="G2338" s="8">
        <v>23.61</v>
      </c>
      <c r="H2338" s="8"/>
      <c r="I2338" s="8"/>
      <c r="J2338" s="8" t="s">
        <v>15201</v>
      </c>
      <c r="K2338" s="8" t="s">
        <v>15202</v>
      </c>
      <c r="L2338" s="8"/>
      <c r="M2338" s="8"/>
      <c r="N2338" s="12"/>
      <c r="O2338" s="12"/>
      <c r="P2338" s="13">
        <f>IFERROR(__xludf.DUMMYFUNCTION("VALUE(SUBSTITUTE((INDEX(SPLIT(A2338,"",""),1)),""."","","",1))"),53.239983)</f>
        <v>53.239983</v>
      </c>
      <c r="Q2338" s="13">
        <f>IFERROR(__xludf.DUMMYFUNCTION("VALUE(SUBSTITUTE((INDEX(SPLIT(A2338,"",""),2)),""."","","",1))"),39.962175)</f>
        <v>39.962175</v>
      </c>
      <c r="R2338" s="14" t="b">
        <f t="shared" si="1"/>
        <v>0</v>
      </c>
      <c r="S2338" s="14" t="str">
        <f t="shared" si="2"/>
        <v>53.239983,39.962175</v>
      </c>
      <c r="T2338" s="12"/>
    </row>
    <row r="2339">
      <c r="A2339" s="15" t="s">
        <v>15203</v>
      </c>
      <c r="B2339" s="16" t="s">
        <v>15204</v>
      </c>
      <c r="C2339" s="16" t="s">
        <v>15205</v>
      </c>
      <c r="D2339" s="16" t="s">
        <v>16</v>
      </c>
      <c r="E2339" s="17" t="s">
        <v>15206</v>
      </c>
      <c r="F2339" s="16" t="s">
        <v>12763</v>
      </c>
      <c r="G2339" s="16">
        <v>23.61</v>
      </c>
      <c r="H2339" s="16"/>
      <c r="I2339" s="16"/>
      <c r="J2339" s="16" t="s">
        <v>15207</v>
      </c>
      <c r="K2339" s="16" t="s">
        <v>15208</v>
      </c>
      <c r="L2339" s="16"/>
      <c r="M2339" s="16"/>
      <c r="N2339" s="12"/>
      <c r="O2339" s="12"/>
      <c r="P2339" s="13">
        <f>IFERROR(__xludf.DUMMYFUNCTION("VALUE(SUBSTITUTE((INDEX(SPLIT(A2339,"",""),1)),""."","","",1))"),57.646934)</f>
        <v>57.646934</v>
      </c>
      <c r="Q2339" s="13">
        <f>IFERROR(__xludf.DUMMYFUNCTION("VALUE(SUBSTITUTE((INDEX(SPLIT(A2339,"",""),2)),""."","","",1))"),39.971626)</f>
        <v>39.971626</v>
      </c>
      <c r="R2339" s="14" t="b">
        <f t="shared" si="1"/>
        <v>0</v>
      </c>
      <c r="S2339" s="14" t="str">
        <f t="shared" si="2"/>
        <v>57.646934,39.971626</v>
      </c>
      <c r="T2339" s="12"/>
    </row>
    <row r="2340">
      <c r="A2340" s="18" t="s">
        <v>15209</v>
      </c>
      <c r="B2340" s="8" t="s">
        <v>15210</v>
      </c>
      <c r="C2340" s="8" t="s">
        <v>15211</v>
      </c>
      <c r="D2340" s="8" t="s">
        <v>16</v>
      </c>
      <c r="E2340" s="19" t="s">
        <v>15212</v>
      </c>
      <c r="F2340" s="8" t="s">
        <v>11562</v>
      </c>
      <c r="G2340" s="8">
        <v>23.61</v>
      </c>
      <c r="H2340" s="8"/>
      <c r="I2340" s="8"/>
      <c r="J2340" s="8" t="s">
        <v>15213</v>
      </c>
      <c r="K2340" s="8" t="s">
        <v>15214</v>
      </c>
      <c r="L2340" s="8"/>
      <c r="M2340" s="8"/>
      <c r="N2340" s="12"/>
      <c r="O2340" s="12"/>
      <c r="P2340" s="13">
        <f>IFERROR(__xludf.DUMMYFUNCTION("VALUE(SUBSTITUTE((INDEX(SPLIT(A2340,"",""),1)),""."","","",1))"),59.203633)</f>
        <v>59.203633</v>
      </c>
      <c r="Q2340" s="13">
        <f>IFERROR(__xludf.DUMMYFUNCTION("VALUE(SUBSTITUTE((INDEX(SPLIT(A2340,"",""),2)),""."","","",1))"),39.993068)</f>
        <v>39.993068</v>
      </c>
      <c r="R2340" s="14" t="b">
        <f t="shared" si="1"/>
        <v>0</v>
      </c>
      <c r="S2340" s="14" t="str">
        <f t="shared" si="2"/>
        <v>59.203633,39.993068</v>
      </c>
      <c r="T2340" s="12"/>
    </row>
    <row r="2341">
      <c r="A2341" s="15" t="s">
        <v>15215</v>
      </c>
      <c r="B2341" s="16" t="s">
        <v>15216</v>
      </c>
      <c r="C2341" s="16" t="s">
        <v>15217</v>
      </c>
      <c r="D2341" s="16" t="s">
        <v>16</v>
      </c>
      <c r="E2341" s="17" t="s">
        <v>15218</v>
      </c>
      <c r="F2341" s="16" t="s">
        <v>12763</v>
      </c>
      <c r="G2341" s="16">
        <v>23.61</v>
      </c>
      <c r="H2341" s="16"/>
      <c r="I2341" s="16"/>
      <c r="J2341" s="16" t="s">
        <v>15219</v>
      </c>
      <c r="K2341" s="16" t="s">
        <v>15220</v>
      </c>
      <c r="L2341" s="16"/>
      <c r="M2341" s="16"/>
      <c r="N2341" s="12"/>
      <c r="O2341" s="12"/>
      <c r="P2341" s="13">
        <f>IFERROR(__xludf.DUMMYFUNCTION("VALUE(SUBSTITUTE((INDEX(SPLIT(A2341,"",""),1)),""."","","",1))"),57.671148)</f>
        <v>57.671148</v>
      </c>
      <c r="Q2341" s="13">
        <f>IFERROR(__xludf.DUMMYFUNCTION("VALUE(SUBSTITUTE((INDEX(SPLIT(A2341,"",""),2)),""."","","",1))"),40.026072)</f>
        <v>40.026072</v>
      </c>
      <c r="R2341" s="14" t="b">
        <f t="shared" si="1"/>
        <v>0</v>
      </c>
      <c r="S2341" s="14" t="str">
        <f t="shared" si="2"/>
        <v>57.671148,40.026072</v>
      </c>
      <c r="T2341" s="12"/>
    </row>
    <row r="2342">
      <c r="A2342" s="33" t="s">
        <v>15221</v>
      </c>
      <c r="B2342" s="8" t="s">
        <v>3880</v>
      </c>
      <c r="C2342" s="8" t="s">
        <v>3881</v>
      </c>
      <c r="D2342" s="8" t="s">
        <v>16</v>
      </c>
      <c r="E2342" s="19" t="s">
        <v>15222</v>
      </c>
      <c r="F2342" s="8" t="s">
        <v>4263</v>
      </c>
      <c r="G2342" s="8">
        <v>23.61</v>
      </c>
      <c r="H2342" s="8"/>
      <c r="I2342" s="8"/>
      <c r="J2342" s="8" t="s">
        <v>15223</v>
      </c>
      <c r="K2342" s="8" t="s">
        <v>15224</v>
      </c>
      <c r="L2342" s="8"/>
      <c r="M2342" s="8"/>
      <c r="N2342" s="12"/>
      <c r="O2342" s="12"/>
      <c r="P2342" s="13">
        <f>IFERROR(__xludf.DUMMYFUNCTION("VALUE(SUBSTITUTE((INDEX(SPLIT(A2342,"",""),1)),""."","","",1))"),44.610803)</f>
        <v>44.610803</v>
      </c>
      <c r="Q2342" s="13">
        <f>IFERROR(__xludf.DUMMYFUNCTION("VALUE(SUBSTITUTE((INDEX(SPLIT(A2342,"",""),2)),""."","","",1))"),40.026854)</f>
        <v>40.026854</v>
      </c>
      <c r="R2342" s="14" t="b">
        <f t="shared" si="1"/>
        <v>0</v>
      </c>
      <c r="S2342" s="14" t="str">
        <f t="shared" si="2"/>
        <v>44.610803,40.026854</v>
      </c>
      <c r="T2342" s="12"/>
    </row>
    <row r="2343">
      <c r="A2343" s="15" t="s">
        <v>15225</v>
      </c>
      <c r="B2343" s="16" t="s">
        <v>3744</v>
      </c>
      <c r="C2343" s="16" t="s">
        <v>3745</v>
      </c>
      <c r="D2343" s="16" t="s">
        <v>16</v>
      </c>
      <c r="E2343" s="17" t="s">
        <v>15226</v>
      </c>
      <c r="F2343" s="16" t="s">
        <v>13359</v>
      </c>
      <c r="G2343" s="16">
        <v>23.61</v>
      </c>
      <c r="H2343" s="16"/>
      <c r="I2343" s="16"/>
      <c r="J2343" s="16" t="s">
        <v>15227</v>
      </c>
      <c r="K2343" s="16" t="s">
        <v>15228</v>
      </c>
      <c r="L2343" s="16"/>
      <c r="M2343" s="16"/>
      <c r="N2343" s="12"/>
      <c r="O2343" s="12"/>
      <c r="P2343" s="13">
        <f>IFERROR(__xludf.DUMMYFUNCTION("VALUE(SUBSTITUTE((INDEX(SPLIT(A2343,"",""),1)),""."","","",1))"),53.928302)</f>
        <v>53.928302</v>
      </c>
      <c r="Q2343" s="13">
        <f>IFERROR(__xludf.DUMMYFUNCTION("VALUE(SUBSTITUTE((INDEX(SPLIT(A2343,"",""),2)),""."","","",1))"),40.044084)</f>
        <v>40.044084</v>
      </c>
      <c r="R2343" s="14" t="b">
        <f t="shared" si="1"/>
        <v>0</v>
      </c>
      <c r="S2343" s="14" t="str">
        <f t="shared" si="2"/>
        <v>53.928302,40.044084</v>
      </c>
      <c r="T2343" s="12"/>
    </row>
    <row r="2344">
      <c r="A2344" s="18" t="s">
        <v>15229</v>
      </c>
      <c r="B2344" s="8" t="s">
        <v>5942</v>
      </c>
      <c r="C2344" s="8" t="s">
        <v>5943</v>
      </c>
      <c r="D2344" s="8" t="s">
        <v>16</v>
      </c>
      <c r="E2344" s="19" t="s">
        <v>15230</v>
      </c>
      <c r="F2344" s="8" t="s">
        <v>4263</v>
      </c>
      <c r="G2344" s="8">
        <v>23.61</v>
      </c>
      <c r="H2344" s="8"/>
      <c r="I2344" s="8"/>
      <c r="J2344" s="8" t="s">
        <v>15231</v>
      </c>
      <c r="K2344" s="8" t="s">
        <v>15232</v>
      </c>
      <c r="L2344" s="8"/>
      <c r="M2344" s="8"/>
      <c r="N2344" s="12"/>
      <c r="O2344" s="12"/>
      <c r="P2344" s="13">
        <f>IFERROR(__xludf.DUMMYFUNCTION("VALUE(SUBSTITUTE((INDEX(SPLIT(A2344,"",""),1)),""."","","",1))"),44.610463)</f>
        <v>44.610463</v>
      </c>
      <c r="Q2344" s="13">
        <f>IFERROR(__xludf.DUMMYFUNCTION("VALUE(SUBSTITUTE((INDEX(SPLIT(A2344,"",""),2)),""."","","",1))"),40.054765)</f>
        <v>40.054765</v>
      </c>
      <c r="R2344" s="14" t="b">
        <f t="shared" si="1"/>
        <v>0</v>
      </c>
      <c r="S2344" s="14" t="str">
        <f t="shared" si="2"/>
        <v>44.610463,40.054765</v>
      </c>
      <c r="T2344" s="12"/>
    </row>
    <row r="2345">
      <c r="A2345" s="15" t="s">
        <v>15233</v>
      </c>
      <c r="B2345" s="16" t="s">
        <v>15234</v>
      </c>
      <c r="C2345" s="16" t="s">
        <v>15235</v>
      </c>
      <c r="D2345" s="16" t="s">
        <v>16</v>
      </c>
      <c r="E2345" s="17" t="s">
        <v>15236</v>
      </c>
      <c r="F2345" s="16" t="s">
        <v>13359</v>
      </c>
      <c r="G2345" s="16">
        <v>23.61</v>
      </c>
      <c r="H2345" s="16"/>
      <c r="I2345" s="16"/>
      <c r="J2345" s="16" t="s">
        <v>15237</v>
      </c>
      <c r="K2345" s="16" t="s">
        <v>15238</v>
      </c>
      <c r="L2345" s="16"/>
      <c r="M2345" s="16"/>
      <c r="N2345" s="12"/>
      <c r="O2345" s="12"/>
      <c r="P2345" s="13">
        <f>IFERROR(__xludf.DUMMYFUNCTION("VALUE(SUBSTITUTE((INDEX(SPLIT(A2345,"",""),1)),""."","","",1))"),54.606272)</f>
        <v>54.606272</v>
      </c>
      <c r="Q2345" s="13">
        <f>IFERROR(__xludf.DUMMYFUNCTION("VALUE(SUBSTITUTE((INDEX(SPLIT(A2345,"",""),2)),""."","","",1))"),40.062831)</f>
        <v>40.062831</v>
      </c>
      <c r="R2345" s="14" t="b">
        <f t="shared" si="1"/>
        <v>0</v>
      </c>
      <c r="S2345" s="14" t="str">
        <f t="shared" si="2"/>
        <v>54.606272,40.062831</v>
      </c>
      <c r="T2345" s="12"/>
    </row>
    <row r="2346">
      <c r="A2346" s="18" t="s">
        <v>15239</v>
      </c>
      <c r="B2346" s="8" t="s">
        <v>3587</v>
      </c>
      <c r="C2346" s="8" t="s">
        <v>3588</v>
      </c>
      <c r="D2346" s="8" t="s">
        <v>16</v>
      </c>
      <c r="E2346" s="19" t="s">
        <v>15240</v>
      </c>
      <c r="F2346" s="8" t="s">
        <v>4263</v>
      </c>
      <c r="G2346" s="8">
        <v>23.61</v>
      </c>
      <c r="H2346" s="8"/>
      <c r="I2346" s="8"/>
      <c r="J2346" s="8" t="s">
        <v>15241</v>
      </c>
      <c r="K2346" s="8" t="s">
        <v>15242</v>
      </c>
      <c r="L2346" s="8"/>
      <c r="M2346" s="8"/>
      <c r="N2346" s="12"/>
      <c r="O2346" s="12"/>
      <c r="P2346" s="13">
        <f>IFERROR(__xludf.DUMMYFUNCTION("VALUE(SUBSTITUTE((INDEX(SPLIT(A2346,"",""),1)),""."","","",1))"),44.62361)</f>
        <v>44.62361</v>
      </c>
      <c r="Q2346" s="13">
        <f>IFERROR(__xludf.DUMMYFUNCTION("VALUE(SUBSTITUTE((INDEX(SPLIT(A2346,"",""),2)),""."","","",1))"),40.066335)</f>
        <v>40.066335</v>
      </c>
      <c r="R2346" s="14" t="b">
        <f t="shared" si="1"/>
        <v>0</v>
      </c>
      <c r="S2346" s="14" t="str">
        <f t="shared" si="2"/>
        <v>44.62361,40.066335</v>
      </c>
      <c r="T2346" s="12"/>
    </row>
    <row r="2347">
      <c r="A2347" s="15" t="s">
        <v>15243</v>
      </c>
      <c r="B2347" s="16" t="s">
        <v>15244</v>
      </c>
      <c r="C2347" s="16" t="s">
        <v>15245</v>
      </c>
      <c r="D2347" s="16" t="s">
        <v>16</v>
      </c>
      <c r="E2347" s="17" t="s">
        <v>15246</v>
      </c>
      <c r="F2347" s="16" t="s">
        <v>12912</v>
      </c>
      <c r="G2347" s="16">
        <v>23.61</v>
      </c>
      <c r="H2347" s="16"/>
      <c r="I2347" s="16"/>
      <c r="J2347" s="16" t="s">
        <v>15247</v>
      </c>
      <c r="K2347" s="16" t="s">
        <v>15248</v>
      </c>
      <c r="L2347" s="16"/>
      <c r="M2347" s="16"/>
      <c r="N2347" s="12"/>
      <c r="O2347" s="12"/>
      <c r="P2347" s="13">
        <f>IFERROR(__xludf.DUMMYFUNCTION("VALUE(SUBSTITUTE((INDEX(SPLIT(A2347,"",""),1)),""."","","",1))"),47.414358)</f>
        <v>47.414358</v>
      </c>
      <c r="Q2347" s="13">
        <f>IFERROR(__xludf.DUMMYFUNCTION("VALUE(SUBSTITUTE((INDEX(SPLIT(A2347,"",""),2)),""."","","",1))"),40.082693)</f>
        <v>40.082693</v>
      </c>
      <c r="R2347" s="14" t="b">
        <f t="shared" si="1"/>
        <v>0</v>
      </c>
      <c r="S2347" s="14" t="str">
        <f t="shared" si="2"/>
        <v>47.414358,40.082693</v>
      </c>
      <c r="T2347" s="12"/>
    </row>
    <row r="2348">
      <c r="A2348" s="7" t="s">
        <v>15249</v>
      </c>
      <c r="B2348" s="8" t="s">
        <v>15250</v>
      </c>
      <c r="C2348" s="8" t="s">
        <v>15251</v>
      </c>
      <c r="D2348" s="8" t="s">
        <v>16</v>
      </c>
      <c r="E2348" s="9" t="s">
        <v>15252</v>
      </c>
      <c r="F2348" s="10" t="s">
        <v>12912</v>
      </c>
      <c r="G2348" s="8">
        <v>23.61</v>
      </c>
      <c r="H2348" s="8"/>
      <c r="I2348" s="10"/>
      <c r="J2348" s="10" t="s">
        <v>15253</v>
      </c>
      <c r="K2348" s="10" t="s">
        <v>15254</v>
      </c>
      <c r="L2348" s="11" t="s">
        <v>15255</v>
      </c>
      <c r="M2348" s="10"/>
      <c r="N2348" s="12"/>
      <c r="O2348" s="12"/>
      <c r="P2348" s="13">
        <f>IFERROR(__xludf.DUMMYFUNCTION("VALUE(SUBSTITUTE((INDEX(SPLIT(A2348,"",""),1)),""."","","",1))"),47.425808)</f>
        <v>47.425808</v>
      </c>
      <c r="Q2348" s="13">
        <f>IFERROR(__xludf.DUMMYFUNCTION("VALUE(SUBSTITUTE((INDEX(SPLIT(A2348,"",""),2)),""."","","",1))"),40.095413)</f>
        <v>40.095413</v>
      </c>
      <c r="R2348" s="14" t="b">
        <f t="shared" si="1"/>
        <v>0</v>
      </c>
      <c r="S2348" s="14" t="str">
        <f t="shared" si="2"/>
        <v>47.425808,40.095413</v>
      </c>
      <c r="T2348" s="12"/>
    </row>
    <row r="2349">
      <c r="A2349" s="20" t="s">
        <v>15256</v>
      </c>
      <c r="B2349" s="16" t="s">
        <v>15257</v>
      </c>
      <c r="C2349" s="16" t="s">
        <v>15258</v>
      </c>
      <c r="D2349" s="16" t="s">
        <v>16</v>
      </c>
      <c r="E2349" s="21" t="s">
        <v>15259</v>
      </c>
      <c r="F2349" s="22" t="s">
        <v>8566</v>
      </c>
      <c r="G2349" s="16">
        <v>23.61</v>
      </c>
      <c r="H2349" s="16"/>
      <c r="I2349" s="22"/>
      <c r="J2349" s="22" t="s">
        <v>15260</v>
      </c>
      <c r="K2349" s="22" t="s">
        <v>15261</v>
      </c>
      <c r="L2349" s="23" t="s">
        <v>15262</v>
      </c>
      <c r="M2349" s="22"/>
      <c r="N2349" s="12"/>
      <c r="O2349" s="12"/>
      <c r="P2349" s="13">
        <f>IFERROR(__xludf.DUMMYFUNCTION("VALUE(SUBSTITUTE((INDEX(SPLIT(A2349,"",""),1)),""."","","",1))"),46.036571)</f>
        <v>46.036571</v>
      </c>
      <c r="Q2349" s="13">
        <f>IFERROR(__xludf.DUMMYFUNCTION("VALUE(SUBSTITUTE((INDEX(SPLIT(A2349,"",""),2)),""."","","",1))"),40.103489)</f>
        <v>40.103489</v>
      </c>
      <c r="R2349" s="14" t="b">
        <f t="shared" si="1"/>
        <v>0</v>
      </c>
      <c r="S2349" s="14" t="str">
        <f t="shared" si="2"/>
        <v>46.036571,40.103489</v>
      </c>
      <c r="T2349" s="12"/>
    </row>
    <row r="2350">
      <c r="A2350" s="18" t="s">
        <v>15263</v>
      </c>
      <c r="B2350" s="8" t="s">
        <v>15264</v>
      </c>
      <c r="C2350" s="8" t="s">
        <v>15265</v>
      </c>
      <c r="D2350" s="8" t="s">
        <v>16</v>
      </c>
      <c r="E2350" s="19" t="s">
        <v>15266</v>
      </c>
      <c r="F2350" s="8" t="s">
        <v>12912</v>
      </c>
      <c r="G2350" s="8">
        <v>23.61</v>
      </c>
      <c r="H2350" s="8"/>
      <c r="I2350" s="8"/>
      <c r="J2350" s="8" t="s">
        <v>15267</v>
      </c>
      <c r="K2350" s="8" t="s">
        <v>15268</v>
      </c>
      <c r="L2350" s="8"/>
      <c r="M2350" s="24" t="s">
        <v>15269</v>
      </c>
      <c r="N2350" s="12"/>
      <c r="O2350" s="12"/>
      <c r="P2350" s="13">
        <f>IFERROR(__xludf.DUMMYFUNCTION("VALUE(SUBSTITUTE((INDEX(SPLIT(A2350,"",""),1)),""."","","",1))"),47.693919)</f>
        <v>47.693919</v>
      </c>
      <c r="Q2350" s="13">
        <f>IFERROR(__xludf.DUMMYFUNCTION("VALUE(SUBSTITUTE((INDEX(SPLIT(A2350,"",""),2)),""."","","",1))"),40.117431)</f>
        <v>40.117431</v>
      </c>
      <c r="R2350" s="14" t="b">
        <f t="shared" si="1"/>
        <v>0</v>
      </c>
      <c r="S2350" s="14" t="str">
        <f t="shared" si="2"/>
        <v>47.693919,40.117431</v>
      </c>
      <c r="T2350" s="12"/>
    </row>
    <row r="2351">
      <c r="A2351" s="20" t="s">
        <v>15270</v>
      </c>
      <c r="B2351" s="16" t="s">
        <v>15271</v>
      </c>
      <c r="C2351" s="16" t="s">
        <v>15272</v>
      </c>
      <c r="D2351" s="16" t="s">
        <v>16</v>
      </c>
      <c r="E2351" s="21" t="s">
        <v>15273</v>
      </c>
      <c r="F2351" s="22" t="s">
        <v>4263</v>
      </c>
      <c r="G2351" s="16">
        <v>23.61</v>
      </c>
      <c r="H2351" s="16"/>
      <c r="I2351" s="22"/>
      <c r="J2351" s="22" t="s">
        <v>15274</v>
      </c>
      <c r="K2351" s="22" t="s">
        <v>15275</v>
      </c>
      <c r="L2351" s="23" t="s">
        <v>15276</v>
      </c>
      <c r="M2351" s="22"/>
      <c r="N2351" s="12"/>
      <c r="O2351" s="12"/>
      <c r="P2351" s="13">
        <f>IFERROR(__xludf.DUMMYFUNCTION("VALUE(SUBSTITUTE((INDEX(SPLIT(A2351,"",""),1)),""."","","",1))"),44.628877)</f>
        <v>44.628877</v>
      </c>
      <c r="Q2351" s="13">
        <f>IFERROR(__xludf.DUMMYFUNCTION("VALUE(SUBSTITUTE((INDEX(SPLIT(A2351,"",""),2)),""."","","",1))"),40.122911)</f>
        <v>40.122911</v>
      </c>
      <c r="R2351" s="14" t="b">
        <f t="shared" si="1"/>
        <v>0</v>
      </c>
      <c r="S2351" s="14" t="str">
        <f t="shared" si="2"/>
        <v>44.628877,40.122911</v>
      </c>
      <c r="T2351" s="12"/>
    </row>
    <row r="2352">
      <c r="A2352" s="18" t="s">
        <v>15277</v>
      </c>
      <c r="B2352" s="8" t="s">
        <v>15278</v>
      </c>
      <c r="C2352" s="8" t="s">
        <v>15279</v>
      </c>
      <c r="D2352" s="8" t="s">
        <v>16</v>
      </c>
      <c r="E2352" s="19" t="s">
        <v>15280</v>
      </c>
      <c r="F2352" s="8" t="s">
        <v>4263</v>
      </c>
      <c r="G2352" s="8">
        <v>23.61</v>
      </c>
      <c r="H2352" s="8"/>
      <c r="I2352" s="27" t="s">
        <v>15281</v>
      </c>
      <c r="J2352" s="8" t="s">
        <v>15282</v>
      </c>
      <c r="K2352" s="8" t="s">
        <v>15283</v>
      </c>
      <c r="L2352" s="8"/>
      <c r="M2352" s="8"/>
      <c r="N2352" s="12"/>
      <c r="O2352" s="12"/>
      <c r="P2352" s="13">
        <f>IFERROR(__xludf.DUMMYFUNCTION("VALUE(SUBSTITUTE((INDEX(SPLIT(A2352,"",""),1)),""."","","",1))"),44.630346)</f>
        <v>44.630346</v>
      </c>
      <c r="Q2352" s="13">
        <f>IFERROR(__xludf.DUMMYFUNCTION("VALUE(SUBSTITUTE((INDEX(SPLIT(A2352,"",""),2)),""."","","",1))"),40.129702)</f>
        <v>40.129702</v>
      </c>
      <c r="R2352" s="14" t="b">
        <f t="shared" si="1"/>
        <v>0</v>
      </c>
      <c r="S2352" s="14" t="str">
        <f t="shared" si="2"/>
        <v>44.630346,40.129702</v>
      </c>
      <c r="T2352" s="12"/>
    </row>
    <row r="2353">
      <c r="A2353" s="15" t="s">
        <v>15277</v>
      </c>
      <c r="B2353" s="16" t="s">
        <v>15284</v>
      </c>
      <c r="C2353" s="16" t="s">
        <v>15285</v>
      </c>
      <c r="D2353" s="16" t="s">
        <v>16</v>
      </c>
      <c r="E2353" s="17" t="s">
        <v>15286</v>
      </c>
      <c r="F2353" s="16" t="s">
        <v>4263</v>
      </c>
      <c r="G2353" s="16">
        <v>23.61</v>
      </c>
      <c r="H2353" s="16"/>
      <c r="I2353" s="16"/>
      <c r="J2353" s="16" t="s">
        <v>15287</v>
      </c>
      <c r="K2353" s="16" t="s">
        <v>15288</v>
      </c>
      <c r="L2353" s="16"/>
      <c r="M2353" s="25" t="s">
        <v>15289</v>
      </c>
      <c r="N2353" s="12"/>
      <c r="O2353" s="12"/>
      <c r="P2353" s="13">
        <f>IFERROR(__xludf.DUMMYFUNCTION("VALUE(SUBSTITUTE((INDEX(SPLIT(A2353,"",""),1)),""."","","",1))"),44.630346)</f>
        <v>44.630346</v>
      </c>
      <c r="Q2353" s="13">
        <f>IFERROR(__xludf.DUMMYFUNCTION("VALUE(SUBSTITUTE((INDEX(SPLIT(A2353,"",""),2)),""."","","",1))"),40.129702)</f>
        <v>40.129702</v>
      </c>
      <c r="R2353" s="14" t="b">
        <f t="shared" si="1"/>
        <v>0</v>
      </c>
      <c r="S2353" s="14" t="str">
        <f t="shared" si="2"/>
        <v>44.630346,40.129702</v>
      </c>
      <c r="T2353" s="12"/>
    </row>
    <row r="2354">
      <c r="A2354" s="18" t="s">
        <v>15290</v>
      </c>
      <c r="B2354" s="8" t="s">
        <v>15291</v>
      </c>
      <c r="C2354" s="8" t="s">
        <v>15292</v>
      </c>
      <c r="D2354" s="8" t="s">
        <v>16</v>
      </c>
      <c r="E2354" s="19" t="s">
        <v>15293</v>
      </c>
      <c r="F2354" s="8" t="s">
        <v>14706</v>
      </c>
      <c r="G2354" s="8">
        <v>23.61</v>
      </c>
      <c r="H2354" s="8"/>
      <c r="I2354" s="8"/>
      <c r="J2354" s="8" t="s">
        <v>15294</v>
      </c>
      <c r="K2354" s="8" t="s">
        <v>15295</v>
      </c>
      <c r="L2354" s="8"/>
      <c r="M2354" s="8"/>
      <c r="N2354" s="12"/>
      <c r="O2354" s="12"/>
      <c r="P2354" s="13">
        <f>IFERROR(__xludf.DUMMYFUNCTION("VALUE(SUBSTITUTE((INDEX(SPLIT(A2354,"",""),1)),""."","","",1))"),62.932188)</f>
        <v>62.932188</v>
      </c>
      <c r="Q2354" s="13">
        <f>IFERROR(__xludf.DUMMYFUNCTION("VALUE(SUBSTITUTE((INDEX(SPLIT(A2354,"",""),2)),""."","","",1))"),40.138029)</f>
        <v>40.138029</v>
      </c>
      <c r="R2354" s="14" t="b">
        <f t="shared" si="1"/>
        <v>0</v>
      </c>
      <c r="S2354" s="14" t="str">
        <f t="shared" si="2"/>
        <v>62.932188,40.138029</v>
      </c>
      <c r="T2354" s="12"/>
    </row>
    <row r="2355">
      <c r="A2355" s="15" t="s">
        <v>15296</v>
      </c>
      <c r="B2355" s="16" t="s">
        <v>15297</v>
      </c>
      <c r="C2355" s="16" t="s">
        <v>15297</v>
      </c>
      <c r="D2355" s="16" t="s">
        <v>16</v>
      </c>
      <c r="E2355" s="17" t="s">
        <v>15298</v>
      </c>
      <c r="F2355" s="16" t="s">
        <v>12912</v>
      </c>
      <c r="G2355" s="16">
        <v>23.61</v>
      </c>
      <c r="H2355" s="16"/>
      <c r="I2355" s="16"/>
      <c r="J2355" s="16" t="s">
        <v>15299</v>
      </c>
      <c r="K2355" s="16" t="s">
        <v>15300</v>
      </c>
      <c r="L2355" s="16"/>
      <c r="M2355" s="16"/>
      <c r="N2355" s="12"/>
      <c r="O2355" s="12"/>
      <c r="P2355" s="13">
        <f>IFERROR(__xludf.DUMMYFUNCTION("VALUE(SUBSTITUTE((INDEX(SPLIT(A2355,"",""),1)),""."","","",1))"),47.709401)</f>
        <v>47.709401</v>
      </c>
      <c r="Q2355" s="13">
        <f>IFERROR(__xludf.DUMMYFUNCTION("VALUE(SUBSTITUTE((INDEX(SPLIT(A2355,"",""),2)),""."","","",1))"),40.14748)</f>
        <v>40.14748</v>
      </c>
      <c r="R2355" s="14" t="b">
        <f t="shared" si="1"/>
        <v>0</v>
      </c>
      <c r="S2355" s="14" t="str">
        <f t="shared" si="2"/>
        <v>47.709401,40.14748</v>
      </c>
      <c r="T2355" s="12"/>
    </row>
    <row r="2356">
      <c r="A2356" s="18" t="s">
        <v>15301</v>
      </c>
      <c r="B2356" s="8" t="s">
        <v>15302</v>
      </c>
      <c r="C2356" s="8" t="s">
        <v>15303</v>
      </c>
      <c r="D2356" s="8" t="s">
        <v>16</v>
      </c>
      <c r="E2356" s="19" t="s">
        <v>15304</v>
      </c>
      <c r="F2356" s="8" t="s">
        <v>8566</v>
      </c>
      <c r="G2356" s="8">
        <v>23.61</v>
      </c>
      <c r="H2356" s="8"/>
      <c r="I2356" s="8"/>
      <c r="J2356" s="8" t="s">
        <v>15305</v>
      </c>
      <c r="K2356" s="8" t="s">
        <v>15306</v>
      </c>
      <c r="L2356" s="8"/>
      <c r="M2356" s="24" t="s">
        <v>15307</v>
      </c>
      <c r="N2356" s="12"/>
      <c r="O2356" s="12"/>
      <c r="P2356" s="13">
        <f>IFERROR(__xludf.DUMMYFUNCTION("VALUE(SUBSTITUTE((INDEX(SPLIT(A2356,"",""),1)),""."","","",1))"),45.903807)</f>
        <v>45.903807</v>
      </c>
      <c r="Q2356" s="13">
        <f>IFERROR(__xludf.DUMMYFUNCTION("VALUE(SUBSTITUTE((INDEX(SPLIT(A2356,"",""),2)),""."","","",1))"),40.157397)</f>
        <v>40.157397</v>
      </c>
      <c r="R2356" s="14" t="b">
        <f t="shared" si="1"/>
        <v>0</v>
      </c>
      <c r="S2356" s="14" t="str">
        <f t="shared" si="2"/>
        <v>45.903807,40.157397</v>
      </c>
      <c r="T2356" s="12"/>
    </row>
    <row r="2357">
      <c r="A2357" s="20" t="s">
        <v>15308</v>
      </c>
      <c r="B2357" s="16" t="s">
        <v>15309</v>
      </c>
      <c r="C2357" s="16" t="s">
        <v>15310</v>
      </c>
      <c r="D2357" s="16" t="s">
        <v>16</v>
      </c>
      <c r="E2357" s="21" t="s">
        <v>15311</v>
      </c>
      <c r="F2357" s="22" t="s">
        <v>8566</v>
      </c>
      <c r="G2357" s="16">
        <v>23.61</v>
      </c>
      <c r="H2357" s="16"/>
      <c r="I2357" s="28" t="s">
        <v>15312</v>
      </c>
      <c r="J2357" s="22" t="s">
        <v>15313</v>
      </c>
      <c r="K2357" s="22" t="s">
        <v>15314</v>
      </c>
      <c r="L2357" s="23" t="s">
        <v>15315</v>
      </c>
      <c r="M2357" s="22"/>
      <c r="N2357" s="12"/>
      <c r="O2357" s="12"/>
      <c r="P2357" s="13">
        <f>IFERROR(__xludf.DUMMYFUNCTION("VALUE(SUBSTITUTE((INDEX(SPLIT(A2357,"",""),1)),""."","","",1))"),45.839456)</f>
        <v>45.839456</v>
      </c>
      <c r="Q2357" s="13">
        <f>IFERROR(__xludf.DUMMYFUNCTION("VALUE(SUBSTITUTE((INDEX(SPLIT(A2357,"",""),2)),""."","","",1))"),40.16126)</f>
        <v>40.16126</v>
      </c>
      <c r="R2357" s="14" t="b">
        <f t="shared" si="1"/>
        <v>0</v>
      </c>
      <c r="S2357" s="14" t="str">
        <f t="shared" si="2"/>
        <v>45.839456,40.16126</v>
      </c>
      <c r="T2357" s="12"/>
    </row>
    <row r="2358">
      <c r="A2358" s="7" t="s">
        <v>15316</v>
      </c>
      <c r="B2358" s="8" t="s">
        <v>15317</v>
      </c>
      <c r="C2358" s="8" t="s">
        <v>15318</v>
      </c>
      <c r="D2358" s="8" t="s">
        <v>16</v>
      </c>
      <c r="E2358" s="9" t="s">
        <v>15319</v>
      </c>
      <c r="F2358" s="10" t="s">
        <v>8566</v>
      </c>
      <c r="G2358" s="8">
        <v>23.61</v>
      </c>
      <c r="H2358" s="8"/>
      <c r="I2358" s="10"/>
      <c r="J2358" s="10" t="s">
        <v>15320</v>
      </c>
      <c r="K2358" s="10" t="s">
        <v>15321</v>
      </c>
      <c r="L2358" s="11" t="s">
        <v>15322</v>
      </c>
      <c r="M2358" s="10"/>
      <c r="N2358" s="12"/>
      <c r="O2358" s="12"/>
      <c r="P2358" s="13">
        <f>IFERROR(__xludf.DUMMYFUNCTION("VALUE(SUBSTITUTE((INDEX(SPLIT(A2358,"",""),1)),""."","","",1))"),45.204195)</f>
        <v>45.204195</v>
      </c>
      <c r="Q2358" s="13">
        <f>IFERROR(__xludf.DUMMYFUNCTION("VALUE(SUBSTITUTE((INDEX(SPLIT(A2358,"",""),2)),""."","","",1))"),40.187203)</f>
        <v>40.187203</v>
      </c>
      <c r="R2358" s="14" t="b">
        <f t="shared" si="1"/>
        <v>0</v>
      </c>
      <c r="S2358" s="14" t="str">
        <f t="shared" si="2"/>
        <v>45.204195,40.187203</v>
      </c>
      <c r="T2358" s="12"/>
    </row>
    <row r="2359">
      <c r="A2359" s="15" t="s">
        <v>15323</v>
      </c>
      <c r="B2359" s="16" t="s">
        <v>15324</v>
      </c>
      <c r="C2359" s="16" t="s">
        <v>15325</v>
      </c>
      <c r="D2359" s="16" t="s">
        <v>16</v>
      </c>
      <c r="E2359" s="17" t="s">
        <v>15326</v>
      </c>
      <c r="F2359" s="16" t="s">
        <v>12912</v>
      </c>
      <c r="G2359" s="16">
        <v>23.61</v>
      </c>
      <c r="H2359" s="16"/>
      <c r="I2359" s="16"/>
      <c r="J2359" s="16" t="s">
        <v>15327</v>
      </c>
      <c r="K2359" s="16" t="s">
        <v>15328</v>
      </c>
      <c r="L2359" s="16"/>
      <c r="M2359" s="25" t="s">
        <v>15329</v>
      </c>
      <c r="N2359" s="12"/>
      <c r="O2359" s="12"/>
      <c r="P2359" s="13">
        <f>IFERROR(__xludf.DUMMYFUNCTION("VALUE(SUBSTITUTE((INDEX(SPLIT(A2359,"",""),1)),""."","","",1))"),47.716852)</f>
        <v>47.716852</v>
      </c>
      <c r="Q2359" s="13">
        <f>IFERROR(__xludf.DUMMYFUNCTION("VALUE(SUBSTITUTE((INDEX(SPLIT(A2359,"",""),2)),""."","","",1))"),40.197893)</f>
        <v>40.197893</v>
      </c>
      <c r="R2359" s="14" t="b">
        <f t="shared" si="1"/>
        <v>0</v>
      </c>
      <c r="S2359" s="14" t="str">
        <f t="shared" si="2"/>
        <v>47.716852,40.197893</v>
      </c>
      <c r="T2359" s="12"/>
    </row>
    <row r="2360">
      <c r="A2360" s="7" t="s">
        <v>15330</v>
      </c>
      <c r="B2360" s="8" t="s">
        <v>15331</v>
      </c>
      <c r="C2360" s="8" t="s">
        <v>15332</v>
      </c>
      <c r="D2360" s="8" t="s">
        <v>16</v>
      </c>
      <c r="E2360" s="9" t="s">
        <v>15333</v>
      </c>
      <c r="F2360" s="10" t="s">
        <v>12912</v>
      </c>
      <c r="G2360" s="8">
        <v>23.61</v>
      </c>
      <c r="H2360" s="8"/>
      <c r="I2360" s="31" t="s">
        <v>15334</v>
      </c>
      <c r="J2360" s="10" t="s">
        <v>15335</v>
      </c>
      <c r="K2360" s="10" t="s">
        <v>15336</v>
      </c>
      <c r="L2360" s="11" t="s">
        <v>15337</v>
      </c>
      <c r="M2360" s="10"/>
      <c r="N2360" s="12"/>
      <c r="O2360" s="12"/>
      <c r="P2360" s="13">
        <f>IFERROR(__xludf.DUMMYFUNCTION("VALUE(SUBSTITUTE((INDEX(SPLIT(A2360,"",""),1)),""."","","",1))"),47.709237)</f>
        <v>47.709237</v>
      </c>
      <c r="Q2360" s="13">
        <f>IFERROR(__xludf.DUMMYFUNCTION("VALUE(SUBSTITUTE((INDEX(SPLIT(A2360,"",""),2)),""."","","",1))"),40.215401)</f>
        <v>40.215401</v>
      </c>
      <c r="R2360" s="14" t="b">
        <f t="shared" si="1"/>
        <v>0</v>
      </c>
      <c r="S2360" s="14" t="str">
        <f t="shared" si="2"/>
        <v>47.709237,40.215401</v>
      </c>
      <c r="T2360" s="12"/>
    </row>
    <row r="2361">
      <c r="A2361" s="15" t="s">
        <v>15338</v>
      </c>
      <c r="B2361" s="16" t="s">
        <v>15339</v>
      </c>
      <c r="C2361" s="16" t="s">
        <v>15340</v>
      </c>
      <c r="D2361" s="16" t="s">
        <v>16</v>
      </c>
      <c r="E2361" s="17" t="s">
        <v>15341</v>
      </c>
      <c r="F2361" s="16" t="s">
        <v>12912</v>
      </c>
      <c r="G2361" s="16">
        <v>23.61</v>
      </c>
      <c r="H2361" s="16"/>
      <c r="I2361" s="16"/>
      <c r="J2361" s="16" t="s">
        <v>15342</v>
      </c>
      <c r="K2361" s="16" t="s">
        <v>9604</v>
      </c>
      <c r="L2361" s="16"/>
      <c r="M2361" s="16"/>
      <c r="N2361" s="12"/>
      <c r="O2361" s="12"/>
      <c r="P2361" s="13">
        <f>IFERROR(__xludf.DUMMYFUNCTION("VALUE(SUBSTITUTE((INDEX(SPLIT(A2361,"",""),1)),""."","","",1))"),47.731738)</f>
        <v>47.731738</v>
      </c>
      <c r="Q2361" s="13">
        <f>IFERROR(__xludf.DUMMYFUNCTION("VALUE(SUBSTITUTE((INDEX(SPLIT(A2361,"",""),2)),""."","","",1))"),40.218761)</f>
        <v>40.218761</v>
      </c>
      <c r="R2361" s="14" t="b">
        <f t="shared" si="1"/>
        <v>0</v>
      </c>
      <c r="S2361" s="14" t="str">
        <f t="shared" si="2"/>
        <v>47.731738,40.218761</v>
      </c>
      <c r="T2361" s="12"/>
    </row>
    <row r="2362">
      <c r="A2362" s="18" t="s">
        <v>15338</v>
      </c>
      <c r="B2362" s="8" t="s">
        <v>15343</v>
      </c>
      <c r="C2362" s="8" t="s">
        <v>15344</v>
      </c>
      <c r="D2362" s="8" t="s">
        <v>16</v>
      </c>
      <c r="E2362" s="19" t="s">
        <v>15345</v>
      </c>
      <c r="F2362" s="8" t="s">
        <v>12912</v>
      </c>
      <c r="G2362" s="8">
        <v>23.61</v>
      </c>
      <c r="H2362" s="8"/>
      <c r="I2362" s="8"/>
      <c r="J2362" s="8" t="s">
        <v>15346</v>
      </c>
      <c r="K2362" s="8" t="s">
        <v>15347</v>
      </c>
      <c r="L2362" s="8"/>
      <c r="M2362" s="8"/>
      <c r="N2362" s="12"/>
      <c r="O2362" s="12"/>
      <c r="P2362" s="13">
        <f>IFERROR(__xludf.DUMMYFUNCTION("VALUE(SUBSTITUTE((INDEX(SPLIT(A2362,"",""),1)),""."","","",1))"),47.731738)</f>
        <v>47.731738</v>
      </c>
      <c r="Q2362" s="13">
        <f>IFERROR(__xludf.DUMMYFUNCTION("VALUE(SUBSTITUTE((INDEX(SPLIT(A2362,"",""),2)),""."","","",1))"),40.218761)</f>
        <v>40.218761</v>
      </c>
      <c r="R2362" s="14" t="b">
        <f t="shared" si="1"/>
        <v>0</v>
      </c>
      <c r="S2362" s="14" t="str">
        <f t="shared" si="2"/>
        <v>47.731738,40.218761</v>
      </c>
      <c r="T2362" s="12"/>
    </row>
    <row r="2363">
      <c r="A2363" s="15" t="s">
        <v>15348</v>
      </c>
      <c r="B2363" s="16" t="s">
        <v>15349</v>
      </c>
      <c r="C2363" s="16" t="s">
        <v>15350</v>
      </c>
      <c r="D2363" s="16" t="s">
        <v>16</v>
      </c>
      <c r="E2363" s="17" t="s">
        <v>15351</v>
      </c>
      <c r="F2363" s="16" t="s">
        <v>12912</v>
      </c>
      <c r="G2363" s="16">
        <v>23.61</v>
      </c>
      <c r="H2363" s="16"/>
      <c r="I2363" s="16"/>
      <c r="J2363" s="16" t="s">
        <v>15352</v>
      </c>
      <c r="K2363" s="16" t="s">
        <v>15353</v>
      </c>
      <c r="L2363" s="16"/>
      <c r="M2363" s="16"/>
      <c r="N2363" s="12"/>
      <c r="O2363" s="12"/>
      <c r="P2363" s="13">
        <f>IFERROR(__xludf.DUMMYFUNCTION("VALUE(SUBSTITUTE((INDEX(SPLIT(A2363,"",""),1)),""."","","",1))"),47.753182)</f>
        <v>47.753182</v>
      </c>
      <c r="Q2363" s="13">
        <f>IFERROR(__xludf.DUMMYFUNCTION("VALUE(SUBSTITUTE((INDEX(SPLIT(A2363,"",""),2)),""."","","",1))"),40.242764)</f>
        <v>40.242764</v>
      </c>
      <c r="R2363" s="14" t="b">
        <f t="shared" si="1"/>
        <v>0</v>
      </c>
      <c r="S2363" s="14" t="str">
        <f t="shared" si="2"/>
        <v>47.753182,40.242764</v>
      </c>
      <c r="T2363" s="12"/>
    </row>
    <row r="2364">
      <c r="A2364" s="7" t="s">
        <v>15354</v>
      </c>
      <c r="B2364" s="8" t="s">
        <v>15355</v>
      </c>
      <c r="C2364" s="8" t="s">
        <v>15356</v>
      </c>
      <c r="D2364" s="8" t="s">
        <v>16</v>
      </c>
      <c r="E2364" s="9" t="s">
        <v>15357</v>
      </c>
      <c r="F2364" s="10" t="s">
        <v>12912</v>
      </c>
      <c r="G2364" s="8">
        <v>23.61</v>
      </c>
      <c r="H2364" s="8"/>
      <c r="I2364" s="10"/>
      <c r="J2364" s="10" t="s">
        <v>15358</v>
      </c>
      <c r="K2364" s="10" t="s">
        <v>15359</v>
      </c>
      <c r="L2364" s="29" t="s">
        <v>15360</v>
      </c>
      <c r="M2364" s="10"/>
      <c r="N2364" s="12"/>
      <c r="O2364" s="12"/>
      <c r="P2364" s="13">
        <f>IFERROR(__xludf.DUMMYFUNCTION("VALUE(SUBSTITUTE((INDEX(SPLIT(A2364,"",""),1)),""."","","",1))"),47.750262)</f>
        <v>47.750262</v>
      </c>
      <c r="Q2364" s="13">
        <f>IFERROR(__xludf.DUMMYFUNCTION("VALUE(SUBSTITUTE((INDEX(SPLIT(A2364,"",""),2)),""."","","",1))"),40.246681)</f>
        <v>40.246681</v>
      </c>
      <c r="R2364" s="14" t="b">
        <f t="shared" si="1"/>
        <v>0</v>
      </c>
      <c r="S2364" s="14" t="str">
        <f t="shared" si="2"/>
        <v>47.750262,40.246681</v>
      </c>
      <c r="T2364" s="12"/>
    </row>
    <row r="2365">
      <c r="A2365" s="15" t="s">
        <v>15361</v>
      </c>
      <c r="B2365" s="16" t="s">
        <v>10210</v>
      </c>
      <c r="C2365" s="16" t="s">
        <v>10211</v>
      </c>
      <c r="D2365" s="16" t="s">
        <v>16</v>
      </c>
      <c r="E2365" s="17" t="s">
        <v>15362</v>
      </c>
      <c r="F2365" s="16" t="s">
        <v>12912</v>
      </c>
      <c r="G2365" s="16">
        <v>23.61</v>
      </c>
      <c r="H2365" s="16"/>
      <c r="I2365" s="16"/>
      <c r="J2365" s="16" t="s">
        <v>15363</v>
      </c>
      <c r="K2365" s="16" t="s">
        <v>15364</v>
      </c>
      <c r="L2365" s="16"/>
      <c r="M2365" s="16"/>
      <c r="N2365" s="12"/>
      <c r="O2365" s="12"/>
      <c r="P2365" s="13">
        <f>IFERROR(__xludf.DUMMYFUNCTION("VALUE(SUBSTITUTE((INDEX(SPLIT(A2365,"",""),1)),""."","","",1))"),48.318693)</f>
        <v>48.318693</v>
      </c>
      <c r="Q2365" s="13">
        <f>IFERROR(__xludf.DUMMYFUNCTION("VALUE(SUBSTITUTE((INDEX(SPLIT(A2365,"",""),2)),""."","","",1))"),40.247345)</f>
        <v>40.247345</v>
      </c>
      <c r="R2365" s="14" t="b">
        <f t="shared" si="1"/>
        <v>0</v>
      </c>
      <c r="S2365" s="14" t="str">
        <f t="shared" si="2"/>
        <v>48.318693,40.247345</v>
      </c>
      <c r="T2365" s="12"/>
    </row>
    <row r="2366">
      <c r="A2366" s="18" t="s">
        <v>15365</v>
      </c>
      <c r="B2366" s="8" t="s">
        <v>15366</v>
      </c>
      <c r="C2366" s="8" t="s">
        <v>15367</v>
      </c>
      <c r="D2366" s="8" t="s">
        <v>16</v>
      </c>
      <c r="E2366" s="19" t="s">
        <v>15368</v>
      </c>
      <c r="F2366" s="8" t="s">
        <v>9563</v>
      </c>
      <c r="G2366" s="8">
        <v>23.61</v>
      </c>
      <c r="H2366" s="8"/>
      <c r="I2366" s="8"/>
      <c r="J2366" s="8" t="s">
        <v>15369</v>
      </c>
      <c r="K2366" s="8" t="s">
        <v>15370</v>
      </c>
      <c r="L2366" s="8"/>
      <c r="M2366" s="8"/>
      <c r="N2366" s="12"/>
      <c r="O2366" s="12"/>
      <c r="P2366" s="13">
        <f>IFERROR(__xludf.DUMMYFUNCTION("VALUE(SUBSTITUTE((INDEX(SPLIT(A2366,"",""),1)),""."","","",1))"),51.100733)</f>
        <v>51.100733</v>
      </c>
      <c r="Q2366" s="13">
        <f>IFERROR(__xludf.DUMMYFUNCTION("VALUE(SUBSTITUTE((INDEX(SPLIT(A2366,"",""),2)),""."","","",1))"),40.250525)</f>
        <v>40.250525</v>
      </c>
      <c r="R2366" s="14" t="b">
        <f t="shared" si="1"/>
        <v>0</v>
      </c>
      <c r="S2366" s="14" t="str">
        <f t="shared" si="2"/>
        <v>51.100733,40.250525</v>
      </c>
      <c r="T2366" s="12"/>
    </row>
    <row r="2367">
      <c r="A2367" s="15" t="s">
        <v>15371</v>
      </c>
      <c r="B2367" s="16" t="s">
        <v>15372</v>
      </c>
      <c r="C2367" s="16" t="s">
        <v>15373</v>
      </c>
      <c r="D2367" s="16" t="s">
        <v>16</v>
      </c>
      <c r="E2367" s="17" t="s">
        <v>15374</v>
      </c>
      <c r="F2367" s="16" t="s">
        <v>12912</v>
      </c>
      <c r="G2367" s="16">
        <v>23.61</v>
      </c>
      <c r="H2367" s="16"/>
      <c r="I2367" s="16"/>
      <c r="J2367" s="16" t="s">
        <v>15375</v>
      </c>
      <c r="K2367" s="16" t="s">
        <v>15376</v>
      </c>
      <c r="L2367" s="16"/>
      <c r="M2367" s="16"/>
      <c r="N2367" s="12"/>
      <c r="O2367" s="12"/>
      <c r="P2367" s="13">
        <f>IFERROR(__xludf.DUMMYFUNCTION("VALUE(SUBSTITUTE((INDEX(SPLIT(A2367,"",""),1)),""."","","",1))"),48.331699)</f>
        <v>48.331699</v>
      </c>
      <c r="Q2367" s="13">
        <f>IFERROR(__xludf.DUMMYFUNCTION("VALUE(SUBSTITUTE((INDEX(SPLIT(A2367,"",""),2)),""."","","",1))"),40.262958)</f>
        <v>40.262958</v>
      </c>
      <c r="R2367" s="14" t="b">
        <f t="shared" si="1"/>
        <v>0</v>
      </c>
      <c r="S2367" s="14" t="str">
        <f t="shared" si="2"/>
        <v>48.331699,40.262958</v>
      </c>
      <c r="T2367" s="12"/>
    </row>
    <row r="2368">
      <c r="A2368" s="7" t="s">
        <v>15377</v>
      </c>
      <c r="B2368" s="8" t="s">
        <v>2623</v>
      </c>
      <c r="C2368" s="8" t="s">
        <v>2624</v>
      </c>
      <c r="D2368" s="8" t="s">
        <v>16</v>
      </c>
      <c r="E2368" s="9" t="s">
        <v>15378</v>
      </c>
      <c r="F2368" s="10" t="s">
        <v>12912</v>
      </c>
      <c r="G2368" s="8">
        <v>23.61</v>
      </c>
      <c r="H2368" s="8"/>
      <c r="I2368" s="10"/>
      <c r="J2368" s="10" t="s">
        <v>15379</v>
      </c>
      <c r="K2368" s="10" t="s">
        <v>15380</v>
      </c>
      <c r="L2368" s="11" t="s">
        <v>15381</v>
      </c>
      <c r="M2368" s="10"/>
      <c r="N2368" s="12"/>
      <c r="O2368" s="12"/>
      <c r="P2368" s="13">
        <f>IFERROR(__xludf.DUMMYFUNCTION("VALUE(SUBSTITUTE((INDEX(SPLIT(A2368,"",""),1)),""."","","",1))"),48.304204)</f>
        <v>48.304204</v>
      </c>
      <c r="Q2368" s="13">
        <f>IFERROR(__xludf.DUMMYFUNCTION("VALUE(SUBSTITUTE((INDEX(SPLIT(A2368,"",""),2)),""."","","",1))"),40.263192)</f>
        <v>40.263192</v>
      </c>
      <c r="R2368" s="14" t="b">
        <f t="shared" si="1"/>
        <v>0</v>
      </c>
      <c r="S2368" s="14" t="str">
        <f t="shared" si="2"/>
        <v>48.304204,40.263192</v>
      </c>
      <c r="T2368" s="12"/>
    </row>
    <row r="2369">
      <c r="A2369" s="15" t="s">
        <v>15382</v>
      </c>
      <c r="B2369" s="16" t="s">
        <v>15383</v>
      </c>
      <c r="C2369" s="16" t="s">
        <v>15384</v>
      </c>
      <c r="D2369" s="16" t="s">
        <v>16</v>
      </c>
      <c r="E2369" s="17" t="s">
        <v>15385</v>
      </c>
      <c r="F2369" s="16" t="s">
        <v>12912</v>
      </c>
      <c r="G2369" s="16">
        <v>23.61</v>
      </c>
      <c r="H2369" s="16"/>
      <c r="I2369" s="16"/>
      <c r="J2369" s="16" t="s">
        <v>15386</v>
      </c>
      <c r="K2369" s="16" t="s">
        <v>15387</v>
      </c>
      <c r="L2369" s="16"/>
      <c r="M2369" s="16"/>
      <c r="N2369" s="12"/>
      <c r="O2369" s="12"/>
      <c r="P2369" s="13">
        <f>IFERROR(__xludf.DUMMYFUNCTION("VALUE(SUBSTITUTE((INDEX(SPLIT(A2369,"",""),1)),""."","","",1))"),48.32372)</f>
        <v>48.32372</v>
      </c>
      <c r="Q2369" s="13">
        <f>IFERROR(__xludf.DUMMYFUNCTION("VALUE(SUBSTITUTE((INDEX(SPLIT(A2369,"",""),2)),""."","","",1))"),40.269534)</f>
        <v>40.269534</v>
      </c>
      <c r="R2369" s="14" t="b">
        <f t="shared" si="1"/>
        <v>0</v>
      </c>
      <c r="S2369" s="14" t="str">
        <f t="shared" si="2"/>
        <v>48.32372,40.269534</v>
      </c>
      <c r="T2369" s="12"/>
    </row>
    <row r="2370">
      <c r="A2370" s="7" t="s">
        <v>15388</v>
      </c>
      <c r="B2370" s="8" t="s">
        <v>15389</v>
      </c>
      <c r="C2370" s="8" t="s">
        <v>15390</v>
      </c>
      <c r="D2370" s="8" t="s">
        <v>16</v>
      </c>
      <c r="E2370" s="9" t="s">
        <v>15391</v>
      </c>
      <c r="F2370" s="10" t="s">
        <v>3169</v>
      </c>
      <c r="G2370" s="8">
        <v>23.61</v>
      </c>
      <c r="H2370" s="8"/>
      <c r="I2370" s="10"/>
      <c r="J2370" s="10" t="s">
        <v>15392</v>
      </c>
      <c r="K2370" s="10" t="s">
        <v>15393</v>
      </c>
      <c r="L2370" s="11" t="s">
        <v>15394</v>
      </c>
      <c r="M2370" s="10"/>
      <c r="N2370" s="12"/>
      <c r="O2370" s="12"/>
      <c r="P2370" s="13">
        <f>IFERROR(__xludf.DUMMYFUNCTION("VALUE(SUBSTITUTE((INDEX(SPLIT(A2370,"",""),1)),""."","","",1))"),62.721714)</f>
        <v>62.721714</v>
      </c>
      <c r="Q2370" s="13">
        <f>IFERROR(__xludf.DUMMYFUNCTION("VALUE(SUBSTITUTE((INDEX(SPLIT(A2370,"",""),2)),""."","","",1))"),40.286404)</f>
        <v>40.286404</v>
      </c>
      <c r="R2370" s="14" t="b">
        <f t="shared" si="1"/>
        <v>0</v>
      </c>
      <c r="S2370" s="14" t="str">
        <f t="shared" si="2"/>
        <v>62.721714,40.286404</v>
      </c>
      <c r="T2370" s="12"/>
    </row>
    <row r="2371">
      <c r="A2371" s="20" t="s">
        <v>15395</v>
      </c>
      <c r="B2371" s="16" t="s">
        <v>15396</v>
      </c>
      <c r="C2371" s="16" t="s">
        <v>15397</v>
      </c>
      <c r="D2371" s="16" t="s">
        <v>16</v>
      </c>
      <c r="E2371" s="21" t="s">
        <v>15398</v>
      </c>
      <c r="F2371" s="22" t="s">
        <v>8566</v>
      </c>
      <c r="G2371" s="16">
        <v>23.61</v>
      </c>
      <c r="H2371" s="16"/>
      <c r="I2371" s="22"/>
      <c r="J2371" s="22" t="s">
        <v>15399</v>
      </c>
      <c r="K2371" s="22" t="s">
        <v>15400</v>
      </c>
      <c r="L2371" s="23" t="s">
        <v>15401</v>
      </c>
      <c r="M2371" s="22"/>
      <c r="N2371" s="12"/>
      <c r="O2371" s="12"/>
      <c r="P2371" s="13">
        <f>IFERROR(__xludf.DUMMYFUNCTION("VALUE(SUBSTITUTE((INDEX(SPLIT(A2371,"",""),1)),""."","","",1))"),45.341878)</f>
        <v>45.341878</v>
      </c>
      <c r="Q2371" s="13">
        <f>IFERROR(__xludf.DUMMYFUNCTION("VALUE(SUBSTITUTE((INDEX(SPLIT(A2371,"",""),2)),""."","","",1))"),40.332209)</f>
        <v>40.332209</v>
      </c>
      <c r="R2371" s="14" t="b">
        <f t="shared" si="1"/>
        <v>0</v>
      </c>
      <c r="S2371" s="14" t="str">
        <f t="shared" si="2"/>
        <v>45.341878,40.332209</v>
      </c>
      <c r="T2371" s="12"/>
    </row>
    <row r="2372">
      <c r="A2372" s="7" t="s">
        <v>15402</v>
      </c>
      <c r="B2372" s="8" t="s">
        <v>15403</v>
      </c>
      <c r="C2372" s="8" t="s">
        <v>15404</v>
      </c>
      <c r="D2372" s="8" t="s">
        <v>16</v>
      </c>
      <c r="E2372" s="9" t="s">
        <v>15405</v>
      </c>
      <c r="F2372" s="10" t="s">
        <v>12717</v>
      </c>
      <c r="G2372" s="8">
        <v>23.61</v>
      </c>
      <c r="H2372" s="8"/>
      <c r="I2372" s="10"/>
      <c r="J2372" s="10" t="s">
        <v>15406</v>
      </c>
      <c r="K2372" s="10" t="s">
        <v>15407</v>
      </c>
      <c r="L2372" s="11" t="s">
        <v>15408</v>
      </c>
      <c r="M2372" s="11" t="s">
        <v>15409</v>
      </c>
      <c r="N2372" s="12"/>
      <c r="O2372" s="12"/>
      <c r="P2372" s="13">
        <f>IFERROR(__xludf.DUMMYFUNCTION("VALUE(SUBSTITUTE((INDEX(SPLIT(A2372,"",""),1)),""."","","",1))"),56.093415)</f>
        <v>56.093415</v>
      </c>
      <c r="Q2372" s="13">
        <f>IFERROR(__xludf.DUMMYFUNCTION("VALUE(SUBSTITUTE((INDEX(SPLIT(A2372,"",""),2)),""."","","",1))"),40.344372)</f>
        <v>40.344372</v>
      </c>
      <c r="R2372" s="14" t="b">
        <f t="shared" si="1"/>
        <v>0</v>
      </c>
      <c r="S2372" s="14" t="str">
        <f t="shared" si="2"/>
        <v>56.093415,40.344372</v>
      </c>
      <c r="T2372" s="12"/>
    </row>
    <row r="2373">
      <c r="A2373" s="15" t="s">
        <v>15410</v>
      </c>
      <c r="B2373" s="16" t="s">
        <v>15411</v>
      </c>
      <c r="C2373" s="16" t="s">
        <v>15412</v>
      </c>
      <c r="D2373" s="16" t="s">
        <v>16</v>
      </c>
      <c r="E2373" s="17" t="s">
        <v>15413</v>
      </c>
      <c r="F2373" s="16" t="s">
        <v>12717</v>
      </c>
      <c r="G2373" s="16">
        <v>23.61</v>
      </c>
      <c r="H2373" s="16"/>
      <c r="I2373" s="16"/>
      <c r="J2373" s="16" t="s">
        <v>15414</v>
      </c>
      <c r="K2373" s="16" t="s">
        <v>15415</v>
      </c>
      <c r="L2373" s="16"/>
      <c r="M2373" s="25" t="s">
        <v>15416</v>
      </c>
      <c r="N2373" s="12"/>
      <c r="O2373" s="12"/>
      <c r="P2373" s="13">
        <f>IFERROR(__xludf.DUMMYFUNCTION("VALUE(SUBSTITUTE((INDEX(SPLIT(A2373,"",""),1)),""."","","",1))"),56.093159)</f>
        <v>56.093159</v>
      </c>
      <c r="Q2373" s="13">
        <f>IFERROR(__xludf.DUMMYFUNCTION("VALUE(SUBSTITUTE((INDEX(SPLIT(A2373,"",""),2)),""."","","",1))"),40.36825)</f>
        <v>40.36825</v>
      </c>
      <c r="R2373" s="14" t="b">
        <f t="shared" si="1"/>
        <v>0</v>
      </c>
      <c r="S2373" s="14" t="str">
        <f t="shared" si="2"/>
        <v>56.093159,40.36825</v>
      </c>
      <c r="T2373" s="12"/>
    </row>
    <row r="2374">
      <c r="A2374" s="7" t="s">
        <v>15417</v>
      </c>
      <c r="B2374" s="8" t="s">
        <v>15418</v>
      </c>
      <c r="C2374" s="8" t="s">
        <v>15419</v>
      </c>
      <c r="D2374" s="8" t="s">
        <v>16</v>
      </c>
      <c r="E2374" s="9" t="s">
        <v>15420</v>
      </c>
      <c r="F2374" s="10" t="s">
        <v>12717</v>
      </c>
      <c r="G2374" s="8">
        <v>23.61</v>
      </c>
      <c r="H2374" s="8"/>
      <c r="I2374" s="10"/>
      <c r="J2374" s="10" t="s">
        <v>15421</v>
      </c>
      <c r="K2374" s="10" t="s">
        <v>15422</v>
      </c>
      <c r="L2374" s="11" t="s">
        <v>15423</v>
      </c>
      <c r="M2374" s="10"/>
      <c r="N2374" s="12"/>
      <c r="O2374" s="12"/>
      <c r="P2374" s="13">
        <f>IFERROR(__xludf.DUMMYFUNCTION("VALUE(SUBSTITUTE((INDEX(SPLIT(A2374,"",""),1)),""."","","",1))"),56.094957)</f>
        <v>56.094957</v>
      </c>
      <c r="Q2374" s="13">
        <f>IFERROR(__xludf.DUMMYFUNCTION("VALUE(SUBSTITUTE((INDEX(SPLIT(A2374,"",""),2)),""."","","",1))"),40.370217)</f>
        <v>40.370217</v>
      </c>
      <c r="R2374" s="14" t="b">
        <f t="shared" si="1"/>
        <v>0</v>
      </c>
      <c r="S2374" s="14" t="str">
        <f t="shared" si="2"/>
        <v>56.094957,40.370217</v>
      </c>
      <c r="T2374" s="12"/>
    </row>
    <row r="2375">
      <c r="A2375" s="20" t="s">
        <v>15424</v>
      </c>
      <c r="B2375" s="16" t="s">
        <v>15425</v>
      </c>
      <c r="C2375" s="16" t="s">
        <v>15426</v>
      </c>
      <c r="D2375" s="16" t="s">
        <v>16</v>
      </c>
      <c r="E2375" s="21" t="s">
        <v>15427</v>
      </c>
      <c r="F2375" s="22" t="s">
        <v>12912</v>
      </c>
      <c r="G2375" s="16">
        <v>23.61</v>
      </c>
      <c r="H2375" s="16"/>
      <c r="I2375" s="22"/>
      <c r="J2375" s="22" t="s">
        <v>15428</v>
      </c>
      <c r="K2375" s="22" t="s">
        <v>15429</v>
      </c>
      <c r="L2375" s="23" t="s">
        <v>15430</v>
      </c>
      <c r="M2375" s="22"/>
      <c r="N2375" s="12"/>
      <c r="O2375" s="12"/>
      <c r="P2375" s="13">
        <f>IFERROR(__xludf.DUMMYFUNCTION("VALUE(SUBSTITUTE((INDEX(SPLIT(A2375,"",""),1)),""."","","",1))"),48.917893)</f>
        <v>48.917893</v>
      </c>
      <c r="Q2375" s="13">
        <f>IFERROR(__xludf.DUMMYFUNCTION("VALUE(SUBSTITUTE((INDEX(SPLIT(A2375,"",""),2)),""."","","",1))"),40.371942)</f>
        <v>40.371942</v>
      </c>
      <c r="R2375" s="14" t="b">
        <f t="shared" si="1"/>
        <v>0</v>
      </c>
      <c r="S2375" s="14" t="str">
        <f t="shared" si="2"/>
        <v>48.917893,40.371942</v>
      </c>
      <c r="T2375" s="12"/>
    </row>
    <row r="2376">
      <c r="A2376" s="18" t="s">
        <v>15431</v>
      </c>
      <c r="B2376" s="8" t="s">
        <v>1620</v>
      </c>
      <c r="C2376" s="8" t="s">
        <v>1621</v>
      </c>
      <c r="D2376" s="8" t="s">
        <v>16</v>
      </c>
      <c r="E2376" s="19" t="s">
        <v>15432</v>
      </c>
      <c r="F2376" s="8" t="s">
        <v>13359</v>
      </c>
      <c r="G2376" s="8">
        <v>23.61</v>
      </c>
      <c r="H2376" s="8"/>
      <c r="I2376" s="8"/>
      <c r="J2376" s="8" t="s">
        <v>15433</v>
      </c>
      <c r="K2376" s="8" t="s">
        <v>15434</v>
      </c>
      <c r="L2376" s="8"/>
      <c r="M2376" s="8"/>
      <c r="N2376" s="12"/>
      <c r="O2376" s="12"/>
      <c r="P2376" s="13">
        <f>IFERROR(__xludf.DUMMYFUNCTION("VALUE(SUBSTITUTE((INDEX(SPLIT(A2376,"",""),1)),""."","","",1))"),54.413763)</f>
        <v>54.413763</v>
      </c>
      <c r="Q2376" s="13">
        <f>IFERROR(__xludf.DUMMYFUNCTION("VALUE(SUBSTITUTE((INDEX(SPLIT(A2376,"",""),2)),""."","","",1))"),40.386737)</f>
        <v>40.386737</v>
      </c>
      <c r="R2376" s="14" t="b">
        <f t="shared" si="1"/>
        <v>0</v>
      </c>
      <c r="S2376" s="14" t="str">
        <f t="shared" si="2"/>
        <v>54.413763,40.386737</v>
      </c>
      <c r="T2376" s="12"/>
    </row>
    <row r="2377">
      <c r="A2377" s="15" t="s">
        <v>15435</v>
      </c>
      <c r="B2377" s="16" t="s">
        <v>15436</v>
      </c>
      <c r="C2377" s="16" t="s">
        <v>15437</v>
      </c>
      <c r="D2377" s="16" t="s">
        <v>16</v>
      </c>
      <c r="E2377" s="17" t="s">
        <v>15438</v>
      </c>
      <c r="F2377" s="16" t="s">
        <v>12717</v>
      </c>
      <c r="G2377" s="16">
        <v>23.61</v>
      </c>
      <c r="H2377" s="16"/>
      <c r="I2377" s="16"/>
      <c r="J2377" s="16" t="s">
        <v>15439</v>
      </c>
      <c r="K2377" s="16" t="s">
        <v>15440</v>
      </c>
      <c r="L2377" s="16"/>
      <c r="M2377" s="16"/>
      <c r="N2377" s="12"/>
      <c r="O2377" s="12"/>
      <c r="P2377" s="13">
        <f>IFERROR(__xludf.DUMMYFUNCTION("VALUE(SUBSTITUTE((INDEX(SPLIT(A2377,"",""),1)),""."","","",1))"),56.152043)</f>
        <v>56.152043</v>
      </c>
      <c r="Q2377" s="13">
        <f>IFERROR(__xludf.DUMMYFUNCTION("VALUE(SUBSTITUTE((INDEX(SPLIT(A2377,"",""),2)),""."","","",1))"),40.39899)</f>
        <v>40.39899</v>
      </c>
      <c r="R2377" s="14" t="b">
        <f t="shared" si="1"/>
        <v>0</v>
      </c>
      <c r="S2377" s="14" t="str">
        <f t="shared" si="2"/>
        <v>56.152043,40.39899</v>
      </c>
      <c r="T2377" s="12"/>
    </row>
    <row r="2378">
      <c r="A2378" s="7" t="s">
        <v>15441</v>
      </c>
      <c r="B2378" s="8" t="s">
        <v>15442</v>
      </c>
      <c r="C2378" s="8" t="s">
        <v>15443</v>
      </c>
      <c r="D2378" s="8" t="s">
        <v>16</v>
      </c>
      <c r="E2378" s="9" t="s">
        <v>15444</v>
      </c>
      <c r="F2378" s="10" t="s">
        <v>18</v>
      </c>
      <c r="G2378" s="8">
        <v>23.61</v>
      </c>
      <c r="H2378" s="8"/>
      <c r="I2378" s="10"/>
      <c r="J2378" s="10" t="s">
        <v>15445</v>
      </c>
      <c r="K2378" s="10" t="s">
        <v>15446</v>
      </c>
      <c r="L2378" s="11" t="s">
        <v>15447</v>
      </c>
      <c r="M2378" s="11" t="s">
        <v>15448</v>
      </c>
      <c r="N2378" s="12"/>
      <c r="O2378" s="12"/>
      <c r="P2378" s="13">
        <f>IFERROR(__xludf.DUMMYFUNCTION("VALUE(SUBSTITUTE((INDEX(SPLIT(A2378,"",""),1)),""."","","",1))"),56.129057)</f>
        <v>56.129057</v>
      </c>
      <c r="Q2378" s="13">
        <f>IFERROR(__xludf.DUMMYFUNCTION("VALUE(SUBSTITUTE((INDEX(SPLIT(A2378,"",""),2)),""."","","",1))"),40.406635)</f>
        <v>40.406635</v>
      </c>
      <c r="R2378" s="14" t="b">
        <f t="shared" si="1"/>
        <v>0</v>
      </c>
      <c r="S2378" s="14" t="str">
        <f t="shared" si="2"/>
        <v>56.129057,40.406635</v>
      </c>
      <c r="T2378" s="12"/>
    </row>
    <row r="2379">
      <c r="A2379" s="15" t="s">
        <v>15449</v>
      </c>
      <c r="B2379" s="16" t="s">
        <v>15450</v>
      </c>
      <c r="C2379" s="16" t="s">
        <v>15451</v>
      </c>
      <c r="D2379" s="16" t="s">
        <v>16</v>
      </c>
      <c r="E2379" s="17" t="s">
        <v>15452</v>
      </c>
      <c r="F2379" s="16" t="s">
        <v>12717</v>
      </c>
      <c r="G2379" s="16">
        <v>23.61</v>
      </c>
      <c r="H2379" s="16"/>
      <c r="I2379" s="16"/>
      <c r="J2379" s="16" t="s">
        <v>15453</v>
      </c>
      <c r="K2379" s="16" t="s">
        <v>15454</v>
      </c>
      <c r="L2379" s="16"/>
      <c r="M2379" s="25" t="s">
        <v>15455</v>
      </c>
      <c r="N2379" s="12"/>
      <c r="O2379" s="12"/>
      <c r="P2379" s="13">
        <f>IFERROR(__xludf.DUMMYFUNCTION("VALUE(SUBSTITUTE((INDEX(SPLIT(A2379,"",""),1)),""."","","",1))"),56.16819)</f>
        <v>56.16819</v>
      </c>
      <c r="Q2379" s="13">
        <f>IFERROR(__xludf.DUMMYFUNCTION("VALUE(SUBSTITUTE((INDEX(SPLIT(A2379,"",""),2)),""."","","",1))"),40.411135)</f>
        <v>40.411135</v>
      </c>
      <c r="R2379" s="14" t="b">
        <f t="shared" si="1"/>
        <v>0</v>
      </c>
      <c r="S2379" s="14" t="str">
        <f t="shared" si="2"/>
        <v>56.16819,40.411135</v>
      </c>
      <c r="T2379" s="12"/>
    </row>
    <row r="2380">
      <c r="A2380" s="7" t="s">
        <v>15456</v>
      </c>
      <c r="B2380" s="8" t="s">
        <v>15457</v>
      </c>
      <c r="C2380" s="8" t="s">
        <v>15458</v>
      </c>
      <c r="D2380" s="8" t="s">
        <v>16</v>
      </c>
      <c r="E2380" s="9" t="s">
        <v>15459</v>
      </c>
      <c r="F2380" s="10" t="s">
        <v>12717</v>
      </c>
      <c r="G2380" s="8">
        <v>23.61</v>
      </c>
      <c r="H2380" s="8"/>
      <c r="I2380" s="10"/>
      <c r="J2380" s="10" t="s">
        <v>15460</v>
      </c>
      <c r="K2380" s="10" t="s">
        <v>15461</v>
      </c>
      <c r="L2380" s="11" t="s">
        <v>15462</v>
      </c>
      <c r="M2380" s="11" t="s">
        <v>15463</v>
      </c>
      <c r="N2380" s="12"/>
      <c r="O2380" s="12"/>
      <c r="P2380" s="13">
        <f>IFERROR(__xludf.DUMMYFUNCTION("VALUE(SUBSTITUTE((INDEX(SPLIT(A2380,"",""),1)),""."","","",1))"),56.154084)</f>
        <v>56.154084</v>
      </c>
      <c r="Q2380" s="13">
        <f>IFERROR(__xludf.DUMMYFUNCTION("VALUE(SUBSTITUTE((INDEX(SPLIT(A2380,"",""),2)),""."","","",1))"),40.411656)</f>
        <v>40.411656</v>
      </c>
      <c r="R2380" s="14" t="b">
        <f t="shared" si="1"/>
        <v>0</v>
      </c>
      <c r="S2380" s="14" t="str">
        <f t="shared" si="2"/>
        <v>56.154084,40.411656</v>
      </c>
      <c r="T2380" s="12"/>
    </row>
    <row r="2381">
      <c r="A2381" s="15" t="s">
        <v>15464</v>
      </c>
      <c r="B2381" s="16" t="s">
        <v>15465</v>
      </c>
      <c r="C2381" s="16" t="s">
        <v>15466</v>
      </c>
      <c r="D2381" s="16" t="s">
        <v>16</v>
      </c>
      <c r="E2381" s="17" t="s">
        <v>15467</v>
      </c>
      <c r="F2381" s="16" t="s">
        <v>12717</v>
      </c>
      <c r="G2381" s="16">
        <v>23.61</v>
      </c>
      <c r="H2381" s="16"/>
      <c r="I2381" s="16"/>
      <c r="J2381" s="16" t="s">
        <v>15468</v>
      </c>
      <c r="K2381" s="16" t="s">
        <v>15469</v>
      </c>
      <c r="L2381" s="16"/>
      <c r="M2381" s="25" t="s">
        <v>15470</v>
      </c>
      <c r="N2381" s="12"/>
      <c r="O2381" s="12"/>
      <c r="P2381" s="13">
        <f>IFERROR(__xludf.DUMMYFUNCTION("VALUE(SUBSTITUTE((INDEX(SPLIT(A2381,"",""),1)),""."","","",1))"),56.160606)</f>
        <v>56.160606</v>
      </c>
      <c r="Q2381" s="13">
        <f>IFERROR(__xludf.DUMMYFUNCTION("VALUE(SUBSTITUTE((INDEX(SPLIT(A2381,"",""),2)),""."","","",1))"),40.42567)</f>
        <v>40.42567</v>
      </c>
      <c r="R2381" s="14" t="b">
        <f t="shared" si="1"/>
        <v>0</v>
      </c>
      <c r="S2381" s="14" t="str">
        <f t="shared" si="2"/>
        <v>56.160606,40.42567</v>
      </c>
      <c r="T2381" s="12"/>
    </row>
    <row r="2382">
      <c r="A2382" s="18" t="s">
        <v>15471</v>
      </c>
      <c r="B2382" s="8" t="s">
        <v>15472</v>
      </c>
      <c r="C2382" s="8" t="s">
        <v>15473</v>
      </c>
      <c r="D2382" s="8" t="s">
        <v>16</v>
      </c>
      <c r="E2382" s="19" t="s">
        <v>15474</v>
      </c>
      <c r="F2382" s="8" t="s">
        <v>15475</v>
      </c>
      <c r="G2382" s="8">
        <v>23.61</v>
      </c>
      <c r="H2382" s="8"/>
      <c r="I2382" s="8"/>
      <c r="J2382" s="8" t="s">
        <v>15476</v>
      </c>
      <c r="K2382" s="8" t="s">
        <v>15477</v>
      </c>
      <c r="L2382" s="8"/>
      <c r="M2382" s="8"/>
      <c r="N2382" s="12"/>
      <c r="O2382" s="12"/>
      <c r="P2382" s="13">
        <f>IFERROR(__xludf.DUMMYFUNCTION("VALUE(SUBSTITUTE((INDEX(SPLIT(A2382,"",""),1)),""."","","",1))"),52.897351)</f>
        <v>52.897351</v>
      </c>
      <c r="Q2382" s="13">
        <f>IFERROR(__xludf.DUMMYFUNCTION("VALUE(SUBSTITUTE((INDEX(SPLIT(A2382,"",""),2)),""."","","",1))"),40.445352)</f>
        <v>40.445352</v>
      </c>
      <c r="R2382" s="14" t="b">
        <f t="shared" si="1"/>
        <v>0</v>
      </c>
      <c r="S2382" s="14" t="str">
        <f t="shared" si="2"/>
        <v>52.897351,40.445352</v>
      </c>
      <c r="T2382" s="12"/>
    </row>
    <row r="2383">
      <c r="A2383" s="20" t="s">
        <v>15478</v>
      </c>
      <c r="B2383" s="16" t="s">
        <v>516</v>
      </c>
      <c r="C2383" s="16" t="s">
        <v>517</v>
      </c>
      <c r="D2383" s="16" t="s">
        <v>16</v>
      </c>
      <c r="E2383" s="21" t="s">
        <v>15479</v>
      </c>
      <c r="F2383" s="22" t="s">
        <v>15475</v>
      </c>
      <c r="G2383" s="16">
        <v>23.61</v>
      </c>
      <c r="H2383" s="16"/>
      <c r="I2383" s="22"/>
      <c r="J2383" s="22" t="s">
        <v>15480</v>
      </c>
      <c r="K2383" s="22" t="s">
        <v>15481</v>
      </c>
      <c r="L2383" s="23" t="s">
        <v>15482</v>
      </c>
      <c r="M2383" s="22"/>
      <c r="N2383" s="12"/>
      <c r="O2383" s="12"/>
      <c r="P2383" s="13">
        <f>IFERROR(__xludf.DUMMYFUNCTION("VALUE(SUBSTITUTE((INDEX(SPLIT(A2383,"",""),1)),""."","","",1))"),52.91061)</f>
        <v>52.91061</v>
      </c>
      <c r="Q2383" s="13">
        <f>IFERROR(__xludf.DUMMYFUNCTION("VALUE(SUBSTITUTE((INDEX(SPLIT(A2383,"",""),2)),""."","","",1))"),40.445478)</f>
        <v>40.445478</v>
      </c>
      <c r="R2383" s="14" t="b">
        <f t="shared" si="1"/>
        <v>0</v>
      </c>
      <c r="S2383" s="14" t="str">
        <f t="shared" si="2"/>
        <v>52.91061,40.445478</v>
      </c>
      <c r="T2383" s="12"/>
    </row>
    <row r="2384">
      <c r="A2384" s="18" t="s">
        <v>15483</v>
      </c>
      <c r="B2384" s="8" t="s">
        <v>15484</v>
      </c>
      <c r="C2384" s="8" t="s">
        <v>15485</v>
      </c>
      <c r="D2384" s="8" t="s">
        <v>16</v>
      </c>
      <c r="E2384" s="19" t="s">
        <v>15486</v>
      </c>
      <c r="F2384" s="8" t="s">
        <v>13359</v>
      </c>
      <c r="G2384" s="8">
        <v>23.61</v>
      </c>
      <c r="H2384" s="8"/>
      <c r="I2384" s="8"/>
      <c r="J2384" s="8" t="s">
        <v>15487</v>
      </c>
      <c r="K2384" s="8" t="s">
        <v>15488</v>
      </c>
      <c r="L2384" s="8"/>
      <c r="M2384" s="8"/>
      <c r="N2384" s="12"/>
      <c r="O2384" s="12"/>
      <c r="P2384" s="13">
        <f>IFERROR(__xludf.DUMMYFUNCTION("VALUE(SUBSTITUTE((INDEX(SPLIT(A2384,"",""),1)),""."","","",1))"),54.210044)</f>
        <v>54.210044</v>
      </c>
      <c r="Q2384" s="13">
        <f>IFERROR(__xludf.DUMMYFUNCTION("VALUE(SUBSTITUTE((INDEX(SPLIT(A2384,"",""),2)),""."","","",1))"),40.469409)</f>
        <v>40.469409</v>
      </c>
      <c r="R2384" s="14" t="b">
        <f t="shared" si="1"/>
        <v>0</v>
      </c>
      <c r="S2384" s="14" t="str">
        <f t="shared" si="2"/>
        <v>54.210044,40.469409</v>
      </c>
      <c r="T2384" s="12"/>
    </row>
    <row r="2385">
      <c r="A2385" s="15" t="s">
        <v>15489</v>
      </c>
      <c r="B2385" s="16" t="s">
        <v>15490</v>
      </c>
      <c r="C2385" s="16" t="s">
        <v>15491</v>
      </c>
      <c r="D2385" s="16" t="s">
        <v>16</v>
      </c>
      <c r="E2385" s="17" t="s">
        <v>15492</v>
      </c>
      <c r="F2385" s="16" t="s">
        <v>12717</v>
      </c>
      <c r="G2385" s="16">
        <v>23.61</v>
      </c>
      <c r="H2385" s="16"/>
      <c r="I2385" s="16"/>
      <c r="J2385" s="16" t="s">
        <v>15493</v>
      </c>
      <c r="K2385" s="16" t="s">
        <v>15494</v>
      </c>
      <c r="L2385" s="16"/>
      <c r="M2385" s="16"/>
      <c r="N2385" s="12"/>
      <c r="O2385" s="12"/>
      <c r="P2385" s="13">
        <f>IFERROR(__xludf.DUMMYFUNCTION("VALUE(SUBSTITUTE((INDEX(SPLIT(A2385,"",""),1)),""."","","",1))"),56.31909)</f>
        <v>56.31909</v>
      </c>
      <c r="Q2385" s="13">
        <f>IFERROR(__xludf.DUMMYFUNCTION("VALUE(SUBSTITUTE((INDEX(SPLIT(A2385,"",""),2)),""."","","",1))"),40.472679)</f>
        <v>40.472679</v>
      </c>
      <c r="R2385" s="14" t="b">
        <f t="shared" si="1"/>
        <v>0</v>
      </c>
      <c r="S2385" s="14" t="str">
        <f t="shared" si="2"/>
        <v>56.31909,40.472679</v>
      </c>
      <c r="T2385" s="12"/>
    </row>
    <row r="2386">
      <c r="A2386" s="18" t="s">
        <v>15495</v>
      </c>
      <c r="B2386" s="8" t="s">
        <v>15496</v>
      </c>
      <c r="C2386" s="8" t="s">
        <v>15497</v>
      </c>
      <c r="D2386" s="8" t="s">
        <v>16</v>
      </c>
      <c r="E2386" s="19" t="s">
        <v>15498</v>
      </c>
      <c r="F2386" s="8" t="s">
        <v>12717</v>
      </c>
      <c r="G2386" s="8">
        <v>23.61</v>
      </c>
      <c r="H2386" s="8"/>
      <c r="I2386" s="8"/>
      <c r="J2386" s="8" t="s">
        <v>15499</v>
      </c>
      <c r="K2386" s="8" t="s">
        <v>15500</v>
      </c>
      <c r="L2386" s="8"/>
      <c r="M2386" s="24" t="s">
        <v>15501</v>
      </c>
      <c r="N2386" s="12"/>
      <c r="O2386" s="12"/>
      <c r="P2386" s="13">
        <f>IFERROR(__xludf.DUMMYFUNCTION("VALUE(SUBSTITUTE((INDEX(SPLIT(A2386,"",""),1)),""."","","",1))"),56.17034)</f>
        <v>56.17034</v>
      </c>
      <c r="Q2386" s="13">
        <f>IFERROR(__xludf.DUMMYFUNCTION("VALUE(SUBSTITUTE((INDEX(SPLIT(A2386,"",""),2)),""."","","",1))"),40.497922)</f>
        <v>40.497922</v>
      </c>
      <c r="R2386" s="14" t="b">
        <f t="shared" si="1"/>
        <v>0</v>
      </c>
      <c r="S2386" s="14" t="str">
        <f t="shared" si="2"/>
        <v>56.17034,40.497922</v>
      </c>
      <c r="T2386" s="12"/>
    </row>
    <row r="2387">
      <c r="A2387" s="20" t="s">
        <v>15502</v>
      </c>
      <c r="B2387" s="16" t="s">
        <v>15503</v>
      </c>
      <c r="C2387" s="16" t="s">
        <v>15504</v>
      </c>
      <c r="D2387" s="16" t="s">
        <v>16</v>
      </c>
      <c r="E2387" s="21" t="s">
        <v>15505</v>
      </c>
      <c r="F2387" s="22" t="s">
        <v>10789</v>
      </c>
      <c r="G2387" s="16">
        <v>23.61</v>
      </c>
      <c r="H2387" s="16"/>
      <c r="I2387" s="22"/>
      <c r="J2387" s="22" t="s">
        <v>15506</v>
      </c>
      <c r="K2387" s="22" t="s">
        <v>15507</v>
      </c>
      <c r="L2387" s="23" t="s">
        <v>15508</v>
      </c>
      <c r="M2387" s="22"/>
      <c r="N2387" s="12"/>
      <c r="O2387" s="12"/>
      <c r="P2387" s="13">
        <f>IFERROR(__xludf.DUMMYFUNCTION("VALUE(SUBSTITUTE((INDEX(SPLIT(A2387,"",""),1)),""."","","",1))"),56.852809)</f>
        <v>56.852809</v>
      </c>
      <c r="Q2387" s="13">
        <f>IFERROR(__xludf.DUMMYFUNCTION("VALUE(SUBSTITUTE((INDEX(SPLIT(A2387,"",""),2)),""."","","",1))"),40.506069)</f>
        <v>40.506069</v>
      </c>
      <c r="R2387" s="14" t="b">
        <f t="shared" si="1"/>
        <v>0</v>
      </c>
      <c r="S2387" s="14" t="str">
        <f t="shared" si="2"/>
        <v>56.852809,40.506069</v>
      </c>
      <c r="T2387" s="12"/>
    </row>
    <row r="2388">
      <c r="A2388" s="7" t="s">
        <v>15509</v>
      </c>
      <c r="B2388" s="8" t="s">
        <v>15510</v>
      </c>
      <c r="C2388" s="8" t="s">
        <v>15511</v>
      </c>
      <c r="D2388" s="8" t="s">
        <v>16</v>
      </c>
      <c r="E2388" s="9" t="s">
        <v>15512</v>
      </c>
      <c r="F2388" s="10" t="s">
        <v>14706</v>
      </c>
      <c r="G2388" s="8">
        <v>23.61</v>
      </c>
      <c r="H2388" s="8"/>
      <c r="I2388" s="10"/>
      <c r="J2388" s="10" t="s">
        <v>15513</v>
      </c>
      <c r="K2388" s="10" t="s">
        <v>15514</v>
      </c>
      <c r="L2388" s="11" t="s">
        <v>15515</v>
      </c>
      <c r="M2388" s="11" t="s">
        <v>15516</v>
      </c>
      <c r="N2388" s="12"/>
      <c r="O2388" s="12"/>
      <c r="P2388" s="13">
        <f>IFERROR(__xludf.DUMMYFUNCTION("VALUE(SUBSTITUTE((INDEX(SPLIT(A2388,"",""),1)),""."","","",1))"),64.541821)</f>
        <v>64.541821</v>
      </c>
      <c r="Q2388" s="13">
        <f>IFERROR(__xludf.DUMMYFUNCTION("VALUE(SUBSTITUTE((INDEX(SPLIT(A2388,"",""),2)),""."","","",1))"),40.518825)</f>
        <v>40.518825</v>
      </c>
      <c r="R2388" s="14" t="b">
        <f t="shared" si="1"/>
        <v>0</v>
      </c>
      <c r="S2388" s="14" t="str">
        <f t="shared" si="2"/>
        <v>64.541821,40.518825</v>
      </c>
      <c r="T2388" s="12"/>
    </row>
    <row r="2389">
      <c r="A2389" s="15" t="s">
        <v>15517</v>
      </c>
      <c r="B2389" s="16" t="s">
        <v>15518</v>
      </c>
      <c r="C2389" s="16" t="s">
        <v>15519</v>
      </c>
      <c r="D2389" s="16" t="s">
        <v>16</v>
      </c>
      <c r="E2389" s="17" t="s">
        <v>15520</v>
      </c>
      <c r="F2389" s="16" t="s">
        <v>15475</v>
      </c>
      <c r="G2389" s="16">
        <v>23.61</v>
      </c>
      <c r="H2389" s="16"/>
      <c r="I2389" s="16"/>
      <c r="J2389" s="16" t="s">
        <v>15521</v>
      </c>
      <c r="K2389" s="16" t="s">
        <v>15522</v>
      </c>
      <c r="L2389" s="16"/>
      <c r="M2389" s="16"/>
      <c r="N2389" s="12"/>
      <c r="O2389" s="12"/>
      <c r="P2389" s="13">
        <f>IFERROR(__xludf.DUMMYFUNCTION("VALUE(SUBSTITUTE((INDEX(SPLIT(A2389,"",""),1)),""."","","",1))"),52.905342)</f>
        <v>52.905342</v>
      </c>
      <c r="Q2389" s="13">
        <f>IFERROR(__xludf.DUMMYFUNCTION("VALUE(SUBSTITUTE((INDEX(SPLIT(A2389,"",""),2)),""."","","",1))"),40.524925)</f>
        <v>40.524925</v>
      </c>
      <c r="R2389" s="14" t="b">
        <f t="shared" si="1"/>
        <v>0</v>
      </c>
      <c r="S2389" s="14" t="str">
        <f t="shared" si="2"/>
        <v>52.905342,40.524925</v>
      </c>
      <c r="T2389" s="12"/>
    </row>
    <row r="2390">
      <c r="A2390" s="7" t="s">
        <v>15523</v>
      </c>
      <c r="B2390" s="8" t="s">
        <v>9164</v>
      </c>
      <c r="C2390" s="8" t="s">
        <v>9165</v>
      </c>
      <c r="D2390" s="8" t="s">
        <v>16</v>
      </c>
      <c r="E2390" s="9" t="s">
        <v>15524</v>
      </c>
      <c r="F2390" s="10" t="s">
        <v>12717</v>
      </c>
      <c r="G2390" s="8">
        <v>23.61</v>
      </c>
      <c r="H2390" s="8"/>
      <c r="I2390" s="10"/>
      <c r="J2390" s="10" t="s">
        <v>15525</v>
      </c>
      <c r="K2390" s="10" t="s">
        <v>15526</v>
      </c>
      <c r="L2390" s="11" t="s">
        <v>15527</v>
      </c>
      <c r="M2390" s="10"/>
      <c r="N2390" s="12"/>
      <c r="O2390" s="12"/>
      <c r="P2390" s="13">
        <f>IFERROR(__xludf.DUMMYFUNCTION("VALUE(SUBSTITUTE((INDEX(SPLIT(A2390,"",""),1)),""."","","",1))"),56.201234)</f>
        <v>56.201234</v>
      </c>
      <c r="Q2390" s="13">
        <f>IFERROR(__xludf.DUMMYFUNCTION("VALUE(SUBSTITUTE((INDEX(SPLIT(A2390,"",""),2)),""."","","",1))"),40.525051)</f>
        <v>40.525051</v>
      </c>
      <c r="R2390" s="14" t="b">
        <f t="shared" si="1"/>
        <v>0</v>
      </c>
      <c r="S2390" s="14" t="str">
        <f t="shared" si="2"/>
        <v>56.201234,40.525051</v>
      </c>
      <c r="T2390" s="12"/>
    </row>
    <row r="2391">
      <c r="A2391" s="15" t="s">
        <v>15523</v>
      </c>
      <c r="B2391" s="16" t="s">
        <v>15528</v>
      </c>
      <c r="C2391" s="16" t="s">
        <v>15529</v>
      </c>
      <c r="D2391" s="16" t="s">
        <v>16</v>
      </c>
      <c r="E2391" s="17" t="s">
        <v>15530</v>
      </c>
      <c r="F2391" s="16" t="s">
        <v>12717</v>
      </c>
      <c r="G2391" s="16">
        <v>23.61</v>
      </c>
      <c r="H2391" s="16"/>
      <c r="I2391" s="16"/>
      <c r="J2391" s="16" t="s">
        <v>15531</v>
      </c>
      <c r="K2391" s="16" t="s">
        <v>15532</v>
      </c>
      <c r="L2391" s="16"/>
      <c r="M2391" s="25" t="s">
        <v>15533</v>
      </c>
      <c r="N2391" s="12"/>
      <c r="O2391" s="12"/>
      <c r="P2391" s="13">
        <f>IFERROR(__xludf.DUMMYFUNCTION("VALUE(SUBSTITUTE((INDEX(SPLIT(A2391,"",""),1)),""."","","",1))"),56.201234)</f>
        <v>56.201234</v>
      </c>
      <c r="Q2391" s="13">
        <f>IFERROR(__xludf.DUMMYFUNCTION("VALUE(SUBSTITUTE((INDEX(SPLIT(A2391,"",""),2)),""."","","",1))"),40.525051)</f>
        <v>40.525051</v>
      </c>
      <c r="R2391" s="14" t="b">
        <f t="shared" si="1"/>
        <v>0</v>
      </c>
      <c r="S2391" s="14" t="str">
        <f t="shared" si="2"/>
        <v>56.201234,40.525051</v>
      </c>
      <c r="T2391" s="12"/>
    </row>
    <row r="2392">
      <c r="A2392" s="7" t="s">
        <v>15534</v>
      </c>
      <c r="B2392" s="8" t="s">
        <v>15535</v>
      </c>
      <c r="C2392" s="8" t="s">
        <v>15536</v>
      </c>
      <c r="D2392" s="8" t="s">
        <v>16</v>
      </c>
      <c r="E2392" s="9" t="s">
        <v>15537</v>
      </c>
      <c r="F2392" s="10" t="s">
        <v>15475</v>
      </c>
      <c r="G2392" s="8">
        <v>23.61</v>
      </c>
      <c r="H2392" s="8"/>
      <c r="I2392" s="10"/>
      <c r="J2392" s="10" t="s">
        <v>15538</v>
      </c>
      <c r="K2392" s="10" t="s">
        <v>15539</v>
      </c>
      <c r="L2392" s="29" t="s">
        <v>15540</v>
      </c>
      <c r="M2392" s="10"/>
      <c r="N2392" s="12"/>
      <c r="O2392" s="12"/>
      <c r="P2392" s="13">
        <f>IFERROR(__xludf.DUMMYFUNCTION("VALUE(SUBSTITUTE((INDEX(SPLIT(A2392,"",""),1)),""."","","",1))"),52.904885)</f>
        <v>52.904885</v>
      </c>
      <c r="Q2392" s="13">
        <f>IFERROR(__xludf.DUMMYFUNCTION("VALUE(SUBSTITUTE((INDEX(SPLIT(A2392,"",""),2)),""."","","",1))"),40.527359)</f>
        <v>40.527359</v>
      </c>
      <c r="R2392" s="14" t="b">
        <f t="shared" si="1"/>
        <v>0</v>
      </c>
      <c r="S2392" s="14" t="str">
        <f t="shared" si="2"/>
        <v>52.904885,40.527359</v>
      </c>
      <c r="T2392" s="12"/>
    </row>
    <row r="2393">
      <c r="A2393" s="20" t="s">
        <v>15541</v>
      </c>
      <c r="B2393" s="16" t="s">
        <v>15542</v>
      </c>
      <c r="C2393" s="16" t="s">
        <v>15543</v>
      </c>
      <c r="D2393" s="16" t="s">
        <v>16</v>
      </c>
      <c r="E2393" s="21" t="s">
        <v>15544</v>
      </c>
      <c r="F2393" s="22" t="s">
        <v>14706</v>
      </c>
      <c r="G2393" s="16">
        <v>23.61</v>
      </c>
      <c r="H2393" s="16"/>
      <c r="I2393" s="22"/>
      <c r="J2393" s="22" t="s">
        <v>15545</v>
      </c>
      <c r="K2393" s="22" t="s">
        <v>15546</v>
      </c>
      <c r="L2393" s="23" t="s">
        <v>15547</v>
      </c>
      <c r="M2393" s="23" t="s">
        <v>15548</v>
      </c>
      <c r="N2393" s="12"/>
      <c r="O2393" s="12"/>
      <c r="P2393" s="13">
        <f>IFERROR(__xludf.DUMMYFUNCTION("VALUE(SUBSTITUTE((INDEX(SPLIT(A2393,"",""),1)),""."","","",1))"),64.546046)</f>
        <v>64.546046</v>
      </c>
      <c r="Q2393" s="13">
        <f>IFERROR(__xludf.DUMMYFUNCTION("VALUE(SUBSTITUTE((INDEX(SPLIT(A2393,"",""),2)),""."","","",1))"),40.531033)</f>
        <v>40.531033</v>
      </c>
      <c r="R2393" s="14" t="b">
        <f t="shared" si="1"/>
        <v>0</v>
      </c>
      <c r="S2393" s="14" t="str">
        <f t="shared" si="2"/>
        <v>64.546046,40.531033</v>
      </c>
      <c r="T2393" s="12"/>
    </row>
    <row r="2394">
      <c r="A2394" s="7" t="s">
        <v>15549</v>
      </c>
      <c r="B2394" s="8" t="s">
        <v>15550</v>
      </c>
      <c r="C2394" s="8" t="s">
        <v>15551</v>
      </c>
      <c r="D2394" s="8" t="s">
        <v>16</v>
      </c>
      <c r="E2394" s="9" t="s">
        <v>15552</v>
      </c>
      <c r="F2394" s="10" t="s">
        <v>10789</v>
      </c>
      <c r="G2394" s="8">
        <v>23.61</v>
      </c>
      <c r="H2394" s="8"/>
      <c r="I2394" s="10"/>
      <c r="J2394" s="10" t="s">
        <v>15553</v>
      </c>
      <c r="K2394" s="10" t="s">
        <v>15554</v>
      </c>
      <c r="L2394" s="11" t="s">
        <v>15555</v>
      </c>
      <c r="M2394" s="11" t="s">
        <v>15556</v>
      </c>
      <c r="N2394" s="12"/>
      <c r="O2394" s="12"/>
      <c r="P2394" s="13">
        <f>IFERROR(__xludf.DUMMYFUNCTION("VALUE(SUBSTITUTE((INDEX(SPLIT(A2394,"",""),1)),""."","","",1))"),56.845766)</f>
        <v>56.845766</v>
      </c>
      <c r="Q2394" s="13">
        <f>IFERROR(__xludf.DUMMYFUNCTION("VALUE(SUBSTITUTE((INDEX(SPLIT(A2394,"",""),2)),""."","","",1))"),40.553168)</f>
        <v>40.553168</v>
      </c>
      <c r="R2394" s="14" t="b">
        <f t="shared" si="1"/>
        <v>0</v>
      </c>
      <c r="S2394" s="14" t="str">
        <f t="shared" si="2"/>
        <v>56.845766,40.553168</v>
      </c>
      <c r="T2394" s="12"/>
    </row>
    <row r="2395">
      <c r="A2395" s="20" t="s">
        <v>15557</v>
      </c>
      <c r="B2395" s="16" t="s">
        <v>4400</v>
      </c>
      <c r="C2395" s="16" t="s">
        <v>4401</v>
      </c>
      <c r="D2395" s="16" t="s">
        <v>16</v>
      </c>
      <c r="E2395" s="21" t="s">
        <v>15558</v>
      </c>
      <c r="F2395" s="22" t="s">
        <v>13359</v>
      </c>
      <c r="G2395" s="16">
        <v>23.61</v>
      </c>
      <c r="H2395" s="16"/>
      <c r="I2395" s="22"/>
      <c r="J2395" s="22" t="s">
        <v>15559</v>
      </c>
      <c r="K2395" s="22" t="s">
        <v>15560</v>
      </c>
      <c r="L2395" s="23" t="s">
        <v>15561</v>
      </c>
      <c r="M2395" s="23" t="s">
        <v>15562</v>
      </c>
      <c r="N2395" s="12"/>
      <c r="O2395" s="12"/>
      <c r="P2395" s="13">
        <f>IFERROR(__xludf.DUMMYFUNCTION("VALUE(SUBSTITUTE((INDEX(SPLIT(A2395,"",""),1)),""."","","",1))"),55.148539)</f>
        <v>55.148539</v>
      </c>
      <c r="Q2395" s="13">
        <f>IFERROR(__xludf.DUMMYFUNCTION("VALUE(SUBSTITUTE((INDEX(SPLIT(A2395,"",""),2)),""."","","",1))"),40.557686)</f>
        <v>40.557686</v>
      </c>
      <c r="R2395" s="14" t="b">
        <f t="shared" si="1"/>
        <v>0</v>
      </c>
      <c r="S2395" s="14" t="str">
        <f t="shared" si="2"/>
        <v>55.148539,40.557686</v>
      </c>
      <c r="T2395" s="12"/>
    </row>
    <row r="2396">
      <c r="A2396" s="18" t="s">
        <v>15563</v>
      </c>
      <c r="B2396" s="8" t="s">
        <v>2623</v>
      </c>
      <c r="C2396" s="8" t="s">
        <v>2624</v>
      </c>
      <c r="D2396" s="8" t="s">
        <v>16</v>
      </c>
      <c r="E2396" s="19" t="s">
        <v>15564</v>
      </c>
      <c r="F2396" s="8" t="s">
        <v>15565</v>
      </c>
      <c r="G2396" s="8">
        <v>23.61</v>
      </c>
      <c r="H2396" s="8"/>
      <c r="I2396" s="8"/>
      <c r="J2396" s="8" t="s">
        <v>15566</v>
      </c>
      <c r="K2396" s="8" t="s">
        <v>15567</v>
      </c>
      <c r="L2396" s="8"/>
      <c r="M2396" s="8"/>
      <c r="N2396" s="12"/>
      <c r="O2396" s="12"/>
      <c r="P2396" s="13">
        <f>IFERROR(__xludf.DUMMYFUNCTION("VALUE(SUBSTITUTE((INDEX(SPLIT(A2396,"",""),1)),""."","","",1))"),57.471905)</f>
        <v>57.471905</v>
      </c>
      <c r="Q2396" s="13">
        <f>IFERROR(__xludf.DUMMYFUNCTION("VALUE(SUBSTITUTE((INDEX(SPLIT(A2396,"",""),2)),""."","","",1))"),40.559384)</f>
        <v>40.559384</v>
      </c>
      <c r="R2396" s="14" t="b">
        <f t="shared" si="1"/>
        <v>0</v>
      </c>
      <c r="S2396" s="14" t="str">
        <f t="shared" si="2"/>
        <v>57.471905,40.559384</v>
      </c>
      <c r="T2396" s="12"/>
    </row>
    <row r="2397">
      <c r="A2397" s="20" t="s">
        <v>15568</v>
      </c>
      <c r="B2397" s="16" t="s">
        <v>15569</v>
      </c>
      <c r="C2397" s="16" t="s">
        <v>15570</v>
      </c>
      <c r="D2397" s="16" t="s">
        <v>16</v>
      </c>
      <c r="E2397" s="21" t="s">
        <v>15571</v>
      </c>
      <c r="F2397" s="22" t="s">
        <v>12717</v>
      </c>
      <c r="G2397" s="16">
        <v>23.61</v>
      </c>
      <c r="H2397" s="16"/>
      <c r="I2397" s="22"/>
      <c r="J2397" s="22" t="s">
        <v>15572</v>
      </c>
      <c r="K2397" s="22" t="s">
        <v>15573</v>
      </c>
      <c r="L2397" s="23" t="s">
        <v>15574</v>
      </c>
      <c r="M2397" s="22"/>
      <c r="N2397" s="12"/>
      <c r="O2397" s="12"/>
      <c r="P2397" s="13">
        <f>IFERROR(__xludf.DUMMYFUNCTION("VALUE(SUBSTITUTE((INDEX(SPLIT(A2397,"",""),1)),""."","","",1))"),56.249997)</f>
        <v>56.249997</v>
      </c>
      <c r="Q2397" s="13">
        <f>IFERROR(__xludf.DUMMYFUNCTION("VALUE(SUBSTITUTE((INDEX(SPLIT(A2397,"",""),2)),""."","","",1))"),40.565448)</f>
        <v>40.565448</v>
      </c>
      <c r="R2397" s="14" t="b">
        <f t="shared" si="1"/>
        <v>0</v>
      </c>
      <c r="S2397" s="14" t="str">
        <f t="shared" si="2"/>
        <v>56.249997,40.565448</v>
      </c>
      <c r="T2397" s="12"/>
    </row>
    <row r="2398">
      <c r="A2398" s="18" t="s">
        <v>15575</v>
      </c>
      <c r="B2398" s="8" t="s">
        <v>15576</v>
      </c>
      <c r="C2398" s="8" t="s">
        <v>15577</v>
      </c>
      <c r="D2398" s="8" t="s">
        <v>16</v>
      </c>
      <c r="E2398" s="19" t="s">
        <v>15578</v>
      </c>
      <c r="F2398" s="8" t="s">
        <v>14706</v>
      </c>
      <c r="G2398" s="8">
        <v>23.61</v>
      </c>
      <c r="H2398" s="8"/>
      <c r="I2398" s="8"/>
      <c r="J2398" s="8" t="s">
        <v>15579</v>
      </c>
      <c r="K2398" s="8" t="s">
        <v>15580</v>
      </c>
      <c r="L2398" s="8"/>
      <c r="M2398" s="24" t="s">
        <v>15581</v>
      </c>
      <c r="N2398" s="12"/>
      <c r="O2398" s="12"/>
      <c r="P2398" s="13">
        <f>IFERROR(__xludf.DUMMYFUNCTION("VALUE(SUBSTITUTE((INDEX(SPLIT(A2398,"",""),1)),""."","","",1))"),64.533221)</f>
        <v>64.533221</v>
      </c>
      <c r="Q2398" s="13">
        <f>IFERROR(__xludf.DUMMYFUNCTION("VALUE(SUBSTITUTE((INDEX(SPLIT(A2398,"",""),2)),""."","","",1))"),40.588508)</f>
        <v>40.588508</v>
      </c>
      <c r="R2398" s="14" t="b">
        <f t="shared" si="1"/>
        <v>0</v>
      </c>
      <c r="S2398" s="14" t="str">
        <f t="shared" si="2"/>
        <v>64.533221,40.588508</v>
      </c>
      <c r="T2398" s="12"/>
    </row>
    <row r="2399">
      <c r="A2399" s="20" t="s">
        <v>15582</v>
      </c>
      <c r="B2399" s="16" t="s">
        <v>15583</v>
      </c>
      <c r="C2399" s="16" t="s">
        <v>15584</v>
      </c>
      <c r="D2399" s="16" t="s">
        <v>16</v>
      </c>
      <c r="E2399" s="21" t="s">
        <v>15585</v>
      </c>
      <c r="F2399" s="22" t="s">
        <v>8566</v>
      </c>
      <c r="G2399" s="16">
        <v>23.61</v>
      </c>
      <c r="H2399" s="16"/>
      <c r="I2399" s="22"/>
      <c r="J2399" s="22" t="s">
        <v>15586</v>
      </c>
      <c r="K2399" s="22" t="s">
        <v>13126</v>
      </c>
      <c r="L2399" s="23" t="s">
        <v>15587</v>
      </c>
      <c r="M2399" s="22"/>
      <c r="N2399" s="12"/>
      <c r="O2399" s="12"/>
      <c r="P2399" s="13">
        <f>IFERROR(__xludf.DUMMYFUNCTION("VALUE(SUBSTITUTE((INDEX(SPLIT(A2399,"",""),1)),""."","","",1))"),45.426211)</f>
        <v>45.426211</v>
      </c>
      <c r="Q2399" s="13">
        <f>IFERROR(__xludf.DUMMYFUNCTION("VALUE(SUBSTITUTE((INDEX(SPLIT(A2399,"",""),2)),""."","","",1))"),40.602728)</f>
        <v>40.602728</v>
      </c>
      <c r="R2399" s="14" t="b">
        <f t="shared" si="1"/>
        <v>0</v>
      </c>
      <c r="S2399" s="14" t="str">
        <f t="shared" si="2"/>
        <v>45.426211,40.602728</v>
      </c>
      <c r="T2399" s="12"/>
    </row>
    <row r="2400">
      <c r="A2400" s="18" t="s">
        <v>15588</v>
      </c>
      <c r="B2400" s="8" t="s">
        <v>15589</v>
      </c>
      <c r="C2400" s="8" t="s">
        <v>15590</v>
      </c>
      <c r="D2400" s="8" t="s">
        <v>16</v>
      </c>
      <c r="E2400" s="19" t="s">
        <v>15591</v>
      </c>
      <c r="F2400" s="8" t="s">
        <v>14706</v>
      </c>
      <c r="G2400" s="8">
        <v>23.61</v>
      </c>
      <c r="H2400" s="8"/>
      <c r="I2400" s="8"/>
      <c r="J2400" s="8" t="s">
        <v>15592</v>
      </c>
      <c r="K2400" s="8" t="s">
        <v>15593</v>
      </c>
      <c r="L2400" s="8"/>
      <c r="M2400" s="24" t="s">
        <v>15594</v>
      </c>
      <c r="N2400" s="12"/>
      <c r="O2400" s="12"/>
      <c r="P2400" s="13">
        <f>IFERROR(__xludf.DUMMYFUNCTION("VALUE(SUBSTITUTE((INDEX(SPLIT(A2400,"",""),1)),""."","","",1))"),64.470779)</f>
        <v>64.470779</v>
      </c>
      <c r="Q2400" s="13">
        <f>IFERROR(__xludf.DUMMYFUNCTION("VALUE(SUBSTITUTE((INDEX(SPLIT(A2400,"",""),2)),""."","","",1))"),40.610615)</f>
        <v>40.610615</v>
      </c>
      <c r="R2400" s="14" t="b">
        <f t="shared" si="1"/>
        <v>0</v>
      </c>
      <c r="S2400" s="14" t="str">
        <f t="shared" si="2"/>
        <v>64.470779,40.610615</v>
      </c>
      <c r="T2400" s="12"/>
    </row>
    <row r="2401">
      <c r="A2401" s="15" t="s">
        <v>15595</v>
      </c>
      <c r="B2401" s="16" t="s">
        <v>15596</v>
      </c>
      <c r="C2401" s="16" t="s">
        <v>15597</v>
      </c>
      <c r="D2401" s="16" t="s">
        <v>16</v>
      </c>
      <c r="E2401" s="17" t="s">
        <v>15598</v>
      </c>
      <c r="F2401" s="16" t="s">
        <v>9563</v>
      </c>
      <c r="G2401" s="16">
        <v>23.61</v>
      </c>
      <c r="H2401" s="16"/>
      <c r="I2401" s="16"/>
      <c r="J2401" s="16" t="s">
        <v>15599</v>
      </c>
      <c r="K2401" s="16" t="s">
        <v>15600</v>
      </c>
      <c r="L2401" s="16"/>
      <c r="M2401" s="25" t="s">
        <v>15601</v>
      </c>
      <c r="N2401" s="12"/>
      <c r="O2401" s="12"/>
      <c r="P2401" s="13">
        <f>IFERROR(__xludf.DUMMYFUNCTION("VALUE(SUBSTITUTE((INDEX(SPLIT(A2401,"",""),1)),""."","","",1))"),50.807063)</f>
        <v>50.807063</v>
      </c>
      <c r="Q2401" s="13">
        <f>IFERROR(__xludf.DUMMYFUNCTION("VALUE(SUBSTITUTE((INDEX(SPLIT(A2401,"",""),2)),""."","","",1))"),40.635912)</f>
        <v>40.635912</v>
      </c>
      <c r="R2401" s="14" t="b">
        <f t="shared" si="1"/>
        <v>0</v>
      </c>
      <c r="S2401" s="14" t="str">
        <f t="shared" si="2"/>
        <v>50.807063,40.635912</v>
      </c>
      <c r="T2401" s="12"/>
    </row>
    <row r="2402">
      <c r="A2402" s="18" t="s">
        <v>15595</v>
      </c>
      <c r="B2402" s="8" t="s">
        <v>15602</v>
      </c>
      <c r="C2402" s="8" t="s">
        <v>15603</v>
      </c>
      <c r="D2402" s="8" t="s">
        <v>16</v>
      </c>
      <c r="E2402" s="19" t="s">
        <v>15604</v>
      </c>
      <c r="F2402" s="8" t="s">
        <v>9563</v>
      </c>
      <c r="G2402" s="8">
        <v>23.61</v>
      </c>
      <c r="H2402" s="8"/>
      <c r="I2402" s="8"/>
      <c r="J2402" s="8" t="s">
        <v>15605</v>
      </c>
      <c r="K2402" s="8" t="s">
        <v>15606</v>
      </c>
      <c r="L2402" s="8"/>
      <c r="M2402" s="8"/>
      <c r="N2402" s="12"/>
      <c r="O2402" s="12"/>
      <c r="P2402" s="13">
        <f>IFERROR(__xludf.DUMMYFUNCTION("VALUE(SUBSTITUTE((INDEX(SPLIT(A2402,"",""),1)),""."","","",1))"),50.807063)</f>
        <v>50.807063</v>
      </c>
      <c r="Q2402" s="13">
        <f>IFERROR(__xludf.DUMMYFUNCTION("VALUE(SUBSTITUTE((INDEX(SPLIT(A2402,"",""),2)),""."","","",1))"),40.635912)</f>
        <v>40.635912</v>
      </c>
      <c r="R2402" s="14" t="b">
        <f t="shared" si="1"/>
        <v>0</v>
      </c>
      <c r="S2402" s="14" t="str">
        <f t="shared" si="2"/>
        <v>50.807063,40.635912</v>
      </c>
      <c r="T2402" s="12"/>
    </row>
    <row r="2403">
      <c r="A2403" s="15" t="s">
        <v>15595</v>
      </c>
      <c r="B2403" s="16" t="s">
        <v>15607</v>
      </c>
      <c r="C2403" s="16" t="s">
        <v>15608</v>
      </c>
      <c r="D2403" s="16" t="s">
        <v>16</v>
      </c>
      <c r="E2403" s="17" t="s">
        <v>15609</v>
      </c>
      <c r="F2403" s="16" t="s">
        <v>9563</v>
      </c>
      <c r="G2403" s="16">
        <v>23.61</v>
      </c>
      <c r="H2403" s="16"/>
      <c r="I2403" s="16"/>
      <c r="J2403" s="16" t="s">
        <v>15610</v>
      </c>
      <c r="K2403" s="16" t="s">
        <v>15600</v>
      </c>
      <c r="L2403" s="16"/>
      <c r="M2403" s="25" t="s">
        <v>15611</v>
      </c>
      <c r="N2403" s="12"/>
      <c r="O2403" s="12"/>
      <c r="P2403" s="13">
        <f>IFERROR(__xludf.DUMMYFUNCTION("VALUE(SUBSTITUTE((INDEX(SPLIT(A2403,"",""),1)),""."","","",1))"),50.807063)</f>
        <v>50.807063</v>
      </c>
      <c r="Q2403" s="13">
        <f>IFERROR(__xludf.DUMMYFUNCTION("VALUE(SUBSTITUTE((INDEX(SPLIT(A2403,"",""),2)),""."","","",1))"),40.635912)</f>
        <v>40.635912</v>
      </c>
      <c r="R2403" s="14" t="b">
        <f t="shared" si="1"/>
        <v>0</v>
      </c>
      <c r="S2403" s="14" t="str">
        <f t="shared" si="2"/>
        <v>50.807063,40.635912</v>
      </c>
      <c r="T2403" s="12"/>
    </row>
    <row r="2404">
      <c r="A2404" s="18" t="s">
        <v>15612</v>
      </c>
      <c r="B2404" s="8" t="s">
        <v>15613</v>
      </c>
      <c r="C2404" s="8" t="s">
        <v>15614</v>
      </c>
      <c r="D2404" s="8" t="s">
        <v>16</v>
      </c>
      <c r="E2404" s="19" t="s">
        <v>15615</v>
      </c>
      <c r="F2404" s="8" t="s">
        <v>12717</v>
      </c>
      <c r="G2404" s="8">
        <v>23.61</v>
      </c>
      <c r="H2404" s="8"/>
      <c r="I2404" s="8"/>
      <c r="J2404" s="8" t="s">
        <v>15616</v>
      </c>
      <c r="K2404" s="8" t="s">
        <v>15617</v>
      </c>
      <c r="L2404" s="8"/>
      <c r="M2404" s="24" t="s">
        <v>15618</v>
      </c>
      <c r="N2404" s="12"/>
      <c r="O2404" s="12"/>
      <c r="P2404" s="13">
        <f>IFERROR(__xludf.DUMMYFUNCTION("VALUE(SUBSTITUTE((INDEX(SPLIT(A2404,"",""),1)),""."","","",1))"),55.613158)</f>
        <v>55.613158</v>
      </c>
      <c r="Q2404" s="13">
        <f>IFERROR(__xludf.DUMMYFUNCTION("VALUE(SUBSTITUTE((INDEX(SPLIT(A2404,"",""),2)),""."","","",1))"),40.641535)</f>
        <v>40.641535</v>
      </c>
      <c r="R2404" s="14" t="b">
        <f t="shared" si="1"/>
        <v>0</v>
      </c>
      <c r="S2404" s="14" t="str">
        <f t="shared" si="2"/>
        <v>55.613158,40.641535</v>
      </c>
      <c r="T2404" s="12"/>
    </row>
    <row r="2405">
      <c r="A2405" s="20" t="s">
        <v>15619</v>
      </c>
      <c r="B2405" s="16" t="s">
        <v>15620</v>
      </c>
      <c r="C2405" s="16" t="s">
        <v>15621</v>
      </c>
      <c r="D2405" s="16" t="s">
        <v>16</v>
      </c>
      <c r="E2405" s="21" t="s">
        <v>15622</v>
      </c>
      <c r="F2405" s="22" t="s">
        <v>8566</v>
      </c>
      <c r="G2405" s="16">
        <v>23.61</v>
      </c>
      <c r="H2405" s="16"/>
      <c r="I2405" s="22"/>
      <c r="J2405" s="22" t="s">
        <v>15623</v>
      </c>
      <c r="K2405" s="22" t="s">
        <v>13126</v>
      </c>
      <c r="L2405" s="23" t="s">
        <v>15624</v>
      </c>
      <c r="M2405" s="22"/>
      <c r="N2405" s="12"/>
      <c r="O2405" s="12"/>
      <c r="P2405" s="13">
        <f>IFERROR(__xludf.DUMMYFUNCTION("VALUE(SUBSTITUTE((INDEX(SPLIT(A2405,"",""),1)),""."","","",1))"),45.445507)</f>
        <v>45.445507</v>
      </c>
      <c r="Q2405" s="13">
        <f>IFERROR(__xludf.DUMMYFUNCTION("VALUE(SUBSTITUTE((INDEX(SPLIT(A2405,"",""),2)),""."","","",1))"),40.646368)</f>
        <v>40.646368</v>
      </c>
      <c r="R2405" s="14" t="b">
        <f t="shared" si="1"/>
        <v>0</v>
      </c>
      <c r="S2405" s="14" t="str">
        <f t="shared" si="2"/>
        <v>45.445507,40.646368</v>
      </c>
      <c r="T2405" s="12"/>
    </row>
    <row r="2406">
      <c r="A2406" s="18" t="s">
        <v>15625</v>
      </c>
      <c r="B2406" s="8" t="s">
        <v>15626</v>
      </c>
      <c r="C2406" s="8" t="s">
        <v>15627</v>
      </c>
      <c r="D2406" s="8" t="s">
        <v>16</v>
      </c>
      <c r="E2406" s="19" t="s">
        <v>15628</v>
      </c>
      <c r="F2406" s="8" t="s">
        <v>14706</v>
      </c>
      <c r="G2406" s="8">
        <v>23.61</v>
      </c>
      <c r="H2406" s="8"/>
      <c r="I2406" s="8"/>
      <c r="J2406" s="8" t="s">
        <v>15629</v>
      </c>
      <c r="K2406" s="8" t="s">
        <v>15630</v>
      </c>
      <c r="L2406" s="8"/>
      <c r="M2406" s="8"/>
      <c r="N2406" s="12"/>
      <c r="O2406" s="12"/>
      <c r="P2406" s="13">
        <f>IFERROR(__xludf.DUMMYFUNCTION("VALUE(SUBSTITUTE((INDEX(SPLIT(A2406,"",""),1)),""."","","",1))"),64.494806)</f>
        <v>64.494806</v>
      </c>
      <c r="Q2406" s="13">
        <f>IFERROR(__xludf.DUMMYFUNCTION("VALUE(SUBSTITUTE((INDEX(SPLIT(A2406,"",""),2)),""."","","",1))"),40.686963)</f>
        <v>40.686963</v>
      </c>
      <c r="R2406" s="14" t="b">
        <f t="shared" si="1"/>
        <v>0</v>
      </c>
      <c r="S2406" s="14" t="str">
        <f t="shared" si="2"/>
        <v>64.494806,40.686963</v>
      </c>
      <c r="T2406" s="12"/>
    </row>
    <row r="2407">
      <c r="A2407" s="20" t="s">
        <v>15631</v>
      </c>
      <c r="B2407" s="16" t="s">
        <v>15632</v>
      </c>
      <c r="C2407" s="16" t="s">
        <v>15633</v>
      </c>
      <c r="D2407" s="16" t="s">
        <v>16</v>
      </c>
      <c r="E2407" s="21" t="s">
        <v>15634</v>
      </c>
      <c r="F2407" s="22" t="s">
        <v>8566</v>
      </c>
      <c r="G2407" s="16">
        <v>23.61</v>
      </c>
      <c r="H2407" s="16"/>
      <c r="I2407" s="22"/>
      <c r="J2407" s="22" t="s">
        <v>15635</v>
      </c>
      <c r="K2407" s="22" t="s">
        <v>15636</v>
      </c>
      <c r="L2407" s="23" t="s">
        <v>15637</v>
      </c>
      <c r="M2407" s="23" t="s">
        <v>15638</v>
      </c>
      <c r="N2407" s="12"/>
      <c r="O2407" s="12"/>
      <c r="P2407" s="13">
        <f>IFERROR(__xludf.DUMMYFUNCTION("VALUE(SUBSTITUTE((INDEX(SPLIT(A2407,"",""),1)),""."","","",1))"),45.398663)</f>
        <v>45.398663</v>
      </c>
      <c r="Q2407" s="13">
        <f>IFERROR(__xludf.DUMMYFUNCTION("VALUE(SUBSTITUTE((INDEX(SPLIT(A2407,"",""),2)),""."","","",1))"),40.701408)</f>
        <v>40.701408</v>
      </c>
      <c r="R2407" s="14" t="b">
        <f t="shared" si="1"/>
        <v>0</v>
      </c>
      <c r="S2407" s="14" t="str">
        <f t="shared" si="2"/>
        <v>45.398663,40.701408</v>
      </c>
      <c r="T2407" s="12"/>
    </row>
    <row r="2408">
      <c r="A2408" s="18" t="s">
        <v>15639</v>
      </c>
      <c r="B2408" s="8" t="s">
        <v>15640</v>
      </c>
      <c r="C2408" s="8" t="s">
        <v>15641</v>
      </c>
      <c r="D2408" s="8" t="s">
        <v>16</v>
      </c>
      <c r="E2408" s="19" t="s">
        <v>15642</v>
      </c>
      <c r="F2408" s="8" t="s">
        <v>8566</v>
      </c>
      <c r="G2408" s="8">
        <v>23.61</v>
      </c>
      <c r="H2408" s="8"/>
      <c r="I2408" s="8"/>
      <c r="J2408" s="8" t="s">
        <v>15643</v>
      </c>
      <c r="K2408" s="8" t="s">
        <v>15644</v>
      </c>
      <c r="L2408" s="8"/>
      <c r="M2408" s="8"/>
      <c r="N2408" s="12"/>
      <c r="O2408" s="12"/>
      <c r="P2408" s="13">
        <f>IFERROR(__xludf.DUMMYFUNCTION("VALUE(SUBSTITUTE((INDEX(SPLIT(A2408,"",""),1)),""."","","",1))"),45.397555)</f>
        <v>45.397555</v>
      </c>
      <c r="Q2408" s="13">
        <f>IFERROR(__xludf.DUMMYFUNCTION("VALUE(SUBSTITUTE((INDEX(SPLIT(A2408,"",""),2)),""."","","",1))"),40.703043)</f>
        <v>40.703043</v>
      </c>
      <c r="R2408" s="14" t="b">
        <f t="shared" si="1"/>
        <v>0</v>
      </c>
      <c r="S2408" s="14" t="str">
        <f t="shared" si="2"/>
        <v>45.397555,40.703043</v>
      </c>
      <c r="T2408" s="12"/>
    </row>
    <row r="2409">
      <c r="A2409" s="20" t="s">
        <v>15645</v>
      </c>
      <c r="B2409" s="16" t="s">
        <v>15646</v>
      </c>
      <c r="C2409" s="16" t="s">
        <v>15647</v>
      </c>
      <c r="D2409" s="16" t="s">
        <v>16</v>
      </c>
      <c r="E2409" s="21" t="s">
        <v>15648</v>
      </c>
      <c r="F2409" s="22" t="s">
        <v>8566</v>
      </c>
      <c r="G2409" s="16">
        <v>23.61</v>
      </c>
      <c r="H2409" s="16"/>
      <c r="I2409" s="22"/>
      <c r="J2409" s="22" t="s">
        <v>15649</v>
      </c>
      <c r="K2409" s="22" t="s">
        <v>15650</v>
      </c>
      <c r="L2409" s="23" t="s">
        <v>15651</v>
      </c>
      <c r="M2409" s="22"/>
      <c r="N2409" s="12"/>
      <c r="O2409" s="12"/>
      <c r="P2409" s="13">
        <f>IFERROR(__xludf.DUMMYFUNCTION("VALUE(SUBSTITUTE((INDEX(SPLIT(A2409,"",""),1)),""."","","",1))"),45.950366)</f>
        <v>45.950366</v>
      </c>
      <c r="Q2409" s="13">
        <f>IFERROR(__xludf.DUMMYFUNCTION("VALUE(SUBSTITUTE((INDEX(SPLIT(A2409,"",""),2)),""."","","",1))"),40.709888)</f>
        <v>40.709888</v>
      </c>
      <c r="R2409" s="14" t="b">
        <f t="shared" si="1"/>
        <v>0</v>
      </c>
      <c r="S2409" s="14" t="str">
        <f t="shared" si="2"/>
        <v>45.950366,40.709888</v>
      </c>
      <c r="T2409" s="12"/>
    </row>
    <row r="2410">
      <c r="A2410" s="7" t="s">
        <v>15652</v>
      </c>
      <c r="B2410" s="8" t="s">
        <v>15653</v>
      </c>
      <c r="C2410" s="8" t="s">
        <v>15654</v>
      </c>
      <c r="D2410" s="8" t="s">
        <v>16</v>
      </c>
      <c r="E2410" s="9" t="s">
        <v>15655</v>
      </c>
      <c r="F2410" s="10" t="s">
        <v>12912</v>
      </c>
      <c r="G2410" s="8">
        <v>23.61</v>
      </c>
      <c r="H2410" s="8"/>
      <c r="I2410" s="10"/>
      <c r="J2410" s="10" t="s">
        <v>15656</v>
      </c>
      <c r="K2410" s="10" t="s">
        <v>15657</v>
      </c>
      <c r="L2410" s="11" t="s">
        <v>15658</v>
      </c>
      <c r="M2410" s="11" t="s">
        <v>15659</v>
      </c>
      <c r="N2410" s="12"/>
      <c r="O2410" s="12"/>
      <c r="P2410" s="13">
        <f>IFERROR(__xludf.DUMMYFUNCTION("VALUE(SUBSTITUTE((INDEX(SPLIT(A2410,"",""),1)),""."","","",1))"),47.103463)</f>
        <v>47.103463</v>
      </c>
      <c r="Q2410" s="13">
        <f>IFERROR(__xludf.DUMMYFUNCTION("VALUE(SUBSTITUTE((INDEX(SPLIT(A2410,"",""),2)),""."","","",1))"),40.721647)</f>
        <v>40.721647</v>
      </c>
      <c r="R2410" s="14" t="b">
        <f t="shared" si="1"/>
        <v>0</v>
      </c>
      <c r="S2410" s="14" t="str">
        <f t="shared" si="2"/>
        <v>47.103463,40.721647</v>
      </c>
      <c r="T2410" s="12"/>
    </row>
    <row r="2411">
      <c r="A2411" s="20" t="s">
        <v>15660</v>
      </c>
      <c r="B2411" s="16" t="s">
        <v>15661</v>
      </c>
      <c r="C2411" s="16" t="s">
        <v>15662</v>
      </c>
      <c r="D2411" s="16" t="s">
        <v>16</v>
      </c>
      <c r="E2411" s="21" t="s">
        <v>15663</v>
      </c>
      <c r="F2411" s="22" t="s">
        <v>14706</v>
      </c>
      <c r="G2411" s="16">
        <v>23.61</v>
      </c>
      <c r="H2411" s="16"/>
      <c r="I2411" s="22"/>
      <c r="J2411" s="22" t="s">
        <v>15664</v>
      </c>
      <c r="K2411" s="22" t="s">
        <v>15665</v>
      </c>
      <c r="L2411" s="23" t="s">
        <v>15666</v>
      </c>
      <c r="M2411" s="22"/>
      <c r="N2411" s="12"/>
      <c r="O2411" s="12"/>
      <c r="P2411" s="13">
        <f>IFERROR(__xludf.DUMMYFUNCTION("VALUE(SUBSTITUTE((INDEX(SPLIT(A2411,"",""),1)),""."","","",1))"),64.493942)</f>
        <v>64.493942</v>
      </c>
      <c r="Q2411" s="13">
        <f>IFERROR(__xludf.DUMMYFUNCTION("VALUE(SUBSTITUTE((INDEX(SPLIT(A2411,"",""),2)),""."","","",1))"),40.722482)</f>
        <v>40.722482</v>
      </c>
      <c r="R2411" s="14" t="b">
        <f t="shared" si="1"/>
        <v>0</v>
      </c>
      <c r="S2411" s="14" t="str">
        <f t="shared" si="2"/>
        <v>64.493942,40.722482</v>
      </c>
      <c r="T2411" s="12"/>
    </row>
    <row r="2412">
      <c r="A2412" s="7" t="s">
        <v>15667</v>
      </c>
      <c r="B2412" s="8" t="s">
        <v>15668</v>
      </c>
      <c r="C2412" s="8" t="s">
        <v>15669</v>
      </c>
      <c r="D2412" s="8" t="s">
        <v>16</v>
      </c>
      <c r="E2412" s="9" t="s">
        <v>15670</v>
      </c>
      <c r="F2412" s="10" t="s">
        <v>8566</v>
      </c>
      <c r="G2412" s="8">
        <v>23.61</v>
      </c>
      <c r="H2412" s="8"/>
      <c r="I2412" s="10"/>
      <c r="J2412" s="10" t="s">
        <v>15671</v>
      </c>
      <c r="K2412" s="10" t="s">
        <v>15672</v>
      </c>
      <c r="L2412" s="11" t="s">
        <v>15673</v>
      </c>
      <c r="M2412" s="10"/>
      <c r="N2412" s="12"/>
      <c r="O2412" s="12"/>
      <c r="P2412" s="13">
        <f>IFERROR(__xludf.DUMMYFUNCTION("VALUE(SUBSTITUTE((INDEX(SPLIT(A2412,"",""),1)),""."","","",1))"),44.635715)</f>
        <v>44.635715</v>
      </c>
      <c r="Q2412" s="13">
        <f>IFERROR(__xludf.DUMMYFUNCTION("VALUE(SUBSTITUTE((INDEX(SPLIT(A2412,"",""),2)),""."","","",1))"),40.723578)</f>
        <v>40.723578</v>
      </c>
      <c r="R2412" s="14" t="b">
        <f t="shared" si="1"/>
        <v>0</v>
      </c>
      <c r="S2412" s="14" t="str">
        <f t="shared" si="2"/>
        <v>44.635715,40.723578</v>
      </c>
      <c r="T2412" s="12"/>
    </row>
    <row r="2413">
      <c r="A2413" s="15" t="s">
        <v>15674</v>
      </c>
      <c r="B2413" s="16" t="s">
        <v>15675</v>
      </c>
      <c r="C2413" s="16" t="s">
        <v>15676</v>
      </c>
      <c r="D2413" s="16" t="s">
        <v>16</v>
      </c>
      <c r="E2413" s="17" t="s">
        <v>15677</v>
      </c>
      <c r="F2413" s="16" t="s">
        <v>14706</v>
      </c>
      <c r="G2413" s="16">
        <v>23.61</v>
      </c>
      <c r="H2413" s="16"/>
      <c r="I2413" s="16"/>
      <c r="J2413" s="16" t="s">
        <v>15678</v>
      </c>
      <c r="K2413" s="16" t="s">
        <v>15679</v>
      </c>
      <c r="L2413" s="16"/>
      <c r="M2413" s="25" t="s">
        <v>15680</v>
      </c>
      <c r="N2413" s="12"/>
      <c r="O2413" s="12"/>
      <c r="P2413" s="13">
        <f>IFERROR(__xludf.DUMMYFUNCTION("VALUE(SUBSTITUTE((INDEX(SPLIT(A2413,"",""),1)),""."","","",1))"),64.481034)</f>
        <v>64.481034</v>
      </c>
      <c r="Q2413" s="13">
        <f>IFERROR(__xludf.DUMMYFUNCTION("VALUE(SUBSTITUTE((INDEX(SPLIT(A2413,"",""),2)),""."","","",1))"),40.741239)</f>
        <v>40.741239</v>
      </c>
      <c r="R2413" s="14" t="b">
        <f t="shared" si="1"/>
        <v>0</v>
      </c>
      <c r="S2413" s="14" t="str">
        <f t="shared" si="2"/>
        <v>64.481034,40.741239</v>
      </c>
      <c r="T2413" s="12"/>
    </row>
    <row r="2414">
      <c r="A2414" s="18" t="s">
        <v>15681</v>
      </c>
      <c r="B2414" s="8" t="s">
        <v>15682</v>
      </c>
      <c r="C2414" s="8" t="s">
        <v>15683</v>
      </c>
      <c r="D2414" s="8" t="s">
        <v>16</v>
      </c>
      <c r="E2414" s="19" t="s">
        <v>15684</v>
      </c>
      <c r="F2414" s="8" t="s">
        <v>10789</v>
      </c>
      <c r="G2414" s="8">
        <v>23.61</v>
      </c>
      <c r="H2414" s="8"/>
      <c r="I2414" s="8"/>
      <c r="J2414" s="8" t="s">
        <v>15685</v>
      </c>
      <c r="K2414" s="8" t="s">
        <v>15686</v>
      </c>
      <c r="L2414" s="8"/>
      <c r="M2414" s="8"/>
      <c r="N2414" s="12"/>
      <c r="O2414" s="12"/>
      <c r="P2414" s="13">
        <f>IFERROR(__xludf.DUMMYFUNCTION("VALUE(SUBSTITUTE((INDEX(SPLIT(A2414,"",""),1)),""."","","",1))"),56.863857)</f>
        <v>56.863857</v>
      </c>
      <c r="Q2414" s="13">
        <f>IFERROR(__xludf.DUMMYFUNCTION("VALUE(SUBSTITUTE((INDEX(SPLIT(A2414,"",""),2)),""."","","",1))"),40.764101)</f>
        <v>40.764101</v>
      </c>
      <c r="R2414" s="14" t="b">
        <f t="shared" si="1"/>
        <v>0</v>
      </c>
      <c r="S2414" s="14" t="str">
        <f t="shared" si="2"/>
        <v>56.863857,40.764101</v>
      </c>
      <c r="T2414" s="12"/>
    </row>
    <row r="2415">
      <c r="A2415" s="15" t="s">
        <v>15687</v>
      </c>
      <c r="B2415" s="16" t="s">
        <v>15688</v>
      </c>
      <c r="C2415" s="16" t="s">
        <v>15689</v>
      </c>
      <c r="D2415" s="16" t="s">
        <v>16</v>
      </c>
      <c r="E2415" s="17" t="s">
        <v>15690</v>
      </c>
      <c r="F2415" s="16" t="s">
        <v>14706</v>
      </c>
      <c r="G2415" s="16">
        <v>23.61</v>
      </c>
      <c r="H2415" s="16"/>
      <c r="I2415" s="16"/>
      <c r="J2415" s="16" t="s">
        <v>15691</v>
      </c>
      <c r="K2415" s="16" t="s">
        <v>15692</v>
      </c>
      <c r="L2415" s="16"/>
      <c r="M2415" s="16"/>
      <c r="N2415" s="12"/>
      <c r="O2415" s="12"/>
      <c r="P2415" s="13">
        <f>IFERROR(__xludf.DUMMYFUNCTION("VALUE(SUBSTITUTE((INDEX(SPLIT(A2415,"",""),1)),""."","","",1))"),64.4858)</f>
        <v>64.4858</v>
      </c>
      <c r="Q2415" s="13">
        <f>IFERROR(__xludf.DUMMYFUNCTION("VALUE(SUBSTITUTE((INDEX(SPLIT(A2415,"",""),2)),""."","","",1))"),40.776076)</f>
        <v>40.776076</v>
      </c>
      <c r="R2415" s="14" t="b">
        <f t="shared" si="1"/>
        <v>0</v>
      </c>
      <c r="S2415" s="14" t="str">
        <f t="shared" si="2"/>
        <v>64.4858,40.776076</v>
      </c>
      <c r="T2415" s="12"/>
    </row>
    <row r="2416">
      <c r="A2416" s="18" t="s">
        <v>15693</v>
      </c>
      <c r="B2416" s="8" t="s">
        <v>15694</v>
      </c>
      <c r="C2416" s="8" t="s">
        <v>15695</v>
      </c>
      <c r="D2416" s="8" t="s">
        <v>16</v>
      </c>
      <c r="E2416" s="19" t="s">
        <v>15696</v>
      </c>
      <c r="F2416" s="8" t="s">
        <v>8566</v>
      </c>
      <c r="G2416" s="8">
        <v>23.61</v>
      </c>
      <c r="H2416" s="8"/>
      <c r="I2416" s="8"/>
      <c r="J2416" s="8" t="s">
        <v>15697</v>
      </c>
      <c r="K2416" s="8" t="s">
        <v>5189</v>
      </c>
      <c r="L2416" s="8"/>
      <c r="M2416" s="8"/>
      <c r="N2416" s="12"/>
      <c r="O2416" s="12"/>
      <c r="P2416" s="13">
        <f>IFERROR(__xludf.DUMMYFUNCTION("VALUE(SUBSTITUTE((INDEX(SPLIT(A2416,"",""),1)),""."","","",1))"),44.414363)</f>
        <v>44.414363</v>
      </c>
      <c r="Q2416" s="13">
        <f>IFERROR(__xludf.DUMMYFUNCTION("VALUE(SUBSTITUTE((INDEX(SPLIT(A2416,"",""),2)),""."","","",1))"),40.790278)</f>
        <v>40.790278</v>
      </c>
      <c r="R2416" s="14" t="b">
        <f t="shared" si="1"/>
        <v>0</v>
      </c>
      <c r="S2416" s="14" t="str">
        <f t="shared" si="2"/>
        <v>44.414363,40.790278</v>
      </c>
      <c r="T2416" s="12"/>
    </row>
    <row r="2417">
      <c r="A2417" s="20" t="s">
        <v>15693</v>
      </c>
      <c r="B2417" s="16" t="s">
        <v>15698</v>
      </c>
      <c r="C2417" s="16" t="s">
        <v>15699</v>
      </c>
      <c r="D2417" s="16" t="s">
        <v>16</v>
      </c>
      <c r="E2417" s="21" t="s">
        <v>15700</v>
      </c>
      <c r="F2417" s="22" t="s">
        <v>8566</v>
      </c>
      <c r="G2417" s="16">
        <v>23.61</v>
      </c>
      <c r="H2417" s="16"/>
      <c r="I2417" s="22"/>
      <c r="J2417" s="22" t="s">
        <v>15701</v>
      </c>
      <c r="K2417" s="22" t="s">
        <v>15702</v>
      </c>
      <c r="L2417" s="23" t="s">
        <v>15703</v>
      </c>
      <c r="M2417" s="23" t="s">
        <v>15704</v>
      </c>
      <c r="N2417" s="12"/>
      <c r="O2417" s="12"/>
      <c r="P2417" s="13">
        <f>IFERROR(__xludf.DUMMYFUNCTION("VALUE(SUBSTITUTE((INDEX(SPLIT(A2417,"",""),1)),""."","","",1))"),44.414363)</f>
        <v>44.414363</v>
      </c>
      <c r="Q2417" s="13">
        <f>IFERROR(__xludf.DUMMYFUNCTION("VALUE(SUBSTITUTE((INDEX(SPLIT(A2417,"",""),2)),""."","","",1))"),40.790278)</f>
        <v>40.790278</v>
      </c>
      <c r="R2417" s="14" t="b">
        <f t="shared" si="1"/>
        <v>0</v>
      </c>
      <c r="S2417" s="14" t="str">
        <f t="shared" si="2"/>
        <v>44.414363,40.790278</v>
      </c>
      <c r="T2417" s="12"/>
    </row>
    <row r="2418">
      <c r="A2418" s="18" t="s">
        <v>15705</v>
      </c>
      <c r="B2418" s="8" t="s">
        <v>15706</v>
      </c>
      <c r="C2418" s="8" t="s">
        <v>15707</v>
      </c>
      <c r="D2418" s="8" t="s">
        <v>16</v>
      </c>
      <c r="E2418" s="19" t="s">
        <v>15708</v>
      </c>
      <c r="F2418" s="8" t="s">
        <v>8566</v>
      </c>
      <c r="G2418" s="8">
        <v>23.61</v>
      </c>
      <c r="H2418" s="8"/>
      <c r="I2418" s="8"/>
      <c r="J2418" s="8" t="s">
        <v>15709</v>
      </c>
      <c r="K2418" s="8" t="s">
        <v>15710</v>
      </c>
      <c r="L2418" s="8"/>
      <c r="M2418" s="8"/>
      <c r="N2418" s="12"/>
      <c r="O2418" s="12"/>
      <c r="P2418" s="13">
        <f>IFERROR(__xludf.DUMMYFUNCTION("VALUE(SUBSTITUTE((INDEX(SPLIT(A2418,"",""),1)),""."","","",1))"),44.412129)</f>
        <v>44.412129</v>
      </c>
      <c r="Q2418" s="13">
        <f>IFERROR(__xludf.DUMMYFUNCTION("VALUE(SUBSTITUTE((INDEX(SPLIT(A2418,"",""),2)),""."","","",1))"),40.79194)</f>
        <v>40.79194</v>
      </c>
      <c r="R2418" s="14" t="b">
        <f t="shared" si="1"/>
        <v>0</v>
      </c>
      <c r="S2418" s="14" t="str">
        <f t="shared" si="2"/>
        <v>44.412129,40.79194</v>
      </c>
      <c r="T2418" s="12"/>
    </row>
    <row r="2419">
      <c r="A2419" s="20" t="s">
        <v>15711</v>
      </c>
      <c r="B2419" s="16" t="s">
        <v>15712</v>
      </c>
      <c r="C2419" s="16" t="s">
        <v>15713</v>
      </c>
      <c r="D2419" s="16" t="s">
        <v>16</v>
      </c>
      <c r="E2419" s="21" t="s">
        <v>15714</v>
      </c>
      <c r="F2419" s="22" t="s">
        <v>10789</v>
      </c>
      <c r="G2419" s="16">
        <v>23.61</v>
      </c>
      <c r="H2419" s="16"/>
      <c r="I2419" s="22"/>
      <c r="J2419" s="22" t="s">
        <v>15715</v>
      </c>
      <c r="K2419" s="22" t="s">
        <v>15716</v>
      </c>
      <c r="L2419" s="23" t="s">
        <v>15717</v>
      </c>
      <c r="M2419" s="22"/>
      <c r="N2419" s="12"/>
      <c r="O2419" s="12"/>
      <c r="P2419" s="13">
        <f>IFERROR(__xludf.DUMMYFUNCTION("VALUE(SUBSTITUTE((INDEX(SPLIT(A2419,"",""),1)),""."","","",1))"),57.079695)</f>
        <v>57.079695</v>
      </c>
      <c r="Q2419" s="13">
        <f>IFERROR(__xludf.DUMMYFUNCTION("VALUE(SUBSTITUTE((INDEX(SPLIT(A2419,"",""),2)),""."","","",1))"),40.802873)</f>
        <v>40.802873</v>
      </c>
      <c r="R2419" s="14" t="b">
        <f t="shared" si="1"/>
        <v>0</v>
      </c>
      <c r="S2419" s="14" t="str">
        <f t="shared" si="2"/>
        <v>57.079695,40.802873</v>
      </c>
      <c r="T2419" s="12"/>
    </row>
    <row r="2420">
      <c r="A2420" s="7" t="s">
        <v>15718</v>
      </c>
      <c r="B2420" s="8" t="s">
        <v>15719</v>
      </c>
      <c r="C2420" s="8" t="s">
        <v>15720</v>
      </c>
      <c r="D2420" s="8" t="s">
        <v>16</v>
      </c>
      <c r="E2420" s="9" t="s">
        <v>15721</v>
      </c>
      <c r="F2420" s="10" t="s">
        <v>8566</v>
      </c>
      <c r="G2420" s="8">
        <v>23.61</v>
      </c>
      <c r="H2420" s="8"/>
      <c r="I2420" s="10"/>
      <c r="J2420" s="10" t="s">
        <v>15722</v>
      </c>
      <c r="K2420" s="10" t="s">
        <v>15314</v>
      </c>
      <c r="L2420" s="11" t="s">
        <v>15315</v>
      </c>
      <c r="M2420" s="11" t="s">
        <v>15723</v>
      </c>
      <c r="N2420" s="12"/>
      <c r="O2420" s="12"/>
      <c r="P2420" s="13">
        <f>IFERROR(__xludf.DUMMYFUNCTION("VALUE(SUBSTITUTE((INDEX(SPLIT(A2420,"",""),1)),""."","","",1))"),46.08968)</f>
        <v>46.08968</v>
      </c>
      <c r="Q2420" s="13">
        <f>IFERROR(__xludf.DUMMYFUNCTION("VALUE(SUBSTITUTE((INDEX(SPLIT(A2420,"",""),2)),""."","","",1))"),40.821522)</f>
        <v>40.821522</v>
      </c>
      <c r="R2420" s="14" t="b">
        <f t="shared" si="1"/>
        <v>0</v>
      </c>
      <c r="S2420" s="14" t="str">
        <f t="shared" si="2"/>
        <v>46.08968,40.821522</v>
      </c>
      <c r="T2420" s="12"/>
    </row>
    <row r="2421">
      <c r="A2421" s="15" t="s">
        <v>15724</v>
      </c>
      <c r="B2421" s="16" t="s">
        <v>15725</v>
      </c>
      <c r="C2421" s="16" t="s">
        <v>15726</v>
      </c>
      <c r="D2421" s="16" t="s">
        <v>16</v>
      </c>
      <c r="E2421" s="17" t="s">
        <v>15727</v>
      </c>
      <c r="F2421" s="16" t="s">
        <v>15565</v>
      </c>
      <c r="G2421" s="16">
        <v>23.61</v>
      </c>
      <c r="H2421" s="16"/>
      <c r="I2421" s="16"/>
      <c r="J2421" s="16" t="s">
        <v>15728</v>
      </c>
      <c r="K2421" s="16" t="s">
        <v>15729</v>
      </c>
      <c r="L2421" s="16"/>
      <c r="M2421" s="16"/>
      <c r="N2421" s="12"/>
      <c r="O2421" s="12"/>
      <c r="P2421" s="13">
        <f>IFERROR(__xludf.DUMMYFUNCTION("VALUE(SUBSTITUTE((INDEX(SPLIT(A2421,"",""),1)),""."","","",1))"),57.758402)</f>
        <v>57.758402</v>
      </c>
      <c r="Q2421" s="13">
        <f>IFERROR(__xludf.DUMMYFUNCTION("VALUE(SUBSTITUTE((INDEX(SPLIT(A2421,"",""),2)),""."","","",1))"),40.887871)</f>
        <v>40.887871</v>
      </c>
      <c r="R2421" s="14" t="b">
        <f t="shared" si="1"/>
        <v>0</v>
      </c>
      <c r="S2421" s="14" t="str">
        <f t="shared" si="2"/>
        <v>57.758402,40.887871</v>
      </c>
      <c r="T2421" s="12"/>
    </row>
    <row r="2422">
      <c r="A2422" s="18" t="s">
        <v>15724</v>
      </c>
      <c r="B2422" s="8" t="s">
        <v>15730</v>
      </c>
      <c r="C2422" s="8" t="s">
        <v>15731</v>
      </c>
      <c r="D2422" s="8" t="s">
        <v>16</v>
      </c>
      <c r="E2422" s="19" t="s">
        <v>15732</v>
      </c>
      <c r="F2422" s="8" t="s">
        <v>15565</v>
      </c>
      <c r="G2422" s="8">
        <v>23.61</v>
      </c>
      <c r="H2422" s="8"/>
      <c r="I2422" s="8"/>
      <c r="J2422" s="8" t="s">
        <v>15733</v>
      </c>
      <c r="K2422" s="8" t="s">
        <v>15729</v>
      </c>
      <c r="L2422" s="8"/>
      <c r="M2422" s="24" t="s">
        <v>15734</v>
      </c>
      <c r="N2422" s="12"/>
      <c r="O2422" s="12"/>
      <c r="P2422" s="13">
        <f>IFERROR(__xludf.DUMMYFUNCTION("VALUE(SUBSTITUTE((INDEX(SPLIT(A2422,"",""),1)),""."","","",1))"),57.758402)</f>
        <v>57.758402</v>
      </c>
      <c r="Q2422" s="13">
        <f>IFERROR(__xludf.DUMMYFUNCTION("VALUE(SUBSTITUTE((INDEX(SPLIT(A2422,"",""),2)),""."","","",1))"),40.887871)</f>
        <v>40.887871</v>
      </c>
      <c r="R2422" s="14" t="b">
        <f t="shared" si="1"/>
        <v>0</v>
      </c>
      <c r="S2422" s="14" t="str">
        <f t="shared" si="2"/>
        <v>57.758402,40.887871</v>
      </c>
      <c r="T2422" s="12"/>
    </row>
    <row r="2423">
      <c r="A2423" s="15" t="s">
        <v>15735</v>
      </c>
      <c r="B2423" s="16" t="s">
        <v>15736</v>
      </c>
      <c r="C2423" s="16" t="s">
        <v>15737</v>
      </c>
      <c r="D2423" s="16" t="s">
        <v>16</v>
      </c>
      <c r="E2423" s="17" t="s">
        <v>15738</v>
      </c>
      <c r="F2423" s="16" t="s">
        <v>15565</v>
      </c>
      <c r="G2423" s="16">
        <v>23.61</v>
      </c>
      <c r="H2423" s="16"/>
      <c r="I2423" s="16"/>
      <c r="J2423" s="16" t="s">
        <v>15739</v>
      </c>
      <c r="K2423" s="16" t="s">
        <v>15740</v>
      </c>
      <c r="L2423" s="16"/>
      <c r="M2423" s="25" t="s">
        <v>15741</v>
      </c>
      <c r="N2423" s="12"/>
      <c r="O2423" s="12"/>
      <c r="P2423" s="13">
        <f>IFERROR(__xludf.DUMMYFUNCTION("VALUE(SUBSTITUTE((INDEX(SPLIT(A2423,"",""),1)),""."","","",1))"),57.744091)</f>
        <v>57.744091</v>
      </c>
      <c r="Q2423" s="13">
        <f>IFERROR(__xludf.DUMMYFUNCTION("VALUE(SUBSTITUTE((INDEX(SPLIT(A2423,"",""),2)),""."","","",1))"),40.89186)</f>
        <v>40.89186</v>
      </c>
      <c r="R2423" s="14" t="b">
        <f t="shared" si="1"/>
        <v>0</v>
      </c>
      <c r="S2423" s="14" t="str">
        <f t="shared" si="2"/>
        <v>57.744091,40.89186</v>
      </c>
      <c r="T2423" s="12"/>
    </row>
    <row r="2424">
      <c r="A2424" s="7" t="s">
        <v>15742</v>
      </c>
      <c r="B2424" s="8" t="s">
        <v>15743</v>
      </c>
      <c r="C2424" s="8" t="s">
        <v>15744</v>
      </c>
      <c r="D2424" s="8" t="s">
        <v>16</v>
      </c>
      <c r="E2424" s="9" t="s">
        <v>15745</v>
      </c>
      <c r="F2424" s="10" t="s">
        <v>12912</v>
      </c>
      <c r="G2424" s="8">
        <v>23.61</v>
      </c>
      <c r="H2424" s="8"/>
      <c r="I2424" s="10"/>
      <c r="J2424" s="10" t="s">
        <v>15746</v>
      </c>
      <c r="K2424" s="10" t="s">
        <v>15747</v>
      </c>
      <c r="L2424" s="11" t="s">
        <v>15748</v>
      </c>
      <c r="M2424" s="11" t="s">
        <v>15749</v>
      </c>
      <c r="N2424" s="12"/>
      <c r="O2424" s="12"/>
      <c r="P2424" s="13">
        <f>IFERROR(__xludf.DUMMYFUNCTION("VALUE(SUBSTITUTE((INDEX(SPLIT(A2424,"",""),1)),""."","","",1))"),54.324711)</f>
        <v>54.324711</v>
      </c>
      <c r="Q2424" s="13">
        <f>IFERROR(__xludf.DUMMYFUNCTION("VALUE(SUBSTITUTE((INDEX(SPLIT(A2424,"",""),2)),""."","","",1))"),40.896028)</f>
        <v>40.896028</v>
      </c>
      <c r="R2424" s="14" t="b">
        <f t="shared" si="1"/>
        <v>0</v>
      </c>
      <c r="S2424" s="14" t="str">
        <f t="shared" si="2"/>
        <v>54.324711,40.896028</v>
      </c>
      <c r="T2424" s="12"/>
    </row>
    <row r="2425">
      <c r="A2425" s="20" t="s">
        <v>15750</v>
      </c>
      <c r="B2425" s="16" t="s">
        <v>15751</v>
      </c>
      <c r="C2425" s="16" t="s">
        <v>15752</v>
      </c>
      <c r="D2425" s="16" t="s">
        <v>16</v>
      </c>
      <c r="E2425" s="21" t="s">
        <v>15753</v>
      </c>
      <c r="F2425" s="22" t="s">
        <v>15565</v>
      </c>
      <c r="G2425" s="16">
        <v>23.61</v>
      </c>
      <c r="H2425" s="16"/>
      <c r="I2425" s="28" t="s">
        <v>15754</v>
      </c>
      <c r="J2425" s="22" t="s">
        <v>15755</v>
      </c>
      <c r="K2425" s="22" t="s">
        <v>15756</v>
      </c>
      <c r="L2425" s="23" t="s">
        <v>15757</v>
      </c>
      <c r="M2425" s="22"/>
      <c r="N2425" s="12"/>
      <c r="O2425" s="12"/>
      <c r="P2425" s="13">
        <f>IFERROR(__xludf.DUMMYFUNCTION("VALUE(SUBSTITUTE((INDEX(SPLIT(A2425,"",""),1)),""."","","",1))"),57.739585)</f>
        <v>57.739585</v>
      </c>
      <c r="Q2425" s="13">
        <f>IFERROR(__xludf.DUMMYFUNCTION("VALUE(SUBSTITUTE((INDEX(SPLIT(A2425,"",""),2)),""."","","",1))"),40.90882)</f>
        <v>40.90882</v>
      </c>
      <c r="R2425" s="14" t="b">
        <f t="shared" si="1"/>
        <v>0</v>
      </c>
      <c r="S2425" s="14" t="str">
        <f t="shared" si="2"/>
        <v>57.739585,40.90882</v>
      </c>
      <c r="T2425" s="12"/>
    </row>
    <row r="2426">
      <c r="A2426" s="18" t="s">
        <v>15758</v>
      </c>
      <c r="B2426" s="8" t="s">
        <v>15759</v>
      </c>
      <c r="C2426" s="8" t="s">
        <v>15760</v>
      </c>
      <c r="D2426" s="8" t="s">
        <v>16</v>
      </c>
      <c r="E2426" s="19" t="s">
        <v>15761</v>
      </c>
      <c r="F2426" s="8" t="s">
        <v>10789</v>
      </c>
      <c r="G2426" s="8">
        <v>23.61</v>
      </c>
      <c r="H2426" s="8"/>
      <c r="I2426" s="8"/>
      <c r="J2426" s="8" t="s">
        <v>15762</v>
      </c>
      <c r="K2426" s="8" t="s">
        <v>15763</v>
      </c>
      <c r="L2426" s="8"/>
      <c r="M2426" s="8"/>
      <c r="N2426" s="12"/>
      <c r="O2426" s="12"/>
      <c r="P2426" s="13">
        <f>IFERROR(__xludf.DUMMYFUNCTION("VALUE(SUBSTITUTE((INDEX(SPLIT(A2426,"",""),1)),""."","","",1))"),56.974523)</f>
        <v>56.974523</v>
      </c>
      <c r="Q2426" s="13">
        <f>IFERROR(__xludf.DUMMYFUNCTION("VALUE(SUBSTITUTE((INDEX(SPLIT(A2426,"",""),2)),""."","","",1))"),40.91209)</f>
        <v>40.91209</v>
      </c>
      <c r="R2426" s="14" t="b">
        <f t="shared" si="1"/>
        <v>0</v>
      </c>
      <c r="S2426" s="14" t="str">
        <f t="shared" si="2"/>
        <v>56.974523,40.91209</v>
      </c>
      <c r="T2426" s="12"/>
    </row>
    <row r="2427">
      <c r="A2427" s="15" t="s">
        <v>15764</v>
      </c>
      <c r="B2427" s="16" t="s">
        <v>15765</v>
      </c>
      <c r="C2427" s="16" t="s">
        <v>15766</v>
      </c>
      <c r="D2427" s="16" t="s">
        <v>16</v>
      </c>
      <c r="E2427" s="17" t="s">
        <v>15767</v>
      </c>
      <c r="F2427" s="16" t="s">
        <v>10789</v>
      </c>
      <c r="G2427" s="16">
        <v>23.61</v>
      </c>
      <c r="H2427" s="16"/>
      <c r="I2427" s="16"/>
      <c r="J2427" s="16" t="s">
        <v>15768</v>
      </c>
      <c r="K2427" s="16" t="s">
        <v>15769</v>
      </c>
      <c r="L2427" s="16"/>
      <c r="M2427" s="16"/>
      <c r="N2427" s="12"/>
      <c r="O2427" s="12"/>
      <c r="P2427" s="13">
        <f>IFERROR(__xludf.DUMMYFUNCTION("VALUE(SUBSTITUTE((INDEX(SPLIT(A2427,"",""),1)),""."","","",1))"),57.002873)</f>
        <v>57.002873</v>
      </c>
      <c r="Q2427" s="13">
        <f>IFERROR(__xludf.DUMMYFUNCTION("VALUE(SUBSTITUTE((INDEX(SPLIT(A2427,"",""),2)),""."","","",1))"),40.912665)</f>
        <v>40.912665</v>
      </c>
      <c r="R2427" s="14" t="b">
        <f t="shared" si="1"/>
        <v>0</v>
      </c>
      <c r="S2427" s="14" t="str">
        <f t="shared" si="2"/>
        <v>57.002873,40.912665</v>
      </c>
      <c r="T2427" s="12"/>
    </row>
    <row r="2428">
      <c r="A2428" s="7" t="s">
        <v>15770</v>
      </c>
      <c r="B2428" s="8" t="s">
        <v>15771</v>
      </c>
      <c r="C2428" s="8" t="s">
        <v>15772</v>
      </c>
      <c r="D2428" s="8" t="s">
        <v>16</v>
      </c>
      <c r="E2428" s="9" t="s">
        <v>15773</v>
      </c>
      <c r="F2428" s="10" t="s">
        <v>10789</v>
      </c>
      <c r="G2428" s="8">
        <v>23.61</v>
      </c>
      <c r="H2428" s="8"/>
      <c r="I2428" s="10"/>
      <c r="J2428" s="10" t="s">
        <v>15774</v>
      </c>
      <c r="K2428" s="10" t="s">
        <v>15775</v>
      </c>
      <c r="L2428" s="11" t="s">
        <v>15776</v>
      </c>
      <c r="M2428" s="10"/>
      <c r="N2428" s="12"/>
      <c r="O2428" s="12"/>
      <c r="P2428" s="13">
        <f>IFERROR(__xludf.DUMMYFUNCTION("VALUE(SUBSTITUTE((INDEX(SPLIT(A2428,"",""),1)),""."","","",1))"),57.03122)</f>
        <v>57.03122</v>
      </c>
      <c r="Q2428" s="13">
        <f>IFERROR(__xludf.DUMMYFUNCTION("VALUE(SUBSTITUTE((INDEX(SPLIT(A2428,"",""),2)),""."","","",1))"),40.920237)</f>
        <v>40.920237</v>
      </c>
      <c r="R2428" s="14" t="b">
        <f t="shared" si="1"/>
        <v>0</v>
      </c>
      <c r="S2428" s="14" t="str">
        <f t="shared" si="2"/>
        <v>57.03122,40.920237</v>
      </c>
      <c r="T2428" s="12"/>
    </row>
    <row r="2429">
      <c r="A2429" s="20" t="s">
        <v>15777</v>
      </c>
      <c r="B2429" s="16" t="s">
        <v>15778</v>
      </c>
      <c r="C2429" s="16" t="s">
        <v>15779</v>
      </c>
      <c r="D2429" s="16" t="s">
        <v>16</v>
      </c>
      <c r="E2429" s="21" t="s">
        <v>15780</v>
      </c>
      <c r="F2429" s="22" t="s">
        <v>15565</v>
      </c>
      <c r="G2429" s="16">
        <v>23.61</v>
      </c>
      <c r="H2429" s="16"/>
      <c r="I2429" s="22"/>
      <c r="J2429" s="22" t="s">
        <v>15781</v>
      </c>
      <c r="K2429" s="22" t="s">
        <v>15782</v>
      </c>
      <c r="L2429" s="23" t="s">
        <v>15783</v>
      </c>
      <c r="M2429" s="22"/>
      <c r="N2429" s="12"/>
      <c r="O2429" s="12"/>
      <c r="P2429" s="13">
        <f>IFERROR(__xludf.DUMMYFUNCTION("VALUE(SUBSTITUTE((INDEX(SPLIT(A2429,"",""),1)),""."","","",1))"),57.743313)</f>
        <v>57.743313</v>
      </c>
      <c r="Q2429" s="13">
        <f>IFERROR(__xludf.DUMMYFUNCTION("VALUE(SUBSTITUTE((INDEX(SPLIT(A2429,"",""),2)),""."","","",1))"),40.921001)</f>
        <v>40.921001</v>
      </c>
      <c r="R2429" s="14" t="b">
        <f t="shared" si="1"/>
        <v>0</v>
      </c>
      <c r="S2429" s="14" t="str">
        <f t="shared" si="2"/>
        <v>57.743313,40.921001</v>
      </c>
      <c r="T2429" s="12"/>
    </row>
    <row r="2430">
      <c r="A2430" s="18" t="s">
        <v>15777</v>
      </c>
      <c r="B2430" s="8" t="s">
        <v>15784</v>
      </c>
      <c r="C2430" s="8" t="s">
        <v>15785</v>
      </c>
      <c r="D2430" s="8" t="s">
        <v>16</v>
      </c>
      <c r="E2430" s="19" t="s">
        <v>15786</v>
      </c>
      <c r="F2430" s="8" t="s">
        <v>15565</v>
      </c>
      <c r="G2430" s="8">
        <v>23.61</v>
      </c>
      <c r="H2430" s="8"/>
      <c r="I2430" s="8"/>
      <c r="J2430" s="8" t="s">
        <v>15781</v>
      </c>
      <c r="K2430" s="8" t="s">
        <v>15782</v>
      </c>
      <c r="L2430" s="8"/>
      <c r="M2430" s="8"/>
      <c r="N2430" s="12"/>
      <c r="O2430" s="12"/>
      <c r="P2430" s="13">
        <f>IFERROR(__xludf.DUMMYFUNCTION("VALUE(SUBSTITUTE((INDEX(SPLIT(A2430,"",""),1)),""."","","",1))"),57.743313)</f>
        <v>57.743313</v>
      </c>
      <c r="Q2430" s="13">
        <f>IFERROR(__xludf.DUMMYFUNCTION("VALUE(SUBSTITUTE((INDEX(SPLIT(A2430,"",""),2)),""."","","",1))"),40.921001)</f>
        <v>40.921001</v>
      </c>
      <c r="R2430" s="14" t="b">
        <f t="shared" si="1"/>
        <v>0</v>
      </c>
      <c r="S2430" s="14" t="str">
        <f t="shared" si="2"/>
        <v>57.743313,40.921001</v>
      </c>
      <c r="T2430" s="12"/>
    </row>
    <row r="2431">
      <c r="A2431" s="15" t="s">
        <v>15787</v>
      </c>
      <c r="B2431" s="16" t="s">
        <v>15788</v>
      </c>
      <c r="C2431" s="16" t="s">
        <v>15789</v>
      </c>
      <c r="D2431" s="16" t="s">
        <v>16</v>
      </c>
      <c r="E2431" s="17" t="s">
        <v>15790</v>
      </c>
      <c r="F2431" s="16" t="s">
        <v>10789</v>
      </c>
      <c r="G2431" s="16">
        <v>23.61</v>
      </c>
      <c r="H2431" s="16"/>
      <c r="I2431" s="16"/>
      <c r="J2431" s="16" t="s">
        <v>15791</v>
      </c>
      <c r="K2431" s="16" t="s">
        <v>15792</v>
      </c>
      <c r="L2431" s="16"/>
      <c r="M2431" s="16"/>
      <c r="N2431" s="12"/>
      <c r="O2431" s="12"/>
      <c r="P2431" s="13">
        <f>IFERROR(__xludf.DUMMYFUNCTION("VALUE(SUBSTITUTE((INDEX(SPLIT(A2431,"",""),1)),""."","","",1))"),56.988286)</f>
        <v>56.988286</v>
      </c>
      <c r="Q2431" s="13">
        <f>IFERROR(__xludf.DUMMYFUNCTION("VALUE(SUBSTITUTE((INDEX(SPLIT(A2431,"",""),2)),""."","","",1))"),40.921306)</f>
        <v>40.921306</v>
      </c>
      <c r="R2431" s="14" t="b">
        <f t="shared" si="1"/>
        <v>0</v>
      </c>
      <c r="S2431" s="14" t="str">
        <f t="shared" si="2"/>
        <v>56.988286,40.921306</v>
      </c>
      <c r="T2431" s="12"/>
    </row>
    <row r="2432">
      <c r="A2432" s="18" t="s">
        <v>15793</v>
      </c>
      <c r="B2432" s="8" t="s">
        <v>15794</v>
      </c>
      <c r="C2432" s="8" t="s">
        <v>15795</v>
      </c>
      <c r="D2432" s="8" t="s">
        <v>16</v>
      </c>
      <c r="E2432" s="19" t="s">
        <v>15796</v>
      </c>
      <c r="F2432" s="8" t="s">
        <v>10789</v>
      </c>
      <c r="G2432" s="8">
        <v>23.61</v>
      </c>
      <c r="H2432" s="8"/>
      <c r="I2432" s="8"/>
      <c r="J2432" s="8" t="s">
        <v>15797</v>
      </c>
      <c r="K2432" s="8" t="s">
        <v>15798</v>
      </c>
      <c r="L2432" s="8"/>
      <c r="M2432" s="8"/>
      <c r="N2432" s="12"/>
      <c r="O2432" s="12"/>
      <c r="P2432" s="13">
        <f>IFERROR(__xludf.DUMMYFUNCTION("VALUE(SUBSTITUTE((INDEX(SPLIT(A2432,"",""),1)),""."","","",1))"),56.992283)</f>
        <v>56.992283</v>
      </c>
      <c r="Q2432" s="13">
        <f>IFERROR(__xludf.DUMMYFUNCTION("VALUE(SUBSTITUTE((INDEX(SPLIT(A2432,"",""),2)),""."","","",1))"),40.922331)</f>
        <v>40.922331</v>
      </c>
      <c r="R2432" s="14" t="b">
        <f t="shared" si="1"/>
        <v>0</v>
      </c>
      <c r="S2432" s="14" t="str">
        <f t="shared" si="2"/>
        <v>56.992283,40.922331</v>
      </c>
      <c r="T2432" s="12"/>
    </row>
    <row r="2433">
      <c r="A2433" s="15" t="s">
        <v>15799</v>
      </c>
      <c r="B2433" s="16" t="s">
        <v>15800</v>
      </c>
      <c r="C2433" s="16" t="s">
        <v>15801</v>
      </c>
      <c r="D2433" s="16" t="s">
        <v>16</v>
      </c>
      <c r="E2433" s="17" t="s">
        <v>15802</v>
      </c>
      <c r="F2433" s="16" t="s">
        <v>15565</v>
      </c>
      <c r="G2433" s="16">
        <v>23.61</v>
      </c>
      <c r="H2433" s="16"/>
      <c r="I2433" s="16"/>
      <c r="J2433" s="16" t="s">
        <v>15803</v>
      </c>
      <c r="K2433" s="16" t="s">
        <v>15804</v>
      </c>
      <c r="L2433" s="16"/>
      <c r="M2433" s="16"/>
      <c r="N2433" s="12"/>
      <c r="O2433" s="12"/>
      <c r="P2433" s="13">
        <f>IFERROR(__xludf.DUMMYFUNCTION("VALUE(SUBSTITUTE((INDEX(SPLIT(A2433,"",""),1)),""."","","",1))"),57.783103)</f>
        <v>57.783103</v>
      </c>
      <c r="Q2433" s="13">
        <f>IFERROR(__xludf.DUMMYFUNCTION("VALUE(SUBSTITUTE((INDEX(SPLIT(A2433,"",""),2)),""."","","",1))"),40.929032)</f>
        <v>40.929032</v>
      </c>
      <c r="R2433" s="14" t="b">
        <f t="shared" si="1"/>
        <v>0</v>
      </c>
      <c r="S2433" s="14" t="str">
        <f t="shared" si="2"/>
        <v>57.783103,40.929032</v>
      </c>
      <c r="T2433" s="12"/>
    </row>
    <row r="2434">
      <c r="A2434" s="18" t="s">
        <v>15805</v>
      </c>
      <c r="B2434" s="8" t="s">
        <v>15806</v>
      </c>
      <c r="C2434" s="8" t="s">
        <v>15807</v>
      </c>
      <c r="D2434" s="8" t="s">
        <v>16</v>
      </c>
      <c r="E2434" s="19" t="s">
        <v>15808</v>
      </c>
      <c r="F2434" s="8" t="s">
        <v>10789</v>
      </c>
      <c r="G2434" s="8">
        <v>23.61</v>
      </c>
      <c r="H2434" s="8"/>
      <c r="I2434" s="8"/>
      <c r="J2434" s="8" t="s">
        <v>15809</v>
      </c>
      <c r="K2434" s="8" t="s">
        <v>15810</v>
      </c>
      <c r="L2434" s="8"/>
      <c r="M2434" s="8"/>
      <c r="N2434" s="12"/>
      <c r="O2434" s="12"/>
      <c r="P2434" s="13">
        <f>IFERROR(__xludf.DUMMYFUNCTION("VALUE(SUBSTITUTE((INDEX(SPLIT(A2434,"",""),1)),""."","","",1))"),56.97858)</f>
        <v>56.97858</v>
      </c>
      <c r="Q2434" s="13">
        <f>IFERROR(__xludf.DUMMYFUNCTION("VALUE(SUBSTITUTE((INDEX(SPLIT(A2434,"",""),2)),""."","","",1))"),40.929257)</f>
        <v>40.929257</v>
      </c>
      <c r="R2434" s="14" t="b">
        <f t="shared" si="1"/>
        <v>0</v>
      </c>
      <c r="S2434" s="14" t="str">
        <f t="shared" si="2"/>
        <v>56.97858,40.929257</v>
      </c>
      <c r="T2434" s="12"/>
    </row>
    <row r="2435">
      <c r="A2435" s="15" t="s">
        <v>15811</v>
      </c>
      <c r="B2435" s="16" t="s">
        <v>12058</v>
      </c>
      <c r="C2435" s="16" t="s">
        <v>12059</v>
      </c>
      <c r="D2435" s="16" t="s">
        <v>16</v>
      </c>
      <c r="E2435" s="17" t="s">
        <v>15812</v>
      </c>
      <c r="F2435" s="16" t="s">
        <v>15565</v>
      </c>
      <c r="G2435" s="16">
        <v>23.61</v>
      </c>
      <c r="H2435" s="16"/>
      <c r="I2435" s="16"/>
      <c r="J2435" s="16" t="s">
        <v>15813</v>
      </c>
      <c r="K2435" s="16" t="s">
        <v>15814</v>
      </c>
      <c r="L2435" s="16"/>
      <c r="M2435" s="25" t="s">
        <v>15815</v>
      </c>
      <c r="N2435" s="12"/>
      <c r="O2435" s="12"/>
      <c r="P2435" s="13">
        <f>IFERROR(__xludf.DUMMYFUNCTION("VALUE(SUBSTITUTE((INDEX(SPLIT(A2435,"",""),1)),""."","","",1))"),57.738268)</f>
        <v>57.738268</v>
      </c>
      <c r="Q2435" s="13">
        <f>IFERROR(__xludf.DUMMYFUNCTION("VALUE(SUBSTITUTE((INDEX(SPLIT(A2435,"",""),2)),""."","","",1))"),40.930344)</f>
        <v>40.930344</v>
      </c>
      <c r="R2435" s="14" t="b">
        <f t="shared" si="1"/>
        <v>0</v>
      </c>
      <c r="S2435" s="14" t="str">
        <f t="shared" si="2"/>
        <v>57.738268,40.930344</v>
      </c>
      <c r="T2435" s="12"/>
    </row>
    <row r="2436">
      <c r="A2436" s="7" t="s">
        <v>15816</v>
      </c>
      <c r="B2436" s="8" t="s">
        <v>15817</v>
      </c>
      <c r="C2436" s="8" t="s">
        <v>15818</v>
      </c>
      <c r="D2436" s="8" t="s">
        <v>16</v>
      </c>
      <c r="E2436" s="9" t="s">
        <v>15819</v>
      </c>
      <c r="F2436" s="10" t="s">
        <v>15565</v>
      </c>
      <c r="G2436" s="8">
        <v>23.61</v>
      </c>
      <c r="H2436" s="8"/>
      <c r="I2436" s="10"/>
      <c r="J2436" s="10" t="s">
        <v>15820</v>
      </c>
      <c r="K2436" s="10" t="s">
        <v>15821</v>
      </c>
      <c r="L2436" s="11" t="s">
        <v>15822</v>
      </c>
      <c r="M2436" s="10"/>
      <c r="N2436" s="12"/>
      <c r="O2436" s="12"/>
      <c r="P2436" s="13">
        <f>IFERROR(__xludf.DUMMYFUNCTION("VALUE(SUBSTITUTE((INDEX(SPLIT(A2436,"",""),1)),""."","","",1))"),57.764394)</f>
        <v>57.764394</v>
      </c>
      <c r="Q2436" s="13">
        <f>IFERROR(__xludf.DUMMYFUNCTION("VALUE(SUBSTITUTE((INDEX(SPLIT(A2436,"",""),2)),""."","","",1))"),40.931053)</f>
        <v>40.931053</v>
      </c>
      <c r="R2436" s="14" t="b">
        <f t="shared" si="1"/>
        <v>0</v>
      </c>
      <c r="S2436" s="14" t="str">
        <f t="shared" si="2"/>
        <v>57.764394,40.931053</v>
      </c>
      <c r="T2436" s="12"/>
    </row>
    <row r="2437">
      <c r="A2437" s="20" t="s">
        <v>15823</v>
      </c>
      <c r="B2437" s="16" t="s">
        <v>15824</v>
      </c>
      <c r="C2437" s="16" t="s">
        <v>15825</v>
      </c>
      <c r="D2437" s="16" t="s">
        <v>16</v>
      </c>
      <c r="E2437" s="21" t="s">
        <v>15826</v>
      </c>
      <c r="F2437" s="22" t="s">
        <v>15565</v>
      </c>
      <c r="G2437" s="16">
        <v>23.61</v>
      </c>
      <c r="H2437" s="16"/>
      <c r="I2437" s="22"/>
      <c r="J2437" s="22" t="s">
        <v>15827</v>
      </c>
      <c r="K2437" s="22" t="s">
        <v>15828</v>
      </c>
      <c r="L2437" s="23" t="s">
        <v>15829</v>
      </c>
      <c r="M2437" s="22"/>
      <c r="N2437" s="12"/>
      <c r="O2437" s="12"/>
      <c r="P2437" s="13">
        <f>IFERROR(__xludf.DUMMYFUNCTION("VALUE(SUBSTITUTE((INDEX(SPLIT(A2437,"",""),1)),""."","","",1))"),57.777124)</f>
        <v>57.777124</v>
      </c>
      <c r="Q2437" s="13">
        <f>IFERROR(__xludf.DUMMYFUNCTION("VALUE(SUBSTITUTE((INDEX(SPLIT(A2437,"",""),2)),""."","","",1))"),40.935239)</f>
        <v>40.935239</v>
      </c>
      <c r="R2437" s="14" t="b">
        <f t="shared" si="1"/>
        <v>0</v>
      </c>
      <c r="S2437" s="14" t="str">
        <f t="shared" si="2"/>
        <v>57.777124,40.935239</v>
      </c>
      <c r="T2437" s="12"/>
    </row>
    <row r="2438">
      <c r="A2438" s="18" t="s">
        <v>15830</v>
      </c>
      <c r="B2438" s="8" t="s">
        <v>15831</v>
      </c>
      <c r="C2438" s="8" t="s">
        <v>15832</v>
      </c>
      <c r="D2438" s="8" t="s">
        <v>16</v>
      </c>
      <c r="E2438" s="19" t="s">
        <v>15833</v>
      </c>
      <c r="F2438" s="8" t="s">
        <v>10789</v>
      </c>
      <c r="G2438" s="8">
        <v>23.61</v>
      </c>
      <c r="H2438" s="8"/>
      <c r="I2438" s="8"/>
      <c r="J2438" s="8" t="s">
        <v>15834</v>
      </c>
      <c r="K2438" s="8" t="s">
        <v>15835</v>
      </c>
      <c r="L2438" s="8"/>
      <c r="M2438" s="8"/>
      <c r="N2438" s="12"/>
      <c r="O2438" s="12"/>
      <c r="P2438" s="13">
        <f>IFERROR(__xludf.DUMMYFUNCTION("VALUE(SUBSTITUTE((INDEX(SPLIT(A2438,"",""),1)),""."","","",1))"),56.963489)</f>
        <v>56.963489</v>
      </c>
      <c r="Q2438" s="13">
        <f>IFERROR(__xludf.DUMMYFUNCTION("VALUE(SUBSTITUTE((INDEX(SPLIT(A2438,"",""),2)),""."","","",1))"),40.935401)</f>
        <v>40.935401</v>
      </c>
      <c r="R2438" s="14" t="b">
        <f t="shared" si="1"/>
        <v>0</v>
      </c>
      <c r="S2438" s="14" t="str">
        <f t="shared" si="2"/>
        <v>56.963489,40.935401</v>
      </c>
      <c r="T2438" s="12"/>
    </row>
    <row r="2439">
      <c r="A2439" s="15" t="s">
        <v>15830</v>
      </c>
      <c r="B2439" s="16" t="s">
        <v>15836</v>
      </c>
      <c r="C2439" s="16" t="s">
        <v>15837</v>
      </c>
      <c r="D2439" s="16" t="s">
        <v>16</v>
      </c>
      <c r="E2439" s="17" t="s">
        <v>15838</v>
      </c>
      <c r="F2439" s="16" t="s">
        <v>10789</v>
      </c>
      <c r="G2439" s="16">
        <v>23.61</v>
      </c>
      <c r="H2439" s="16"/>
      <c r="I2439" s="16"/>
      <c r="J2439" s="16" t="s">
        <v>15839</v>
      </c>
      <c r="K2439" s="16" t="s">
        <v>15840</v>
      </c>
      <c r="L2439" s="16"/>
      <c r="M2439" s="16"/>
      <c r="N2439" s="12"/>
      <c r="O2439" s="12"/>
      <c r="P2439" s="13">
        <f>IFERROR(__xludf.DUMMYFUNCTION("VALUE(SUBSTITUTE((INDEX(SPLIT(A2439,"",""),1)),""."","","",1))"),56.963489)</f>
        <v>56.963489</v>
      </c>
      <c r="Q2439" s="13">
        <f>IFERROR(__xludf.DUMMYFUNCTION("VALUE(SUBSTITUTE((INDEX(SPLIT(A2439,"",""),2)),""."","","",1))"),40.935401)</f>
        <v>40.935401</v>
      </c>
      <c r="R2439" s="14" t="b">
        <f t="shared" si="1"/>
        <v>0</v>
      </c>
      <c r="S2439" s="14" t="str">
        <f t="shared" si="2"/>
        <v>56.963489,40.935401</v>
      </c>
      <c r="T2439" s="12"/>
    </row>
    <row r="2440">
      <c r="A2440" s="18" t="s">
        <v>15841</v>
      </c>
      <c r="B2440" s="8" t="s">
        <v>9534</v>
      </c>
      <c r="C2440" s="8" t="s">
        <v>9535</v>
      </c>
      <c r="D2440" s="8" t="s">
        <v>16</v>
      </c>
      <c r="E2440" s="19" t="s">
        <v>15842</v>
      </c>
      <c r="F2440" s="8" t="s">
        <v>10789</v>
      </c>
      <c r="G2440" s="8">
        <v>23.61</v>
      </c>
      <c r="H2440" s="8"/>
      <c r="I2440" s="8"/>
      <c r="J2440" s="8" t="s">
        <v>15843</v>
      </c>
      <c r="K2440" s="8" t="s">
        <v>15844</v>
      </c>
      <c r="L2440" s="8"/>
      <c r="M2440" s="24" t="s">
        <v>15845</v>
      </c>
      <c r="N2440" s="12"/>
      <c r="O2440" s="12"/>
      <c r="P2440" s="13">
        <f>IFERROR(__xludf.DUMMYFUNCTION("VALUE(SUBSTITUTE((INDEX(SPLIT(A2440,"",""),1)),""."","","",1))"),56.964897)</f>
        <v>56.964897</v>
      </c>
      <c r="Q2440" s="13">
        <f>IFERROR(__xludf.DUMMYFUNCTION("VALUE(SUBSTITUTE((INDEX(SPLIT(A2440,"",""),2)),""."","","",1))"),40.943782)</f>
        <v>40.943782</v>
      </c>
      <c r="R2440" s="14" t="b">
        <f t="shared" si="1"/>
        <v>0</v>
      </c>
      <c r="S2440" s="14" t="str">
        <f t="shared" si="2"/>
        <v>56.964897,40.943782</v>
      </c>
      <c r="T2440" s="12"/>
    </row>
    <row r="2441">
      <c r="A2441" s="20" t="s">
        <v>15846</v>
      </c>
      <c r="B2441" s="16" t="s">
        <v>15847</v>
      </c>
      <c r="C2441" s="16" t="s">
        <v>15848</v>
      </c>
      <c r="D2441" s="16" t="s">
        <v>16</v>
      </c>
      <c r="E2441" s="21" t="s">
        <v>15849</v>
      </c>
      <c r="F2441" s="22" t="s">
        <v>10789</v>
      </c>
      <c r="G2441" s="16">
        <v>23.61</v>
      </c>
      <c r="H2441" s="16"/>
      <c r="I2441" s="22"/>
      <c r="J2441" s="22" t="s">
        <v>15850</v>
      </c>
      <c r="K2441" s="22" t="s">
        <v>15851</v>
      </c>
      <c r="L2441" s="23" t="s">
        <v>15852</v>
      </c>
      <c r="M2441" s="22"/>
      <c r="N2441" s="12"/>
      <c r="O2441" s="12"/>
      <c r="P2441" s="13">
        <f>IFERROR(__xludf.DUMMYFUNCTION("VALUE(SUBSTITUTE((INDEX(SPLIT(A2441,"",""),1)),""."","","",1))"),57.034134)</f>
        <v>57.034134</v>
      </c>
      <c r="Q2441" s="13">
        <f>IFERROR(__xludf.DUMMYFUNCTION("VALUE(SUBSTITUTE((INDEX(SPLIT(A2441,"",""),2)),""."","","",1))"),40.946675)</f>
        <v>40.946675</v>
      </c>
      <c r="R2441" s="14" t="b">
        <f t="shared" si="1"/>
        <v>0</v>
      </c>
      <c r="S2441" s="14" t="str">
        <f t="shared" si="2"/>
        <v>57.034134,40.946675</v>
      </c>
      <c r="T2441" s="12"/>
    </row>
    <row r="2442">
      <c r="A2442" s="18" t="s">
        <v>15846</v>
      </c>
      <c r="B2442" s="8" t="s">
        <v>15853</v>
      </c>
      <c r="C2442" s="8" t="s">
        <v>15854</v>
      </c>
      <c r="D2442" s="8" t="s">
        <v>16</v>
      </c>
      <c r="E2442" s="19" t="s">
        <v>15855</v>
      </c>
      <c r="F2442" s="8" t="s">
        <v>10789</v>
      </c>
      <c r="G2442" s="8">
        <v>23.61</v>
      </c>
      <c r="H2442" s="8"/>
      <c r="I2442" s="8"/>
      <c r="J2442" s="8" t="s">
        <v>15856</v>
      </c>
      <c r="K2442" s="8" t="s">
        <v>15857</v>
      </c>
      <c r="L2442" s="8"/>
      <c r="M2442" s="8"/>
      <c r="N2442" s="12"/>
      <c r="O2442" s="12"/>
      <c r="P2442" s="13">
        <f>IFERROR(__xludf.DUMMYFUNCTION("VALUE(SUBSTITUTE((INDEX(SPLIT(A2442,"",""),1)),""."","","",1))"),57.034134)</f>
        <v>57.034134</v>
      </c>
      <c r="Q2442" s="13">
        <f>IFERROR(__xludf.DUMMYFUNCTION("VALUE(SUBSTITUTE((INDEX(SPLIT(A2442,"",""),2)),""."","","",1))"),40.946675)</f>
        <v>40.946675</v>
      </c>
      <c r="R2442" s="14" t="b">
        <f t="shared" si="1"/>
        <v>0</v>
      </c>
      <c r="S2442" s="14" t="str">
        <f t="shared" si="2"/>
        <v>57.034134,40.946675</v>
      </c>
      <c r="T2442" s="12"/>
    </row>
    <row r="2443">
      <c r="A2443" s="15" t="s">
        <v>15846</v>
      </c>
      <c r="B2443" s="16" t="s">
        <v>15858</v>
      </c>
      <c r="C2443" s="16" t="s">
        <v>15859</v>
      </c>
      <c r="D2443" s="16" t="s">
        <v>16</v>
      </c>
      <c r="E2443" s="17" t="s">
        <v>15860</v>
      </c>
      <c r="F2443" s="16" t="s">
        <v>10789</v>
      </c>
      <c r="G2443" s="16">
        <v>23.61</v>
      </c>
      <c r="H2443" s="16"/>
      <c r="I2443" s="16"/>
      <c r="J2443" s="16" t="s">
        <v>15861</v>
      </c>
      <c r="K2443" s="16" t="s">
        <v>15862</v>
      </c>
      <c r="L2443" s="16"/>
      <c r="M2443" s="16"/>
      <c r="N2443" s="12"/>
      <c r="O2443" s="12"/>
      <c r="P2443" s="13">
        <f>IFERROR(__xludf.DUMMYFUNCTION("VALUE(SUBSTITUTE((INDEX(SPLIT(A2443,"",""),1)),""."","","",1))"),57.034134)</f>
        <v>57.034134</v>
      </c>
      <c r="Q2443" s="13">
        <f>IFERROR(__xludf.DUMMYFUNCTION("VALUE(SUBSTITUTE((INDEX(SPLIT(A2443,"",""),2)),""."","","",1))"),40.946675)</f>
        <v>40.946675</v>
      </c>
      <c r="R2443" s="14" t="b">
        <f t="shared" si="1"/>
        <v>0</v>
      </c>
      <c r="S2443" s="14" t="str">
        <f t="shared" si="2"/>
        <v>57.034134,40.946675</v>
      </c>
      <c r="T2443" s="12"/>
    </row>
    <row r="2444">
      <c r="A2444" s="18" t="s">
        <v>15846</v>
      </c>
      <c r="B2444" s="8" t="s">
        <v>15863</v>
      </c>
      <c r="C2444" s="8" t="s">
        <v>15864</v>
      </c>
      <c r="D2444" s="8" t="s">
        <v>16</v>
      </c>
      <c r="E2444" s="19" t="s">
        <v>15865</v>
      </c>
      <c r="F2444" s="8" t="s">
        <v>10789</v>
      </c>
      <c r="G2444" s="8">
        <v>23.61</v>
      </c>
      <c r="H2444" s="8"/>
      <c r="I2444" s="8"/>
      <c r="J2444" s="8" t="s">
        <v>15866</v>
      </c>
      <c r="K2444" s="8" t="s">
        <v>15867</v>
      </c>
      <c r="L2444" s="8"/>
      <c r="M2444" s="8"/>
      <c r="N2444" s="12"/>
      <c r="O2444" s="12"/>
      <c r="P2444" s="13">
        <f>IFERROR(__xludf.DUMMYFUNCTION("VALUE(SUBSTITUTE((INDEX(SPLIT(A2444,"",""),1)),""."","","",1))"),57.034134)</f>
        <v>57.034134</v>
      </c>
      <c r="Q2444" s="13">
        <f>IFERROR(__xludf.DUMMYFUNCTION("VALUE(SUBSTITUTE((INDEX(SPLIT(A2444,"",""),2)),""."","","",1))"),40.946675)</f>
        <v>40.946675</v>
      </c>
      <c r="R2444" s="14" t="b">
        <f t="shared" si="1"/>
        <v>0</v>
      </c>
      <c r="S2444" s="14" t="str">
        <f t="shared" si="2"/>
        <v>57.034134,40.946675</v>
      </c>
      <c r="T2444" s="12"/>
    </row>
    <row r="2445">
      <c r="A2445" s="15" t="s">
        <v>15868</v>
      </c>
      <c r="B2445" s="16" t="s">
        <v>15869</v>
      </c>
      <c r="C2445" s="16" t="s">
        <v>15870</v>
      </c>
      <c r="D2445" s="16" t="s">
        <v>16</v>
      </c>
      <c r="E2445" s="17" t="s">
        <v>15871</v>
      </c>
      <c r="F2445" s="16" t="s">
        <v>10789</v>
      </c>
      <c r="G2445" s="16">
        <v>23.61</v>
      </c>
      <c r="H2445" s="16"/>
      <c r="I2445" s="16"/>
      <c r="J2445" s="16" t="s">
        <v>15872</v>
      </c>
      <c r="K2445" s="16" t="s">
        <v>15873</v>
      </c>
      <c r="L2445" s="16"/>
      <c r="M2445" s="16"/>
      <c r="N2445" s="12"/>
      <c r="O2445" s="12"/>
      <c r="P2445" s="13">
        <f>IFERROR(__xludf.DUMMYFUNCTION("VALUE(SUBSTITUTE((INDEX(SPLIT(A2445,"",""),1)),""."","","",1))"),57.048359)</f>
        <v>57.048359</v>
      </c>
      <c r="Q2445" s="13">
        <f>IFERROR(__xludf.DUMMYFUNCTION("VALUE(SUBSTITUTE((INDEX(SPLIT(A2445,"",""),2)),""."","","",1))"),40.94707)</f>
        <v>40.94707</v>
      </c>
      <c r="R2445" s="14" t="b">
        <f t="shared" si="1"/>
        <v>0</v>
      </c>
      <c r="S2445" s="14" t="str">
        <f t="shared" si="2"/>
        <v>57.048359,40.94707</v>
      </c>
      <c r="T2445" s="12"/>
    </row>
    <row r="2446">
      <c r="A2446" s="18" t="s">
        <v>15874</v>
      </c>
      <c r="B2446" s="8" t="s">
        <v>8070</v>
      </c>
      <c r="C2446" s="8" t="s">
        <v>8071</v>
      </c>
      <c r="D2446" s="8" t="s">
        <v>16</v>
      </c>
      <c r="E2446" s="19" t="s">
        <v>15875</v>
      </c>
      <c r="F2446" s="8" t="s">
        <v>10789</v>
      </c>
      <c r="G2446" s="8">
        <v>23.61</v>
      </c>
      <c r="H2446" s="8"/>
      <c r="I2446" s="8"/>
      <c r="J2446" s="8" t="s">
        <v>15876</v>
      </c>
      <c r="K2446" s="8" t="s">
        <v>15877</v>
      </c>
      <c r="L2446" s="8"/>
      <c r="M2446" s="8"/>
      <c r="N2446" s="12"/>
      <c r="O2446" s="12"/>
      <c r="P2446" s="13">
        <f>IFERROR(__xludf.DUMMYFUNCTION("VALUE(SUBSTITUTE((INDEX(SPLIT(A2446,"",""),1)),""."","","",1))"),57.030774)</f>
        <v>57.030774</v>
      </c>
      <c r="Q2446" s="13">
        <f>IFERROR(__xludf.DUMMYFUNCTION("VALUE(SUBSTITUTE((INDEX(SPLIT(A2446,"",""),2)),""."","","",1))"),40.951517)</f>
        <v>40.951517</v>
      </c>
      <c r="R2446" s="14" t="b">
        <f t="shared" si="1"/>
        <v>0</v>
      </c>
      <c r="S2446" s="14" t="str">
        <f t="shared" si="2"/>
        <v>57.030774,40.951517</v>
      </c>
      <c r="T2446" s="12"/>
    </row>
    <row r="2447">
      <c r="A2447" s="20" t="s">
        <v>15878</v>
      </c>
      <c r="B2447" s="16" t="s">
        <v>15879</v>
      </c>
      <c r="C2447" s="16" t="s">
        <v>15880</v>
      </c>
      <c r="D2447" s="16" t="s">
        <v>16</v>
      </c>
      <c r="E2447" s="21" t="s">
        <v>15881</v>
      </c>
      <c r="F2447" s="22" t="s">
        <v>15565</v>
      </c>
      <c r="G2447" s="16">
        <v>23.61</v>
      </c>
      <c r="H2447" s="16"/>
      <c r="I2447" s="22"/>
      <c r="J2447" s="22" t="s">
        <v>15882</v>
      </c>
      <c r="K2447" s="22" t="s">
        <v>15883</v>
      </c>
      <c r="L2447" s="23" t="s">
        <v>15884</v>
      </c>
      <c r="M2447" s="22"/>
      <c r="N2447" s="12"/>
      <c r="O2447" s="12"/>
      <c r="P2447" s="13">
        <f>IFERROR(__xludf.DUMMYFUNCTION("VALUE(SUBSTITUTE((INDEX(SPLIT(A2447,"",""),1)),""."","","",1))"),57.766555)</f>
        <v>57.766555</v>
      </c>
      <c r="Q2447" s="13">
        <f>IFERROR(__xludf.DUMMYFUNCTION("VALUE(SUBSTITUTE((INDEX(SPLIT(A2447,"",""),2)),""."","","",1))"),40.952981)</f>
        <v>40.952981</v>
      </c>
      <c r="R2447" s="14" t="b">
        <f t="shared" si="1"/>
        <v>0</v>
      </c>
      <c r="S2447" s="14" t="str">
        <f t="shared" si="2"/>
        <v>57.766555,40.952981</v>
      </c>
      <c r="T2447" s="12"/>
    </row>
    <row r="2448">
      <c r="A2448" s="18" t="s">
        <v>15885</v>
      </c>
      <c r="B2448" s="8" t="s">
        <v>15886</v>
      </c>
      <c r="C2448" s="8" t="s">
        <v>15887</v>
      </c>
      <c r="D2448" s="8" t="s">
        <v>16</v>
      </c>
      <c r="E2448" s="19" t="s">
        <v>15888</v>
      </c>
      <c r="F2448" s="8" t="s">
        <v>10789</v>
      </c>
      <c r="G2448" s="8">
        <v>23.61</v>
      </c>
      <c r="H2448" s="8"/>
      <c r="I2448" s="8"/>
      <c r="J2448" s="8" t="s">
        <v>15889</v>
      </c>
      <c r="K2448" s="8" t="s">
        <v>15890</v>
      </c>
      <c r="L2448" s="8"/>
      <c r="M2448" s="24" t="s">
        <v>15891</v>
      </c>
      <c r="N2448" s="12"/>
      <c r="O2448" s="12"/>
      <c r="P2448" s="13">
        <f>IFERROR(__xludf.DUMMYFUNCTION("VALUE(SUBSTITUTE((INDEX(SPLIT(A2448,"",""),1)),""."","","",1))"),57.016723)</f>
        <v>57.016723</v>
      </c>
      <c r="Q2448" s="13">
        <f>IFERROR(__xludf.DUMMYFUNCTION("VALUE(SUBSTITUTE((INDEX(SPLIT(A2448,"",""),2)),""."","","",1))"),40.95538)</f>
        <v>40.95538</v>
      </c>
      <c r="R2448" s="14" t="b">
        <f t="shared" si="1"/>
        <v>0</v>
      </c>
      <c r="S2448" s="14" t="str">
        <f t="shared" si="2"/>
        <v>57.016723,40.95538</v>
      </c>
      <c r="T2448" s="12"/>
    </row>
    <row r="2449">
      <c r="A2449" s="15" t="s">
        <v>15892</v>
      </c>
      <c r="B2449" s="16" t="s">
        <v>15893</v>
      </c>
      <c r="C2449" s="16" t="s">
        <v>15894</v>
      </c>
      <c r="D2449" s="16" t="s">
        <v>16</v>
      </c>
      <c r="E2449" s="17" t="s">
        <v>15895</v>
      </c>
      <c r="F2449" s="16" t="s">
        <v>15565</v>
      </c>
      <c r="G2449" s="16">
        <v>23.61</v>
      </c>
      <c r="H2449" s="16"/>
      <c r="I2449" s="16"/>
      <c r="J2449" s="16" t="s">
        <v>15896</v>
      </c>
      <c r="K2449" s="16" t="s">
        <v>15897</v>
      </c>
      <c r="L2449" s="16"/>
      <c r="M2449" s="16"/>
      <c r="N2449" s="12"/>
      <c r="O2449" s="12"/>
      <c r="P2449" s="13">
        <f>IFERROR(__xludf.DUMMYFUNCTION("VALUE(SUBSTITUTE((INDEX(SPLIT(A2449,"",""),1)),""."","","",1))"),57.762263)</f>
        <v>57.762263</v>
      </c>
      <c r="Q2449" s="13">
        <f>IFERROR(__xludf.DUMMYFUNCTION("VALUE(SUBSTITUTE((INDEX(SPLIT(A2449,"",""),2)),""."","","",1))"),40.958317)</f>
        <v>40.958317</v>
      </c>
      <c r="R2449" s="14" t="b">
        <f t="shared" si="1"/>
        <v>0</v>
      </c>
      <c r="S2449" s="14" t="str">
        <f t="shared" si="2"/>
        <v>57.762263,40.958317</v>
      </c>
      <c r="T2449" s="12"/>
    </row>
    <row r="2450">
      <c r="A2450" s="18" t="s">
        <v>15898</v>
      </c>
      <c r="B2450" s="8" t="s">
        <v>15899</v>
      </c>
      <c r="C2450" s="8" t="s">
        <v>15900</v>
      </c>
      <c r="D2450" s="8" t="s">
        <v>16</v>
      </c>
      <c r="E2450" s="19" t="s">
        <v>15901</v>
      </c>
      <c r="F2450" s="8" t="s">
        <v>10789</v>
      </c>
      <c r="G2450" s="8">
        <v>23.61</v>
      </c>
      <c r="H2450" s="8"/>
      <c r="I2450" s="8"/>
      <c r="J2450" s="8" t="s">
        <v>15902</v>
      </c>
      <c r="K2450" s="8" t="s">
        <v>15903</v>
      </c>
      <c r="L2450" s="8"/>
      <c r="M2450" s="24" t="s">
        <v>15904</v>
      </c>
      <c r="N2450" s="12"/>
      <c r="O2450" s="12"/>
      <c r="P2450" s="13">
        <f>IFERROR(__xludf.DUMMYFUNCTION("VALUE(SUBSTITUTE((INDEX(SPLIT(A2450,"",""),1)),""."","","",1))"),57.010215)</f>
        <v>57.010215</v>
      </c>
      <c r="Q2450" s="13">
        <f>IFERROR(__xludf.DUMMYFUNCTION("VALUE(SUBSTITUTE((INDEX(SPLIT(A2450,"",""),2)),""."","","",1))"),40.95882)</f>
        <v>40.95882</v>
      </c>
      <c r="R2450" s="14" t="b">
        <f t="shared" si="1"/>
        <v>0</v>
      </c>
      <c r="S2450" s="14" t="str">
        <f t="shared" si="2"/>
        <v>57.010215,40.95882</v>
      </c>
      <c r="T2450" s="12"/>
    </row>
    <row r="2451">
      <c r="A2451" s="15" t="s">
        <v>15905</v>
      </c>
      <c r="B2451" s="16" t="s">
        <v>15906</v>
      </c>
      <c r="C2451" s="16" t="s">
        <v>15907</v>
      </c>
      <c r="D2451" s="16" t="s">
        <v>16</v>
      </c>
      <c r="E2451" s="17" t="s">
        <v>15908</v>
      </c>
      <c r="F2451" s="16" t="s">
        <v>10789</v>
      </c>
      <c r="G2451" s="16">
        <v>23.61</v>
      </c>
      <c r="H2451" s="16"/>
      <c r="I2451" s="16"/>
      <c r="J2451" s="16" t="s">
        <v>15909</v>
      </c>
      <c r="K2451" s="16" t="s">
        <v>15910</v>
      </c>
      <c r="L2451" s="16"/>
      <c r="M2451" s="25" t="s">
        <v>15911</v>
      </c>
      <c r="N2451" s="12"/>
      <c r="O2451" s="12"/>
      <c r="P2451" s="13">
        <f>IFERROR(__xludf.DUMMYFUNCTION("VALUE(SUBSTITUTE((INDEX(SPLIT(A2451,"",""),1)),""."","","",1))"),56.980787)</f>
        <v>56.980787</v>
      </c>
      <c r="Q2451" s="13">
        <f>IFERROR(__xludf.DUMMYFUNCTION("VALUE(SUBSTITUTE((INDEX(SPLIT(A2451,"",""),2)),""."","","",1))"),40.966339)</f>
        <v>40.966339</v>
      </c>
      <c r="R2451" s="14" t="b">
        <f t="shared" si="1"/>
        <v>0</v>
      </c>
      <c r="S2451" s="14" t="str">
        <f t="shared" si="2"/>
        <v>56.980787,40.966339</v>
      </c>
      <c r="T2451" s="12"/>
    </row>
    <row r="2452">
      <c r="A2452" s="18" t="s">
        <v>15912</v>
      </c>
      <c r="B2452" s="8" t="s">
        <v>15913</v>
      </c>
      <c r="C2452" s="8" t="s">
        <v>15914</v>
      </c>
      <c r="D2452" s="8" t="s">
        <v>16</v>
      </c>
      <c r="E2452" s="19" t="s">
        <v>15915</v>
      </c>
      <c r="F2452" s="8" t="s">
        <v>10789</v>
      </c>
      <c r="G2452" s="8">
        <v>23.61</v>
      </c>
      <c r="H2452" s="8"/>
      <c r="I2452" s="8"/>
      <c r="J2452" s="8" t="s">
        <v>15916</v>
      </c>
      <c r="K2452" s="8" t="s">
        <v>15917</v>
      </c>
      <c r="L2452" s="8"/>
      <c r="M2452" s="8"/>
      <c r="N2452" s="12"/>
      <c r="O2452" s="12"/>
      <c r="P2452" s="13">
        <f>IFERROR(__xludf.DUMMYFUNCTION("VALUE(SUBSTITUTE((INDEX(SPLIT(A2452,"",""),1)),""."","","",1))"),56.962223)</f>
        <v>56.962223</v>
      </c>
      <c r="Q2452" s="13">
        <f>IFERROR(__xludf.DUMMYFUNCTION("VALUE(SUBSTITUTE((INDEX(SPLIT(A2452,"",""),2)),""."","","",1))"),40.971953)</f>
        <v>40.971953</v>
      </c>
      <c r="R2452" s="14" t="b">
        <f t="shared" si="1"/>
        <v>0</v>
      </c>
      <c r="S2452" s="14" t="str">
        <f t="shared" si="2"/>
        <v>56.962223,40.971953</v>
      </c>
      <c r="T2452" s="12"/>
    </row>
    <row r="2453">
      <c r="A2453" s="15" t="s">
        <v>15918</v>
      </c>
      <c r="B2453" s="16" t="s">
        <v>15919</v>
      </c>
      <c r="C2453" s="16" t="s">
        <v>15920</v>
      </c>
      <c r="D2453" s="16" t="s">
        <v>16</v>
      </c>
      <c r="E2453" s="17" t="s">
        <v>15921</v>
      </c>
      <c r="F2453" s="16" t="s">
        <v>10789</v>
      </c>
      <c r="G2453" s="16">
        <v>23.61</v>
      </c>
      <c r="H2453" s="16"/>
      <c r="I2453" s="16"/>
      <c r="J2453" s="16" t="s">
        <v>15922</v>
      </c>
      <c r="K2453" s="16" t="s">
        <v>15923</v>
      </c>
      <c r="L2453" s="16"/>
      <c r="M2453" s="16"/>
      <c r="N2453" s="12"/>
      <c r="O2453" s="12"/>
      <c r="P2453" s="13">
        <f>IFERROR(__xludf.DUMMYFUNCTION("VALUE(SUBSTITUTE((INDEX(SPLIT(A2453,"",""),1)),""."","","",1))"),57.020961)</f>
        <v>57.020961</v>
      </c>
      <c r="Q2453" s="13">
        <f>IFERROR(__xludf.DUMMYFUNCTION("VALUE(SUBSTITUTE((INDEX(SPLIT(A2453,"",""),2)),""."","","",1))"),40.973912)</f>
        <v>40.973912</v>
      </c>
      <c r="R2453" s="14" t="b">
        <f t="shared" si="1"/>
        <v>0</v>
      </c>
      <c r="S2453" s="14" t="str">
        <f t="shared" si="2"/>
        <v>57.020961,40.973912</v>
      </c>
      <c r="T2453" s="12"/>
    </row>
    <row r="2454">
      <c r="A2454" s="18" t="s">
        <v>15924</v>
      </c>
      <c r="B2454" s="8" t="s">
        <v>15925</v>
      </c>
      <c r="C2454" s="8" t="s">
        <v>15926</v>
      </c>
      <c r="D2454" s="8" t="s">
        <v>16</v>
      </c>
      <c r="E2454" s="19" t="s">
        <v>15927</v>
      </c>
      <c r="F2454" s="8" t="s">
        <v>10789</v>
      </c>
      <c r="G2454" s="8">
        <v>23.61</v>
      </c>
      <c r="H2454" s="8"/>
      <c r="I2454" s="8"/>
      <c r="J2454" s="8" t="s">
        <v>15928</v>
      </c>
      <c r="K2454" s="8" t="s">
        <v>15929</v>
      </c>
      <c r="L2454" s="8"/>
      <c r="M2454" s="8"/>
      <c r="N2454" s="12"/>
      <c r="O2454" s="12"/>
      <c r="P2454" s="13">
        <f>IFERROR(__xludf.DUMMYFUNCTION("VALUE(SUBSTITUTE((INDEX(SPLIT(A2454,"",""),1)),""."","","",1))"),57.000353)</f>
        <v>57.000353</v>
      </c>
      <c r="Q2454" s="13">
        <f>IFERROR(__xludf.DUMMYFUNCTION("VALUE(SUBSTITUTE((INDEX(SPLIT(A2454,"",""),2)),""."","","",1))"),40.97393)</f>
        <v>40.97393</v>
      </c>
      <c r="R2454" s="14" t="b">
        <f t="shared" si="1"/>
        <v>0</v>
      </c>
      <c r="S2454" s="14" t="str">
        <f t="shared" si="2"/>
        <v>57.000353,40.97393</v>
      </c>
      <c r="T2454" s="12"/>
    </row>
    <row r="2455">
      <c r="A2455" s="15" t="s">
        <v>15930</v>
      </c>
      <c r="B2455" s="16" t="s">
        <v>15931</v>
      </c>
      <c r="C2455" s="16" t="s">
        <v>15932</v>
      </c>
      <c r="D2455" s="16" t="s">
        <v>16</v>
      </c>
      <c r="E2455" s="17" t="s">
        <v>15933</v>
      </c>
      <c r="F2455" s="16" t="s">
        <v>10789</v>
      </c>
      <c r="G2455" s="16">
        <v>23.61</v>
      </c>
      <c r="H2455" s="16"/>
      <c r="I2455" s="16"/>
      <c r="J2455" s="16" t="s">
        <v>15934</v>
      </c>
      <c r="K2455" s="16" t="s">
        <v>15935</v>
      </c>
      <c r="L2455" s="16"/>
      <c r="M2455" s="16"/>
      <c r="N2455" s="12"/>
      <c r="O2455" s="12"/>
      <c r="P2455" s="13">
        <f>IFERROR(__xludf.DUMMYFUNCTION("VALUE(SUBSTITUTE((INDEX(SPLIT(A2455,"",""),1)),""."","","",1))"),57.027526)</f>
        <v>57.027526</v>
      </c>
      <c r="Q2455" s="13">
        <f>IFERROR(__xludf.DUMMYFUNCTION("VALUE(SUBSTITUTE((INDEX(SPLIT(A2455,"",""),2)),""."","","",1))"),40.975529)</f>
        <v>40.975529</v>
      </c>
      <c r="R2455" s="14" t="b">
        <f t="shared" si="1"/>
        <v>0</v>
      </c>
      <c r="S2455" s="14" t="str">
        <f t="shared" si="2"/>
        <v>57.027526,40.975529</v>
      </c>
      <c r="T2455" s="12"/>
    </row>
    <row r="2456">
      <c r="A2456" s="18" t="s">
        <v>15936</v>
      </c>
      <c r="B2456" s="8" t="s">
        <v>15937</v>
      </c>
      <c r="C2456" s="8" t="s">
        <v>15938</v>
      </c>
      <c r="D2456" s="8" t="s">
        <v>16</v>
      </c>
      <c r="E2456" s="19" t="s">
        <v>15939</v>
      </c>
      <c r="F2456" s="8" t="s">
        <v>10789</v>
      </c>
      <c r="G2456" s="8">
        <v>23.61</v>
      </c>
      <c r="H2456" s="8"/>
      <c r="I2456" s="8"/>
      <c r="J2456" s="8" t="s">
        <v>15940</v>
      </c>
      <c r="K2456" s="8" t="s">
        <v>15941</v>
      </c>
      <c r="L2456" s="8"/>
      <c r="M2456" s="8"/>
      <c r="N2456" s="12"/>
      <c r="O2456" s="12"/>
      <c r="P2456" s="13">
        <f>IFERROR(__xludf.DUMMYFUNCTION("VALUE(SUBSTITUTE((INDEX(SPLIT(A2456,"",""),1)),""."","","",1))"),57.00576)</f>
        <v>57.00576</v>
      </c>
      <c r="Q2456" s="13">
        <f>IFERROR(__xludf.DUMMYFUNCTION("VALUE(SUBSTITUTE((INDEX(SPLIT(A2456,"",""),2)),""."","","",1))"),40.97569)</f>
        <v>40.97569</v>
      </c>
      <c r="R2456" s="14" t="b">
        <f t="shared" si="1"/>
        <v>0</v>
      </c>
      <c r="S2456" s="14" t="str">
        <f t="shared" si="2"/>
        <v>57.00576,40.97569</v>
      </c>
      <c r="T2456" s="12"/>
    </row>
    <row r="2457">
      <c r="A2457" s="15" t="s">
        <v>15942</v>
      </c>
      <c r="B2457" s="16" t="s">
        <v>15943</v>
      </c>
      <c r="C2457" s="16" t="s">
        <v>15944</v>
      </c>
      <c r="D2457" s="16" t="s">
        <v>16</v>
      </c>
      <c r="E2457" s="17" t="s">
        <v>15945</v>
      </c>
      <c r="F2457" s="16" t="s">
        <v>10789</v>
      </c>
      <c r="G2457" s="16">
        <v>23.61</v>
      </c>
      <c r="H2457" s="16"/>
      <c r="I2457" s="16"/>
      <c r="J2457" s="16" t="s">
        <v>15946</v>
      </c>
      <c r="K2457" s="16" t="s">
        <v>15947</v>
      </c>
      <c r="L2457" s="16"/>
      <c r="M2457" s="25" t="s">
        <v>15948</v>
      </c>
      <c r="N2457" s="12"/>
      <c r="O2457" s="12"/>
      <c r="P2457" s="13">
        <f>IFERROR(__xludf.DUMMYFUNCTION("VALUE(SUBSTITUTE((INDEX(SPLIT(A2457,"",""),1)),""."","","",1))"),57.005108)</f>
        <v>57.005108</v>
      </c>
      <c r="Q2457" s="13">
        <f>IFERROR(__xludf.DUMMYFUNCTION("VALUE(SUBSTITUTE((INDEX(SPLIT(A2457,"",""),2)),""."","","",1))"),40.977766)</f>
        <v>40.977766</v>
      </c>
      <c r="R2457" s="14" t="b">
        <f t="shared" si="1"/>
        <v>0</v>
      </c>
      <c r="S2457" s="14" t="str">
        <f t="shared" si="2"/>
        <v>57.005108,40.977766</v>
      </c>
      <c r="T2457" s="12"/>
    </row>
    <row r="2458">
      <c r="A2458" s="18" t="s">
        <v>15949</v>
      </c>
      <c r="B2458" s="8" t="s">
        <v>15950</v>
      </c>
      <c r="C2458" s="8" t="s">
        <v>15951</v>
      </c>
      <c r="D2458" s="8" t="s">
        <v>16</v>
      </c>
      <c r="E2458" s="19" t="s">
        <v>15952</v>
      </c>
      <c r="F2458" s="8" t="s">
        <v>15565</v>
      </c>
      <c r="G2458" s="8">
        <v>23.61</v>
      </c>
      <c r="H2458" s="8"/>
      <c r="I2458" s="8"/>
      <c r="J2458" s="8" t="s">
        <v>15953</v>
      </c>
      <c r="K2458" s="8" t="s">
        <v>15954</v>
      </c>
      <c r="L2458" s="8"/>
      <c r="M2458" s="8"/>
      <c r="N2458" s="12"/>
      <c r="O2458" s="12"/>
      <c r="P2458" s="13">
        <f>IFERROR(__xludf.DUMMYFUNCTION("VALUE(SUBSTITUTE((INDEX(SPLIT(A2458,"",""),1)),""."","","",1))"),57.737668)</f>
        <v>57.737668</v>
      </c>
      <c r="Q2458" s="13">
        <f>IFERROR(__xludf.DUMMYFUNCTION("VALUE(SUBSTITUTE((INDEX(SPLIT(A2458,"",""),2)),""."","","",1))"),40.980892)</f>
        <v>40.980892</v>
      </c>
      <c r="R2458" s="14" t="b">
        <f t="shared" si="1"/>
        <v>0</v>
      </c>
      <c r="S2458" s="14" t="str">
        <f t="shared" si="2"/>
        <v>57.737668,40.980892</v>
      </c>
      <c r="T2458" s="12"/>
    </row>
    <row r="2459">
      <c r="A2459" s="15" t="s">
        <v>15955</v>
      </c>
      <c r="B2459" s="16" t="s">
        <v>15956</v>
      </c>
      <c r="C2459" s="16" t="s">
        <v>15957</v>
      </c>
      <c r="D2459" s="16" t="s">
        <v>16</v>
      </c>
      <c r="E2459" s="17" t="s">
        <v>15958</v>
      </c>
      <c r="F2459" s="16" t="s">
        <v>10789</v>
      </c>
      <c r="G2459" s="16">
        <v>23.61</v>
      </c>
      <c r="H2459" s="16"/>
      <c r="I2459" s="16"/>
      <c r="J2459" s="16" t="s">
        <v>15959</v>
      </c>
      <c r="K2459" s="16" t="s">
        <v>15960</v>
      </c>
      <c r="L2459" s="16"/>
      <c r="M2459" s="16"/>
      <c r="N2459" s="12"/>
      <c r="O2459" s="12"/>
      <c r="P2459" s="13">
        <f>IFERROR(__xludf.DUMMYFUNCTION("VALUE(SUBSTITUTE((INDEX(SPLIT(A2459,"",""),1)),""."","","",1))"),57.010073)</f>
        <v>57.010073</v>
      </c>
      <c r="Q2459" s="13">
        <f>IFERROR(__xludf.DUMMYFUNCTION("VALUE(SUBSTITUTE((INDEX(SPLIT(A2459,"",""),2)),""."","","",1))"),40.98488)</f>
        <v>40.98488</v>
      </c>
      <c r="R2459" s="14" t="b">
        <f t="shared" si="1"/>
        <v>0</v>
      </c>
      <c r="S2459" s="14" t="str">
        <f t="shared" si="2"/>
        <v>57.010073,40.98488</v>
      </c>
      <c r="T2459" s="12"/>
    </row>
    <row r="2460">
      <c r="A2460" s="18" t="s">
        <v>15961</v>
      </c>
      <c r="B2460" s="8" t="s">
        <v>15962</v>
      </c>
      <c r="C2460" s="8" t="s">
        <v>15963</v>
      </c>
      <c r="D2460" s="8" t="s">
        <v>16</v>
      </c>
      <c r="E2460" s="19" t="s">
        <v>15964</v>
      </c>
      <c r="F2460" s="8" t="s">
        <v>10789</v>
      </c>
      <c r="G2460" s="8">
        <v>23.61</v>
      </c>
      <c r="H2460" s="8"/>
      <c r="I2460" s="8"/>
      <c r="J2460" s="8" t="s">
        <v>15965</v>
      </c>
      <c r="K2460" s="8" t="s">
        <v>15966</v>
      </c>
      <c r="L2460" s="8"/>
      <c r="M2460" s="8"/>
      <c r="N2460" s="12"/>
      <c r="O2460" s="12"/>
      <c r="P2460" s="13">
        <f>IFERROR(__xludf.DUMMYFUNCTION("VALUE(SUBSTITUTE((INDEX(SPLIT(A2460,"",""),1)),""."","","",1))"),56.995136)</f>
        <v>56.995136</v>
      </c>
      <c r="Q2460" s="13">
        <f>IFERROR(__xludf.DUMMYFUNCTION("VALUE(SUBSTITUTE((INDEX(SPLIT(A2460,"",""),2)),""."","","",1))"),40.985913)</f>
        <v>40.985913</v>
      </c>
      <c r="R2460" s="14" t="b">
        <f t="shared" si="1"/>
        <v>0</v>
      </c>
      <c r="S2460" s="14" t="str">
        <f t="shared" si="2"/>
        <v>56.995136,40.985913</v>
      </c>
      <c r="T2460" s="12"/>
    </row>
    <row r="2461">
      <c r="A2461" s="15" t="s">
        <v>15967</v>
      </c>
      <c r="B2461" s="16" t="s">
        <v>15968</v>
      </c>
      <c r="C2461" s="16" t="s">
        <v>15969</v>
      </c>
      <c r="D2461" s="16" t="s">
        <v>16</v>
      </c>
      <c r="E2461" s="17" t="s">
        <v>15970</v>
      </c>
      <c r="F2461" s="16" t="s">
        <v>10789</v>
      </c>
      <c r="G2461" s="16">
        <v>23.61</v>
      </c>
      <c r="H2461" s="16"/>
      <c r="I2461" s="16"/>
      <c r="J2461" s="16" t="s">
        <v>15971</v>
      </c>
      <c r="K2461" s="16" t="s">
        <v>15972</v>
      </c>
      <c r="L2461" s="16"/>
      <c r="M2461" s="16"/>
      <c r="N2461" s="12"/>
      <c r="O2461" s="12"/>
      <c r="P2461" s="13">
        <f>IFERROR(__xludf.DUMMYFUNCTION("VALUE(SUBSTITUTE((INDEX(SPLIT(A2461,"",""),1)),""."","","",1))"),56.997725)</f>
        <v>56.997725</v>
      </c>
      <c r="Q2461" s="13">
        <f>IFERROR(__xludf.DUMMYFUNCTION("VALUE(SUBSTITUTE((INDEX(SPLIT(A2461,"",""),2)),""."","","",1))"),40.988878)</f>
        <v>40.988878</v>
      </c>
      <c r="R2461" s="14" t="b">
        <f t="shared" si="1"/>
        <v>0</v>
      </c>
      <c r="S2461" s="14" t="str">
        <f t="shared" si="2"/>
        <v>56.997725,40.988878</v>
      </c>
      <c r="T2461" s="12"/>
    </row>
    <row r="2462">
      <c r="A2462" s="7" t="s">
        <v>15973</v>
      </c>
      <c r="B2462" s="8" t="s">
        <v>15974</v>
      </c>
      <c r="C2462" s="8" t="s">
        <v>15975</v>
      </c>
      <c r="D2462" s="8" t="s">
        <v>16</v>
      </c>
      <c r="E2462" s="9" t="s">
        <v>15976</v>
      </c>
      <c r="F2462" s="10" t="s">
        <v>15565</v>
      </c>
      <c r="G2462" s="8">
        <v>23.61</v>
      </c>
      <c r="H2462" s="8"/>
      <c r="I2462" s="10"/>
      <c r="J2462" s="10" t="s">
        <v>15977</v>
      </c>
      <c r="K2462" s="10" t="s">
        <v>15978</v>
      </c>
      <c r="L2462" s="11" t="s">
        <v>15979</v>
      </c>
      <c r="M2462" s="10"/>
      <c r="N2462" s="12"/>
      <c r="O2462" s="12"/>
      <c r="P2462" s="13">
        <f>IFERROR(__xludf.DUMMYFUNCTION("VALUE(SUBSTITUTE((INDEX(SPLIT(A2462,"",""),1)),""."","","",1))"),57.76402)</f>
        <v>57.76402</v>
      </c>
      <c r="Q2462" s="13">
        <f>IFERROR(__xludf.DUMMYFUNCTION("VALUE(SUBSTITUTE((INDEX(SPLIT(A2462,"",""),2)),""."","","",1))"),40.988959)</f>
        <v>40.988959</v>
      </c>
      <c r="R2462" s="14" t="b">
        <f t="shared" si="1"/>
        <v>0</v>
      </c>
      <c r="S2462" s="14" t="str">
        <f t="shared" si="2"/>
        <v>57.76402,40.988959</v>
      </c>
      <c r="T2462" s="12"/>
    </row>
    <row r="2463">
      <c r="A2463" s="20" t="s">
        <v>15980</v>
      </c>
      <c r="B2463" s="16" t="s">
        <v>516</v>
      </c>
      <c r="C2463" s="16" t="s">
        <v>517</v>
      </c>
      <c r="D2463" s="16" t="s">
        <v>16</v>
      </c>
      <c r="E2463" s="21" t="s">
        <v>15981</v>
      </c>
      <c r="F2463" s="22" t="s">
        <v>15565</v>
      </c>
      <c r="G2463" s="16">
        <v>23.61</v>
      </c>
      <c r="H2463" s="16"/>
      <c r="I2463" s="22"/>
      <c r="J2463" s="22" t="s">
        <v>15982</v>
      </c>
      <c r="K2463" s="22" t="s">
        <v>15983</v>
      </c>
      <c r="L2463" s="23" t="s">
        <v>15984</v>
      </c>
      <c r="M2463" s="22"/>
      <c r="N2463" s="12"/>
      <c r="O2463" s="12"/>
      <c r="P2463" s="13">
        <f>IFERROR(__xludf.DUMMYFUNCTION("VALUE(SUBSTITUTE((INDEX(SPLIT(A2463,"",""),1)),""."","","",1))"),57.760794)</f>
        <v>57.760794</v>
      </c>
      <c r="Q2463" s="13">
        <f>IFERROR(__xludf.DUMMYFUNCTION("VALUE(SUBSTITUTE((INDEX(SPLIT(A2463,"",""),2)),""."","","",1))"),40.989866)</f>
        <v>40.989866</v>
      </c>
      <c r="R2463" s="14" t="b">
        <f t="shared" si="1"/>
        <v>0</v>
      </c>
      <c r="S2463" s="14" t="str">
        <f t="shared" si="2"/>
        <v>57.760794,40.989866</v>
      </c>
      <c r="T2463" s="12"/>
    </row>
    <row r="2464">
      <c r="A2464" s="18" t="s">
        <v>15985</v>
      </c>
      <c r="B2464" s="8" t="s">
        <v>15986</v>
      </c>
      <c r="C2464" s="8" t="s">
        <v>15987</v>
      </c>
      <c r="D2464" s="8" t="s">
        <v>16</v>
      </c>
      <c r="E2464" s="19" t="s">
        <v>15988</v>
      </c>
      <c r="F2464" s="8" t="s">
        <v>15565</v>
      </c>
      <c r="G2464" s="8">
        <v>23.61</v>
      </c>
      <c r="H2464" s="8"/>
      <c r="I2464" s="8"/>
      <c r="J2464" s="8" t="s">
        <v>15989</v>
      </c>
      <c r="K2464" s="8" t="s">
        <v>15990</v>
      </c>
      <c r="L2464" s="8"/>
      <c r="M2464" s="8"/>
      <c r="N2464" s="12"/>
      <c r="O2464" s="12"/>
      <c r="P2464" s="13">
        <f>IFERROR(__xludf.DUMMYFUNCTION("VALUE(SUBSTITUTE((INDEX(SPLIT(A2464,"",""),1)),""."","","",1))"),57.805663)</f>
        <v>57.805663</v>
      </c>
      <c r="Q2464" s="13">
        <f>IFERROR(__xludf.DUMMYFUNCTION("VALUE(SUBSTITUTE((INDEX(SPLIT(A2464,"",""),2)),""."","","",1))"),40.998795)</f>
        <v>40.998795</v>
      </c>
      <c r="R2464" s="14" t="b">
        <f t="shared" si="1"/>
        <v>0</v>
      </c>
      <c r="S2464" s="14" t="str">
        <f t="shared" si="2"/>
        <v>57.805663,40.998795</v>
      </c>
      <c r="T2464" s="12"/>
    </row>
    <row r="2465">
      <c r="A2465" s="15" t="s">
        <v>15991</v>
      </c>
      <c r="B2465" s="16" t="s">
        <v>15992</v>
      </c>
      <c r="C2465" s="16" t="s">
        <v>15993</v>
      </c>
      <c r="D2465" s="16" t="s">
        <v>16</v>
      </c>
      <c r="E2465" s="17" t="s">
        <v>15994</v>
      </c>
      <c r="F2465" s="16" t="s">
        <v>15565</v>
      </c>
      <c r="G2465" s="16">
        <v>23.61</v>
      </c>
      <c r="H2465" s="16"/>
      <c r="I2465" s="16"/>
      <c r="J2465" s="16" t="s">
        <v>15995</v>
      </c>
      <c r="K2465" s="16" t="s">
        <v>15996</v>
      </c>
      <c r="L2465" s="16"/>
      <c r="M2465" s="25" t="s">
        <v>15997</v>
      </c>
      <c r="N2465" s="12"/>
      <c r="O2465" s="12"/>
      <c r="P2465" s="13">
        <f>IFERROR(__xludf.DUMMYFUNCTION("VALUE(SUBSTITUTE((INDEX(SPLIT(A2465,"",""),1)),""."","","",1))"),57.734161)</f>
        <v>57.734161</v>
      </c>
      <c r="Q2465" s="13">
        <f>IFERROR(__xludf.DUMMYFUNCTION("VALUE(SUBSTITUTE((INDEX(SPLIT(A2465,"",""),2)),""."","","",1))"),40.999505)</f>
        <v>40.999505</v>
      </c>
      <c r="R2465" s="14" t="b">
        <f t="shared" si="1"/>
        <v>0</v>
      </c>
      <c r="S2465" s="14" t="str">
        <f t="shared" si="2"/>
        <v>57.734161,40.999505</v>
      </c>
      <c r="T2465" s="12"/>
    </row>
    <row r="2466">
      <c r="A2466" s="7" t="s">
        <v>15998</v>
      </c>
      <c r="B2466" s="8" t="s">
        <v>15999</v>
      </c>
      <c r="C2466" s="8" t="s">
        <v>16000</v>
      </c>
      <c r="D2466" s="8" t="s">
        <v>16</v>
      </c>
      <c r="E2466" s="9" t="s">
        <v>16001</v>
      </c>
      <c r="F2466" s="10" t="s">
        <v>15565</v>
      </c>
      <c r="G2466" s="8">
        <v>23.61</v>
      </c>
      <c r="H2466" s="8"/>
      <c r="I2466" s="31" t="s">
        <v>16002</v>
      </c>
      <c r="J2466" s="10" t="s">
        <v>16003</v>
      </c>
      <c r="K2466" s="10" t="s">
        <v>16004</v>
      </c>
      <c r="L2466" s="11" t="s">
        <v>16005</v>
      </c>
      <c r="M2466" s="10"/>
      <c r="N2466" s="12"/>
      <c r="O2466" s="12"/>
      <c r="P2466" s="13">
        <f>IFERROR(__xludf.DUMMYFUNCTION("VALUE(SUBSTITUTE((INDEX(SPLIT(A2466,"",""),1)),""."","","",1))"),57.762469)</f>
        <v>57.762469</v>
      </c>
      <c r="Q2466" s="13">
        <f>IFERROR(__xludf.DUMMYFUNCTION("VALUE(SUBSTITUTE((INDEX(SPLIT(A2466,"",""),2)),""."","","",1))"),41.002703)</f>
        <v>41.002703</v>
      </c>
      <c r="R2466" s="14" t="b">
        <f t="shared" si="1"/>
        <v>0</v>
      </c>
      <c r="S2466" s="14" t="str">
        <f t="shared" si="2"/>
        <v>57.762469,41.002703</v>
      </c>
      <c r="T2466" s="12"/>
    </row>
    <row r="2467">
      <c r="A2467" s="15" t="s">
        <v>16006</v>
      </c>
      <c r="B2467" s="16" t="s">
        <v>16007</v>
      </c>
      <c r="C2467" s="16" t="s">
        <v>16008</v>
      </c>
      <c r="D2467" s="16" t="s">
        <v>16</v>
      </c>
      <c r="E2467" s="17" t="s">
        <v>16009</v>
      </c>
      <c r="F2467" s="16" t="s">
        <v>15565</v>
      </c>
      <c r="G2467" s="16">
        <v>23.61</v>
      </c>
      <c r="H2467" s="16"/>
      <c r="I2467" s="16"/>
      <c r="J2467" s="16" t="s">
        <v>16010</v>
      </c>
      <c r="K2467" s="16" t="s">
        <v>16011</v>
      </c>
      <c r="L2467" s="16"/>
      <c r="M2467" s="25" t="s">
        <v>16012</v>
      </c>
      <c r="N2467" s="12"/>
      <c r="O2467" s="12"/>
      <c r="P2467" s="13">
        <f>IFERROR(__xludf.DUMMYFUNCTION("VALUE(SUBSTITUTE((INDEX(SPLIT(A2467,"",""),1)),""."","","",1))"),57.73024)</f>
        <v>57.73024</v>
      </c>
      <c r="Q2467" s="13">
        <f>IFERROR(__xludf.DUMMYFUNCTION("VALUE(SUBSTITUTE((INDEX(SPLIT(A2467,"",""),2)),""."","","",1))"),41.011066)</f>
        <v>41.011066</v>
      </c>
      <c r="R2467" s="14" t="b">
        <f t="shared" si="1"/>
        <v>0</v>
      </c>
      <c r="S2467" s="14" t="str">
        <f t="shared" si="2"/>
        <v>57.73024,41.011066</v>
      </c>
      <c r="T2467" s="12"/>
    </row>
    <row r="2468">
      <c r="A2468" s="18" t="s">
        <v>16013</v>
      </c>
      <c r="B2468" s="8" t="s">
        <v>16014</v>
      </c>
      <c r="C2468" s="8" t="s">
        <v>16015</v>
      </c>
      <c r="D2468" s="8" t="s">
        <v>16</v>
      </c>
      <c r="E2468" s="19" t="s">
        <v>16016</v>
      </c>
      <c r="F2468" s="8" t="s">
        <v>15565</v>
      </c>
      <c r="G2468" s="8">
        <v>23.61</v>
      </c>
      <c r="H2468" s="8"/>
      <c r="I2468" s="8"/>
      <c r="J2468" s="8" t="s">
        <v>16017</v>
      </c>
      <c r="K2468" s="8" t="s">
        <v>16018</v>
      </c>
      <c r="L2468" s="8"/>
      <c r="M2468" s="8"/>
      <c r="N2468" s="12"/>
      <c r="O2468" s="12"/>
      <c r="P2468" s="13">
        <f>IFERROR(__xludf.DUMMYFUNCTION("VALUE(SUBSTITUTE((INDEX(SPLIT(A2468,"",""),1)),""."","","",1))"),57.772699)</f>
        <v>57.772699</v>
      </c>
      <c r="Q2468" s="13">
        <f>IFERROR(__xludf.DUMMYFUNCTION("VALUE(SUBSTITUTE((INDEX(SPLIT(A2468,"",""),2)),""."","","",1))"),41.012575)</f>
        <v>41.012575</v>
      </c>
      <c r="R2468" s="14" t="b">
        <f t="shared" si="1"/>
        <v>0</v>
      </c>
      <c r="S2468" s="14" t="str">
        <f t="shared" si="2"/>
        <v>57.772699,41.012575</v>
      </c>
      <c r="T2468" s="12"/>
    </row>
    <row r="2469">
      <c r="A2469" s="15" t="s">
        <v>16019</v>
      </c>
      <c r="B2469" s="16" t="s">
        <v>16020</v>
      </c>
      <c r="C2469" s="16" t="s">
        <v>16021</v>
      </c>
      <c r="D2469" s="16" t="s">
        <v>16</v>
      </c>
      <c r="E2469" s="17" t="s">
        <v>16022</v>
      </c>
      <c r="F2469" s="16" t="s">
        <v>8566</v>
      </c>
      <c r="G2469" s="16">
        <v>23.61</v>
      </c>
      <c r="H2469" s="16"/>
      <c r="I2469" s="16"/>
      <c r="J2469" s="16" t="s">
        <v>16023</v>
      </c>
      <c r="K2469" s="16" t="s">
        <v>16024</v>
      </c>
      <c r="L2469" s="16"/>
      <c r="M2469" s="25" t="s">
        <v>16025</v>
      </c>
      <c r="N2469" s="12"/>
      <c r="O2469" s="12"/>
      <c r="P2469" s="13">
        <f>IFERROR(__xludf.DUMMYFUNCTION("VALUE(SUBSTITUTE((INDEX(SPLIT(A2469,"",""),1)),""."","","",1))"),44.94002)</f>
        <v>44.94002</v>
      </c>
      <c r="Q2469" s="13">
        <f>IFERROR(__xludf.DUMMYFUNCTION("VALUE(SUBSTITUTE((INDEX(SPLIT(A2469,"",""),2)),""."","","",1))"),41.019537)</f>
        <v>41.019537</v>
      </c>
      <c r="R2469" s="14" t="b">
        <f t="shared" si="1"/>
        <v>0</v>
      </c>
      <c r="S2469" s="14" t="str">
        <f t="shared" si="2"/>
        <v>44.94002,41.019537</v>
      </c>
      <c r="T2469" s="12"/>
    </row>
    <row r="2470">
      <c r="A2470" s="18" t="s">
        <v>16026</v>
      </c>
      <c r="B2470" s="8" t="s">
        <v>16027</v>
      </c>
      <c r="C2470" s="8" t="s">
        <v>16028</v>
      </c>
      <c r="D2470" s="8" t="s">
        <v>16</v>
      </c>
      <c r="E2470" s="19" t="s">
        <v>16029</v>
      </c>
      <c r="F2470" s="8" t="s">
        <v>15565</v>
      </c>
      <c r="G2470" s="8">
        <v>23.61</v>
      </c>
      <c r="H2470" s="8"/>
      <c r="I2470" s="8"/>
      <c r="J2470" s="8" t="s">
        <v>16030</v>
      </c>
      <c r="K2470" s="8" t="s">
        <v>16031</v>
      </c>
      <c r="L2470" s="8"/>
      <c r="M2470" s="24" t="s">
        <v>16032</v>
      </c>
      <c r="N2470" s="12"/>
      <c r="O2470" s="12"/>
      <c r="P2470" s="13">
        <f>IFERROR(__xludf.DUMMYFUNCTION("VALUE(SUBSTITUTE((INDEX(SPLIT(A2470,"",""),1)),""."","","",1))"),57.769824)</f>
        <v>57.769824</v>
      </c>
      <c r="Q2470" s="13">
        <f>IFERROR(__xludf.DUMMYFUNCTION("VALUE(SUBSTITUTE((INDEX(SPLIT(A2470,"",""),2)),""."","","",1))"),41.025628)</f>
        <v>41.025628</v>
      </c>
      <c r="R2470" s="14" t="b">
        <f t="shared" si="1"/>
        <v>0</v>
      </c>
      <c r="S2470" s="14" t="str">
        <f t="shared" si="2"/>
        <v>57.769824,41.025628</v>
      </c>
      <c r="T2470" s="12"/>
    </row>
    <row r="2471">
      <c r="A2471" s="20" t="s">
        <v>16033</v>
      </c>
      <c r="B2471" s="16" t="s">
        <v>16034</v>
      </c>
      <c r="C2471" s="16" t="s">
        <v>16035</v>
      </c>
      <c r="D2471" s="16" t="s">
        <v>16</v>
      </c>
      <c r="E2471" s="21" t="s">
        <v>16036</v>
      </c>
      <c r="F2471" s="22" t="s">
        <v>15565</v>
      </c>
      <c r="G2471" s="16">
        <v>23.61</v>
      </c>
      <c r="H2471" s="16"/>
      <c r="I2471" s="22"/>
      <c r="J2471" s="22" t="s">
        <v>16037</v>
      </c>
      <c r="K2471" s="22" t="s">
        <v>16038</v>
      </c>
      <c r="L2471" s="23" t="s">
        <v>16039</v>
      </c>
      <c r="M2471" s="22"/>
      <c r="N2471" s="12"/>
      <c r="O2471" s="12"/>
      <c r="P2471" s="13">
        <f>IFERROR(__xludf.DUMMYFUNCTION("VALUE(SUBSTITUTE((INDEX(SPLIT(A2471,"",""),1)),""."","","",1))"),57.770107)</f>
        <v>57.770107</v>
      </c>
      <c r="Q2471" s="13">
        <f>IFERROR(__xludf.DUMMYFUNCTION("VALUE(SUBSTITUTE((INDEX(SPLIT(A2471,"",""),2)),""."","","",1))"),41.029239)</f>
        <v>41.029239</v>
      </c>
      <c r="R2471" s="14" t="b">
        <f t="shared" si="1"/>
        <v>0</v>
      </c>
      <c r="S2471" s="14" t="str">
        <f t="shared" si="2"/>
        <v>57.770107,41.029239</v>
      </c>
      <c r="T2471" s="12"/>
    </row>
    <row r="2472">
      <c r="A2472" s="18" t="s">
        <v>16040</v>
      </c>
      <c r="B2472" s="8" t="s">
        <v>16041</v>
      </c>
      <c r="C2472" s="8" t="s">
        <v>16042</v>
      </c>
      <c r="D2472" s="8" t="s">
        <v>16</v>
      </c>
      <c r="E2472" s="19" t="s">
        <v>16043</v>
      </c>
      <c r="F2472" s="8" t="s">
        <v>13359</v>
      </c>
      <c r="G2472" s="8">
        <v>23.61</v>
      </c>
      <c r="H2472" s="8"/>
      <c r="I2472" s="8"/>
      <c r="J2472" s="8" t="s">
        <v>16044</v>
      </c>
      <c r="K2472" s="8" t="s">
        <v>16045</v>
      </c>
      <c r="L2472" s="8"/>
      <c r="M2472" s="8"/>
      <c r="N2472" s="12"/>
      <c r="O2472" s="12"/>
      <c r="P2472" s="13">
        <f>IFERROR(__xludf.DUMMYFUNCTION("VALUE(SUBSTITUTE((INDEX(SPLIT(A2472,"",""),1)),""."","","",1))"),54.212403)</f>
        <v>54.212403</v>
      </c>
      <c r="Q2472" s="13">
        <f>IFERROR(__xludf.DUMMYFUNCTION("VALUE(SUBSTITUTE((INDEX(SPLIT(A2472,"",""),2)),""."","","",1))"),41.038123)</f>
        <v>41.038123</v>
      </c>
      <c r="R2472" s="14" t="b">
        <f t="shared" si="1"/>
        <v>0</v>
      </c>
      <c r="S2472" s="14" t="str">
        <f t="shared" si="2"/>
        <v>54.212403,41.038123</v>
      </c>
      <c r="T2472" s="12"/>
    </row>
    <row r="2473">
      <c r="A2473" s="15" t="s">
        <v>16046</v>
      </c>
      <c r="B2473" s="16" t="s">
        <v>16047</v>
      </c>
      <c r="C2473" s="16" t="s">
        <v>16048</v>
      </c>
      <c r="D2473" s="16" t="s">
        <v>16</v>
      </c>
      <c r="E2473" s="17" t="s">
        <v>16049</v>
      </c>
      <c r="F2473" s="16" t="s">
        <v>10789</v>
      </c>
      <c r="G2473" s="16">
        <v>23.61</v>
      </c>
      <c r="H2473" s="16"/>
      <c r="I2473" s="16"/>
      <c r="J2473" s="16" t="s">
        <v>16050</v>
      </c>
      <c r="K2473" s="16" t="s">
        <v>16051</v>
      </c>
      <c r="L2473" s="16"/>
      <c r="M2473" s="16"/>
      <c r="N2473" s="12"/>
      <c r="O2473" s="12"/>
      <c r="P2473" s="13">
        <f>IFERROR(__xludf.DUMMYFUNCTION("VALUE(SUBSTITUTE((INDEX(SPLIT(A2473,"",""),1)),""."","","",1))"),56.999201)</f>
        <v>56.999201</v>
      </c>
      <c r="Q2473" s="13">
        <f>IFERROR(__xludf.DUMMYFUNCTION("VALUE(SUBSTITUTE((INDEX(SPLIT(A2473,"",""),2)),""."","","",1))"),41.038941)</f>
        <v>41.038941</v>
      </c>
      <c r="R2473" s="14" t="b">
        <f t="shared" si="1"/>
        <v>0</v>
      </c>
      <c r="S2473" s="14" t="str">
        <f t="shared" si="2"/>
        <v>56.999201,41.038941</v>
      </c>
      <c r="T2473" s="12"/>
    </row>
    <row r="2474">
      <c r="A2474" s="18" t="s">
        <v>16052</v>
      </c>
      <c r="B2474" s="8" t="s">
        <v>16053</v>
      </c>
      <c r="C2474" s="8" t="s">
        <v>16054</v>
      </c>
      <c r="D2474" s="8" t="s">
        <v>16</v>
      </c>
      <c r="E2474" s="19" t="s">
        <v>16055</v>
      </c>
      <c r="F2474" s="8" t="s">
        <v>8566</v>
      </c>
      <c r="G2474" s="8">
        <v>23.61</v>
      </c>
      <c r="H2474" s="8"/>
      <c r="I2474" s="8"/>
      <c r="J2474" s="8" t="s">
        <v>16056</v>
      </c>
      <c r="K2474" s="8" t="s">
        <v>16057</v>
      </c>
      <c r="L2474" s="8"/>
      <c r="M2474" s="24" t="s">
        <v>16058</v>
      </c>
      <c r="N2474" s="12"/>
      <c r="O2474" s="12"/>
      <c r="P2474" s="13">
        <f>IFERROR(__xludf.DUMMYFUNCTION("VALUE(SUBSTITUTE((INDEX(SPLIT(A2474,"",""),1)),""."","","",1))"),45.00608)</f>
        <v>45.00608</v>
      </c>
      <c r="Q2474" s="13">
        <f>IFERROR(__xludf.DUMMYFUNCTION("VALUE(SUBSTITUTE((INDEX(SPLIT(A2474,"",""),2)),""."","","",1))"),41.085977)</f>
        <v>41.085977</v>
      </c>
      <c r="R2474" s="14" t="b">
        <f t="shared" si="1"/>
        <v>0</v>
      </c>
      <c r="S2474" s="14" t="str">
        <f t="shared" si="2"/>
        <v>45.00608,41.085977</v>
      </c>
      <c r="T2474" s="12"/>
    </row>
    <row r="2475">
      <c r="A2475" s="15" t="s">
        <v>16059</v>
      </c>
      <c r="B2475" s="16" t="s">
        <v>16060</v>
      </c>
      <c r="C2475" s="16" t="s">
        <v>16061</v>
      </c>
      <c r="D2475" s="16" t="s">
        <v>16</v>
      </c>
      <c r="E2475" s="17" t="s">
        <v>16062</v>
      </c>
      <c r="F2475" s="16" t="s">
        <v>8566</v>
      </c>
      <c r="G2475" s="16">
        <v>23.61</v>
      </c>
      <c r="H2475" s="16"/>
      <c r="I2475" s="16"/>
      <c r="J2475" s="16" t="s">
        <v>16063</v>
      </c>
      <c r="K2475" s="16" t="s">
        <v>16064</v>
      </c>
      <c r="L2475" s="16"/>
      <c r="M2475" s="16"/>
      <c r="N2475" s="12"/>
      <c r="O2475" s="12"/>
      <c r="P2475" s="13">
        <f>IFERROR(__xludf.DUMMYFUNCTION("VALUE(SUBSTITUTE((INDEX(SPLIT(A2475,"",""),1)),""."","","",1))"),45.076322)</f>
        <v>45.076322</v>
      </c>
      <c r="Q2475" s="13">
        <f>IFERROR(__xludf.DUMMYFUNCTION("VALUE(SUBSTITUTE((INDEX(SPLIT(A2475,"",""),2)),""."","","",1))"),41.091438)</f>
        <v>41.091438</v>
      </c>
      <c r="R2475" s="14" t="b">
        <f t="shared" si="1"/>
        <v>0</v>
      </c>
      <c r="S2475" s="14" t="str">
        <f t="shared" si="2"/>
        <v>45.076322,41.091438</v>
      </c>
      <c r="T2475" s="12"/>
    </row>
    <row r="2476">
      <c r="A2476" s="18" t="s">
        <v>16065</v>
      </c>
      <c r="B2476" s="8" t="s">
        <v>16066</v>
      </c>
      <c r="C2476" s="8" t="s">
        <v>16067</v>
      </c>
      <c r="D2476" s="8" t="s">
        <v>16</v>
      </c>
      <c r="E2476" s="19" t="s">
        <v>16068</v>
      </c>
      <c r="F2476" s="8" t="s">
        <v>8566</v>
      </c>
      <c r="G2476" s="8">
        <v>23.61</v>
      </c>
      <c r="H2476" s="8"/>
      <c r="I2476" s="8"/>
      <c r="J2476" s="8" t="s">
        <v>16069</v>
      </c>
      <c r="K2476" s="8" t="s">
        <v>16070</v>
      </c>
      <c r="L2476" s="8"/>
      <c r="M2476" s="8"/>
      <c r="N2476" s="12"/>
      <c r="O2476" s="12"/>
      <c r="P2476" s="13">
        <f>IFERROR(__xludf.DUMMYFUNCTION("VALUE(SUBSTITUTE((INDEX(SPLIT(A2476,"",""),1)),""."","","",1))"),44.989987)</f>
        <v>44.989987</v>
      </c>
      <c r="Q2476" s="13">
        <f>IFERROR(__xludf.DUMMYFUNCTION("VALUE(SUBSTITUTE((INDEX(SPLIT(A2476,"",""),2)),""."","","",1))"),41.097754)</f>
        <v>41.097754</v>
      </c>
      <c r="R2476" s="14" t="b">
        <f t="shared" si="1"/>
        <v>0</v>
      </c>
      <c r="S2476" s="14" t="str">
        <f t="shared" si="2"/>
        <v>44.989987,41.097754</v>
      </c>
      <c r="T2476" s="12"/>
    </row>
    <row r="2477">
      <c r="A2477" s="15" t="s">
        <v>16071</v>
      </c>
      <c r="B2477" s="16" t="s">
        <v>12307</v>
      </c>
      <c r="C2477" s="16" t="s">
        <v>12308</v>
      </c>
      <c r="D2477" s="16" t="s">
        <v>16</v>
      </c>
      <c r="E2477" s="17" t="s">
        <v>16072</v>
      </c>
      <c r="F2477" s="16" t="s">
        <v>8566</v>
      </c>
      <c r="G2477" s="16">
        <v>23.61</v>
      </c>
      <c r="H2477" s="16"/>
      <c r="I2477" s="16"/>
      <c r="J2477" s="16" t="s">
        <v>16073</v>
      </c>
      <c r="K2477" s="16" t="s">
        <v>16074</v>
      </c>
      <c r="L2477" s="16"/>
      <c r="M2477" s="25" t="s">
        <v>16075</v>
      </c>
      <c r="N2477" s="12"/>
      <c r="O2477" s="12"/>
      <c r="P2477" s="13">
        <f>IFERROR(__xludf.DUMMYFUNCTION("VALUE(SUBSTITUTE((INDEX(SPLIT(A2477,"",""),1)),""."","","",1))"),45.016136)</f>
        <v>45.016136</v>
      </c>
      <c r="Q2477" s="13">
        <f>IFERROR(__xludf.DUMMYFUNCTION("VALUE(SUBSTITUTE((INDEX(SPLIT(A2477,"",""),2)),""."","","",1))"),41.098149)</f>
        <v>41.098149</v>
      </c>
      <c r="R2477" s="14" t="b">
        <f t="shared" si="1"/>
        <v>0</v>
      </c>
      <c r="S2477" s="14" t="str">
        <f t="shared" si="2"/>
        <v>45.016136,41.098149</v>
      </c>
      <c r="T2477" s="12"/>
    </row>
    <row r="2478">
      <c r="A2478" s="18" t="s">
        <v>16076</v>
      </c>
      <c r="B2478" s="8" t="s">
        <v>16077</v>
      </c>
      <c r="C2478" s="8" t="s">
        <v>16078</v>
      </c>
      <c r="D2478" s="8" t="s">
        <v>16</v>
      </c>
      <c r="E2478" s="19" t="s">
        <v>16079</v>
      </c>
      <c r="F2478" s="8" t="s">
        <v>10789</v>
      </c>
      <c r="G2478" s="8">
        <v>23.61</v>
      </c>
      <c r="H2478" s="8"/>
      <c r="I2478" s="8"/>
      <c r="J2478" s="8" t="s">
        <v>16080</v>
      </c>
      <c r="K2478" s="8" t="s">
        <v>16081</v>
      </c>
      <c r="L2478" s="8"/>
      <c r="M2478" s="24" t="s">
        <v>16082</v>
      </c>
      <c r="N2478" s="12"/>
      <c r="O2478" s="12"/>
      <c r="P2478" s="13">
        <f>IFERROR(__xludf.DUMMYFUNCTION("VALUE(SUBSTITUTE((INDEX(SPLIT(A2478,"",""),1)),""."","","",1))"),56.965456)</f>
        <v>56.965456</v>
      </c>
      <c r="Q2478" s="13">
        <f>IFERROR(__xludf.DUMMYFUNCTION("VALUE(SUBSTITUTE((INDEX(SPLIT(A2478,"",""),2)),""."","","",1))"),41.10264)</f>
        <v>41.10264</v>
      </c>
      <c r="R2478" s="14" t="b">
        <f t="shared" si="1"/>
        <v>0</v>
      </c>
      <c r="S2478" s="14" t="str">
        <f t="shared" si="2"/>
        <v>56.965456,41.10264</v>
      </c>
      <c r="T2478" s="12"/>
    </row>
    <row r="2479">
      <c r="A2479" s="20" t="s">
        <v>16083</v>
      </c>
      <c r="B2479" s="16" t="s">
        <v>1620</v>
      </c>
      <c r="C2479" s="16" t="s">
        <v>1621</v>
      </c>
      <c r="D2479" s="16" t="s">
        <v>16</v>
      </c>
      <c r="E2479" s="21" t="s">
        <v>16084</v>
      </c>
      <c r="F2479" s="22" t="s">
        <v>8566</v>
      </c>
      <c r="G2479" s="16">
        <v>23.61</v>
      </c>
      <c r="H2479" s="16"/>
      <c r="I2479" s="22"/>
      <c r="J2479" s="22" t="s">
        <v>16085</v>
      </c>
      <c r="K2479" s="22" t="s">
        <v>16086</v>
      </c>
      <c r="L2479" s="23" t="s">
        <v>16087</v>
      </c>
      <c r="M2479" s="22"/>
      <c r="N2479" s="12"/>
      <c r="O2479" s="12"/>
      <c r="P2479" s="13">
        <f>IFERROR(__xludf.DUMMYFUNCTION("VALUE(SUBSTITUTE((INDEX(SPLIT(A2479,"",""),1)),""."","","",1))"),44.979602)</f>
        <v>44.979602</v>
      </c>
      <c r="Q2479" s="13">
        <f>IFERROR(__xludf.DUMMYFUNCTION("VALUE(SUBSTITUTE((INDEX(SPLIT(A2479,"",""),2)),""."","","",1))"),41.102829)</f>
        <v>41.102829</v>
      </c>
      <c r="R2479" s="14" t="b">
        <f t="shared" si="1"/>
        <v>0</v>
      </c>
      <c r="S2479" s="14" t="str">
        <f t="shared" si="2"/>
        <v>44.979602,41.102829</v>
      </c>
      <c r="T2479" s="12"/>
    </row>
    <row r="2480">
      <c r="A2480" s="18" t="s">
        <v>16088</v>
      </c>
      <c r="B2480" s="8" t="s">
        <v>16089</v>
      </c>
      <c r="C2480" s="8" t="s">
        <v>16090</v>
      </c>
      <c r="D2480" s="8" t="s">
        <v>16</v>
      </c>
      <c r="E2480" s="19" t="s">
        <v>16091</v>
      </c>
      <c r="F2480" s="8" t="s">
        <v>10789</v>
      </c>
      <c r="G2480" s="8">
        <v>23.61</v>
      </c>
      <c r="H2480" s="8"/>
      <c r="I2480" s="8"/>
      <c r="J2480" s="8" t="s">
        <v>16092</v>
      </c>
      <c r="K2480" s="8" t="s">
        <v>16093</v>
      </c>
      <c r="L2480" s="8"/>
      <c r="M2480" s="24" t="s">
        <v>16094</v>
      </c>
      <c r="N2480" s="12"/>
      <c r="O2480" s="12"/>
      <c r="P2480" s="13">
        <f>IFERROR(__xludf.DUMMYFUNCTION("VALUE(SUBSTITUTE((INDEX(SPLIT(A2480,"",""),1)),""."","","",1))"),57.273458)</f>
        <v>57.273458</v>
      </c>
      <c r="Q2480" s="13">
        <f>IFERROR(__xludf.DUMMYFUNCTION("VALUE(SUBSTITUTE((INDEX(SPLIT(A2480,"",""),2)),""."","","",1))"),41.143325)</f>
        <v>41.143325</v>
      </c>
      <c r="R2480" s="14" t="b">
        <f t="shared" si="1"/>
        <v>0</v>
      </c>
      <c r="S2480" s="14" t="str">
        <f t="shared" si="2"/>
        <v>57.273458,41.143325</v>
      </c>
      <c r="T2480" s="12"/>
    </row>
    <row r="2481">
      <c r="A2481" s="15" t="s">
        <v>16095</v>
      </c>
      <c r="B2481" s="16" t="s">
        <v>16096</v>
      </c>
      <c r="C2481" s="16" t="s">
        <v>16097</v>
      </c>
      <c r="D2481" s="16" t="s">
        <v>16</v>
      </c>
      <c r="E2481" s="17" t="s">
        <v>16098</v>
      </c>
      <c r="F2481" s="16" t="s">
        <v>15475</v>
      </c>
      <c r="G2481" s="16">
        <v>23.61</v>
      </c>
      <c r="H2481" s="16"/>
      <c r="I2481" s="16"/>
      <c r="J2481" s="16" t="s">
        <v>16099</v>
      </c>
      <c r="K2481" s="16" t="s">
        <v>16100</v>
      </c>
      <c r="L2481" s="16"/>
      <c r="M2481" s="25" t="s">
        <v>16101</v>
      </c>
      <c r="N2481" s="12"/>
      <c r="O2481" s="12"/>
      <c r="P2481" s="13">
        <f>IFERROR(__xludf.DUMMYFUNCTION("VALUE(SUBSTITUTE((INDEX(SPLIT(A2481,"",""),1)),""."","","",1))"),52.773927)</f>
        <v>52.773927</v>
      </c>
      <c r="Q2481" s="13">
        <f>IFERROR(__xludf.DUMMYFUNCTION("VALUE(SUBSTITUTE((INDEX(SPLIT(A2481,"",""),2)),""."","","",1))"),41.285924)</f>
        <v>41.285924</v>
      </c>
      <c r="R2481" s="14" t="b">
        <f t="shared" si="1"/>
        <v>0</v>
      </c>
      <c r="S2481" s="14" t="str">
        <f t="shared" si="2"/>
        <v>52.773927,41.285924</v>
      </c>
      <c r="T2481" s="12"/>
    </row>
    <row r="2482">
      <c r="A2482" s="7" t="s">
        <v>16102</v>
      </c>
      <c r="B2482" s="8" t="s">
        <v>16103</v>
      </c>
      <c r="C2482" s="8" t="s">
        <v>16104</v>
      </c>
      <c r="D2482" s="8" t="s">
        <v>16</v>
      </c>
      <c r="E2482" s="9" t="s">
        <v>16105</v>
      </c>
      <c r="F2482" s="10" t="s">
        <v>12717</v>
      </c>
      <c r="G2482" s="8">
        <v>23.61</v>
      </c>
      <c r="H2482" s="8"/>
      <c r="I2482" s="10"/>
      <c r="J2482" s="10" t="s">
        <v>16106</v>
      </c>
      <c r="K2482" s="10" t="s">
        <v>16107</v>
      </c>
      <c r="L2482" s="11" t="s">
        <v>16108</v>
      </c>
      <c r="M2482" s="10"/>
      <c r="N2482" s="12"/>
      <c r="O2482" s="12"/>
      <c r="P2482" s="13">
        <f>IFERROR(__xludf.DUMMYFUNCTION("VALUE(SUBSTITUTE((INDEX(SPLIT(A2482,"",""),1)),""."","","",1))"),56.351141)</f>
        <v>56.351141</v>
      </c>
      <c r="Q2482" s="13">
        <f>IFERROR(__xludf.DUMMYFUNCTION("VALUE(SUBSTITUTE((INDEX(SPLIT(A2482,"",""),2)),""."","","",1))"),41.290595)</f>
        <v>41.290595</v>
      </c>
      <c r="R2482" s="14" t="b">
        <f t="shared" si="1"/>
        <v>0</v>
      </c>
      <c r="S2482" s="14" t="str">
        <f t="shared" si="2"/>
        <v>56.351141,41.290595</v>
      </c>
      <c r="T2482" s="12"/>
    </row>
    <row r="2483">
      <c r="A2483" s="20" t="s">
        <v>16109</v>
      </c>
      <c r="B2483" s="16" t="s">
        <v>16110</v>
      </c>
      <c r="C2483" s="16" t="s">
        <v>16111</v>
      </c>
      <c r="D2483" s="16" t="s">
        <v>16</v>
      </c>
      <c r="E2483" s="21" t="s">
        <v>16112</v>
      </c>
      <c r="F2483" s="22" t="s">
        <v>12717</v>
      </c>
      <c r="G2483" s="16">
        <v>23.61</v>
      </c>
      <c r="H2483" s="16"/>
      <c r="I2483" s="22"/>
      <c r="J2483" s="22" t="s">
        <v>16113</v>
      </c>
      <c r="K2483" s="22" t="s">
        <v>16114</v>
      </c>
      <c r="L2483" s="23" t="s">
        <v>16115</v>
      </c>
      <c r="M2483" s="22"/>
      <c r="N2483" s="12"/>
      <c r="O2483" s="12"/>
      <c r="P2483" s="13">
        <f>IFERROR(__xludf.DUMMYFUNCTION("VALUE(SUBSTITUTE((INDEX(SPLIT(A2483,"",""),1)),""."","","",1))"),56.360317)</f>
        <v>56.360317</v>
      </c>
      <c r="Q2483" s="13">
        <f>IFERROR(__xludf.DUMMYFUNCTION("VALUE(SUBSTITUTE((INDEX(SPLIT(A2483,"",""),2)),""."","","",1))"),41.300234)</f>
        <v>41.300234</v>
      </c>
      <c r="R2483" s="14" t="b">
        <f t="shared" si="1"/>
        <v>0</v>
      </c>
      <c r="S2483" s="14" t="str">
        <f t="shared" si="2"/>
        <v>56.360317,41.300234</v>
      </c>
      <c r="T2483" s="12"/>
    </row>
    <row r="2484">
      <c r="A2484" s="18" t="s">
        <v>16116</v>
      </c>
      <c r="B2484" s="8" t="s">
        <v>16117</v>
      </c>
      <c r="C2484" s="8" t="s">
        <v>16118</v>
      </c>
      <c r="D2484" s="8" t="s">
        <v>16</v>
      </c>
      <c r="E2484" s="19" t="s">
        <v>16119</v>
      </c>
      <c r="F2484" s="8" t="s">
        <v>12717</v>
      </c>
      <c r="G2484" s="8">
        <v>23.61</v>
      </c>
      <c r="H2484" s="8"/>
      <c r="I2484" s="8"/>
      <c r="J2484" s="8" t="s">
        <v>16120</v>
      </c>
      <c r="K2484" s="8" t="s">
        <v>16121</v>
      </c>
      <c r="L2484" s="8"/>
      <c r="M2484" s="8"/>
      <c r="N2484" s="12"/>
      <c r="O2484" s="12"/>
      <c r="P2484" s="13">
        <f>IFERROR(__xludf.DUMMYFUNCTION("VALUE(SUBSTITUTE((INDEX(SPLIT(A2484,"",""),1)),""."","","",1))"),56.346926)</f>
        <v>56.346926</v>
      </c>
      <c r="Q2484" s="13">
        <f>IFERROR(__xludf.DUMMYFUNCTION("VALUE(SUBSTITUTE((INDEX(SPLIT(A2484,"",""),2)),""."","","",1))"),41.300961)</f>
        <v>41.300961</v>
      </c>
      <c r="R2484" s="14" t="b">
        <f t="shared" si="1"/>
        <v>0</v>
      </c>
      <c r="S2484" s="14" t="str">
        <f t="shared" si="2"/>
        <v>56.346926,41.300961</v>
      </c>
      <c r="T2484" s="12"/>
    </row>
    <row r="2485">
      <c r="A2485" s="20" t="s">
        <v>16122</v>
      </c>
      <c r="B2485" s="16" t="s">
        <v>16123</v>
      </c>
      <c r="C2485" s="16" t="s">
        <v>16124</v>
      </c>
      <c r="D2485" s="16" t="s">
        <v>16</v>
      </c>
      <c r="E2485" s="21" t="s">
        <v>16125</v>
      </c>
      <c r="F2485" s="22" t="s">
        <v>12717</v>
      </c>
      <c r="G2485" s="16">
        <v>23.61</v>
      </c>
      <c r="H2485" s="16"/>
      <c r="I2485" s="22"/>
      <c r="J2485" s="22" t="s">
        <v>16126</v>
      </c>
      <c r="K2485" s="22" t="s">
        <v>16127</v>
      </c>
      <c r="L2485" s="23" t="s">
        <v>16128</v>
      </c>
      <c r="M2485" s="22"/>
      <c r="N2485" s="12"/>
      <c r="O2485" s="12"/>
      <c r="P2485" s="13">
        <f>IFERROR(__xludf.DUMMYFUNCTION("VALUE(SUBSTITUTE((INDEX(SPLIT(A2485,"",""),1)),""."","","",1))"),56.353904)</f>
        <v>56.353904</v>
      </c>
      <c r="Q2485" s="13">
        <f>IFERROR(__xludf.DUMMYFUNCTION("VALUE(SUBSTITUTE((INDEX(SPLIT(A2485,"",""),2)),""."","","",1))"),41.31043)</f>
        <v>41.31043</v>
      </c>
      <c r="R2485" s="14" t="b">
        <f t="shared" si="1"/>
        <v>0</v>
      </c>
      <c r="S2485" s="14" t="str">
        <f t="shared" si="2"/>
        <v>56.353904,41.31043</v>
      </c>
      <c r="T2485" s="12"/>
    </row>
    <row r="2486">
      <c r="A2486" s="18" t="s">
        <v>16122</v>
      </c>
      <c r="B2486" s="8" t="s">
        <v>11646</v>
      </c>
      <c r="C2486" s="8" t="s">
        <v>11647</v>
      </c>
      <c r="D2486" s="8" t="s">
        <v>16</v>
      </c>
      <c r="E2486" s="19" t="s">
        <v>16129</v>
      </c>
      <c r="F2486" s="8" t="s">
        <v>12717</v>
      </c>
      <c r="G2486" s="8">
        <v>23.61</v>
      </c>
      <c r="H2486" s="8"/>
      <c r="I2486" s="8"/>
      <c r="J2486" s="8" t="s">
        <v>16130</v>
      </c>
      <c r="K2486" s="8" t="s">
        <v>16127</v>
      </c>
      <c r="L2486" s="8"/>
      <c r="M2486" s="8"/>
      <c r="N2486" s="12"/>
      <c r="O2486" s="12"/>
      <c r="P2486" s="13">
        <f>IFERROR(__xludf.DUMMYFUNCTION("VALUE(SUBSTITUTE((INDEX(SPLIT(A2486,"",""),1)),""."","","",1))"),56.353904)</f>
        <v>56.353904</v>
      </c>
      <c r="Q2486" s="13">
        <f>IFERROR(__xludf.DUMMYFUNCTION("VALUE(SUBSTITUTE((INDEX(SPLIT(A2486,"",""),2)),""."","","",1))"),41.31043)</f>
        <v>41.31043</v>
      </c>
      <c r="R2486" s="14" t="b">
        <f t="shared" si="1"/>
        <v>0</v>
      </c>
      <c r="S2486" s="14" t="str">
        <f t="shared" si="2"/>
        <v>56.353904,41.31043</v>
      </c>
      <c r="T2486" s="12"/>
    </row>
    <row r="2487">
      <c r="A2487" s="15" t="s">
        <v>16131</v>
      </c>
      <c r="B2487" s="16" t="s">
        <v>7730</v>
      </c>
      <c r="C2487" s="16" t="s">
        <v>7731</v>
      </c>
      <c r="D2487" s="16" t="s">
        <v>16</v>
      </c>
      <c r="E2487" s="17" t="s">
        <v>16132</v>
      </c>
      <c r="F2487" s="16" t="s">
        <v>12717</v>
      </c>
      <c r="G2487" s="16">
        <v>23.61</v>
      </c>
      <c r="H2487" s="16"/>
      <c r="I2487" s="16"/>
      <c r="J2487" s="16" t="s">
        <v>16133</v>
      </c>
      <c r="K2487" s="16" t="s">
        <v>16134</v>
      </c>
      <c r="L2487" s="16"/>
      <c r="M2487" s="16"/>
      <c r="N2487" s="12"/>
      <c r="O2487" s="12"/>
      <c r="P2487" s="13">
        <f>IFERROR(__xludf.DUMMYFUNCTION("VALUE(SUBSTITUTE((INDEX(SPLIT(A2487,"",""),1)),""."","","",1))"),56.352592)</f>
        <v>56.352592</v>
      </c>
      <c r="Q2487" s="13">
        <f>IFERROR(__xludf.DUMMYFUNCTION("VALUE(SUBSTITUTE((INDEX(SPLIT(A2487,"",""),2)),""."","","",1))"),41.315056)</f>
        <v>41.315056</v>
      </c>
      <c r="R2487" s="14" t="b">
        <f t="shared" si="1"/>
        <v>0</v>
      </c>
      <c r="S2487" s="14" t="str">
        <f t="shared" si="2"/>
        <v>56.352592,41.315056</v>
      </c>
      <c r="T2487" s="12"/>
    </row>
    <row r="2488">
      <c r="A2488" s="18" t="s">
        <v>16135</v>
      </c>
      <c r="B2488" s="8" t="s">
        <v>5061</v>
      </c>
      <c r="C2488" s="8" t="s">
        <v>5062</v>
      </c>
      <c r="D2488" s="8" t="s">
        <v>16</v>
      </c>
      <c r="E2488" s="19" t="s">
        <v>16136</v>
      </c>
      <c r="F2488" s="8" t="s">
        <v>12717</v>
      </c>
      <c r="G2488" s="8">
        <v>23.61</v>
      </c>
      <c r="H2488" s="8"/>
      <c r="I2488" s="8"/>
      <c r="J2488" s="8" t="s">
        <v>16137</v>
      </c>
      <c r="K2488" s="8" t="s">
        <v>16138</v>
      </c>
      <c r="L2488" s="8"/>
      <c r="M2488" s="24" t="s">
        <v>16139</v>
      </c>
      <c r="N2488" s="12"/>
      <c r="O2488" s="12"/>
      <c r="P2488" s="13">
        <f>IFERROR(__xludf.DUMMYFUNCTION("VALUE(SUBSTITUTE((INDEX(SPLIT(A2488,"",""),1)),""."","","",1))"),56.365932)</f>
        <v>56.365932</v>
      </c>
      <c r="Q2488" s="13">
        <f>IFERROR(__xludf.DUMMYFUNCTION("VALUE(SUBSTITUTE((INDEX(SPLIT(A2488,"",""),2)),""."","","",1))"),41.322126)</f>
        <v>41.322126</v>
      </c>
      <c r="R2488" s="14" t="b">
        <f t="shared" si="1"/>
        <v>0</v>
      </c>
      <c r="S2488" s="14" t="str">
        <f t="shared" si="2"/>
        <v>56.365932,41.322126</v>
      </c>
      <c r="T2488" s="12"/>
    </row>
    <row r="2489">
      <c r="A2489" s="15" t="s">
        <v>16140</v>
      </c>
      <c r="B2489" s="16" t="s">
        <v>16141</v>
      </c>
      <c r="C2489" s="16" t="s">
        <v>16142</v>
      </c>
      <c r="D2489" s="16" t="s">
        <v>16</v>
      </c>
      <c r="E2489" s="17" t="s">
        <v>16143</v>
      </c>
      <c r="F2489" s="16" t="s">
        <v>12717</v>
      </c>
      <c r="G2489" s="16">
        <v>23.61</v>
      </c>
      <c r="H2489" s="16"/>
      <c r="I2489" s="16"/>
      <c r="J2489" s="16" t="s">
        <v>16144</v>
      </c>
      <c r="K2489" s="16" t="s">
        <v>16145</v>
      </c>
      <c r="L2489" s="16"/>
      <c r="M2489" s="25" t="s">
        <v>16146</v>
      </c>
      <c r="N2489" s="12"/>
      <c r="O2489" s="12"/>
      <c r="P2489" s="13">
        <f>IFERROR(__xludf.DUMMYFUNCTION("VALUE(SUBSTITUTE((INDEX(SPLIT(A2489,"",""),1)),""."","","",1))"),56.356238)</f>
        <v>56.356238</v>
      </c>
      <c r="Q2489" s="13">
        <f>IFERROR(__xludf.DUMMYFUNCTION("VALUE(SUBSTITUTE((INDEX(SPLIT(A2489,"",""),2)),""."","","",1))"),41.331612)</f>
        <v>41.331612</v>
      </c>
      <c r="R2489" s="14" t="b">
        <f t="shared" si="1"/>
        <v>0</v>
      </c>
      <c r="S2489" s="14" t="str">
        <f t="shared" si="2"/>
        <v>56.356238,41.331612</v>
      </c>
      <c r="T2489" s="12"/>
    </row>
    <row r="2490">
      <c r="A2490" s="18" t="s">
        <v>16147</v>
      </c>
      <c r="B2490" s="8" t="s">
        <v>16148</v>
      </c>
      <c r="C2490" s="8" t="s">
        <v>16149</v>
      </c>
      <c r="D2490" s="8" t="s">
        <v>16</v>
      </c>
      <c r="E2490" s="19" t="s">
        <v>16150</v>
      </c>
      <c r="F2490" s="8" t="s">
        <v>13359</v>
      </c>
      <c r="G2490" s="8">
        <v>23.61</v>
      </c>
      <c r="H2490" s="8"/>
      <c r="I2490" s="8"/>
      <c r="J2490" s="8" t="s">
        <v>16151</v>
      </c>
      <c r="K2490" s="8" t="s">
        <v>16152</v>
      </c>
      <c r="L2490" s="8"/>
      <c r="M2490" s="8"/>
      <c r="N2490" s="12"/>
      <c r="O2490" s="12"/>
      <c r="P2490" s="13">
        <f>IFERROR(__xludf.DUMMYFUNCTION("VALUE(SUBSTITUTE((INDEX(SPLIT(A2490,"",""),1)),""."","","",1))"),54.906595)</f>
        <v>54.906595</v>
      </c>
      <c r="Q2490" s="13">
        <f>IFERROR(__xludf.DUMMYFUNCTION("VALUE(SUBSTITUTE((INDEX(SPLIT(A2490,"",""),2)),""."","","",1))"),41.343362)</f>
        <v>41.343362</v>
      </c>
      <c r="R2490" s="14" t="b">
        <f t="shared" si="1"/>
        <v>0</v>
      </c>
      <c r="S2490" s="14" t="str">
        <f t="shared" si="2"/>
        <v>54.906595,41.343362</v>
      </c>
      <c r="T2490" s="12"/>
    </row>
    <row r="2491">
      <c r="A2491" s="15" t="s">
        <v>16153</v>
      </c>
      <c r="B2491" s="16" t="s">
        <v>16154</v>
      </c>
      <c r="C2491" s="16" t="s">
        <v>16155</v>
      </c>
      <c r="D2491" s="16" t="s">
        <v>16</v>
      </c>
      <c r="E2491" s="17" t="s">
        <v>16156</v>
      </c>
      <c r="F2491" s="16" t="s">
        <v>15475</v>
      </c>
      <c r="G2491" s="16">
        <v>23.61</v>
      </c>
      <c r="H2491" s="16"/>
      <c r="I2491" s="16"/>
      <c r="J2491" s="16" t="s">
        <v>16157</v>
      </c>
      <c r="K2491" s="16" t="s">
        <v>16158</v>
      </c>
      <c r="L2491" s="16"/>
      <c r="M2491" s="16"/>
      <c r="N2491" s="12"/>
      <c r="O2491" s="12"/>
      <c r="P2491" s="13">
        <f>IFERROR(__xludf.DUMMYFUNCTION("VALUE(SUBSTITUTE((INDEX(SPLIT(A2491,"",""),1)),""."","","",1))"),52.801729)</f>
        <v>52.801729</v>
      </c>
      <c r="Q2491" s="13">
        <f>IFERROR(__xludf.DUMMYFUNCTION("VALUE(SUBSTITUTE((INDEX(SPLIT(A2491,"",""),2)),""."","","",1))"),41.353145)</f>
        <v>41.353145</v>
      </c>
      <c r="R2491" s="14" t="b">
        <f t="shared" si="1"/>
        <v>0</v>
      </c>
      <c r="S2491" s="14" t="str">
        <f t="shared" si="2"/>
        <v>52.801729,41.353145</v>
      </c>
      <c r="T2491" s="12"/>
    </row>
    <row r="2492">
      <c r="A2492" s="18" t="s">
        <v>16153</v>
      </c>
      <c r="B2492" s="8" t="s">
        <v>16159</v>
      </c>
      <c r="C2492" s="8" t="s">
        <v>16160</v>
      </c>
      <c r="D2492" s="8" t="s">
        <v>16</v>
      </c>
      <c r="E2492" s="19" t="s">
        <v>16161</v>
      </c>
      <c r="F2492" s="8" t="s">
        <v>15475</v>
      </c>
      <c r="G2492" s="8">
        <v>23.61</v>
      </c>
      <c r="H2492" s="8"/>
      <c r="I2492" s="8"/>
      <c r="J2492" s="8" t="s">
        <v>16157</v>
      </c>
      <c r="K2492" s="8" t="s">
        <v>16162</v>
      </c>
      <c r="L2492" s="8"/>
      <c r="M2492" s="24" t="s">
        <v>16163</v>
      </c>
      <c r="N2492" s="12"/>
      <c r="O2492" s="12"/>
      <c r="P2492" s="13">
        <f>IFERROR(__xludf.DUMMYFUNCTION("VALUE(SUBSTITUTE((INDEX(SPLIT(A2492,"",""),1)),""."","","",1))"),52.801729)</f>
        <v>52.801729</v>
      </c>
      <c r="Q2492" s="13">
        <f>IFERROR(__xludf.DUMMYFUNCTION("VALUE(SUBSTITUTE((INDEX(SPLIT(A2492,"",""),2)),""."","","",1))"),41.353145)</f>
        <v>41.353145</v>
      </c>
      <c r="R2492" s="14" t="b">
        <f t="shared" si="1"/>
        <v>0</v>
      </c>
      <c r="S2492" s="14" t="str">
        <f t="shared" si="2"/>
        <v>52.801729,41.353145</v>
      </c>
      <c r="T2492" s="12"/>
    </row>
    <row r="2493">
      <c r="A2493" s="20" t="s">
        <v>16164</v>
      </c>
      <c r="B2493" s="16" t="s">
        <v>16165</v>
      </c>
      <c r="C2493" s="16" t="s">
        <v>16166</v>
      </c>
      <c r="D2493" s="16" t="s">
        <v>16</v>
      </c>
      <c r="E2493" s="21" t="s">
        <v>16167</v>
      </c>
      <c r="F2493" s="22" t="s">
        <v>15475</v>
      </c>
      <c r="G2493" s="16">
        <v>23.61</v>
      </c>
      <c r="H2493" s="16"/>
      <c r="I2493" s="22"/>
      <c r="J2493" s="22" t="s">
        <v>16168</v>
      </c>
      <c r="K2493" s="22" t="s">
        <v>16169</v>
      </c>
      <c r="L2493" s="23" t="s">
        <v>16170</v>
      </c>
      <c r="M2493" s="22"/>
      <c r="N2493" s="12"/>
      <c r="O2493" s="12"/>
      <c r="P2493" s="13">
        <f>IFERROR(__xludf.DUMMYFUNCTION("VALUE(SUBSTITUTE((INDEX(SPLIT(A2493,"",""),1)),""."","","",1))"),52.744029)</f>
        <v>52.744029</v>
      </c>
      <c r="Q2493" s="13">
        <f>IFERROR(__xludf.DUMMYFUNCTION("VALUE(SUBSTITUTE((INDEX(SPLIT(A2493,"",""),2)),""."","","",1))"),41.370069)</f>
        <v>41.370069</v>
      </c>
      <c r="R2493" s="14" t="b">
        <f t="shared" si="1"/>
        <v>0</v>
      </c>
      <c r="S2493" s="14" t="str">
        <f t="shared" si="2"/>
        <v>52.744029,41.370069</v>
      </c>
      <c r="T2493" s="12"/>
    </row>
    <row r="2494">
      <c r="A2494" s="7" t="s">
        <v>16171</v>
      </c>
      <c r="B2494" s="8" t="s">
        <v>16172</v>
      </c>
      <c r="C2494" s="8" t="s">
        <v>16173</v>
      </c>
      <c r="D2494" s="8" t="s">
        <v>16</v>
      </c>
      <c r="E2494" s="9" t="s">
        <v>16174</v>
      </c>
      <c r="F2494" s="10" t="s">
        <v>15475</v>
      </c>
      <c r="G2494" s="8">
        <v>23.61</v>
      </c>
      <c r="H2494" s="8"/>
      <c r="I2494" s="10"/>
      <c r="J2494" s="10" t="s">
        <v>16175</v>
      </c>
      <c r="K2494" s="10" t="s">
        <v>16176</v>
      </c>
      <c r="L2494" s="11" t="s">
        <v>16177</v>
      </c>
      <c r="M2494" s="11" t="s">
        <v>16178</v>
      </c>
      <c r="N2494" s="12"/>
      <c r="O2494" s="12"/>
      <c r="P2494" s="13">
        <f>IFERROR(__xludf.DUMMYFUNCTION("VALUE(SUBSTITUTE((INDEX(SPLIT(A2494,"",""),1)),""."","","",1))"),52.74144)</f>
        <v>52.74144</v>
      </c>
      <c r="Q2494" s="13">
        <f>IFERROR(__xludf.DUMMYFUNCTION("VALUE(SUBSTITUTE((INDEX(SPLIT(A2494,"",""),2)),""."","","",1))"),41.370832)</f>
        <v>41.370832</v>
      </c>
      <c r="R2494" s="14" t="b">
        <f t="shared" si="1"/>
        <v>0</v>
      </c>
      <c r="S2494" s="14" t="str">
        <f t="shared" si="2"/>
        <v>52.74144,41.370832</v>
      </c>
      <c r="T2494" s="12"/>
    </row>
    <row r="2495">
      <c r="A2495" s="20" t="s">
        <v>16179</v>
      </c>
      <c r="B2495" s="16" t="s">
        <v>16180</v>
      </c>
      <c r="C2495" s="16" t="s">
        <v>16181</v>
      </c>
      <c r="D2495" s="16" t="s">
        <v>16</v>
      </c>
      <c r="E2495" s="21" t="s">
        <v>16182</v>
      </c>
      <c r="F2495" s="22" t="s">
        <v>15475</v>
      </c>
      <c r="G2495" s="16">
        <v>23.61</v>
      </c>
      <c r="H2495" s="16"/>
      <c r="I2495" s="22"/>
      <c r="J2495" s="22" t="s">
        <v>16183</v>
      </c>
      <c r="K2495" s="22" t="s">
        <v>16184</v>
      </c>
      <c r="L2495" s="23" t="s">
        <v>16185</v>
      </c>
      <c r="M2495" s="23" t="s">
        <v>16186</v>
      </c>
      <c r="N2495" s="12"/>
      <c r="O2495" s="12"/>
      <c r="P2495" s="13">
        <f>IFERROR(__xludf.DUMMYFUNCTION("VALUE(SUBSTITUTE((INDEX(SPLIT(A2495,"",""),1)),""."","","",1))"),52.724835)</f>
        <v>52.724835</v>
      </c>
      <c r="Q2495" s="13">
        <f>IFERROR(__xludf.DUMMYFUNCTION("VALUE(SUBSTITUTE((INDEX(SPLIT(A2495,"",""),2)),""."","","",1))"),41.371551)</f>
        <v>41.371551</v>
      </c>
      <c r="R2495" s="14" t="b">
        <f t="shared" si="1"/>
        <v>0</v>
      </c>
      <c r="S2495" s="14" t="str">
        <f t="shared" si="2"/>
        <v>52.724835,41.371551</v>
      </c>
      <c r="T2495" s="12"/>
    </row>
    <row r="2496">
      <c r="A2496" s="7" t="s">
        <v>16187</v>
      </c>
      <c r="B2496" s="8" t="s">
        <v>89</v>
      </c>
      <c r="C2496" s="8" t="s">
        <v>90</v>
      </c>
      <c r="D2496" s="8" t="s">
        <v>16</v>
      </c>
      <c r="E2496" s="9" t="s">
        <v>16188</v>
      </c>
      <c r="F2496" s="10" t="s">
        <v>13359</v>
      </c>
      <c r="G2496" s="8">
        <v>23.61</v>
      </c>
      <c r="H2496" s="8"/>
      <c r="I2496" s="10"/>
      <c r="J2496" s="10" t="s">
        <v>16189</v>
      </c>
      <c r="K2496" s="10" t="s">
        <v>16190</v>
      </c>
      <c r="L2496" s="11" t="s">
        <v>16191</v>
      </c>
      <c r="M2496" s="11" t="s">
        <v>16192</v>
      </c>
      <c r="N2496" s="12"/>
      <c r="O2496" s="12"/>
      <c r="P2496" s="13">
        <f>IFERROR(__xludf.DUMMYFUNCTION("VALUE(SUBSTITUTE((INDEX(SPLIT(A2496,"",""),1)),""."","","",1))"),54.95446)</f>
        <v>54.95446</v>
      </c>
      <c r="Q2496" s="13">
        <f>IFERROR(__xludf.DUMMYFUNCTION("VALUE(SUBSTITUTE((INDEX(SPLIT(A2496,"",""),2)),""."","","",1))"),41.379717)</f>
        <v>41.379717</v>
      </c>
      <c r="R2496" s="14" t="b">
        <f t="shared" si="1"/>
        <v>0</v>
      </c>
      <c r="S2496" s="14" t="str">
        <f t="shared" si="2"/>
        <v>54.95446,41.379717</v>
      </c>
      <c r="T2496" s="12"/>
    </row>
    <row r="2497">
      <c r="A2497" s="15" t="s">
        <v>16193</v>
      </c>
      <c r="B2497" s="16" t="s">
        <v>834</v>
      </c>
      <c r="C2497" s="16" t="s">
        <v>835</v>
      </c>
      <c r="D2497" s="16" t="s">
        <v>16</v>
      </c>
      <c r="E2497" s="17" t="s">
        <v>16194</v>
      </c>
      <c r="F2497" s="16" t="s">
        <v>15475</v>
      </c>
      <c r="G2497" s="16">
        <v>23.61</v>
      </c>
      <c r="H2497" s="16"/>
      <c r="I2497" s="16"/>
      <c r="J2497" s="16" t="s">
        <v>16195</v>
      </c>
      <c r="K2497" s="16" t="s">
        <v>16196</v>
      </c>
      <c r="L2497" s="16"/>
      <c r="M2497" s="16"/>
      <c r="N2497" s="12"/>
      <c r="O2497" s="12"/>
      <c r="P2497" s="13">
        <f>IFERROR(__xludf.DUMMYFUNCTION("VALUE(SUBSTITUTE((INDEX(SPLIT(A2497,"",""),1)),""."","","",1))"),52.738414)</f>
        <v>52.738414</v>
      </c>
      <c r="Q2497" s="13">
        <f>IFERROR(__xludf.DUMMYFUNCTION("VALUE(SUBSTITUTE((INDEX(SPLIT(A2497,"",""),2)),""."","","",1))"),41.382708)</f>
        <v>41.382708</v>
      </c>
      <c r="R2497" s="14" t="b">
        <f t="shared" si="1"/>
        <v>0</v>
      </c>
      <c r="S2497" s="14" t="str">
        <f t="shared" si="2"/>
        <v>52.738414,41.382708</v>
      </c>
      <c r="T2497" s="12"/>
    </row>
    <row r="2498">
      <c r="A2498" s="7" t="s">
        <v>16197</v>
      </c>
      <c r="B2498" s="8" t="s">
        <v>89</v>
      </c>
      <c r="C2498" s="8" t="s">
        <v>90</v>
      </c>
      <c r="D2498" s="8" t="s">
        <v>16</v>
      </c>
      <c r="E2498" s="9" t="s">
        <v>16198</v>
      </c>
      <c r="F2498" s="10" t="s">
        <v>13359</v>
      </c>
      <c r="G2498" s="8">
        <v>23.61</v>
      </c>
      <c r="H2498" s="8"/>
      <c r="I2498" s="10"/>
      <c r="J2498" s="10" t="s">
        <v>16199</v>
      </c>
      <c r="K2498" s="10" t="s">
        <v>16200</v>
      </c>
      <c r="L2498" s="11" t="s">
        <v>16201</v>
      </c>
      <c r="M2498" s="10"/>
      <c r="N2498" s="12"/>
      <c r="O2498" s="12"/>
      <c r="P2498" s="13">
        <f>IFERROR(__xludf.DUMMYFUNCTION("VALUE(SUBSTITUTE((INDEX(SPLIT(A2498,"",""),1)),""."","","",1))"),54.938736)</f>
        <v>54.938736</v>
      </c>
      <c r="Q2498" s="13">
        <f>IFERROR(__xludf.DUMMYFUNCTION("VALUE(SUBSTITUTE((INDEX(SPLIT(A2498,"",""),2)),""."","","",1))"),41.393515)</f>
        <v>41.393515</v>
      </c>
      <c r="R2498" s="14" t="b">
        <f t="shared" si="1"/>
        <v>0</v>
      </c>
      <c r="S2498" s="14" t="str">
        <f t="shared" si="2"/>
        <v>54.938736,41.393515</v>
      </c>
      <c r="T2498" s="12"/>
    </row>
    <row r="2499">
      <c r="A2499" s="15" t="s">
        <v>16202</v>
      </c>
      <c r="B2499" s="16" t="s">
        <v>16203</v>
      </c>
      <c r="C2499" s="16" t="s">
        <v>16204</v>
      </c>
      <c r="D2499" s="16" t="s">
        <v>16</v>
      </c>
      <c r="E2499" s="17" t="s">
        <v>16205</v>
      </c>
      <c r="F2499" s="16" t="s">
        <v>15475</v>
      </c>
      <c r="G2499" s="16">
        <v>23.61</v>
      </c>
      <c r="H2499" s="16"/>
      <c r="I2499" s="32" t="s">
        <v>16206</v>
      </c>
      <c r="J2499" s="16" t="s">
        <v>16207</v>
      </c>
      <c r="K2499" s="16" t="s">
        <v>16208</v>
      </c>
      <c r="L2499" s="16"/>
      <c r="M2499" s="16"/>
      <c r="N2499" s="12"/>
      <c r="O2499" s="12"/>
      <c r="P2499" s="13">
        <f>IFERROR(__xludf.DUMMYFUNCTION("VALUE(SUBSTITUTE((INDEX(SPLIT(A2499,"",""),1)),""."","","",1))"),52.697862)</f>
        <v>52.697862</v>
      </c>
      <c r="Q2499" s="13">
        <f>IFERROR(__xludf.DUMMYFUNCTION("VALUE(SUBSTITUTE((INDEX(SPLIT(A2499,"",""),2)),""."","","",1))"),41.399309)</f>
        <v>41.399309</v>
      </c>
      <c r="R2499" s="14" t="b">
        <f t="shared" si="1"/>
        <v>0</v>
      </c>
      <c r="S2499" s="14" t="str">
        <f t="shared" si="2"/>
        <v>52.697862,41.399309</v>
      </c>
      <c r="T2499" s="12"/>
    </row>
    <row r="2500">
      <c r="A2500" s="7" t="s">
        <v>16209</v>
      </c>
      <c r="B2500" s="8" t="s">
        <v>16210</v>
      </c>
      <c r="C2500" s="8" t="s">
        <v>16211</v>
      </c>
      <c r="D2500" s="8" t="s">
        <v>16</v>
      </c>
      <c r="E2500" s="9" t="s">
        <v>16212</v>
      </c>
      <c r="F2500" s="10" t="s">
        <v>10789</v>
      </c>
      <c r="G2500" s="8">
        <v>23.61</v>
      </c>
      <c r="H2500" s="8"/>
      <c r="I2500" s="10"/>
      <c r="J2500" s="10" t="s">
        <v>16213</v>
      </c>
      <c r="K2500" s="10" t="s">
        <v>16214</v>
      </c>
      <c r="L2500" s="11" t="s">
        <v>16215</v>
      </c>
      <c r="M2500" s="10"/>
      <c r="N2500" s="12"/>
      <c r="O2500" s="12"/>
      <c r="P2500" s="13">
        <f>IFERROR(__xludf.DUMMYFUNCTION("VALUE(SUBSTITUTE((INDEX(SPLIT(A2500,"",""),1)),""."","","",1))"),56.824809)</f>
        <v>56.824809</v>
      </c>
      <c r="Q2500" s="13">
        <f>IFERROR(__xludf.DUMMYFUNCTION("VALUE(SUBSTITUTE((INDEX(SPLIT(A2500,"",""),2)),""."","","",1))"),41.400594)</f>
        <v>41.400594</v>
      </c>
      <c r="R2500" s="14" t="b">
        <f t="shared" si="1"/>
        <v>0</v>
      </c>
      <c r="S2500" s="14" t="str">
        <f t="shared" si="2"/>
        <v>56.824809,41.400594</v>
      </c>
      <c r="T2500" s="12"/>
    </row>
    <row r="2501">
      <c r="A2501" s="15" t="s">
        <v>16216</v>
      </c>
      <c r="B2501" s="16" t="s">
        <v>16217</v>
      </c>
      <c r="C2501" s="16" t="s">
        <v>16218</v>
      </c>
      <c r="D2501" s="16" t="s">
        <v>16</v>
      </c>
      <c r="E2501" s="17" t="s">
        <v>16219</v>
      </c>
      <c r="F2501" s="16" t="s">
        <v>15475</v>
      </c>
      <c r="G2501" s="16">
        <v>23.61</v>
      </c>
      <c r="H2501" s="16"/>
      <c r="I2501" s="16"/>
      <c r="J2501" s="16" t="s">
        <v>16220</v>
      </c>
      <c r="K2501" s="16" t="s">
        <v>16221</v>
      </c>
      <c r="L2501" s="16"/>
      <c r="M2501" s="25" t="s">
        <v>16222</v>
      </c>
      <c r="N2501" s="12"/>
      <c r="O2501" s="12"/>
      <c r="P2501" s="13">
        <f>IFERROR(__xludf.DUMMYFUNCTION("VALUE(SUBSTITUTE((INDEX(SPLIT(A2501,"",""),1)),""."","","",1))"),52.736582)</f>
        <v>52.736582</v>
      </c>
      <c r="Q2501" s="13">
        <f>IFERROR(__xludf.DUMMYFUNCTION("VALUE(SUBSTITUTE((INDEX(SPLIT(A2501,"",""),2)),""."","","",1))"),41.412802)</f>
        <v>41.412802</v>
      </c>
      <c r="R2501" s="14" t="b">
        <f t="shared" si="1"/>
        <v>0</v>
      </c>
      <c r="S2501" s="14" t="str">
        <f t="shared" si="2"/>
        <v>52.736582,41.412802</v>
      </c>
      <c r="T2501" s="12"/>
    </row>
    <row r="2502">
      <c r="A2502" s="7" t="s">
        <v>16223</v>
      </c>
      <c r="B2502" s="8" t="s">
        <v>10121</v>
      </c>
      <c r="C2502" s="8" t="s">
        <v>10122</v>
      </c>
      <c r="D2502" s="8" t="s">
        <v>16</v>
      </c>
      <c r="E2502" s="9" t="s">
        <v>16224</v>
      </c>
      <c r="F2502" s="10" t="s">
        <v>15475</v>
      </c>
      <c r="G2502" s="8">
        <v>23.61</v>
      </c>
      <c r="H2502" s="8"/>
      <c r="I2502" s="10"/>
      <c r="J2502" s="10" t="s">
        <v>16225</v>
      </c>
      <c r="K2502" s="10" t="s">
        <v>16226</v>
      </c>
      <c r="L2502" s="11" t="s">
        <v>16227</v>
      </c>
      <c r="M2502" s="10"/>
      <c r="N2502" s="12"/>
      <c r="O2502" s="12"/>
      <c r="P2502" s="13">
        <f>IFERROR(__xludf.DUMMYFUNCTION("VALUE(SUBSTITUTE((INDEX(SPLIT(A2502,"",""),1)),""."","","",1))"),52.654235)</f>
        <v>52.654235</v>
      </c>
      <c r="Q2502" s="13">
        <f>IFERROR(__xludf.DUMMYFUNCTION("VALUE(SUBSTITUTE((INDEX(SPLIT(A2502,"",""),2)),""."","","",1))"),41.424318)</f>
        <v>41.424318</v>
      </c>
      <c r="R2502" s="14" t="b">
        <f t="shared" si="1"/>
        <v>0</v>
      </c>
      <c r="S2502" s="14" t="str">
        <f t="shared" si="2"/>
        <v>52.654235,41.424318</v>
      </c>
      <c r="T2502" s="12"/>
    </row>
    <row r="2503">
      <c r="A2503" s="15" t="s">
        <v>16228</v>
      </c>
      <c r="B2503" s="16" t="s">
        <v>743</v>
      </c>
      <c r="C2503" s="16" t="s">
        <v>744</v>
      </c>
      <c r="D2503" s="16" t="s">
        <v>16</v>
      </c>
      <c r="E2503" s="17" t="s">
        <v>16229</v>
      </c>
      <c r="F2503" s="16" t="s">
        <v>15475</v>
      </c>
      <c r="G2503" s="16">
        <v>23.61</v>
      </c>
      <c r="H2503" s="16"/>
      <c r="I2503" s="16"/>
      <c r="J2503" s="16" t="s">
        <v>16230</v>
      </c>
      <c r="K2503" s="16" t="s">
        <v>16231</v>
      </c>
      <c r="L2503" s="16"/>
      <c r="M2503" s="25" t="s">
        <v>16232</v>
      </c>
      <c r="N2503" s="12"/>
      <c r="O2503" s="12"/>
      <c r="P2503" s="13">
        <f>IFERROR(__xludf.DUMMYFUNCTION("VALUE(SUBSTITUTE((INDEX(SPLIT(A2503,"",""),1)),""."","","",1))"),52.655312)</f>
        <v>52.655312</v>
      </c>
      <c r="Q2503" s="13">
        <f>IFERROR(__xludf.DUMMYFUNCTION("VALUE(SUBSTITUTE((INDEX(SPLIT(A2503,"",""),2)),""."","","",1))"),41.433032)</f>
        <v>41.433032</v>
      </c>
      <c r="R2503" s="14" t="b">
        <f t="shared" si="1"/>
        <v>0</v>
      </c>
      <c r="S2503" s="14" t="str">
        <f t="shared" si="2"/>
        <v>52.655312,41.433032</v>
      </c>
      <c r="T2503" s="12"/>
    </row>
    <row r="2504">
      <c r="A2504" s="18" t="s">
        <v>16233</v>
      </c>
      <c r="B2504" s="8" t="s">
        <v>9819</v>
      </c>
      <c r="C2504" s="8" t="s">
        <v>9820</v>
      </c>
      <c r="D2504" s="8" t="s">
        <v>16</v>
      </c>
      <c r="E2504" s="19" t="s">
        <v>16234</v>
      </c>
      <c r="F2504" s="8" t="s">
        <v>15475</v>
      </c>
      <c r="G2504" s="8">
        <v>23.61</v>
      </c>
      <c r="H2504" s="8"/>
      <c r="I2504" s="8"/>
      <c r="J2504" s="8" t="s">
        <v>16235</v>
      </c>
      <c r="K2504" s="8" t="s">
        <v>16236</v>
      </c>
      <c r="L2504" s="8"/>
      <c r="M2504" s="24" t="s">
        <v>16237</v>
      </c>
      <c r="N2504" s="12"/>
      <c r="O2504" s="12"/>
      <c r="P2504" s="13">
        <f>IFERROR(__xludf.DUMMYFUNCTION("VALUE(SUBSTITUTE((INDEX(SPLIT(A2504,"",""),1)),""."","","",1))"),52.756234)</f>
        <v>52.756234</v>
      </c>
      <c r="Q2504" s="13">
        <f>IFERROR(__xludf.DUMMYFUNCTION("VALUE(SUBSTITUTE((INDEX(SPLIT(A2504,"",""),2)),""."","","",1))"),41.457196)</f>
        <v>41.457196</v>
      </c>
      <c r="R2504" s="14" t="b">
        <f t="shared" si="1"/>
        <v>0</v>
      </c>
      <c r="S2504" s="14" t="str">
        <f t="shared" si="2"/>
        <v>52.756234,41.457196</v>
      </c>
      <c r="T2504" s="12"/>
    </row>
    <row r="2505">
      <c r="A2505" s="20" t="s">
        <v>16238</v>
      </c>
      <c r="B2505" s="16" t="s">
        <v>16239</v>
      </c>
      <c r="C2505" s="16" t="s">
        <v>16240</v>
      </c>
      <c r="D2505" s="16" t="s">
        <v>16</v>
      </c>
      <c r="E2505" s="21" t="s">
        <v>16241</v>
      </c>
      <c r="F2505" s="22" t="s">
        <v>15475</v>
      </c>
      <c r="G2505" s="16">
        <v>23.61</v>
      </c>
      <c r="H2505" s="16"/>
      <c r="I2505" s="22"/>
      <c r="J2505" s="22" t="s">
        <v>16242</v>
      </c>
      <c r="K2505" s="22" t="s">
        <v>16243</v>
      </c>
      <c r="L2505" s="23" t="s">
        <v>16244</v>
      </c>
      <c r="M2505" s="22"/>
      <c r="N2505" s="12"/>
      <c r="O2505" s="12"/>
      <c r="P2505" s="13">
        <f>IFERROR(__xludf.DUMMYFUNCTION("VALUE(SUBSTITUTE((INDEX(SPLIT(A2505,"",""),1)),""."","","",1))"),52.754997)</f>
        <v>52.754997</v>
      </c>
      <c r="Q2505" s="13">
        <f>IFERROR(__xludf.DUMMYFUNCTION("VALUE(SUBSTITUTE((INDEX(SPLIT(A2505,"",""),2)),""."","","",1))"),41.46512)</f>
        <v>41.46512</v>
      </c>
      <c r="R2505" s="14" t="b">
        <f t="shared" si="1"/>
        <v>0</v>
      </c>
      <c r="S2505" s="14" t="str">
        <f t="shared" si="2"/>
        <v>52.754997,41.46512</v>
      </c>
      <c r="T2505" s="12"/>
    </row>
    <row r="2506">
      <c r="A2506" s="7" t="s">
        <v>16245</v>
      </c>
      <c r="B2506" s="8" t="s">
        <v>10970</v>
      </c>
      <c r="C2506" s="8" t="s">
        <v>10971</v>
      </c>
      <c r="D2506" s="8" t="s">
        <v>16</v>
      </c>
      <c r="E2506" s="9" t="s">
        <v>16246</v>
      </c>
      <c r="F2506" s="10" t="s">
        <v>15475</v>
      </c>
      <c r="G2506" s="8">
        <v>23.61</v>
      </c>
      <c r="H2506" s="8"/>
      <c r="I2506" s="10"/>
      <c r="J2506" s="10" t="s">
        <v>16247</v>
      </c>
      <c r="K2506" s="10" t="s">
        <v>16248</v>
      </c>
      <c r="L2506" s="11" t="s">
        <v>16249</v>
      </c>
      <c r="M2506" s="10"/>
      <c r="N2506" s="12"/>
      <c r="O2506" s="12"/>
      <c r="P2506" s="13">
        <f>IFERROR(__xludf.DUMMYFUNCTION("VALUE(SUBSTITUTE((INDEX(SPLIT(A2506,"",""),1)),""."","","",1))"),52.864914)</f>
        <v>52.864914</v>
      </c>
      <c r="Q2506" s="13">
        <f>IFERROR(__xludf.DUMMYFUNCTION("VALUE(SUBSTITUTE((INDEX(SPLIT(A2506,"",""),2)),""."","","",1))"),41.491818)</f>
        <v>41.491818</v>
      </c>
      <c r="R2506" s="14" t="b">
        <f t="shared" si="1"/>
        <v>0</v>
      </c>
      <c r="S2506" s="14" t="str">
        <f t="shared" si="2"/>
        <v>52.864914,41.491818</v>
      </c>
      <c r="T2506" s="12"/>
    </row>
    <row r="2507">
      <c r="A2507" s="15" t="s">
        <v>16250</v>
      </c>
      <c r="B2507" s="16" t="s">
        <v>16251</v>
      </c>
      <c r="C2507" s="16" t="s">
        <v>16252</v>
      </c>
      <c r="D2507" s="16" t="s">
        <v>16</v>
      </c>
      <c r="E2507" s="17" t="s">
        <v>16253</v>
      </c>
      <c r="F2507" s="16" t="s">
        <v>15475</v>
      </c>
      <c r="G2507" s="16">
        <v>23.61</v>
      </c>
      <c r="H2507" s="16"/>
      <c r="I2507" s="16"/>
      <c r="J2507" s="16" t="s">
        <v>16254</v>
      </c>
      <c r="K2507" s="16" t="s">
        <v>16255</v>
      </c>
      <c r="L2507" s="16"/>
      <c r="M2507" s="16"/>
      <c r="N2507" s="12"/>
      <c r="O2507" s="12"/>
      <c r="P2507" s="13">
        <f>IFERROR(__xludf.DUMMYFUNCTION("VALUE(SUBSTITUTE((INDEX(SPLIT(A2507,"",""),1)),""."","","",1))"),52.598872)</f>
        <v>52.598872</v>
      </c>
      <c r="Q2507" s="13">
        <f>IFERROR(__xludf.DUMMYFUNCTION("VALUE(SUBSTITUTE((INDEX(SPLIT(A2507,"",""),2)),""."","","",1))"),41.506568)</f>
        <v>41.506568</v>
      </c>
      <c r="R2507" s="14" t="b">
        <f t="shared" si="1"/>
        <v>0</v>
      </c>
      <c r="S2507" s="14" t="str">
        <f t="shared" si="2"/>
        <v>52.598872,41.506568</v>
      </c>
      <c r="T2507" s="12"/>
    </row>
    <row r="2508">
      <c r="A2508" s="18" t="s">
        <v>16256</v>
      </c>
      <c r="B2508" s="8" t="s">
        <v>2665</v>
      </c>
      <c r="C2508" s="8" t="s">
        <v>2666</v>
      </c>
      <c r="D2508" s="8" t="s">
        <v>16</v>
      </c>
      <c r="E2508" s="19" t="s">
        <v>16257</v>
      </c>
      <c r="F2508" s="8" t="s">
        <v>12912</v>
      </c>
      <c r="G2508" s="8">
        <v>23.61</v>
      </c>
      <c r="H2508" s="8"/>
      <c r="I2508" s="8"/>
      <c r="J2508" s="8" t="s">
        <v>16258</v>
      </c>
      <c r="K2508" s="8" t="s">
        <v>16259</v>
      </c>
      <c r="L2508" s="8"/>
      <c r="M2508" s="8"/>
      <c r="N2508" s="12"/>
      <c r="O2508" s="12"/>
      <c r="P2508" s="13">
        <f>IFERROR(__xludf.DUMMYFUNCTION("VALUE(SUBSTITUTE((INDEX(SPLIT(A2508,"",""),1)),""."","","",1))"),46.44777)</f>
        <v>46.44777</v>
      </c>
      <c r="Q2508" s="13">
        <f>IFERROR(__xludf.DUMMYFUNCTION("VALUE(SUBSTITUTE((INDEX(SPLIT(A2508,"",""),2)),""."","","",1))"),41.563)</f>
        <v>41.563</v>
      </c>
      <c r="R2508" s="14" t="b">
        <f t="shared" si="1"/>
        <v>0</v>
      </c>
      <c r="S2508" s="14" t="str">
        <f t="shared" si="2"/>
        <v>46.44777,41.563</v>
      </c>
      <c r="T2508" s="12"/>
    </row>
    <row r="2509">
      <c r="A2509" s="15" t="s">
        <v>16260</v>
      </c>
      <c r="B2509" s="16" t="s">
        <v>16261</v>
      </c>
      <c r="C2509" s="16" t="s">
        <v>16262</v>
      </c>
      <c r="D2509" s="16" t="s">
        <v>16</v>
      </c>
      <c r="E2509" s="17" t="s">
        <v>16263</v>
      </c>
      <c r="F2509" s="16" t="s">
        <v>13359</v>
      </c>
      <c r="G2509" s="16">
        <v>23.61</v>
      </c>
      <c r="H2509" s="16"/>
      <c r="I2509" s="16"/>
      <c r="J2509" s="16" t="s">
        <v>16264</v>
      </c>
      <c r="K2509" s="16" t="s">
        <v>16265</v>
      </c>
      <c r="L2509" s="16"/>
      <c r="M2509" s="25" t="s">
        <v>16266</v>
      </c>
      <c r="N2509" s="12"/>
      <c r="O2509" s="12"/>
      <c r="P2509" s="13">
        <f>IFERROR(__xludf.DUMMYFUNCTION("VALUE(SUBSTITUTE((INDEX(SPLIT(A2509,"",""),1)),""."","","",1))"),54.032247)</f>
        <v>54.032247</v>
      </c>
      <c r="Q2509" s="13">
        <f>IFERROR(__xludf.DUMMYFUNCTION("VALUE(SUBSTITUTE((INDEX(SPLIT(A2509,"",""),2)),""."","","",1))"),41.709479)</f>
        <v>41.709479</v>
      </c>
      <c r="R2509" s="14" t="b">
        <f t="shared" si="1"/>
        <v>0</v>
      </c>
      <c r="S2509" s="14" t="str">
        <f t="shared" si="2"/>
        <v>54.032247,41.709479</v>
      </c>
      <c r="T2509" s="12"/>
    </row>
    <row r="2510">
      <c r="A2510" s="7" t="s">
        <v>16267</v>
      </c>
      <c r="B2510" s="8" t="s">
        <v>16268</v>
      </c>
      <c r="C2510" s="8" t="s">
        <v>16269</v>
      </c>
      <c r="D2510" s="8" t="s">
        <v>16</v>
      </c>
      <c r="E2510" s="9" t="s">
        <v>16270</v>
      </c>
      <c r="F2510" s="10" t="s">
        <v>13359</v>
      </c>
      <c r="G2510" s="8">
        <v>23.61</v>
      </c>
      <c r="H2510" s="8"/>
      <c r="I2510" s="10"/>
      <c r="J2510" s="10" t="s">
        <v>16271</v>
      </c>
      <c r="K2510" s="10" t="s">
        <v>16272</v>
      </c>
      <c r="L2510" s="11" t="s">
        <v>16273</v>
      </c>
      <c r="M2510" s="10"/>
      <c r="N2510" s="12"/>
      <c r="O2510" s="12"/>
      <c r="P2510" s="13">
        <f>IFERROR(__xludf.DUMMYFUNCTION("VALUE(SUBSTITUTE((INDEX(SPLIT(A2510,"",""),1)),""."","","",1))"),54.038286)</f>
        <v>54.038286</v>
      </c>
      <c r="Q2510" s="13">
        <f>IFERROR(__xludf.DUMMYFUNCTION("VALUE(SUBSTITUTE((INDEX(SPLIT(A2510,"",""),2)),""."","","",1))"),41.713674)</f>
        <v>41.713674</v>
      </c>
      <c r="R2510" s="14" t="b">
        <f t="shared" si="1"/>
        <v>0</v>
      </c>
      <c r="S2510" s="14" t="str">
        <f t="shared" si="2"/>
        <v>54.038286,41.713674</v>
      </c>
      <c r="T2510" s="12"/>
    </row>
    <row r="2511">
      <c r="A2511" s="20" t="s">
        <v>16274</v>
      </c>
      <c r="B2511" s="16" t="s">
        <v>16275</v>
      </c>
      <c r="C2511" s="16" t="s">
        <v>16276</v>
      </c>
      <c r="D2511" s="16" t="s">
        <v>16</v>
      </c>
      <c r="E2511" s="21" t="s">
        <v>16277</v>
      </c>
      <c r="F2511" s="22" t="s">
        <v>12993</v>
      </c>
      <c r="G2511" s="16">
        <v>23.61</v>
      </c>
      <c r="H2511" s="16"/>
      <c r="I2511" s="22"/>
      <c r="J2511" s="22" t="s">
        <v>16278</v>
      </c>
      <c r="K2511" s="22" t="s">
        <v>16279</v>
      </c>
      <c r="L2511" s="23" t="s">
        <v>16280</v>
      </c>
      <c r="M2511" s="22"/>
      <c r="N2511" s="12"/>
      <c r="O2511" s="12"/>
      <c r="P2511" s="13">
        <f>IFERROR(__xludf.DUMMYFUNCTION("VALUE(SUBSTITUTE((INDEX(SPLIT(A2511,"",""),1)),""."","","",1))"),45.356941)</f>
        <v>45.356941</v>
      </c>
      <c r="Q2511" s="13">
        <f>IFERROR(__xludf.DUMMYFUNCTION("VALUE(SUBSTITUTE((INDEX(SPLIT(A2511,"",""),2)),""."","","",1))"),41.721068)</f>
        <v>41.721068</v>
      </c>
      <c r="R2511" s="14" t="b">
        <f t="shared" si="1"/>
        <v>0</v>
      </c>
      <c r="S2511" s="14" t="str">
        <f t="shared" si="2"/>
        <v>45.356941,41.721068</v>
      </c>
      <c r="T2511" s="12"/>
    </row>
    <row r="2512">
      <c r="A2512" s="18" t="s">
        <v>16281</v>
      </c>
      <c r="B2512" s="8" t="s">
        <v>16282</v>
      </c>
      <c r="C2512" s="8" t="s">
        <v>16283</v>
      </c>
      <c r="D2512" s="8" t="s">
        <v>16</v>
      </c>
      <c r="E2512" s="19" t="s">
        <v>16284</v>
      </c>
      <c r="F2512" s="8" t="s">
        <v>16285</v>
      </c>
      <c r="G2512" s="8">
        <v>23.61</v>
      </c>
      <c r="H2512" s="8"/>
      <c r="I2512" s="8"/>
      <c r="J2512" s="8" t="s">
        <v>16286</v>
      </c>
      <c r="K2512" s="8" t="s">
        <v>16287</v>
      </c>
      <c r="L2512" s="8"/>
      <c r="M2512" s="8"/>
      <c r="N2512" s="12"/>
      <c r="O2512" s="12"/>
      <c r="P2512" s="13">
        <f>IFERROR(__xludf.DUMMYFUNCTION("VALUE(SUBSTITUTE((INDEX(SPLIT(A2512,"",""),1)),""."","","",1))"),43.957999)</f>
        <v>43.957999</v>
      </c>
      <c r="Q2512" s="13">
        <f>IFERROR(__xludf.DUMMYFUNCTION("VALUE(SUBSTITUTE((INDEX(SPLIT(A2512,"",""),2)),""."","","",1))"),41.735611)</f>
        <v>41.735611</v>
      </c>
      <c r="R2512" s="14" t="b">
        <f t="shared" si="1"/>
        <v>0</v>
      </c>
      <c r="S2512" s="14" t="str">
        <f t="shared" si="2"/>
        <v>43.957999,41.735611</v>
      </c>
      <c r="T2512" s="12"/>
    </row>
    <row r="2513">
      <c r="A2513" s="20" t="s">
        <v>16288</v>
      </c>
      <c r="B2513" s="16" t="s">
        <v>16289</v>
      </c>
      <c r="C2513" s="16" t="s">
        <v>16290</v>
      </c>
      <c r="D2513" s="16" t="s">
        <v>16</v>
      </c>
      <c r="E2513" s="21" t="s">
        <v>16291</v>
      </c>
      <c r="F2513" s="22" t="s">
        <v>16285</v>
      </c>
      <c r="G2513" s="16">
        <v>23.61</v>
      </c>
      <c r="H2513" s="16"/>
      <c r="I2513" s="22"/>
      <c r="J2513" s="22" t="s">
        <v>16292</v>
      </c>
      <c r="K2513" s="22" t="s">
        <v>16293</v>
      </c>
      <c r="L2513" s="23" t="s">
        <v>16294</v>
      </c>
      <c r="M2513" s="22"/>
      <c r="N2513" s="12"/>
      <c r="O2513" s="12"/>
      <c r="P2513" s="13">
        <f>IFERROR(__xludf.DUMMYFUNCTION("VALUE(SUBSTITUTE((INDEX(SPLIT(A2513,"",""),1)),""."","","",1))"),43.959602)</f>
        <v>43.959602</v>
      </c>
      <c r="Q2513" s="13">
        <f>IFERROR(__xludf.DUMMYFUNCTION("VALUE(SUBSTITUTE((INDEX(SPLIT(A2513,"",""),2)),""."","","",1))"),41.741163)</f>
        <v>41.741163</v>
      </c>
      <c r="R2513" s="14" t="b">
        <f t="shared" si="1"/>
        <v>0</v>
      </c>
      <c r="S2513" s="14" t="str">
        <f t="shared" si="2"/>
        <v>43.959602,41.741163</v>
      </c>
      <c r="T2513" s="12"/>
    </row>
    <row r="2514">
      <c r="A2514" s="7" t="s">
        <v>16295</v>
      </c>
      <c r="B2514" s="8" t="s">
        <v>16296</v>
      </c>
      <c r="C2514" s="8" t="s">
        <v>16297</v>
      </c>
      <c r="D2514" s="8" t="s">
        <v>16</v>
      </c>
      <c r="E2514" s="9" t="s">
        <v>16298</v>
      </c>
      <c r="F2514" s="10" t="s">
        <v>15475</v>
      </c>
      <c r="G2514" s="8">
        <v>23.61</v>
      </c>
      <c r="H2514" s="8"/>
      <c r="I2514" s="10"/>
      <c r="J2514" s="10" t="s">
        <v>16299</v>
      </c>
      <c r="K2514" s="10" t="s">
        <v>16300</v>
      </c>
      <c r="L2514" s="11" t="s">
        <v>16301</v>
      </c>
      <c r="M2514" s="10"/>
      <c r="N2514" s="12"/>
      <c r="O2514" s="12"/>
      <c r="P2514" s="13">
        <f>IFERROR(__xludf.DUMMYFUNCTION("VALUE(SUBSTITUTE((INDEX(SPLIT(A2514,"",""),1)),""."","","",1))"),53.443493)</f>
        <v>53.443493</v>
      </c>
      <c r="Q2514" s="13">
        <f>IFERROR(__xludf.DUMMYFUNCTION("VALUE(SUBSTITUTE((INDEX(SPLIT(A2514,"",""),2)),""."","","",1))"),41.757818)</f>
        <v>41.757818</v>
      </c>
      <c r="R2514" s="14" t="b">
        <f t="shared" si="1"/>
        <v>0</v>
      </c>
      <c r="S2514" s="14" t="str">
        <f t="shared" si="2"/>
        <v>53.443493,41.757818</v>
      </c>
      <c r="T2514" s="12"/>
    </row>
    <row r="2515">
      <c r="A2515" s="15" t="s">
        <v>16302</v>
      </c>
      <c r="B2515" s="16" t="s">
        <v>16303</v>
      </c>
      <c r="C2515" s="16" t="s">
        <v>16304</v>
      </c>
      <c r="D2515" s="16" t="s">
        <v>16</v>
      </c>
      <c r="E2515" s="17" t="s">
        <v>16305</v>
      </c>
      <c r="F2515" s="16" t="s">
        <v>15475</v>
      </c>
      <c r="G2515" s="16">
        <v>23.61</v>
      </c>
      <c r="H2515" s="16"/>
      <c r="I2515" s="16"/>
      <c r="J2515" s="16" t="s">
        <v>16306</v>
      </c>
      <c r="K2515" s="16" t="s">
        <v>16307</v>
      </c>
      <c r="L2515" s="16"/>
      <c r="M2515" s="16"/>
      <c r="N2515" s="12"/>
      <c r="O2515" s="12"/>
      <c r="P2515" s="13">
        <f>IFERROR(__xludf.DUMMYFUNCTION("VALUE(SUBSTITUTE((INDEX(SPLIT(A2515,"",""),1)),""."","","",1))"),53.44404)</f>
        <v>53.44404</v>
      </c>
      <c r="Q2515" s="13">
        <f>IFERROR(__xludf.DUMMYFUNCTION("VALUE(SUBSTITUTE((INDEX(SPLIT(A2515,"",""),2)),""."","","",1))"),41.766136)</f>
        <v>41.766136</v>
      </c>
      <c r="R2515" s="14" t="b">
        <f t="shared" si="1"/>
        <v>0</v>
      </c>
      <c r="S2515" s="14" t="str">
        <f t="shared" si="2"/>
        <v>53.44404,41.766136</v>
      </c>
      <c r="T2515" s="12"/>
    </row>
    <row r="2516">
      <c r="A2516" s="18" t="s">
        <v>16308</v>
      </c>
      <c r="B2516" s="8" t="s">
        <v>13209</v>
      </c>
      <c r="C2516" s="8" t="s">
        <v>13210</v>
      </c>
      <c r="D2516" s="8" t="s">
        <v>16</v>
      </c>
      <c r="E2516" s="19" t="s">
        <v>16309</v>
      </c>
      <c r="F2516" s="8" t="s">
        <v>15475</v>
      </c>
      <c r="G2516" s="8">
        <v>23.61</v>
      </c>
      <c r="H2516" s="8"/>
      <c r="I2516" s="8"/>
      <c r="J2516" s="8" t="s">
        <v>16310</v>
      </c>
      <c r="K2516" s="8" t="s">
        <v>16311</v>
      </c>
      <c r="L2516" s="8"/>
      <c r="M2516" s="24" t="s">
        <v>16312</v>
      </c>
      <c r="N2516" s="12"/>
      <c r="O2516" s="12"/>
      <c r="P2516" s="13">
        <f>IFERROR(__xludf.DUMMYFUNCTION("VALUE(SUBSTITUTE((INDEX(SPLIT(A2516,"",""),1)),""."","","",1))"),53.432342)</f>
        <v>53.432342</v>
      </c>
      <c r="Q2516" s="13">
        <f>IFERROR(__xludf.DUMMYFUNCTION("VALUE(SUBSTITUTE((INDEX(SPLIT(A2516,"",""),2)),""."","","",1))"),41.783321)</f>
        <v>41.783321</v>
      </c>
      <c r="R2516" s="14" t="b">
        <f t="shared" si="1"/>
        <v>0</v>
      </c>
      <c r="S2516" s="14" t="str">
        <f t="shared" si="2"/>
        <v>53.432342,41.783321</v>
      </c>
      <c r="T2516" s="12"/>
    </row>
    <row r="2517">
      <c r="A2517" s="15" t="s">
        <v>16313</v>
      </c>
      <c r="B2517" s="16" t="s">
        <v>16314</v>
      </c>
      <c r="C2517" s="16" t="s">
        <v>16315</v>
      </c>
      <c r="D2517" s="16" t="s">
        <v>16</v>
      </c>
      <c r="E2517" s="17" t="s">
        <v>16316</v>
      </c>
      <c r="F2517" s="16" t="s">
        <v>12993</v>
      </c>
      <c r="G2517" s="16">
        <v>23.61</v>
      </c>
      <c r="H2517" s="16"/>
      <c r="I2517" s="16"/>
      <c r="J2517" s="16" t="s">
        <v>16317</v>
      </c>
      <c r="K2517" s="16" t="s">
        <v>16318</v>
      </c>
      <c r="L2517" s="16"/>
      <c r="M2517" s="25" t="s">
        <v>16319</v>
      </c>
      <c r="N2517" s="12"/>
      <c r="O2517" s="12"/>
      <c r="P2517" s="13">
        <f>IFERROR(__xludf.DUMMYFUNCTION("VALUE(SUBSTITUTE((INDEX(SPLIT(A2517,"",""),1)),""."","","",1))"),44.769326)</f>
        <v>44.769326</v>
      </c>
      <c r="Q2517" s="13">
        <f>IFERROR(__xludf.DUMMYFUNCTION("VALUE(SUBSTITUTE((INDEX(SPLIT(A2517,"",""),2)),""."","","",1))"),41.821805)</f>
        <v>41.821805</v>
      </c>
      <c r="R2517" s="14" t="b">
        <f t="shared" si="1"/>
        <v>0</v>
      </c>
      <c r="S2517" s="14" t="str">
        <f t="shared" si="2"/>
        <v>44.769326,41.821805</v>
      </c>
      <c r="T2517" s="12"/>
    </row>
    <row r="2518">
      <c r="A2518" s="7" t="s">
        <v>16320</v>
      </c>
      <c r="B2518" s="8" t="s">
        <v>16321</v>
      </c>
      <c r="C2518" s="8" t="s">
        <v>16322</v>
      </c>
      <c r="D2518" s="8" t="s">
        <v>16</v>
      </c>
      <c r="E2518" s="9" t="s">
        <v>16323</v>
      </c>
      <c r="F2518" s="10" t="s">
        <v>12993</v>
      </c>
      <c r="G2518" s="8">
        <v>23.61</v>
      </c>
      <c r="H2518" s="8"/>
      <c r="I2518" s="10"/>
      <c r="J2518" s="10" t="s">
        <v>16324</v>
      </c>
      <c r="K2518" s="10" t="s">
        <v>16325</v>
      </c>
      <c r="L2518" s="11" t="s">
        <v>16326</v>
      </c>
      <c r="M2518" s="10"/>
      <c r="N2518" s="12"/>
      <c r="O2518" s="12"/>
      <c r="P2518" s="13">
        <f>IFERROR(__xludf.DUMMYFUNCTION("VALUE(SUBSTITUTE((INDEX(SPLIT(A2518,"",""),1)),""."","","",1))"),44.674891)</f>
        <v>44.674891</v>
      </c>
      <c r="Q2518" s="13">
        <f>IFERROR(__xludf.DUMMYFUNCTION("VALUE(SUBSTITUTE((INDEX(SPLIT(A2518,"",""),2)),""."","","",1))"),41.822487)</f>
        <v>41.822487</v>
      </c>
      <c r="R2518" s="14" t="b">
        <f t="shared" si="1"/>
        <v>0</v>
      </c>
      <c r="S2518" s="14" t="str">
        <f t="shared" si="2"/>
        <v>44.674891,41.822487</v>
      </c>
      <c r="T2518" s="12"/>
    </row>
    <row r="2519">
      <c r="A2519" s="20" t="s">
        <v>16327</v>
      </c>
      <c r="B2519" s="16" t="s">
        <v>16328</v>
      </c>
      <c r="C2519" s="16" t="s">
        <v>16329</v>
      </c>
      <c r="D2519" s="16" t="s">
        <v>16</v>
      </c>
      <c r="E2519" s="21" t="s">
        <v>16330</v>
      </c>
      <c r="F2519" s="22" t="s">
        <v>12912</v>
      </c>
      <c r="G2519" s="16">
        <v>23.61</v>
      </c>
      <c r="H2519" s="16"/>
      <c r="I2519" s="22"/>
      <c r="J2519" s="22" t="s">
        <v>16331</v>
      </c>
      <c r="K2519" s="22" t="s">
        <v>16332</v>
      </c>
      <c r="L2519" s="30" t="s">
        <v>16333</v>
      </c>
      <c r="M2519" s="22"/>
      <c r="N2519" s="12"/>
      <c r="O2519" s="12"/>
      <c r="P2519" s="13">
        <f>IFERROR(__xludf.DUMMYFUNCTION("VALUE(SUBSTITUTE((INDEX(SPLIT(A2519,"",""),1)),""."","","",1))"),48.364669)</f>
        <v>48.364669</v>
      </c>
      <c r="Q2519" s="13">
        <f>IFERROR(__xludf.DUMMYFUNCTION("VALUE(SUBSTITUTE((INDEX(SPLIT(A2519,"",""),2)),""."","","",1))"),41.838316)</f>
        <v>41.838316</v>
      </c>
      <c r="R2519" s="14" t="b">
        <f t="shared" si="1"/>
        <v>0</v>
      </c>
      <c r="S2519" s="14" t="str">
        <f t="shared" si="2"/>
        <v>48.364669,41.838316</v>
      </c>
      <c r="T2519" s="12"/>
    </row>
    <row r="2520">
      <c r="A2520" s="18" t="s">
        <v>16334</v>
      </c>
      <c r="B2520" s="8" t="s">
        <v>16335</v>
      </c>
      <c r="C2520" s="8" t="s">
        <v>16336</v>
      </c>
      <c r="D2520" s="8" t="s">
        <v>16</v>
      </c>
      <c r="E2520" s="19" t="s">
        <v>16337</v>
      </c>
      <c r="F2520" s="8" t="s">
        <v>12993</v>
      </c>
      <c r="G2520" s="8">
        <v>23.61</v>
      </c>
      <c r="H2520" s="8"/>
      <c r="I2520" s="8"/>
      <c r="J2520" s="8" t="s">
        <v>16338</v>
      </c>
      <c r="K2520" s="8" t="s">
        <v>16339</v>
      </c>
      <c r="L2520" s="8"/>
      <c r="M2520" s="8"/>
      <c r="N2520" s="12"/>
      <c r="O2520" s="12"/>
      <c r="P2520" s="13">
        <f>IFERROR(__xludf.DUMMYFUNCTION("VALUE(SUBSTITUTE((INDEX(SPLIT(A2520,"",""),1)),""."","","",1))"),44.658435)</f>
        <v>44.658435</v>
      </c>
      <c r="Q2520" s="13">
        <f>IFERROR(__xludf.DUMMYFUNCTION("VALUE(SUBSTITUTE((INDEX(SPLIT(A2520,"",""),2)),""."","","",1))"),41.844595)</f>
        <v>41.844595</v>
      </c>
      <c r="R2520" s="14" t="b">
        <f t="shared" si="1"/>
        <v>0</v>
      </c>
      <c r="S2520" s="14" t="str">
        <f t="shared" si="2"/>
        <v>44.658435,41.844595</v>
      </c>
      <c r="T2520" s="12"/>
    </row>
    <row r="2521">
      <c r="A2521" s="15" t="s">
        <v>16340</v>
      </c>
      <c r="B2521" s="16" t="s">
        <v>16341</v>
      </c>
      <c r="C2521" s="16" t="s">
        <v>16342</v>
      </c>
      <c r="D2521" s="16" t="s">
        <v>16</v>
      </c>
      <c r="E2521" s="17" t="s">
        <v>16343</v>
      </c>
      <c r="F2521" s="16" t="s">
        <v>12993</v>
      </c>
      <c r="G2521" s="16">
        <v>23.61</v>
      </c>
      <c r="H2521" s="16"/>
      <c r="I2521" s="16"/>
      <c r="J2521" s="16" t="s">
        <v>16344</v>
      </c>
      <c r="K2521" s="16" t="s">
        <v>16345</v>
      </c>
      <c r="L2521" s="16"/>
      <c r="M2521" s="16"/>
      <c r="N2521" s="12"/>
      <c r="O2521" s="12"/>
      <c r="P2521" s="13">
        <f>IFERROR(__xludf.DUMMYFUNCTION("VALUE(SUBSTITUTE((INDEX(SPLIT(A2521,"",""),1)),""."","","",1))"),45.062974)</f>
        <v>45.062974</v>
      </c>
      <c r="Q2521" s="13">
        <f>IFERROR(__xludf.DUMMYFUNCTION("VALUE(SUBSTITUTE((INDEX(SPLIT(A2521,"",""),2)),""."","","",1))"),41.903111)</f>
        <v>41.903111</v>
      </c>
      <c r="R2521" s="14" t="b">
        <f t="shared" si="1"/>
        <v>0</v>
      </c>
      <c r="S2521" s="14" t="str">
        <f t="shared" si="2"/>
        <v>45.062974,41.903111</v>
      </c>
      <c r="T2521" s="12"/>
    </row>
    <row r="2522">
      <c r="A2522" s="7" t="s">
        <v>16346</v>
      </c>
      <c r="B2522" s="8" t="s">
        <v>16347</v>
      </c>
      <c r="C2522" s="8" t="s">
        <v>16348</v>
      </c>
      <c r="D2522" s="8" t="s">
        <v>16</v>
      </c>
      <c r="E2522" s="9" t="s">
        <v>16349</v>
      </c>
      <c r="F2522" s="10" t="s">
        <v>16285</v>
      </c>
      <c r="G2522" s="8">
        <v>23.61</v>
      </c>
      <c r="H2522" s="8"/>
      <c r="I2522" s="10"/>
      <c r="J2522" s="10" t="s">
        <v>16350</v>
      </c>
      <c r="K2522" s="10" t="s">
        <v>16351</v>
      </c>
      <c r="L2522" s="11" t="s">
        <v>16352</v>
      </c>
      <c r="M2522" s="10"/>
      <c r="N2522" s="12"/>
      <c r="O2522" s="12"/>
      <c r="P2522" s="13">
        <f>IFERROR(__xludf.DUMMYFUNCTION("VALUE(SUBSTITUTE((INDEX(SPLIT(A2522,"",""),1)),""."","","",1))"),43.824601)</f>
        <v>43.824601</v>
      </c>
      <c r="Q2522" s="13">
        <f>IFERROR(__xludf.DUMMYFUNCTION("VALUE(SUBSTITUTE((INDEX(SPLIT(A2522,"",""),2)),""."","","",1))"),41.905357)</f>
        <v>41.905357</v>
      </c>
      <c r="R2522" s="14" t="b">
        <f t="shared" si="1"/>
        <v>0</v>
      </c>
      <c r="S2522" s="14" t="str">
        <f t="shared" si="2"/>
        <v>43.824601,41.905357</v>
      </c>
      <c r="T2522" s="12"/>
    </row>
    <row r="2523">
      <c r="A2523" s="20" t="s">
        <v>16353</v>
      </c>
      <c r="B2523" s="16" t="s">
        <v>16354</v>
      </c>
      <c r="C2523" s="16" t="s">
        <v>16355</v>
      </c>
      <c r="D2523" s="16" t="s">
        <v>16</v>
      </c>
      <c r="E2523" s="21" t="s">
        <v>16356</v>
      </c>
      <c r="F2523" s="22" t="s">
        <v>12993</v>
      </c>
      <c r="G2523" s="16">
        <v>23.61</v>
      </c>
      <c r="H2523" s="16"/>
      <c r="I2523" s="28" t="s">
        <v>16357</v>
      </c>
      <c r="J2523" s="22" t="s">
        <v>16358</v>
      </c>
      <c r="K2523" s="22" t="s">
        <v>16359</v>
      </c>
      <c r="L2523" s="23" t="s">
        <v>16360</v>
      </c>
      <c r="M2523" s="23" t="s">
        <v>16361</v>
      </c>
      <c r="N2523" s="12"/>
      <c r="O2523" s="12"/>
      <c r="P2523" s="13">
        <f>IFERROR(__xludf.DUMMYFUNCTION("VALUE(SUBSTITUTE((INDEX(SPLIT(A2523,"",""),1)),""."","","",1))"),45.006699)</f>
        <v>45.006699</v>
      </c>
      <c r="Q2523" s="13">
        <f>IFERROR(__xludf.DUMMYFUNCTION("VALUE(SUBSTITUTE((INDEX(SPLIT(A2523,"",""),2)),""."","","",1))"),41.919892)</f>
        <v>41.919892</v>
      </c>
      <c r="R2523" s="14" t="b">
        <f t="shared" si="1"/>
        <v>0</v>
      </c>
      <c r="S2523" s="14" t="str">
        <f t="shared" si="2"/>
        <v>45.006699,41.919892</v>
      </c>
      <c r="T2523" s="12"/>
    </row>
    <row r="2524">
      <c r="A2524" s="7" t="s">
        <v>16362</v>
      </c>
      <c r="B2524" s="8" t="s">
        <v>16363</v>
      </c>
      <c r="C2524" s="8" t="s">
        <v>16364</v>
      </c>
      <c r="D2524" s="8" t="s">
        <v>16</v>
      </c>
      <c r="E2524" s="9" t="s">
        <v>16365</v>
      </c>
      <c r="F2524" s="10" t="s">
        <v>12993</v>
      </c>
      <c r="G2524" s="8">
        <v>23.61</v>
      </c>
      <c r="H2524" s="8"/>
      <c r="I2524" s="10"/>
      <c r="J2524" s="10" t="s">
        <v>16366</v>
      </c>
      <c r="K2524" s="10" t="s">
        <v>16367</v>
      </c>
      <c r="L2524" s="11" t="s">
        <v>16368</v>
      </c>
      <c r="M2524" s="10"/>
      <c r="N2524" s="12"/>
      <c r="O2524" s="12"/>
      <c r="P2524" s="13">
        <f>IFERROR(__xludf.DUMMYFUNCTION("VALUE(SUBSTITUTE((INDEX(SPLIT(A2524,"",""),1)),""."","","",1))"),45.037184)</f>
        <v>45.037184</v>
      </c>
      <c r="Q2524" s="13">
        <f>IFERROR(__xludf.DUMMYFUNCTION("VALUE(SUBSTITUTE((INDEX(SPLIT(A2524,"",""),2)),""."","","",1))"),41.92238)</f>
        <v>41.92238</v>
      </c>
      <c r="R2524" s="14" t="b">
        <f t="shared" si="1"/>
        <v>0</v>
      </c>
      <c r="S2524" s="14" t="str">
        <f t="shared" si="2"/>
        <v>45.037184,41.92238</v>
      </c>
      <c r="T2524" s="12"/>
    </row>
    <row r="2525">
      <c r="A2525" s="15" t="s">
        <v>16369</v>
      </c>
      <c r="B2525" s="16" t="s">
        <v>16370</v>
      </c>
      <c r="C2525" s="16" t="s">
        <v>16371</v>
      </c>
      <c r="D2525" s="16" t="s">
        <v>16</v>
      </c>
      <c r="E2525" s="17" t="s">
        <v>16372</v>
      </c>
      <c r="F2525" s="16" t="s">
        <v>12993</v>
      </c>
      <c r="G2525" s="16">
        <v>23.61</v>
      </c>
      <c r="H2525" s="16"/>
      <c r="I2525" s="16"/>
      <c r="J2525" s="16" t="s">
        <v>16373</v>
      </c>
      <c r="K2525" s="16" t="s">
        <v>16374</v>
      </c>
      <c r="L2525" s="16"/>
      <c r="M2525" s="16"/>
      <c r="N2525" s="12"/>
      <c r="O2525" s="12"/>
      <c r="P2525" s="13">
        <f>IFERROR(__xludf.DUMMYFUNCTION("VALUE(SUBSTITUTE((INDEX(SPLIT(A2525,"",""),1)),""."","","",1))"),45.014116)</f>
        <v>45.014116</v>
      </c>
      <c r="Q2525" s="13">
        <f>IFERROR(__xludf.DUMMYFUNCTION("VALUE(SUBSTITUTE((INDEX(SPLIT(A2525,"",""),2)),""."","","",1))"),41.922542)</f>
        <v>41.922542</v>
      </c>
      <c r="R2525" s="14" t="b">
        <f t="shared" si="1"/>
        <v>0</v>
      </c>
      <c r="S2525" s="14" t="str">
        <f t="shared" si="2"/>
        <v>45.014116,41.922542</v>
      </c>
      <c r="T2525" s="12"/>
    </row>
    <row r="2526">
      <c r="A2526" s="7" t="s">
        <v>16375</v>
      </c>
      <c r="B2526" s="8" t="s">
        <v>16376</v>
      </c>
      <c r="C2526" s="8" t="s">
        <v>16377</v>
      </c>
      <c r="D2526" s="8" t="s">
        <v>16</v>
      </c>
      <c r="E2526" s="9" t="s">
        <v>16378</v>
      </c>
      <c r="F2526" s="10" t="s">
        <v>12993</v>
      </c>
      <c r="G2526" s="8">
        <v>23.61</v>
      </c>
      <c r="H2526" s="8"/>
      <c r="I2526" s="10"/>
      <c r="J2526" s="10" t="s">
        <v>16379</v>
      </c>
      <c r="K2526" s="10" t="s">
        <v>16380</v>
      </c>
      <c r="L2526" s="11" t="s">
        <v>16381</v>
      </c>
      <c r="M2526" s="10"/>
      <c r="N2526" s="12"/>
      <c r="O2526" s="12"/>
      <c r="P2526" s="13">
        <f>IFERROR(__xludf.DUMMYFUNCTION("VALUE(SUBSTITUTE((INDEX(SPLIT(A2526,"",""),1)),""."","","",1))"),45.06023)</f>
        <v>45.06023</v>
      </c>
      <c r="Q2526" s="13">
        <f>IFERROR(__xludf.DUMMYFUNCTION("VALUE(SUBSTITUTE((INDEX(SPLIT(A2526,"",""),2)),""."","","",1))"),41.923072)</f>
        <v>41.923072</v>
      </c>
      <c r="R2526" s="14" t="b">
        <f t="shared" si="1"/>
        <v>0</v>
      </c>
      <c r="S2526" s="14" t="str">
        <f t="shared" si="2"/>
        <v>45.06023,41.923072</v>
      </c>
      <c r="T2526" s="12"/>
    </row>
    <row r="2527">
      <c r="A2527" s="20" t="s">
        <v>16382</v>
      </c>
      <c r="B2527" s="16" t="s">
        <v>16383</v>
      </c>
      <c r="C2527" s="16" t="s">
        <v>16384</v>
      </c>
      <c r="D2527" s="16" t="s">
        <v>16</v>
      </c>
      <c r="E2527" s="21" t="s">
        <v>16385</v>
      </c>
      <c r="F2527" s="22" t="s">
        <v>12993</v>
      </c>
      <c r="G2527" s="16">
        <v>23.61</v>
      </c>
      <c r="H2527" s="16"/>
      <c r="I2527" s="22"/>
      <c r="J2527" s="22" t="s">
        <v>16386</v>
      </c>
      <c r="K2527" s="22" t="s">
        <v>16387</v>
      </c>
      <c r="L2527" s="23" t="s">
        <v>16388</v>
      </c>
      <c r="M2527" s="23" t="s">
        <v>16389</v>
      </c>
      <c r="N2527" s="12"/>
      <c r="O2527" s="12"/>
      <c r="P2527" s="13">
        <f>IFERROR(__xludf.DUMMYFUNCTION("VALUE(SUBSTITUTE((INDEX(SPLIT(A2527,"",""),1)),""."","","",1))"),44.655646)</f>
        <v>44.655646</v>
      </c>
      <c r="Q2527" s="13">
        <f>IFERROR(__xludf.DUMMYFUNCTION("VALUE(SUBSTITUTE((INDEX(SPLIT(A2527,"",""),2)),""."","","",1))"),41.933133)</f>
        <v>41.933133</v>
      </c>
      <c r="R2527" s="14" t="b">
        <f t="shared" si="1"/>
        <v>0</v>
      </c>
      <c r="S2527" s="14" t="str">
        <f t="shared" si="2"/>
        <v>44.655646,41.933133</v>
      </c>
      <c r="T2527" s="12"/>
    </row>
    <row r="2528">
      <c r="A2528" s="7" t="s">
        <v>16390</v>
      </c>
      <c r="B2528" s="8" t="s">
        <v>16391</v>
      </c>
      <c r="C2528" s="8" t="s">
        <v>16392</v>
      </c>
      <c r="D2528" s="8" t="s">
        <v>16</v>
      </c>
      <c r="E2528" s="9" t="s">
        <v>16393</v>
      </c>
      <c r="F2528" s="10" t="s">
        <v>12993</v>
      </c>
      <c r="G2528" s="8">
        <v>23.61</v>
      </c>
      <c r="H2528" s="8"/>
      <c r="I2528" s="10"/>
      <c r="J2528" s="10" t="s">
        <v>16394</v>
      </c>
      <c r="K2528" s="10" t="s">
        <v>16395</v>
      </c>
      <c r="L2528" s="11" t="s">
        <v>16396</v>
      </c>
      <c r="M2528" s="10"/>
      <c r="N2528" s="12"/>
      <c r="O2528" s="12"/>
      <c r="P2528" s="13">
        <f>IFERROR(__xludf.DUMMYFUNCTION("VALUE(SUBSTITUTE((INDEX(SPLIT(A2528,"",""),1)),""."","","",1))"),44.629717)</f>
        <v>44.629717</v>
      </c>
      <c r="Q2528" s="13">
        <f>IFERROR(__xludf.DUMMYFUNCTION("VALUE(SUBSTITUTE((INDEX(SPLIT(A2528,"",""),2)),""."","","",1))"),41.938514)</f>
        <v>41.938514</v>
      </c>
      <c r="R2528" s="14" t="b">
        <f t="shared" si="1"/>
        <v>0</v>
      </c>
      <c r="S2528" s="14" t="str">
        <f t="shared" si="2"/>
        <v>44.629717,41.938514</v>
      </c>
      <c r="T2528" s="12"/>
    </row>
    <row r="2529">
      <c r="A2529" s="20" t="s">
        <v>16397</v>
      </c>
      <c r="B2529" s="16" t="s">
        <v>16398</v>
      </c>
      <c r="C2529" s="16" t="s">
        <v>16399</v>
      </c>
      <c r="D2529" s="16" t="s">
        <v>16</v>
      </c>
      <c r="E2529" s="21" t="s">
        <v>16400</v>
      </c>
      <c r="F2529" s="22" t="s">
        <v>12993</v>
      </c>
      <c r="G2529" s="16">
        <v>23.61</v>
      </c>
      <c r="H2529" s="16"/>
      <c r="I2529" s="22"/>
      <c r="J2529" s="22" t="s">
        <v>16401</v>
      </c>
      <c r="K2529" s="22" t="s">
        <v>16402</v>
      </c>
      <c r="L2529" s="23" t="s">
        <v>16403</v>
      </c>
      <c r="M2529" s="22"/>
      <c r="N2529" s="12"/>
      <c r="O2529" s="12"/>
      <c r="P2529" s="13">
        <f>IFERROR(__xludf.DUMMYFUNCTION("VALUE(SUBSTITUTE((INDEX(SPLIT(A2529,"",""),1)),""."","","",1))"),44.994003)</f>
        <v>44.994003</v>
      </c>
      <c r="Q2529" s="13">
        <f>IFERROR(__xludf.DUMMYFUNCTION("VALUE(SUBSTITUTE((INDEX(SPLIT(A2529,"",""),2)),""."","","",1))"),41.943185)</f>
        <v>41.943185</v>
      </c>
      <c r="R2529" s="14" t="b">
        <f t="shared" si="1"/>
        <v>0</v>
      </c>
      <c r="S2529" s="14" t="str">
        <f t="shared" si="2"/>
        <v>44.994003,41.943185</v>
      </c>
      <c r="T2529" s="12"/>
    </row>
    <row r="2530">
      <c r="A2530" s="7" t="s">
        <v>16404</v>
      </c>
      <c r="B2530" s="8" t="s">
        <v>16405</v>
      </c>
      <c r="C2530" s="8" t="s">
        <v>16406</v>
      </c>
      <c r="D2530" s="8" t="s">
        <v>16</v>
      </c>
      <c r="E2530" s="9" t="s">
        <v>16407</v>
      </c>
      <c r="F2530" s="10" t="s">
        <v>12993</v>
      </c>
      <c r="G2530" s="8">
        <v>23.61</v>
      </c>
      <c r="H2530" s="8"/>
      <c r="I2530" s="10"/>
      <c r="J2530" s="10" t="s">
        <v>16408</v>
      </c>
      <c r="K2530" s="10" t="s">
        <v>16409</v>
      </c>
      <c r="L2530" s="11" t="s">
        <v>16410</v>
      </c>
      <c r="M2530" s="10"/>
      <c r="N2530" s="12"/>
      <c r="O2530" s="12"/>
      <c r="P2530" s="13">
        <f>IFERROR(__xludf.DUMMYFUNCTION("VALUE(SUBSTITUTE((INDEX(SPLIT(A2530,"",""),1)),""."","","",1))"),44.646925)</f>
        <v>44.646925</v>
      </c>
      <c r="Q2530" s="13">
        <f>IFERROR(__xludf.DUMMYFUNCTION("VALUE(SUBSTITUTE((INDEX(SPLIT(A2530,"",""),2)),""."","","",1))"),41.947227)</f>
        <v>41.947227</v>
      </c>
      <c r="R2530" s="14" t="b">
        <f t="shared" si="1"/>
        <v>0</v>
      </c>
      <c r="S2530" s="14" t="str">
        <f t="shared" si="2"/>
        <v>44.646925,41.947227</v>
      </c>
      <c r="T2530" s="12"/>
    </row>
    <row r="2531">
      <c r="A2531" s="15" t="s">
        <v>16411</v>
      </c>
      <c r="B2531" s="16" t="s">
        <v>16412</v>
      </c>
      <c r="C2531" s="16" t="s">
        <v>16413</v>
      </c>
      <c r="D2531" s="16" t="s">
        <v>16</v>
      </c>
      <c r="E2531" s="17" t="s">
        <v>16414</v>
      </c>
      <c r="F2531" s="16" t="s">
        <v>12993</v>
      </c>
      <c r="G2531" s="16">
        <v>23.61</v>
      </c>
      <c r="H2531" s="16"/>
      <c r="I2531" s="16"/>
      <c r="J2531" s="16" t="s">
        <v>16415</v>
      </c>
      <c r="K2531" s="16" t="s">
        <v>16416</v>
      </c>
      <c r="L2531" s="16"/>
      <c r="M2531" s="16"/>
      <c r="N2531" s="12"/>
      <c r="O2531" s="12"/>
      <c r="P2531" s="13">
        <f>IFERROR(__xludf.DUMMYFUNCTION("VALUE(SUBSTITUTE((INDEX(SPLIT(A2531,"",""),1)),""."","","",1))"),45.100434)</f>
        <v>45.100434</v>
      </c>
      <c r="Q2531" s="13">
        <f>IFERROR(__xludf.DUMMYFUNCTION("VALUE(SUBSTITUTE((INDEX(SPLIT(A2531,"",""),2)),""."","","",1))"),41.952339)</f>
        <v>41.952339</v>
      </c>
      <c r="R2531" s="14" t="b">
        <f t="shared" si="1"/>
        <v>0</v>
      </c>
      <c r="S2531" s="14" t="str">
        <f t="shared" si="2"/>
        <v>45.100434,41.952339</v>
      </c>
      <c r="T2531" s="12"/>
    </row>
    <row r="2532">
      <c r="A2532" s="18" t="s">
        <v>16417</v>
      </c>
      <c r="B2532" s="8" t="s">
        <v>16418</v>
      </c>
      <c r="C2532" s="8" t="s">
        <v>16419</v>
      </c>
      <c r="D2532" s="8" t="s">
        <v>16</v>
      </c>
      <c r="E2532" s="19" t="s">
        <v>16420</v>
      </c>
      <c r="F2532" s="8" t="s">
        <v>12993</v>
      </c>
      <c r="G2532" s="8">
        <v>23.61</v>
      </c>
      <c r="H2532" s="8"/>
      <c r="I2532" s="8"/>
      <c r="J2532" s="8" t="s">
        <v>16421</v>
      </c>
      <c r="K2532" s="8" t="s">
        <v>16422</v>
      </c>
      <c r="L2532" s="8"/>
      <c r="M2532" s="8"/>
      <c r="N2532" s="12"/>
      <c r="O2532" s="12"/>
      <c r="P2532" s="13">
        <f>IFERROR(__xludf.DUMMYFUNCTION("VALUE(SUBSTITUTE((INDEX(SPLIT(A2532,"",""),1)),""."","","",1))"),45.039203)</f>
        <v>45.039203</v>
      </c>
      <c r="Q2532" s="13">
        <f>IFERROR(__xludf.DUMMYFUNCTION("VALUE(SUBSTITUTE((INDEX(SPLIT(A2532,"",""),2)),""."","","",1))"),41.960091)</f>
        <v>41.960091</v>
      </c>
      <c r="R2532" s="14" t="b">
        <f t="shared" si="1"/>
        <v>0</v>
      </c>
      <c r="S2532" s="14" t="str">
        <f t="shared" si="2"/>
        <v>45.039203,41.960091</v>
      </c>
      <c r="T2532" s="12"/>
    </row>
    <row r="2533">
      <c r="A2533" s="15" t="s">
        <v>16423</v>
      </c>
      <c r="B2533" s="16" t="s">
        <v>3744</v>
      </c>
      <c r="C2533" s="16" t="s">
        <v>3745</v>
      </c>
      <c r="D2533" s="16" t="s">
        <v>16</v>
      </c>
      <c r="E2533" s="17" t="s">
        <v>16424</v>
      </c>
      <c r="F2533" s="16" t="s">
        <v>12993</v>
      </c>
      <c r="G2533" s="16">
        <v>23.61</v>
      </c>
      <c r="H2533" s="16"/>
      <c r="I2533" s="16"/>
      <c r="J2533" s="16" t="s">
        <v>16425</v>
      </c>
      <c r="K2533" s="16" t="s">
        <v>16426</v>
      </c>
      <c r="L2533" s="16"/>
      <c r="M2533" s="16"/>
      <c r="N2533" s="12"/>
      <c r="O2533" s="12"/>
      <c r="P2533" s="13">
        <f>IFERROR(__xludf.DUMMYFUNCTION("VALUE(SUBSTITUTE((INDEX(SPLIT(A2533,"",""),1)),""."","","",1))"),44.640159)</f>
        <v>44.640159</v>
      </c>
      <c r="Q2533" s="13">
        <f>IFERROR(__xludf.DUMMYFUNCTION("VALUE(SUBSTITUTE((INDEX(SPLIT(A2533,"",""),2)),""."","","",1))"),41.969389)</f>
        <v>41.969389</v>
      </c>
      <c r="R2533" s="14" t="b">
        <f t="shared" si="1"/>
        <v>0</v>
      </c>
      <c r="S2533" s="14" t="str">
        <f t="shared" si="2"/>
        <v>44.640159,41.969389</v>
      </c>
      <c r="T2533" s="12"/>
    </row>
    <row r="2534">
      <c r="A2534" s="18" t="s">
        <v>16427</v>
      </c>
      <c r="B2534" s="8" t="s">
        <v>16428</v>
      </c>
      <c r="C2534" s="8" t="s">
        <v>16429</v>
      </c>
      <c r="D2534" s="8" t="s">
        <v>16</v>
      </c>
      <c r="E2534" s="19" t="s">
        <v>16430</v>
      </c>
      <c r="F2534" s="8" t="s">
        <v>16285</v>
      </c>
      <c r="G2534" s="8">
        <v>23.61</v>
      </c>
      <c r="H2534" s="8"/>
      <c r="I2534" s="8"/>
      <c r="J2534" s="8" t="s">
        <v>16431</v>
      </c>
      <c r="K2534" s="8" t="s">
        <v>16432</v>
      </c>
      <c r="L2534" s="8"/>
      <c r="M2534" s="8"/>
      <c r="N2534" s="12"/>
      <c r="O2534" s="12"/>
      <c r="P2534" s="13">
        <f>IFERROR(__xludf.DUMMYFUNCTION("VALUE(SUBSTITUTE((INDEX(SPLIT(A2534,"",""),1)),""."","","",1))"),44.077815)</f>
        <v>44.077815</v>
      </c>
      <c r="Q2534" s="13">
        <f>IFERROR(__xludf.DUMMYFUNCTION("VALUE(SUBSTITUTE((INDEX(SPLIT(A2534,"",""),2)),""."","","",1))"),41.973611)</f>
        <v>41.973611</v>
      </c>
      <c r="R2534" s="14" t="b">
        <f t="shared" si="1"/>
        <v>0</v>
      </c>
      <c r="S2534" s="14" t="str">
        <f t="shared" si="2"/>
        <v>44.077815,41.973611</v>
      </c>
      <c r="T2534" s="12"/>
    </row>
    <row r="2535">
      <c r="A2535" s="15" t="s">
        <v>16433</v>
      </c>
      <c r="B2535" s="16" t="s">
        <v>16434</v>
      </c>
      <c r="C2535" s="16" t="s">
        <v>16435</v>
      </c>
      <c r="D2535" s="16" t="s">
        <v>16</v>
      </c>
      <c r="E2535" s="17" t="s">
        <v>16436</v>
      </c>
      <c r="F2535" s="16" t="s">
        <v>10789</v>
      </c>
      <c r="G2535" s="16">
        <v>23.61</v>
      </c>
      <c r="H2535" s="16"/>
      <c r="I2535" s="16"/>
      <c r="J2535" s="16" t="s">
        <v>16437</v>
      </c>
      <c r="K2535" s="16" t="s">
        <v>16438</v>
      </c>
      <c r="L2535" s="16"/>
      <c r="M2535" s="16"/>
      <c r="N2535" s="12"/>
      <c r="O2535" s="12"/>
      <c r="P2535" s="13">
        <f>IFERROR(__xludf.DUMMYFUNCTION("VALUE(SUBSTITUTE((INDEX(SPLIT(A2535,"",""),1)),""."","","",1))"),56.59769)</f>
        <v>56.59769</v>
      </c>
      <c r="Q2535" s="13">
        <f>IFERROR(__xludf.DUMMYFUNCTION("VALUE(SUBSTITUTE((INDEX(SPLIT(A2535,"",""),2)),""."","","",1))"),41.976719)</f>
        <v>41.976719</v>
      </c>
      <c r="R2535" s="14" t="b">
        <f t="shared" si="1"/>
        <v>0</v>
      </c>
      <c r="S2535" s="14" t="str">
        <f t="shared" si="2"/>
        <v>56.59769,41.976719</v>
      </c>
      <c r="T2535" s="12"/>
    </row>
    <row r="2536">
      <c r="A2536" s="7" t="s">
        <v>16439</v>
      </c>
      <c r="B2536" s="8" t="s">
        <v>16440</v>
      </c>
      <c r="C2536" s="8" t="s">
        <v>16441</v>
      </c>
      <c r="D2536" s="8" t="s">
        <v>16</v>
      </c>
      <c r="E2536" s="9" t="s">
        <v>16442</v>
      </c>
      <c r="F2536" s="10" t="s">
        <v>16443</v>
      </c>
      <c r="G2536" s="8">
        <v>23.61</v>
      </c>
      <c r="H2536" s="8"/>
      <c r="I2536" s="10"/>
      <c r="J2536" s="10" t="s">
        <v>16444</v>
      </c>
      <c r="K2536" s="10" t="s">
        <v>16445</v>
      </c>
      <c r="L2536" s="11" t="s">
        <v>16446</v>
      </c>
      <c r="M2536" s="10"/>
      <c r="N2536" s="12"/>
      <c r="O2536" s="12"/>
      <c r="P2536" s="13">
        <f>IFERROR(__xludf.DUMMYFUNCTION("VALUE(SUBSTITUTE((INDEX(SPLIT(A2536,"",""),1)),""."","","",1))"),45.037369)</f>
        <v>45.037369</v>
      </c>
      <c r="Q2536" s="13">
        <f>IFERROR(__xludf.DUMMYFUNCTION("VALUE(SUBSTITUTE((INDEX(SPLIT(A2536,"",""),2)),""."","","",1))"),41.992107)</f>
        <v>41.992107</v>
      </c>
      <c r="R2536" s="14" t="b">
        <f t="shared" si="1"/>
        <v>0</v>
      </c>
      <c r="S2536" s="14" t="str">
        <f t="shared" si="2"/>
        <v>45.037369,41.992107</v>
      </c>
      <c r="T2536" s="12"/>
    </row>
    <row r="2537">
      <c r="A2537" s="20" t="s">
        <v>16447</v>
      </c>
      <c r="B2537" s="16" t="s">
        <v>16448</v>
      </c>
      <c r="C2537" s="16" t="s">
        <v>16449</v>
      </c>
      <c r="D2537" s="16" t="s">
        <v>16</v>
      </c>
      <c r="E2537" s="21" t="s">
        <v>16450</v>
      </c>
      <c r="F2537" s="22" t="s">
        <v>12993</v>
      </c>
      <c r="G2537" s="16">
        <v>23.61</v>
      </c>
      <c r="H2537" s="16"/>
      <c r="I2537" s="22"/>
      <c r="J2537" s="22" t="s">
        <v>16451</v>
      </c>
      <c r="K2537" s="22" t="s">
        <v>16452</v>
      </c>
      <c r="L2537" s="23" t="s">
        <v>16453</v>
      </c>
      <c r="M2537" s="22"/>
      <c r="N2537" s="12"/>
      <c r="O2537" s="12"/>
      <c r="P2537" s="13">
        <f>IFERROR(__xludf.DUMMYFUNCTION("VALUE(SUBSTITUTE((INDEX(SPLIT(A2537,"",""),1)),""."","","",1))"),55.588705)</f>
        <v>55.588705</v>
      </c>
      <c r="Q2537" s="13">
        <f>IFERROR(__xludf.DUMMYFUNCTION("VALUE(SUBSTITUTE((INDEX(SPLIT(A2537,"",""),2)),""."","","",1))"),41.992476)</f>
        <v>41.992476</v>
      </c>
      <c r="R2537" s="14" t="b">
        <f t="shared" si="1"/>
        <v>0</v>
      </c>
      <c r="S2537" s="14" t="str">
        <f t="shared" si="2"/>
        <v>55.588705,41.992476</v>
      </c>
      <c r="T2537" s="12"/>
    </row>
    <row r="2538">
      <c r="A2538" s="7" t="s">
        <v>16454</v>
      </c>
      <c r="B2538" s="8" t="s">
        <v>16455</v>
      </c>
      <c r="C2538" s="8" t="s">
        <v>16456</v>
      </c>
      <c r="D2538" s="8" t="s">
        <v>16</v>
      </c>
      <c r="E2538" s="9" t="s">
        <v>16457</v>
      </c>
      <c r="F2538" s="10" t="s">
        <v>12717</v>
      </c>
      <c r="G2538" s="8">
        <v>23.61</v>
      </c>
      <c r="H2538" s="8"/>
      <c r="I2538" s="10"/>
      <c r="J2538" s="10" t="s">
        <v>16458</v>
      </c>
      <c r="K2538" s="10" t="s">
        <v>16459</v>
      </c>
      <c r="L2538" s="11" t="s">
        <v>16460</v>
      </c>
      <c r="M2538" s="11" t="s">
        <v>16461</v>
      </c>
      <c r="N2538" s="12"/>
      <c r="O2538" s="12"/>
      <c r="P2538" s="13">
        <f>IFERROR(__xludf.DUMMYFUNCTION("VALUE(SUBSTITUTE((INDEX(SPLIT(A2538,"",""),1)),""."","","",1))"),45.047839)</f>
        <v>45.047839</v>
      </c>
      <c r="Q2538" s="13">
        <f>IFERROR(__xludf.DUMMYFUNCTION("VALUE(SUBSTITUTE((INDEX(SPLIT(A2538,"",""),2)),""."","","",1))"),41.992574)</f>
        <v>41.992574</v>
      </c>
      <c r="R2538" s="14" t="b">
        <f t="shared" si="1"/>
        <v>0</v>
      </c>
      <c r="S2538" s="14" t="str">
        <f t="shared" si="2"/>
        <v>45.047839,41.992574</v>
      </c>
      <c r="T2538" s="12"/>
    </row>
    <row r="2539">
      <c r="A2539" s="15" t="s">
        <v>16462</v>
      </c>
      <c r="B2539" s="16" t="s">
        <v>16463</v>
      </c>
      <c r="C2539" s="16" t="s">
        <v>16464</v>
      </c>
      <c r="D2539" s="16" t="s">
        <v>16</v>
      </c>
      <c r="E2539" s="17" t="s">
        <v>16465</v>
      </c>
      <c r="F2539" s="16" t="s">
        <v>12993</v>
      </c>
      <c r="G2539" s="16">
        <v>23.61</v>
      </c>
      <c r="H2539" s="16"/>
      <c r="I2539" s="16"/>
      <c r="J2539" s="16" t="s">
        <v>16466</v>
      </c>
      <c r="K2539" s="16" t="s">
        <v>16467</v>
      </c>
      <c r="L2539" s="16"/>
      <c r="M2539" s="16"/>
      <c r="N2539" s="12"/>
      <c r="O2539" s="12"/>
      <c r="P2539" s="13">
        <f>IFERROR(__xludf.DUMMYFUNCTION("VALUE(SUBSTITUTE((INDEX(SPLIT(A2539,"",""),1)),""."","","",1))"),55.583637)</f>
        <v>55.583637</v>
      </c>
      <c r="Q2539" s="13">
        <f>IFERROR(__xludf.DUMMYFUNCTION("VALUE(SUBSTITUTE((INDEX(SPLIT(A2539,"",""),2)),""."","","",1))"),41.993554)</f>
        <v>41.993554</v>
      </c>
      <c r="R2539" s="14" t="b">
        <f t="shared" si="1"/>
        <v>0</v>
      </c>
      <c r="S2539" s="14" t="str">
        <f t="shared" si="2"/>
        <v>55.583637,41.993554</v>
      </c>
      <c r="T2539" s="12"/>
    </row>
    <row r="2540">
      <c r="A2540" s="7" t="s">
        <v>16468</v>
      </c>
      <c r="B2540" s="8" t="s">
        <v>16469</v>
      </c>
      <c r="C2540" s="8" t="s">
        <v>16470</v>
      </c>
      <c r="D2540" s="8" t="s">
        <v>16</v>
      </c>
      <c r="E2540" s="9" t="s">
        <v>16471</v>
      </c>
      <c r="F2540" s="10" t="s">
        <v>12717</v>
      </c>
      <c r="G2540" s="8">
        <v>23.61</v>
      </c>
      <c r="H2540" s="8"/>
      <c r="I2540" s="10"/>
      <c r="J2540" s="10" t="s">
        <v>16472</v>
      </c>
      <c r="K2540" s="10" t="s">
        <v>16473</v>
      </c>
      <c r="L2540" s="11" t="s">
        <v>16474</v>
      </c>
      <c r="M2540" s="10"/>
      <c r="N2540" s="12"/>
      <c r="O2540" s="12"/>
      <c r="P2540" s="13">
        <f>IFERROR(__xludf.DUMMYFUNCTION("VALUE(SUBSTITUTE((INDEX(SPLIT(A2540,"",""),1)),""."","","",1))"),47.542913)</f>
        <v>47.542913</v>
      </c>
      <c r="Q2540" s="13">
        <f>IFERROR(__xludf.DUMMYFUNCTION("VALUE(SUBSTITUTE((INDEX(SPLIT(A2540,"",""),2)),""."","","",1))"),42.00321)</f>
        <v>42.00321</v>
      </c>
      <c r="R2540" s="14" t="b">
        <f t="shared" si="1"/>
        <v>0</v>
      </c>
      <c r="S2540" s="14" t="str">
        <f t="shared" si="2"/>
        <v>47.542913,42.00321</v>
      </c>
      <c r="T2540" s="12"/>
    </row>
    <row r="2541">
      <c r="A2541" s="20" t="s">
        <v>16475</v>
      </c>
      <c r="B2541" s="16" t="s">
        <v>16476</v>
      </c>
      <c r="C2541" s="16" t="s">
        <v>16477</v>
      </c>
      <c r="D2541" s="16" t="s">
        <v>16</v>
      </c>
      <c r="E2541" s="21" t="s">
        <v>16478</v>
      </c>
      <c r="F2541" s="22" t="s">
        <v>12912</v>
      </c>
      <c r="G2541" s="16">
        <v>23.61</v>
      </c>
      <c r="H2541" s="16"/>
      <c r="I2541" s="22"/>
      <c r="J2541" s="22" t="s">
        <v>16479</v>
      </c>
      <c r="K2541" s="22" t="s">
        <v>16480</v>
      </c>
      <c r="L2541" s="23" t="s">
        <v>16481</v>
      </c>
      <c r="M2541" s="22"/>
      <c r="N2541" s="12"/>
      <c r="O2541" s="12"/>
      <c r="P2541" s="13">
        <f>IFERROR(__xludf.DUMMYFUNCTION("VALUE(SUBSTITUTE((INDEX(SPLIT(A2541,"",""),1)),""."","","",1))"),55.325277)</f>
        <v>55.325277</v>
      </c>
      <c r="Q2541" s="13">
        <f>IFERROR(__xludf.DUMMYFUNCTION("VALUE(SUBSTITUTE((INDEX(SPLIT(A2541,"",""),2)),""."","","",1))"),42.010792)</f>
        <v>42.010792</v>
      </c>
      <c r="R2541" s="14" t="b">
        <f t="shared" si="1"/>
        <v>0</v>
      </c>
      <c r="S2541" s="14" t="str">
        <f t="shared" si="2"/>
        <v>55.325277,42.010792</v>
      </c>
      <c r="T2541" s="12"/>
    </row>
    <row r="2542">
      <c r="A2542" s="7" t="s">
        <v>16482</v>
      </c>
      <c r="B2542" s="8" t="s">
        <v>16483</v>
      </c>
      <c r="C2542" s="8" t="s">
        <v>16484</v>
      </c>
      <c r="D2542" s="8" t="s">
        <v>16</v>
      </c>
      <c r="E2542" s="9" t="s">
        <v>16485</v>
      </c>
      <c r="F2542" s="10" t="s">
        <v>16486</v>
      </c>
      <c r="G2542" s="8">
        <v>23.61</v>
      </c>
      <c r="H2542" s="8"/>
      <c r="I2542" s="10"/>
      <c r="J2542" s="10" t="s">
        <v>16487</v>
      </c>
      <c r="K2542" s="10" t="s">
        <v>16488</v>
      </c>
      <c r="L2542" s="11" t="s">
        <v>16489</v>
      </c>
      <c r="M2542" s="10"/>
      <c r="N2542" s="12"/>
      <c r="O2542" s="12"/>
      <c r="P2542" s="13">
        <f>IFERROR(__xludf.DUMMYFUNCTION("VALUE(SUBSTITUTE((INDEX(SPLIT(A2542,"",""),1)),""."","","",1))"),55.320724)</f>
        <v>55.320724</v>
      </c>
      <c r="Q2542" s="13">
        <f>IFERROR(__xludf.DUMMYFUNCTION("VALUE(SUBSTITUTE((INDEX(SPLIT(A2542,"",""),2)),""."","","",1))"),42.024833)</f>
        <v>42.024833</v>
      </c>
      <c r="R2542" s="14" t="b">
        <f t="shared" si="1"/>
        <v>0</v>
      </c>
      <c r="S2542" s="14" t="str">
        <f t="shared" si="2"/>
        <v>55.320724,42.024833</v>
      </c>
      <c r="T2542" s="12"/>
    </row>
    <row r="2543">
      <c r="A2543" s="15" t="s">
        <v>16490</v>
      </c>
      <c r="B2543" s="16" t="s">
        <v>7574</v>
      </c>
      <c r="C2543" s="16" t="s">
        <v>7575</v>
      </c>
      <c r="D2543" s="16" t="s">
        <v>16</v>
      </c>
      <c r="E2543" s="17" t="s">
        <v>16491</v>
      </c>
      <c r="F2543" s="16" t="s">
        <v>16486</v>
      </c>
      <c r="G2543" s="16">
        <v>23.61</v>
      </c>
      <c r="H2543" s="16"/>
      <c r="I2543" s="16"/>
      <c r="J2543" s="16" t="s">
        <v>16492</v>
      </c>
      <c r="K2543" s="16" t="s">
        <v>16493</v>
      </c>
      <c r="L2543" s="16"/>
      <c r="M2543" s="16"/>
      <c r="N2543" s="12"/>
      <c r="O2543" s="12"/>
      <c r="P2543" s="13">
        <f>IFERROR(__xludf.DUMMYFUNCTION("VALUE(SUBSTITUTE((INDEX(SPLIT(A2543,"",""),1)),""."","","",1))"),55.589091)</f>
        <v>55.589091</v>
      </c>
      <c r="Q2543" s="13">
        <f>IFERROR(__xludf.DUMMYFUNCTION("VALUE(SUBSTITUTE((INDEX(SPLIT(A2543,"",""),2)),""."","","",1))"),42.029387)</f>
        <v>42.029387</v>
      </c>
      <c r="R2543" s="14" t="b">
        <f t="shared" si="1"/>
        <v>0</v>
      </c>
      <c r="S2543" s="14" t="str">
        <f t="shared" si="2"/>
        <v>55.589091,42.029387</v>
      </c>
      <c r="T2543" s="12"/>
    </row>
    <row r="2544">
      <c r="A2544" s="18" t="s">
        <v>16494</v>
      </c>
      <c r="B2544" s="8" t="s">
        <v>16495</v>
      </c>
      <c r="C2544" s="8" t="s">
        <v>16496</v>
      </c>
      <c r="D2544" s="8" t="s">
        <v>16</v>
      </c>
      <c r="E2544" s="19" t="s">
        <v>16497</v>
      </c>
      <c r="F2544" s="8" t="s">
        <v>12717</v>
      </c>
      <c r="G2544" s="8">
        <v>23.61</v>
      </c>
      <c r="H2544" s="8"/>
      <c r="I2544" s="8"/>
      <c r="J2544" s="8" t="s">
        <v>16498</v>
      </c>
      <c r="K2544" s="8" t="s">
        <v>16499</v>
      </c>
      <c r="L2544" s="8"/>
      <c r="M2544" s="24" t="s">
        <v>16500</v>
      </c>
      <c r="N2544" s="12"/>
      <c r="O2544" s="12"/>
      <c r="P2544" s="13">
        <f>IFERROR(__xludf.DUMMYFUNCTION("VALUE(SUBSTITUTE((INDEX(SPLIT(A2544,"",""),1)),""."","","",1))"),44.329362)</f>
        <v>44.329362</v>
      </c>
      <c r="Q2544" s="13">
        <f>IFERROR(__xludf.DUMMYFUNCTION("VALUE(SUBSTITUTE((INDEX(SPLIT(A2544,"",""),2)),""."","","",1))"),42.032621)</f>
        <v>42.032621</v>
      </c>
      <c r="R2544" s="14" t="b">
        <f t="shared" si="1"/>
        <v>0</v>
      </c>
      <c r="S2544" s="14" t="str">
        <f t="shared" si="2"/>
        <v>44.329362,42.032621</v>
      </c>
      <c r="T2544" s="12"/>
    </row>
    <row r="2545">
      <c r="A2545" s="15" t="s">
        <v>16501</v>
      </c>
      <c r="B2545" s="16" t="s">
        <v>16502</v>
      </c>
      <c r="C2545" s="16" t="s">
        <v>16503</v>
      </c>
      <c r="D2545" s="16" t="s">
        <v>16</v>
      </c>
      <c r="E2545" s="17" t="s">
        <v>16504</v>
      </c>
      <c r="F2545" s="16" t="s">
        <v>16285</v>
      </c>
      <c r="G2545" s="16">
        <v>23.61</v>
      </c>
      <c r="H2545" s="16"/>
      <c r="I2545" s="16"/>
      <c r="J2545" s="16" t="s">
        <v>16505</v>
      </c>
      <c r="K2545" s="16" t="s">
        <v>16506</v>
      </c>
      <c r="L2545" s="16"/>
      <c r="M2545" s="16"/>
      <c r="N2545" s="12"/>
      <c r="O2545" s="12"/>
      <c r="P2545" s="13">
        <f>IFERROR(__xludf.DUMMYFUNCTION("VALUE(SUBSTITUTE((INDEX(SPLIT(A2545,"",""),1)),""."","","",1))"),44.981247)</f>
        <v>44.981247</v>
      </c>
      <c r="Q2545" s="13">
        <f>IFERROR(__xludf.DUMMYFUNCTION("VALUE(SUBSTITUTE((INDEX(SPLIT(A2545,"",""),2)),""."","","",1))"),42.041982)</f>
        <v>42.041982</v>
      </c>
      <c r="R2545" s="14" t="b">
        <f t="shared" si="1"/>
        <v>0</v>
      </c>
      <c r="S2545" s="14" t="str">
        <f t="shared" si="2"/>
        <v>44.981247,42.041982</v>
      </c>
      <c r="T2545" s="12"/>
    </row>
    <row r="2546">
      <c r="A2546" s="7" t="s">
        <v>16507</v>
      </c>
      <c r="B2546" s="8" t="s">
        <v>16508</v>
      </c>
      <c r="C2546" s="8" t="s">
        <v>16509</v>
      </c>
      <c r="D2546" s="8" t="s">
        <v>16</v>
      </c>
      <c r="E2546" s="9" t="s">
        <v>16510</v>
      </c>
      <c r="F2546" s="10" t="s">
        <v>12993</v>
      </c>
      <c r="G2546" s="8">
        <v>23.61</v>
      </c>
      <c r="H2546" s="8"/>
      <c r="I2546" s="10"/>
      <c r="J2546" s="10" t="s">
        <v>16511</v>
      </c>
      <c r="K2546" s="10" t="s">
        <v>16512</v>
      </c>
      <c r="L2546" s="11" t="s">
        <v>16513</v>
      </c>
      <c r="M2546" s="10"/>
      <c r="N2546" s="12"/>
      <c r="O2546" s="12"/>
      <c r="P2546" s="13">
        <f>IFERROR(__xludf.DUMMYFUNCTION("VALUE(SUBSTITUTE((INDEX(SPLIT(A2546,"",""),1)),""."","","",1))"),44.196153)</f>
        <v>44.196153</v>
      </c>
      <c r="Q2546" s="13">
        <f>IFERROR(__xludf.DUMMYFUNCTION("VALUE(SUBSTITUTE((INDEX(SPLIT(A2546,"",""),2)),""."","","",1))"),42.04491)</f>
        <v>42.04491</v>
      </c>
      <c r="R2546" s="14" t="b">
        <f t="shared" si="1"/>
        <v>0</v>
      </c>
      <c r="S2546" s="14" t="str">
        <f t="shared" si="2"/>
        <v>44.196153,42.04491</v>
      </c>
      <c r="T2546" s="12"/>
    </row>
    <row r="2547">
      <c r="A2547" s="15" t="s">
        <v>16514</v>
      </c>
      <c r="B2547" s="16" t="s">
        <v>16515</v>
      </c>
      <c r="C2547" s="16" t="s">
        <v>16516</v>
      </c>
      <c r="D2547" s="16" t="s">
        <v>16</v>
      </c>
      <c r="E2547" s="17" t="s">
        <v>16517</v>
      </c>
      <c r="F2547" s="16" t="s">
        <v>16285</v>
      </c>
      <c r="G2547" s="16">
        <v>23.61</v>
      </c>
      <c r="H2547" s="16"/>
      <c r="I2547" s="16"/>
      <c r="J2547" s="16" t="s">
        <v>16518</v>
      </c>
      <c r="K2547" s="16" t="s">
        <v>16519</v>
      </c>
      <c r="L2547" s="16"/>
      <c r="M2547" s="16"/>
      <c r="N2547" s="12"/>
      <c r="O2547" s="12"/>
      <c r="P2547" s="13">
        <f>IFERROR(__xludf.DUMMYFUNCTION("VALUE(SUBSTITUTE((INDEX(SPLIT(A2547,"",""),1)),""."","","",1))"),44.191034)</f>
        <v>44.191034</v>
      </c>
      <c r="Q2547" s="13">
        <f>IFERROR(__xludf.DUMMYFUNCTION("VALUE(SUBSTITUTE((INDEX(SPLIT(A2547,"",""),2)),""."","","",1))"),42.046294)</f>
        <v>42.046294</v>
      </c>
      <c r="R2547" s="14" t="b">
        <f t="shared" si="1"/>
        <v>0</v>
      </c>
      <c r="S2547" s="14" t="str">
        <f t="shared" si="2"/>
        <v>44.191034,42.046294</v>
      </c>
      <c r="T2547" s="12"/>
    </row>
    <row r="2548">
      <c r="A2548" s="7" t="s">
        <v>16520</v>
      </c>
      <c r="B2548" s="8" t="s">
        <v>16521</v>
      </c>
      <c r="C2548" s="8" t="s">
        <v>16522</v>
      </c>
      <c r="D2548" s="8" t="s">
        <v>16</v>
      </c>
      <c r="E2548" s="9" t="s">
        <v>16523</v>
      </c>
      <c r="F2548" s="10" t="s">
        <v>16285</v>
      </c>
      <c r="G2548" s="8">
        <v>23.61</v>
      </c>
      <c r="H2548" s="8"/>
      <c r="I2548" s="10"/>
      <c r="J2548" s="10" t="s">
        <v>16524</v>
      </c>
      <c r="K2548" s="10" t="s">
        <v>16525</v>
      </c>
      <c r="L2548" s="11" t="s">
        <v>16526</v>
      </c>
      <c r="M2548" s="10"/>
      <c r="N2548" s="12"/>
      <c r="O2548" s="12"/>
      <c r="P2548" s="13">
        <f>IFERROR(__xludf.DUMMYFUNCTION("VALUE(SUBSTITUTE((INDEX(SPLIT(A2548,"",""),1)),""."","","",1))"),44.228374)</f>
        <v>44.228374</v>
      </c>
      <c r="Q2548" s="13">
        <f>IFERROR(__xludf.DUMMYFUNCTION("VALUE(SUBSTITUTE((INDEX(SPLIT(A2548,"",""),2)),""."","","",1))"),42.048279)</f>
        <v>42.048279</v>
      </c>
      <c r="R2548" s="14" t="b">
        <f t="shared" si="1"/>
        <v>0</v>
      </c>
      <c r="S2548" s="14" t="str">
        <f t="shared" si="2"/>
        <v>44.228374,42.048279</v>
      </c>
      <c r="T2548" s="12"/>
    </row>
    <row r="2549">
      <c r="A2549" s="20" t="s">
        <v>16527</v>
      </c>
      <c r="B2549" s="16" t="s">
        <v>16528</v>
      </c>
      <c r="C2549" s="16" t="s">
        <v>16529</v>
      </c>
      <c r="D2549" s="16" t="s">
        <v>16</v>
      </c>
      <c r="E2549" s="21" t="s">
        <v>16530</v>
      </c>
      <c r="F2549" s="22" t="s">
        <v>16285</v>
      </c>
      <c r="G2549" s="16">
        <v>23.61</v>
      </c>
      <c r="H2549" s="16"/>
      <c r="I2549" s="22"/>
      <c r="J2549" s="22" t="s">
        <v>16531</v>
      </c>
      <c r="K2549" s="22" t="s">
        <v>16532</v>
      </c>
      <c r="L2549" s="23" t="s">
        <v>16533</v>
      </c>
      <c r="M2549" s="22"/>
      <c r="N2549" s="12"/>
      <c r="O2549" s="12"/>
      <c r="P2549" s="13">
        <f>IFERROR(__xludf.DUMMYFUNCTION("VALUE(SUBSTITUTE((INDEX(SPLIT(A2549,"",""),1)),""."","","",1))"),44.227153)</f>
        <v>44.227153</v>
      </c>
      <c r="Q2549" s="13">
        <f>IFERROR(__xludf.DUMMYFUNCTION("VALUE(SUBSTITUTE((INDEX(SPLIT(A2549,"",""),2)),""."","","",1))"),42.05083)</f>
        <v>42.05083</v>
      </c>
      <c r="R2549" s="14" t="b">
        <f t="shared" si="1"/>
        <v>0</v>
      </c>
      <c r="S2549" s="14" t="str">
        <f t="shared" si="2"/>
        <v>44.227153,42.05083</v>
      </c>
      <c r="T2549" s="12"/>
    </row>
    <row r="2550">
      <c r="A2550" s="18" t="s">
        <v>16534</v>
      </c>
      <c r="B2550" s="8" t="s">
        <v>16535</v>
      </c>
      <c r="C2550" s="8" t="s">
        <v>16536</v>
      </c>
      <c r="D2550" s="8" t="s">
        <v>16</v>
      </c>
      <c r="E2550" s="19" t="s">
        <v>16537</v>
      </c>
      <c r="F2550" s="8" t="s">
        <v>16285</v>
      </c>
      <c r="G2550" s="8">
        <v>23.61</v>
      </c>
      <c r="H2550" s="8"/>
      <c r="I2550" s="8"/>
      <c r="J2550" s="8" t="s">
        <v>16538</v>
      </c>
      <c r="K2550" s="8" t="s">
        <v>16539</v>
      </c>
      <c r="L2550" s="8"/>
      <c r="M2550" s="24" t="s">
        <v>16540</v>
      </c>
      <c r="N2550" s="12"/>
      <c r="O2550" s="12"/>
      <c r="P2550" s="13">
        <f>IFERROR(__xludf.DUMMYFUNCTION("VALUE(SUBSTITUTE((INDEX(SPLIT(A2550,"",""),1)),""."","","",1))"),44.270422)</f>
        <v>44.270422</v>
      </c>
      <c r="Q2550" s="13">
        <f>IFERROR(__xludf.DUMMYFUNCTION("VALUE(SUBSTITUTE((INDEX(SPLIT(A2550,"",""),2)),""."","","",1))"),42.055016)</f>
        <v>42.055016</v>
      </c>
      <c r="R2550" s="14" t="b">
        <f t="shared" si="1"/>
        <v>0</v>
      </c>
      <c r="S2550" s="14" t="str">
        <f t="shared" si="2"/>
        <v>44.270422,42.055016</v>
      </c>
      <c r="T2550" s="12"/>
    </row>
    <row r="2551">
      <c r="A2551" s="20" t="s">
        <v>16541</v>
      </c>
      <c r="B2551" s="16" t="s">
        <v>16542</v>
      </c>
      <c r="C2551" s="16" t="s">
        <v>16543</v>
      </c>
      <c r="D2551" s="16" t="s">
        <v>16</v>
      </c>
      <c r="E2551" s="21" t="s">
        <v>16544</v>
      </c>
      <c r="F2551" s="22" t="s">
        <v>16285</v>
      </c>
      <c r="G2551" s="16">
        <v>23.61</v>
      </c>
      <c r="H2551" s="16"/>
      <c r="I2551" s="22"/>
      <c r="J2551" s="22" t="s">
        <v>16545</v>
      </c>
      <c r="K2551" s="22" t="s">
        <v>16546</v>
      </c>
      <c r="L2551" s="23" t="s">
        <v>16547</v>
      </c>
      <c r="M2551" s="22"/>
      <c r="N2551" s="12"/>
      <c r="O2551" s="12"/>
      <c r="P2551" s="13">
        <f>IFERROR(__xludf.DUMMYFUNCTION("VALUE(SUBSTITUTE((INDEX(SPLIT(A2551,"",""),1)),""."","","",1))"),44.249944)</f>
        <v>44.249944</v>
      </c>
      <c r="Q2551" s="13">
        <f>IFERROR(__xludf.DUMMYFUNCTION("VALUE(SUBSTITUTE((INDEX(SPLIT(A2551,"",""),2)),""."","","",1))"),42.065958)</f>
        <v>42.065958</v>
      </c>
      <c r="R2551" s="14" t="b">
        <f t="shared" si="1"/>
        <v>0</v>
      </c>
      <c r="S2551" s="14" t="str">
        <f t="shared" si="2"/>
        <v>44.249944,42.065958</v>
      </c>
      <c r="T2551" s="12"/>
    </row>
    <row r="2552">
      <c r="A2552" s="18" t="s">
        <v>16541</v>
      </c>
      <c r="B2552" s="8" t="s">
        <v>16548</v>
      </c>
      <c r="C2552" s="8" t="s">
        <v>16549</v>
      </c>
      <c r="D2552" s="8" t="s">
        <v>16</v>
      </c>
      <c r="E2552" s="19" t="s">
        <v>16550</v>
      </c>
      <c r="F2552" s="8" t="s">
        <v>16285</v>
      </c>
      <c r="G2552" s="8">
        <v>23.61</v>
      </c>
      <c r="H2552" s="8"/>
      <c r="I2552" s="8"/>
      <c r="J2552" s="8" t="s">
        <v>16551</v>
      </c>
      <c r="K2552" s="8" t="s">
        <v>16552</v>
      </c>
      <c r="L2552" s="8"/>
      <c r="M2552" s="8"/>
      <c r="N2552" s="12"/>
      <c r="O2552" s="12"/>
      <c r="P2552" s="13">
        <f>IFERROR(__xludf.DUMMYFUNCTION("VALUE(SUBSTITUTE((INDEX(SPLIT(A2552,"",""),1)),""."","","",1))"),44.249944)</f>
        <v>44.249944</v>
      </c>
      <c r="Q2552" s="13">
        <f>IFERROR(__xludf.DUMMYFUNCTION("VALUE(SUBSTITUTE((INDEX(SPLIT(A2552,"",""),2)),""."","","",1))"),42.065958)</f>
        <v>42.065958</v>
      </c>
      <c r="R2552" s="14" t="b">
        <f t="shared" si="1"/>
        <v>0</v>
      </c>
      <c r="S2552" s="14" t="str">
        <f t="shared" si="2"/>
        <v>44.249944,42.065958</v>
      </c>
      <c r="T2552" s="12"/>
    </row>
    <row r="2553">
      <c r="A2553" s="20" t="s">
        <v>16553</v>
      </c>
      <c r="B2553" s="16" t="s">
        <v>16554</v>
      </c>
      <c r="C2553" s="16" t="s">
        <v>16555</v>
      </c>
      <c r="D2553" s="16" t="s">
        <v>16</v>
      </c>
      <c r="E2553" s="21" t="s">
        <v>16556</v>
      </c>
      <c r="F2553" s="22" t="s">
        <v>16285</v>
      </c>
      <c r="G2553" s="16">
        <v>23.61</v>
      </c>
      <c r="H2553" s="16"/>
      <c r="I2553" s="22"/>
      <c r="J2553" s="22" t="s">
        <v>16557</v>
      </c>
      <c r="K2553" s="22" t="s">
        <v>16558</v>
      </c>
      <c r="L2553" s="23" t="s">
        <v>16559</v>
      </c>
      <c r="M2553" s="22"/>
      <c r="N2553" s="12"/>
      <c r="O2553" s="12"/>
      <c r="P2553" s="13">
        <f>IFERROR(__xludf.DUMMYFUNCTION("VALUE(SUBSTITUTE((INDEX(SPLIT(A2553,"",""),1)),""."","","",1))"),44.248394)</f>
        <v>44.248394</v>
      </c>
      <c r="Q2553" s="13">
        <f>IFERROR(__xludf.DUMMYFUNCTION("VALUE(SUBSTITUTE((INDEX(SPLIT(A2553,"",""),2)),""."","","",1))"),42.066335)</f>
        <v>42.066335</v>
      </c>
      <c r="R2553" s="14" t="b">
        <f t="shared" si="1"/>
        <v>0</v>
      </c>
      <c r="S2553" s="14" t="str">
        <f t="shared" si="2"/>
        <v>44.248394,42.066335</v>
      </c>
      <c r="T2553" s="12"/>
    </row>
    <row r="2554">
      <c r="A2554" s="18" t="s">
        <v>16560</v>
      </c>
      <c r="B2554" s="8" t="s">
        <v>16561</v>
      </c>
      <c r="C2554" s="8" t="s">
        <v>16562</v>
      </c>
      <c r="D2554" s="8" t="s">
        <v>16</v>
      </c>
      <c r="E2554" s="19" t="s">
        <v>16563</v>
      </c>
      <c r="F2554" s="8" t="s">
        <v>16285</v>
      </c>
      <c r="G2554" s="8">
        <v>23.61</v>
      </c>
      <c r="H2554" s="8"/>
      <c r="I2554" s="8"/>
      <c r="J2554" s="8" t="s">
        <v>16564</v>
      </c>
      <c r="K2554" s="8" t="s">
        <v>16565</v>
      </c>
      <c r="L2554" s="8"/>
      <c r="M2554" s="8"/>
      <c r="N2554" s="12"/>
      <c r="O2554" s="12"/>
      <c r="P2554" s="13">
        <f>IFERROR(__xludf.DUMMYFUNCTION("VALUE(SUBSTITUTE((INDEX(SPLIT(A2554,"",""),1)),""."","","",1))"),44.249163)</f>
        <v>44.249163</v>
      </c>
      <c r="Q2554" s="13">
        <f>IFERROR(__xludf.DUMMYFUNCTION("VALUE(SUBSTITUTE((INDEX(SPLIT(A2554,"",""),2)),""."","","",1))"),42.071429)</f>
        <v>42.071429</v>
      </c>
      <c r="R2554" s="14" t="b">
        <f t="shared" si="1"/>
        <v>0</v>
      </c>
      <c r="S2554" s="14" t="str">
        <f t="shared" si="2"/>
        <v>44.249163,42.071429</v>
      </c>
      <c r="T2554" s="12"/>
    </row>
    <row r="2555">
      <c r="A2555" s="15" t="s">
        <v>16566</v>
      </c>
      <c r="B2555" s="16" t="s">
        <v>16567</v>
      </c>
      <c r="C2555" s="16" t="s">
        <v>16568</v>
      </c>
      <c r="D2555" s="16" t="s">
        <v>16</v>
      </c>
      <c r="E2555" s="17" t="s">
        <v>16569</v>
      </c>
      <c r="F2555" s="16" t="s">
        <v>16285</v>
      </c>
      <c r="G2555" s="16">
        <v>23.61</v>
      </c>
      <c r="H2555" s="16"/>
      <c r="I2555" s="16"/>
      <c r="J2555" s="16" t="s">
        <v>16570</v>
      </c>
      <c r="K2555" s="16" t="s">
        <v>16571</v>
      </c>
      <c r="L2555" s="16"/>
      <c r="M2555" s="16"/>
      <c r="N2555" s="12"/>
      <c r="O2555" s="12"/>
      <c r="P2555" s="13">
        <f>IFERROR(__xludf.DUMMYFUNCTION("VALUE(SUBSTITUTE((INDEX(SPLIT(A2555,"",""),1)),""."","","",1))"),44.249583)</f>
        <v>44.249583</v>
      </c>
      <c r="Q2555" s="13">
        <f>IFERROR(__xludf.DUMMYFUNCTION("VALUE(SUBSTITUTE((INDEX(SPLIT(A2555,"",""),2)),""."","","",1))"),42.07919)</f>
        <v>42.07919</v>
      </c>
      <c r="R2555" s="14" t="b">
        <f t="shared" si="1"/>
        <v>0</v>
      </c>
      <c r="S2555" s="14" t="str">
        <f t="shared" si="2"/>
        <v>44.249583,42.07919</v>
      </c>
      <c r="T2555" s="12"/>
    </row>
    <row r="2556">
      <c r="A2556" s="18" t="s">
        <v>16572</v>
      </c>
      <c r="B2556" s="8" t="s">
        <v>16573</v>
      </c>
      <c r="C2556" s="8" t="s">
        <v>16574</v>
      </c>
      <c r="D2556" s="8" t="s">
        <v>16</v>
      </c>
      <c r="E2556" s="19" t="s">
        <v>16575</v>
      </c>
      <c r="F2556" s="8" t="s">
        <v>16285</v>
      </c>
      <c r="G2556" s="8">
        <v>23.61</v>
      </c>
      <c r="H2556" s="8"/>
      <c r="I2556" s="8"/>
      <c r="J2556" s="8" t="s">
        <v>16576</v>
      </c>
      <c r="K2556" s="8" t="s">
        <v>16577</v>
      </c>
      <c r="L2556" s="8"/>
      <c r="M2556" s="8"/>
      <c r="N2556" s="12"/>
      <c r="O2556" s="12"/>
      <c r="P2556" s="13">
        <f>IFERROR(__xludf.DUMMYFUNCTION("VALUE(SUBSTITUTE((INDEX(SPLIT(A2556,"",""),1)),""."","","",1))"),44.231326)</f>
        <v>44.231326</v>
      </c>
      <c r="Q2556" s="13">
        <f>IFERROR(__xludf.DUMMYFUNCTION("VALUE(SUBSTITUTE((INDEX(SPLIT(A2556,"",""),2)),""."","","",1))"),42.081526)</f>
        <v>42.081526</v>
      </c>
      <c r="R2556" s="14" t="b">
        <f t="shared" si="1"/>
        <v>0</v>
      </c>
      <c r="S2556" s="14" t="str">
        <f t="shared" si="2"/>
        <v>44.231326,42.081526</v>
      </c>
      <c r="T2556" s="12"/>
    </row>
    <row r="2557">
      <c r="A2557" s="20" t="s">
        <v>16578</v>
      </c>
      <c r="B2557" s="16" t="s">
        <v>16579</v>
      </c>
      <c r="C2557" s="16" t="s">
        <v>16580</v>
      </c>
      <c r="D2557" s="16" t="s">
        <v>16</v>
      </c>
      <c r="E2557" s="21" t="s">
        <v>16581</v>
      </c>
      <c r="F2557" s="22" t="s">
        <v>16443</v>
      </c>
      <c r="G2557" s="16">
        <v>23.61</v>
      </c>
      <c r="H2557" s="16"/>
      <c r="I2557" s="22"/>
      <c r="J2557" s="22" t="s">
        <v>16582</v>
      </c>
      <c r="K2557" s="22" t="s">
        <v>16583</v>
      </c>
      <c r="L2557" s="23" t="s">
        <v>16584</v>
      </c>
      <c r="M2557" s="22"/>
      <c r="N2557" s="12"/>
      <c r="O2557" s="12"/>
      <c r="P2557" s="13">
        <f>IFERROR(__xludf.DUMMYFUNCTION("VALUE(SUBSTITUTE((INDEX(SPLIT(A2557,"",""),1)),""."","","",1))"),51.377587)</f>
        <v>51.377587</v>
      </c>
      <c r="Q2557" s="13">
        <f>IFERROR(__xludf.DUMMYFUNCTION("VALUE(SUBSTITUTE((INDEX(SPLIT(A2557,"",""),2)),""."","","",1))"),42.102888)</f>
        <v>42.102888</v>
      </c>
      <c r="R2557" s="14" t="b">
        <f t="shared" si="1"/>
        <v>0</v>
      </c>
      <c r="S2557" s="14" t="str">
        <f t="shared" si="2"/>
        <v>51.377587,42.102888</v>
      </c>
      <c r="T2557" s="12"/>
    </row>
    <row r="2558">
      <c r="A2558" s="7" t="s">
        <v>16585</v>
      </c>
      <c r="B2558" s="8" t="s">
        <v>16586</v>
      </c>
      <c r="C2558" s="8" t="s">
        <v>16587</v>
      </c>
      <c r="D2558" s="8" t="s">
        <v>16</v>
      </c>
      <c r="E2558" s="9" t="s">
        <v>16588</v>
      </c>
      <c r="F2558" s="10" t="s">
        <v>16285</v>
      </c>
      <c r="G2558" s="8">
        <v>23.61</v>
      </c>
      <c r="H2558" s="8"/>
      <c r="I2558" s="10"/>
      <c r="J2558" s="10" t="s">
        <v>16589</v>
      </c>
      <c r="K2558" s="10" t="s">
        <v>16590</v>
      </c>
      <c r="L2558" s="11" t="s">
        <v>16591</v>
      </c>
      <c r="M2558" s="10"/>
      <c r="N2558" s="12"/>
      <c r="O2558" s="12"/>
      <c r="P2558" s="13">
        <f>IFERROR(__xludf.DUMMYFUNCTION("VALUE(SUBSTITUTE((INDEX(SPLIT(A2558,"",""),1)),""."","","",1))"),57.451824)</f>
        <v>57.451824</v>
      </c>
      <c r="Q2558" s="13">
        <f>IFERROR(__xludf.DUMMYFUNCTION("VALUE(SUBSTITUTE((INDEX(SPLIT(A2558,"",""),2)),""."","","",1))"),42.108754)</f>
        <v>42.108754</v>
      </c>
      <c r="R2558" s="14" t="b">
        <f t="shared" si="1"/>
        <v>0</v>
      </c>
      <c r="S2558" s="14" t="str">
        <f t="shared" si="2"/>
        <v>57.451824,42.108754</v>
      </c>
      <c r="T2558" s="12"/>
    </row>
    <row r="2559">
      <c r="A2559" s="15" t="s">
        <v>16585</v>
      </c>
      <c r="B2559" s="16" t="s">
        <v>16592</v>
      </c>
      <c r="C2559" s="16" t="s">
        <v>16593</v>
      </c>
      <c r="D2559" s="16" t="s">
        <v>16</v>
      </c>
      <c r="E2559" s="17" t="s">
        <v>16594</v>
      </c>
      <c r="F2559" s="16" t="s">
        <v>9563</v>
      </c>
      <c r="G2559" s="16">
        <v>23.61</v>
      </c>
      <c r="H2559" s="16"/>
      <c r="I2559" s="16"/>
      <c r="J2559" s="16" t="s">
        <v>16595</v>
      </c>
      <c r="K2559" s="16" t="s">
        <v>16596</v>
      </c>
      <c r="L2559" s="16"/>
      <c r="M2559" s="25" t="s">
        <v>16597</v>
      </c>
      <c r="N2559" s="12"/>
      <c r="O2559" s="12"/>
      <c r="P2559" s="13">
        <f>IFERROR(__xludf.DUMMYFUNCTION("VALUE(SUBSTITUTE((INDEX(SPLIT(A2559,"",""),1)),""."","","",1))"),57.451824)</f>
        <v>57.451824</v>
      </c>
      <c r="Q2559" s="13">
        <f>IFERROR(__xludf.DUMMYFUNCTION("VALUE(SUBSTITUTE((INDEX(SPLIT(A2559,"",""),2)),""."","","",1))"),42.108754)</f>
        <v>42.108754</v>
      </c>
      <c r="R2559" s="14" t="b">
        <f t="shared" si="1"/>
        <v>0</v>
      </c>
      <c r="S2559" s="14" t="str">
        <f t="shared" si="2"/>
        <v>57.451824,42.108754</v>
      </c>
      <c r="T2559" s="12"/>
    </row>
    <row r="2560">
      <c r="A2560" s="7" t="s">
        <v>16598</v>
      </c>
      <c r="B2560" s="8" t="s">
        <v>16599</v>
      </c>
      <c r="C2560" s="8" t="s">
        <v>16600</v>
      </c>
      <c r="D2560" s="8" t="s">
        <v>16</v>
      </c>
      <c r="E2560" s="9" t="s">
        <v>16601</v>
      </c>
      <c r="F2560" s="10" t="s">
        <v>10789</v>
      </c>
      <c r="G2560" s="8">
        <v>23.61</v>
      </c>
      <c r="H2560" s="8"/>
      <c r="I2560" s="10"/>
      <c r="J2560" s="10" t="s">
        <v>16602</v>
      </c>
      <c r="K2560" s="10" t="s">
        <v>16603</v>
      </c>
      <c r="L2560" s="11" t="s">
        <v>16604</v>
      </c>
      <c r="M2560" s="10"/>
      <c r="N2560" s="12"/>
      <c r="O2560" s="12"/>
      <c r="P2560" s="13">
        <f>IFERROR(__xludf.DUMMYFUNCTION("VALUE(SUBSTITUTE((INDEX(SPLIT(A2560,"",""),1)),""."","","",1))"),57.42047)</f>
        <v>57.42047</v>
      </c>
      <c r="Q2560" s="13">
        <f>IFERROR(__xludf.DUMMYFUNCTION("VALUE(SUBSTITUTE((INDEX(SPLIT(A2560,"",""),2)),""."","","",1))"),42.111655)</f>
        <v>42.111655</v>
      </c>
      <c r="R2560" s="14" t="b">
        <f t="shared" si="1"/>
        <v>0</v>
      </c>
      <c r="S2560" s="14" t="str">
        <f t="shared" si="2"/>
        <v>57.42047,42.111655</v>
      </c>
      <c r="T2560" s="12"/>
    </row>
    <row r="2561">
      <c r="A2561" s="20" t="s">
        <v>16605</v>
      </c>
      <c r="B2561" s="16" t="s">
        <v>16606</v>
      </c>
      <c r="C2561" s="16" t="s">
        <v>16607</v>
      </c>
      <c r="D2561" s="16" t="s">
        <v>16</v>
      </c>
      <c r="E2561" s="21" t="s">
        <v>16608</v>
      </c>
      <c r="F2561" s="22" t="s">
        <v>10789</v>
      </c>
      <c r="G2561" s="16">
        <v>23.61</v>
      </c>
      <c r="H2561" s="16"/>
      <c r="I2561" s="22"/>
      <c r="J2561" s="22" t="s">
        <v>16602</v>
      </c>
      <c r="K2561" s="22" t="s">
        <v>16603</v>
      </c>
      <c r="L2561" s="23" t="s">
        <v>16609</v>
      </c>
      <c r="M2561" s="22"/>
      <c r="N2561" s="12"/>
      <c r="O2561" s="12"/>
      <c r="P2561" s="13">
        <f>IFERROR(__xludf.DUMMYFUNCTION("VALUE(SUBSTITUTE((INDEX(SPLIT(A2561,"",""),1)),""."","","",1))"),51.37847)</f>
        <v>51.37847</v>
      </c>
      <c r="Q2561" s="13">
        <f>IFERROR(__xludf.DUMMYFUNCTION("VALUE(SUBSTITUTE((INDEX(SPLIT(A2561,"",""),2)),""."","","",1))"),42.11391)</f>
        <v>42.11391</v>
      </c>
      <c r="R2561" s="14" t="b">
        <f t="shared" si="1"/>
        <v>0</v>
      </c>
      <c r="S2561" s="14" t="str">
        <f t="shared" si="2"/>
        <v>51.37847,42.11391</v>
      </c>
      <c r="T2561" s="12"/>
    </row>
    <row r="2562">
      <c r="A2562" s="18" t="s">
        <v>16610</v>
      </c>
      <c r="B2562" s="8" t="s">
        <v>16611</v>
      </c>
      <c r="C2562" s="8" t="s">
        <v>16612</v>
      </c>
      <c r="D2562" s="8" t="s">
        <v>16</v>
      </c>
      <c r="E2562" s="19" t="s">
        <v>16613</v>
      </c>
      <c r="F2562" s="8" t="s">
        <v>10789</v>
      </c>
      <c r="G2562" s="8">
        <v>23.61</v>
      </c>
      <c r="H2562" s="8"/>
      <c r="I2562" s="8"/>
      <c r="J2562" s="8" t="s">
        <v>16614</v>
      </c>
      <c r="K2562" s="8" t="s">
        <v>16615</v>
      </c>
      <c r="L2562" s="8"/>
      <c r="M2562" s="8"/>
      <c r="N2562" s="12"/>
      <c r="O2562" s="12"/>
      <c r="P2562" s="13">
        <f>IFERROR(__xludf.DUMMYFUNCTION("VALUE(SUBSTITUTE((INDEX(SPLIT(A2562,"",""),1)),""."","","",1))"),51.379262)</f>
        <v>51.379262</v>
      </c>
      <c r="Q2562" s="13">
        <f>IFERROR(__xludf.DUMMYFUNCTION("VALUE(SUBSTITUTE((INDEX(SPLIT(A2562,"",""),2)),""."","","",1))"),42.115518)</f>
        <v>42.115518</v>
      </c>
      <c r="R2562" s="14" t="b">
        <f t="shared" si="1"/>
        <v>0</v>
      </c>
      <c r="S2562" s="14" t="str">
        <f t="shared" si="2"/>
        <v>51.379262,42.115518</v>
      </c>
      <c r="T2562" s="12"/>
    </row>
    <row r="2563">
      <c r="A2563" s="15" t="s">
        <v>16616</v>
      </c>
      <c r="B2563" s="16" t="s">
        <v>16617</v>
      </c>
      <c r="C2563" s="16" t="s">
        <v>16618</v>
      </c>
      <c r="D2563" s="16" t="s">
        <v>16</v>
      </c>
      <c r="E2563" s="17" t="s">
        <v>16619</v>
      </c>
      <c r="F2563" s="16" t="s">
        <v>9563</v>
      </c>
      <c r="G2563" s="16">
        <v>23.61</v>
      </c>
      <c r="H2563" s="16"/>
      <c r="I2563" s="16"/>
      <c r="J2563" s="16" t="s">
        <v>16620</v>
      </c>
      <c r="K2563" s="16" t="s">
        <v>16621</v>
      </c>
      <c r="L2563" s="16"/>
      <c r="M2563" s="16"/>
      <c r="N2563" s="12"/>
      <c r="O2563" s="12"/>
      <c r="P2563" s="13">
        <f>IFERROR(__xludf.DUMMYFUNCTION("VALUE(SUBSTITUTE((INDEX(SPLIT(A2563,"",""),1)),""."","","",1))"),56.232739)</f>
        <v>56.232739</v>
      </c>
      <c r="Q2563" s="13">
        <f>IFERROR(__xludf.DUMMYFUNCTION("VALUE(SUBSTITUTE((INDEX(SPLIT(A2563,"",""),2)),""."","","",1))"),42.120261)</f>
        <v>42.120261</v>
      </c>
      <c r="R2563" s="14" t="b">
        <f t="shared" si="1"/>
        <v>0</v>
      </c>
      <c r="S2563" s="14" t="str">
        <f t="shared" si="2"/>
        <v>56.232739,42.120261</v>
      </c>
      <c r="T2563" s="12"/>
    </row>
    <row r="2564">
      <c r="A2564" s="18" t="s">
        <v>16622</v>
      </c>
      <c r="B2564" s="8" t="s">
        <v>16623</v>
      </c>
      <c r="C2564" s="8" t="s">
        <v>16624</v>
      </c>
      <c r="D2564" s="8" t="s">
        <v>16</v>
      </c>
      <c r="E2564" s="19" t="s">
        <v>16625</v>
      </c>
      <c r="F2564" s="8" t="s">
        <v>9563</v>
      </c>
      <c r="G2564" s="8">
        <v>23.61</v>
      </c>
      <c r="H2564" s="8"/>
      <c r="I2564" s="8"/>
      <c r="J2564" s="8" t="s">
        <v>16626</v>
      </c>
      <c r="K2564" s="8" t="s">
        <v>16627</v>
      </c>
      <c r="L2564" s="8"/>
      <c r="M2564" s="8"/>
      <c r="N2564" s="12"/>
      <c r="O2564" s="12"/>
      <c r="P2564" s="13">
        <f>IFERROR(__xludf.DUMMYFUNCTION("VALUE(SUBSTITUTE((INDEX(SPLIT(A2564,"",""),1)),""."","","",1))"),47.548722)</f>
        <v>47.548722</v>
      </c>
      <c r="Q2564" s="13">
        <f>IFERROR(__xludf.DUMMYFUNCTION("VALUE(SUBSTITUTE((INDEX(SPLIT(A2564,"",""),2)),""."","","",1))"),42.124249)</f>
        <v>42.124249</v>
      </c>
      <c r="R2564" s="14" t="b">
        <f t="shared" si="1"/>
        <v>0</v>
      </c>
      <c r="S2564" s="14" t="str">
        <f t="shared" si="2"/>
        <v>47.548722,42.124249</v>
      </c>
      <c r="T2564" s="12"/>
    </row>
    <row r="2565">
      <c r="A2565" s="15" t="s">
        <v>16622</v>
      </c>
      <c r="B2565" s="16" t="s">
        <v>16628</v>
      </c>
      <c r="C2565" s="16" t="s">
        <v>16629</v>
      </c>
      <c r="D2565" s="16" t="s">
        <v>16</v>
      </c>
      <c r="E2565" s="17" t="s">
        <v>16630</v>
      </c>
      <c r="F2565" s="16" t="s">
        <v>12717</v>
      </c>
      <c r="G2565" s="16">
        <v>23.61</v>
      </c>
      <c r="H2565" s="16"/>
      <c r="I2565" s="32" t="s">
        <v>16631</v>
      </c>
      <c r="J2565" s="16" t="s">
        <v>16632</v>
      </c>
      <c r="K2565" s="16" t="s">
        <v>16633</v>
      </c>
      <c r="L2565" s="16"/>
      <c r="M2565" s="16"/>
      <c r="N2565" s="12"/>
      <c r="O2565" s="12"/>
      <c r="P2565" s="13">
        <f>IFERROR(__xludf.DUMMYFUNCTION("VALUE(SUBSTITUTE((INDEX(SPLIT(A2565,"",""),1)),""."","","",1))"),47.548722)</f>
        <v>47.548722</v>
      </c>
      <c r="Q2565" s="13">
        <f>IFERROR(__xludf.DUMMYFUNCTION("VALUE(SUBSTITUTE((INDEX(SPLIT(A2565,"",""),2)),""."","","",1))"),42.124249)</f>
        <v>42.124249</v>
      </c>
      <c r="R2565" s="14" t="b">
        <f t="shared" si="1"/>
        <v>0</v>
      </c>
      <c r="S2565" s="14" t="str">
        <f t="shared" si="2"/>
        <v>47.548722,42.124249</v>
      </c>
      <c r="T2565" s="12"/>
    </row>
    <row r="2566">
      <c r="A2566" s="18" t="s">
        <v>16634</v>
      </c>
      <c r="B2566" s="8" t="s">
        <v>16635</v>
      </c>
      <c r="C2566" s="8" t="s">
        <v>16636</v>
      </c>
      <c r="D2566" s="8" t="s">
        <v>16</v>
      </c>
      <c r="E2566" s="19" t="s">
        <v>16637</v>
      </c>
      <c r="F2566" s="8" t="s">
        <v>12912</v>
      </c>
      <c r="G2566" s="8">
        <v>23.61</v>
      </c>
      <c r="H2566" s="8"/>
      <c r="I2566" s="8"/>
      <c r="J2566" s="8" t="s">
        <v>16638</v>
      </c>
      <c r="K2566" s="8" t="s">
        <v>16639</v>
      </c>
      <c r="L2566" s="8"/>
      <c r="M2566" s="8"/>
      <c r="N2566" s="12"/>
      <c r="O2566" s="12"/>
      <c r="P2566" s="13">
        <f>IFERROR(__xludf.DUMMYFUNCTION("VALUE(SUBSTITUTE((INDEX(SPLIT(A2566,"",""),1)),""."","","",1))"),57.490054)</f>
        <v>57.490054</v>
      </c>
      <c r="Q2566" s="13">
        <f>IFERROR(__xludf.DUMMYFUNCTION("VALUE(SUBSTITUTE((INDEX(SPLIT(A2566,"",""),2)),""."","","",1))"),42.129109)</f>
        <v>42.129109</v>
      </c>
      <c r="R2566" s="14" t="b">
        <f t="shared" si="1"/>
        <v>0</v>
      </c>
      <c r="S2566" s="14" t="str">
        <f t="shared" si="2"/>
        <v>57.490054,42.129109</v>
      </c>
      <c r="T2566" s="12"/>
    </row>
    <row r="2567">
      <c r="A2567" s="20" t="s">
        <v>16640</v>
      </c>
      <c r="B2567" s="16" t="s">
        <v>16641</v>
      </c>
      <c r="C2567" s="16" t="s">
        <v>16642</v>
      </c>
      <c r="D2567" s="16" t="s">
        <v>16</v>
      </c>
      <c r="E2567" s="21" t="s">
        <v>16643</v>
      </c>
      <c r="F2567" s="22" t="s">
        <v>12912</v>
      </c>
      <c r="G2567" s="16">
        <v>23.61</v>
      </c>
      <c r="H2567" s="16"/>
      <c r="I2567" s="22"/>
      <c r="J2567" s="22" t="s">
        <v>16644</v>
      </c>
      <c r="K2567" s="22" t="s">
        <v>16645</v>
      </c>
      <c r="L2567" s="23" t="s">
        <v>16646</v>
      </c>
      <c r="M2567" s="22"/>
      <c r="N2567" s="12"/>
      <c r="O2567" s="12"/>
      <c r="P2567" s="13">
        <f>IFERROR(__xludf.DUMMYFUNCTION("VALUE(SUBSTITUTE((INDEX(SPLIT(A2567,"",""),1)),""."","","",1))"),51.353125)</f>
        <v>51.353125</v>
      </c>
      <c r="Q2567" s="13">
        <f>IFERROR(__xludf.DUMMYFUNCTION("VALUE(SUBSTITUTE((INDEX(SPLIT(A2567,"",""),2)),""."","","",1))"),42.133152)</f>
        <v>42.133152</v>
      </c>
      <c r="R2567" s="14" t="b">
        <f t="shared" si="1"/>
        <v>0</v>
      </c>
      <c r="S2567" s="14" t="str">
        <f t="shared" si="2"/>
        <v>51.353125,42.133152</v>
      </c>
      <c r="T2567" s="12"/>
    </row>
    <row r="2568">
      <c r="A2568" s="18" t="s">
        <v>16647</v>
      </c>
      <c r="B2568" s="8" t="s">
        <v>16648</v>
      </c>
      <c r="C2568" s="8" t="s">
        <v>16649</v>
      </c>
      <c r="D2568" s="8" t="s">
        <v>16</v>
      </c>
      <c r="E2568" s="19" t="s">
        <v>16650</v>
      </c>
      <c r="F2568" s="8" t="s">
        <v>10789</v>
      </c>
      <c r="G2568" s="8">
        <v>23.61</v>
      </c>
      <c r="H2568" s="8"/>
      <c r="I2568" s="8"/>
      <c r="J2568" s="8" t="s">
        <v>16651</v>
      </c>
      <c r="K2568" s="8" t="s">
        <v>16652</v>
      </c>
      <c r="L2568" s="8"/>
      <c r="M2568" s="8"/>
      <c r="N2568" s="12"/>
      <c r="O2568" s="12"/>
      <c r="P2568" s="13">
        <f>IFERROR(__xludf.DUMMYFUNCTION("VALUE(SUBSTITUTE((INDEX(SPLIT(A2568,"",""),1)),""."","","",1))"),56.242029)</f>
        <v>56.242029</v>
      </c>
      <c r="Q2568" s="13">
        <f>IFERROR(__xludf.DUMMYFUNCTION("VALUE(SUBSTITUTE((INDEX(SPLIT(A2568,"",""),2)),""."","","",1))"),42.13723)</f>
        <v>42.13723</v>
      </c>
      <c r="R2568" s="14" t="b">
        <f t="shared" si="1"/>
        <v>0</v>
      </c>
      <c r="S2568" s="14" t="str">
        <f t="shared" si="2"/>
        <v>56.242029,42.13723</v>
      </c>
      <c r="T2568" s="12"/>
    </row>
    <row r="2569">
      <c r="A2569" s="20" t="s">
        <v>16653</v>
      </c>
      <c r="B2569" s="16" t="s">
        <v>16654</v>
      </c>
      <c r="C2569" s="16" t="s">
        <v>16655</v>
      </c>
      <c r="D2569" s="16" t="s">
        <v>16</v>
      </c>
      <c r="E2569" s="21" t="s">
        <v>16656</v>
      </c>
      <c r="F2569" s="22" t="s">
        <v>9563</v>
      </c>
      <c r="G2569" s="16">
        <v>23.61</v>
      </c>
      <c r="H2569" s="16"/>
      <c r="I2569" s="28" t="s">
        <v>16657</v>
      </c>
      <c r="J2569" s="22" t="s">
        <v>16658</v>
      </c>
      <c r="K2569" s="22" t="s">
        <v>16659</v>
      </c>
      <c r="L2569" s="23" t="s">
        <v>16660</v>
      </c>
      <c r="M2569" s="22"/>
      <c r="N2569" s="12"/>
      <c r="O2569" s="12"/>
      <c r="P2569" s="13">
        <f>IFERROR(__xludf.DUMMYFUNCTION("VALUE(SUBSTITUTE((INDEX(SPLIT(A2569,"",""),1)),""."","","",1))"),47.521492)</f>
        <v>47.521492</v>
      </c>
      <c r="Q2569" s="13">
        <f>IFERROR(__xludf.DUMMYFUNCTION("VALUE(SUBSTITUTE((INDEX(SPLIT(A2569,"",""),2)),""."","","",1))"),42.150507)</f>
        <v>42.150507</v>
      </c>
      <c r="R2569" s="14" t="b">
        <f t="shared" si="1"/>
        <v>0</v>
      </c>
      <c r="S2569" s="14" t="str">
        <f t="shared" si="2"/>
        <v>47.521492,42.150507</v>
      </c>
      <c r="T2569" s="12"/>
    </row>
    <row r="2570">
      <c r="A2570" s="7" t="s">
        <v>16661</v>
      </c>
      <c r="B2570" s="8" t="s">
        <v>16662</v>
      </c>
      <c r="C2570" s="8" t="s">
        <v>16663</v>
      </c>
      <c r="D2570" s="8" t="s">
        <v>16</v>
      </c>
      <c r="E2570" s="9" t="s">
        <v>16664</v>
      </c>
      <c r="F2570" s="10" t="s">
        <v>12717</v>
      </c>
      <c r="G2570" s="8">
        <v>23.61</v>
      </c>
      <c r="H2570" s="8"/>
      <c r="I2570" s="10"/>
      <c r="J2570" s="10" t="s">
        <v>16665</v>
      </c>
      <c r="K2570" s="10" t="s">
        <v>16666</v>
      </c>
      <c r="L2570" s="11" t="s">
        <v>16667</v>
      </c>
      <c r="M2570" s="10"/>
      <c r="N2570" s="12"/>
      <c r="O2570" s="12"/>
      <c r="P2570" s="13">
        <f>IFERROR(__xludf.DUMMYFUNCTION("VALUE(SUBSTITUTE((INDEX(SPLIT(A2570,"",""),1)),""."","","",1))"),57.417383)</f>
        <v>57.417383</v>
      </c>
      <c r="Q2570" s="13">
        <f>IFERROR(__xludf.DUMMYFUNCTION("VALUE(SUBSTITUTE((INDEX(SPLIT(A2570,"",""),2)),""."","","",1))"),42.162661)</f>
        <v>42.162661</v>
      </c>
      <c r="R2570" s="14" t="b">
        <f t="shared" si="1"/>
        <v>0</v>
      </c>
      <c r="S2570" s="14" t="str">
        <f t="shared" si="2"/>
        <v>57.417383,42.162661</v>
      </c>
      <c r="T2570" s="12"/>
    </row>
    <row r="2571">
      <c r="A2571" s="15" t="s">
        <v>16668</v>
      </c>
      <c r="B2571" s="16" t="s">
        <v>16669</v>
      </c>
      <c r="C2571" s="16" t="s">
        <v>16670</v>
      </c>
      <c r="D2571" s="16" t="s">
        <v>16</v>
      </c>
      <c r="E2571" s="17" t="s">
        <v>16671</v>
      </c>
      <c r="F2571" s="16" t="s">
        <v>12912</v>
      </c>
      <c r="G2571" s="16">
        <v>23.61</v>
      </c>
      <c r="H2571" s="16"/>
      <c r="I2571" s="16"/>
      <c r="J2571" s="16" t="s">
        <v>16672</v>
      </c>
      <c r="K2571" s="16" t="s">
        <v>16673</v>
      </c>
      <c r="L2571" s="16"/>
      <c r="M2571" s="16"/>
      <c r="N2571" s="12"/>
      <c r="O2571" s="12"/>
      <c r="P2571" s="13">
        <f>IFERROR(__xludf.DUMMYFUNCTION("VALUE(SUBSTITUTE((INDEX(SPLIT(A2571,"",""),1)),""."","","",1))"),57.416365)</f>
        <v>57.416365</v>
      </c>
      <c r="Q2571" s="13">
        <f>IFERROR(__xludf.DUMMYFUNCTION("VALUE(SUBSTITUTE((INDEX(SPLIT(A2571,"",""),2)),""."","","",1))"),42.163335)</f>
        <v>42.163335</v>
      </c>
      <c r="R2571" s="14" t="b">
        <f t="shared" si="1"/>
        <v>0</v>
      </c>
      <c r="S2571" s="14" t="str">
        <f t="shared" si="2"/>
        <v>57.416365,42.163335</v>
      </c>
      <c r="T2571" s="12"/>
    </row>
    <row r="2572">
      <c r="A2572" s="7" t="s">
        <v>16674</v>
      </c>
      <c r="B2572" s="8" t="s">
        <v>16675</v>
      </c>
      <c r="C2572" s="8" t="s">
        <v>16676</v>
      </c>
      <c r="D2572" s="8" t="s">
        <v>16</v>
      </c>
      <c r="E2572" s="9" t="s">
        <v>16677</v>
      </c>
      <c r="F2572" s="10" t="s">
        <v>10789</v>
      </c>
      <c r="G2572" s="8">
        <v>23.61</v>
      </c>
      <c r="H2572" s="8"/>
      <c r="I2572" s="10"/>
      <c r="J2572" s="10" t="s">
        <v>16678</v>
      </c>
      <c r="K2572" s="10" t="s">
        <v>16679</v>
      </c>
      <c r="L2572" s="11" t="s">
        <v>16680</v>
      </c>
      <c r="M2572" s="10"/>
      <c r="N2572" s="12"/>
      <c r="O2572" s="12"/>
      <c r="P2572" s="13">
        <f>IFERROR(__xludf.DUMMYFUNCTION("VALUE(SUBSTITUTE((INDEX(SPLIT(A2572,"",""),1)),""."","","",1))"),55.321487)</f>
        <v>55.321487</v>
      </c>
      <c r="Q2572" s="13">
        <f>IFERROR(__xludf.DUMMYFUNCTION("VALUE(SUBSTITUTE((INDEX(SPLIT(A2572,"",""),2)),""."","","",1))"),42.168015)</f>
        <v>42.168015</v>
      </c>
      <c r="R2572" s="14" t="b">
        <f t="shared" si="1"/>
        <v>0</v>
      </c>
      <c r="S2572" s="14" t="str">
        <f t="shared" si="2"/>
        <v>55.321487,42.168015</v>
      </c>
      <c r="T2572" s="12"/>
    </row>
    <row r="2573">
      <c r="A2573" s="15" t="s">
        <v>16681</v>
      </c>
      <c r="B2573" s="16" t="s">
        <v>16682</v>
      </c>
      <c r="C2573" s="16" t="s">
        <v>16683</v>
      </c>
      <c r="D2573" s="16" t="s">
        <v>16</v>
      </c>
      <c r="E2573" s="17" t="s">
        <v>16684</v>
      </c>
      <c r="F2573" s="16" t="s">
        <v>10789</v>
      </c>
      <c r="G2573" s="16">
        <v>23.61</v>
      </c>
      <c r="H2573" s="16"/>
      <c r="I2573" s="16"/>
      <c r="J2573" s="16" t="s">
        <v>16685</v>
      </c>
      <c r="K2573" s="16" t="s">
        <v>16679</v>
      </c>
      <c r="L2573" s="16"/>
      <c r="M2573" s="16"/>
      <c r="N2573" s="12"/>
      <c r="O2573" s="12"/>
      <c r="P2573" s="13">
        <f>IFERROR(__xludf.DUMMYFUNCTION("VALUE(SUBSTITUTE((INDEX(SPLIT(A2573,"",""),1)),""."","","",1))"),47.52482)</f>
        <v>47.52482</v>
      </c>
      <c r="Q2573" s="13">
        <f>IFERROR(__xludf.DUMMYFUNCTION("VALUE(SUBSTITUTE((INDEX(SPLIT(A2573,"",""),2)),""."","","",1))"),42.196744)</f>
        <v>42.196744</v>
      </c>
      <c r="R2573" s="14" t="b">
        <f t="shared" si="1"/>
        <v>0</v>
      </c>
      <c r="S2573" s="14" t="str">
        <f t="shared" si="2"/>
        <v>47.52482,42.196744</v>
      </c>
      <c r="T2573" s="12"/>
    </row>
    <row r="2574">
      <c r="A2574" s="7" t="s">
        <v>16686</v>
      </c>
      <c r="B2574" s="8" t="s">
        <v>16687</v>
      </c>
      <c r="C2574" s="8" t="s">
        <v>16688</v>
      </c>
      <c r="D2574" s="8" t="s">
        <v>16</v>
      </c>
      <c r="E2574" s="9" t="s">
        <v>16689</v>
      </c>
      <c r="F2574" s="10" t="s">
        <v>16486</v>
      </c>
      <c r="G2574" s="8">
        <v>23.61</v>
      </c>
      <c r="H2574" s="8"/>
      <c r="I2574" s="10"/>
      <c r="J2574" s="10" t="s">
        <v>16690</v>
      </c>
      <c r="K2574" s="10" t="s">
        <v>16691</v>
      </c>
      <c r="L2574" s="11" t="s">
        <v>16692</v>
      </c>
      <c r="M2574" s="10"/>
      <c r="N2574" s="12"/>
      <c r="O2574" s="12"/>
      <c r="P2574" s="13">
        <f>IFERROR(__xludf.DUMMYFUNCTION("VALUE(SUBSTITUTE((INDEX(SPLIT(A2574,"",""),1)),""."","","",1))"),47.48741)</f>
        <v>47.48741</v>
      </c>
      <c r="Q2574" s="13">
        <f>IFERROR(__xludf.DUMMYFUNCTION("VALUE(SUBSTITUTE((INDEX(SPLIT(A2574,"",""),2)),""."","","",1))"),42.231212)</f>
        <v>42.231212</v>
      </c>
      <c r="R2574" s="14" t="b">
        <f t="shared" si="1"/>
        <v>0</v>
      </c>
      <c r="S2574" s="14" t="str">
        <f t="shared" si="2"/>
        <v>47.48741,42.231212</v>
      </c>
      <c r="T2574" s="12"/>
    </row>
    <row r="2575">
      <c r="A2575" s="15" t="s">
        <v>16686</v>
      </c>
      <c r="B2575" s="16" t="s">
        <v>16693</v>
      </c>
      <c r="C2575" s="16" t="s">
        <v>16694</v>
      </c>
      <c r="D2575" s="16" t="s">
        <v>16</v>
      </c>
      <c r="E2575" s="17" t="s">
        <v>16695</v>
      </c>
      <c r="F2575" s="16" t="s">
        <v>12912</v>
      </c>
      <c r="G2575" s="16">
        <v>23.61</v>
      </c>
      <c r="H2575" s="16"/>
      <c r="I2575" s="16"/>
      <c r="J2575" s="16" t="s">
        <v>16696</v>
      </c>
      <c r="K2575" s="16" t="s">
        <v>16697</v>
      </c>
      <c r="L2575" s="16"/>
      <c r="M2575" s="25" t="s">
        <v>16698</v>
      </c>
      <c r="N2575" s="12"/>
      <c r="O2575" s="12"/>
      <c r="P2575" s="13">
        <f>IFERROR(__xludf.DUMMYFUNCTION("VALUE(SUBSTITUTE((INDEX(SPLIT(A2575,"",""),1)),""."","","",1))"),47.48741)</f>
        <v>47.48741</v>
      </c>
      <c r="Q2575" s="13">
        <f>IFERROR(__xludf.DUMMYFUNCTION("VALUE(SUBSTITUTE((INDEX(SPLIT(A2575,"",""),2)),""."","","",1))"),42.231212)</f>
        <v>42.231212</v>
      </c>
      <c r="R2575" s="14" t="b">
        <f t="shared" si="1"/>
        <v>0</v>
      </c>
      <c r="S2575" s="14" t="str">
        <f t="shared" si="2"/>
        <v>47.48741,42.231212</v>
      </c>
      <c r="T2575" s="12"/>
    </row>
    <row r="2576">
      <c r="A2576" s="18" t="s">
        <v>16699</v>
      </c>
      <c r="B2576" s="8" t="s">
        <v>16700</v>
      </c>
      <c r="C2576" s="8" t="s">
        <v>16701</v>
      </c>
      <c r="D2576" s="8" t="s">
        <v>16</v>
      </c>
      <c r="E2576" s="19" t="s">
        <v>16702</v>
      </c>
      <c r="F2576" s="8" t="s">
        <v>12912</v>
      </c>
      <c r="G2576" s="8">
        <v>23.61</v>
      </c>
      <c r="H2576" s="8"/>
      <c r="I2576" s="27" t="s">
        <v>16703</v>
      </c>
      <c r="J2576" s="8" t="s">
        <v>16704</v>
      </c>
      <c r="K2576" s="8" t="s">
        <v>16705</v>
      </c>
      <c r="L2576" s="8"/>
      <c r="M2576" s="8"/>
      <c r="N2576" s="12"/>
      <c r="O2576" s="12"/>
      <c r="P2576" s="13">
        <f>IFERROR(__xludf.DUMMYFUNCTION("VALUE(SUBSTITUTE((INDEX(SPLIT(A2576,"",""),1)),""."","","",1))"),51.280749)</f>
        <v>51.280749</v>
      </c>
      <c r="Q2576" s="13">
        <f>IFERROR(__xludf.DUMMYFUNCTION("VALUE(SUBSTITUTE((INDEX(SPLIT(A2576,"",""),2)),""."","","",1))"),42.284742)</f>
        <v>42.284742</v>
      </c>
      <c r="R2576" s="14" t="b">
        <f t="shared" si="1"/>
        <v>0</v>
      </c>
      <c r="S2576" s="14" t="str">
        <f t="shared" si="2"/>
        <v>51.280749,42.284742</v>
      </c>
      <c r="T2576" s="12"/>
    </row>
    <row r="2577">
      <c r="A2577" s="20" t="s">
        <v>16706</v>
      </c>
      <c r="B2577" s="16" t="s">
        <v>16707</v>
      </c>
      <c r="C2577" s="16" t="s">
        <v>16708</v>
      </c>
      <c r="D2577" s="16" t="s">
        <v>16</v>
      </c>
      <c r="E2577" s="21" t="s">
        <v>16709</v>
      </c>
      <c r="F2577" s="22" t="s">
        <v>12912</v>
      </c>
      <c r="G2577" s="16">
        <v>23.61</v>
      </c>
      <c r="H2577" s="16"/>
      <c r="I2577" s="22"/>
      <c r="J2577" s="22" t="s">
        <v>16710</v>
      </c>
      <c r="K2577" s="22" t="s">
        <v>16711</v>
      </c>
      <c r="L2577" s="23" t="s">
        <v>16712</v>
      </c>
      <c r="M2577" s="22"/>
      <c r="N2577" s="12"/>
      <c r="O2577" s="12"/>
      <c r="P2577" s="13">
        <f>IFERROR(__xludf.DUMMYFUNCTION("VALUE(SUBSTITUTE((INDEX(SPLIT(A2577,"",""),1)),""."","","",1))"),44.253928)</f>
        <v>44.253928</v>
      </c>
      <c r="Q2577" s="13">
        <f>IFERROR(__xludf.DUMMYFUNCTION("VALUE(SUBSTITUTE((INDEX(SPLIT(A2577,"",""),2)),""."","","",1))"),42.483782)</f>
        <v>42.483782</v>
      </c>
      <c r="R2577" s="14" t="b">
        <f t="shared" si="1"/>
        <v>0</v>
      </c>
      <c r="S2577" s="14" t="str">
        <f t="shared" si="2"/>
        <v>44.253928,42.483782</v>
      </c>
      <c r="T2577" s="12"/>
    </row>
    <row r="2578">
      <c r="A2578" s="18" t="s">
        <v>16713</v>
      </c>
      <c r="B2578" s="8" t="s">
        <v>16714</v>
      </c>
      <c r="C2578" s="8" t="s">
        <v>16715</v>
      </c>
      <c r="D2578" s="8" t="s">
        <v>16</v>
      </c>
      <c r="E2578" s="19" t="s">
        <v>16716</v>
      </c>
      <c r="F2578" s="8" t="s">
        <v>9563</v>
      </c>
      <c r="G2578" s="8">
        <v>23.61</v>
      </c>
      <c r="H2578" s="8"/>
      <c r="I2578" s="8"/>
      <c r="J2578" s="8" t="s">
        <v>16717</v>
      </c>
      <c r="K2578" s="8" t="s">
        <v>16718</v>
      </c>
      <c r="L2578" s="8"/>
      <c r="M2578" s="8"/>
      <c r="N2578" s="12"/>
      <c r="O2578" s="12"/>
      <c r="P2578" s="13">
        <f>IFERROR(__xludf.DUMMYFUNCTION("VALUE(SUBSTITUTE((INDEX(SPLIT(A2578,"",""),1)),""."","","",1))"),43.946642)</f>
        <v>43.946642</v>
      </c>
      <c r="Q2578" s="13">
        <f>IFERROR(__xludf.DUMMYFUNCTION("VALUE(SUBSTITUTE((INDEX(SPLIT(A2578,"",""),2)),""."","","",1))"),42.522176)</f>
        <v>42.522176</v>
      </c>
      <c r="R2578" s="14" t="b">
        <f t="shared" si="1"/>
        <v>0</v>
      </c>
      <c r="S2578" s="14" t="str">
        <f t="shared" si="2"/>
        <v>43.946642,42.522176</v>
      </c>
      <c r="T2578" s="12"/>
    </row>
    <row r="2579">
      <c r="A2579" s="20" t="s">
        <v>16719</v>
      </c>
      <c r="B2579" s="16" t="s">
        <v>16720</v>
      </c>
      <c r="C2579" s="16" t="s">
        <v>16721</v>
      </c>
      <c r="D2579" s="16" t="s">
        <v>16</v>
      </c>
      <c r="E2579" s="21" t="s">
        <v>16722</v>
      </c>
      <c r="F2579" s="22" t="s">
        <v>16285</v>
      </c>
      <c r="G2579" s="16">
        <v>23.61</v>
      </c>
      <c r="H2579" s="16"/>
      <c r="I2579" s="22"/>
      <c r="J2579" s="22" t="s">
        <v>16723</v>
      </c>
      <c r="K2579" s="22" t="s">
        <v>16724</v>
      </c>
      <c r="L2579" s="23" t="s">
        <v>16725</v>
      </c>
      <c r="M2579" s="23" t="s">
        <v>16726</v>
      </c>
      <c r="N2579" s="12"/>
      <c r="O2579" s="12"/>
      <c r="P2579" s="13">
        <f>IFERROR(__xludf.DUMMYFUNCTION("VALUE(SUBSTITUTE((INDEX(SPLIT(A2579,"",""),1)),""."","","",1))"),44.175992)</f>
        <v>44.175992</v>
      </c>
      <c r="Q2579" s="13">
        <f>IFERROR(__xludf.DUMMYFUNCTION("VALUE(SUBSTITUTE((INDEX(SPLIT(A2579,"",""),2)),""."","","",1))"),42.675402)</f>
        <v>42.675402</v>
      </c>
      <c r="R2579" s="14" t="b">
        <f t="shared" si="1"/>
        <v>0</v>
      </c>
      <c r="S2579" s="14" t="str">
        <f t="shared" si="2"/>
        <v>44.175992,42.675402</v>
      </c>
      <c r="T2579" s="12"/>
    </row>
    <row r="2580">
      <c r="A2580" s="7" t="s">
        <v>16727</v>
      </c>
      <c r="B2580" s="8" t="s">
        <v>16728</v>
      </c>
      <c r="C2580" s="8" t="s">
        <v>16729</v>
      </c>
      <c r="D2580" s="8" t="s">
        <v>16</v>
      </c>
      <c r="E2580" s="9" t="s">
        <v>16730</v>
      </c>
      <c r="F2580" s="10" t="s">
        <v>16731</v>
      </c>
      <c r="G2580" s="8">
        <v>23.61</v>
      </c>
      <c r="H2580" s="8"/>
      <c r="I2580" s="10"/>
      <c r="J2580" s="10" t="s">
        <v>16732</v>
      </c>
      <c r="K2580" s="10" t="s">
        <v>16733</v>
      </c>
      <c r="L2580" s="11" t="s">
        <v>16734</v>
      </c>
      <c r="M2580" s="10"/>
      <c r="N2580" s="12"/>
      <c r="O2580" s="12"/>
      <c r="P2580" s="13">
        <f>IFERROR(__xludf.DUMMYFUNCTION("VALUE(SUBSTITUTE((INDEX(SPLIT(A2580,"",""),1)),""."","","",1))"),56.204504)</f>
        <v>56.204504</v>
      </c>
      <c r="Q2580" s="13">
        <f>IFERROR(__xludf.DUMMYFUNCTION("VALUE(SUBSTITUTE((INDEX(SPLIT(A2580,"",""),2)),""."","","",1))"),42.691814)</f>
        <v>42.691814</v>
      </c>
      <c r="R2580" s="14" t="b">
        <f t="shared" si="1"/>
        <v>0</v>
      </c>
      <c r="S2580" s="14" t="str">
        <f t="shared" si="2"/>
        <v>56.204504,42.691814</v>
      </c>
      <c r="T2580" s="12"/>
    </row>
    <row r="2581">
      <c r="A2581" s="15" t="s">
        <v>16735</v>
      </c>
      <c r="B2581" s="16" t="s">
        <v>16736</v>
      </c>
      <c r="C2581" s="16" t="s">
        <v>16737</v>
      </c>
      <c r="D2581" s="16" t="s">
        <v>16</v>
      </c>
      <c r="E2581" s="17" t="s">
        <v>16738</v>
      </c>
      <c r="F2581" s="16" t="s">
        <v>16285</v>
      </c>
      <c r="G2581" s="16">
        <v>23.61</v>
      </c>
      <c r="H2581" s="16"/>
      <c r="I2581" s="16"/>
      <c r="J2581" s="16" t="s">
        <v>16739</v>
      </c>
      <c r="K2581" s="16" t="s">
        <v>16740</v>
      </c>
      <c r="L2581" s="16"/>
      <c r="M2581" s="16"/>
      <c r="N2581" s="12"/>
      <c r="O2581" s="12"/>
      <c r="P2581" s="13">
        <f>IFERROR(__xludf.DUMMYFUNCTION("VALUE(SUBSTITUTE((INDEX(SPLIT(A2581,"",""),1)),""."","","",1))"),43.920805)</f>
        <v>43.920805</v>
      </c>
      <c r="Q2581" s="13">
        <f>IFERROR(__xludf.DUMMYFUNCTION("VALUE(SUBSTITUTE((INDEX(SPLIT(A2581,"",""),2)),""."","","",1))"),42.745695)</f>
        <v>42.745695</v>
      </c>
      <c r="R2581" s="14" t="b">
        <f t="shared" si="1"/>
        <v>0</v>
      </c>
      <c r="S2581" s="14" t="str">
        <f t="shared" si="2"/>
        <v>43.920805,42.745695</v>
      </c>
      <c r="T2581" s="12"/>
    </row>
    <row r="2582">
      <c r="A2582" s="7" t="s">
        <v>16741</v>
      </c>
      <c r="B2582" s="8" t="s">
        <v>16742</v>
      </c>
      <c r="C2582" s="8" t="s">
        <v>16743</v>
      </c>
      <c r="D2582" s="8" t="s">
        <v>16</v>
      </c>
      <c r="E2582" s="9" t="s">
        <v>16744</v>
      </c>
      <c r="F2582" s="10" t="s">
        <v>12993</v>
      </c>
      <c r="G2582" s="8">
        <v>23.61</v>
      </c>
      <c r="H2582" s="8"/>
      <c r="I2582" s="10"/>
      <c r="J2582" s="10" t="s">
        <v>16745</v>
      </c>
      <c r="K2582" s="10" t="s">
        <v>16746</v>
      </c>
      <c r="L2582" s="11" t="s">
        <v>16747</v>
      </c>
      <c r="M2582" s="11" t="s">
        <v>16748</v>
      </c>
      <c r="N2582" s="12"/>
      <c r="O2582" s="12"/>
      <c r="P2582" s="13">
        <f>IFERROR(__xludf.DUMMYFUNCTION("VALUE(SUBSTITUTE((INDEX(SPLIT(A2582,"",""),1)),""."","","",1))"),45.361267)</f>
        <v>45.361267</v>
      </c>
      <c r="Q2582" s="13">
        <f>IFERROR(__xludf.DUMMYFUNCTION("VALUE(SUBSTITUTE((INDEX(SPLIT(A2582,"",""),2)),""."","","",1))"),42.81562)</f>
        <v>42.81562</v>
      </c>
      <c r="R2582" s="14" t="b">
        <f t="shared" si="1"/>
        <v>0</v>
      </c>
      <c r="S2582" s="14" t="str">
        <f t="shared" si="2"/>
        <v>45.361267,42.81562</v>
      </c>
      <c r="T2582" s="12"/>
    </row>
    <row r="2583">
      <c r="A2583" s="20" t="s">
        <v>16749</v>
      </c>
      <c r="B2583" s="16" t="s">
        <v>16750</v>
      </c>
      <c r="C2583" s="16" t="s">
        <v>16751</v>
      </c>
      <c r="D2583" s="16" t="s">
        <v>16</v>
      </c>
      <c r="E2583" s="21" t="s">
        <v>16752</v>
      </c>
      <c r="F2583" s="22" t="s">
        <v>12717</v>
      </c>
      <c r="G2583" s="16">
        <v>23.61</v>
      </c>
      <c r="H2583" s="16"/>
      <c r="I2583" s="22"/>
      <c r="J2583" s="22" t="s">
        <v>16753</v>
      </c>
      <c r="K2583" s="22" t="s">
        <v>16754</v>
      </c>
      <c r="L2583" s="23" t="s">
        <v>16755</v>
      </c>
      <c r="M2583" s="23" t="s">
        <v>16756</v>
      </c>
      <c r="N2583" s="12"/>
      <c r="O2583" s="12"/>
      <c r="P2583" s="13">
        <f>IFERROR(__xludf.DUMMYFUNCTION("VALUE(SUBSTITUTE((INDEX(SPLIT(A2583,"",""),1)),""."","","",1))"),44.034067)</f>
        <v>44.034067</v>
      </c>
      <c r="Q2583" s="13">
        <f>IFERROR(__xludf.DUMMYFUNCTION("VALUE(SUBSTITUTE((INDEX(SPLIT(A2583,"",""),2)),""."","","",1))"),42.843773)</f>
        <v>42.843773</v>
      </c>
      <c r="R2583" s="14" t="b">
        <f t="shared" si="1"/>
        <v>0</v>
      </c>
      <c r="S2583" s="14" t="str">
        <f t="shared" si="2"/>
        <v>44.034067,42.843773</v>
      </c>
      <c r="T2583" s="12"/>
    </row>
    <row r="2584">
      <c r="A2584" s="7" t="s">
        <v>16757</v>
      </c>
      <c r="B2584" s="8" t="s">
        <v>16758</v>
      </c>
      <c r="C2584" s="8" t="s">
        <v>16759</v>
      </c>
      <c r="D2584" s="8" t="s">
        <v>16</v>
      </c>
      <c r="E2584" s="9" t="s">
        <v>16760</v>
      </c>
      <c r="F2584" s="10" t="s">
        <v>12993</v>
      </c>
      <c r="G2584" s="8">
        <v>23.61</v>
      </c>
      <c r="H2584" s="8"/>
      <c r="I2584" s="10"/>
      <c r="J2584" s="10" t="s">
        <v>16761</v>
      </c>
      <c r="K2584" s="10" t="s">
        <v>16762</v>
      </c>
      <c r="L2584" s="11" t="s">
        <v>16763</v>
      </c>
      <c r="M2584" s="10"/>
      <c r="N2584" s="12"/>
      <c r="O2584" s="12"/>
      <c r="P2584" s="13">
        <f>IFERROR(__xludf.DUMMYFUNCTION("VALUE(SUBSTITUTE((INDEX(SPLIT(A2584,"",""),1)),""."","","",1))"),44.042413)</f>
        <v>44.042413</v>
      </c>
      <c r="Q2584" s="13">
        <f>IFERROR(__xludf.DUMMYFUNCTION("VALUE(SUBSTITUTE((INDEX(SPLIT(A2584,"",""),2)),""."","","",1))"),42.849379)</f>
        <v>42.849379</v>
      </c>
      <c r="R2584" s="14" t="b">
        <f t="shared" si="1"/>
        <v>0</v>
      </c>
      <c r="S2584" s="14" t="str">
        <f t="shared" si="2"/>
        <v>44.042413,42.849379</v>
      </c>
      <c r="T2584" s="12"/>
    </row>
    <row r="2585">
      <c r="A2585" s="15" t="s">
        <v>16764</v>
      </c>
      <c r="B2585" s="16" t="s">
        <v>16765</v>
      </c>
      <c r="C2585" s="16" t="s">
        <v>16766</v>
      </c>
      <c r="D2585" s="16" t="s">
        <v>16</v>
      </c>
      <c r="E2585" s="17" t="s">
        <v>16767</v>
      </c>
      <c r="F2585" s="16" t="s">
        <v>1448</v>
      </c>
      <c r="G2585" s="16">
        <v>23.61</v>
      </c>
      <c r="H2585" s="16"/>
      <c r="I2585" s="16"/>
      <c r="J2585" s="16" t="s">
        <v>16768</v>
      </c>
      <c r="K2585" s="16" t="s">
        <v>16769</v>
      </c>
      <c r="L2585" s="16"/>
      <c r="M2585" s="16"/>
      <c r="N2585" s="12"/>
      <c r="O2585" s="12"/>
      <c r="P2585" s="13">
        <f>IFERROR(__xludf.DUMMYFUNCTION("VALUE(SUBSTITUTE((INDEX(SPLIT(A2585,"",""),1)),""."","","",1))"),44.031099)</f>
        <v>44.031099</v>
      </c>
      <c r="Q2585" s="13">
        <f>IFERROR(__xludf.DUMMYFUNCTION("VALUE(SUBSTITUTE((INDEX(SPLIT(A2585,"",""),2)),""."","","",1))"),42.850322)</f>
        <v>42.850322</v>
      </c>
      <c r="R2585" s="14" t="b">
        <f t="shared" si="1"/>
        <v>0</v>
      </c>
      <c r="S2585" s="14" t="str">
        <f t="shared" si="2"/>
        <v>44.031099,42.850322</v>
      </c>
      <c r="T2585" s="12"/>
    </row>
    <row r="2586">
      <c r="A2586" s="7" t="s">
        <v>16770</v>
      </c>
      <c r="B2586" s="8" t="s">
        <v>16771</v>
      </c>
      <c r="C2586" s="8" t="s">
        <v>16772</v>
      </c>
      <c r="D2586" s="8" t="s">
        <v>16</v>
      </c>
      <c r="E2586" s="9" t="s">
        <v>16773</v>
      </c>
      <c r="F2586" s="10" t="s">
        <v>12993</v>
      </c>
      <c r="G2586" s="8">
        <v>23.61</v>
      </c>
      <c r="H2586" s="8"/>
      <c r="I2586" s="31" t="s">
        <v>16774</v>
      </c>
      <c r="J2586" s="10" t="s">
        <v>16775</v>
      </c>
      <c r="K2586" s="10" t="s">
        <v>16776</v>
      </c>
      <c r="L2586" s="11" t="s">
        <v>16777</v>
      </c>
      <c r="M2586" s="10"/>
      <c r="N2586" s="12"/>
      <c r="O2586" s="12"/>
      <c r="P2586" s="13">
        <f>IFERROR(__xludf.DUMMYFUNCTION("VALUE(SUBSTITUTE((INDEX(SPLIT(A2586,"",""),1)),""."","","",1))"),44.04623)</f>
        <v>44.04623</v>
      </c>
      <c r="Q2586" s="13">
        <f>IFERROR(__xludf.DUMMYFUNCTION("VALUE(SUBSTITUTE((INDEX(SPLIT(A2586,"",""),2)),""."","","",1))"),42.852765)</f>
        <v>42.852765</v>
      </c>
      <c r="R2586" s="14" t="b">
        <f t="shared" si="1"/>
        <v>0</v>
      </c>
      <c r="S2586" s="14" t="str">
        <f t="shared" si="2"/>
        <v>44.04623,42.852765</v>
      </c>
      <c r="T2586" s="12"/>
    </row>
    <row r="2587">
      <c r="A2587" s="20" t="s">
        <v>16778</v>
      </c>
      <c r="B2587" s="16" t="s">
        <v>16779</v>
      </c>
      <c r="C2587" s="16" t="s">
        <v>16779</v>
      </c>
      <c r="D2587" s="16" t="s">
        <v>16</v>
      </c>
      <c r="E2587" s="21" t="s">
        <v>16780</v>
      </c>
      <c r="F2587" s="22" t="s">
        <v>16443</v>
      </c>
      <c r="G2587" s="16">
        <v>23.61</v>
      </c>
      <c r="H2587" s="16"/>
      <c r="I2587" s="22"/>
      <c r="J2587" s="22" t="s">
        <v>16781</v>
      </c>
      <c r="K2587" s="22" t="s">
        <v>16782</v>
      </c>
      <c r="L2587" s="23" t="s">
        <v>16783</v>
      </c>
      <c r="M2587" s="22"/>
      <c r="N2587" s="12"/>
      <c r="O2587" s="12"/>
      <c r="P2587" s="13">
        <f>IFERROR(__xludf.DUMMYFUNCTION("VALUE(SUBSTITUTE((INDEX(SPLIT(A2587,"",""),1)),""."","","",1))"),44.048621)</f>
        <v>44.048621</v>
      </c>
      <c r="Q2587" s="13">
        <f>IFERROR(__xludf.DUMMYFUNCTION("VALUE(SUBSTITUTE((INDEX(SPLIT(A2587,"",""),2)),""."","","",1))"),42.857607)</f>
        <v>42.857607</v>
      </c>
      <c r="R2587" s="14" t="b">
        <f t="shared" si="1"/>
        <v>0</v>
      </c>
      <c r="S2587" s="14" t="str">
        <f t="shared" si="2"/>
        <v>44.048621,42.857607</v>
      </c>
      <c r="T2587" s="12"/>
    </row>
    <row r="2588">
      <c r="A2588" s="18" t="s">
        <v>16784</v>
      </c>
      <c r="B2588" s="8" t="s">
        <v>16785</v>
      </c>
      <c r="C2588" s="8" t="s">
        <v>16785</v>
      </c>
      <c r="D2588" s="8" t="s">
        <v>16</v>
      </c>
      <c r="E2588" s="19" t="s">
        <v>16786</v>
      </c>
      <c r="F2588" s="8" t="s">
        <v>1448</v>
      </c>
      <c r="G2588" s="8">
        <v>23.61</v>
      </c>
      <c r="H2588" s="8"/>
      <c r="I2588" s="8"/>
      <c r="J2588" s="8" t="s">
        <v>16787</v>
      </c>
      <c r="K2588" s="8" t="s">
        <v>16788</v>
      </c>
      <c r="L2588" s="8"/>
      <c r="M2588" s="8"/>
      <c r="N2588" s="12"/>
      <c r="O2588" s="12"/>
      <c r="P2588" s="13">
        <f>IFERROR(__xludf.DUMMYFUNCTION("VALUE(SUBSTITUTE((INDEX(SPLIT(A2588,"",""),1)),""."","","",1))"),44.019911)</f>
        <v>44.019911</v>
      </c>
      <c r="Q2588" s="13">
        <f>IFERROR(__xludf.DUMMYFUNCTION("VALUE(SUBSTITUTE((INDEX(SPLIT(A2588,"",""),2)),""."","","",1))"),42.861308)</f>
        <v>42.861308</v>
      </c>
      <c r="R2588" s="14" t="b">
        <f t="shared" si="1"/>
        <v>0</v>
      </c>
      <c r="S2588" s="14" t="str">
        <f t="shared" si="2"/>
        <v>44.019911,42.861308</v>
      </c>
      <c r="T2588" s="12"/>
    </row>
    <row r="2589">
      <c r="A2589" s="15" t="s">
        <v>16789</v>
      </c>
      <c r="B2589" s="16" t="s">
        <v>16790</v>
      </c>
      <c r="C2589" s="16" t="s">
        <v>16791</v>
      </c>
      <c r="D2589" s="16" t="s">
        <v>16</v>
      </c>
      <c r="E2589" s="17" t="s">
        <v>16792</v>
      </c>
      <c r="F2589" s="16" t="s">
        <v>12993</v>
      </c>
      <c r="G2589" s="16">
        <v>23.61</v>
      </c>
      <c r="H2589" s="16"/>
      <c r="I2589" s="16"/>
      <c r="J2589" s="16" t="s">
        <v>16793</v>
      </c>
      <c r="K2589" s="16" t="s">
        <v>16794</v>
      </c>
      <c r="L2589" s="16"/>
      <c r="M2589" s="16"/>
      <c r="N2589" s="12"/>
      <c r="O2589" s="12"/>
      <c r="P2589" s="13">
        <f>IFERROR(__xludf.DUMMYFUNCTION("VALUE(SUBSTITUTE((INDEX(SPLIT(A2589,"",""),1)),""."","","",1))"),44.017214)</f>
        <v>44.017214</v>
      </c>
      <c r="Q2589" s="13">
        <f>IFERROR(__xludf.DUMMYFUNCTION("VALUE(SUBSTITUTE((INDEX(SPLIT(A2589,"",""),2)),""."","","",1))"),42.871253)</f>
        <v>42.871253</v>
      </c>
      <c r="R2589" s="14" t="b">
        <f t="shared" si="1"/>
        <v>0</v>
      </c>
      <c r="S2589" s="14" t="str">
        <f t="shared" si="2"/>
        <v>44.017214,42.871253</v>
      </c>
      <c r="T2589" s="12"/>
    </row>
    <row r="2590">
      <c r="A2590" s="7" t="s">
        <v>16795</v>
      </c>
      <c r="B2590" s="8" t="s">
        <v>16796</v>
      </c>
      <c r="C2590" s="8" t="s">
        <v>16797</v>
      </c>
      <c r="D2590" s="8" t="s">
        <v>16</v>
      </c>
      <c r="E2590" s="9" t="s">
        <v>16798</v>
      </c>
      <c r="F2590" s="10" t="s">
        <v>12993</v>
      </c>
      <c r="G2590" s="8">
        <v>23.61</v>
      </c>
      <c r="H2590" s="8"/>
      <c r="I2590" s="10"/>
      <c r="J2590" s="10" t="s">
        <v>16799</v>
      </c>
      <c r="K2590" s="10" t="s">
        <v>16800</v>
      </c>
      <c r="L2590" s="11" t="s">
        <v>16801</v>
      </c>
      <c r="M2590" s="10"/>
      <c r="N2590" s="12"/>
      <c r="O2590" s="12"/>
      <c r="P2590" s="13">
        <f>IFERROR(__xludf.DUMMYFUNCTION("VALUE(SUBSTITUTE((INDEX(SPLIT(A2590,"",""),1)),""."","","",1))"),44.032628)</f>
        <v>44.032628</v>
      </c>
      <c r="Q2590" s="13">
        <f>IFERROR(__xludf.DUMMYFUNCTION("VALUE(SUBSTITUTE((INDEX(SPLIT(A2590,"",""),2)),""."","","",1))"),42.879391)</f>
        <v>42.879391</v>
      </c>
      <c r="R2590" s="14" t="b">
        <f t="shared" si="1"/>
        <v>0</v>
      </c>
      <c r="S2590" s="14" t="str">
        <f t="shared" si="2"/>
        <v>44.032628,42.879391</v>
      </c>
      <c r="T2590" s="12"/>
    </row>
    <row r="2591">
      <c r="A2591" s="15" t="s">
        <v>16802</v>
      </c>
      <c r="B2591" s="16" t="s">
        <v>16803</v>
      </c>
      <c r="C2591" s="16" t="s">
        <v>16804</v>
      </c>
      <c r="D2591" s="16" t="s">
        <v>16</v>
      </c>
      <c r="E2591" s="17" t="s">
        <v>16805</v>
      </c>
      <c r="F2591" s="16" t="s">
        <v>12993</v>
      </c>
      <c r="G2591" s="16">
        <v>23.61</v>
      </c>
      <c r="H2591" s="16"/>
      <c r="I2591" s="16"/>
      <c r="J2591" s="16" t="s">
        <v>16806</v>
      </c>
      <c r="K2591" s="16" t="s">
        <v>16807</v>
      </c>
      <c r="L2591" s="16"/>
      <c r="M2591" s="16"/>
      <c r="N2591" s="12"/>
      <c r="O2591" s="12"/>
      <c r="P2591" s="13">
        <f>IFERROR(__xludf.DUMMYFUNCTION("VALUE(SUBSTITUTE((INDEX(SPLIT(A2591,"",""),1)),""."","","",1))"),44.053869)</f>
        <v>44.053869</v>
      </c>
      <c r="Q2591" s="13">
        <f>IFERROR(__xludf.DUMMYFUNCTION("VALUE(SUBSTITUTE((INDEX(SPLIT(A2591,"",""),2)),""."","","",1))"),42.892228)</f>
        <v>42.892228</v>
      </c>
      <c r="R2591" s="14" t="b">
        <f t="shared" si="1"/>
        <v>0</v>
      </c>
      <c r="S2591" s="14" t="str">
        <f t="shared" si="2"/>
        <v>44.053869,42.892228</v>
      </c>
      <c r="T2591" s="12"/>
    </row>
    <row r="2592">
      <c r="A2592" s="18" t="s">
        <v>16808</v>
      </c>
      <c r="B2592" s="8" t="s">
        <v>16809</v>
      </c>
      <c r="C2592" s="8" t="s">
        <v>16810</v>
      </c>
      <c r="D2592" s="8" t="s">
        <v>16</v>
      </c>
      <c r="E2592" s="19" t="s">
        <v>16811</v>
      </c>
      <c r="F2592" s="8" t="s">
        <v>12993</v>
      </c>
      <c r="G2592" s="8">
        <v>23.61</v>
      </c>
      <c r="H2592" s="8"/>
      <c r="I2592" s="8"/>
      <c r="J2592" s="8" t="s">
        <v>16812</v>
      </c>
      <c r="K2592" s="8" t="s">
        <v>16813</v>
      </c>
      <c r="L2592" s="8"/>
      <c r="M2592" s="8"/>
      <c r="N2592" s="12"/>
      <c r="O2592" s="12"/>
      <c r="P2592" s="13">
        <f>IFERROR(__xludf.DUMMYFUNCTION("VALUE(SUBSTITUTE((INDEX(SPLIT(A2592,"",""),1)),""."","","",1))"),44.061513)</f>
        <v>44.061513</v>
      </c>
      <c r="Q2592" s="13">
        <f>IFERROR(__xludf.DUMMYFUNCTION("VALUE(SUBSTITUTE((INDEX(SPLIT(A2592,"",""),2)),""."","","",1))"),42.982733)</f>
        <v>42.982733</v>
      </c>
      <c r="R2592" s="14" t="b">
        <f t="shared" si="1"/>
        <v>0</v>
      </c>
      <c r="S2592" s="14" t="str">
        <f t="shared" si="2"/>
        <v>44.061513,42.982733</v>
      </c>
      <c r="T2592" s="12"/>
    </row>
    <row r="2593">
      <c r="A2593" s="20" t="s">
        <v>16808</v>
      </c>
      <c r="B2593" s="16" t="s">
        <v>16814</v>
      </c>
      <c r="C2593" s="16" t="s">
        <v>16815</v>
      </c>
      <c r="D2593" s="16" t="s">
        <v>16</v>
      </c>
      <c r="E2593" s="21" t="s">
        <v>16816</v>
      </c>
      <c r="F2593" s="22" t="s">
        <v>12993</v>
      </c>
      <c r="G2593" s="16">
        <v>23.61</v>
      </c>
      <c r="H2593" s="16"/>
      <c r="I2593" s="22"/>
      <c r="J2593" s="22" t="s">
        <v>16817</v>
      </c>
      <c r="K2593" s="22" t="s">
        <v>16818</v>
      </c>
      <c r="L2593" s="23" t="s">
        <v>16819</v>
      </c>
      <c r="M2593" s="22"/>
      <c r="N2593" s="12"/>
      <c r="O2593" s="12"/>
      <c r="P2593" s="13">
        <f>IFERROR(__xludf.DUMMYFUNCTION("VALUE(SUBSTITUTE((INDEX(SPLIT(A2593,"",""),1)),""."","","",1))"),44.061513)</f>
        <v>44.061513</v>
      </c>
      <c r="Q2593" s="13">
        <f>IFERROR(__xludf.DUMMYFUNCTION("VALUE(SUBSTITUTE((INDEX(SPLIT(A2593,"",""),2)),""."","","",1))"),42.982733)</f>
        <v>42.982733</v>
      </c>
      <c r="R2593" s="14" t="b">
        <f t="shared" si="1"/>
        <v>0</v>
      </c>
      <c r="S2593" s="14" t="str">
        <f t="shared" si="2"/>
        <v>44.061513,42.982733</v>
      </c>
      <c r="T2593" s="12"/>
    </row>
    <row r="2594">
      <c r="A2594" s="7" t="s">
        <v>16820</v>
      </c>
      <c r="B2594" s="8" t="s">
        <v>16821</v>
      </c>
      <c r="C2594" s="8" t="s">
        <v>16822</v>
      </c>
      <c r="D2594" s="8" t="s">
        <v>16</v>
      </c>
      <c r="E2594" s="9" t="s">
        <v>16823</v>
      </c>
      <c r="F2594" s="10" t="s">
        <v>12993</v>
      </c>
      <c r="G2594" s="8">
        <v>23.61</v>
      </c>
      <c r="H2594" s="8"/>
      <c r="I2594" s="10"/>
      <c r="J2594" s="10" t="s">
        <v>16824</v>
      </c>
      <c r="K2594" s="10" t="s">
        <v>16825</v>
      </c>
      <c r="L2594" s="11" t="s">
        <v>16826</v>
      </c>
      <c r="M2594" s="10"/>
      <c r="N2594" s="12"/>
      <c r="O2594" s="12"/>
      <c r="P2594" s="13">
        <f>IFERROR(__xludf.DUMMYFUNCTION("VALUE(SUBSTITUTE((INDEX(SPLIT(A2594,"",""),1)),""."","","",1))"),44.053856)</f>
        <v>44.053856</v>
      </c>
      <c r="Q2594" s="13">
        <f>IFERROR(__xludf.DUMMYFUNCTION("VALUE(SUBSTITUTE((INDEX(SPLIT(A2594,"",""),2)),""."","","",1))"),42.990019)</f>
        <v>42.990019</v>
      </c>
      <c r="R2594" s="14" t="b">
        <f t="shared" si="1"/>
        <v>0</v>
      </c>
      <c r="S2594" s="14" t="str">
        <f t="shared" si="2"/>
        <v>44.053856,42.990019</v>
      </c>
      <c r="T2594" s="12"/>
    </row>
    <row r="2595">
      <c r="A2595" s="15" t="s">
        <v>16827</v>
      </c>
      <c r="B2595" s="16" t="s">
        <v>16828</v>
      </c>
      <c r="C2595" s="16" t="s">
        <v>16829</v>
      </c>
      <c r="D2595" s="16" t="s">
        <v>16</v>
      </c>
      <c r="E2595" s="17" t="s">
        <v>16830</v>
      </c>
      <c r="F2595" s="16" t="s">
        <v>12993</v>
      </c>
      <c r="G2595" s="16">
        <v>23.61</v>
      </c>
      <c r="H2595" s="16"/>
      <c r="I2595" s="16"/>
      <c r="J2595" s="16" t="s">
        <v>16831</v>
      </c>
      <c r="K2595" s="16" t="s">
        <v>16832</v>
      </c>
      <c r="L2595" s="16"/>
      <c r="M2595" s="16"/>
      <c r="N2595" s="12"/>
      <c r="O2595" s="12"/>
      <c r="P2595" s="13">
        <f>IFERROR(__xludf.DUMMYFUNCTION("VALUE(SUBSTITUTE((INDEX(SPLIT(A2595,"",""),1)),""."","","",1))"),44.046308)</f>
        <v>44.046308</v>
      </c>
      <c r="Q2595" s="13">
        <f>IFERROR(__xludf.DUMMYFUNCTION("VALUE(SUBSTITUTE((INDEX(SPLIT(A2595,"",""),2)),""."","","",1))"),43.015881)</f>
        <v>43.015881</v>
      </c>
      <c r="R2595" s="14" t="b">
        <f t="shared" si="1"/>
        <v>0</v>
      </c>
      <c r="S2595" s="14" t="str">
        <f t="shared" si="2"/>
        <v>44.046308,43.015881</v>
      </c>
      <c r="T2595" s="12"/>
    </row>
    <row r="2596">
      <c r="A2596" s="18" t="s">
        <v>16833</v>
      </c>
      <c r="B2596" s="8" t="s">
        <v>16834</v>
      </c>
      <c r="C2596" s="8" t="s">
        <v>16835</v>
      </c>
      <c r="D2596" s="8" t="s">
        <v>16</v>
      </c>
      <c r="E2596" s="19" t="s">
        <v>16836</v>
      </c>
      <c r="F2596" s="8" t="s">
        <v>12993</v>
      </c>
      <c r="G2596" s="8">
        <v>23.61</v>
      </c>
      <c r="H2596" s="8"/>
      <c r="I2596" s="8"/>
      <c r="J2596" s="8" t="s">
        <v>16837</v>
      </c>
      <c r="K2596" s="8" t="s">
        <v>16838</v>
      </c>
      <c r="L2596" s="8"/>
      <c r="M2596" s="8"/>
      <c r="N2596" s="12"/>
      <c r="O2596" s="12"/>
      <c r="P2596" s="13">
        <f>IFERROR(__xludf.DUMMYFUNCTION("VALUE(SUBSTITUTE((INDEX(SPLIT(A2596,"",""),1)),""."","","",1))"),44.064622)</f>
        <v>44.064622</v>
      </c>
      <c r="Q2596" s="13">
        <f>IFERROR(__xludf.DUMMYFUNCTION("VALUE(SUBSTITUTE((INDEX(SPLIT(A2596,"",""),2)),""."","","",1))"),43.052919)</f>
        <v>43.052919</v>
      </c>
      <c r="R2596" s="14" t="b">
        <f t="shared" si="1"/>
        <v>0</v>
      </c>
      <c r="S2596" s="14" t="str">
        <f t="shared" si="2"/>
        <v>44.064622,43.052919</v>
      </c>
      <c r="T2596" s="12"/>
    </row>
    <row r="2597">
      <c r="A2597" s="20" t="s">
        <v>16839</v>
      </c>
      <c r="B2597" s="16" t="s">
        <v>16840</v>
      </c>
      <c r="C2597" s="16" t="s">
        <v>16841</v>
      </c>
      <c r="D2597" s="16" t="s">
        <v>16</v>
      </c>
      <c r="E2597" s="21" t="s">
        <v>16842</v>
      </c>
      <c r="F2597" s="22" t="s">
        <v>1448</v>
      </c>
      <c r="G2597" s="16">
        <v>23.61</v>
      </c>
      <c r="H2597" s="16"/>
      <c r="I2597" s="22"/>
      <c r="J2597" s="22" t="s">
        <v>16843</v>
      </c>
      <c r="K2597" s="22" t="s">
        <v>16844</v>
      </c>
      <c r="L2597" s="23" t="s">
        <v>16845</v>
      </c>
      <c r="M2597" s="22"/>
      <c r="N2597" s="12"/>
      <c r="O2597" s="12"/>
      <c r="P2597" s="13">
        <f>IFERROR(__xludf.DUMMYFUNCTION("VALUE(SUBSTITUTE((INDEX(SPLIT(A2597,"",""),1)),""."","","",1))"),44.112658)</f>
        <v>44.112658</v>
      </c>
      <c r="Q2597" s="13">
        <f>IFERROR(__xludf.DUMMYFUNCTION("VALUE(SUBSTITUTE((INDEX(SPLIT(A2597,"",""),2)),""."","","",1))"),43.091762)</f>
        <v>43.091762</v>
      </c>
      <c r="R2597" s="14" t="b">
        <f t="shared" si="1"/>
        <v>0</v>
      </c>
      <c r="S2597" s="14" t="str">
        <f t="shared" si="2"/>
        <v>44.112658,43.091762</v>
      </c>
      <c r="T2597" s="12"/>
    </row>
    <row r="2598">
      <c r="A2598" s="18" t="s">
        <v>16846</v>
      </c>
      <c r="B2598" s="8" t="s">
        <v>16847</v>
      </c>
      <c r="C2598" s="8" t="s">
        <v>16848</v>
      </c>
      <c r="D2598" s="8" t="s">
        <v>16</v>
      </c>
      <c r="E2598" s="19" t="s">
        <v>16849</v>
      </c>
      <c r="F2598" s="8" t="s">
        <v>12993</v>
      </c>
      <c r="G2598" s="8">
        <v>23.61</v>
      </c>
      <c r="H2598" s="8"/>
      <c r="I2598" s="8"/>
      <c r="J2598" s="8" t="s">
        <v>16850</v>
      </c>
      <c r="K2598" s="8" t="s">
        <v>16851</v>
      </c>
      <c r="L2598" s="8"/>
      <c r="M2598" s="8"/>
      <c r="N2598" s="12"/>
      <c r="O2598" s="12"/>
      <c r="P2598" s="13">
        <f>IFERROR(__xludf.DUMMYFUNCTION("VALUE(SUBSTITUTE((INDEX(SPLIT(A2598,"",""),1)),""."","","",1))"),55.963214)</f>
        <v>55.963214</v>
      </c>
      <c r="Q2598" s="13">
        <f>IFERROR(__xludf.DUMMYFUNCTION("VALUE(SUBSTITUTE((INDEX(SPLIT(A2598,"",""),2)),""."","","",1))"),43.092157)</f>
        <v>43.092157</v>
      </c>
      <c r="R2598" s="14" t="b">
        <f t="shared" si="1"/>
        <v>0</v>
      </c>
      <c r="S2598" s="14" t="str">
        <f t="shared" si="2"/>
        <v>55.963214,43.092157</v>
      </c>
      <c r="T2598" s="12"/>
    </row>
    <row r="2599">
      <c r="A2599" s="20" t="s">
        <v>16852</v>
      </c>
      <c r="B2599" s="16" t="s">
        <v>16853</v>
      </c>
      <c r="C2599" s="16" t="s">
        <v>16854</v>
      </c>
      <c r="D2599" s="16" t="s">
        <v>16</v>
      </c>
      <c r="E2599" s="21" t="s">
        <v>16855</v>
      </c>
      <c r="F2599" s="22" t="s">
        <v>16443</v>
      </c>
      <c r="G2599" s="16">
        <v>23.61</v>
      </c>
      <c r="H2599" s="16"/>
      <c r="I2599" s="22"/>
      <c r="J2599" s="22" t="s">
        <v>16856</v>
      </c>
      <c r="K2599" s="22" t="s">
        <v>16857</v>
      </c>
      <c r="L2599" s="23" t="s">
        <v>16858</v>
      </c>
      <c r="M2599" s="22"/>
      <c r="N2599" s="12"/>
      <c r="O2599" s="12"/>
      <c r="P2599" s="13">
        <f>IFERROR(__xludf.DUMMYFUNCTION("VALUE(SUBSTITUTE((INDEX(SPLIT(A2599,"",""),1)),""."","","",1))"),61.085045)</f>
        <v>61.085045</v>
      </c>
      <c r="Q2599" s="13">
        <f>IFERROR(__xludf.DUMMYFUNCTION("VALUE(SUBSTITUTE((INDEX(SPLIT(A2599,"",""),2)),""."","","",1))"),43.191089)</f>
        <v>43.191089</v>
      </c>
      <c r="R2599" s="14" t="b">
        <f t="shared" si="1"/>
        <v>0</v>
      </c>
      <c r="S2599" s="14" t="str">
        <f t="shared" si="2"/>
        <v>61.085045,43.191089</v>
      </c>
      <c r="T2599" s="12"/>
    </row>
    <row r="2600">
      <c r="A2600" s="18" t="s">
        <v>16859</v>
      </c>
      <c r="B2600" s="8" t="s">
        <v>16860</v>
      </c>
      <c r="C2600" s="8" t="s">
        <v>16861</v>
      </c>
      <c r="D2600" s="8" t="s">
        <v>16</v>
      </c>
      <c r="E2600" s="19" t="s">
        <v>16862</v>
      </c>
      <c r="F2600" s="8" t="s">
        <v>16443</v>
      </c>
      <c r="G2600" s="8">
        <v>23.61</v>
      </c>
      <c r="H2600" s="8"/>
      <c r="I2600" s="8"/>
      <c r="J2600" s="8" t="s">
        <v>16863</v>
      </c>
      <c r="K2600" s="8" t="s">
        <v>16864</v>
      </c>
      <c r="L2600" s="8"/>
      <c r="M2600" s="24" t="s">
        <v>16865</v>
      </c>
      <c r="N2600" s="12"/>
      <c r="O2600" s="12"/>
      <c r="P2600" s="13">
        <f>IFERROR(__xludf.DUMMYFUNCTION("VALUE(SUBSTITUTE((INDEX(SPLIT(A2600,"",""),1)),""."","","",1))"),43.898249)</f>
        <v>43.898249</v>
      </c>
      <c r="Q2600" s="13">
        <f>IFERROR(__xludf.DUMMYFUNCTION("VALUE(SUBSTITUTE((INDEX(SPLIT(A2600,"",""),2)),""."","","",1))"),43.193927)</f>
        <v>43.193927</v>
      </c>
      <c r="R2600" s="14" t="b">
        <f t="shared" si="1"/>
        <v>0</v>
      </c>
      <c r="S2600" s="14" t="str">
        <f t="shared" si="2"/>
        <v>43.898249,43.193927</v>
      </c>
      <c r="T2600" s="12"/>
    </row>
    <row r="2601">
      <c r="A2601" s="15" t="s">
        <v>16866</v>
      </c>
      <c r="B2601" s="16" t="s">
        <v>16867</v>
      </c>
      <c r="C2601" s="16" t="s">
        <v>16868</v>
      </c>
      <c r="D2601" s="16" t="s">
        <v>16</v>
      </c>
      <c r="E2601" s="17" t="s">
        <v>16869</v>
      </c>
      <c r="F2601" s="16" t="s">
        <v>16443</v>
      </c>
      <c r="G2601" s="16">
        <v>23.61</v>
      </c>
      <c r="H2601" s="16"/>
      <c r="I2601" s="16"/>
      <c r="J2601" s="16" t="s">
        <v>16870</v>
      </c>
      <c r="K2601" s="16" t="s">
        <v>16871</v>
      </c>
      <c r="L2601" s="16"/>
      <c r="M2601" s="16"/>
      <c r="N2601" s="12"/>
      <c r="O2601" s="12"/>
      <c r="P2601" s="13">
        <f>IFERROR(__xludf.DUMMYFUNCTION("VALUE(SUBSTITUTE((INDEX(SPLIT(A2601,"",""),1)),""."","","",1))"),51.542587)</f>
        <v>51.542587</v>
      </c>
      <c r="Q2601" s="13">
        <f>IFERROR(__xludf.DUMMYFUNCTION("VALUE(SUBSTITUTE((INDEX(SPLIT(A2601,"",""),2)),""."","","",1))"),43.219332)</f>
        <v>43.219332</v>
      </c>
      <c r="R2601" s="14" t="b">
        <f t="shared" si="1"/>
        <v>0</v>
      </c>
      <c r="S2601" s="14" t="str">
        <f t="shared" si="2"/>
        <v>51.542587,43.219332</v>
      </c>
      <c r="T2601" s="12"/>
    </row>
    <row r="2602">
      <c r="A2602" s="7" t="s">
        <v>16872</v>
      </c>
      <c r="B2602" s="8" t="s">
        <v>16873</v>
      </c>
      <c r="C2602" s="8" t="s">
        <v>16874</v>
      </c>
      <c r="D2602" s="8" t="s">
        <v>16</v>
      </c>
      <c r="E2602" s="9" t="s">
        <v>16875</v>
      </c>
      <c r="F2602" s="10" t="s">
        <v>16443</v>
      </c>
      <c r="G2602" s="8">
        <v>23.61</v>
      </c>
      <c r="H2602" s="8"/>
      <c r="I2602" s="10"/>
      <c r="J2602" s="10" t="s">
        <v>16876</v>
      </c>
      <c r="K2602" s="10" t="s">
        <v>16877</v>
      </c>
      <c r="L2602" s="11" t="s">
        <v>16878</v>
      </c>
      <c r="M2602" s="10"/>
      <c r="N2602" s="12"/>
      <c r="O2602" s="12"/>
      <c r="P2602" s="13">
        <f>IFERROR(__xludf.DUMMYFUNCTION("VALUE(SUBSTITUTE((INDEX(SPLIT(A2602,"",""),1)),""."","","",1))"),51.545987)</f>
        <v>51.545987</v>
      </c>
      <c r="Q2602" s="13">
        <f>IFERROR(__xludf.DUMMYFUNCTION("VALUE(SUBSTITUTE((INDEX(SPLIT(A2602,"",""),2)),""."","","",1))"),43.225575)</f>
        <v>43.225575</v>
      </c>
      <c r="R2602" s="14" t="b">
        <f t="shared" si="1"/>
        <v>0</v>
      </c>
      <c r="S2602" s="14" t="str">
        <f t="shared" si="2"/>
        <v>51.545987,43.225575</v>
      </c>
      <c r="T2602" s="12"/>
    </row>
    <row r="2603">
      <c r="A2603" s="20" t="s">
        <v>16879</v>
      </c>
      <c r="B2603" s="16" t="s">
        <v>16880</v>
      </c>
      <c r="C2603" s="16" t="s">
        <v>16881</v>
      </c>
      <c r="D2603" s="16" t="s">
        <v>16</v>
      </c>
      <c r="E2603" s="21" t="s">
        <v>16882</v>
      </c>
      <c r="F2603" s="22" t="s">
        <v>12993</v>
      </c>
      <c r="G2603" s="16">
        <v>23.61</v>
      </c>
      <c r="H2603" s="16"/>
      <c r="I2603" s="22"/>
      <c r="J2603" s="22" t="s">
        <v>16883</v>
      </c>
      <c r="K2603" s="22" t="s">
        <v>16884</v>
      </c>
      <c r="L2603" s="23" t="s">
        <v>16885</v>
      </c>
      <c r="M2603" s="22"/>
      <c r="N2603" s="12"/>
      <c r="O2603" s="12"/>
      <c r="P2603" s="13">
        <f>IFERROR(__xludf.DUMMYFUNCTION("VALUE(SUBSTITUTE((INDEX(SPLIT(A2603,"",""),1)),""."","","",1))"),50.084946)</f>
        <v>50.084946</v>
      </c>
      <c r="Q2603" s="13">
        <f>IFERROR(__xludf.DUMMYFUNCTION("VALUE(SUBSTITUTE((INDEX(SPLIT(A2603,"",""),2)),""."","","",1))"),43.227219)</f>
        <v>43.227219</v>
      </c>
      <c r="R2603" s="14" t="b">
        <f t="shared" si="1"/>
        <v>0</v>
      </c>
      <c r="S2603" s="14" t="str">
        <f t="shared" si="2"/>
        <v>50.084946,43.227219</v>
      </c>
      <c r="T2603" s="12"/>
    </row>
    <row r="2604">
      <c r="A2604" s="7" t="s">
        <v>16886</v>
      </c>
      <c r="B2604" s="8" t="s">
        <v>16887</v>
      </c>
      <c r="C2604" s="8" t="s">
        <v>16888</v>
      </c>
      <c r="D2604" s="8" t="s">
        <v>16</v>
      </c>
      <c r="E2604" s="9" t="s">
        <v>16889</v>
      </c>
      <c r="F2604" s="10" t="s">
        <v>12993</v>
      </c>
      <c r="G2604" s="8">
        <v>23.61</v>
      </c>
      <c r="H2604" s="8"/>
      <c r="I2604" s="10"/>
      <c r="J2604" s="10" t="s">
        <v>16890</v>
      </c>
      <c r="K2604" s="10" t="s">
        <v>16884</v>
      </c>
      <c r="L2604" s="11" t="s">
        <v>16885</v>
      </c>
      <c r="M2604" s="10"/>
      <c r="N2604" s="12"/>
      <c r="O2604" s="12"/>
      <c r="P2604" s="13">
        <f>IFERROR(__xludf.DUMMYFUNCTION("VALUE(SUBSTITUTE((INDEX(SPLIT(A2604,"",""),1)),""."","","",1))"),50.084819)</f>
        <v>50.084819</v>
      </c>
      <c r="Q2604" s="13">
        <f>IFERROR(__xludf.DUMMYFUNCTION("VALUE(SUBSTITUTE((INDEX(SPLIT(A2604,"",""),2)),""."","","",1))"),43.242382)</f>
        <v>43.242382</v>
      </c>
      <c r="R2604" s="14" t="b">
        <f t="shared" si="1"/>
        <v>0</v>
      </c>
      <c r="S2604" s="14" t="str">
        <f t="shared" si="2"/>
        <v>50.084819,43.242382</v>
      </c>
      <c r="T2604" s="12"/>
    </row>
    <row r="2605">
      <c r="A2605" s="20" t="s">
        <v>16891</v>
      </c>
      <c r="B2605" s="16" t="s">
        <v>16892</v>
      </c>
      <c r="C2605" s="16" t="s">
        <v>16893</v>
      </c>
      <c r="D2605" s="16" t="s">
        <v>16</v>
      </c>
      <c r="E2605" s="21" t="s">
        <v>16894</v>
      </c>
      <c r="F2605" s="22" t="s">
        <v>12993</v>
      </c>
      <c r="G2605" s="16">
        <v>23.61</v>
      </c>
      <c r="H2605" s="16"/>
      <c r="I2605" s="22"/>
      <c r="J2605" s="22" t="s">
        <v>16895</v>
      </c>
      <c r="K2605" s="22" t="s">
        <v>16896</v>
      </c>
      <c r="L2605" s="23" t="s">
        <v>16897</v>
      </c>
      <c r="M2605" s="23" t="s">
        <v>16898</v>
      </c>
      <c r="N2605" s="12"/>
      <c r="O2605" s="12"/>
      <c r="P2605" s="13">
        <f>IFERROR(__xludf.DUMMYFUNCTION("VALUE(SUBSTITUTE((INDEX(SPLIT(A2605,"",""),1)),""."","","",1))"),43.798158)</f>
        <v>43.798158</v>
      </c>
      <c r="Q2605" s="13">
        <f>IFERROR(__xludf.DUMMYFUNCTION("VALUE(SUBSTITUTE((INDEX(SPLIT(A2605,"",""),2)),""."","","",1))"),43.325261)</f>
        <v>43.325261</v>
      </c>
      <c r="R2605" s="14" t="b">
        <f t="shared" si="1"/>
        <v>0</v>
      </c>
      <c r="S2605" s="14" t="str">
        <f t="shared" si="2"/>
        <v>43.798158,43.325261</v>
      </c>
      <c r="T2605" s="12"/>
    </row>
    <row r="2606">
      <c r="A2606" s="18" t="s">
        <v>16899</v>
      </c>
      <c r="B2606" s="8" t="s">
        <v>16900</v>
      </c>
      <c r="C2606" s="8" t="s">
        <v>16901</v>
      </c>
      <c r="D2606" s="8" t="s">
        <v>16</v>
      </c>
      <c r="E2606" s="19" t="s">
        <v>16902</v>
      </c>
      <c r="F2606" s="8" t="s">
        <v>16443</v>
      </c>
      <c r="G2606" s="8">
        <v>23.61</v>
      </c>
      <c r="H2606" s="8"/>
      <c r="I2606" s="8"/>
      <c r="J2606" s="8" t="s">
        <v>16903</v>
      </c>
      <c r="K2606" s="8" t="s">
        <v>16904</v>
      </c>
      <c r="L2606" s="8"/>
      <c r="M2606" s="8"/>
      <c r="N2606" s="12"/>
      <c r="O2606" s="12"/>
      <c r="P2606" s="13">
        <f>IFERROR(__xludf.DUMMYFUNCTION("VALUE(SUBSTITUTE((INDEX(SPLIT(A2606,"",""),1)),""."","","",1))"),43.610744)</f>
        <v>43.610744</v>
      </c>
      <c r="Q2606" s="13">
        <f>IFERROR(__xludf.DUMMYFUNCTION("VALUE(SUBSTITUTE((INDEX(SPLIT(A2606,"",""),2)),""."","","",1))"),43.329537)</f>
        <v>43.329537</v>
      </c>
      <c r="R2606" s="14" t="b">
        <f t="shared" si="1"/>
        <v>0</v>
      </c>
      <c r="S2606" s="14" t="str">
        <f t="shared" si="2"/>
        <v>43.610744,43.329537</v>
      </c>
      <c r="T2606" s="12"/>
    </row>
    <row r="2607">
      <c r="A2607" s="15" t="s">
        <v>16905</v>
      </c>
      <c r="B2607" s="16" t="s">
        <v>16906</v>
      </c>
      <c r="C2607" s="16" t="s">
        <v>16907</v>
      </c>
      <c r="D2607" s="16" t="s">
        <v>16</v>
      </c>
      <c r="E2607" s="17" t="s">
        <v>16908</v>
      </c>
      <c r="F2607" s="16" t="s">
        <v>16443</v>
      </c>
      <c r="G2607" s="16">
        <v>23.61</v>
      </c>
      <c r="H2607" s="16"/>
      <c r="I2607" s="32" t="s">
        <v>16909</v>
      </c>
      <c r="J2607" s="16" t="s">
        <v>16910</v>
      </c>
      <c r="K2607" s="16" t="s">
        <v>16911</v>
      </c>
      <c r="L2607" s="16"/>
      <c r="M2607" s="16"/>
      <c r="N2607" s="12"/>
      <c r="O2607" s="12"/>
      <c r="P2607" s="13">
        <f>IFERROR(__xludf.DUMMYFUNCTION("VALUE(SUBSTITUTE((INDEX(SPLIT(A2607,"",""),1)),""."","","",1))"),43.615111)</f>
        <v>43.615111</v>
      </c>
      <c r="Q2607" s="13">
        <f>IFERROR(__xludf.DUMMYFUNCTION("VALUE(SUBSTITUTE((INDEX(SPLIT(A2607,"",""),2)),""."","","",1))"),43.343209)</f>
        <v>43.343209</v>
      </c>
      <c r="R2607" s="14" t="b">
        <f t="shared" si="1"/>
        <v>0</v>
      </c>
      <c r="S2607" s="14" t="str">
        <f t="shared" si="2"/>
        <v>43.615111,43.343209</v>
      </c>
      <c r="T2607" s="12"/>
    </row>
    <row r="2608">
      <c r="A2608" s="18" t="s">
        <v>16912</v>
      </c>
      <c r="B2608" s="8" t="s">
        <v>16913</v>
      </c>
      <c r="C2608" s="8" t="s">
        <v>16914</v>
      </c>
      <c r="D2608" s="8" t="s">
        <v>16</v>
      </c>
      <c r="E2608" s="19" t="s">
        <v>16915</v>
      </c>
      <c r="F2608" s="8" t="s">
        <v>16443</v>
      </c>
      <c r="G2608" s="8">
        <v>23.61</v>
      </c>
      <c r="H2608" s="8"/>
      <c r="I2608" s="8"/>
      <c r="J2608" s="8" t="s">
        <v>16916</v>
      </c>
      <c r="K2608" s="8" t="s">
        <v>16917</v>
      </c>
      <c r="L2608" s="8"/>
      <c r="M2608" s="8"/>
      <c r="N2608" s="12"/>
      <c r="O2608" s="12"/>
      <c r="P2608" s="13">
        <f>IFERROR(__xludf.DUMMYFUNCTION("VALUE(SUBSTITUTE((INDEX(SPLIT(A2608,"",""),1)),""."","","",1))"),56.260038)</f>
        <v>56.260038</v>
      </c>
      <c r="Q2608" s="13">
        <f>IFERROR(__xludf.DUMMYFUNCTION("VALUE(SUBSTITUTE((INDEX(SPLIT(A2608,"",""),2)),""."","","",1))"),43.396785)</f>
        <v>43.396785</v>
      </c>
      <c r="R2608" s="14" t="b">
        <f t="shared" si="1"/>
        <v>0</v>
      </c>
      <c r="S2608" s="14" t="str">
        <f t="shared" si="2"/>
        <v>56.260038,43.396785</v>
      </c>
      <c r="T2608" s="12"/>
    </row>
    <row r="2609">
      <c r="A2609" s="20" t="s">
        <v>16918</v>
      </c>
      <c r="B2609" s="16" t="s">
        <v>16919</v>
      </c>
      <c r="C2609" s="16" t="s">
        <v>16920</v>
      </c>
      <c r="D2609" s="16" t="s">
        <v>16</v>
      </c>
      <c r="E2609" s="21" t="s">
        <v>16921</v>
      </c>
      <c r="F2609" s="22" t="s">
        <v>12993</v>
      </c>
      <c r="G2609" s="16">
        <v>23.61</v>
      </c>
      <c r="H2609" s="16"/>
      <c r="I2609" s="22"/>
      <c r="J2609" s="22" t="s">
        <v>16922</v>
      </c>
      <c r="K2609" s="22" t="s">
        <v>16923</v>
      </c>
      <c r="L2609" s="23" t="s">
        <v>16924</v>
      </c>
      <c r="M2609" s="22"/>
      <c r="N2609" s="12"/>
      <c r="O2609" s="12"/>
      <c r="P2609" s="13">
        <f>IFERROR(__xludf.DUMMYFUNCTION("VALUE(SUBSTITUTE((INDEX(SPLIT(A2609,"",""),1)),""."","","",1))"),58.465719)</f>
        <v>58.465719</v>
      </c>
      <c r="Q2609" s="13">
        <f>IFERROR(__xludf.DUMMYFUNCTION("VALUE(SUBSTITUTE((INDEX(SPLIT(A2609,"",""),2)),""."","","",1))"),43.42112)</f>
        <v>43.42112</v>
      </c>
      <c r="R2609" s="14" t="b">
        <f t="shared" si="1"/>
        <v>0</v>
      </c>
      <c r="S2609" s="14" t="str">
        <f t="shared" si="2"/>
        <v>58.465719,43.42112</v>
      </c>
      <c r="T2609" s="12"/>
    </row>
    <row r="2610">
      <c r="A2610" s="7" t="s">
        <v>16925</v>
      </c>
      <c r="B2610" s="8" t="s">
        <v>16926</v>
      </c>
      <c r="C2610" s="8" t="s">
        <v>16927</v>
      </c>
      <c r="D2610" s="8" t="s">
        <v>16</v>
      </c>
      <c r="E2610" s="9" t="s">
        <v>16928</v>
      </c>
      <c r="F2610" s="10" t="s">
        <v>16443</v>
      </c>
      <c r="G2610" s="8">
        <v>23.61</v>
      </c>
      <c r="H2610" s="8"/>
      <c r="I2610" s="10"/>
      <c r="J2610" s="10" t="s">
        <v>16929</v>
      </c>
      <c r="K2610" s="10" t="s">
        <v>16930</v>
      </c>
      <c r="L2610" s="11" t="s">
        <v>16931</v>
      </c>
      <c r="M2610" s="10"/>
      <c r="N2610" s="12"/>
      <c r="O2610" s="12"/>
      <c r="P2610" s="13">
        <f>IFERROR(__xludf.DUMMYFUNCTION("VALUE(SUBSTITUTE((INDEX(SPLIT(A2610,"",""),1)),""."","","",1))"),43.665084)</f>
        <v>43.665084</v>
      </c>
      <c r="Q2610" s="13">
        <f>IFERROR(__xludf.DUMMYFUNCTION("VALUE(SUBSTITUTE((INDEX(SPLIT(A2610,"",""),2)),""."","","",1))"),43.431918)</f>
        <v>43.431918</v>
      </c>
      <c r="R2610" s="14" t="b">
        <f t="shared" si="1"/>
        <v>0</v>
      </c>
      <c r="S2610" s="14" t="str">
        <f t="shared" si="2"/>
        <v>43.665084,43.431918</v>
      </c>
      <c r="T2610" s="12"/>
    </row>
    <row r="2611">
      <c r="A2611" s="15" t="s">
        <v>16932</v>
      </c>
      <c r="B2611" s="16" t="s">
        <v>16933</v>
      </c>
      <c r="C2611" s="16" t="s">
        <v>16934</v>
      </c>
      <c r="D2611" s="16" t="s">
        <v>16</v>
      </c>
      <c r="E2611" s="17" t="s">
        <v>16935</v>
      </c>
      <c r="F2611" s="16" t="s">
        <v>16936</v>
      </c>
      <c r="G2611" s="16">
        <v>23.61</v>
      </c>
      <c r="H2611" s="16"/>
      <c r="I2611" s="16"/>
      <c r="J2611" s="16" t="s">
        <v>16937</v>
      </c>
      <c r="K2611" s="16" t="s">
        <v>16938</v>
      </c>
      <c r="L2611" s="16"/>
      <c r="M2611" s="16"/>
      <c r="N2611" s="12"/>
      <c r="O2611" s="12"/>
      <c r="P2611" s="13">
        <f>IFERROR(__xludf.DUMMYFUNCTION("VALUE(SUBSTITUTE((INDEX(SPLIT(A2611,"",""),1)),""."","","",1))"),56.229481)</f>
        <v>56.229481</v>
      </c>
      <c r="Q2611" s="13">
        <f>IFERROR(__xludf.DUMMYFUNCTION("VALUE(SUBSTITUTE((INDEX(SPLIT(A2611,"",""),2)),""."","","",1))"),43.439554)</f>
        <v>43.439554</v>
      </c>
      <c r="R2611" s="14" t="b">
        <f t="shared" si="1"/>
        <v>0</v>
      </c>
      <c r="S2611" s="14" t="str">
        <f t="shared" si="2"/>
        <v>56.229481,43.439554</v>
      </c>
      <c r="T2611" s="12"/>
    </row>
    <row r="2612">
      <c r="A2612" s="18" t="s">
        <v>16939</v>
      </c>
      <c r="B2612" s="8" t="s">
        <v>16940</v>
      </c>
      <c r="C2612" s="8" t="s">
        <v>16941</v>
      </c>
      <c r="D2612" s="8" t="s">
        <v>16</v>
      </c>
      <c r="E2612" s="19" t="s">
        <v>16942</v>
      </c>
      <c r="F2612" s="8" t="s">
        <v>16936</v>
      </c>
      <c r="G2612" s="8">
        <v>23.61</v>
      </c>
      <c r="H2612" s="8"/>
      <c r="I2612" s="8"/>
      <c r="J2612" s="8" t="s">
        <v>16943</v>
      </c>
      <c r="K2612" s="8" t="s">
        <v>16944</v>
      </c>
      <c r="L2612" s="8"/>
      <c r="M2612" s="8"/>
      <c r="N2612" s="12"/>
      <c r="O2612" s="12"/>
      <c r="P2612" s="13">
        <f>IFERROR(__xludf.DUMMYFUNCTION("VALUE(SUBSTITUTE((INDEX(SPLIT(A2612,"",""),1)),""."","","",1))"),43.668417)</f>
        <v>43.668417</v>
      </c>
      <c r="Q2612" s="13">
        <f>IFERROR(__xludf.DUMMYFUNCTION("VALUE(SUBSTITUTE((INDEX(SPLIT(A2612,"",""),2)),""."","","",1))"),43.448708)</f>
        <v>43.448708</v>
      </c>
      <c r="R2612" s="14" t="b">
        <f t="shared" si="1"/>
        <v>0</v>
      </c>
      <c r="S2612" s="14" t="str">
        <f t="shared" si="2"/>
        <v>43.668417,43.448708</v>
      </c>
      <c r="T2612" s="12"/>
    </row>
    <row r="2613">
      <c r="A2613" s="15" t="s">
        <v>16945</v>
      </c>
      <c r="B2613" s="16" t="s">
        <v>16946</v>
      </c>
      <c r="C2613" s="16" t="s">
        <v>16947</v>
      </c>
      <c r="D2613" s="16" t="s">
        <v>16</v>
      </c>
      <c r="E2613" s="17" t="s">
        <v>16948</v>
      </c>
      <c r="F2613" s="16" t="s">
        <v>12993</v>
      </c>
      <c r="G2613" s="16">
        <v>23.61</v>
      </c>
      <c r="H2613" s="16"/>
      <c r="I2613" s="16"/>
      <c r="J2613" s="16" t="s">
        <v>16949</v>
      </c>
      <c r="K2613" s="16" t="s">
        <v>16950</v>
      </c>
      <c r="L2613" s="16"/>
      <c r="M2613" s="16"/>
      <c r="N2613" s="12"/>
      <c r="O2613" s="12"/>
      <c r="P2613" s="13">
        <f>IFERROR(__xludf.DUMMYFUNCTION("VALUE(SUBSTITUTE((INDEX(SPLIT(A2613,"",""),1)),""."","","",1))"),43.668267)</f>
        <v>43.668267</v>
      </c>
      <c r="Q2613" s="13">
        <f>IFERROR(__xludf.DUMMYFUNCTION("VALUE(SUBSTITUTE((INDEX(SPLIT(A2613,"",""),2)),""."","","",1))"),43.454062)</f>
        <v>43.454062</v>
      </c>
      <c r="R2613" s="14" t="b">
        <f t="shared" si="1"/>
        <v>0</v>
      </c>
      <c r="S2613" s="14" t="str">
        <f t="shared" si="2"/>
        <v>43.668267,43.454062</v>
      </c>
      <c r="T2613" s="12"/>
    </row>
    <row r="2614">
      <c r="A2614" s="18" t="s">
        <v>16951</v>
      </c>
      <c r="B2614" s="8" t="s">
        <v>16952</v>
      </c>
      <c r="C2614" s="8" t="s">
        <v>16953</v>
      </c>
      <c r="D2614" s="8" t="s">
        <v>16</v>
      </c>
      <c r="E2614" s="19" t="s">
        <v>16954</v>
      </c>
      <c r="F2614" s="8" t="s">
        <v>16936</v>
      </c>
      <c r="G2614" s="8">
        <v>23.61</v>
      </c>
      <c r="H2614" s="8"/>
      <c r="I2614" s="8"/>
      <c r="J2614" s="8" t="s">
        <v>16955</v>
      </c>
      <c r="K2614" s="8" t="s">
        <v>16956</v>
      </c>
      <c r="L2614" s="8"/>
      <c r="M2614" s="8"/>
      <c r="N2614" s="12"/>
      <c r="O2614" s="12"/>
      <c r="P2614" s="13">
        <f>IFERROR(__xludf.DUMMYFUNCTION("VALUE(SUBSTITUTE((INDEX(SPLIT(A2614,"",""),1)),""."","","",1))"),56.246606)</f>
        <v>56.246606</v>
      </c>
      <c r="Q2614" s="13">
        <f>IFERROR(__xludf.DUMMYFUNCTION("VALUE(SUBSTITUTE((INDEX(SPLIT(A2614,"",""),2)),""."","","",1))"),43.474947)</f>
        <v>43.474947</v>
      </c>
      <c r="R2614" s="14" t="b">
        <f t="shared" si="1"/>
        <v>0</v>
      </c>
      <c r="S2614" s="14" t="str">
        <f t="shared" si="2"/>
        <v>56.246606,43.474947</v>
      </c>
      <c r="T2614" s="12"/>
    </row>
    <row r="2615">
      <c r="A2615" s="15" t="s">
        <v>16957</v>
      </c>
      <c r="B2615" s="16" t="s">
        <v>16958</v>
      </c>
      <c r="C2615" s="16" t="s">
        <v>16959</v>
      </c>
      <c r="D2615" s="16" t="s">
        <v>16</v>
      </c>
      <c r="E2615" s="17" t="s">
        <v>16960</v>
      </c>
      <c r="F2615" s="16" t="s">
        <v>16936</v>
      </c>
      <c r="G2615" s="16">
        <v>23.61</v>
      </c>
      <c r="H2615" s="16"/>
      <c r="I2615" s="16"/>
      <c r="J2615" s="16" t="s">
        <v>16961</v>
      </c>
      <c r="K2615" s="16" t="s">
        <v>16962</v>
      </c>
      <c r="L2615" s="16"/>
      <c r="M2615" s="16"/>
      <c r="N2615" s="12"/>
      <c r="O2615" s="12"/>
      <c r="P2615" s="13">
        <f>IFERROR(__xludf.DUMMYFUNCTION("VALUE(SUBSTITUTE((INDEX(SPLIT(A2615,"",""),1)),""."","","",1))"),44.160706)</f>
        <v>44.160706</v>
      </c>
      <c r="Q2615" s="13">
        <f>IFERROR(__xludf.DUMMYFUNCTION("VALUE(SUBSTITUTE((INDEX(SPLIT(A2615,"",""),2)),""."","","",1))"),43.478909)</f>
        <v>43.478909</v>
      </c>
      <c r="R2615" s="14" t="b">
        <f t="shared" si="1"/>
        <v>0</v>
      </c>
      <c r="S2615" s="14" t="str">
        <f t="shared" si="2"/>
        <v>44.160706,43.478909</v>
      </c>
      <c r="T2615" s="12"/>
    </row>
    <row r="2616">
      <c r="A2616" s="7" t="s">
        <v>16963</v>
      </c>
      <c r="B2616" s="8" t="s">
        <v>16964</v>
      </c>
      <c r="C2616" s="8" t="s">
        <v>16965</v>
      </c>
      <c r="D2616" s="8" t="s">
        <v>16</v>
      </c>
      <c r="E2616" s="9" t="s">
        <v>16966</v>
      </c>
      <c r="F2616" s="10" t="s">
        <v>1448</v>
      </c>
      <c r="G2616" s="8">
        <v>23.61</v>
      </c>
      <c r="H2616" s="8"/>
      <c r="I2616" s="10"/>
      <c r="J2616" s="10" t="s">
        <v>16967</v>
      </c>
      <c r="K2616" s="10" t="s">
        <v>16968</v>
      </c>
      <c r="L2616" s="11" t="s">
        <v>16969</v>
      </c>
      <c r="M2616" s="10"/>
      <c r="N2616" s="12"/>
      <c r="O2616" s="12"/>
      <c r="P2616" s="13">
        <f>IFERROR(__xludf.DUMMYFUNCTION("VALUE(SUBSTITUTE((INDEX(SPLIT(A2616,"",""),1)),""."","","",1))"),56.091562)</f>
        <v>56.091562</v>
      </c>
      <c r="Q2616" s="13">
        <f>IFERROR(__xludf.DUMMYFUNCTION("VALUE(SUBSTITUTE((INDEX(SPLIT(A2616,"",""),2)),""."","","",1))"),43.481882)</f>
        <v>43.481882</v>
      </c>
      <c r="R2616" s="14" t="b">
        <f t="shared" si="1"/>
        <v>0</v>
      </c>
      <c r="S2616" s="14" t="str">
        <f t="shared" si="2"/>
        <v>56.091562,43.481882</v>
      </c>
      <c r="T2616" s="12"/>
    </row>
    <row r="2617">
      <c r="A2617" s="15" t="s">
        <v>16970</v>
      </c>
      <c r="B2617" s="16" t="s">
        <v>16971</v>
      </c>
      <c r="C2617" s="16" t="s">
        <v>16972</v>
      </c>
      <c r="D2617" s="16" t="s">
        <v>16</v>
      </c>
      <c r="E2617" s="17" t="s">
        <v>16973</v>
      </c>
      <c r="F2617" s="16" t="s">
        <v>16936</v>
      </c>
      <c r="G2617" s="16">
        <v>23.61</v>
      </c>
      <c r="H2617" s="16"/>
      <c r="I2617" s="16"/>
      <c r="J2617" s="16" t="s">
        <v>16974</v>
      </c>
      <c r="K2617" s="16" t="s">
        <v>16975</v>
      </c>
      <c r="L2617" s="16"/>
      <c r="M2617" s="16"/>
      <c r="N2617" s="12"/>
      <c r="O2617" s="12"/>
      <c r="P2617" s="13">
        <f>IFERROR(__xludf.DUMMYFUNCTION("VALUE(SUBSTITUTE((INDEX(SPLIT(A2617,"",""),1)),""."","","",1))"),56.115218)</f>
        <v>56.115218</v>
      </c>
      <c r="Q2617" s="13">
        <f>IFERROR(__xludf.DUMMYFUNCTION("VALUE(SUBSTITUTE((INDEX(SPLIT(A2617,"",""),2)),""."","","",1))"),43.483095)</f>
        <v>43.483095</v>
      </c>
      <c r="R2617" s="14" t="b">
        <f t="shared" si="1"/>
        <v>0</v>
      </c>
      <c r="S2617" s="14" t="str">
        <f t="shared" si="2"/>
        <v>56.115218,43.483095</v>
      </c>
      <c r="T2617" s="12"/>
    </row>
    <row r="2618">
      <c r="A2618" s="7" t="s">
        <v>16976</v>
      </c>
      <c r="B2618" s="8" t="s">
        <v>16977</v>
      </c>
      <c r="C2618" s="8" t="s">
        <v>16978</v>
      </c>
      <c r="D2618" s="8" t="s">
        <v>16</v>
      </c>
      <c r="E2618" s="9" t="s">
        <v>16979</v>
      </c>
      <c r="F2618" s="10" t="s">
        <v>16443</v>
      </c>
      <c r="G2618" s="8">
        <v>23.61</v>
      </c>
      <c r="H2618" s="8"/>
      <c r="I2618" s="10"/>
      <c r="J2618" s="10" t="s">
        <v>16980</v>
      </c>
      <c r="K2618" s="10" t="s">
        <v>16981</v>
      </c>
      <c r="L2618" s="11" t="s">
        <v>16982</v>
      </c>
      <c r="M2618" s="10"/>
      <c r="N2618" s="12"/>
      <c r="O2618" s="12"/>
      <c r="P2618" s="13">
        <f>IFERROR(__xludf.DUMMYFUNCTION("VALUE(SUBSTITUTE((INDEX(SPLIT(A2618,"",""),1)),""."","","",1))"),56.237472)</f>
        <v>56.237472</v>
      </c>
      <c r="Q2618" s="13">
        <f>IFERROR(__xludf.DUMMYFUNCTION("VALUE(SUBSTITUTE((INDEX(SPLIT(A2618,"",""),2)),""."","","",1))"),43.489886)</f>
        <v>43.489886</v>
      </c>
      <c r="R2618" s="14" t="b">
        <f t="shared" si="1"/>
        <v>0</v>
      </c>
      <c r="S2618" s="14" t="str">
        <f t="shared" si="2"/>
        <v>56.237472,43.489886</v>
      </c>
      <c r="T2618" s="12"/>
    </row>
    <row r="2619">
      <c r="A2619" s="15" t="s">
        <v>16983</v>
      </c>
      <c r="B2619" s="16" t="s">
        <v>16984</v>
      </c>
      <c r="C2619" s="16" t="s">
        <v>16985</v>
      </c>
      <c r="D2619" s="16" t="s">
        <v>16</v>
      </c>
      <c r="E2619" s="17" t="s">
        <v>16986</v>
      </c>
      <c r="F2619" s="16" t="s">
        <v>12993</v>
      </c>
      <c r="G2619" s="16">
        <v>23.61</v>
      </c>
      <c r="H2619" s="16"/>
      <c r="I2619" s="16"/>
      <c r="J2619" s="16" t="s">
        <v>16987</v>
      </c>
      <c r="K2619" s="16" t="s">
        <v>16988</v>
      </c>
      <c r="L2619" s="16"/>
      <c r="M2619" s="16"/>
      <c r="N2619" s="12"/>
      <c r="O2619" s="12"/>
      <c r="P2619" s="13">
        <f>IFERROR(__xludf.DUMMYFUNCTION("VALUE(SUBSTITUTE((INDEX(SPLIT(A2619,"",""),1)),""."","","",1))"),56.106053)</f>
        <v>56.106053</v>
      </c>
      <c r="Q2619" s="13">
        <f>IFERROR(__xludf.DUMMYFUNCTION("VALUE(SUBSTITUTE((INDEX(SPLIT(A2619,"",""),2)),""."","","",1))"),43.492941)</f>
        <v>43.492941</v>
      </c>
      <c r="R2619" s="14" t="b">
        <f t="shared" si="1"/>
        <v>0</v>
      </c>
      <c r="S2619" s="14" t="str">
        <f t="shared" si="2"/>
        <v>56.106053,43.492941</v>
      </c>
      <c r="T2619" s="12"/>
    </row>
    <row r="2620">
      <c r="A2620" s="18" t="s">
        <v>16989</v>
      </c>
      <c r="B2620" s="8" t="s">
        <v>16990</v>
      </c>
      <c r="C2620" s="8" t="s">
        <v>16991</v>
      </c>
      <c r="D2620" s="8" t="s">
        <v>16</v>
      </c>
      <c r="E2620" s="19" t="s">
        <v>16992</v>
      </c>
      <c r="F2620" s="8" t="s">
        <v>16486</v>
      </c>
      <c r="G2620" s="8">
        <v>23.61</v>
      </c>
      <c r="H2620" s="8"/>
      <c r="I2620" s="8"/>
      <c r="J2620" s="8" t="s">
        <v>16993</v>
      </c>
      <c r="K2620" s="8" t="s">
        <v>16994</v>
      </c>
      <c r="L2620" s="8"/>
      <c r="M2620" s="8"/>
      <c r="N2620" s="12"/>
      <c r="O2620" s="12"/>
      <c r="P2620" s="13">
        <f>IFERROR(__xludf.DUMMYFUNCTION("VALUE(SUBSTITUTE((INDEX(SPLIT(A2620,"",""),1)),""."","","",1))"),56.237962)</f>
        <v>56.237962</v>
      </c>
      <c r="Q2620" s="13">
        <f>IFERROR(__xludf.DUMMYFUNCTION("VALUE(SUBSTITUTE((INDEX(SPLIT(A2620,"",""),2)),""."","","",1))"),43.494998)</f>
        <v>43.494998</v>
      </c>
      <c r="R2620" s="14" t="b">
        <f t="shared" si="1"/>
        <v>0</v>
      </c>
      <c r="S2620" s="14" t="str">
        <f t="shared" si="2"/>
        <v>56.237962,43.494998</v>
      </c>
      <c r="T2620" s="12"/>
    </row>
    <row r="2621">
      <c r="A2621" s="20" t="s">
        <v>16995</v>
      </c>
      <c r="B2621" s="16" t="s">
        <v>16996</v>
      </c>
      <c r="C2621" s="16" t="s">
        <v>16997</v>
      </c>
      <c r="D2621" s="16" t="s">
        <v>16</v>
      </c>
      <c r="E2621" s="21" t="s">
        <v>16998</v>
      </c>
      <c r="F2621" s="22" t="s">
        <v>1448</v>
      </c>
      <c r="G2621" s="16">
        <v>23.61</v>
      </c>
      <c r="H2621" s="16"/>
      <c r="I2621" s="22"/>
      <c r="J2621" s="22" t="s">
        <v>16999</v>
      </c>
      <c r="K2621" s="22" t="s">
        <v>17000</v>
      </c>
      <c r="L2621" s="23" t="s">
        <v>17001</v>
      </c>
      <c r="M2621" s="23" t="s">
        <v>17002</v>
      </c>
      <c r="N2621" s="12"/>
      <c r="O2621" s="12"/>
      <c r="P2621" s="13">
        <f>IFERROR(__xludf.DUMMYFUNCTION("VALUE(SUBSTITUTE((INDEX(SPLIT(A2621,"",""),1)),""."","","",1))"),56.240623)</f>
        <v>56.240623</v>
      </c>
      <c r="Q2621" s="13">
        <f>IFERROR(__xludf.DUMMYFUNCTION("VALUE(SUBSTITUTE((INDEX(SPLIT(A2621,"",""),2)),""."","","",1))"),43.496121)</f>
        <v>43.496121</v>
      </c>
      <c r="R2621" s="14" t="b">
        <f t="shared" si="1"/>
        <v>0</v>
      </c>
      <c r="S2621" s="14" t="str">
        <f t="shared" si="2"/>
        <v>56.240623,43.496121</v>
      </c>
      <c r="T2621" s="12"/>
    </row>
    <row r="2622">
      <c r="A2622" s="18" t="s">
        <v>17003</v>
      </c>
      <c r="B2622" s="8" t="s">
        <v>17004</v>
      </c>
      <c r="C2622" s="8" t="s">
        <v>17004</v>
      </c>
      <c r="D2622" s="8" t="s">
        <v>16</v>
      </c>
      <c r="E2622" s="19" t="s">
        <v>17005</v>
      </c>
      <c r="F2622" s="8" t="s">
        <v>1448</v>
      </c>
      <c r="G2622" s="8">
        <v>23.61</v>
      </c>
      <c r="H2622" s="8"/>
      <c r="I2622" s="8"/>
      <c r="J2622" s="8" t="s">
        <v>17006</v>
      </c>
      <c r="K2622" s="8" t="s">
        <v>17007</v>
      </c>
      <c r="L2622" s="8"/>
      <c r="M2622" s="8"/>
      <c r="N2622" s="12"/>
      <c r="O2622" s="12"/>
      <c r="P2622" s="13">
        <f>IFERROR(__xludf.DUMMYFUNCTION("VALUE(SUBSTITUTE((INDEX(SPLIT(A2622,"",""),1)),""."","","",1))"),43.681946)</f>
        <v>43.681946</v>
      </c>
      <c r="Q2622" s="13">
        <f>IFERROR(__xludf.DUMMYFUNCTION("VALUE(SUBSTITUTE((INDEX(SPLIT(A2622,"",""),2)),""."","","",1))"),43.534622)</f>
        <v>43.534622</v>
      </c>
      <c r="R2622" s="14" t="b">
        <f t="shared" si="1"/>
        <v>0</v>
      </c>
      <c r="S2622" s="14" t="str">
        <f t="shared" si="2"/>
        <v>43.681946,43.534622</v>
      </c>
      <c r="T2622" s="12"/>
    </row>
    <row r="2623">
      <c r="A2623" s="20" t="s">
        <v>17008</v>
      </c>
      <c r="B2623" s="16" t="s">
        <v>17009</v>
      </c>
      <c r="C2623" s="16" t="s">
        <v>17010</v>
      </c>
      <c r="D2623" s="16" t="s">
        <v>16</v>
      </c>
      <c r="E2623" s="21" t="s">
        <v>17011</v>
      </c>
      <c r="F2623" s="22" t="s">
        <v>1448</v>
      </c>
      <c r="G2623" s="16">
        <v>23.61</v>
      </c>
      <c r="H2623" s="16"/>
      <c r="I2623" s="22"/>
      <c r="J2623" s="22" t="s">
        <v>17012</v>
      </c>
      <c r="K2623" s="22" t="s">
        <v>17013</v>
      </c>
      <c r="L2623" s="23" t="s">
        <v>17014</v>
      </c>
      <c r="M2623" s="23" t="s">
        <v>17015</v>
      </c>
      <c r="N2623" s="12"/>
      <c r="O2623" s="12"/>
      <c r="P2623" s="13">
        <f>IFERROR(__xludf.DUMMYFUNCTION("VALUE(SUBSTITUTE((INDEX(SPLIT(A2623,"",""),1)),""."","","",1))"),43.670829)</f>
        <v>43.670829</v>
      </c>
      <c r="Q2623" s="13">
        <f>IFERROR(__xludf.DUMMYFUNCTION("VALUE(SUBSTITUTE((INDEX(SPLIT(A2623,"",""),2)),""."","","",1))"),43.549912)</f>
        <v>43.549912</v>
      </c>
      <c r="R2623" s="14" t="b">
        <f t="shared" si="1"/>
        <v>0</v>
      </c>
      <c r="S2623" s="14" t="str">
        <f t="shared" si="2"/>
        <v>43.670829,43.549912</v>
      </c>
      <c r="T2623" s="12"/>
    </row>
    <row r="2624">
      <c r="A2624" s="7" t="s">
        <v>17016</v>
      </c>
      <c r="B2624" s="8" t="s">
        <v>17017</v>
      </c>
      <c r="C2624" s="8" t="s">
        <v>17018</v>
      </c>
      <c r="D2624" s="8" t="s">
        <v>16</v>
      </c>
      <c r="E2624" s="9" t="s">
        <v>17019</v>
      </c>
      <c r="F2624" s="10" t="s">
        <v>1448</v>
      </c>
      <c r="G2624" s="8">
        <v>23.61</v>
      </c>
      <c r="H2624" s="8"/>
      <c r="I2624" s="10"/>
      <c r="J2624" s="10" t="s">
        <v>17020</v>
      </c>
      <c r="K2624" s="10" t="s">
        <v>17021</v>
      </c>
      <c r="L2624" s="11" t="s">
        <v>17022</v>
      </c>
      <c r="M2624" s="10"/>
      <c r="N2624" s="12"/>
      <c r="O2624" s="12"/>
      <c r="P2624" s="13">
        <f>IFERROR(__xludf.DUMMYFUNCTION("VALUE(SUBSTITUTE((INDEX(SPLIT(A2624,"",""),1)),""."","","",1))"),56.11989)</f>
        <v>56.11989</v>
      </c>
      <c r="Q2624" s="13">
        <f>IFERROR(__xludf.DUMMYFUNCTION("VALUE(SUBSTITUTE((INDEX(SPLIT(A2624,"",""),2)),""."","","",1))"),43.55567)</f>
        <v>43.55567</v>
      </c>
      <c r="R2624" s="14" t="b">
        <f t="shared" si="1"/>
        <v>0</v>
      </c>
      <c r="S2624" s="14" t="str">
        <f t="shared" si="2"/>
        <v>56.11989,43.55567</v>
      </c>
      <c r="T2624" s="12"/>
    </row>
    <row r="2625">
      <c r="A2625" s="15" t="s">
        <v>17023</v>
      </c>
      <c r="B2625" s="16" t="s">
        <v>17024</v>
      </c>
      <c r="C2625" s="16" t="s">
        <v>17025</v>
      </c>
      <c r="D2625" s="16" t="s">
        <v>16</v>
      </c>
      <c r="E2625" s="17" t="s">
        <v>17026</v>
      </c>
      <c r="F2625" s="16" t="s">
        <v>14706</v>
      </c>
      <c r="G2625" s="16">
        <v>23.61</v>
      </c>
      <c r="H2625" s="16"/>
      <c r="I2625" s="16"/>
      <c r="J2625" s="16" t="s">
        <v>17027</v>
      </c>
      <c r="K2625" s="16" t="s">
        <v>17028</v>
      </c>
      <c r="L2625" s="16"/>
      <c r="M2625" s="16"/>
      <c r="N2625" s="12"/>
      <c r="O2625" s="12"/>
      <c r="P2625" s="13">
        <f>IFERROR(__xludf.DUMMYFUNCTION("VALUE(SUBSTITUTE((INDEX(SPLIT(A2625,"",""),1)),""."","","",1))"),43.673627)</f>
        <v>43.673627</v>
      </c>
      <c r="Q2625" s="13">
        <f>IFERROR(__xludf.DUMMYFUNCTION("VALUE(SUBSTITUTE((INDEX(SPLIT(A2625,"",""),2)),""."","","",1))"),43.558401)</f>
        <v>43.558401</v>
      </c>
      <c r="R2625" s="14" t="b">
        <f t="shared" si="1"/>
        <v>0</v>
      </c>
      <c r="S2625" s="14" t="str">
        <f t="shared" si="2"/>
        <v>43.673627,43.558401</v>
      </c>
      <c r="T2625" s="12"/>
    </row>
    <row r="2626">
      <c r="A2626" s="7" t="s">
        <v>17029</v>
      </c>
      <c r="B2626" s="8" t="s">
        <v>17030</v>
      </c>
      <c r="C2626" s="8" t="s">
        <v>17031</v>
      </c>
      <c r="D2626" s="8" t="s">
        <v>16</v>
      </c>
      <c r="E2626" s="9" t="s">
        <v>17032</v>
      </c>
      <c r="F2626" s="10" t="s">
        <v>17033</v>
      </c>
      <c r="G2626" s="8">
        <v>23.61</v>
      </c>
      <c r="H2626" s="8"/>
      <c r="I2626" s="10"/>
      <c r="J2626" s="10" t="s">
        <v>17034</v>
      </c>
      <c r="K2626" s="10" t="s">
        <v>17035</v>
      </c>
      <c r="L2626" s="11" t="s">
        <v>17036</v>
      </c>
      <c r="M2626" s="10"/>
      <c r="N2626" s="12"/>
      <c r="O2626" s="12"/>
      <c r="P2626" s="13">
        <f>IFERROR(__xludf.DUMMYFUNCTION("VALUE(SUBSTITUTE((INDEX(SPLIT(A2626,"",""),1)),""."","","",1))"),43.678256)</f>
        <v>43.678256</v>
      </c>
      <c r="Q2626" s="13">
        <f>IFERROR(__xludf.DUMMYFUNCTION("VALUE(SUBSTITUTE((INDEX(SPLIT(A2626,"",""),2)),""."","","",1))"),43.560386)</f>
        <v>43.560386</v>
      </c>
      <c r="R2626" s="14" t="b">
        <f t="shared" si="1"/>
        <v>0</v>
      </c>
      <c r="S2626" s="14" t="str">
        <f t="shared" si="2"/>
        <v>43.678256,43.560386</v>
      </c>
      <c r="T2626" s="12"/>
    </row>
    <row r="2627">
      <c r="A2627" s="15" t="s">
        <v>17037</v>
      </c>
      <c r="B2627" s="16" t="s">
        <v>17038</v>
      </c>
      <c r="C2627" s="16" t="s">
        <v>17039</v>
      </c>
      <c r="D2627" s="16" t="s">
        <v>16</v>
      </c>
      <c r="E2627" s="17" t="s">
        <v>17040</v>
      </c>
      <c r="F2627" s="16" t="s">
        <v>16443</v>
      </c>
      <c r="G2627" s="16">
        <v>23.61</v>
      </c>
      <c r="H2627" s="16"/>
      <c r="I2627" s="16"/>
      <c r="J2627" s="16" t="s">
        <v>17041</v>
      </c>
      <c r="K2627" s="16" t="s">
        <v>17042</v>
      </c>
      <c r="L2627" s="16"/>
      <c r="M2627" s="16"/>
      <c r="N2627" s="12"/>
      <c r="O2627" s="12"/>
      <c r="P2627" s="13">
        <f>IFERROR(__xludf.DUMMYFUNCTION("VALUE(SUBSTITUTE((INDEX(SPLIT(A2627,"",""),1)),""."","","",1))"),43.499483)</f>
        <v>43.499483</v>
      </c>
      <c r="Q2627" s="13">
        <f>IFERROR(__xludf.DUMMYFUNCTION("VALUE(SUBSTITUTE((INDEX(SPLIT(A2627,"",""),2)),""."","","",1))"),43.563584)</f>
        <v>43.563584</v>
      </c>
      <c r="R2627" s="14" t="b">
        <f t="shared" si="1"/>
        <v>0</v>
      </c>
      <c r="S2627" s="14" t="str">
        <f t="shared" si="2"/>
        <v>43.499483,43.563584</v>
      </c>
      <c r="T2627" s="12"/>
    </row>
    <row r="2628">
      <c r="A2628" s="18" t="s">
        <v>17043</v>
      </c>
      <c r="B2628" s="8" t="s">
        <v>17044</v>
      </c>
      <c r="C2628" s="8" t="s">
        <v>17045</v>
      </c>
      <c r="D2628" s="8" t="s">
        <v>16</v>
      </c>
      <c r="E2628" s="19" t="s">
        <v>17046</v>
      </c>
      <c r="F2628" s="8" t="s">
        <v>16443</v>
      </c>
      <c r="G2628" s="8">
        <v>23.61</v>
      </c>
      <c r="H2628" s="8"/>
      <c r="I2628" s="8"/>
      <c r="J2628" s="8" t="s">
        <v>17047</v>
      </c>
      <c r="K2628" s="8" t="s">
        <v>17048</v>
      </c>
      <c r="L2628" s="8"/>
      <c r="M2628" s="8"/>
      <c r="N2628" s="12"/>
      <c r="O2628" s="12"/>
      <c r="P2628" s="13">
        <f>IFERROR(__xludf.DUMMYFUNCTION("VALUE(SUBSTITUTE((INDEX(SPLIT(A2628,"",""),1)),""."","","",1))"),43.502733)</f>
        <v>43.502733</v>
      </c>
      <c r="Q2628" s="13">
        <f>IFERROR(__xludf.DUMMYFUNCTION("VALUE(SUBSTITUTE((INDEX(SPLIT(A2628,"",""),2)),""."","","",1))"),43.564186)</f>
        <v>43.564186</v>
      </c>
      <c r="R2628" s="14" t="b">
        <f t="shared" si="1"/>
        <v>0</v>
      </c>
      <c r="S2628" s="14" t="str">
        <f t="shared" si="2"/>
        <v>43.502733,43.564186</v>
      </c>
      <c r="T2628" s="12"/>
    </row>
    <row r="2629">
      <c r="A2629" s="15" t="s">
        <v>17049</v>
      </c>
      <c r="B2629" s="16" t="s">
        <v>17050</v>
      </c>
      <c r="C2629" s="16" t="s">
        <v>17051</v>
      </c>
      <c r="D2629" s="16" t="s">
        <v>16</v>
      </c>
      <c r="E2629" s="17" t="s">
        <v>17052</v>
      </c>
      <c r="F2629" s="16" t="s">
        <v>16443</v>
      </c>
      <c r="G2629" s="16">
        <v>23.61</v>
      </c>
      <c r="H2629" s="16"/>
      <c r="I2629" s="16"/>
      <c r="J2629" s="16" t="s">
        <v>17053</v>
      </c>
      <c r="K2629" s="16" t="s">
        <v>17054</v>
      </c>
      <c r="L2629" s="16"/>
      <c r="M2629" s="16"/>
      <c r="N2629" s="12"/>
      <c r="O2629" s="12"/>
      <c r="P2629" s="13">
        <f>IFERROR(__xludf.DUMMYFUNCTION("VALUE(SUBSTITUTE((INDEX(SPLIT(A2629,"",""),1)),""."","","",1))"),43.49966)</f>
        <v>43.49966</v>
      </c>
      <c r="Q2629" s="13">
        <f>IFERROR(__xludf.DUMMYFUNCTION("VALUE(SUBSTITUTE((INDEX(SPLIT(A2629,"",""),2)),""."","","",1))"),43.578757)</f>
        <v>43.578757</v>
      </c>
      <c r="R2629" s="14" t="b">
        <f t="shared" si="1"/>
        <v>0</v>
      </c>
      <c r="S2629" s="14" t="str">
        <f t="shared" si="2"/>
        <v>43.49966,43.578757</v>
      </c>
      <c r="T2629" s="12"/>
    </row>
    <row r="2630">
      <c r="A2630" s="18" t="s">
        <v>17055</v>
      </c>
      <c r="B2630" s="8" t="s">
        <v>17056</v>
      </c>
      <c r="C2630" s="8" t="s">
        <v>17057</v>
      </c>
      <c r="D2630" s="8" t="s">
        <v>16</v>
      </c>
      <c r="E2630" s="19" t="s">
        <v>17058</v>
      </c>
      <c r="F2630" s="8" t="s">
        <v>16443</v>
      </c>
      <c r="G2630" s="8">
        <v>23.61</v>
      </c>
      <c r="H2630" s="8"/>
      <c r="I2630" s="8"/>
      <c r="J2630" s="8" t="s">
        <v>17059</v>
      </c>
      <c r="K2630" s="8" t="s">
        <v>17060</v>
      </c>
      <c r="L2630" s="8"/>
      <c r="M2630" s="8"/>
      <c r="N2630" s="12"/>
      <c r="O2630" s="12"/>
      <c r="P2630" s="13">
        <f>IFERROR(__xludf.DUMMYFUNCTION("VALUE(SUBSTITUTE((INDEX(SPLIT(A2630,"",""),1)),""."","","",1))"),43.473968)</f>
        <v>43.473968</v>
      </c>
      <c r="Q2630" s="13">
        <f>IFERROR(__xludf.DUMMYFUNCTION("VALUE(SUBSTITUTE((INDEX(SPLIT(A2630,"",""),2)),""."","","",1))"),43.583033)</f>
        <v>43.583033</v>
      </c>
      <c r="R2630" s="14" t="b">
        <f t="shared" si="1"/>
        <v>0</v>
      </c>
      <c r="S2630" s="14" t="str">
        <f t="shared" si="2"/>
        <v>43.473968,43.583033</v>
      </c>
      <c r="T2630" s="12"/>
    </row>
    <row r="2631">
      <c r="A2631" s="15" t="s">
        <v>17061</v>
      </c>
      <c r="B2631" s="16" t="s">
        <v>17062</v>
      </c>
      <c r="C2631" s="16" t="s">
        <v>17063</v>
      </c>
      <c r="D2631" s="16" t="s">
        <v>16</v>
      </c>
      <c r="E2631" s="17" t="s">
        <v>17064</v>
      </c>
      <c r="F2631" s="16" t="s">
        <v>16443</v>
      </c>
      <c r="G2631" s="16">
        <v>23.61</v>
      </c>
      <c r="H2631" s="16"/>
      <c r="I2631" s="16"/>
      <c r="J2631" s="16" t="s">
        <v>17065</v>
      </c>
      <c r="K2631" s="16" t="s">
        <v>17066</v>
      </c>
      <c r="L2631" s="16"/>
      <c r="M2631" s="16"/>
      <c r="N2631" s="12"/>
      <c r="O2631" s="12"/>
      <c r="P2631" s="13">
        <f>IFERROR(__xludf.DUMMYFUNCTION("VALUE(SUBSTITUTE((INDEX(SPLIT(A2631,"",""),1)),""."","","",1))"),43.490452)</f>
        <v>43.490452</v>
      </c>
      <c r="Q2631" s="13">
        <f>IFERROR(__xludf.DUMMYFUNCTION("VALUE(SUBSTITUTE((INDEX(SPLIT(A2631,"",""),2)),""."","","",1))"),43.583284)</f>
        <v>43.583284</v>
      </c>
      <c r="R2631" s="14" t="b">
        <f t="shared" si="1"/>
        <v>0</v>
      </c>
      <c r="S2631" s="14" t="str">
        <f t="shared" si="2"/>
        <v>43.490452,43.583284</v>
      </c>
      <c r="T2631" s="12"/>
    </row>
    <row r="2632">
      <c r="A2632" s="18" t="s">
        <v>17067</v>
      </c>
      <c r="B2632" s="8" t="s">
        <v>17068</v>
      </c>
      <c r="C2632" s="8" t="s">
        <v>17069</v>
      </c>
      <c r="D2632" s="8" t="s">
        <v>16</v>
      </c>
      <c r="E2632" s="19" t="s">
        <v>17070</v>
      </c>
      <c r="F2632" s="8" t="s">
        <v>17071</v>
      </c>
      <c r="G2632" s="8">
        <v>23.61</v>
      </c>
      <c r="H2632" s="8"/>
      <c r="I2632" s="8"/>
      <c r="J2632" s="8" t="s">
        <v>17072</v>
      </c>
      <c r="K2632" s="8" t="s">
        <v>17073</v>
      </c>
      <c r="L2632" s="8"/>
      <c r="M2632" s="8"/>
      <c r="N2632" s="12"/>
      <c r="O2632" s="12"/>
      <c r="P2632" s="13">
        <f>IFERROR(__xludf.DUMMYFUNCTION("VALUE(SUBSTITUTE((INDEX(SPLIT(A2632,"",""),1)),""."","","",1))"),56.255362)</f>
        <v>56.255362</v>
      </c>
      <c r="Q2632" s="13">
        <f>IFERROR(__xludf.DUMMYFUNCTION("VALUE(SUBSTITUTE((INDEX(SPLIT(A2632,"",""),2)),""."","","",1))"),43.591387)</f>
        <v>43.591387</v>
      </c>
      <c r="R2632" s="14" t="b">
        <f t="shared" si="1"/>
        <v>0</v>
      </c>
      <c r="S2632" s="14" t="str">
        <f t="shared" si="2"/>
        <v>56.255362,43.591387</v>
      </c>
      <c r="T2632" s="12"/>
    </row>
    <row r="2633">
      <c r="A2633" s="20" t="s">
        <v>17074</v>
      </c>
      <c r="B2633" s="16" t="s">
        <v>17075</v>
      </c>
      <c r="C2633" s="16" t="s">
        <v>17076</v>
      </c>
      <c r="D2633" s="16" t="s">
        <v>16</v>
      </c>
      <c r="E2633" s="21" t="s">
        <v>17077</v>
      </c>
      <c r="F2633" s="22" t="s">
        <v>17071</v>
      </c>
      <c r="G2633" s="16">
        <v>23.61</v>
      </c>
      <c r="H2633" s="16"/>
      <c r="I2633" s="22"/>
      <c r="J2633" s="22" t="s">
        <v>17078</v>
      </c>
      <c r="K2633" s="22" t="s">
        <v>17079</v>
      </c>
      <c r="L2633" s="23" t="s">
        <v>17080</v>
      </c>
      <c r="M2633" s="22"/>
      <c r="N2633" s="12"/>
      <c r="O2633" s="12"/>
      <c r="P2633" s="13">
        <f>IFERROR(__xludf.DUMMYFUNCTION("VALUE(SUBSTITUTE((INDEX(SPLIT(A2633,"",""),1)),""."","","",1))"),43.318674)</f>
        <v>43.318674</v>
      </c>
      <c r="Q2633" s="13">
        <f>IFERROR(__xludf.DUMMYFUNCTION("VALUE(SUBSTITUTE((INDEX(SPLIT(A2633,"",""),2)),""."","","",1))"),43.601035)</f>
        <v>43.601035</v>
      </c>
      <c r="R2633" s="14" t="b">
        <f t="shared" si="1"/>
        <v>0</v>
      </c>
      <c r="S2633" s="14" t="str">
        <f t="shared" si="2"/>
        <v>43.318674,43.601035</v>
      </c>
      <c r="T2633" s="12"/>
    </row>
    <row r="2634">
      <c r="A2634" s="18" t="s">
        <v>17081</v>
      </c>
      <c r="B2634" s="8" t="s">
        <v>17082</v>
      </c>
      <c r="C2634" s="8" t="s">
        <v>17083</v>
      </c>
      <c r="D2634" s="8" t="s">
        <v>16</v>
      </c>
      <c r="E2634" s="19" t="s">
        <v>17084</v>
      </c>
      <c r="F2634" s="8" t="s">
        <v>13111</v>
      </c>
      <c r="G2634" s="8">
        <v>23.61</v>
      </c>
      <c r="H2634" s="8"/>
      <c r="I2634" s="8"/>
      <c r="J2634" s="8" t="s">
        <v>17085</v>
      </c>
      <c r="K2634" s="8" t="s">
        <v>17086</v>
      </c>
      <c r="L2634" s="8"/>
      <c r="M2634" s="8"/>
      <c r="N2634" s="12"/>
      <c r="O2634" s="12"/>
      <c r="P2634" s="13">
        <f>IFERROR(__xludf.DUMMYFUNCTION("VALUE(SUBSTITUTE((INDEX(SPLIT(A2634,"",""),1)),""."","","",1))"),43.48607)</f>
        <v>43.48607</v>
      </c>
      <c r="Q2634" s="13">
        <f>IFERROR(__xludf.DUMMYFUNCTION("VALUE(SUBSTITUTE((INDEX(SPLIT(A2634,"",""),2)),""."","","",1))"),43.602095)</f>
        <v>43.602095</v>
      </c>
      <c r="R2634" s="14" t="b">
        <f t="shared" si="1"/>
        <v>0</v>
      </c>
      <c r="S2634" s="14" t="str">
        <f t="shared" si="2"/>
        <v>43.48607,43.602095</v>
      </c>
      <c r="T2634" s="12"/>
    </row>
    <row r="2635">
      <c r="A2635" s="15" t="s">
        <v>17087</v>
      </c>
      <c r="B2635" s="16" t="s">
        <v>17088</v>
      </c>
      <c r="C2635" s="16" t="s">
        <v>17089</v>
      </c>
      <c r="D2635" s="16" t="s">
        <v>16</v>
      </c>
      <c r="E2635" s="17" t="s">
        <v>17090</v>
      </c>
      <c r="F2635" s="16" t="s">
        <v>13111</v>
      </c>
      <c r="G2635" s="16">
        <v>23.61</v>
      </c>
      <c r="H2635" s="16"/>
      <c r="I2635" s="32" t="s">
        <v>17091</v>
      </c>
      <c r="J2635" s="16" t="s">
        <v>17092</v>
      </c>
      <c r="K2635" s="16" t="s">
        <v>17093</v>
      </c>
      <c r="L2635" s="16"/>
      <c r="M2635" s="25" t="s">
        <v>17094</v>
      </c>
      <c r="N2635" s="12"/>
      <c r="O2635" s="12"/>
      <c r="P2635" s="13">
        <f>IFERROR(__xludf.DUMMYFUNCTION("VALUE(SUBSTITUTE((INDEX(SPLIT(A2635,"",""),1)),""."","","",1))"),43.483519)</f>
        <v>43.483519</v>
      </c>
      <c r="Q2635" s="13">
        <f>IFERROR(__xludf.DUMMYFUNCTION("VALUE(SUBSTITUTE((INDEX(SPLIT(A2635,"",""),2)),""."","","",1))"),43.606101)</f>
        <v>43.606101</v>
      </c>
      <c r="R2635" s="14" t="b">
        <f t="shared" si="1"/>
        <v>0</v>
      </c>
      <c r="S2635" s="14" t="str">
        <f t="shared" si="2"/>
        <v>43.483519,43.606101</v>
      </c>
      <c r="T2635" s="12"/>
    </row>
    <row r="2636">
      <c r="A2636" s="18" t="s">
        <v>17095</v>
      </c>
      <c r="B2636" s="8" t="s">
        <v>17096</v>
      </c>
      <c r="C2636" s="8" t="s">
        <v>17097</v>
      </c>
      <c r="D2636" s="8" t="s">
        <v>16</v>
      </c>
      <c r="E2636" s="19" t="s">
        <v>17098</v>
      </c>
      <c r="F2636" s="8" t="s">
        <v>16443</v>
      </c>
      <c r="G2636" s="8">
        <v>23.61</v>
      </c>
      <c r="H2636" s="8"/>
      <c r="I2636" s="8"/>
      <c r="J2636" s="8" t="s">
        <v>17099</v>
      </c>
      <c r="K2636" s="8" t="s">
        <v>17100</v>
      </c>
      <c r="L2636" s="8"/>
      <c r="M2636" s="8"/>
      <c r="N2636" s="12"/>
      <c r="O2636" s="12"/>
      <c r="P2636" s="13">
        <f>IFERROR(__xludf.DUMMYFUNCTION("VALUE(SUBSTITUTE((INDEX(SPLIT(A2636,"",""),1)),""."","","",1))"),43.489687)</f>
        <v>43.489687</v>
      </c>
      <c r="Q2636" s="13">
        <f>IFERROR(__xludf.DUMMYFUNCTION("VALUE(SUBSTITUTE((INDEX(SPLIT(A2636,"",""),2)),""."","","",1))"),43.606263)</f>
        <v>43.606263</v>
      </c>
      <c r="R2636" s="14" t="b">
        <f t="shared" si="1"/>
        <v>0</v>
      </c>
      <c r="S2636" s="14" t="str">
        <f t="shared" si="2"/>
        <v>43.489687,43.606263</v>
      </c>
      <c r="T2636" s="12"/>
    </row>
    <row r="2637">
      <c r="A2637" s="15" t="s">
        <v>17101</v>
      </c>
      <c r="B2637" s="16" t="s">
        <v>17102</v>
      </c>
      <c r="C2637" s="16" t="s">
        <v>17103</v>
      </c>
      <c r="D2637" s="16" t="s">
        <v>16</v>
      </c>
      <c r="E2637" s="17" t="s">
        <v>17104</v>
      </c>
      <c r="F2637" s="16" t="s">
        <v>17033</v>
      </c>
      <c r="G2637" s="16">
        <v>23.61</v>
      </c>
      <c r="H2637" s="16"/>
      <c r="I2637" s="16"/>
      <c r="J2637" s="16" t="s">
        <v>17105</v>
      </c>
      <c r="K2637" s="16" t="s">
        <v>17106</v>
      </c>
      <c r="L2637" s="16"/>
      <c r="M2637" s="16"/>
      <c r="N2637" s="12"/>
      <c r="O2637" s="12"/>
      <c r="P2637" s="13">
        <f>IFERROR(__xludf.DUMMYFUNCTION("VALUE(SUBSTITUTE((INDEX(SPLIT(A2637,"",""),1)),""."","","",1))"),43.481511)</f>
        <v>43.481511</v>
      </c>
      <c r="Q2637" s="13">
        <f>IFERROR(__xludf.DUMMYFUNCTION("VALUE(SUBSTITUTE((INDEX(SPLIT(A2637,"",""),2)),""."","","",1))"),43.608868)</f>
        <v>43.608868</v>
      </c>
      <c r="R2637" s="14" t="b">
        <f t="shared" si="1"/>
        <v>0</v>
      </c>
      <c r="S2637" s="14" t="str">
        <f t="shared" si="2"/>
        <v>43.481511,43.608868</v>
      </c>
      <c r="T2637" s="12"/>
    </row>
    <row r="2638">
      <c r="A2638" s="7" t="s">
        <v>17107</v>
      </c>
      <c r="B2638" s="8" t="s">
        <v>17108</v>
      </c>
      <c r="C2638" s="8" t="s">
        <v>17108</v>
      </c>
      <c r="D2638" s="8" t="s">
        <v>16</v>
      </c>
      <c r="E2638" s="9" t="s">
        <v>17109</v>
      </c>
      <c r="F2638" s="10" t="s">
        <v>17110</v>
      </c>
      <c r="G2638" s="8">
        <v>23.61</v>
      </c>
      <c r="H2638" s="8"/>
      <c r="I2638" s="10"/>
      <c r="J2638" s="10" t="s">
        <v>17111</v>
      </c>
      <c r="K2638" s="10" t="s">
        <v>17112</v>
      </c>
      <c r="L2638" s="11" t="s">
        <v>17113</v>
      </c>
      <c r="M2638" s="10"/>
      <c r="N2638" s="12"/>
      <c r="O2638" s="12"/>
      <c r="P2638" s="13">
        <f>IFERROR(__xludf.DUMMYFUNCTION("VALUE(SUBSTITUTE((INDEX(SPLIT(A2638,"",""),1)),""."","","",1))"),43.48537)</f>
        <v>43.48537</v>
      </c>
      <c r="Q2638" s="13">
        <f>IFERROR(__xludf.DUMMYFUNCTION("VALUE(SUBSTITUTE((INDEX(SPLIT(A2638,"",""),2)),""."","","",1))"),43.610521)</f>
        <v>43.610521</v>
      </c>
      <c r="R2638" s="14" t="b">
        <f t="shared" si="1"/>
        <v>0</v>
      </c>
      <c r="S2638" s="14" t="str">
        <f t="shared" si="2"/>
        <v>43.48537,43.610521</v>
      </c>
      <c r="T2638" s="12"/>
    </row>
    <row r="2639">
      <c r="A2639" s="15" t="s">
        <v>17114</v>
      </c>
      <c r="B2639" s="16" t="s">
        <v>17115</v>
      </c>
      <c r="C2639" s="16" t="s">
        <v>17116</v>
      </c>
      <c r="D2639" s="16" t="s">
        <v>16</v>
      </c>
      <c r="E2639" s="17" t="s">
        <v>17117</v>
      </c>
      <c r="F2639" s="16" t="s">
        <v>17033</v>
      </c>
      <c r="G2639" s="16">
        <v>23.61</v>
      </c>
      <c r="H2639" s="16"/>
      <c r="I2639" s="16"/>
      <c r="J2639" s="16" t="s">
        <v>17118</v>
      </c>
      <c r="K2639" s="16" t="s">
        <v>17119</v>
      </c>
      <c r="L2639" s="16"/>
      <c r="M2639" s="16"/>
      <c r="N2639" s="12"/>
      <c r="O2639" s="12"/>
      <c r="P2639" s="13">
        <f>IFERROR(__xludf.DUMMYFUNCTION("VALUE(SUBSTITUTE((INDEX(SPLIT(A2639,"",""),1)),""."","","",1))"),43.504734)</f>
        <v>43.504734</v>
      </c>
      <c r="Q2639" s="13">
        <f>IFERROR(__xludf.DUMMYFUNCTION("VALUE(SUBSTITUTE((INDEX(SPLIT(A2639,"",""),2)),""."","","",1))"),43.613036)</f>
        <v>43.613036</v>
      </c>
      <c r="R2639" s="14" t="b">
        <f t="shared" si="1"/>
        <v>0</v>
      </c>
      <c r="S2639" s="14" t="str">
        <f t="shared" si="2"/>
        <v>43.504734,43.613036</v>
      </c>
      <c r="T2639" s="12"/>
    </row>
    <row r="2640">
      <c r="A2640" s="7" t="s">
        <v>17120</v>
      </c>
      <c r="B2640" s="8" t="s">
        <v>17121</v>
      </c>
      <c r="C2640" s="8" t="s">
        <v>17122</v>
      </c>
      <c r="D2640" s="8" t="s">
        <v>16</v>
      </c>
      <c r="E2640" s="9" t="s">
        <v>17123</v>
      </c>
      <c r="F2640" s="10" t="s">
        <v>17033</v>
      </c>
      <c r="G2640" s="8">
        <v>23.61</v>
      </c>
      <c r="H2640" s="8"/>
      <c r="I2640" s="10"/>
      <c r="J2640" s="10" t="s">
        <v>17124</v>
      </c>
      <c r="K2640" s="10" t="s">
        <v>17125</v>
      </c>
      <c r="L2640" s="11" t="s">
        <v>17126</v>
      </c>
      <c r="M2640" s="10"/>
      <c r="N2640" s="12"/>
      <c r="O2640" s="12"/>
      <c r="P2640" s="13">
        <f>IFERROR(__xludf.DUMMYFUNCTION("VALUE(SUBSTITUTE((INDEX(SPLIT(A2640,"",""),1)),""."","","",1))"),43.502616)</f>
        <v>43.502616</v>
      </c>
      <c r="Q2640" s="13">
        <f>IFERROR(__xludf.DUMMYFUNCTION("VALUE(SUBSTITUTE((INDEX(SPLIT(A2640,"",""),2)),""."","","",1))"),43.613252)</f>
        <v>43.613252</v>
      </c>
      <c r="R2640" s="14" t="b">
        <f t="shared" si="1"/>
        <v>0</v>
      </c>
      <c r="S2640" s="14" t="str">
        <f t="shared" si="2"/>
        <v>43.502616,43.613252</v>
      </c>
      <c r="T2640" s="12"/>
    </row>
    <row r="2641">
      <c r="A2641" s="15" t="s">
        <v>17127</v>
      </c>
      <c r="B2641" s="16" t="s">
        <v>17128</v>
      </c>
      <c r="C2641" s="16" t="s">
        <v>17128</v>
      </c>
      <c r="D2641" s="16" t="s">
        <v>16</v>
      </c>
      <c r="E2641" s="17" t="s">
        <v>17129</v>
      </c>
      <c r="F2641" s="16" t="s">
        <v>17033</v>
      </c>
      <c r="G2641" s="16">
        <v>23.61</v>
      </c>
      <c r="H2641" s="16"/>
      <c r="I2641" s="16"/>
      <c r="J2641" s="16" t="s">
        <v>17130</v>
      </c>
      <c r="K2641" s="16" t="s">
        <v>17131</v>
      </c>
      <c r="L2641" s="16"/>
      <c r="M2641" s="16"/>
      <c r="N2641" s="12"/>
      <c r="O2641" s="12"/>
      <c r="P2641" s="13">
        <f>IFERROR(__xludf.DUMMYFUNCTION("VALUE(SUBSTITUTE((INDEX(SPLIT(A2641,"",""),1)),""."","","",1))"),43.506068)</f>
        <v>43.506068</v>
      </c>
      <c r="Q2641" s="13">
        <f>IFERROR(__xludf.DUMMYFUNCTION("VALUE(SUBSTITUTE((INDEX(SPLIT(A2641,"",""),2)),""."","","",1))"),43.623771)</f>
        <v>43.623771</v>
      </c>
      <c r="R2641" s="14" t="b">
        <f t="shared" si="1"/>
        <v>0</v>
      </c>
      <c r="S2641" s="14" t="str">
        <f t="shared" si="2"/>
        <v>43.506068,43.623771</v>
      </c>
      <c r="T2641" s="12"/>
    </row>
    <row r="2642">
      <c r="A2642" s="7" t="s">
        <v>17132</v>
      </c>
      <c r="B2642" s="8" t="s">
        <v>17133</v>
      </c>
      <c r="C2642" s="8" t="s">
        <v>17134</v>
      </c>
      <c r="D2642" s="8" t="s">
        <v>16</v>
      </c>
      <c r="E2642" s="9" t="s">
        <v>17135</v>
      </c>
      <c r="F2642" s="10" t="s">
        <v>1448</v>
      </c>
      <c r="G2642" s="8">
        <v>23.61</v>
      </c>
      <c r="H2642" s="8"/>
      <c r="I2642" s="10"/>
      <c r="J2642" s="10" t="s">
        <v>17136</v>
      </c>
      <c r="K2642" s="10" t="s">
        <v>17137</v>
      </c>
      <c r="L2642" s="11" t="s">
        <v>17138</v>
      </c>
      <c r="M2642" s="11" t="s">
        <v>17139</v>
      </c>
      <c r="N2642" s="12"/>
      <c r="O2642" s="12"/>
      <c r="P2642" s="13">
        <f>IFERROR(__xludf.DUMMYFUNCTION("VALUE(SUBSTITUTE((INDEX(SPLIT(A2642,"",""),1)),""."","","",1))"),43.957369)</f>
        <v>43.957369</v>
      </c>
      <c r="Q2642" s="13">
        <f>IFERROR(__xludf.DUMMYFUNCTION("VALUE(SUBSTITUTE((INDEX(SPLIT(A2642,"",""),2)),""."","","",1))"),43.63191)</f>
        <v>43.63191</v>
      </c>
      <c r="R2642" s="14" t="b">
        <f t="shared" si="1"/>
        <v>0</v>
      </c>
      <c r="S2642" s="14" t="str">
        <f t="shared" si="2"/>
        <v>43.957369,43.63191</v>
      </c>
      <c r="T2642" s="12"/>
    </row>
    <row r="2643">
      <c r="A2643" s="15" t="s">
        <v>17140</v>
      </c>
      <c r="B2643" s="16" t="s">
        <v>17141</v>
      </c>
      <c r="C2643" s="16" t="s">
        <v>17142</v>
      </c>
      <c r="D2643" s="16" t="s">
        <v>16</v>
      </c>
      <c r="E2643" s="17" t="s">
        <v>17143</v>
      </c>
      <c r="F2643" s="16" t="s">
        <v>17033</v>
      </c>
      <c r="G2643" s="16">
        <v>23.61</v>
      </c>
      <c r="H2643" s="16"/>
      <c r="I2643" s="16"/>
      <c r="J2643" s="16" t="s">
        <v>17144</v>
      </c>
      <c r="K2643" s="16" t="s">
        <v>17145</v>
      </c>
      <c r="L2643" s="16"/>
      <c r="M2643" s="16"/>
      <c r="N2643" s="12"/>
      <c r="O2643" s="12"/>
      <c r="P2643" s="13">
        <f>IFERROR(__xludf.DUMMYFUNCTION("VALUE(SUBSTITUTE((INDEX(SPLIT(A2643,"",""),1)),""."","","",1))"),56.253777)</f>
        <v>56.253777</v>
      </c>
      <c r="Q2643" s="13">
        <f>IFERROR(__xludf.DUMMYFUNCTION("VALUE(SUBSTITUTE((INDEX(SPLIT(A2643,"",""),2)),""."","","",1))"),43.640148)</f>
        <v>43.640148</v>
      </c>
      <c r="R2643" s="14" t="b">
        <f t="shared" si="1"/>
        <v>0</v>
      </c>
      <c r="S2643" s="14" t="str">
        <f t="shared" si="2"/>
        <v>56.253777,43.640148</v>
      </c>
      <c r="T2643" s="12"/>
    </row>
    <row r="2644">
      <c r="A2644" s="18" t="s">
        <v>17146</v>
      </c>
      <c r="B2644" s="8" t="s">
        <v>763</v>
      </c>
      <c r="C2644" s="8" t="s">
        <v>764</v>
      </c>
      <c r="D2644" s="8" t="s">
        <v>16</v>
      </c>
      <c r="E2644" s="19" t="s">
        <v>17147</v>
      </c>
      <c r="F2644" s="8" t="s">
        <v>16486</v>
      </c>
      <c r="G2644" s="8">
        <v>23.61</v>
      </c>
      <c r="H2644" s="8"/>
      <c r="I2644" s="8"/>
      <c r="J2644" s="8" t="s">
        <v>17148</v>
      </c>
      <c r="K2644" s="8" t="s">
        <v>17149</v>
      </c>
      <c r="L2644" s="8"/>
      <c r="M2644" s="8"/>
      <c r="N2644" s="12"/>
      <c r="O2644" s="12"/>
      <c r="P2644" s="13">
        <f>IFERROR(__xludf.DUMMYFUNCTION("VALUE(SUBSTITUTE((INDEX(SPLIT(A2644,"",""),1)),""."","","",1))"),43.51613)</f>
        <v>43.51613</v>
      </c>
      <c r="Q2644" s="13">
        <f>IFERROR(__xludf.DUMMYFUNCTION("VALUE(SUBSTITUTE((INDEX(SPLIT(A2644,"",""),2)),""."","","",1))"),43.666819)</f>
        <v>43.666819</v>
      </c>
      <c r="R2644" s="14" t="b">
        <f t="shared" si="1"/>
        <v>0</v>
      </c>
      <c r="S2644" s="14" t="str">
        <f t="shared" si="2"/>
        <v>43.51613,43.666819</v>
      </c>
      <c r="T2644" s="12"/>
    </row>
    <row r="2645">
      <c r="A2645" s="15" t="s">
        <v>17150</v>
      </c>
      <c r="B2645" s="16" t="s">
        <v>17151</v>
      </c>
      <c r="C2645" s="16" t="s">
        <v>17152</v>
      </c>
      <c r="D2645" s="16" t="s">
        <v>16</v>
      </c>
      <c r="E2645" s="17" t="s">
        <v>17153</v>
      </c>
      <c r="F2645" s="16" t="s">
        <v>9648</v>
      </c>
      <c r="G2645" s="16">
        <v>23.61</v>
      </c>
      <c r="H2645" s="16"/>
      <c r="I2645" s="16"/>
      <c r="J2645" s="16" t="s">
        <v>17154</v>
      </c>
      <c r="K2645" s="16" t="s">
        <v>17155</v>
      </c>
      <c r="L2645" s="16"/>
      <c r="M2645" s="16"/>
      <c r="N2645" s="12"/>
      <c r="O2645" s="12"/>
      <c r="P2645" s="13">
        <f>IFERROR(__xludf.DUMMYFUNCTION("VALUE(SUBSTITUTE((INDEX(SPLIT(A2645,"",""),1)),""."","","",1))"),43.502609)</f>
        <v>43.502609</v>
      </c>
      <c r="Q2645" s="13">
        <f>IFERROR(__xludf.DUMMYFUNCTION("VALUE(SUBSTITUTE((INDEX(SPLIT(A2645,"",""),2)),""."","","",1))"),43.669235)</f>
        <v>43.669235</v>
      </c>
      <c r="R2645" s="14" t="b">
        <f t="shared" si="1"/>
        <v>0</v>
      </c>
      <c r="S2645" s="14" t="str">
        <f t="shared" si="2"/>
        <v>43.502609,43.669235</v>
      </c>
      <c r="T2645" s="12"/>
    </row>
    <row r="2646">
      <c r="A2646" s="7" t="s">
        <v>17156</v>
      </c>
      <c r="B2646" s="8" t="s">
        <v>17157</v>
      </c>
      <c r="C2646" s="8" t="s">
        <v>17158</v>
      </c>
      <c r="D2646" s="8" t="s">
        <v>16</v>
      </c>
      <c r="E2646" s="9" t="s">
        <v>17159</v>
      </c>
      <c r="F2646" s="10" t="s">
        <v>17033</v>
      </c>
      <c r="G2646" s="8">
        <v>23.61</v>
      </c>
      <c r="H2646" s="8"/>
      <c r="I2646" s="10"/>
      <c r="J2646" s="10" t="s">
        <v>17160</v>
      </c>
      <c r="K2646" s="10" t="s">
        <v>17161</v>
      </c>
      <c r="L2646" s="11" t="s">
        <v>17162</v>
      </c>
      <c r="M2646" s="10"/>
      <c r="N2646" s="12"/>
      <c r="O2646" s="12"/>
      <c r="P2646" s="13">
        <f>IFERROR(__xludf.DUMMYFUNCTION("VALUE(SUBSTITUTE((INDEX(SPLIT(A2646,"",""),1)),""."","","",1))"),43.518399)</f>
        <v>43.518399</v>
      </c>
      <c r="Q2646" s="13">
        <f>IFERROR(__xludf.DUMMYFUNCTION("VALUE(SUBSTITUTE((INDEX(SPLIT(A2646,"",""),2)),""."","","",1))"),43.676475)</f>
        <v>43.676475</v>
      </c>
      <c r="R2646" s="14" t="b">
        <f t="shared" si="1"/>
        <v>0</v>
      </c>
      <c r="S2646" s="14" t="str">
        <f t="shared" si="2"/>
        <v>43.518399,43.676475</v>
      </c>
      <c r="T2646" s="12"/>
    </row>
    <row r="2647">
      <c r="A2647" s="20" t="s">
        <v>17163</v>
      </c>
      <c r="B2647" s="16" t="s">
        <v>17164</v>
      </c>
      <c r="C2647" s="16" t="s">
        <v>3139</v>
      </c>
      <c r="D2647" s="16" t="s">
        <v>16</v>
      </c>
      <c r="E2647" s="21" t="s">
        <v>17165</v>
      </c>
      <c r="F2647" s="22" t="s">
        <v>16486</v>
      </c>
      <c r="G2647" s="16">
        <v>23.61</v>
      </c>
      <c r="H2647" s="16"/>
      <c r="I2647" s="22"/>
      <c r="J2647" s="22" t="s">
        <v>17166</v>
      </c>
      <c r="K2647" s="22" t="s">
        <v>17167</v>
      </c>
      <c r="L2647" s="23" t="s">
        <v>17168</v>
      </c>
      <c r="M2647" s="22"/>
      <c r="N2647" s="12"/>
      <c r="O2647" s="12"/>
      <c r="P2647" s="13">
        <f>IFERROR(__xludf.DUMMYFUNCTION("VALUE(SUBSTITUTE((INDEX(SPLIT(A2647,"",""),1)),""."","","",1))"),43.515378)</f>
        <v>43.515378</v>
      </c>
      <c r="Q2647" s="13">
        <f>IFERROR(__xludf.DUMMYFUNCTION("VALUE(SUBSTITUTE((INDEX(SPLIT(A2647,"",""),2)),""."","","",1))"),43.687138)</f>
        <v>43.687138</v>
      </c>
      <c r="R2647" s="14" t="b">
        <f t="shared" si="1"/>
        <v>0</v>
      </c>
      <c r="S2647" s="14" t="str">
        <f t="shared" si="2"/>
        <v>43.515378,43.687138</v>
      </c>
      <c r="T2647" s="12"/>
    </row>
    <row r="2648">
      <c r="A2648" s="7" t="s">
        <v>17163</v>
      </c>
      <c r="B2648" s="8" t="s">
        <v>17169</v>
      </c>
      <c r="C2648" s="8" t="s">
        <v>17170</v>
      </c>
      <c r="D2648" s="8" t="s">
        <v>16</v>
      </c>
      <c r="E2648" s="9" t="s">
        <v>17171</v>
      </c>
      <c r="F2648" s="10" t="s">
        <v>17033</v>
      </c>
      <c r="G2648" s="8">
        <v>23.61</v>
      </c>
      <c r="H2648" s="8"/>
      <c r="I2648" s="10"/>
      <c r="J2648" s="10" t="s">
        <v>17172</v>
      </c>
      <c r="K2648" s="10" t="s">
        <v>17173</v>
      </c>
      <c r="L2648" s="11" t="s">
        <v>17174</v>
      </c>
      <c r="M2648" s="10"/>
      <c r="N2648" s="12"/>
      <c r="O2648" s="12"/>
      <c r="P2648" s="13">
        <f>IFERROR(__xludf.DUMMYFUNCTION("VALUE(SUBSTITUTE((INDEX(SPLIT(A2648,"",""),1)),""."","","",1))"),43.515378)</f>
        <v>43.515378</v>
      </c>
      <c r="Q2648" s="13">
        <f>IFERROR(__xludf.DUMMYFUNCTION("VALUE(SUBSTITUTE((INDEX(SPLIT(A2648,"",""),2)),""."","","",1))"),43.687138)</f>
        <v>43.687138</v>
      </c>
      <c r="R2648" s="14" t="b">
        <f t="shared" si="1"/>
        <v>0</v>
      </c>
      <c r="S2648" s="14" t="str">
        <f t="shared" si="2"/>
        <v>43.515378,43.687138</v>
      </c>
      <c r="T2648" s="12"/>
    </row>
    <row r="2649">
      <c r="A2649" s="15" t="s">
        <v>17175</v>
      </c>
      <c r="B2649" s="16" t="s">
        <v>17176</v>
      </c>
      <c r="C2649" s="16" t="s">
        <v>17177</v>
      </c>
      <c r="D2649" s="16" t="s">
        <v>16</v>
      </c>
      <c r="E2649" s="17" t="s">
        <v>17178</v>
      </c>
      <c r="F2649" s="16" t="s">
        <v>17033</v>
      </c>
      <c r="G2649" s="16">
        <v>23.61</v>
      </c>
      <c r="H2649" s="16"/>
      <c r="I2649" s="16"/>
      <c r="J2649" s="16" t="s">
        <v>17179</v>
      </c>
      <c r="K2649" s="16" t="s">
        <v>17180</v>
      </c>
      <c r="L2649" s="16"/>
      <c r="M2649" s="16"/>
      <c r="N2649" s="12"/>
      <c r="O2649" s="12"/>
      <c r="P2649" s="13">
        <f>IFERROR(__xludf.DUMMYFUNCTION("VALUE(SUBSTITUTE((INDEX(SPLIT(A2649,"",""),1)),""."","","",1))"),56.257753)</f>
        <v>56.257753</v>
      </c>
      <c r="Q2649" s="13">
        <f>IFERROR(__xludf.DUMMYFUNCTION("VALUE(SUBSTITUTE((INDEX(SPLIT(A2649,"",""),2)),""."","","",1))"),43.733177)</f>
        <v>43.733177</v>
      </c>
      <c r="R2649" s="14" t="b">
        <f t="shared" si="1"/>
        <v>0</v>
      </c>
      <c r="S2649" s="14" t="str">
        <f t="shared" si="2"/>
        <v>56.257753,43.733177</v>
      </c>
      <c r="T2649" s="12"/>
    </row>
    <row r="2650">
      <c r="A2650" s="7" t="s">
        <v>17181</v>
      </c>
      <c r="B2650" s="8" t="s">
        <v>17182</v>
      </c>
      <c r="C2650" s="8" t="s">
        <v>17183</v>
      </c>
      <c r="D2650" s="8" t="s">
        <v>16</v>
      </c>
      <c r="E2650" s="9" t="s">
        <v>17184</v>
      </c>
      <c r="F2650" s="10" t="s">
        <v>1448</v>
      </c>
      <c r="G2650" s="8">
        <v>23.61</v>
      </c>
      <c r="H2650" s="8"/>
      <c r="I2650" s="31" t="s">
        <v>17185</v>
      </c>
      <c r="J2650" s="10" t="s">
        <v>17186</v>
      </c>
      <c r="K2650" s="10" t="s">
        <v>17187</v>
      </c>
      <c r="L2650" s="11" t="s">
        <v>17188</v>
      </c>
      <c r="M2650" s="11" t="s">
        <v>17189</v>
      </c>
      <c r="N2650" s="12"/>
      <c r="O2650" s="12"/>
      <c r="P2650" s="13">
        <f>IFERROR(__xludf.DUMMYFUNCTION("VALUE(SUBSTITUTE((INDEX(SPLIT(A2650,"",""),1)),""."","","",1))"),44.262934)</f>
        <v>44.262934</v>
      </c>
      <c r="Q2650" s="13">
        <f>IFERROR(__xludf.DUMMYFUNCTION("VALUE(SUBSTITUTE((INDEX(SPLIT(A2650,"",""),2)),""."","","",1))"),43.754889)</f>
        <v>43.754889</v>
      </c>
      <c r="R2650" s="14" t="b">
        <f t="shared" si="1"/>
        <v>0</v>
      </c>
      <c r="S2650" s="14" t="str">
        <f t="shared" si="2"/>
        <v>44.262934,43.754889</v>
      </c>
      <c r="T2650" s="12"/>
    </row>
    <row r="2651">
      <c r="A2651" s="15" t="s">
        <v>17181</v>
      </c>
      <c r="B2651" s="16" t="s">
        <v>17190</v>
      </c>
      <c r="C2651" s="16" t="s">
        <v>17191</v>
      </c>
      <c r="D2651" s="16" t="s">
        <v>16</v>
      </c>
      <c r="E2651" s="17" t="s">
        <v>17192</v>
      </c>
      <c r="F2651" s="16" t="s">
        <v>17033</v>
      </c>
      <c r="G2651" s="16">
        <v>23.61</v>
      </c>
      <c r="H2651" s="16"/>
      <c r="I2651" s="16"/>
      <c r="J2651" s="16" t="s">
        <v>17193</v>
      </c>
      <c r="K2651" s="16" t="s">
        <v>17194</v>
      </c>
      <c r="L2651" s="16"/>
      <c r="M2651" s="16"/>
      <c r="N2651" s="12"/>
      <c r="O2651" s="12"/>
      <c r="P2651" s="13">
        <f>IFERROR(__xludf.DUMMYFUNCTION("VALUE(SUBSTITUTE((INDEX(SPLIT(A2651,"",""),1)),""."","","",1))"),44.262934)</f>
        <v>44.262934</v>
      </c>
      <c r="Q2651" s="13">
        <f>IFERROR(__xludf.DUMMYFUNCTION("VALUE(SUBSTITUTE((INDEX(SPLIT(A2651,"",""),2)),""."","","",1))"),43.754889)</f>
        <v>43.754889</v>
      </c>
      <c r="R2651" s="14" t="b">
        <f t="shared" si="1"/>
        <v>0</v>
      </c>
      <c r="S2651" s="14" t="str">
        <f t="shared" si="2"/>
        <v>44.262934,43.754889</v>
      </c>
      <c r="T2651" s="12"/>
    </row>
    <row r="2652">
      <c r="A2652" s="18" t="s">
        <v>17195</v>
      </c>
      <c r="B2652" s="8" t="s">
        <v>17196</v>
      </c>
      <c r="C2652" s="8" t="s">
        <v>17197</v>
      </c>
      <c r="D2652" s="8" t="s">
        <v>16</v>
      </c>
      <c r="E2652" s="19" t="s">
        <v>17198</v>
      </c>
      <c r="F2652" s="8" t="s">
        <v>17033</v>
      </c>
      <c r="G2652" s="8">
        <v>23.61</v>
      </c>
      <c r="H2652" s="8"/>
      <c r="I2652" s="8"/>
      <c r="J2652" s="8" t="s">
        <v>17199</v>
      </c>
      <c r="K2652" s="8" t="s">
        <v>17200</v>
      </c>
      <c r="L2652" s="8"/>
      <c r="M2652" s="8"/>
      <c r="N2652" s="12"/>
      <c r="O2652" s="12"/>
      <c r="P2652" s="13">
        <f>IFERROR(__xludf.DUMMYFUNCTION("VALUE(SUBSTITUTE((INDEX(SPLIT(A2652,"",""),1)),""."","","",1))"),56.142937)</f>
        <v>56.142937</v>
      </c>
      <c r="Q2652" s="13">
        <f>IFERROR(__xludf.DUMMYFUNCTION("VALUE(SUBSTITUTE((INDEX(SPLIT(A2652,"",""),2)),""."","","",1))"),43.796158)</f>
        <v>43.796158</v>
      </c>
      <c r="R2652" s="14" t="b">
        <f t="shared" si="1"/>
        <v>0</v>
      </c>
      <c r="S2652" s="14" t="str">
        <f t="shared" si="2"/>
        <v>56.142937,43.796158</v>
      </c>
      <c r="T2652" s="12"/>
    </row>
    <row r="2653">
      <c r="A2653" s="15" t="s">
        <v>17201</v>
      </c>
      <c r="B2653" s="16" t="s">
        <v>17202</v>
      </c>
      <c r="C2653" s="16" t="s">
        <v>17203</v>
      </c>
      <c r="D2653" s="16" t="s">
        <v>16</v>
      </c>
      <c r="E2653" s="17" t="s">
        <v>17204</v>
      </c>
      <c r="F2653" s="16" t="s">
        <v>16486</v>
      </c>
      <c r="G2653" s="16">
        <v>23.61</v>
      </c>
      <c r="H2653" s="16"/>
      <c r="I2653" s="16"/>
      <c r="J2653" s="16" t="s">
        <v>17205</v>
      </c>
      <c r="K2653" s="16" t="s">
        <v>17206</v>
      </c>
      <c r="L2653" s="16"/>
      <c r="M2653" s="16"/>
      <c r="N2653" s="12"/>
      <c r="O2653" s="12"/>
      <c r="P2653" s="13">
        <f>IFERROR(__xludf.DUMMYFUNCTION("VALUE(SUBSTITUTE((INDEX(SPLIT(A2653,"",""),1)),""."","","",1))"),55.404591)</f>
        <v>55.404591</v>
      </c>
      <c r="Q2653" s="13">
        <f>IFERROR(__xludf.DUMMYFUNCTION("VALUE(SUBSTITUTE((INDEX(SPLIT(A2653,"",""),2)),""."","","",1))"),43.798287)</f>
        <v>43.798287</v>
      </c>
      <c r="R2653" s="14" t="b">
        <f t="shared" si="1"/>
        <v>0</v>
      </c>
      <c r="S2653" s="14" t="str">
        <f t="shared" si="2"/>
        <v>55.404591,43.798287</v>
      </c>
      <c r="T2653" s="12"/>
    </row>
    <row r="2654">
      <c r="A2654" s="18" t="s">
        <v>17207</v>
      </c>
      <c r="B2654" s="8" t="s">
        <v>17208</v>
      </c>
      <c r="C2654" s="8" t="s">
        <v>17209</v>
      </c>
      <c r="D2654" s="8" t="s">
        <v>16</v>
      </c>
      <c r="E2654" s="19" t="s">
        <v>17210</v>
      </c>
      <c r="F2654" s="8" t="s">
        <v>12993</v>
      </c>
      <c r="G2654" s="8">
        <v>23.61</v>
      </c>
      <c r="H2654" s="8"/>
      <c r="I2654" s="8"/>
      <c r="J2654" s="8" t="s">
        <v>17211</v>
      </c>
      <c r="K2654" s="8" t="s">
        <v>17212</v>
      </c>
      <c r="L2654" s="8"/>
      <c r="M2654" s="8"/>
      <c r="N2654" s="12"/>
      <c r="O2654" s="12"/>
      <c r="P2654" s="13">
        <f>IFERROR(__xludf.DUMMYFUNCTION("VALUE(SUBSTITUTE((INDEX(SPLIT(A2654,"",""),1)),""."","","",1))"),56.203538)</f>
        <v>56.203538</v>
      </c>
      <c r="Q2654" s="13">
        <f>IFERROR(__xludf.DUMMYFUNCTION("VALUE(SUBSTITUTE((INDEX(SPLIT(A2654,"",""),2)),""."","","",1))"),43.807324)</f>
        <v>43.807324</v>
      </c>
      <c r="R2654" s="14" t="b">
        <f t="shared" si="1"/>
        <v>0</v>
      </c>
      <c r="S2654" s="14" t="str">
        <f t="shared" si="2"/>
        <v>56.203538,43.807324</v>
      </c>
      <c r="T2654" s="12"/>
    </row>
    <row r="2655">
      <c r="A2655" s="20" t="s">
        <v>17213</v>
      </c>
      <c r="B2655" s="16" t="s">
        <v>17214</v>
      </c>
      <c r="C2655" s="16" t="s">
        <v>17215</v>
      </c>
      <c r="D2655" s="16" t="s">
        <v>16</v>
      </c>
      <c r="E2655" s="21" t="s">
        <v>17216</v>
      </c>
      <c r="F2655" s="22" t="s">
        <v>16486</v>
      </c>
      <c r="G2655" s="16">
        <v>23.61</v>
      </c>
      <c r="H2655" s="16"/>
      <c r="I2655" s="22"/>
      <c r="J2655" s="22" t="s">
        <v>17217</v>
      </c>
      <c r="K2655" s="22" t="s">
        <v>17218</v>
      </c>
      <c r="L2655" s="23" t="s">
        <v>17219</v>
      </c>
      <c r="M2655" s="22"/>
      <c r="N2655" s="12"/>
      <c r="O2655" s="12"/>
      <c r="P2655" s="13">
        <f>IFERROR(__xludf.DUMMYFUNCTION("VALUE(SUBSTITUTE((INDEX(SPLIT(A2655,"",""),1)),""."","","",1))"),56.20918)</f>
        <v>56.20918</v>
      </c>
      <c r="Q2655" s="13">
        <f>IFERROR(__xludf.DUMMYFUNCTION("VALUE(SUBSTITUTE((INDEX(SPLIT(A2655,"",""),2)),""."","","",1))"),43.811232)</f>
        <v>43.811232</v>
      </c>
      <c r="R2655" s="14" t="b">
        <f t="shared" si="1"/>
        <v>0</v>
      </c>
      <c r="S2655" s="14" t="str">
        <f t="shared" si="2"/>
        <v>56.20918,43.811232</v>
      </c>
      <c r="T2655" s="12"/>
    </row>
    <row r="2656">
      <c r="A2656" s="18" t="s">
        <v>17213</v>
      </c>
      <c r="B2656" s="8" t="s">
        <v>17220</v>
      </c>
      <c r="C2656" s="8" t="s">
        <v>17221</v>
      </c>
      <c r="D2656" s="8" t="s">
        <v>16</v>
      </c>
      <c r="E2656" s="19" t="s">
        <v>17222</v>
      </c>
      <c r="F2656" s="8" t="s">
        <v>17033</v>
      </c>
      <c r="G2656" s="8">
        <v>23.61</v>
      </c>
      <c r="H2656" s="8"/>
      <c r="I2656" s="8"/>
      <c r="J2656" s="8" t="s">
        <v>17223</v>
      </c>
      <c r="K2656" s="8" t="s">
        <v>17224</v>
      </c>
      <c r="L2656" s="8"/>
      <c r="M2656" s="8"/>
      <c r="N2656" s="12"/>
      <c r="O2656" s="12"/>
      <c r="P2656" s="13">
        <f>IFERROR(__xludf.DUMMYFUNCTION("VALUE(SUBSTITUTE((INDEX(SPLIT(A2656,"",""),1)),""."","","",1))"),56.20918)</f>
        <v>56.20918</v>
      </c>
      <c r="Q2656" s="13">
        <f>IFERROR(__xludf.DUMMYFUNCTION("VALUE(SUBSTITUTE((INDEX(SPLIT(A2656,"",""),2)),""."","","",1))"),43.811232)</f>
        <v>43.811232</v>
      </c>
      <c r="R2656" s="14" t="b">
        <f t="shared" si="1"/>
        <v>0</v>
      </c>
      <c r="S2656" s="14" t="str">
        <f t="shared" si="2"/>
        <v>56.20918,43.811232</v>
      </c>
      <c r="T2656" s="12"/>
    </row>
    <row r="2657">
      <c r="A2657" s="15" t="s">
        <v>17213</v>
      </c>
      <c r="B2657" s="16" t="s">
        <v>17225</v>
      </c>
      <c r="C2657" s="16" t="s">
        <v>17226</v>
      </c>
      <c r="D2657" s="16" t="s">
        <v>16</v>
      </c>
      <c r="E2657" s="17" t="s">
        <v>17227</v>
      </c>
      <c r="F2657" s="16" t="s">
        <v>17033</v>
      </c>
      <c r="G2657" s="16">
        <v>23.61</v>
      </c>
      <c r="H2657" s="16"/>
      <c r="I2657" s="16"/>
      <c r="J2657" s="16" t="s">
        <v>17228</v>
      </c>
      <c r="K2657" s="16" t="s">
        <v>17229</v>
      </c>
      <c r="L2657" s="16"/>
      <c r="M2657" s="16"/>
      <c r="N2657" s="12"/>
      <c r="O2657" s="12"/>
      <c r="P2657" s="13">
        <f>IFERROR(__xludf.DUMMYFUNCTION("VALUE(SUBSTITUTE((INDEX(SPLIT(A2657,"",""),1)),""."","","",1))"),56.20918)</f>
        <v>56.20918</v>
      </c>
      <c r="Q2657" s="13">
        <f>IFERROR(__xludf.DUMMYFUNCTION("VALUE(SUBSTITUTE((INDEX(SPLIT(A2657,"",""),2)),""."","","",1))"),43.811232)</f>
        <v>43.811232</v>
      </c>
      <c r="R2657" s="14" t="b">
        <f t="shared" si="1"/>
        <v>0</v>
      </c>
      <c r="S2657" s="14" t="str">
        <f t="shared" si="2"/>
        <v>56.20918,43.811232</v>
      </c>
      <c r="T2657" s="12"/>
    </row>
    <row r="2658">
      <c r="A2658" s="18" t="s">
        <v>17213</v>
      </c>
      <c r="B2658" s="8" t="s">
        <v>17230</v>
      </c>
      <c r="C2658" s="8" t="s">
        <v>17231</v>
      </c>
      <c r="D2658" s="8" t="s">
        <v>16</v>
      </c>
      <c r="E2658" s="19" t="s">
        <v>17232</v>
      </c>
      <c r="F2658" s="8" t="s">
        <v>16486</v>
      </c>
      <c r="G2658" s="8">
        <v>23.61</v>
      </c>
      <c r="H2658" s="8"/>
      <c r="I2658" s="8"/>
      <c r="J2658" s="8" t="s">
        <v>17233</v>
      </c>
      <c r="K2658" s="8" t="s">
        <v>17234</v>
      </c>
      <c r="L2658" s="8"/>
      <c r="M2658" s="8"/>
      <c r="N2658" s="12"/>
      <c r="O2658" s="12"/>
      <c r="P2658" s="13">
        <f>IFERROR(__xludf.DUMMYFUNCTION("VALUE(SUBSTITUTE((INDEX(SPLIT(A2658,"",""),1)),""."","","",1))"),56.20918)</f>
        <v>56.20918</v>
      </c>
      <c r="Q2658" s="13">
        <f>IFERROR(__xludf.DUMMYFUNCTION("VALUE(SUBSTITUTE((INDEX(SPLIT(A2658,"",""),2)),""."","","",1))"),43.811232)</f>
        <v>43.811232</v>
      </c>
      <c r="R2658" s="14" t="b">
        <f t="shared" si="1"/>
        <v>0</v>
      </c>
      <c r="S2658" s="14" t="str">
        <f t="shared" si="2"/>
        <v>56.20918,43.811232</v>
      </c>
      <c r="T2658" s="12"/>
    </row>
    <row r="2659">
      <c r="A2659" s="15" t="s">
        <v>17235</v>
      </c>
      <c r="B2659" s="16" t="s">
        <v>17236</v>
      </c>
      <c r="C2659" s="16" t="s">
        <v>17237</v>
      </c>
      <c r="D2659" s="16" t="s">
        <v>16</v>
      </c>
      <c r="E2659" s="17" t="s">
        <v>17238</v>
      </c>
      <c r="F2659" s="16" t="s">
        <v>16486</v>
      </c>
      <c r="G2659" s="16">
        <v>23.61</v>
      </c>
      <c r="H2659" s="16"/>
      <c r="I2659" s="16"/>
      <c r="J2659" s="16" t="s">
        <v>17239</v>
      </c>
      <c r="K2659" s="16" t="s">
        <v>17240</v>
      </c>
      <c r="L2659" s="16"/>
      <c r="M2659" s="25" t="s">
        <v>17241</v>
      </c>
      <c r="N2659" s="12"/>
      <c r="O2659" s="12"/>
      <c r="P2659" s="13">
        <f>IFERROR(__xludf.DUMMYFUNCTION("VALUE(SUBSTITUTE((INDEX(SPLIT(A2659,"",""),1)),""."","","",1))"),55.415646)</f>
        <v>55.415646</v>
      </c>
      <c r="Q2659" s="13">
        <f>IFERROR(__xludf.DUMMYFUNCTION("VALUE(SUBSTITUTE((INDEX(SPLIT(A2659,"",""),2)),""."","","",1))"),43.813091)</f>
        <v>43.813091</v>
      </c>
      <c r="R2659" s="14" t="b">
        <f t="shared" si="1"/>
        <v>0</v>
      </c>
      <c r="S2659" s="14" t="str">
        <f t="shared" si="2"/>
        <v>55.415646,43.813091</v>
      </c>
      <c r="T2659" s="12"/>
    </row>
    <row r="2660">
      <c r="A2660" s="18" t="s">
        <v>17242</v>
      </c>
      <c r="B2660" s="8" t="s">
        <v>17243</v>
      </c>
      <c r="C2660" s="8" t="s">
        <v>17197</v>
      </c>
      <c r="D2660" s="8" t="s">
        <v>16</v>
      </c>
      <c r="E2660" s="19" t="s">
        <v>17244</v>
      </c>
      <c r="F2660" s="8" t="s">
        <v>17033</v>
      </c>
      <c r="G2660" s="8">
        <v>23.61</v>
      </c>
      <c r="H2660" s="8"/>
      <c r="I2660" s="8"/>
      <c r="J2660" s="8" t="s">
        <v>17245</v>
      </c>
      <c r="K2660" s="8" t="s">
        <v>17200</v>
      </c>
      <c r="L2660" s="8"/>
      <c r="M2660" s="8"/>
      <c r="N2660" s="12"/>
      <c r="O2660" s="12"/>
      <c r="P2660" s="13">
        <f>IFERROR(__xludf.DUMMYFUNCTION("VALUE(SUBSTITUTE((INDEX(SPLIT(A2660,"",""),1)),""."","","",1))"),56.341707)</f>
        <v>56.341707</v>
      </c>
      <c r="Q2660" s="13">
        <f>IFERROR(__xludf.DUMMYFUNCTION("VALUE(SUBSTITUTE((INDEX(SPLIT(A2660,"",""),2)),""."","","",1))"),43.81929)</f>
        <v>43.81929</v>
      </c>
      <c r="R2660" s="14" t="b">
        <f t="shared" si="1"/>
        <v>0</v>
      </c>
      <c r="S2660" s="14" t="str">
        <f t="shared" si="2"/>
        <v>56.341707,43.81929</v>
      </c>
      <c r="T2660" s="12"/>
    </row>
    <row r="2661">
      <c r="A2661" s="15" t="s">
        <v>17246</v>
      </c>
      <c r="B2661" s="16" t="s">
        <v>6378</v>
      </c>
      <c r="C2661" s="16" t="s">
        <v>6379</v>
      </c>
      <c r="D2661" s="16" t="s">
        <v>16</v>
      </c>
      <c r="E2661" s="17" t="s">
        <v>17247</v>
      </c>
      <c r="F2661" s="16" t="s">
        <v>16486</v>
      </c>
      <c r="G2661" s="16">
        <v>23.61</v>
      </c>
      <c r="H2661" s="16"/>
      <c r="I2661" s="16"/>
      <c r="J2661" s="16" t="s">
        <v>17248</v>
      </c>
      <c r="K2661" s="16" t="s">
        <v>17249</v>
      </c>
      <c r="L2661" s="16"/>
      <c r="M2661" s="25" t="s">
        <v>17250</v>
      </c>
      <c r="N2661" s="12"/>
      <c r="O2661" s="12"/>
      <c r="P2661" s="13">
        <f>IFERROR(__xludf.DUMMYFUNCTION("VALUE(SUBSTITUTE((INDEX(SPLIT(A2661,"",""),1)),""."","","",1))"),56.311162)</f>
        <v>56.311162</v>
      </c>
      <c r="Q2661" s="13">
        <f>IFERROR(__xludf.DUMMYFUNCTION("VALUE(SUBSTITUTE((INDEX(SPLIT(A2661,"",""),2)),""."","","",1))"),43.820457)</f>
        <v>43.820457</v>
      </c>
      <c r="R2661" s="14" t="b">
        <f t="shared" si="1"/>
        <v>0</v>
      </c>
      <c r="S2661" s="14" t="str">
        <f t="shared" si="2"/>
        <v>56.311162,43.820457</v>
      </c>
      <c r="T2661" s="12"/>
    </row>
    <row r="2662">
      <c r="A2662" s="18" t="s">
        <v>17251</v>
      </c>
      <c r="B2662" s="8" t="s">
        <v>17252</v>
      </c>
      <c r="C2662" s="8" t="s">
        <v>17253</v>
      </c>
      <c r="D2662" s="8" t="s">
        <v>16</v>
      </c>
      <c r="E2662" s="19" t="s">
        <v>17254</v>
      </c>
      <c r="F2662" s="8" t="s">
        <v>16486</v>
      </c>
      <c r="G2662" s="8">
        <v>23.61</v>
      </c>
      <c r="H2662" s="8"/>
      <c r="I2662" s="8"/>
      <c r="J2662" s="8" t="s">
        <v>17255</v>
      </c>
      <c r="K2662" s="8" t="s">
        <v>17256</v>
      </c>
      <c r="L2662" s="8"/>
      <c r="M2662" s="8"/>
      <c r="N2662" s="12"/>
      <c r="O2662" s="12"/>
      <c r="P2662" s="13">
        <f>IFERROR(__xludf.DUMMYFUNCTION("VALUE(SUBSTITUTE((INDEX(SPLIT(A2662,"",""),1)),""."","","",1))"),56.332122)</f>
        <v>56.332122</v>
      </c>
      <c r="Q2662" s="13">
        <f>IFERROR(__xludf.DUMMYFUNCTION("VALUE(SUBSTITUTE((INDEX(SPLIT(A2662,"",""),2)),""."","","",1))"),43.821086)</f>
        <v>43.821086</v>
      </c>
      <c r="R2662" s="14" t="b">
        <f t="shared" si="1"/>
        <v>0</v>
      </c>
      <c r="S2662" s="14" t="str">
        <f t="shared" si="2"/>
        <v>56.332122,43.821086</v>
      </c>
      <c r="T2662" s="12"/>
    </row>
    <row r="2663">
      <c r="A2663" s="15" t="s">
        <v>17257</v>
      </c>
      <c r="B2663" s="16" t="s">
        <v>17258</v>
      </c>
      <c r="C2663" s="16" t="s">
        <v>17259</v>
      </c>
      <c r="D2663" s="16" t="s">
        <v>16</v>
      </c>
      <c r="E2663" s="17" t="s">
        <v>17260</v>
      </c>
      <c r="F2663" s="16" t="s">
        <v>16486</v>
      </c>
      <c r="G2663" s="16">
        <v>23.61</v>
      </c>
      <c r="H2663" s="16"/>
      <c r="I2663" s="16"/>
      <c r="J2663" s="16" t="s">
        <v>17261</v>
      </c>
      <c r="K2663" s="16" t="s">
        <v>2760</v>
      </c>
      <c r="L2663" s="16"/>
      <c r="M2663" s="25" t="s">
        <v>17262</v>
      </c>
      <c r="N2663" s="12"/>
      <c r="O2663" s="12"/>
      <c r="P2663" s="13">
        <f>IFERROR(__xludf.DUMMYFUNCTION("VALUE(SUBSTITUTE((INDEX(SPLIT(A2663,"",""),1)),""."","","",1))"),43.81197)</f>
        <v>43.81197</v>
      </c>
      <c r="Q2663" s="13">
        <f>IFERROR(__xludf.DUMMYFUNCTION("VALUE(SUBSTITUTE((INDEX(SPLIT(A2663,"",""),2)),""."","","",1))"),43.824446)</f>
        <v>43.824446</v>
      </c>
      <c r="R2663" s="14" t="b">
        <f t="shared" si="1"/>
        <v>0</v>
      </c>
      <c r="S2663" s="14" t="str">
        <f t="shared" si="2"/>
        <v>43.81197,43.824446</v>
      </c>
      <c r="T2663" s="12"/>
    </row>
    <row r="2664">
      <c r="A2664" s="7" t="s">
        <v>17263</v>
      </c>
      <c r="B2664" s="8" t="s">
        <v>17264</v>
      </c>
      <c r="C2664" s="8" t="s">
        <v>17265</v>
      </c>
      <c r="D2664" s="8" t="s">
        <v>16</v>
      </c>
      <c r="E2664" s="9" t="s">
        <v>17266</v>
      </c>
      <c r="F2664" s="10" t="s">
        <v>17033</v>
      </c>
      <c r="G2664" s="8">
        <v>23.61</v>
      </c>
      <c r="H2664" s="8"/>
      <c r="I2664" s="10"/>
      <c r="J2664" s="10" t="s">
        <v>17267</v>
      </c>
      <c r="K2664" s="10" t="s">
        <v>17268</v>
      </c>
      <c r="L2664" s="11" t="s">
        <v>17269</v>
      </c>
      <c r="M2664" s="10"/>
      <c r="N2664" s="12"/>
      <c r="O2664" s="12"/>
      <c r="P2664" s="13">
        <f>IFERROR(__xludf.DUMMYFUNCTION("VALUE(SUBSTITUTE((INDEX(SPLIT(A2664,"",""),1)),""."","","",1))"),56.230197)</f>
        <v>56.230197</v>
      </c>
      <c r="Q2664" s="13">
        <f>IFERROR(__xludf.DUMMYFUNCTION("VALUE(SUBSTITUTE((INDEX(SPLIT(A2664,"",""),2)),""."","","",1))"),43.825695)</f>
        <v>43.825695</v>
      </c>
      <c r="R2664" s="14" t="b">
        <f t="shared" si="1"/>
        <v>0</v>
      </c>
      <c r="S2664" s="14" t="str">
        <f t="shared" si="2"/>
        <v>56.230197,43.825695</v>
      </c>
      <c r="T2664" s="12"/>
    </row>
    <row r="2665">
      <c r="A2665" s="15" t="s">
        <v>17270</v>
      </c>
      <c r="B2665" s="16" t="s">
        <v>17271</v>
      </c>
      <c r="C2665" s="16" t="s">
        <v>17272</v>
      </c>
      <c r="D2665" s="16" t="s">
        <v>16</v>
      </c>
      <c r="E2665" s="17" t="s">
        <v>17273</v>
      </c>
      <c r="F2665" s="16" t="s">
        <v>17033</v>
      </c>
      <c r="G2665" s="16">
        <v>23.61</v>
      </c>
      <c r="H2665" s="16"/>
      <c r="I2665" s="16"/>
      <c r="J2665" s="16" t="s">
        <v>17274</v>
      </c>
      <c r="K2665" s="16" t="s">
        <v>17275</v>
      </c>
      <c r="L2665" s="16"/>
      <c r="M2665" s="16"/>
      <c r="N2665" s="12"/>
      <c r="O2665" s="12"/>
      <c r="P2665" s="13">
        <f>IFERROR(__xludf.DUMMYFUNCTION("VALUE(SUBSTITUTE((INDEX(SPLIT(A2665,"",""),1)),""."","","",1))"),56.250837)</f>
        <v>56.250837</v>
      </c>
      <c r="Q2665" s="13">
        <f>IFERROR(__xludf.DUMMYFUNCTION("VALUE(SUBSTITUTE((INDEX(SPLIT(A2665,"",""),2)),""."","","",1))"),43.831516)</f>
        <v>43.831516</v>
      </c>
      <c r="R2665" s="14" t="b">
        <f t="shared" si="1"/>
        <v>0</v>
      </c>
      <c r="S2665" s="14" t="str">
        <f t="shared" si="2"/>
        <v>56.250837,43.831516</v>
      </c>
      <c r="T2665" s="12"/>
    </row>
    <row r="2666">
      <c r="A2666" s="7" t="s">
        <v>17270</v>
      </c>
      <c r="B2666" s="8" t="s">
        <v>17276</v>
      </c>
      <c r="C2666" s="8" t="s">
        <v>17277</v>
      </c>
      <c r="D2666" s="8" t="s">
        <v>16</v>
      </c>
      <c r="E2666" s="9" t="s">
        <v>17278</v>
      </c>
      <c r="F2666" s="10" t="s">
        <v>17033</v>
      </c>
      <c r="G2666" s="8">
        <v>23.61</v>
      </c>
      <c r="H2666" s="8"/>
      <c r="I2666" s="10"/>
      <c r="J2666" s="10" t="s">
        <v>17279</v>
      </c>
      <c r="K2666" s="10" t="s">
        <v>17280</v>
      </c>
      <c r="L2666" s="11" t="s">
        <v>17281</v>
      </c>
      <c r="M2666" s="10"/>
      <c r="N2666" s="12"/>
      <c r="O2666" s="12"/>
      <c r="P2666" s="13">
        <f>IFERROR(__xludf.DUMMYFUNCTION("VALUE(SUBSTITUTE((INDEX(SPLIT(A2666,"",""),1)),""."","","",1))"),56.250837)</f>
        <v>56.250837</v>
      </c>
      <c r="Q2666" s="13">
        <f>IFERROR(__xludf.DUMMYFUNCTION("VALUE(SUBSTITUTE((INDEX(SPLIT(A2666,"",""),2)),""."","","",1))"),43.831516)</f>
        <v>43.831516</v>
      </c>
      <c r="R2666" s="14" t="b">
        <f t="shared" si="1"/>
        <v>0</v>
      </c>
      <c r="S2666" s="14" t="str">
        <f t="shared" si="2"/>
        <v>56.250837,43.831516</v>
      </c>
      <c r="T2666" s="12"/>
    </row>
    <row r="2667">
      <c r="A2667" s="15" t="s">
        <v>17282</v>
      </c>
      <c r="B2667" s="16" t="s">
        <v>17283</v>
      </c>
      <c r="C2667" s="16" t="s">
        <v>17284</v>
      </c>
      <c r="D2667" s="16" t="s">
        <v>16</v>
      </c>
      <c r="E2667" s="17" t="s">
        <v>17285</v>
      </c>
      <c r="F2667" s="16" t="s">
        <v>17033</v>
      </c>
      <c r="G2667" s="16">
        <v>23.61</v>
      </c>
      <c r="H2667" s="16"/>
      <c r="I2667" s="16"/>
      <c r="J2667" s="16" t="s">
        <v>17286</v>
      </c>
      <c r="K2667" s="16" t="s">
        <v>17287</v>
      </c>
      <c r="L2667" s="16"/>
      <c r="M2667" s="25" t="s">
        <v>17288</v>
      </c>
      <c r="N2667" s="12"/>
      <c r="O2667" s="12"/>
      <c r="P2667" s="13">
        <f>IFERROR(__xludf.DUMMYFUNCTION("VALUE(SUBSTITUTE((INDEX(SPLIT(A2667,"",""),1)),""."","","",1))"),56.35552)</f>
        <v>56.35552</v>
      </c>
      <c r="Q2667" s="13">
        <f>IFERROR(__xludf.DUMMYFUNCTION("VALUE(SUBSTITUTE((INDEX(SPLIT(A2667,"",""),2)),""."","","",1))"),43.837445)</f>
        <v>43.837445</v>
      </c>
      <c r="R2667" s="14" t="b">
        <f t="shared" si="1"/>
        <v>0</v>
      </c>
      <c r="S2667" s="14" t="str">
        <f t="shared" si="2"/>
        <v>56.35552,43.837445</v>
      </c>
      <c r="T2667" s="12"/>
    </row>
    <row r="2668">
      <c r="A2668" s="18" t="s">
        <v>17289</v>
      </c>
      <c r="B2668" s="8" t="s">
        <v>17290</v>
      </c>
      <c r="C2668" s="8" t="s">
        <v>17291</v>
      </c>
      <c r="D2668" s="8" t="s">
        <v>16</v>
      </c>
      <c r="E2668" s="19" t="s">
        <v>17292</v>
      </c>
      <c r="F2668" s="8" t="s">
        <v>17033</v>
      </c>
      <c r="G2668" s="8">
        <v>23.61</v>
      </c>
      <c r="H2668" s="8"/>
      <c r="I2668" s="8"/>
      <c r="J2668" s="8" t="s">
        <v>17293</v>
      </c>
      <c r="K2668" s="8" t="s">
        <v>17294</v>
      </c>
      <c r="L2668" s="8"/>
      <c r="M2668" s="8"/>
      <c r="N2668" s="12"/>
      <c r="O2668" s="12"/>
      <c r="P2668" s="13">
        <f>IFERROR(__xludf.DUMMYFUNCTION("VALUE(SUBSTITUTE((INDEX(SPLIT(A2668,"",""),1)),""."","","",1))"),55.365647)</f>
        <v>55.365647</v>
      </c>
      <c r="Q2668" s="13">
        <f>IFERROR(__xludf.DUMMYFUNCTION("VALUE(SUBSTITUTE((INDEX(SPLIT(A2668,"",""),2)),""."","","",1))"),43.84075)</f>
        <v>43.84075</v>
      </c>
      <c r="R2668" s="14" t="b">
        <f t="shared" si="1"/>
        <v>0</v>
      </c>
      <c r="S2668" s="14" t="str">
        <f t="shared" si="2"/>
        <v>55.365647,43.84075</v>
      </c>
      <c r="T2668" s="12"/>
    </row>
    <row r="2669">
      <c r="A2669" s="20" t="s">
        <v>17295</v>
      </c>
      <c r="B2669" s="16" t="s">
        <v>17296</v>
      </c>
      <c r="C2669" s="16" t="s">
        <v>17297</v>
      </c>
      <c r="D2669" s="16" t="s">
        <v>16</v>
      </c>
      <c r="E2669" s="21" t="s">
        <v>17298</v>
      </c>
      <c r="F2669" s="22" t="s">
        <v>17033</v>
      </c>
      <c r="G2669" s="16">
        <v>23.61</v>
      </c>
      <c r="H2669" s="16"/>
      <c r="I2669" s="22"/>
      <c r="J2669" s="22" t="s">
        <v>17299</v>
      </c>
      <c r="K2669" s="22" t="s">
        <v>17300</v>
      </c>
      <c r="L2669" s="23" t="s">
        <v>17301</v>
      </c>
      <c r="M2669" s="23" t="s">
        <v>17302</v>
      </c>
      <c r="N2669" s="12"/>
      <c r="O2669" s="12"/>
      <c r="P2669" s="13">
        <f>IFERROR(__xludf.DUMMYFUNCTION("VALUE(SUBSTITUTE((INDEX(SPLIT(A2669,"",""),1)),""."","","",1))"),55.367853)</f>
        <v>55.367853</v>
      </c>
      <c r="Q2669" s="13">
        <f>IFERROR(__xludf.DUMMYFUNCTION("VALUE(SUBSTITUTE((INDEX(SPLIT(A2669,"",""),2)),""."","","",1))"),43.843203)</f>
        <v>43.843203</v>
      </c>
      <c r="R2669" s="14" t="b">
        <f t="shared" si="1"/>
        <v>0</v>
      </c>
      <c r="S2669" s="14" t="str">
        <f t="shared" si="2"/>
        <v>55.367853,43.843203</v>
      </c>
      <c r="T2669" s="12"/>
    </row>
    <row r="2670">
      <c r="A2670" s="18" t="s">
        <v>17303</v>
      </c>
      <c r="B2670" s="8" t="s">
        <v>17304</v>
      </c>
      <c r="C2670" s="8" t="s">
        <v>17305</v>
      </c>
      <c r="D2670" s="8" t="s">
        <v>16</v>
      </c>
      <c r="E2670" s="19" t="s">
        <v>17306</v>
      </c>
      <c r="F2670" s="8" t="s">
        <v>16486</v>
      </c>
      <c r="G2670" s="8">
        <v>23.61</v>
      </c>
      <c r="H2670" s="8"/>
      <c r="I2670" s="8"/>
      <c r="J2670" s="8" t="s">
        <v>17307</v>
      </c>
      <c r="K2670" s="8" t="s">
        <v>17308</v>
      </c>
      <c r="L2670" s="8"/>
      <c r="M2670" s="24" t="s">
        <v>17309</v>
      </c>
      <c r="N2670" s="12"/>
      <c r="O2670" s="12"/>
      <c r="P2670" s="13">
        <f>IFERROR(__xludf.DUMMYFUNCTION("VALUE(SUBSTITUTE((INDEX(SPLIT(A2670,"",""),1)),""."","","",1))"),56.247981)</f>
        <v>56.247981</v>
      </c>
      <c r="Q2670" s="13">
        <f>IFERROR(__xludf.DUMMYFUNCTION("VALUE(SUBSTITUTE((INDEX(SPLIT(A2670,"",""),2)),""."","","",1))"),43.843284)</f>
        <v>43.843284</v>
      </c>
      <c r="R2670" s="14" t="b">
        <f t="shared" si="1"/>
        <v>0</v>
      </c>
      <c r="S2670" s="14" t="str">
        <f t="shared" si="2"/>
        <v>56.247981,43.843284</v>
      </c>
      <c r="T2670" s="12"/>
    </row>
    <row r="2671">
      <c r="A2671" s="20" t="s">
        <v>17310</v>
      </c>
      <c r="B2671" s="16" t="s">
        <v>17311</v>
      </c>
      <c r="C2671" s="16" t="s">
        <v>17312</v>
      </c>
      <c r="D2671" s="16" t="s">
        <v>16</v>
      </c>
      <c r="E2671" s="21" t="s">
        <v>17313</v>
      </c>
      <c r="F2671" s="22" t="s">
        <v>17033</v>
      </c>
      <c r="G2671" s="16">
        <v>23.61</v>
      </c>
      <c r="H2671" s="16"/>
      <c r="I2671" s="22"/>
      <c r="J2671" s="22" t="s">
        <v>17314</v>
      </c>
      <c r="K2671" s="22" t="s">
        <v>17315</v>
      </c>
      <c r="L2671" s="23" t="s">
        <v>17316</v>
      </c>
      <c r="M2671" s="22"/>
      <c r="N2671" s="12"/>
      <c r="O2671" s="12"/>
      <c r="P2671" s="13">
        <f>IFERROR(__xludf.DUMMYFUNCTION("VALUE(SUBSTITUTE((INDEX(SPLIT(A2671,"",""),1)),""."","","",1))"),43.528047)</f>
        <v>43.528047</v>
      </c>
      <c r="Q2671" s="13">
        <f>IFERROR(__xludf.DUMMYFUNCTION("VALUE(SUBSTITUTE((INDEX(SPLIT(A2671,"",""),2)),""."","","",1))"),43.844146)</f>
        <v>43.844146</v>
      </c>
      <c r="R2671" s="14" t="b">
        <f t="shared" si="1"/>
        <v>0</v>
      </c>
      <c r="S2671" s="14" t="str">
        <f t="shared" si="2"/>
        <v>43.528047,43.844146</v>
      </c>
      <c r="T2671" s="12"/>
    </row>
    <row r="2672">
      <c r="A2672" s="7" t="s">
        <v>17317</v>
      </c>
      <c r="B2672" s="8" t="s">
        <v>17318</v>
      </c>
      <c r="C2672" s="8" t="s">
        <v>17319</v>
      </c>
      <c r="D2672" s="8" t="s">
        <v>16</v>
      </c>
      <c r="E2672" s="9" t="s">
        <v>17320</v>
      </c>
      <c r="F2672" s="10" t="s">
        <v>17033</v>
      </c>
      <c r="G2672" s="8">
        <v>23.61</v>
      </c>
      <c r="H2672" s="8"/>
      <c r="I2672" s="10"/>
      <c r="J2672" s="10" t="s">
        <v>17321</v>
      </c>
      <c r="K2672" s="10" t="s">
        <v>17322</v>
      </c>
      <c r="L2672" s="11" t="s">
        <v>17323</v>
      </c>
      <c r="M2672" s="11" t="s">
        <v>17324</v>
      </c>
      <c r="N2672" s="12"/>
      <c r="O2672" s="12"/>
      <c r="P2672" s="13">
        <f>IFERROR(__xludf.DUMMYFUNCTION("VALUE(SUBSTITUTE((INDEX(SPLIT(A2672,"",""),1)),""."","","",1))"),56.271625)</f>
        <v>56.271625</v>
      </c>
      <c r="Q2672" s="13">
        <f>IFERROR(__xludf.DUMMYFUNCTION("VALUE(SUBSTITUTE((INDEX(SPLIT(A2672,"",""),2)),""."","","",1))"),43.84632)</f>
        <v>43.84632</v>
      </c>
      <c r="R2672" s="14" t="b">
        <f t="shared" si="1"/>
        <v>0</v>
      </c>
      <c r="S2672" s="14" t="str">
        <f t="shared" si="2"/>
        <v>56.271625,43.84632</v>
      </c>
      <c r="T2672" s="12"/>
    </row>
    <row r="2673">
      <c r="A2673" s="15" t="s">
        <v>17325</v>
      </c>
      <c r="B2673" s="16" t="s">
        <v>17326</v>
      </c>
      <c r="C2673" s="16" t="s">
        <v>17327</v>
      </c>
      <c r="D2673" s="16" t="s">
        <v>16</v>
      </c>
      <c r="E2673" s="17" t="s">
        <v>17328</v>
      </c>
      <c r="F2673" s="16" t="s">
        <v>17033</v>
      </c>
      <c r="G2673" s="16">
        <v>23.61</v>
      </c>
      <c r="H2673" s="16"/>
      <c r="I2673" s="16"/>
      <c r="J2673" s="16" t="s">
        <v>17329</v>
      </c>
      <c r="K2673" s="16" t="s">
        <v>17330</v>
      </c>
      <c r="L2673" s="16"/>
      <c r="M2673" s="16"/>
      <c r="N2673" s="12"/>
      <c r="O2673" s="12"/>
      <c r="P2673" s="13">
        <f>IFERROR(__xludf.DUMMYFUNCTION("VALUE(SUBSTITUTE((INDEX(SPLIT(A2673,"",""),1)),""."","","",1))"),55.406676)</f>
        <v>55.406676</v>
      </c>
      <c r="Q2673" s="13">
        <f>IFERROR(__xludf.DUMMYFUNCTION("VALUE(SUBSTITUTE((INDEX(SPLIT(A2673,"",""),2)),""."","","",1))"),43.848664)</f>
        <v>43.848664</v>
      </c>
      <c r="R2673" s="14" t="b">
        <f t="shared" si="1"/>
        <v>0</v>
      </c>
      <c r="S2673" s="14" t="str">
        <f t="shared" si="2"/>
        <v>55.406676,43.848664</v>
      </c>
      <c r="T2673" s="12"/>
    </row>
    <row r="2674">
      <c r="A2674" s="18" t="s">
        <v>17331</v>
      </c>
      <c r="B2674" s="8" t="s">
        <v>17332</v>
      </c>
      <c r="C2674" s="8" t="s">
        <v>17333</v>
      </c>
      <c r="D2674" s="8" t="s">
        <v>16</v>
      </c>
      <c r="E2674" s="19" t="s">
        <v>17334</v>
      </c>
      <c r="F2674" s="8" t="s">
        <v>17033</v>
      </c>
      <c r="G2674" s="8">
        <v>23.61</v>
      </c>
      <c r="H2674" s="8"/>
      <c r="I2674" s="8"/>
      <c r="J2674" s="8" t="s">
        <v>17335</v>
      </c>
      <c r="K2674" s="8" t="s">
        <v>17336</v>
      </c>
      <c r="L2674" s="8"/>
      <c r="M2674" s="8"/>
      <c r="N2674" s="12"/>
      <c r="O2674" s="12"/>
      <c r="P2674" s="13">
        <f>IFERROR(__xludf.DUMMYFUNCTION("VALUE(SUBSTITUTE((INDEX(SPLIT(A2674,"",""),1)),""."","","",1))"),56.256748)</f>
        <v>56.256748</v>
      </c>
      <c r="Q2674" s="13">
        <f>IFERROR(__xludf.DUMMYFUNCTION("VALUE(SUBSTITUTE((INDEX(SPLIT(A2674,"",""),2)),""."","","",1))"),43.849293)</f>
        <v>43.849293</v>
      </c>
      <c r="R2674" s="14" t="b">
        <f t="shared" si="1"/>
        <v>0</v>
      </c>
      <c r="S2674" s="14" t="str">
        <f t="shared" si="2"/>
        <v>56.256748,43.849293</v>
      </c>
      <c r="T2674" s="12"/>
    </row>
    <row r="2675">
      <c r="A2675" s="15" t="s">
        <v>17337</v>
      </c>
      <c r="B2675" s="16" t="s">
        <v>17338</v>
      </c>
      <c r="C2675" s="16" t="s">
        <v>17339</v>
      </c>
      <c r="D2675" s="16" t="s">
        <v>16</v>
      </c>
      <c r="E2675" s="17" t="s">
        <v>17340</v>
      </c>
      <c r="F2675" s="16" t="s">
        <v>17033</v>
      </c>
      <c r="G2675" s="16">
        <v>23.61</v>
      </c>
      <c r="H2675" s="16"/>
      <c r="I2675" s="16"/>
      <c r="J2675" s="16" t="s">
        <v>17341</v>
      </c>
      <c r="K2675" s="16" t="s">
        <v>17342</v>
      </c>
      <c r="L2675" s="16"/>
      <c r="M2675" s="16"/>
      <c r="N2675" s="12"/>
      <c r="O2675" s="12"/>
      <c r="P2675" s="13">
        <f>IFERROR(__xludf.DUMMYFUNCTION("VALUE(SUBSTITUTE((INDEX(SPLIT(A2675,"",""),1)),""."","","",1))"),56.334138)</f>
        <v>56.334138</v>
      </c>
      <c r="Q2675" s="13">
        <f>IFERROR(__xludf.DUMMYFUNCTION("VALUE(SUBSTITUTE((INDEX(SPLIT(A2675,"",""),2)),""."","","",1))"),43.85082)</f>
        <v>43.85082</v>
      </c>
      <c r="R2675" s="14" t="b">
        <f t="shared" si="1"/>
        <v>0</v>
      </c>
      <c r="S2675" s="14" t="str">
        <f t="shared" si="2"/>
        <v>56.334138,43.85082</v>
      </c>
      <c r="T2675" s="12"/>
    </row>
    <row r="2676">
      <c r="A2676" s="18" t="s">
        <v>17343</v>
      </c>
      <c r="B2676" s="8" t="s">
        <v>17344</v>
      </c>
      <c r="C2676" s="8" t="s">
        <v>17345</v>
      </c>
      <c r="D2676" s="8" t="s">
        <v>16</v>
      </c>
      <c r="E2676" s="19" t="s">
        <v>17346</v>
      </c>
      <c r="F2676" s="8" t="s">
        <v>17033</v>
      </c>
      <c r="G2676" s="8">
        <v>23.61</v>
      </c>
      <c r="H2676" s="8"/>
      <c r="I2676" s="8"/>
      <c r="J2676" s="8" t="s">
        <v>17347</v>
      </c>
      <c r="K2676" s="8" t="s">
        <v>17200</v>
      </c>
      <c r="L2676" s="8"/>
      <c r="M2676" s="8"/>
      <c r="N2676" s="12"/>
      <c r="O2676" s="12"/>
      <c r="P2676" s="13">
        <f>IFERROR(__xludf.DUMMYFUNCTION("VALUE(SUBSTITUTE((INDEX(SPLIT(A2676,"",""),1)),""."","","",1))"),56.359704)</f>
        <v>56.359704</v>
      </c>
      <c r="Q2676" s="13">
        <f>IFERROR(__xludf.DUMMYFUNCTION("VALUE(SUBSTITUTE((INDEX(SPLIT(A2676,"",""),2)),""."","","",1))"),43.851045)</f>
        <v>43.851045</v>
      </c>
      <c r="R2676" s="14" t="b">
        <f t="shared" si="1"/>
        <v>0</v>
      </c>
      <c r="S2676" s="14" t="str">
        <f t="shared" si="2"/>
        <v>56.359704,43.851045</v>
      </c>
      <c r="T2676" s="12"/>
    </row>
    <row r="2677">
      <c r="A2677" s="15" t="s">
        <v>17348</v>
      </c>
      <c r="B2677" s="16" t="s">
        <v>17349</v>
      </c>
      <c r="C2677" s="16" t="s">
        <v>17350</v>
      </c>
      <c r="D2677" s="16" t="s">
        <v>16</v>
      </c>
      <c r="E2677" s="17" t="s">
        <v>17351</v>
      </c>
      <c r="F2677" s="16" t="s">
        <v>17033</v>
      </c>
      <c r="G2677" s="16">
        <v>23.61</v>
      </c>
      <c r="H2677" s="16"/>
      <c r="I2677" s="16"/>
      <c r="J2677" s="16" t="s">
        <v>17352</v>
      </c>
      <c r="K2677" s="16" t="s">
        <v>17353</v>
      </c>
      <c r="L2677" s="16"/>
      <c r="M2677" s="25" t="s">
        <v>17324</v>
      </c>
      <c r="N2677" s="12"/>
      <c r="O2677" s="12"/>
      <c r="P2677" s="13">
        <f>IFERROR(__xludf.DUMMYFUNCTION("VALUE(SUBSTITUTE((INDEX(SPLIT(A2677,"",""),1)),""."","","",1))"),56.222946)</f>
        <v>56.222946</v>
      </c>
      <c r="Q2677" s="13">
        <f>IFERROR(__xludf.DUMMYFUNCTION("VALUE(SUBSTITUTE((INDEX(SPLIT(A2677,"",""),2)),""."","","",1))"),43.861753)</f>
        <v>43.861753</v>
      </c>
      <c r="R2677" s="14" t="b">
        <f t="shared" si="1"/>
        <v>0</v>
      </c>
      <c r="S2677" s="14" t="str">
        <f t="shared" si="2"/>
        <v>56.222946,43.861753</v>
      </c>
      <c r="T2677" s="12"/>
    </row>
    <row r="2678">
      <c r="A2678" s="18" t="s">
        <v>17354</v>
      </c>
      <c r="B2678" s="8" t="s">
        <v>17355</v>
      </c>
      <c r="C2678" s="8" t="s">
        <v>17356</v>
      </c>
      <c r="D2678" s="8" t="s">
        <v>16</v>
      </c>
      <c r="E2678" s="19" t="s">
        <v>17357</v>
      </c>
      <c r="F2678" s="8" t="s">
        <v>17033</v>
      </c>
      <c r="G2678" s="8">
        <v>23.61</v>
      </c>
      <c r="H2678" s="8"/>
      <c r="I2678" s="8"/>
      <c r="J2678" s="8" t="s">
        <v>17358</v>
      </c>
      <c r="K2678" s="8" t="s">
        <v>17200</v>
      </c>
      <c r="L2678" s="8"/>
      <c r="M2678" s="8"/>
      <c r="N2678" s="12"/>
      <c r="O2678" s="12"/>
      <c r="P2678" s="13">
        <f>IFERROR(__xludf.DUMMYFUNCTION("VALUE(SUBSTITUTE((INDEX(SPLIT(A2678,"",""),1)),""."","","",1))"),56.236856)</f>
        <v>56.236856</v>
      </c>
      <c r="Q2678" s="13">
        <f>IFERROR(__xludf.DUMMYFUNCTION("VALUE(SUBSTITUTE((INDEX(SPLIT(A2678,"",""),2)),""."","","",1))"),43.879279)</f>
        <v>43.879279</v>
      </c>
      <c r="R2678" s="14" t="b">
        <f t="shared" si="1"/>
        <v>0</v>
      </c>
      <c r="S2678" s="14" t="str">
        <f t="shared" si="2"/>
        <v>56.236856,43.879279</v>
      </c>
      <c r="T2678" s="12"/>
    </row>
    <row r="2679">
      <c r="A2679" s="20" t="s">
        <v>17359</v>
      </c>
      <c r="B2679" s="16" t="s">
        <v>17360</v>
      </c>
      <c r="C2679" s="16" t="s">
        <v>17361</v>
      </c>
      <c r="D2679" s="16" t="s">
        <v>16</v>
      </c>
      <c r="E2679" s="21" t="s">
        <v>17362</v>
      </c>
      <c r="F2679" s="22" t="s">
        <v>8566</v>
      </c>
      <c r="G2679" s="16">
        <v>23.61</v>
      </c>
      <c r="H2679" s="16"/>
      <c r="I2679" s="22"/>
      <c r="J2679" s="22" t="s">
        <v>17363</v>
      </c>
      <c r="K2679" s="22" t="s">
        <v>17364</v>
      </c>
      <c r="L2679" s="23" t="s">
        <v>17365</v>
      </c>
      <c r="M2679" s="22"/>
      <c r="N2679" s="12"/>
      <c r="O2679" s="12"/>
      <c r="P2679" s="13">
        <f>IFERROR(__xludf.DUMMYFUNCTION("VALUE(SUBSTITUTE((INDEX(SPLIT(A2679,"",""),1)),""."","","",1))"),56.264217)</f>
        <v>56.264217</v>
      </c>
      <c r="Q2679" s="13">
        <f>IFERROR(__xludf.DUMMYFUNCTION("VALUE(SUBSTITUTE((INDEX(SPLIT(A2679,"",""),2)),""."","","",1))"),43.882333)</f>
        <v>43.882333</v>
      </c>
      <c r="R2679" s="14" t="b">
        <f t="shared" si="1"/>
        <v>0</v>
      </c>
      <c r="S2679" s="14" t="str">
        <f t="shared" si="2"/>
        <v>56.264217,43.882333</v>
      </c>
      <c r="T2679" s="12"/>
    </row>
    <row r="2680">
      <c r="A2680" s="18" t="s">
        <v>17359</v>
      </c>
      <c r="B2680" s="8" t="s">
        <v>17366</v>
      </c>
      <c r="C2680" s="8" t="s">
        <v>17367</v>
      </c>
      <c r="D2680" s="8" t="s">
        <v>16</v>
      </c>
      <c r="E2680" s="19" t="s">
        <v>17368</v>
      </c>
      <c r="F2680" s="8" t="s">
        <v>8566</v>
      </c>
      <c r="G2680" s="8">
        <v>23.61</v>
      </c>
      <c r="H2680" s="8"/>
      <c r="I2680" s="8"/>
      <c r="J2680" s="8" t="s">
        <v>17363</v>
      </c>
      <c r="K2680" s="8" t="s">
        <v>17369</v>
      </c>
      <c r="L2680" s="8"/>
      <c r="M2680" s="8"/>
      <c r="N2680" s="12"/>
      <c r="O2680" s="12"/>
      <c r="P2680" s="13">
        <f>IFERROR(__xludf.DUMMYFUNCTION("VALUE(SUBSTITUTE((INDEX(SPLIT(A2680,"",""),1)),""."","","",1))"),56.264217)</f>
        <v>56.264217</v>
      </c>
      <c r="Q2680" s="13">
        <f>IFERROR(__xludf.DUMMYFUNCTION("VALUE(SUBSTITUTE((INDEX(SPLIT(A2680,"",""),2)),""."","","",1))"),43.882333)</f>
        <v>43.882333</v>
      </c>
      <c r="R2680" s="14" t="b">
        <f t="shared" si="1"/>
        <v>0</v>
      </c>
      <c r="S2680" s="14" t="str">
        <f t="shared" si="2"/>
        <v>56.264217,43.882333</v>
      </c>
      <c r="T2680" s="12"/>
    </row>
    <row r="2681">
      <c r="A2681" s="15" t="s">
        <v>17370</v>
      </c>
      <c r="B2681" s="16" t="s">
        <v>17371</v>
      </c>
      <c r="C2681" s="16" t="s">
        <v>17372</v>
      </c>
      <c r="D2681" s="16" t="s">
        <v>16</v>
      </c>
      <c r="E2681" s="17" t="s">
        <v>17373</v>
      </c>
      <c r="F2681" s="16" t="s">
        <v>8566</v>
      </c>
      <c r="G2681" s="16">
        <v>23.61</v>
      </c>
      <c r="H2681" s="16"/>
      <c r="I2681" s="16"/>
      <c r="J2681" s="16" t="s">
        <v>17374</v>
      </c>
      <c r="K2681" s="16" t="s">
        <v>17375</v>
      </c>
      <c r="L2681" s="16"/>
      <c r="M2681" s="16"/>
      <c r="N2681" s="12"/>
      <c r="O2681" s="12"/>
      <c r="P2681" s="13">
        <f>IFERROR(__xludf.DUMMYFUNCTION("VALUE(SUBSTITUTE((INDEX(SPLIT(A2681,"",""),1)),""."","","",1))"),56.354148)</f>
        <v>56.354148</v>
      </c>
      <c r="Q2681" s="13">
        <f>IFERROR(__xludf.DUMMYFUNCTION("VALUE(SUBSTITUTE((INDEX(SPLIT(A2681,"",""),2)),""."","","",1))"),43.887328)</f>
        <v>43.887328</v>
      </c>
      <c r="R2681" s="14" t="b">
        <f t="shared" si="1"/>
        <v>0</v>
      </c>
      <c r="S2681" s="14" t="str">
        <f t="shared" si="2"/>
        <v>56.354148,43.887328</v>
      </c>
      <c r="T2681" s="12"/>
    </row>
    <row r="2682">
      <c r="A2682" s="7" t="s">
        <v>17376</v>
      </c>
      <c r="B2682" s="8" t="s">
        <v>17377</v>
      </c>
      <c r="C2682" s="8" t="s">
        <v>17378</v>
      </c>
      <c r="D2682" s="8" t="s">
        <v>16</v>
      </c>
      <c r="E2682" s="9" t="s">
        <v>17379</v>
      </c>
      <c r="F2682" s="10" t="s">
        <v>16486</v>
      </c>
      <c r="G2682" s="8">
        <v>23.61</v>
      </c>
      <c r="H2682" s="8"/>
      <c r="I2682" s="10"/>
      <c r="J2682" s="10" t="s">
        <v>17380</v>
      </c>
      <c r="K2682" s="10" t="s">
        <v>17381</v>
      </c>
      <c r="L2682" s="11" t="s">
        <v>17382</v>
      </c>
      <c r="M2682" s="10"/>
      <c r="N2682" s="12"/>
      <c r="O2682" s="12"/>
      <c r="P2682" s="13">
        <f>IFERROR(__xludf.DUMMYFUNCTION("VALUE(SUBSTITUTE((INDEX(SPLIT(A2682,"",""),1)),""."","","",1))"),56.315775)</f>
        <v>56.315775</v>
      </c>
      <c r="Q2682" s="13">
        <f>IFERROR(__xludf.DUMMYFUNCTION("VALUE(SUBSTITUTE((INDEX(SPLIT(A2682,"",""),2)),""."","","",1))"),43.890831)</f>
        <v>43.890831</v>
      </c>
      <c r="R2682" s="14" t="b">
        <f t="shared" si="1"/>
        <v>0</v>
      </c>
      <c r="S2682" s="14" t="str">
        <f t="shared" si="2"/>
        <v>56.315775,43.890831</v>
      </c>
      <c r="T2682" s="12"/>
    </row>
    <row r="2683">
      <c r="A2683" s="15" t="s">
        <v>17383</v>
      </c>
      <c r="B2683" s="16" t="s">
        <v>17384</v>
      </c>
      <c r="C2683" s="16" t="s">
        <v>17385</v>
      </c>
      <c r="D2683" s="16" t="s">
        <v>16</v>
      </c>
      <c r="E2683" s="17" t="s">
        <v>17386</v>
      </c>
      <c r="F2683" s="16" t="s">
        <v>8566</v>
      </c>
      <c r="G2683" s="16">
        <v>23.61</v>
      </c>
      <c r="H2683" s="16"/>
      <c r="I2683" s="16"/>
      <c r="J2683" s="16" t="s">
        <v>17387</v>
      </c>
      <c r="K2683" s="16" t="s">
        <v>17388</v>
      </c>
      <c r="L2683" s="16"/>
      <c r="M2683" s="16"/>
      <c r="N2683" s="12"/>
      <c r="O2683" s="12"/>
      <c r="P2683" s="13">
        <f>IFERROR(__xludf.DUMMYFUNCTION("VALUE(SUBSTITUTE((INDEX(SPLIT(A2683,"",""),1)),""."","","",1))"),44.403075)</f>
        <v>44.403075</v>
      </c>
      <c r="Q2683" s="13">
        <f>IFERROR(__xludf.DUMMYFUNCTION("VALUE(SUBSTITUTE((INDEX(SPLIT(A2683,"",""),2)),""."","","",1))"),43.894883)</f>
        <v>43.894883</v>
      </c>
      <c r="R2683" s="14" t="b">
        <f t="shared" si="1"/>
        <v>0</v>
      </c>
      <c r="S2683" s="14" t="str">
        <f t="shared" si="2"/>
        <v>44.403075,43.894883</v>
      </c>
      <c r="T2683" s="12"/>
    </row>
    <row r="2684">
      <c r="A2684" s="7" t="s">
        <v>17389</v>
      </c>
      <c r="B2684" s="8" t="s">
        <v>17390</v>
      </c>
      <c r="C2684" s="8" t="s">
        <v>17391</v>
      </c>
      <c r="D2684" s="8" t="s">
        <v>16</v>
      </c>
      <c r="E2684" s="9" t="s">
        <v>17392</v>
      </c>
      <c r="F2684" s="10" t="s">
        <v>8566</v>
      </c>
      <c r="G2684" s="8">
        <v>23.61</v>
      </c>
      <c r="H2684" s="8"/>
      <c r="I2684" s="10"/>
      <c r="J2684" s="10" t="s">
        <v>17387</v>
      </c>
      <c r="K2684" s="10" t="s">
        <v>17393</v>
      </c>
      <c r="L2684" s="11" t="s">
        <v>17394</v>
      </c>
      <c r="M2684" s="10"/>
      <c r="N2684" s="12"/>
      <c r="O2684" s="12"/>
      <c r="P2684" s="13">
        <f>IFERROR(__xludf.DUMMYFUNCTION("VALUE(SUBSTITUTE((INDEX(SPLIT(A2684,"",""),1)),""."","","",1))"),56.259288)</f>
        <v>56.259288</v>
      </c>
      <c r="Q2684" s="13">
        <f>IFERROR(__xludf.DUMMYFUNCTION("VALUE(SUBSTITUTE((INDEX(SPLIT(A2684,"",""),2)),""."","","",1))"),43.902707)</f>
        <v>43.902707</v>
      </c>
      <c r="R2684" s="14" t="b">
        <f t="shared" si="1"/>
        <v>0</v>
      </c>
      <c r="S2684" s="14" t="str">
        <f t="shared" si="2"/>
        <v>56.259288,43.902707</v>
      </c>
      <c r="T2684" s="12"/>
    </row>
    <row r="2685">
      <c r="A2685" s="15" t="s">
        <v>17395</v>
      </c>
      <c r="B2685" s="16" t="s">
        <v>17396</v>
      </c>
      <c r="C2685" s="16" t="s">
        <v>17397</v>
      </c>
      <c r="D2685" s="16" t="s">
        <v>16</v>
      </c>
      <c r="E2685" s="17" t="s">
        <v>17398</v>
      </c>
      <c r="F2685" s="16" t="s">
        <v>17033</v>
      </c>
      <c r="G2685" s="16">
        <v>23.61</v>
      </c>
      <c r="H2685" s="16"/>
      <c r="I2685" s="16"/>
      <c r="J2685" s="16" t="s">
        <v>17399</v>
      </c>
      <c r="K2685" s="16" t="s">
        <v>17400</v>
      </c>
      <c r="L2685" s="16"/>
      <c r="M2685" s="16"/>
      <c r="N2685" s="12"/>
      <c r="O2685" s="12"/>
      <c r="P2685" s="13">
        <f>IFERROR(__xludf.DUMMYFUNCTION("VALUE(SUBSTITUTE((INDEX(SPLIT(A2685,"",""),1)),""."","","",1))"),54.109892)</f>
        <v>54.109892</v>
      </c>
      <c r="Q2685" s="13">
        <f>IFERROR(__xludf.DUMMYFUNCTION("VALUE(SUBSTITUTE((INDEX(SPLIT(A2685,"",""),2)),""."","","",1))"),43.911681)</f>
        <v>43.911681</v>
      </c>
      <c r="R2685" s="14" t="b">
        <f t="shared" si="1"/>
        <v>0</v>
      </c>
      <c r="S2685" s="14" t="str">
        <f t="shared" si="2"/>
        <v>54.109892,43.911681</v>
      </c>
      <c r="T2685" s="12"/>
    </row>
    <row r="2686">
      <c r="A2686" s="7" t="s">
        <v>17401</v>
      </c>
      <c r="B2686" s="8" t="s">
        <v>17402</v>
      </c>
      <c r="C2686" s="8" t="s">
        <v>17403</v>
      </c>
      <c r="D2686" s="8" t="s">
        <v>16</v>
      </c>
      <c r="E2686" s="9" t="s">
        <v>17404</v>
      </c>
      <c r="F2686" s="10" t="s">
        <v>17033</v>
      </c>
      <c r="G2686" s="8">
        <v>23.61</v>
      </c>
      <c r="H2686" s="8"/>
      <c r="I2686" s="31" t="s">
        <v>17405</v>
      </c>
      <c r="J2686" s="10" t="s">
        <v>17406</v>
      </c>
      <c r="K2686" s="10" t="s">
        <v>17407</v>
      </c>
      <c r="L2686" s="11" t="s">
        <v>17408</v>
      </c>
      <c r="M2686" s="11" t="s">
        <v>17409</v>
      </c>
      <c r="N2686" s="12"/>
      <c r="O2686" s="12"/>
      <c r="P2686" s="13">
        <f>IFERROR(__xludf.DUMMYFUNCTION("VALUE(SUBSTITUTE((INDEX(SPLIT(A2686,"",""),1)),""."","","",1))"),56.237737)</f>
        <v>56.237737</v>
      </c>
      <c r="Q2686" s="13">
        <f>IFERROR(__xludf.DUMMYFUNCTION("VALUE(SUBSTITUTE((INDEX(SPLIT(A2686,"",""),2)),""."","","",1))"),43.915212)</f>
        <v>43.915212</v>
      </c>
      <c r="R2686" s="14" t="b">
        <f t="shared" si="1"/>
        <v>0</v>
      </c>
      <c r="S2686" s="14" t="str">
        <f t="shared" si="2"/>
        <v>56.237737,43.915212</v>
      </c>
      <c r="T2686" s="12"/>
    </row>
    <row r="2687">
      <c r="A2687" s="15" t="s">
        <v>17410</v>
      </c>
      <c r="B2687" s="16" t="s">
        <v>17411</v>
      </c>
      <c r="C2687" s="16" t="s">
        <v>17412</v>
      </c>
      <c r="D2687" s="16" t="s">
        <v>16</v>
      </c>
      <c r="E2687" s="17" t="s">
        <v>17413</v>
      </c>
      <c r="F2687" s="16" t="s">
        <v>17033</v>
      </c>
      <c r="G2687" s="16">
        <v>23.61</v>
      </c>
      <c r="H2687" s="16"/>
      <c r="I2687" s="16"/>
      <c r="J2687" s="16" t="s">
        <v>17414</v>
      </c>
      <c r="K2687" s="16" t="s">
        <v>17415</v>
      </c>
      <c r="L2687" s="16"/>
      <c r="M2687" s="25" t="s">
        <v>17416</v>
      </c>
      <c r="N2687" s="12"/>
      <c r="O2687" s="12"/>
      <c r="P2687" s="13">
        <f>IFERROR(__xludf.DUMMYFUNCTION("VALUE(SUBSTITUTE((INDEX(SPLIT(A2687,"",""),1)),""."","","",1))"),56.351355)</f>
        <v>56.351355</v>
      </c>
      <c r="Q2687" s="13">
        <f>IFERROR(__xludf.DUMMYFUNCTION("VALUE(SUBSTITUTE((INDEX(SPLIT(A2687,"",""),2)),""."","","",1))"),43.919551)</f>
        <v>43.919551</v>
      </c>
      <c r="R2687" s="14" t="b">
        <f t="shared" si="1"/>
        <v>0</v>
      </c>
      <c r="S2687" s="14" t="str">
        <f t="shared" si="2"/>
        <v>56.351355,43.919551</v>
      </c>
      <c r="T2687" s="12"/>
    </row>
    <row r="2688">
      <c r="A2688" s="18" t="s">
        <v>17417</v>
      </c>
      <c r="B2688" s="8" t="s">
        <v>17418</v>
      </c>
      <c r="C2688" s="8" t="s">
        <v>17419</v>
      </c>
      <c r="D2688" s="8" t="s">
        <v>16</v>
      </c>
      <c r="E2688" s="19" t="s">
        <v>17420</v>
      </c>
      <c r="F2688" s="8" t="s">
        <v>17033</v>
      </c>
      <c r="G2688" s="8">
        <v>23.61</v>
      </c>
      <c r="H2688" s="8"/>
      <c r="I2688" s="8"/>
      <c r="J2688" s="8" t="s">
        <v>17421</v>
      </c>
      <c r="K2688" s="8" t="s">
        <v>17422</v>
      </c>
      <c r="L2688" s="8"/>
      <c r="M2688" s="24" t="s">
        <v>17409</v>
      </c>
      <c r="N2688" s="12"/>
      <c r="O2688" s="12"/>
      <c r="P2688" s="13">
        <f>IFERROR(__xludf.DUMMYFUNCTION("VALUE(SUBSTITUTE((INDEX(SPLIT(A2688,"",""),1)),""."","","",1))"),56.270146)</f>
        <v>56.270146</v>
      </c>
      <c r="Q2688" s="13">
        <f>IFERROR(__xludf.DUMMYFUNCTION("VALUE(SUBSTITUTE((INDEX(SPLIT(A2688,"",""),2)),""."","","",1))"),43.926548)</f>
        <v>43.926548</v>
      </c>
      <c r="R2688" s="14" t="b">
        <f t="shared" si="1"/>
        <v>0</v>
      </c>
      <c r="S2688" s="14" t="str">
        <f t="shared" si="2"/>
        <v>56.270146,43.926548</v>
      </c>
      <c r="T2688" s="12"/>
    </row>
    <row r="2689">
      <c r="A2689" s="20" t="s">
        <v>17423</v>
      </c>
      <c r="B2689" s="16" t="s">
        <v>17424</v>
      </c>
      <c r="C2689" s="16" t="s">
        <v>17425</v>
      </c>
      <c r="D2689" s="16" t="s">
        <v>16</v>
      </c>
      <c r="E2689" s="21" t="s">
        <v>17426</v>
      </c>
      <c r="F2689" s="22" t="s">
        <v>17033</v>
      </c>
      <c r="G2689" s="16">
        <v>23.61</v>
      </c>
      <c r="H2689" s="16"/>
      <c r="I2689" s="22"/>
      <c r="J2689" s="22" t="s">
        <v>17427</v>
      </c>
      <c r="K2689" s="22" t="s">
        <v>17428</v>
      </c>
      <c r="L2689" s="23" t="s">
        <v>17429</v>
      </c>
      <c r="M2689" s="22"/>
      <c r="N2689" s="12"/>
      <c r="O2689" s="12"/>
      <c r="P2689" s="13">
        <f>IFERROR(__xludf.DUMMYFUNCTION("VALUE(SUBSTITUTE((INDEX(SPLIT(A2689,"",""),1)),""."","","",1))"),56.260758)</f>
        <v>56.260758</v>
      </c>
      <c r="Q2689" s="13">
        <f>IFERROR(__xludf.DUMMYFUNCTION("VALUE(SUBSTITUTE((INDEX(SPLIT(A2689,"",""),2)),""."","","",1))"),43.928839)</f>
        <v>43.928839</v>
      </c>
      <c r="R2689" s="14" t="b">
        <f t="shared" si="1"/>
        <v>0</v>
      </c>
      <c r="S2689" s="14" t="str">
        <f t="shared" si="2"/>
        <v>56.260758,43.928839</v>
      </c>
      <c r="T2689" s="12"/>
    </row>
    <row r="2690">
      <c r="A2690" s="18" t="s">
        <v>17430</v>
      </c>
      <c r="B2690" s="8" t="s">
        <v>17431</v>
      </c>
      <c r="C2690" s="8" t="s">
        <v>17432</v>
      </c>
      <c r="D2690" s="8" t="s">
        <v>16</v>
      </c>
      <c r="E2690" s="19" t="s">
        <v>17433</v>
      </c>
      <c r="F2690" s="8" t="s">
        <v>17033</v>
      </c>
      <c r="G2690" s="8">
        <v>23.61</v>
      </c>
      <c r="H2690" s="8"/>
      <c r="I2690" s="8"/>
      <c r="J2690" s="8" t="s">
        <v>17434</v>
      </c>
      <c r="K2690" s="8" t="s">
        <v>17435</v>
      </c>
      <c r="L2690" s="8"/>
      <c r="M2690" s="8"/>
      <c r="N2690" s="12"/>
      <c r="O2690" s="12"/>
      <c r="P2690" s="13">
        <f>IFERROR(__xludf.DUMMYFUNCTION("VALUE(SUBSTITUTE((INDEX(SPLIT(A2690,"",""),1)),""."","","",1))"),56.336274)</f>
        <v>56.336274</v>
      </c>
      <c r="Q2690" s="13">
        <f>IFERROR(__xludf.DUMMYFUNCTION("VALUE(SUBSTITUTE((INDEX(SPLIT(A2690,"",""),2)),""."","","",1))"),43.931525)</f>
        <v>43.931525</v>
      </c>
      <c r="R2690" s="14" t="b">
        <f t="shared" si="1"/>
        <v>0</v>
      </c>
      <c r="S2690" s="14" t="str">
        <f t="shared" si="2"/>
        <v>56.336274,43.931525</v>
      </c>
      <c r="T2690" s="12"/>
    </row>
    <row r="2691">
      <c r="A2691" s="15" t="s">
        <v>17436</v>
      </c>
      <c r="B2691" s="16" t="s">
        <v>17437</v>
      </c>
      <c r="C2691" s="16" t="s">
        <v>17438</v>
      </c>
      <c r="D2691" s="16" t="s">
        <v>16</v>
      </c>
      <c r="E2691" s="17" t="s">
        <v>17439</v>
      </c>
      <c r="F2691" s="16" t="s">
        <v>17033</v>
      </c>
      <c r="G2691" s="16">
        <v>23.61</v>
      </c>
      <c r="H2691" s="16"/>
      <c r="I2691" s="16"/>
      <c r="J2691" s="16" t="s">
        <v>17440</v>
      </c>
      <c r="K2691" s="16" t="s">
        <v>17287</v>
      </c>
      <c r="L2691" s="16"/>
      <c r="M2691" s="25" t="s">
        <v>17441</v>
      </c>
      <c r="N2691" s="12"/>
      <c r="O2691" s="12"/>
      <c r="P2691" s="13">
        <f>IFERROR(__xludf.DUMMYFUNCTION("VALUE(SUBSTITUTE((INDEX(SPLIT(A2691,"",""),1)),""."","","",1))"),56.343922)</f>
        <v>56.343922</v>
      </c>
      <c r="Q2691" s="13">
        <f>IFERROR(__xludf.DUMMYFUNCTION("VALUE(SUBSTITUTE((INDEX(SPLIT(A2691,"",""),2)),""."","","",1))"),43.937894)</f>
        <v>43.937894</v>
      </c>
      <c r="R2691" s="14" t="b">
        <f t="shared" si="1"/>
        <v>0</v>
      </c>
      <c r="S2691" s="14" t="str">
        <f t="shared" si="2"/>
        <v>56.343922,43.937894</v>
      </c>
      <c r="T2691" s="12"/>
    </row>
    <row r="2692">
      <c r="A2692" s="7" t="s">
        <v>17442</v>
      </c>
      <c r="B2692" s="8" t="s">
        <v>17443</v>
      </c>
      <c r="C2692" s="8" t="s">
        <v>17444</v>
      </c>
      <c r="D2692" s="8" t="s">
        <v>16</v>
      </c>
      <c r="E2692" s="9" t="s">
        <v>17445</v>
      </c>
      <c r="F2692" s="10" t="s">
        <v>17033</v>
      </c>
      <c r="G2692" s="8">
        <v>23.61</v>
      </c>
      <c r="H2692" s="8"/>
      <c r="I2692" s="10"/>
      <c r="J2692" s="10" t="s">
        <v>17446</v>
      </c>
      <c r="K2692" s="10" t="s">
        <v>17447</v>
      </c>
      <c r="L2692" s="11" t="s">
        <v>17448</v>
      </c>
      <c r="M2692" s="10"/>
      <c r="N2692" s="12"/>
      <c r="O2692" s="12"/>
      <c r="P2692" s="13">
        <f>IFERROR(__xludf.DUMMYFUNCTION("VALUE(SUBSTITUTE((INDEX(SPLIT(A2692,"",""),1)),""."","","",1))"),55.443098)</f>
        <v>55.443098</v>
      </c>
      <c r="Q2692" s="13">
        <f>IFERROR(__xludf.DUMMYFUNCTION("VALUE(SUBSTITUTE((INDEX(SPLIT(A2692,"",""),2)),""."","","",1))"),43.941937)</f>
        <v>43.941937</v>
      </c>
      <c r="R2692" s="14" t="b">
        <f t="shared" si="1"/>
        <v>0</v>
      </c>
      <c r="S2692" s="14" t="str">
        <f t="shared" si="2"/>
        <v>55.443098,43.941937</v>
      </c>
      <c r="T2692" s="12"/>
    </row>
    <row r="2693">
      <c r="A2693" s="15" t="s">
        <v>17449</v>
      </c>
      <c r="B2693" s="16" t="s">
        <v>17450</v>
      </c>
      <c r="C2693" s="16" t="s">
        <v>17451</v>
      </c>
      <c r="D2693" s="16" t="s">
        <v>16</v>
      </c>
      <c r="E2693" s="17" t="s">
        <v>17452</v>
      </c>
      <c r="F2693" s="16" t="s">
        <v>17033</v>
      </c>
      <c r="G2693" s="16">
        <v>23.61</v>
      </c>
      <c r="H2693" s="16"/>
      <c r="I2693" s="16"/>
      <c r="J2693" s="16" t="s">
        <v>17453</v>
      </c>
      <c r="K2693" s="16" t="s">
        <v>17454</v>
      </c>
      <c r="L2693" s="16"/>
      <c r="M2693" s="16"/>
      <c r="N2693" s="12"/>
      <c r="O2693" s="12"/>
      <c r="P2693" s="13">
        <f>IFERROR(__xludf.DUMMYFUNCTION("VALUE(SUBSTITUTE((INDEX(SPLIT(A2693,"",""),1)),""."","","",1))"),56.288246)</f>
        <v>56.288246</v>
      </c>
      <c r="Q2693" s="13">
        <f>IFERROR(__xludf.DUMMYFUNCTION("VALUE(SUBSTITUTE((INDEX(SPLIT(A2693,"",""),2)),""."","","",1))"),43.949941)</f>
        <v>43.949941</v>
      </c>
      <c r="R2693" s="14" t="b">
        <f t="shared" si="1"/>
        <v>0</v>
      </c>
      <c r="S2693" s="14" t="str">
        <f t="shared" si="2"/>
        <v>56.288246,43.949941</v>
      </c>
      <c r="T2693" s="12"/>
    </row>
    <row r="2694">
      <c r="A2694" s="18" t="s">
        <v>17455</v>
      </c>
      <c r="B2694" s="8" t="s">
        <v>17456</v>
      </c>
      <c r="C2694" s="8" t="s">
        <v>17457</v>
      </c>
      <c r="D2694" s="8" t="s">
        <v>16</v>
      </c>
      <c r="E2694" s="19" t="s">
        <v>17458</v>
      </c>
      <c r="F2694" s="8" t="s">
        <v>12993</v>
      </c>
      <c r="G2694" s="8">
        <v>23.61</v>
      </c>
      <c r="H2694" s="8"/>
      <c r="I2694" s="27" t="s">
        <v>17459</v>
      </c>
      <c r="J2694" s="8" t="s">
        <v>17460</v>
      </c>
      <c r="K2694" s="8" t="s">
        <v>17461</v>
      </c>
      <c r="L2694" s="8"/>
      <c r="M2694" s="8"/>
      <c r="N2694" s="12"/>
      <c r="O2694" s="12"/>
      <c r="P2694" s="13">
        <f>IFERROR(__xludf.DUMMYFUNCTION("VALUE(SUBSTITUTE((INDEX(SPLIT(A2694,"",""),1)),""."","","",1))"),56.328289)</f>
        <v>56.328289</v>
      </c>
      <c r="Q2694" s="13">
        <f>IFERROR(__xludf.DUMMYFUNCTION("VALUE(SUBSTITUTE((INDEX(SPLIT(A2694,"",""),2)),""."","","",1))"),43.951782)</f>
        <v>43.951782</v>
      </c>
      <c r="R2694" s="14" t="b">
        <f t="shared" si="1"/>
        <v>0</v>
      </c>
      <c r="S2694" s="14" t="str">
        <f t="shared" si="2"/>
        <v>56.328289,43.951782</v>
      </c>
      <c r="T2694" s="12"/>
    </row>
    <row r="2695">
      <c r="A2695" s="15" t="s">
        <v>17462</v>
      </c>
      <c r="B2695" s="16" t="s">
        <v>17463</v>
      </c>
      <c r="C2695" s="16" t="s">
        <v>17464</v>
      </c>
      <c r="D2695" s="16" t="s">
        <v>16</v>
      </c>
      <c r="E2695" s="17" t="s">
        <v>17465</v>
      </c>
      <c r="F2695" s="16" t="s">
        <v>17033</v>
      </c>
      <c r="G2695" s="16">
        <v>23.61</v>
      </c>
      <c r="H2695" s="16"/>
      <c r="I2695" s="16"/>
      <c r="J2695" s="16" t="s">
        <v>17466</v>
      </c>
      <c r="K2695" s="16" t="s">
        <v>17467</v>
      </c>
      <c r="L2695" s="16"/>
      <c r="M2695" s="16"/>
      <c r="N2695" s="12"/>
      <c r="O2695" s="12"/>
      <c r="P2695" s="13">
        <f>IFERROR(__xludf.DUMMYFUNCTION("VALUE(SUBSTITUTE((INDEX(SPLIT(A2695,"",""),1)),""."","","",1))"),56.287472)</f>
        <v>56.287472</v>
      </c>
      <c r="Q2695" s="13">
        <f>IFERROR(__xludf.DUMMYFUNCTION("VALUE(SUBSTITUTE((INDEX(SPLIT(A2695,"",""),2)),""."","","",1))"),43.955869)</f>
        <v>43.955869</v>
      </c>
      <c r="R2695" s="14" t="b">
        <f t="shared" si="1"/>
        <v>0</v>
      </c>
      <c r="S2695" s="14" t="str">
        <f t="shared" si="2"/>
        <v>56.287472,43.955869</v>
      </c>
      <c r="T2695" s="12"/>
    </row>
    <row r="2696">
      <c r="A2696" s="7" t="s">
        <v>17468</v>
      </c>
      <c r="B2696" s="8" t="s">
        <v>17469</v>
      </c>
      <c r="C2696" s="8" t="s">
        <v>17470</v>
      </c>
      <c r="D2696" s="8" t="s">
        <v>16</v>
      </c>
      <c r="E2696" s="9" t="s">
        <v>17471</v>
      </c>
      <c r="F2696" s="10" t="s">
        <v>16486</v>
      </c>
      <c r="G2696" s="8">
        <v>23.61</v>
      </c>
      <c r="H2696" s="8"/>
      <c r="I2696" s="10"/>
      <c r="J2696" s="10" t="s">
        <v>17472</v>
      </c>
      <c r="K2696" s="10" t="s">
        <v>17473</v>
      </c>
      <c r="L2696" s="11" t="s">
        <v>17474</v>
      </c>
      <c r="M2696" s="11" t="s">
        <v>17475</v>
      </c>
      <c r="N2696" s="12"/>
      <c r="O2696" s="12"/>
      <c r="P2696" s="13">
        <f>IFERROR(__xludf.DUMMYFUNCTION("VALUE(SUBSTITUTE((INDEX(SPLIT(A2696,"",""),1)),""."","","",1))"),56.32804)</f>
        <v>56.32804</v>
      </c>
      <c r="Q2696" s="13">
        <f>IFERROR(__xludf.DUMMYFUNCTION("VALUE(SUBSTITUTE((INDEX(SPLIT(A2696,"",""),2)),""."","","",1))"),43.95631)</f>
        <v>43.95631</v>
      </c>
      <c r="R2696" s="14" t="b">
        <f t="shared" si="1"/>
        <v>0</v>
      </c>
      <c r="S2696" s="14" t="str">
        <f t="shared" si="2"/>
        <v>56.32804,43.95631</v>
      </c>
      <c r="T2696" s="12"/>
    </row>
    <row r="2697">
      <c r="A2697" s="20" t="s">
        <v>17476</v>
      </c>
      <c r="B2697" s="16" t="s">
        <v>17477</v>
      </c>
      <c r="C2697" s="16" t="s">
        <v>17478</v>
      </c>
      <c r="D2697" s="16" t="s">
        <v>16</v>
      </c>
      <c r="E2697" s="21" t="s">
        <v>17479</v>
      </c>
      <c r="F2697" s="22" t="s">
        <v>1448</v>
      </c>
      <c r="G2697" s="16">
        <v>23.61</v>
      </c>
      <c r="H2697" s="16"/>
      <c r="I2697" s="28" t="s">
        <v>17480</v>
      </c>
      <c r="J2697" s="22" t="s">
        <v>17481</v>
      </c>
      <c r="K2697" s="22" t="s">
        <v>17482</v>
      </c>
      <c r="L2697" s="23" t="s">
        <v>17483</v>
      </c>
      <c r="M2697" s="23" t="s">
        <v>17484</v>
      </c>
      <c r="N2697" s="12"/>
      <c r="O2697" s="12"/>
      <c r="P2697" s="13">
        <f>IFERROR(__xludf.DUMMYFUNCTION("VALUE(SUBSTITUTE((INDEX(SPLIT(A2697,"",""),1)),""."","","",1))"),56.24545)</f>
        <v>56.24545</v>
      </c>
      <c r="Q2697" s="13">
        <f>IFERROR(__xludf.DUMMYFUNCTION("VALUE(SUBSTITUTE((INDEX(SPLIT(A2697,"",""),2)),""."","","",1))"),43.967377)</f>
        <v>43.967377</v>
      </c>
      <c r="R2697" s="14" t="b">
        <f t="shared" si="1"/>
        <v>0</v>
      </c>
      <c r="S2697" s="14" t="str">
        <f t="shared" si="2"/>
        <v>56.24545,43.967377</v>
      </c>
      <c r="T2697" s="12"/>
    </row>
    <row r="2698">
      <c r="A2698" s="7" t="s">
        <v>17485</v>
      </c>
      <c r="B2698" s="8" t="s">
        <v>17486</v>
      </c>
      <c r="C2698" s="8" t="s">
        <v>17487</v>
      </c>
      <c r="D2698" s="8" t="s">
        <v>16</v>
      </c>
      <c r="E2698" s="9" t="s">
        <v>17488</v>
      </c>
      <c r="F2698" s="10" t="s">
        <v>8566</v>
      </c>
      <c r="G2698" s="8">
        <v>23.61</v>
      </c>
      <c r="H2698" s="8"/>
      <c r="I2698" s="10"/>
      <c r="J2698" s="10" t="s">
        <v>17489</v>
      </c>
      <c r="K2698" s="10" t="s">
        <v>10132</v>
      </c>
      <c r="L2698" s="11" t="s">
        <v>17490</v>
      </c>
      <c r="M2698" s="10"/>
      <c r="N2698" s="12"/>
      <c r="O2698" s="12"/>
      <c r="P2698" s="13">
        <f>IFERROR(__xludf.DUMMYFUNCTION("VALUE(SUBSTITUTE((INDEX(SPLIT(A2698,"",""),1)),""."","","",1))"),53.177457)</f>
        <v>53.177457</v>
      </c>
      <c r="Q2698" s="13">
        <f>IFERROR(__xludf.DUMMYFUNCTION("VALUE(SUBSTITUTE((INDEX(SPLIT(A2698,"",""),2)),""."","","",1))"),43.972057)</f>
        <v>43.972057</v>
      </c>
      <c r="R2698" s="14" t="b">
        <f t="shared" si="1"/>
        <v>0</v>
      </c>
      <c r="S2698" s="14" t="str">
        <f t="shared" si="2"/>
        <v>53.177457,43.972057</v>
      </c>
      <c r="T2698" s="12"/>
    </row>
    <row r="2699">
      <c r="A2699" s="15" t="s">
        <v>17491</v>
      </c>
      <c r="B2699" s="16" t="s">
        <v>17492</v>
      </c>
      <c r="C2699" s="16" t="s">
        <v>17493</v>
      </c>
      <c r="D2699" s="16" t="s">
        <v>16</v>
      </c>
      <c r="E2699" s="17" t="s">
        <v>17494</v>
      </c>
      <c r="F2699" s="16" t="s">
        <v>17033</v>
      </c>
      <c r="G2699" s="16">
        <v>23.61</v>
      </c>
      <c r="H2699" s="16"/>
      <c r="I2699" s="16"/>
      <c r="J2699" s="16" t="s">
        <v>17495</v>
      </c>
      <c r="K2699" s="16" t="s">
        <v>17496</v>
      </c>
      <c r="L2699" s="16"/>
      <c r="M2699" s="25" t="s">
        <v>17497</v>
      </c>
      <c r="N2699" s="12"/>
      <c r="O2699" s="12"/>
      <c r="P2699" s="13">
        <f>IFERROR(__xludf.DUMMYFUNCTION("VALUE(SUBSTITUTE((INDEX(SPLIT(A2699,"",""),1)),""."","","",1))"),56.327975)</f>
        <v>56.327975</v>
      </c>
      <c r="Q2699" s="13">
        <f>IFERROR(__xludf.DUMMYFUNCTION("VALUE(SUBSTITUTE((INDEX(SPLIT(A2699,"",""),2)),""."","","",1))"),43.987239)</f>
        <v>43.987239</v>
      </c>
      <c r="R2699" s="14" t="b">
        <f t="shared" si="1"/>
        <v>0</v>
      </c>
      <c r="S2699" s="14" t="str">
        <f t="shared" si="2"/>
        <v>56.327975,43.987239</v>
      </c>
      <c r="T2699" s="12"/>
    </row>
    <row r="2700">
      <c r="A2700" s="18" t="s">
        <v>17498</v>
      </c>
      <c r="B2700" s="8" t="s">
        <v>17499</v>
      </c>
      <c r="C2700" s="8" t="s">
        <v>17500</v>
      </c>
      <c r="D2700" s="8" t="s">
        <v>16</v>
      </c>
      <c r="E2700" s="19" t="s">
        <v>17501</v>
      </c>
      <c r="F2700" s="8" t="s">
        <v>17033</v>
      </c>
      <c r="G2700" s="8">
        <v>23.61</v>
      </c>
      <c r="H2700" s="8"/>
      <c r="I2700" s="8"/>
      <c r="J2700" s="8" t="s">
        <v>17502</v>
      </c>
      <c r="K2700" s="8" t="s">
        <v>17503</v>
      </c>
      <c r="L2700" s="8"/>
      <c r="M2700" s="8"/>
      <c r="N2700" s="12"/>
      <c r="O2700" s="12"/>
      <c r="P2700" s="13">
        <f>IFERROR(__xludf.DUMMYFUNCTION("VALUE(SUBSTITUTE((INDEX(SPLIT(A2700,"",""),1)),""."","","",1))"),56.314781)</f>
        <v>56.314781</v>
      </c>
      <c r="Q2700" s="13">
        <f>IFERROR(__xludf.DUMMYFUNCTION("VALUE(SUBSTITUTE((INDEX(SPLIT(A2700,"",""),2)),""."","","",1))"),43.990149)</f>
        <v>43.990149</v>
      </c>
      <c r="R2700" s="14" t="b">
        <f t="shared" si="1"/>
        <v>0</v>
      </c>
      <c r="S2700" s="14" t="str">
        <f t="shared" si="2"/>
        <v>56.314781,43.990149</v>
      </c>
      <c r="T2700" s="12"/>
    </row>
    <row r="2701">
      <c r="A2701" s="15" t="s">
        <v>17504</v>
      </c>
      <c r="B2701" s="16" t="s">
        <v>17505</v>
      </c>
      <c r="C2701" s="16" t="s">
        <v>17506</v>
      </c>
      <c r="D2701" s="16" t="s">
        <v>16</v>
      </c>
      <c r="E2701" s="17" t="s">
        <v>17507</v>
      </c>
      <c r="F2701" s="16" t="s">
        <v>17033</v>
      </c>
      <c r="G2701" s="16">
        <v>23.61</v>
      </c>
      <c r="H2701" s="16"/>
      <c r="I2701" s="16"/>
      <c r="J2701" s="16" t="s">
        <v>17508</v>
      </c>
      <c r="K2701" s="16" t="s">
        <v>17509</v>
      </c>
      <c r="L2701" s="16"/>
      <c r="M2701" s="16"/>
      <c r="N2701" s="12"/>
      <c r="O2701" s="12"/>
      <c r="P2701" s="13">
        <f>IFERROR(__xludf.DUMMYFUNCTION("VALUE(SUBSTITUTE((INDEX(SPLIT(A2701,"",""),1)),""."","","",1))"),56.309129)</f>
        <v>56.309129</v>
      </c>
      <c r="Q2701" s="13">
        <f>IFERROR(__xludf.DUMMYFUNCTION("VALUE(SUBSTITUTE((INDEX(SPLIT(A2701,"",""),2)),""."","","",1))"),44.003723)</f>
        <v>44.003723</v>
      </c>
      <c r="R2701" s="14" t="b">
        <f t="shared" si="1"/>
        <v>0</v>
      </c>
      <c r="S2701" s="14" t="str">
        <f t="shared" si="2"/>
        <v>56.309129,44.003723</v>
      </c>
      <c r="T2701" s="12"/>
    </row>
    <row r="2702">
      <c r="A2702" s="18" t="s">
        <v>17510</v>
      </c>
      <c r="B2702" s="8" t="s">
        <v>17511</v>
      </c>
      <c r="C2702" s="8" t="s">
        <v>17512</v>
      </c>
      <c r="D2702" s="8" t="s">
        <v>16</v>
      </c>
      <c r="E2702" s="19" t="s">
        <v>17513</v>
      </c>
      <c r="F2702" s="8" t="s">
        <v>17033</v>
      </c>
      <c r="G2702" s="8">
        <v>23.61</v>
      </c>
      <c r="H2702" s="8"/>
      <c r="I2702" s="8"/>
      <c r="J2702" s="8" t="s">
        <v>17514</v>
      </c>
      <c r="K2702" s="8" t="s">
        <v>17515</v>
      </c>
      <c r="L2702" s="8"/>
      <c r="M2702" s="8"/>
      <c r="N2702" s="12"/>
      <c r="O2702" s="12"/>
      <c r="P2702" s="13">
        <f>IFERROR(__xludf.DUMMYFUNCTION("VALUE(SUBSTITUTE((INDEX(SPLIT(A2702,"",""),1)),""."","","",1))"),56.24464)</f>
        <v>56.24464</v>
      </c>
      <c r="Q2702" s="13">
        <f>IFERROR(__xludf.DUMMYFUNCTION("VALUE(SUBSTITUTE((INDEX(SPLIT(A2702,"",""),2)),""."","","",1))"),44.005232)</f>
        <v>44.005232</v>
      </c>
      <c r="R2702" s="14" t="b">
        <f t="shared" si="1"/>
        <v>0</v>
      </c>
      <c r="S2702" s="14" t="str">
        <f t="shared" si="2"/>
        <v>56.24464,44.005232</v>
      </c>
      <c r="T2702" s="12"/>
    </row>
    <row r="2703">
      <c r="A2703" s="15" t="s">
        <v>17510</v>
      </c>
      <c r="B2703" s="16" t="s">
        <v>17516</v>
      </c>
      <c r="C2703" s="16" t="s">
        <v>17517</v>
      </c>
      <c r="D2703" s="16" t="s">
        <v>16</v>
      </c>
      <c r="E2703" s="17" t="s">
        <v>17518</v>
      </c>
      <c r="F2703" s="16" t="s">
        <v>17033</v>
      </c>
      <c r="G2703" s="16">
        <v>23.61</v>
      </c>
      <c r="H2703" s="16"/>
      <c r="I2703" s="16"/>
      <c r="J2703" s="16" t="s">
        <v>17519</v>
      </c>
      <c r="K2703" s="16" t="s">
        <v>17520</v>
      </c>
      <c r="L2703" s="16"/>
      <c r="M2703" s="16"/>
      <c r="N2703" s="12"/>
      <c r="O2703" s="12"/>
      <c r="P2703" s="13">
        <f>IFERROR(__xludf.DUMMYFUNCTION("VALUE(SUBSTITUTE((INDEX(SPLIT(A2703,"",""),1)),""."","","",1))"),56.24464)</f>
        <v>56.24464</v>
      </c>
      <c r="Q2703" s="13">
        <f>IFERROR(__xludf.DUMMYFUNCTION("VALUE(SUBSTITUTE((INDEX(SPLIT(A2703,"",""),2)),""."","","",1))"),44.005232)</f>
        <v>44.005232</v>
      </c>
      <c r="R2703" s="14" t="b">
        <f t="shared" si="1"/>
        <v>0</v>
      </c>
      <c r="S2703" s="14" t="str">
        <f t="shared" si="2"/>
        <v>56.24464,44.005232</v>
      </c>
      <c r="T2703" s="12"/>
    </row>
    <row r="2704">
      <c r="A2704" s="18" t="s">
        <v>17521</v>
      </c>
      <c r="B2704" s="8" t="s">
        <v>17522</v>
      </c>
      <c r="C2704" s="8" t="s">
        <v>17523</v>
      </c>
      <c r="D2704" s="8" t="s">
        <v>16</v>
      </c>
      <c r="E2704" s="19" t="s">
        <v>17524</v>
      </c>
      <c r="F2704" s="8" t="s">
        <v>17033</v>
      </c>
      <c r="G2704" s="8">
        <v>23.61</v>
      </c>
      <c r="H2704" s="8"/>
      <c r="I2704" s="8"/>
      <c r="J2704" s="8" t="s">
        <v>17525</v>
      </c>
      <c r="K2704" s="8" t="s">
        <v>17526</v>
      </c>
      <c r="L2704" s="8"/>
      <c r="M2704" s="24" t="s">
        <v>17527</v>
      </c>
      <c r="N2704" s="12"/>
      <c r="O2704" s="12"/>
      <c r="P2704" s="13">
        <f>IFERROR(__xludf.DUMMYFUNCTION("VALUE(SUBSTITUTE((INDEX(SPLIT(A2704,"",""),1)),""."","","",1))"),56.326797)</f>
        <v>56.326797</v>
      </c>
      <c r="Q2704" s="13">
        <f>IFERROR(__xludf.DUMMYFUNCTION("VALUE(SUBSTITUTE((INDEX(SPLIT(A2704,"",""),2)),""."","","",1))"),44.006516)</f>
        <v>44.006516</v>
      </c>
      <c r="R2704" s="14" t="b">
        <f t="shared" si="1"/>
        <v>0</v>
      </c>
      <c r="S2704" s="14" t="str">
        <f t="shared" si="2"/>
        <v>56.326797,44.006516</v>
      </c>
      <c r="T2704" s="12"/>
    </row>
    <row r="2705">
      <c r="A2705" s="15" t="s">
        <v>17528</v>
      </c>
      <c r="B2705" s="16" t="s">
        <v>17529</v>
      </c>
      <c r="C2705" s="16" t="s">
        <v>17530</v>
      </c>
      <c r="D2705" s="16" t="s">
        <v>16</v>
      </c>
      <c r="E2705" s="17" t="s">
        <v>17531</v>
      </c>
      <c r="F2705" s="16" t="s">
        <v>16486</v>
      </c>
      <c r="G2705" s="16">
        <v>23.61</v>
      </c>
      <c r="H2705" s="16"/>
      <c r="I2705" s="16"/>
      <c r="J2705" s="16" t="s">
        <v>17532</v>
      </c>
      <c r="K2705" s="16" t="s">
        <v>17533</v>
      </c>
      <c r="L2705" s="16"/>
      <c r="M2705" s="16"/>
      <c r="N2705" s="12"/>
      <c r="O2705" s="12"/>
      <c r="P2705" s="13">
        <f>IFERROR(__xludf.DUMMYFUNCTION("VALUE(SUBSTITUTE((INDEX(SPLIT(A2705,"",""),1)),""."","","",1))"),56.238607)</f>
        <v>56.238607</v>
      </c>
      <c r="Q2705" s="13">
        <f>IFERROR(__xludf.DUMMYFUNCTION("VALUE(SUBSTITUTE((INDEX(SPLIT(A2705,"",""),2)),""."","","",1))"),44.006714)</f>
        <v>44.006714</v>
      </c>
      <c r="R2705" s="14" t="b">
        <f t="shared" si="1"/>
        <v>0</v>
      </c>
      <c r="S2705" s="14" t="str">
        <f t="shared" si="2"/>
        <v>56.238607,44.006714</v>
      </c>
      <c r="T2705" s="12"/>
    </row>
    <row r="2706">
      <c r="A2706" s="18" t="s">
        <v>17534</v>
      </c>
      <c r="B2706" s="8" t="s">
        <v>17535</v>
      </c>
      <c r="C2706" s="8" t="s">
        <v>17536</v>
      </c>
      <c r="D2706" s="8" t="s">
        <v>16</v>
      </c>
      <c r="E2706" s="19" t="s">
        <v>17537</v>
      </c>
      <c r="F2706" s="8" t="s">
        <v>17033</v>
      </c>
      <c r="G2706" s="8">
        <v>23.61</v>
      </c>
      <c r="H2706" s="8"/>
      <c r="I2706" s="8"/>
      <c r="J2706" s="8" t="s">
        <v>17538</v>
      </c>
      <c r="K2706" s="8" t="s">
        <v>17539</v>
      </c>
      <c r="L2706" s="8"/>
      <c r="M2706" s="8"/>
      <c r="N2706" s="12"/>
      <c r="O2706" s="12"/>
      <c r="P2706" s="13">
        <f>IFERROR(__xludf.DUMMYFUNCTION("VALUE(SUBSTITUTE((INDEX(SPLIT(A2706,"",""),1)),""."","","",1))"),56.2452)</f>
        <v>56.2452</v>
      </c>
      <c r="Q2706" s="13">
        <f>IFERROR(__xludf.DUMMYFUNCTION("VALUE(SUBSTITUTE((INDEX(SPLIT(A2706,"",""),2)),""."","","",1))"),44.007406)</f>
        <v>44.007406</v>
      </c>
      <c r="R2706" s="14" t="b">
        <f t="shared" si="1"/>
        <v>0</v>
      </c>
      <c r="S2706" s="14" t="str">
        <f t="shared" si="2"/>
        <v>56.2452,44.007406</v>
      </c>
      <c r="T2706" s="12"/>
    </row>
    <row r="2707">
      <c r="A2707" s="15" t="s">
        <v>17540</v>
      </c>
      <c r="B2707" s="16" t="s">
        <v>17541</v>
      </c>
      <c r="C2707" s="16" t="s">
        <v>17542</v>
      </c>
      <c r="D2707" s="16" t="s">
        <v>16</v>
      </c>
      <c r="E2707" s="17" t="s">
        <v>17543</v>
      </c>
      <c r="F2707" s="16" t="s">
        <v>12993</v>
      </c>
      <c r="G2707" s="16">
        <v>23.61</v>
      </c>
      <c r="H2707" s="16"/>
      <c r="I2707" s="16"/>
      <c r="J2707" s="16" t="s">
        <v>17544</v>
      </c>
      <c r="K2707" s="16" t="s">
        <v>17545</v>
      </c>
      <c r="L2707" s="16"/>
      <c r="M2707" s="16"/>
      <c r="N2707" s="12"/>
      <c r="O2707" s="12"/>
      <c r="P2707" s="13">
        <f>IFERROR(__xludf.DUMMYFUNCTION("VALUE(SUBSTITUTE((INDEX(SPLIT(A2707,"",""),1)),""."","","",1))"),56.325125)</f>
        <v>56.325125</v>
      </c>
      <c r="Q2707" s="13">
        <f>IFERROR(__xludf.DUMMYFUNCTION("VALUE(SUBSTITUTE((INDEX(SPLIT(A2707,"",""),2)),""."","","",1))"),44.008286)</f>
        <v>44.008286</v>
      </c>
      <c r="R2707" s="14" t="b">
        <f t="shared" si="1"/>
        <v>0</v>
      </c>
      <c r="S2707" s="14" t="str">
        <f t="shared" si="2"/>
        <v>56.325125,44.008286</v>
      </c>
      <c r="T2707" s="12"/>
    </row>
    <row r="2708">
      <c r="A2708" s="18" t="s">
        <v>17546</v>
      </c>
      <c r="B2708" s="8" t="s">
        <v>17547</v>
      </c>
      <c r="C2708" s="8" t="s">
        <v>17548</v>
      </c>
      <c r="D2708" s="8" t="s">
        <v>16</v>
      </c>
      <c r="E2708" s="19" t="s">
        <v>17549</v>
      </c>
      <c r="F2708" s="8" t="s">
        <v>12993</v>
      </c>
      <c r="G2708" s="8">
        <v>23.61</v>
      </c>
      <c r="H2708" s="8"/>
      <c r="I2708" s="8"/>
      <c r="J2708" s="8" t="s">
        <v>17550</v>
      </c>
      <c r="K2708" s="8" t="s">
        <v>17551</v>
      </c>
      <c r="L2708" s="8"/>
      <c r="M2708" s="8"/>
      <c r="N2708" s="12"/>
      <c r="O2708" s="12"/>
      <c r="P2708" s="13">
        <f>IFERROR(__xludf.DUMMYFUNCTION("VALUE(SUBSTITUTE((INDEX(SPLIT(A2708,"",""),1)),""."","","",1))"),56.304735)</f>
        <v>56.304735</v>
      </c>
      <c r="Q2708" s="13">
        <f>IFERROR(__xludf.DUMMYFUNCTION("VALUE(SUBSTITUTE((INDEX(SPLIT(A2708,"",""),2)),""."","","",1))"),44.010649)</f>
        <v>44.010649</v>
      </c>
      <c r="R2708" s="14" t="b">
        <f t="shared" si="1"/>
        <v>0</v>
      </c>
      <c r="S2708" s="14" t="str">
        <f t="shared" si="2"/>
        <v>56.304735,44.010649</v>
      </c>
      <c r="T2708" s="12"/>
    </row>
    <row r="2709">
      <c r="A2709" s="15" t="s">
        <v>17552</v>
      </c>
      <c r="B2709" s="16" t="s">
        <v>1620</v>
      </c>
      <c r="C2709" s="16" t="s">
        <v>1621</v>
      </c>
      <c r="D2709" s="16" t="s">
        <v>16</v>
      </c>
      <c r="E2709" s="17" t="s">
        <v>17553</v>
      </c>
      <c r="F2709" s="16" t="s">
        <v>1448</v>
      </c>
      <c r="G2709" s="16">
        <v>23.61</v>
      </c>
      <c r="H2709" s="16"/>
      <c r="I2709" s="16"/>
      <c r="J2709" s="16" t="s">
        <v>17554</v>
      </c>
      <c r="K2709" s="16" t="s">
        <v>17555</v>
      </c>
      <c r="L2709" s="16"/>
      <c r="M2709" s="16"/>
      <c r="N2709" s="12"/>
      <c r="O2709" s="12"/>
      <c r="P2709" s="13">
        <f>IFERROR(__xludf.DUMMYFUNCTION("VALUE(SUBSTITUTE((INDEX(SPLIT(A2709,"",""),1)),""."","","",1))"),43.766455)</f>
        <v>43.766455</v>
      </c>
      <c r="Q2709" s="13">
        <f>IFERROR(__xludf.DUMMYFUNCTION("VALUE(SUBSTITUTE((INDEX(SPLIT(A2709,"",""),2)),""."","","",1))"),44.01267)</f>
        <v>44.01267</v>
      </c>
      <c r="R2709" s="14" t="b">
        <f t="shared" si="1"/>
        <v>0</v>
      </c>
      <c r="S2709" s="14" t="str">
        <f t="shared" si="2"/>
        <v>43.766455,44.01267</v>
      </c>
      <c r="T2709" s="12"/>
    </row>
    <row r="2710">
      <c r="A2710" s="7" t="s">
        <v>17556</v>
      </c>
      <c r="B2710" s="8" t="s">
        <v>17557</v>
      </c>
      <c r="C2710" s="8" t="s">
        <v>17558</v>
      </c>
      <c r="D2710" s="8" t="s">
        <v>16</v>
      </c>
      <c r="E2710" s="9" t="s">
        <v>17559</v>
      </c>
      <c r="F2710" s="10" t="s">
        <v>16486</v>
      </c>
      <c r="G2710" s="8">
        <v>23.61</v>
      </c>
      <c r="H2710" s="8"/>
      <c r="I2710" s="10"/>
      <c r="J2710" s="10" t="s">
        <v>17560</v>
      </c>
      <c r="K2710" s="10" t="s">
        <v>17561</v>
      </c>
      <c r="L2710" s="11" t="s">
        <v>17562</v>
      </c>
      <c r="M2710" s="10"/>
      <c r="N2710" s="12"/>
      <c r="O2710" s="12"/>
      <c r="P2710" s="13">
        <f>IFERROR(__xludf.DUMMYFUNCTION("VALUE(SUBSTITUTE((INDEX(SPLIT(A2710,"",""),1)),""."","","",1))"),56.309739)</f>
        <v>56.309739</v>
      </c>
      <c r="Q2710" s="13">
        <f>IFERROR(__xludf.DUMMYFUNCTION("VALUE(SUBSTITUTE((INDEX(SPLIT(A2710,"",""),2)),""."","","",1))"),44.019874)</f>
        <v>44.019874</v>
      </c>
      <c r="R2710" s="14" t="b">
        <f t="shared" si="1"/>
        <v>0</v>
      </c>
      <c r="S2710" s="14" t="str">
        <f t="shared" si="2"/>
        <v>56.309739,44.019874</v>
      </c>
      <c r="T2710" s="12"/>
    </row>
    <row r="2711">
      <c r="A2711" s="20" t="s">
        <v>17563</v>
      </c>
      <c r="B2711" s="16" t="s">
        <v>17564</v>
      </c>
      <c r="C2711" s="16" t="s">
        <v>17565</v>
      </c>
      <c r="D2711" s="16" t="s">
        <v>16</v>
      </c>
      <c r="E2711" s="21" t="s">
        <v>17566</v>
      </c>
      <c r="F2711" s="22" t="s">
        <v>16486</v>
      </c>
      <c r="G2711" s="16">
        <v>23.61</v>
      </c>
      <c r="H2711" s="16"/>
      <c r="I2711" s="22"/>
      <c r="J2711" s="22" t="s">
        <v>17567</v>
      </c>
      <c r="K2711" s="22" t="s">
        <v>17568</v>
      </c>
      <c r="L2711" s="23" t="s">
        <v>17569</v>
      </c>
      <c r="M2711" s="22"/>
      <c r="N2711" s="12"/>
      <c r="O2711" s="12"/>
      <c r="P2711" s="13">
        <f>IFERROR(__xludf.DUMMYFUNCTION("VALUE(SUBSTITUTE((INDEX(SPLIT(A2711,"",""),1)),""."","","",1))"),56.310687)</f>
        <v>56.310687</v>
      </c>
      <c r="Q2711" s="13">
        <f>IFERROR(__xludf.DUMMYFUNCTION("VALUE(SUBSTITUTE((INDEX(SPLIT(A2711,"",""),2)),""."","","",1))"),44.032397)</f>
        <v>44.032397</v>
      </c>
      <c r="R2711" s="14" t="b">
        <f t="shared" si="1"/>
        <v>0</v>
      </c>
      <c r="S2711" s="14" t="str">
        <f t="shared" si="2"/>
        <v>56.310687,44.032397</v>
      </c>
      <c r="T2711" s="12"/>
    </row>
    <row r="2712">
      <c r="A2712" s="18" t="s">
        <v>17570</v>
      </c>
      <c r="B2712" s="8" t="s">
        <v>17571</v>
      </c>
      <c r="C2712" s="8" t="s">
        <v>17572</v>
      </c>
      <c r="D2712" s="8" t="s">
        <v>16</v>
      </c>
      <c r="E2712" s="19" t="s">
        <v>17573</v>
      </c>
      <c r="F2712" s="8" t="s">
        <v>16486</v>
      </c>
      <c r="G2712" s="8">
        <v>23.61</v>
      </c>
      <c r="H2712" s="8"/>
      <c r="I2712" s="8"/>
      <c r="J2712" s="8" t="s">
        <v>17574</v>
      </c>
      <c r="K2712" s="8" t="s">
        <v>17575</v>
      </c>
      <c r="L2712" s="8"/>
      <c r="M2712" s="24" t="s">
        <v>17576</v>
      </c>
      <c r="N2712" s="12"/>
      <c r="O2712" s="12"/>
      <c r="P2712" s="13">
        <f>IFERROR(__xludf.DUMMYFUNCTION("VALUE(SUBSTITUTE((INDEX(SPLIT(A2712,"",""),1)),""."","","",1))"),56.276374)</f>
        <v>56.276374</v>
      </c>
      <c r="Q2712" s="13">
        <f>IFERROR(__xludf.DUMMYFUNCTION("VALUE(SUBSTITUTE((INDEX(SPLIT(A2712,"",""),2)),""."","","",1))"),44.035343)</f>
        <v>44.035343</v>
      </c>
      <c r="R2712" s="14" t="b">
        <f t="shared" si="1"/>
        <v>0</v>
      </c>
      <c r="S2712" s="14" t="str">
        <f t="shared" si="2"/>
        <v>56.276374,44.035343</v>
      </c>
      <c r="T2712" s="12"/>
    </row>
    <row r="2713">
      <c r="A2713" s="20" t="s">
        <v>17577</v>
      </c>
      <c r="B2713" s="16" t="s">
        <v>17578</v>
      </c>
      <c r="C2713" s="16" t="s">
        <v>17579</v>
      </c>
      <c r="D2713" s="16" t="s">
        <v>16</v>
      </c>
      <c r="E2713" s="21" t="s">
        <v>17580</v>
      </c>
      <c r="F2713" s="22" t="s">
        <v>16486</v>
      </c>
      <c r="G2713" s="16">
        <v>23.61</v>
      </c>
      <c r="H2713" s="16"/>
      <c r="I2713" s="22"/>
      <c r="J2713" s="22" t="s">
        <v>17581</v>
      </c>
      <c r="K2713" s="22" t="s">
        <v>17582</v>
      </c>
      <c r="L2713" s="30" t="s">
        <v>17583</v>
      </c>
      <c r="M2713" s="22"/>
      <c r="N2713" s="12"/>
      <c r="O2713" s="12"/>
      <c r="P2713" s="13">
        <f>IFERROR(__xludf.DUMMYFUNCTION("VALUE(SUBSTITUTE((INDEX(SPLIT(A2713,"",""),1)),""."","","",1))"),43.754091)</f>
        <v>43.754091</v>
      </c>
      <c r="Q2713" s="13">
        <f>IFERROR(__xludf.DUMMYFUNCTION("VALUE(SUBSTITUTE((INDEX(SPLIT(A2713,"",""),2)),""."","","",1))"),44.039)</f>
        <v>44.039</v>
      </c>
      <c r="R2713" s="14" t="b">
        <f t="shared" si="1"/>
        <v>0</v>
      </c>
      <c r="S2713" s="14" t="str">
        <f t="shared" si="2"/>
        <v>43.754091,44.039</v>
      </c>
      <c r="T2713" s="12"/>
    </row>
    <row r="2714">
      <c r="A2714" s="7" t="s">
        <v>17577</v>
      </c>
      <c r="B2714" s="8" t="s">
        <v>17584</v>
      </c>
      <c r="C2714" s="8" t="s">
        <v>17585</v>
      </c>
      <c r="D2714" s="8" t="s">
        <v>16</v>
      </c>
      <c r="E2714" s="9" t="s">
        <v>17586</v>
      </c>
      <c r="F2714" s="10" t="s">
        <v>16486</v>
      </c>
      <c r="G2714" s="8">
        <v>23.61</v>
      </c>
      <c r="H2714" s="8"/>
      <c r="I2714" s="10"/>
      <c r="J2714" s="10" t="s">
        <v>17587</v>
      </c>
      <c r="K2714" s="10" t="s">
        <v>17588</v>
      </c>
      <c r="L2714" s="11" t="s">
        <v>17589</v>
      </c>
      <c r="M2714" s="10"/>
      <c r="N2714" s="12"/>
      <c r="O2714" s="12"/>
      <c r="P2714" s="13">
        <f>IFERROR(__xludf.DUMMYFUNCTION("VALUE(SUBSTITUTE((INDEX(SPLIT(A2714,"",""),1)),""."","","",1))"),43.754091)</f>
        <v>43.754091</v>
      </c>
      <c r="Q2714" s="13">
        <f>IFERROR(__xludf.DUMMYFUNCTION("VALUE(SUBSTITUTE((INDEX(SPLIT(A2714,"",""),2)),""."","","",1))"),44.039)</f>
        <v>44.039</v>
      </c>
      <c r="R2714" s="14" t="b">
        <f t="shared" si="1"/>
        <v>0</v>
      </c>
      <c r="S2714" s="14" t="str">
        <f t="shared" si="2"/>
        <v>43.754091,44.039</v>
      </c>
      <c r="T2714" s="12"/>
    </row>
    <row r="2715">
      <c r="A2715" s="20" t="s">
        <v>17577</v>
      </c>
      <c r="B2715" s="16" t="s">
        <v>17590</v>
      </c>
      <c r="C2715" s="16" t="s">
        <v>17591</v>
      </c>
      <c r="D2715" s="16" t="s">
        <v>16</v>
      </c>
      <c r="E2715" s="21" t="s">
        <v>17592</v>
      </c>
      <c r="F2715" s="22" t="s">
        <v>16486</v>
      </c>
      <c r="G2715" s="16">
        <v>23.61</v>
      </c>
      <c r="H2715" s="16"/>
      <c r="I2715" s="22"/>
      <c r="J2715" s="22" t="s">
        <v>17593</v>
      </c>
      <c r="K2715" s="22" t="s">
        <v>17594</v>
      </c>
      <c r="L2715" s="23" t="s">
        <v>17595</v>
      </c>
      <c r="M2715" s="22"/>
      <c r="N2715" s="12"/>
      <c r="O2715" s="12"/>
      <c r="P2715" s="13">
        <f>IFERROR(__xludf.DUMMYFUNCTION("VALUE(SUBSTITUTE((INDEX(SPLIT(A2715,"",""),1)),""."","","",1))"),43.754091)</f>
        <v>43.754091</v>
      </c>
      <c r="Q2715" s="13">
        <f>IFERROR(__xludf.DUMMYFUNCTION("VALUE(SUBSTITUTE((INDEX(SPLIT(A2715,"",""),2)),""."","","",1))"),44.039)</f>
        <v>44.039</v>
      </c>
      <c r="R2715" s="14" t="b">
        <f t="shared" si="1"/>
        <v>0</v>
      </c>
      <c r="S2715" s="14" t="str">
        <f t="shared" si="2"/>
        <v>43.754091,44.039</v>
      </c>
      <c r="T2715" s="12"/>
    </row>
    <row r="2716">
      <c r="A2716" s="18" t="s">
        <v>17577</v>
      </c>
      <c r="B2716" s="8" t="s">
        <v>17596</v>
      </c>
      <c r="C2716" s="8" t="s">
        <v>17597</v>
      </c>
      <c r="D2716" s="8" t="s">
        <v>16</v>
      </c>
      <c r="E2716" s="19" t="s">
        <v>17598</v>
      </c>
      <c r="F2716" s="8" t="s">
        <v>16486</v>
      </c>
      <c r="G2716" s="8">
        <v>23.61</v>
      </c>
      <c r="H2716" s="8"/>
      <c r="I2716" s="8"/>
      <c r="J2716" s="8" t="s">
        <v>17599</v>
      </c>
      <c r="K2716" s="8" t="s">
        <v>17588</v>
      </c>
      <c r="L2716" s="8"/>
      <c r="M2716" s="8"/>
      <c r="N2716" s="12"/>
      <c r="O2716" s="12"/>
      <c r="P2716" s="13">
        <f>IFERROR(__xludf.DUMMYFUNCTION("VALUE(SUBSTITUTE((INDEX(SPLIT(A2716,"",""),1)),""."","","",1))"),43.754091)</f>
        <v>43.754091</v>
      </c>
      <c r="Q2716" s="13">
        <f>IFERROR(__xludf.DUMMYFUNCTION("VALUE(SUBSTITUTE((INDEX(SPLIT(A2716,"",""),2)),""."","","",1))"),44.039)</f>
        <v>44.039</v>
      </c>
      <c r="R2716" s="14" t="b">
        <f t="shared" si="1"/>
        <v>0</v>
      </c>
      <c r="S2716" s="14" t="str">
        <f t="shared" si="2"/>
        <v>43.754091,44.039</v>
      </c>
      <c r="T2716" s="12"/>
    </row>
    <row r="2717">
      <c r="A2717" s="15" t="s">
        <v>17600</v>
      </c>
      <c r="B2717" s="16" t="s">
        <v>17601</v>
      </c>
      <c r="C2717" s="16" t="s">
        <v>17602</v>
      </c>
      <c r="D2717" s="16" t="s">
        <v>16</v>
      </c>
      <c r="E2717" s="17" t="s">
        <v>17603</v>
      </c>
      <c r="F2717" s="16" t="s">
        <v>16486</v>
      </c>
      <c r="G2717" s="16">
        <v>23.61</v>
      </c>
      <c r="H2717" s="16"/>
      <c r="I2717" s="16"/>
      <c r="J2717" s="16" t="s">
        <v>17604</v>
      </c>
      <c r="K2717" s="16" t="s">
        <v>17605</v>
      </c>
      <c r="L2717" s="16"/>
      <c r="M2717" s="16"/>
      <c r="N2717" s="12"/>
      <c r="O2717" s="12"/>
      <c r="P2717" s="13">
        <f>IFERROR(__xludf.DUMMYFUNCTION("VALUE(SUBSTITUTE((INDEX(SPLIT(A2717,"",""),1)),""."","","",1))"),56.292543)</f>
        <v>56.292543</v>
      </c>
      <c r="Q2717" s="13">
        <f>IFERROR(__xludf.DUMMYFUNCTION("VALUE(SUBSTITUTE((INDEX(SPLIT(A2717,"",""),2)),""."","","",1))"),44.040895)</f>
        <v>44.040895</v>
      </c>
      <c r="R2717" s="14" t="b">
        <f t="shared" si="1"/>
        <v>0</v>
      </c>
      <c r="S2717" s="14" t="str">
        <f t="shared" si="2"/>
        <v>56.292543,44.040895</v>
      </c>
      <c r="T2717" s="12"/>
    </row>
    <row r="2718">
      <c r="A2718" s="7" t="s">
        <v>17606</v>
      </c>
      <c r="B2718" s="8" t="s">
        <v>17607</v>
      </c>
      <c r="C2718" s="8" t="s">
        <v>17608</v>
      </c>
      <c r="D2718" s="8" t="s">
        <v>16</v>
      </c>
      <c r="E2718" s="9" t="s">
        <v>17609</v>
      </c>
      <c r="F2718" s="10" t="s">
        <v>16285</v>
      </c>
      <c r="G2718" s="8">
        <v>23.61</v>
      </c>
      <c r="H2718" s="8"/>
      <c r="I2718" s="10"/>
      <c r="J2718" s="10" t="s">
        <v>17610</v>
      </c>
      <c r="K2718" s="10" t="s">
        <v>17611</v>
      </c>
      <c r="L2718" s="29" t="s">
        <v>17612</v>
      </c>
      <c r="M2718" s="10"/>
      <c r="N2718" s="12"/>
      <c r="O2718" s="12"/>
      <c r="P2718" s="13">
        <f>IFERROR(__xludf.DUMMYFUNCTION("VALUE(SUBSTITUTE((INDEX(SPLIT(A2718,"",""),1)),""."","","",1))"),56.301773)</f>
        <v>56.301773</v>
      </c>
      <c r="Q2718" s="13">
        <f>IFERROR(__xludf.DUMMYFUNCTION("VALUE(SUBSTITUTE((INDEX(SPLIT(A2718,"",""),2)),""."","","",1))"),44.046752)</f>
        <v>44.046752</v>
      </c>
      <c r="R2718" s="14" t="b">
        <f t="shared" si="1"/>
        <v>0</v>
      </c>
      <c r="S2718" s="14" t="str">
        <f t="shared" si="2"/>
        <v>56.301773,44.046752</v>
      </c>
      <c r="T2718" s="12"/>
    </row>
    <row r="2719">
      <c r="A2719" s="15" t="s">
        <v>17613</v>
      </c>
      <c r="B2719" s="16" t="s">
        <v>3840</v>
      </c>
      <c r="C2719" s="16" t="s">
        <v>3841</v>
      </c>
      <c r="D2719" s="16" t="s">
        <v>16</v>
      </c>
      <c r="E2719" s="17" t="s">
        <v>17614</v>
      </c>
      <c r="F2719" s="16" t="s">
        <v>16486</v>
      </c>
      <c r="G2719" s="16">
        <v>23.61</v>
      </c>
      <c r="H2719" s="16"/>
      <c r="I2719" s="16"/>
      <c r="J2719" s="16" t="s">
        <v>17615</v>
      </c>
      <c r="K2719" s="16" t="s">
        <v>17616</v>
      </c>
      <c r="L2719" s="16"/>
      <c r="M2719" s="16"/>
      <c r="N2719" s="12"/>
      <c r="O2719" s="12"/>
      <c r="P2719" s="13">
        <f>IFERROR(__xludf.DUMMYFUNCTION("VALUE(SUBSTITUTE((INDEX(SPLIT(A2719,"",""),1)),""."","","",1))"),56.38299)</f>
        <v>56.38299</v>
      </c>
      <c r="Q2719" s="13">
        <f>IFERROR(__xludf.DUMMYFUNCTION("VALUE(SUBSTITUTE((INDEX(SPLIT(A2719,"",""),2)),""."","","",1))"),44.04712)</f>
        <v>44.04712</v>
      </c>
      <c r="R2719" s="14" t="b">
        <f t="shared" si="1"/>
        <v>0</v>
      </c>
      <c r="S2719" s="14" t="str">
        <f t="shared" si="2"/>
        <v>56.38299,44.04712</v>
      </c>
      <c r="T2719" s="12"/>
    </row>
    <row r="2720">
      <c r="A2720" s="7" t="s">
        <v>17617</v>
      </c>
      <c r="B2720" s="8" t="s">
        <v>17618</v>
      </c>
      <c r="C2720" s="8" t="s">
        <v>17619</v>
      </c>
      <c r="D2720" s="8" t="s">
        <v>16</v>
      </c>
      <c r="E2720" s="9" t="s">
        <v>17620</v>
      </c>
      <c r="F2720" s="10" t="s">
        <v>16486</v>
      </c>
      <c r="G2720" s="8">
        <v>23.61</v>
      </c>
      <c r="H2720" s="8"/>
      <c r="I2720" s="10"/>
      <c r="J2720" s="10" t="s">
        <v>17621</v>
      </c>
      <c r="K2720" s="10" t="s">
        <v>17622</v>
      </c>
      <c r="L2720" s="11" t="s">
        <v>17623</v>
      </c>
      <c r="M2720" s="10"/>
      <c r="N2720" s="12"/>
      <c r="O2720" s="12"/>
      <c r="P2720" s="13">
        <f>IFERROR(__xludf.DUMMYFUNCTION("VALUE(SUBSTITUTE((INDEX(SPLIT(A2720,"",""),1)),""."","","",1))"),43.764229)</f>
        <v>43.764229</v>
      </c>
      <c r="Q2720" s="13">
        <f>IFERROR(__xludf.DUMMYFUNCTION("VALUE(SUBSTITUTE((INDEX(SPLIT(A2720,"",""),2)),""."","","",1))"),44.048081)</f>
        <v>44.048081</v>
      </c>
      <c r="R2720" s="14" t="b">
        <f t="shared" si="1"/>
        <v>0</v>
      </c>
      <c r="S2720" s="14" t="str">
        <f t="shared" si="2"/>
        <v>43.764229,44.048081</v>
      </c>
      <c r="T2720" s="12"/>
    </row>
    <row r="2721">
      <c r="A2721" s="15" t="s">
        <v>17624</v>
      </c>
      <c r="B2721" s="16" t="s">
        <v>17625</v>
      </c>
      <c r="C2721" s="16" t="s">
        <v>17626</v>
      </c>
      <c r="D2721" s="16" t="s">
        <v>16</v>
      </c>
      <c r="E2721" s="17" t="s">
        <v>17627</v>
      </c>
      <c r="F2721" s="16" t="s">
        <v>16486</v>
      </c>
      <c r="G2721" s="16">
        <v>23.61</v>
      </c>
      <c r="H2721" s="16"/>
      <c r="I2721" s="16"/>
      <c r="J2721" s="16" t="s">
        <v>17628</v>
      </c>
      <c r="K2721" s="16" t="s">
        <v>17629</v>
      </c>
      <c r="L2721" s="16"/>
      <c r="M2721" s="25" t="s">
        <v>17630</v>
      </c>
      <c r="N2721" s="12"/>
      <c r="O2721" s="12"/>
      <c r="P2721" s="13">
        <f>IFERROR(__xludf.DUMMYFUNCTION("VALUE(SUBSTITUTE((INDEX(SPLIT(A2721,"",""),1)),""."","","",1))"),43.762178)</f>
        <v>43.762178</v>
      </c>
      <c r="Q2721" s="13">
        <f>IFERROR(__xludf.DUMMYFUNCTION("VALUE(SUBSTITUTE((INDEX(SPLIT(A2721,"",""),2)),""."","","",1))"),44.049339)</f>
        <v>44.049339</v>
      </c>
      <c r="R2721" s="14" t="b">
        <f t="shared" si="1"/>
        <v>0</v>
      </c>
      <c r="S2721" s="14" t="str">
        <f t="shared" si="2"/>
        <v>43.762178,44.049339</v>
      </c>
      <c r="T2721" s="12"/>
    </row>
    <row r="2722">
      <c r="A2722" s="7" t="s">
        <v>17631</v>
      </c>
      <c r="B2722" s="8" t="s">
        <v>14737</v>
      </c>
      <c r="C2722" s="8" t="s">
        <v>14738</v>
      </c>
      <c r="D2722" s="8" t="s">
        <v>16</v>
      </c>
      <c r="E2722" s="9" t="s">
        <v>17632</v>
      </c>
      <c r="F2722" s="10" t="s">
        <v>17033</v>
      </c>
      <c r="G2722" s="8">
        <v>23.61</v>
      </c>
      <c r="H2722" s="8"/>
      <c r="I2722" s="10"/>
      <c r="J2722" s="10" t="s">
        <v>17633</v>
      </c>
      <c r="K2722" s="10" t="s">
        <v>17634</v>
      </c>
      <c r="L2722" s="11" t="s">
        <v>17635</v>
      </c>
      <c r="M2722" s="10"/>
      <c r="N2722" s="12"/>
      <c r="O2722" s="12"/>
      <c r="P2722" s="13">
        <f>IFERROR(__xludf.DUMMYFUNCTION("VALUE(SUBSTITUTE((INDEX(SPLIT(A2722,"",""),1)),""."","","",1))"),56.280801)</f>
        <v>56.280801</v>
      </c>
      <c r="Q2722" s="13">
        <f>IFERROR(__xludf.DUMMYFUNCTION("VALUE(SUBSTITUTE((INDEX(SPLIT(A2722,"",""),2)),""."","","",1))"),44.051172)</f>
        <v>44.051172</v>
      </c>
      <c r="R2722" s="14" t="b">
        <f t="shared" si="1"/>
        <v>0</v>
      </c>
      <c r="S2722" s="14" t="str">
        <f t="shared" si="2"/>
        <v>56.280801,44.051172</v>
      </c>
      <c r="T2722" s="12"/>
    </row>
    <row r="2723">
      <c r="A2723" s="15" t="s">
        <v>17636</v>
      </c>
      <c r="B2723" s="16" t="s">
        <v>17637</v>
      </c>
      <c r="C2723" s="16" t="s">
        <v>17638</v>
      </c>
      <c r="D2723" s="16" t="s">
        <v>16</v>
      </c>
      <c r="E2723" s="17" t="s">
        <v>17639</v>
      </c>
      <c r="F2723" s="16" t="s">
        <v>16486</v>
      </c>
      <c r="G2723" s="16">
        <v>23.61</v>
      </c>
      <c r="H2723" s="16"/>
      <c r="I2723" s="16"/>
      <c r="J2723" s="16" t="s">
        <v>17640</v>
      </c>
      <c r="K2723" s="16" t="s">
        <v>17641</v>
      </c>
      <c r="L2723" s="16"/>
      <c r="M2723" s="16"/>
      <c r="N2723" s="12"/>
      <c r="O2723" s="12"/>
      <c r="P2723" s="13">
        <f>IFERROR(__xludf.DUMMYFUNCTION("VALUE(SUBSTITUTE((INDEX(SPLIT(A2723,"",""),1)),""."","","",1))"),56.357739)</f>
        <v>56.357739</v>
      </c>
      <c r="Q2723" s="13">
        <f>IFERROR(__xludf.DUMMYFUNCTION("VALUE(SUBSTITUTE((INDEX(SPLIT(A2723,"",""),2)),""."","","",1))"),44.058457)</f>
        <v>44.058457</v>
      </c>
      <c r="R2723" s="14" t="b">
        <f t="shared" si="1"/>
        <v>0</v>
      </c>
      <c r="S2723" s="14" t="str">
        <f t="shared" si="2"/>
        <v>56.357739,44.058457</v>
      </c>
      <c r="T2723" s="12"/>
    </row>
    <row r="2724">
      <c r="A2724" s="18" t="s">
        <v>17642</v>
      </c>
      <c r="B2724" s="8" t="s">
        <v>17643</v>
      </c>
      <c r="C2724" s="8" t="s">
        <v>17644</v>
      </c>
      <c r="D2724" s="8" t="s">
        <v>16</v>
      </c>
      <c r="E2724" s="19" t="s">
        <v>17645</v>
      </c>
      <c r="F2724" s="8" t="s">
        <v>16486</v>
      </c>
      <c r="G2724" s="8">
        <v>23.61</v>
      </c>
      <c r="H2724" s="8"/>
      <c r="I2724" s="8"/>
      <c r="J2724" s="8" t="s">
        <v>17646</v>
      </c>
      <c r="K2724" s="8" t="s">
        <v>17641</v>
      </c>
      <c r="L2724" s="8"/>
      <c r="M2724" s="24" t="s">
        <v>17647</v>
      </c>
      <c r="N2724" s="12"/>
      <c r="O2724" s="12"/>
      <c r="P2724" s="13">
        <f>IFERROR(__xludf.DUMMYFUNCTION("VALUE(SUBSTITUTE((INDEX(SPLIT(A2724,"",""),1)),""."","","",1))"),56.297977)</f>
        <v>56.297977</v>
      </c>
      <c r="Q2724" s="13">
        <f>IFERROR(__xludf.DUMMYFUNCTION("VALUE(SUBSTITUTE((INDEX(SPLIT(A2724,"",""),2)),""."","","",1))"),44.076262)</f>
        <v>44.076262</v>
      </c>
      <c r="R2724" s="14" t="b">
        <f t="shared" si="1"/>
        <v>0</v>
      </c>
      <c r="S2724" s="14" t="str">
        <f t="shared" si="2"/>
        <v>56.297977,44.076262</v>
      </c>
      <c r="T2724" s="12"/>
    </row>
    <row r="2725">
      <c r="A2725" s="15" t="s">
        <v>17648</v>
      </c>
      <c r="B2725" s="16" t="s">
        <v>15879</v>
      </c>
      <c r="C2725" s="16" t="s">
        <v>15880</v>
      </c>
      <c r="D2725" s="16" t="s">
        <v>16</v>
      </c>
      <c r="E2725" s="17" t="s">
        <v>17649</v>
      </c>
      <c r="F2725" s="16" t="s">
        <v>16486</v>
      </c>
      <c r="G2725" s="16">
        <v>23.61</v>
      </c>
      <c r="H2725" s="16"/>
      <c r="I2725" s="16"/>
      <c r="J2725" s="16" t="s">
        <v>17650</v>
      </c>
      <c r="K2725" s="16" t="s">
        <v>17651</v>
      </c>
      <c r="L2725" s="16"/>
      <c r="M2725" s="16"/>
      <c r="N2725" s="12"/>
      <c r="O2725" s="12"/>
      <c r="P2725" s="13">
        <f>IFERROR(__xludf.DUMMYFUNCTION("VALUE(SUBSTITUTE((INDEX(SPLIT(A2725,"",""),1)),""."","","",1))"),56.303352)</f>
        <v>56.303352</v>
      </c>
      <c r="Q2725" s="13">
        <f>IFERROR(__xludf.DUMMYFUNCTION("VALUE(SUBSTITUTE((INDEX(SPLIT(A2725,"",""),2)),""."","","",1))"),44.076486)</f>
        <v>44.076486</v>
      </c>
      <c r="R2725" s="14" t="b">
        <f t="shared" si="1"/>
        <v>0</v>
      </c>
      <c r="S2725" s="14" t="str">
        <f t="shared" si="2"/>
        <v>56.303352,44.076486</v>
      </c>
      <c r="T2725" s="12"/>
    </row>
    <row r="2726">
      <c r="A2726" s="18" t="s">
        <v>17652</v>
      </c>
      <c r="B2726" s="8" t="s">
        <v>5646</v>
      </c>
      <c r="C2726" s="8" t="s">
        <v>5647</v>
      </c>
      <c r="D2726" s="8" t="s">
        <v>16</v>
      </c>
      <c r="E2726" s="19" t="s">
        <v>17653</v>
      </c>
      <c r="F2726" s="8" t="s">
        <v>16443</v>
      </c>
      <c r="G2726" s="8">
        <v>23.61</v>
      </c>
      <c r="H2726" s="8"/>
      <c r="I2726" s="8"/>
      <c r="J2726" s="8" t="s">
        <v>17654</v>
      </c>
      <c r="K2726" s="8" t="s">
        <v>17655</v>
      </c>
      <c r="L2726" s="8"/>
      <c r="M2726" s="8"/>
      <c r="N2726" s="12"/>
      <c r="O2726" s="12"/>
      <c r="P2726" s="13">
        <f>IFERROR(__xludf.DUMMYFUNCTION("VALUE(SUBSTITUTE((INDEX(SPLIT(A2726,"",""),1)),""."","","",1))"),48.676992)</f>
        <v>48.676992</v>
      </c>
      <c r="Q2726" s="13">
        <f>IFERROR(__xludf.DUMMYFUNCTION("VALUE(SUBSTITUTE((INDEX(SPLIT(A2726,"",""),2)),""."","","",1))"),44.080906)</f>
        <v>44.080906</v>
      </c>
      <c r="R2726" s="14" t="b">
        <f t="shared" si="1"/>
        <v>0</v>
      </c>
      <c r="S2726" s="14" t="str">
        <f t="shared" si="2"/>
        <v>48.676992,44.080906</v>
      </c>
      <c r="T2726" s="12"/>
    </row>
    <row r="2727">
      <c r="A2727" s="20" t="s">
        <v>17652</v>
      </c>
      <c r="B2727" s="16" t="s">
        <v>17656</v>
      </c>
      <c r="C2727" s="16" t="s">
        <v>17657</v>
      </c>
      <c r="D2727" s="16" t="s">
        <v>16</v>
      </c>
      <c r="E2727" s="21" t="s">
        <v>17658</v>
      </c>
      <c r="F2727" s="22" t="s">
        <v>16486</v>
      </c>
      <c r="G2727" s="16">
        <v>23.61</v>
      </c>
      <c r="H2727" s="16"/>
      <c r="I2727" s="22"/>
      <c r="J2727" s="22" t="s">
        <v>17659</v>
      </c>
      <c r="K2727" s="22" t="s">
        <v>17660</v>
      </c>
      <c r="L2727" s="23" t="s">
        <v>17661</v>
      </c>
      <c r="M2727" s="22"/>
      <c r="N2727" s="12"/>
      <c r="O2727" s="12"/>
      <c r="P2727" s="13">
        <f>IFERROR(__xludf.DUMMYFUNCTION("VALUE(SUBSTITUTE((INDEX(SPLIT(A2727,"",""),1)),""."","","",1))"),48.676992)</f>
        <v>48.676992</v>
      </c>
      <c r="Q2727" s="13">
        <f>IFERROR(__xludf.DUMMYFUNCTION("VALUE(SUBSTITUTE((INDEX(SPLIT(A2727,"",""),2)),""."","","",1))"),44.080906)</f>
        <v>44.080906</v>
      </c>
      <c r="R2727" s="14" t="b">
        <f t="shared" si="1"/>
        <v>0</v>
      </c>
      <c r="S2727" s="14" t="str">
        <f t="shared" si="2"/>
        <v>48.676992,44.080906</v>
      </c>
      <c r="T2727" s="12"/>
    </row>
    <row r="2728">
      <c r="A2728" s="18" t="s">
        <v>17662</v>
      </c>
      <c r="B2728" s="8" t="s">
        <v>17663</v>
      </c>
      <c r="C2728" s="8" t="s">
        <v>17664</v>
      </c>
      <c r="D2728" s="8" t="s">
        <v>16</v>
      </c>
      <c r="E2728" s="19" t="s">
        <v>17665</v>
      </c>
      <c r="F2728" s="8" t="s">
        <v>16486</v>
      </c>
      <c r="G2728" s="8">
        <v>23.61</v>
      </c>
      <c r="H2728" s="8"/>
      <c r="I2728" s="8"/>
      <c r="J2728" s="8" t="s">
        <v>17666</v>
      </c>
      <c r="K2728" s="8" t="s">
        <v>17667</v>
      </c>
      <c r="L2728" s="8"/>
      <c r="M2728" s="8"/>
      <c r="N2728" s="12"/>
      <c r="O2728" s="12"/>
      <c r="P2728" s="13">
        <f>IFERROR(__xludf.DUMMYFUNCTION("VALUE(SUBSTITUTE((INDEX(SPLIT(A2728,"",""),1)),""."","","",1))"),56.36642)</f>
        <v>56.36642</v>
      </c>
      <c r="Q2728" s="13">
        <f>IFERROR(__xludf.DUMMYFUNCTION("VALUE(SUBSTITUTE((INDEX(SPLIT(A2728,"",""),2)),""."","","",1))"),44.087266)</f>
        <v>44.087266</v>
      </c>
      <c r="R2728" s="14" t="b">
        <f t="shared" si="1"/>
        <v>0</v>
      </c>
      <c r="S2728" s="14" t="str">
        <f t="shared" si="2"/>
        <v>56.36642,44.087266</v>
      </c>
      <c r="T2728" s="12"/>
    </row>
    <row r="2729">
      <c r="A2729" s="15" t="s">
        <v>17668</v>
      </c>
      <c r="B2729" s="16" t="s">
        <v>17669</v>
      </c>
      <c r="C2729" s="16" t="s">
        <v>17670</v>
      </c>
      <c r="D2729" s="16" t="s">
        <v>16</v>
      </c>
      <c r="E2729" s="17" t="s">
        <v>17671</v>
      </c>
      <c r="F2729" s="16" t="s">
        <v>16486</v>
      </c>
      <c r="G2729" s="16">
        <v>23.61</v>
      </c>
      <c r="H2729" s="16"/>
      <c r="I2729" s="32" t="s">
        <v>17672</v>
      </c>
      <c r="J2729" s="16" t="s">
        <v>17673</v>
      </c>
      <c r="K2729" s="16" t="s">
        <v>17667</v>
      </c>
      <c r="L2729" s="16"/>
      <c r="M2729" s="16"/>
      <c r="N2729" s="12"/>
      <c r="O2729" s="12"/>
      <c r="P2729" s="13">
        <f>IFERROR(__xludf.DUMMYFUNCTION("VALUE(SUBSTITUTE((INDEX(SPLIT(A2729,"",""),1)),""."","","",1))"),56.293807)</f>
        <v>56.293807</v>
      </c>
      <c r="Q2729" s="13">
        <f>IFERROR(__xludf.DUMMYFUNCTION("VALUE(SUBSTITUTE((INDEX(SPLIT(A2729,"",""),2)),""."","","",1))"),44.104837)</f>
        <v>44.104837</v>
      </c>
      <c r="R2729" s="14" t="b">
        <f t="shared" si="1"/>
        <v>0</v>
      </c>
      <c r="S2729" s="14" t="str">
        <f t="shared" si="2"/>
        <v>56.293807,44.104837</v>
      </c>
      <c r="T2729" s="12"/>
    </row>
    <row r="2730">
      <c r="A2730" s="18" t="s">
        <v>17674</v>
      </c>
      <c r="B2730" s="8" t="s">
        <v>5568</v>
      </c>
      <c r="C2730" s="8" t="s">
        <v>5569</v>
      </c>
      <c r="D2730" s="8" t="s">
        <v>16</v>
      </c>
      <c r="E2730" s="19" t="s">
        <v>17675</v>
      </c>
      <c r="F2730" s="8" t="s">
        <v>16486</v>
      </c>
      <c r="G2730" s="8">
        <v>23.61</v>
      </c>
      <c r="H2730" s="8"/>
      <c r="I2730" s="8"/>
      <c r="J2730" s="8" t="s">
        <v>17676</v>
      </c>
      <c r="K2730" s="8" t="s">
        <v>17677</v>
      </c>
      <c r="L2730" s="8"/>
      <c r="M2730" s="8"/>
      <c r="N2730" s="12"/>
      <c r="O2730" s="12"/>
      <c r="P2730" s="13">
        <f>IFERROR(__xludf.DUMMYFUNCTION("VALUE(SUBSTITUTE((INDEX(SPLIT(A2730,"",""),1)),""."","","",1))"),56.296014)</f>
        <v>56.296014</v>
      </c>
      <c r="Q2730" s="13">
        <f>IFERROR(__xludf.DUMMYFUNCTION("VALUE(SUBSTITUTE((INDEX(SPLIT(A2730,"",""),2)),""."","","",1))"),44.108888)</f>
        <v>44.108888</v>
      </c>
      <c r="R2730" s="14" t="b">
        <f t="shared" si="1"/>
        <v>0</v>
      </c>
      <c r="S2730" s="14" t="str">
        <f t="shared" si="2"/>
        <v>56.296014,44.108888</v>
      </c>
      <c r="T2730" s="12"/>
    </row>
    <row r="2731">
      <c r="A2731" s="20" t="s">
        <v>17678</v>
      </c>
      <c r="B2731" s="16" t="s">
        <v>17679</v>
      </c>
      <c r="C2731" s="16" t="s">
        <v>17680</v>
      </c>
      <c r="D2731" s="16" t="s">
        <v>16</v>
      </c>
      <c r="E2731" s="21" t="s">
        <v>17681</v>
      </c>
      <c r="F2731" s="22" t="s">
        <v>17033</v>
      </c>
      <c r="G2731" s="16">
        <v>23.61</v>
      </c>
      <c r="H2731" s="16"/>
      <c r="I2731" s="22"/>
      <c r="J2731" s="22" t="s">
        <v>17682</v>
      </c>
      <c r="K2731" s="22" t="s">
        <v>17683</v>
      </c>
      <c r="L2731" s="23" t="s">
        <v>17684</v>
      </c>
      <c r="M2731" s="23" t="s">
        <v>17685</v>
      </c>
      <c r="N2731" s="12"/>
      <c r="O2731" s="12"/>
      <c r="P2731" s="13">
        <f>IFERROR(__xludf.DUMMYFUNCTION("VALUE(SUBSTITUTE((INDEX(SPLIT(A2731,"",""),1)),""."","","",1))"),56.2899)</f>
        <v>56.2899</v>
      </c>
      <c r="Q2731" s="13">
        <f>IFERROR(__xludf.DUMMYFUNCTION("VALUE(SUBSTITUTE((INDEX(SPLIT(A2731,"",""),2)),""."","","",1))"),44.115428)</f>
        <v>44.115428</v>
      </c>
      <c r="R2731" s="14" t="b">
        <f t="shared" si="1"/>
        <v>0</v>
      </c>
      <c r="S2731" s="14" t="str">
        <f t="shared" si="2"/>
        <v>56.2899,44.115428</v>
      </c>
      <c r="T2731" s="12"/>
    </row>
    <row r="2732">
      <c r="A2732" s="18" t="s">
        <v>17686</v>
      </c>
      <c r="B2732" s="8" t="s">
        <v>17687</v>
      </c>
      <c r="C2732" s="8" t="s">
        <v>17688</v>
      </c>
      <c r="D2732" s="8" t="s">
        <v>16</v>
      </c>
      <c r="E2732" s="19" t="s">
        <v>17689</v>
      </c>
      <c r="F2732" s="8" t="s">
        <v>16486</v>
      </c>
      <c r="G2732" s="8">
        <v>23.61</v>
      </c>
      <c r="H2732" s="8"/>
      <c r="I2732" s="8"/>
      <c r="J2732" s="8" t="s">
        <v>17690</v>
      </c>
      <c r="K2732" s="8" t="s">
        <v>17691</v>
      </c>
      <c r="L2732" s="8"/>
      <c r="M2732" s="8"/>
      <c r="N2732" s="12"/>
      <c r="O2732" s="12"/>
      <c r="P2732" s="13">
        <f>IFERROR(__xludf.DUMMYFUNCTION("VALUE(SUBSTITUTE((INDEX(SPLIT(A2732,"",""),1)),""."","","",1))"),56.212414)</f>
        <v>56.212414</v>
      </c>
      <c r="Q2732" s="13">
        <f>IFERROR(__xludf.DUMMYFUNCTION("VALUE(SUBSTITUTE((INDEX(SPLIT(A2732,"",""),2)),""."","","",1))"),44.136233)</f>
        <v>44.136233</v>
      </c>
      <c r="R2732" s="14" t="b">
        <f t="shared" si="1"/>
        <v>0</v>
      </c>
      <c r="S2732" s="14" t="str">
        <f t="shared" si="2"/>
        <v>56.212414,44.136233</v>
      </c>
      <c r="T2732" s="12"/>
    </row>
    <row r="2733">
      <c r="A2733" s="15" t="s">
        <v>17692</v>
      </c>
      <c r="B2733" s="16" t="s">
        <v>17693</v>
      </c>
      <c r="C2733" s="16" t="s">
        <v>17694</v>
      </c>
      <c r="D2733" s="16" t="s">
        <v>16</v>
      </c>
      <c r="E2733" s="17" t="s">
        <v>17695</v>
      </c>
      <c r="F2733" s="16" t="s">
        <v>16486</v>
      </c>
      <c r="G2733" s="16">
        <v>23.61</v>
      </c>
      <c r="H2733" s="16"/>
      <c r="I2733" s="16"/>
      <c r="J2733" s="16" t="s">
        <v>17696</v>
      </c>
      <c r="K2733" s="16" t="s">
        <v>17697</v>
      </c>
      <c r="L2733" s="16"/>
      <c r="M2733" s="16"/>
      <c r="N2733" s="12"/>
      <c r="O2733" s="12"/>
      <c r="P2733" s="13">
        <f>IFERROR(__xludf.DUMMYFUNCTION("VALUE(SUBSTITUTE((INDEX(SPLIT(A2733,"",""),1)),""."","","",1))"),56.120834)</f>
        <v>56.120834</v>
      </c>
      <c r="Q2733" s="13">
        <f>IFERROR(__xludf.DUMMYFUNCTION("VALUE(SUBSTITUTE((INDEX(SPLIT(A2733,"",""),2)),""."","","",1))"),44.139602)</f>
        <v>44.139602</v>
      </c>
      <c r="R2733" s="14" t="b">
        <f t="shared" si="1"/>
        <v>0</v>
      </c>
      <c r="S2733" s="14" t="str">
        <f t="shared" si="2"/>
        <v>56.120834,44.139602</v>
      </c>
      <c r="T2733" s="12"/>
    </row>
    <row r="2734">
      <c r="A2734" s="7" t="s">
        <v>17698</v>
      </c>
      <c r="B2734" s="8" t="s">
        <v>17699</v>
      </c>
      <c r="C2734" s="8" t="s">
        <v>17700</v>
      </c>
      <c r="D2734" s="8" t="s">
        <v>16</v>
      </c>
      <c r="E2734" s="9" t="s">
        <v>17701</v>
      </c>
      <c r="F2734" s="10" t="s">
        <v>16486</v>
      </c>
      <c r="G2734" s="8">
        <v>23.61</v>
      </c>
      <c r="H2734" s="8"/>
      <c r="I2734" s="10"/>
      <c r="J2734" s="10" t="s">
        <v>17702</v>
      </c>
      <c r="K2734" s="10" t="s">
        <v>17703</v>
      </c>
      <c r="L2734" s="11" t="s">
        <v>17704</v>
      </c>
      <c r="M2734" s="10"/>
      <c r="N2734" s="12"/>
      <c r="O2734" s="12"/>
      <c r="P2734" s="13">
        <f>IFERROR(__xludf.DUMMYFUNCTION("VALUE(SUBSTITUTE((INDEX(SPLIT(A2734,"",""),1)),""."","","",1))"),43.490648)</f>
        <v>43.490648</v>
      </c>
      <c r="Q2734" s="13">
        <f>IFERROR(__xludf.DUMMYFUNCTION("VALUE(SUBSTITUTE((INDEX(SPLIT(A2734,"",""),2)),""."","","",1))"),44.142575)</f>
        <v>44.142575</v>
      </c>
      <c r="R2734" s="14" t="b">
        <f t="shared" si="1"/>
        <v>0</v>
      </c>
      <c r="S2734" s="14" t="str">
        <f t="shared" si="2"/>
        <v>43.490648,44.142575</v>
      </c>
      <c r="T2734" s="12"/>
    </row>
    <row r="2735">
      <c r="A2735" s="20" t="s">
        <v>17705</v>
      </c>
      <c r="B2735" s="16" t="s">
        <v>15688</v>
      </c>
      <c r="C2735" s="16" t="s">
        <v>15689</v>
      </c>
      <c r="D2735" s="16" t="s">
        <v>16</v>
      </c>
      <c r="E2735" s="21" t="s">
        <v>17706</v>
      </c>
      <c r="F2735" s="22" t="s">
        <v>16486</v>
      </c>
      <c r="G2735" s="16">
        <v>23.61</v>
      </c>
      <c r="H2735" s="16"/>
      <c r="I2735" s="22"/>
      <c r="J2735" s="22" t="s">
        <v>17707</v>
      </c>
      <c r="K2735" s="22" t="s">
        <v>17708</v>
      </c>
      <c r="L2735" s="23" t="s">
        <v>17709</v>
      </c>
      <c r="M2735" s="22"/>
      <c r="N2735" s="12"/>
      <c r="O2735" s="12"/>
      <c r="P2735" s="13">
        <f>IFERROR(__xludf.DUMMYFUNCTION("VALUE(SUBSTITUTE((INDEX(SPLIT(A2735,"",""),1)),""."","","",1))"),56.147566)</f>
        <v>56.147566</v>
      </c>
      <c r="Q2735" s="13">
        <f>IFERROR(__xludf.DUMMYFUNCTION("VALUE(SUBSTITUTE((INDEX(SPLIT(A2735,"",""),2)),""."","","",1))"),44.183278)</f>
        <v>44.183278</v>
      </c>
      <c r="R2735" s="14" t="b">
        <f t="shared" si="1"/>
        <v>0</v>
      </c>
      <c r="S2735" s="14" t="str">
        <f t="shared" si="2"/>
        <v>56.147566,44.183278</v>
      </c>
      <c r="T2735" s="12"/>
    </row>
    <row r="2736">
      <c r="A2736" s="18" t="s">
        <v>17710</v>
      </c>
      <c r="B2736" s="8" t="s">
        <v>17711</v>
      </c>
      <c r="C2736" s="8" t="s">
        <v>17712</v>
      </c>
      <c r="D2736" s="8" t="s">
        <v>16</v>
      </c>
      <c r="E2736" s="19" t="s">
        <v>17713</v>
      </c>
      <c r="F2736" s="8" t="s">
        <v>16486</v>
      </c>
      <c r="G2736" s="8">
        <v>23.61</v>
      </c>
      <c r="H2736" s="8"/>
      <c r="I2736" s="8"/>
      <c r="J2736" s="8" t="s">
        <v>17714</v>
      </c>
      <c r="K2736" s="8" t="s">
        <v>17715</v>
      </c>
      <c r="L2736" s="8"/>
      <c r="M2736" s="8"/>
      <c r="N2736" s="12"/>
      <c r="O2736" s="12"/>
      <c r="P2736" s="13">
        <f>IFERROR(__xludf.DUMMYFUNCTION("VALUE(SUBSTITUTE((INDEX(SPLIT(A2736,"",""),1)),""."","","",1))"),43.036927)</f>
        <v>43.036927</v>
      </c>
      <c r="Q2736" s="13">
        <f>IFERROR(__xludf.DUMMYFUNCTION("VALUE(SUBSTITUTE((INDEX(SPLIT(A2736,"",""),2)),""."","","",1))"),44.200014)</f>
        <v>44.200014</v>
      </c>
      <c r="R2736" s="14" t="b">
        <f t="shared" si="1"/>
        <v>0</v>
      </c>
      <c r="S2736" s="14" t="str">
        <f t="shared" si="2"/>
        <v>43.036927,44.200014</v>
      </c>
      <c r="T2736" s="12"/>
    </row>
    <row r="2737">
      <c r="A2737" s="20" t="s">
        <v>17716</v>
      </c>
      <c r="B2737" s="16" t="s">
        <v>17717</v>
      </c>
      <c r="C2737" s="16" t="s">
        <v>17718</v>
      </c>
      <c r="D2737" s="16" t="s">
        <v>16</v>
      </c>
      <c r="E2737" s="21" t="s">
        <v>17719</v>
      </c>
      <c r="F2737" s="22" t="s">
        <v>10609</v>
      </c>
      <c r="G2737" s="16">
        <v>23.61</v>
      </c>
      <c r="H2737" s="16"/>
      <c r="I2737" s="22"/>
      <c r="J2737" s="22" t="s">
        <v>17720</v>
      </c>
      <c r="K2737" s="22" t="s">
        <v>17721</v>
      </c>
      <c r="L2737" s="23" t="s">
        <v>17722</v>
      </c>
      <c r="M2737" s="22"/>
      <c r="N2737" s="12"/>
      <c r="O2737" s="12"/>
      <c r="P2737" s="13">
        <f>IFERROR(__xludf.DUMMYFUNCTION("VALUE(SUBSTITUTE((INDEX(SPLIT(A2737,"",""),1)),""."","","",1))"),46.316458)</f>
        <v>46.316458</v>
      </c>
      <c r="Q2737" s="13">
        <f>IFERROR(__xludf.DUMMYFUNCTION("VALUE(SUBSTITUTE((INDEX(SPLIT(A2737,"",""),2)),""."","","",1))"),44.215168)</f>
        <v>44.215168</v>
      </c>
      <c r="R2737" s="14" t="b">
        <f t="shared" si="1"/>
        <v>0</v>
      </c>
      <c r="S2737" s="14" t="str">
        <f t="shared" si="2"/>
        <v>46.316458,44.215168</v>
      </c>
      <c r="T2737" s="12"/>
    </row>
    <row r="2738">
      <c r="A2738" s="7" t="s">
        <v>17723</v>
      </c>
      <c r="B2738" s="8" t="s">
        <v>17724</v>
      </c>
      <c r="C2738" s="8" t="s">
        <v>17725</v>
      </c>
      <c r="D2738" s="8" t="s">
        <v>16</v>
      </c>
      <c r="E2738" s="9" t="s">
        <v>17726</v>
      </c>
      <c r="F2738" s="10" t="s">
        <v>16486</v>
      </c>
      <c r="G2738" s="8">
        <v>23.61</v>
      </c>
      <c r="H2738" s="8"/>
      <c r="I2738" s="10"/>
      <c r="J2738" s="10" t="s">
        <v>17727</v>
      </c>
      <c r="K2738" s="10" t="s">
        <v>17728</v>
      </c>
      <c r="L2738" s="11" t="s">
        <v>17729</v>
      </c>
      <c r="M2738" s="10"/>
      <c r="N2738" s="12"/>
      <c r="O2738" s="12"/>
      <c r="P2738" s="13">
        <f>IFERROR(__xludf.DUMMYFUNCTION("VALUE(SUBSTITUTE((INDEX(SPLIT(A2738,"",""),1)),""."","","",1))"),43.048141)</f>
        <v>43.048141</v>
      </c>
      <c r="Q2738" s="13">
        <f>IFERROR(__xludf.DUMMYFUNCTION("VALUE(SUBSTITUTE((INDEX(SPLIT(A2738,"",""),2)),""."","","",1))"),44.228535)</f>
        <v>44.228535</v>
      </c>
      <c r="R2738" s="14" t="b">
        <f t="shared" si="1"/>
        <v>0</v>
      </c>
      <c r="S2738" s="14" t="str">
        <f t="shared" si="2"/>
        <v>43.048141,44.228535</v>
      </c>
      <c r="T2738" s="12"/>
    </row>
    <row r="2739">
      <c r="A2739" s="20" t="s">
        <v>17730</v>
      </c>
      <c r="B2739" s="16" t="s">
        <v>17731</v>
      </c>
      <c r="C2739" s="16" t="s">
        <v>17732</v>
      </c>
      <c r="D2739" s="16" t="s">
        <v>16</v>
      </c>
      <c r="E2739" s="21" t="s">
        <v>17733</v>
      </c>
      <c r="F2739" s="22" t="s">
        <v>16486</v>
      </c>
      <c r="G2739" s="16">
        <v>23.61</v>
      </c>
      <c r="H2739" s="16"/>
      <c r="I2739" s="22"/>
      <c r="J2739" s="22" t="s">
        <v>17734</v>
      </c>
      <c r="K2739" s="22" t="s">
        <v>17735</v>
      </c>
      <c r="L2739" s="23" t="s">
        <v>17736</v>
      </c>
      <c r="M2739" s="23" t="s">
        <v>17737</v>
      </c>
      <c r="N2739" s="12"/>
      <c r="O2739" s="12"/>
      <c r="P2739" s="13">
        <f>IFERROR(__xludf.DUMMYFUNCTION("VALUE(SUBSTITUTE((INDEX(SPLIT(A2739,"",""),1)),""."","","",1))"),46.307438)</f>
        <v>46.307438</v>
      </c>
      <c r="Q2739" s="13">
        <f>IFERROR(__xludf.DUMMYFUNCTION("VALUE(SUBSTITUTE((INDEX(SPLIT(A2739,"",""),2)),""."","","",1))"),44.235668)</f>
        <v>44.235668</v>
      </c>
      <c r="R2739" s="14" t="b">
        <f t="shared" si="1"/>
        <v>0</v>
      </c>
      <c r="S2739" s="14" t="str">
        <f t="shared" si="2"/>
        <v>46.307438,44.235668</v>
      </c>
      <c r="T2739" s="12"/>
    </row>
    <row r="2740">
      <c r="A2740" s="18" t="s">
        <v>17738</v>
      </c>
      <c r="B2740" s="8" t="s">
        <v>17739</v>
      </c>
      <c r="C2740" s="8" t="s">
        <v>17740</v>
      </c>
      <c r="D2740" s="8" t="s">
        <v>16</v>
      </c>
      <c r="E2740" s="19" t="s">
        <v>17741</v>
      </c>
      <c r="F2740" s="8" t="s">
        <v>16486</v>
      </c>
      <c r="G2740" s="8">
        <v>23.61</v>
      </c>
      <c r="H2740" s="8"/>
      <c r="I2740" s="8"/>
      <c r="J2740" s="8" t="s">
        <v>17742</v>
      </c>
      <c r="K2740" s="8" t="s">
        <v>17743</v>
      </c>
      <c r="L2740" s="8"/>
      <c r="M2740" s="24" t="s">
        <v>17744</v>
      </c>
      <c r="N2740" s="12"/>
      <c r="O2740" s="12"/>
      <c r="P2740" s="13">
        <f>IFERROR(__xludf.DUMMYFUNCTION("VALUE(SUBSTITUTE((INDEX(SPLIT(A2740,"",""),1)),""."","","",1))"),46.314049)</f>
        <v>46.314049</v>
      </c>
      <c r="Q2740" s="13">
        <f>IFERROR(__xludf.DUMMYFUNCTION("VALUE(SUBSTITUTE((INDEX(SPLIT(A2740,"",""),2)),""."","","",1))"),44.236171)</f>
        <v>44.236171</v>
      </c>
      <c r="R2740" s="14" t="b">
        <f t="shared" si="1"/>
        <v>0</v>
      </c>
      <c r="S2740" s="14" t="str">
        <f t="shared" si="2"/>
        <v>46.314049,44.236171</v>
      </c>
      <c r="T2740" s="12"/>
    </row>
    <row r="2741">
      <c r="A2741" s="15" t="s">
        <v>17745</v>
      </c>
      <c r="B2741" s="16" t="s">
        <v>17746</v>
      </c>
      <c r="C2741" s="16" t="s">
        <v>17747</v>
      </c>
      <c r="D2741" s="16" t="s">
        <v>16</v>
      </c>
      <c r="E2741" s="17" t="s">
        <v>17748</v>
      </c>
      <c r="F2741" s="16" t="s">
        <v>16486</v>
      </c>
      <c r="G2741" s="16">
        <v>23.61</v>
      </c>
      <c r="H2741" s="16"/>
      <c r="I2741" s="16"/>
      <c r="J2741" s="16" t="s">
        <v>17742</v>
      </c>
      <c r="K2741" s="16" t="s">
        <v>17743</v>
      </c>
      <c r="L2741" s="16"/>
      <c r="M2741" s="25" t="s">
        <v>17749</v>
      </c>
      <c r="N2741" s="12"/>
      <c r="O2741" s="12"/>
      <c r="P2741" s="13">
        <f>IFERROR(__xludf.DUMMYFUNCTION("VALUE(SUBSTITUTE((INDEX(SPLIT(A2741,"",""),1)),""."","","",1))"),46.353922)</f>
        <v>46.353922</v>
      </c>
      <c r="Q2741" s="13">
        <f>IFERROR(__xludf.DUMMYFUNCTION("VALUE(SUBSTITUTE((INDEX(SPLIT(A2741,"",""),2)),""."","","",1))"),44.252969)</f>
        <v>44.252969</v>
      </c>
      <c r="R2741" s="14" t="b">
        <f t="shared" si="1"/>
        <v>0</v>
      </c>
      <c r="S2741" s="14" t="str">
        <f t="shared" si="2"/>
        <v>46.353922,44.252969</v>
      </c>
      <c r="T2741" s="12"/>
    </row>
    <row r="2742">
      <c r="A2742" s="7" t="s">
        <v>17750</v>
      </c>
      <c r="B2742" s="8" t="s">
        <v>17751</v>
      </c>
      <c r="C2742" s="8" t="s">
        <v>17752</v>
      </c>
      <c r="D2742" s="8" t="s">
        <v>16</v>
      </c>
      <c r="E2742" s="9" t="s">
        <v>17753</v>
      </c>
      <c r="F2742" s="10" t="s">
        <v>16486</v>
      </c>
      <c r="G2742" s="8">
        <v>23.61</v>
      </c>
      <c r="H2742" s="8"/>
      <c r="I2742" s="10"/>
      <c r="J2742" s="10" t="s">
        <v>17754</v>
      </c>
      <c r="K2742" s="10" t="s">
        <v>17755</v>
      </c>
      <c r="L2742" s="11" t="s">
        <v>17756</v>
      </c>
      <c r="M2742" s="10"/>
      <c r="N2742" s="12"/>
      <c r="O2742" s="12"/>
      <c r="P2742" s="13">
        <f>IFERROR(__xludf.DUMMYFUNCTION("VALUE(SUBSTITUTE((INDEX(SPLIT(A2742,"",""),1)),""."","","",1))"),46.316806)</f>
        <v>46.316806</v>
      </c>
      <c r="Q2742" s="13">
        <f>IFERROR(__xludf.DUMMYFUNCTION("VALUE(SUBSTITUTE((INDEX(SPLIT(A2742,"",""),2)),""."","","",1))"),44.256967)</f>
        <v>44.256967</v>
      </c>
      <c r="R2742" s="14" t="b">
        <f t="shared" si="1"/>
        <v>0</v>
      </c>
      <c r="S2742" s="14" t="str">
        <f t="shared" si="2"/>
        <v>46.316806,44.256967</v>
      </c>
      <c r="T2742" s="12"/>
    </row>
    <row r="2743">
      <c r="A2743" s="15" t="s">
        <v>17757</v>
      </c>
      <c r="B2743" s="16" t="s">
        <v>17758</v>
      </c>
      <c r="C2743" s="16" t="s">
        <v>17759</v>
      </c>
      <c r="D2743" s="16" t="s">
        <v>16</v>
      </c>
      <c r="E2743" s="17" t="s">
        <v>17760</v>
      </c>
      <c r="F2743" s="16" t="s">
        <v>16486</v>
      </c>
      <c r="G2743" s="16">
        <v>23.61</v>
      </c>
      <c r="H2743" s="16"/>
      <c r="I2743" s="16"/>
      <c r="J2743" s="16" t="s">
        <v>17761</v>
      </c>
      <c r="K2743" s="16" t="s">
        <v>17762</v>
      </c>
      <c r="L2743" s="16"/>
      <c r="M2743" s="16"/>
      <c r="N2743" s="12"/>
      <c r="O2743" s="12"/>
      <c r="P2743" s="13">
        <f>IFERROR(__xludf.DUMMYFUNCTION("VALUE(SUBSTITUTE((INDEX(SPLIT(A2743,"",""),1)),""."","","",1))"),46.296343)</f>
        <v>46.296343</v>
      </c>
      <c r="Q2743" s="13">
        <f>IFERROR(__xludf.DUMMYFUNCTION("VALUE(SUBSTITUTE((INDEX(SPLIT(A2743,"",""),2)),""."","","",1))"),44.257721)</f>
        <v>44.257721</v>
      </c>
      <c r="R2743" s="14" t="b">
        <f t="shared" si="1"/>
        <v>0</v>
      </c>
      <c r="S2743" s="14" t="str">
        <f t="shared" si="2"/>
        <v>46.296343,44.257721</v>
      </c>
      <c r="T2743" s="12"/>
    </row>
    <row r="2744">
      <c r="A2744" s="18" t="s">
        <v>17763</v>
      </c>
      <c r="B2744" s="8" t="s">
        <v>17764</v>
      </c>
      <c r="C2744" s="8" t="s">
        <v>17765</v>
      </c>
      <c r="D2744" s="8" t="s">
        <v>16</v>
      </c>
      <c r="E2744" s="19" t="s">
        <v>17766</v>
      </c>
      <c r="F2744" s="8" t="s">
        <v>12993</v>
      </c>
      <c r="G2744" s="8">
        <v>23.61</v>
      </c>
      <c r="H2744" s="8"/>
      <c r="I2744" s="8"/>
      <c r="J2744" s="8" t="s">
        <v>17767</v>
      </c>
      <c r="K2744" s="8" t="s">
        <v>17768</v>
      </c>
      <c r="L2744" s="8"/>
      <c r="M2744" s="8"/>
      <c r="N2744" s="12"/>
      <c r="O2744" s="12"/>
      <c r="P2744" s="13">
        <f>IFERROR(__xludf.DUMMYFUNCTION("VALUE(SUBSTITUTE((INDEX(SPLIT(A2744,"",""),1)),""."","","",1))"),46.360253)</f>
        <v>46.360253</v>
      </c>
      <c r="Q2744" s="13">
        <f>IFERROR(__xludf.DUMMYFUNCTION("VALUE(SUBSTITUTE((INDEX(SPLIT(A2744,"",""),2)),""."","","",1))"),44.259473)</f>
        <v>44.259473</v>
      </c>
      <c r="R2744" s="14" t="b">
        <f t="shared" si="1"/>
        <v>0</v>
      </c>
      <c r="S2744" s="14" t="str">
        <f t="shared" si="2"/>
        <v>46.360253,44.259473</v>
      </c>
      <c r="T2744" s="12"/>
    </row>
    <row r="2745">
      <c r="A2745" s="20" t="s">
        <v>17769</v>
      </c>
      <c r="B2745" s="16" t="s">
        <v>17770</v>
      </c>
      <c r="C2745" s="16" t="s">
        <v>17771</v>
      </c>
      <c r="D2745" s="16" t="s">
        <v>16</v>
      </c>
      <c r="E2745" s="21" t="s">
        <v>17772</v>
      </c>
      <c r="F2745" s="22" t="s">
        <v>16486</v>
      </c>
      <c r="G2745" s="16">
        <v>23.61</v>
      </c>
      <c r="H2745" s="16"/>
      <c r="I2745" s="22"/>
      <c r="J2745" s="22" t="s">
        <v>17773</v>
      </c>
      <c r="K2745" s="22" t="s">
        <v>17774</v>
      </c>
      <c r="L2745" s="23" t="s">
        <v>17775</v>
      </c>
      <c r="M2745" s="22"/>
      <c r="N2745" s="12"/>
      <c r="O2745" s="12"/>
      <c r="P2745" s="13">
        <f>IFERROR(__xludf.DUMMYFUNCTION("VALUE(SUBSTITUTE((INDEX(SPLIT(A2745,"",""),1)),""."","","",1))"),46.368574)</f>
        <v>46.368574</v>
      </c>
      <c r="Q2745" s="13">
        <f>IFERROR(__xludf.DUMMYFUNCTION("VALUE(SUBSTITUTE((INDEX(SPLIT(A2745,"",""),2)),""."","","",1))"),44.259832)</f>
        <v>44.259832</v>
      </c>
      <c r="R2745" s="14" t="b">
        <f t="shared" si="1"/>
        <v>0</v>
      </c>
      <c r="S2745" s="14" t="str">
        <f t="shared" si="2"/>
        <v>46.368574,44.259832</v>
      </c>
      <c r="T2745" s="12"/>
    </row>
    <row r="2746">
      <c r="A2746" s="7" t="s">
        <v>17776</v>
      </c>
      <c r="B2746" s="8" t="s">
        <v>17777</v>
      </c>
      <c r="C2746" s="8" t="s">
        <v>17778</v>
      </c>
      <c r="D2746" s="8" t="s">
        <v>16</v>
      </c>
      <c r="E2746" s="9" t="s">
        <v>17779</v>
      </c>
      <c r="F2746" s="10" t="s">
        <v>17780</v>
      </c>
      <c r="G2746" s="8">
        <v>23.61</v>
      </c>
      <c r="H2746" s="8"/>
      <c r="I2746" s="10"/>
      <c r="J2746" s="10" t="s">
        <v>17781</v>
      </c>
      <c r="K2746" s="10" t="s">
        <v>17782</v>
      </c>
      <c r="L2746" s="11" t="s">
        <v>17783</v>
      </c>
      <c r="M2746" s="10"/>
      <c r="N2746" s="12"/>
      <c r="O2746" s="12"/>
      <c r="P2746" s="13">
        <f>IFERROR(__xludf.DUMMYFUNCTION("VALUE(SUBSTITUTE((INDEX(SPLIT(A2746,"",""),1)),""."","","",1))"),46.416261)</f>
        <v>46.416261</v>
      </c>
      <c r="Q2746" s="13">
        <f>IFERROR(__xludf.DUMMYFUNCTION("VALUE(SUBSTITUTE((INDEX(SPLIT(A2746,"",""),2)),""."","","",1))"),44.261584)</f>
        <v>44.261584</v>
      </c>
      <c r="R2746" s="14" t="b">
        <f t="shared" si="1"/>
        <v>0</v>
      </c>
      <c r="S2746" s="14" t="str">
        <f t="shared" si="2"/>
        <v>46.416261,44.261584</v>
      </c>
      <c r="T2746" s="12"/>
    </row>
    <row r="2747">
      <c r="A2747" s="20" t="s">
        <v>17784</v>
      </c>
      <c r="B2747" s="16" t="s">
        <v>17785</v>
      </c>
      <c r="C2747" s="16" t="s">
        <v>17786</v>
      </c>
      <c r="D2747" s="16" t="s">
        <v>16</v>
      </c>
      <c r="E2747" s="21" t="s">
        <v>17787</v>
      </c>
      <c r="F2747" s="22" t="s">
        <v>16486</v>
      </c>
      <c r="G2747" s="16">
        <v>23.61</v>
      </c>
      <c r="H2747" s="16"/>
      <c r="I2747" s="22"/>
      <c r="J2747" s="22" t="s">
        <v>17788</v>
      </c>
      <c r="K2747" s="22" t="s">
        <v>17789</v>
      </c>
      <c r="L2747" s="30" t="s">
        <v>17790</v>
      </c>
      <c r="M2747" s="22"/>
      <c r="N2747" s="12"/>
      <c r="O2747" s="12"/>
      <c r="P2747" s="13">
        <f>IFERROR(__xludf.DUMMYFUNCTION("VALUE(SUBSTITUTE((INDEX(SPLIT(A2747,"",""),1)),""."","","",1))"),46.309922)</f>
        <v>46.309922</v>
      </c>
      <c r="Q2747" s="13">
        <f>IFERROR(__xludf.DUMMYFUNCTION("VALUE(SUBSTITUTE((INDEX(SPLIT(A2747,"",""),2)),""."","","",1))"),44.2625)</f>
        <v>44.2625</v>
      </c>
      <c r="R2747" s="14" t="b">
        <f t="shared" si="1"/>
        <v>0</v>
      </c>
      <c r="S2747" s="14" t="str">
        <f t="shared" si="2"/>
        <v>46.309922,44.2625</v>
      </c>
      <c r="T2747" s="12"/>
    </row>
    <row r="2748">
      <c r="A2748" s="18" t="s">
        <v>17791</v>
      </c>
      <c r="B2748" s="8" t="s">
        <v>17792</v>
      </c>
      <c r="C2748" s="8" t="s">
        <v>17793</v>
      </c>
      <c r="D2748" s="8" t="s">
        <v>16</v>
      </c>
      <c r="E2748" s="19" t="s">
        <v>17794</v>
      </c>
      <c r="F2748" s="8" t="s">
        <v>16486</v>
      </c>
      <c r="G2748" s="8">
        <v>23.61</v>
      </c>
      <c r="H2748" s="8"/>
      <c r="I2748" s="8"/>
      <c r="J2748" s="8" t="s">
        <v>17795</v>
      </c>
      <c r="K2748" s="8" t="s">
        <v>7628</v>
      </c>
      <c r="L2748" s="8"/>
      <c r="M2748" s="8"/>
      <c r="N2748" s="12"/>
      <c r="O2748" s="12"/>
      <c r="P2748" s="13">
        <f>IFERROR(__xludf.DUMMYFUNCTION("VALUE(SUBSTITUTE((INDEX(SPLIT(A2748,"",""),1)),""."","","",1))"),43.178576)</f>
        <v>43.178576</v>
      </c>
      <c r="Q2748" s="13">
        <f>IFERROR(__xludf.DUMMYFUNCTION("VALUE(SUBSTITUTE((INDEX(SPLIT(A2748,"",""),2)),""."","","",1))"),44.277314)</f>
        <v>44.277314</v>
      </c>
      <c r="R2748" s="14" t="b">
        <f t="shared" si="1"/>
        <v>0</v>
      </c>
      <c r="S2748" s="14" t="str">
        <f t="shared" si="2"/>
        <v>43.178576,44.277314</v>
      </c>
      <c r="T2748" s="12"/>
    </row>
    <row r="2749">
      <c r="A2749" s="20" t="s">
        <v>17796</v>
      </c>
      <c r="B2749" s="16" t="s">
        <v>17797</v>
      </c>
      <c r="C2749" s="16" t="s">
        <v>17798</v>
      </c>
      <c r="D2749" s="16" t="s">
        <v>16</v>
      </c>
      <c r="E2749" s="21" t="s">
        <v>17799</v>
      </c>
      <c r="F2749" s="22" t="s">
        <v>16486</v>
      </c>
      <c r="G2749" s="16">
        <v>23.61</v>
      </c>
      <c r="H2749" s="16"/>
      <c r="I2749" s="22"/>
      <c r="J2749" s="22" t="s">
        <v>17800</v>
      </c>
      <c r="K2749" s="22" t="s">
        <v>17801</v>
      </c>
      <c r="L2749" s="23" t="s">
        <v>17802</v>
      </c>
      <c r="M2749" s="22"/>
      <c r="N2749" s="12"/>
      <c r="O2749" s="12"/>
      <c r="P2749" s="13">
        <f>IFERROR(__xludf.DUMMYFUNCTION("VALUE(SUBSTITUTE((INDEX(SPLIT(A2749,"",""),1)),""."","","",1))"),43.172185)</f>
        <v>43.172185</v>
      </c>
      <c r="Q2749" s="13">
        <f>IFERROR(__xludf.DUMMYFUNCTION("VALUE(SUBSTITUTE((INDEX(SPLIT(A2749,"",""),2)),""."","","",1))"),44.295576)</f>
        <v>44.295576</v>
      </c>
      <c r="R2749" s="14" t="b">
        <f t="shared" si="1"/>
        <v>0</v>
      </c>
      <c r="S2749" s="14" t="str">
        <f t="shared" si="2"/>
        <v>43.172185,44.295576</v>
      </c>
      <c r="T2749" s="12"/>
    </row>
    <row r="2750">
      <c r="A2750" s="7" t="s">
        <v>17803</v>
      </c>
      <c r="B2750" s="8" t="s">
        <v>17804</v>
      </c>
      <c r="C2750" s="8" t="s">
        <v>17805</v>
      </c>
      <c r="D2750" s="8" t="s">
        <v>16</v>
      </c>
      <c r="E2750" s="9" t="s">
        <v>17806</v>
      </c>
      <c r="F2750" s="10" t="s">
        <v>16486</v>
      </c>
      <c r="G2750" s="8">
        <v>23.61</v>
      </c>
      <c r="H2750" s="8"/>
      <c r="I2750" s="10"/>
      <c r="J2750" s="10" t="s">
        <v>17807</v>
      </c>
      <c r="K2750" s="10" t="s">
        <v>17808</v>
      </c>
      <c r="L2750" s="11" t="s">
        <v>17809</v>
      </c>
      <c r="M2750" s="11" t="s">
        <v>17810</v>
      </c>
      <c r="N2750" s="12"/>
      <c r="O2750" s="12"/>
      <c r="P2750" s="13">
        <f>IFERROR(__xludf.DUMMYFUNCTION("VALUE(SUBSTITUTE((INDEX(SPLIT(A2750,"",""),1)),""."","","",1))"),48.67914)</f>
        <v>48.67914</v>
      </c>
      <c r="Q2750" s="13">
        <f>IFERROR(__xludf.DUMMYFUNCTION("VALUE(SUBSTITUTE((INDEX(SPLIT(A2750,"",""),2)),""."","","",1))"),44.345918)</f>
        <v>44.345918</v>
      </c>
      <c r="R2750" s="14" t="b">
        <f t="shared" si="1"/>
        <v>0</v>
      </c>
      <c r="S2750" s="14" t="str">
        <f t="shared" si="2"/>
        <v>48.67914,44.345918</v>
      </c>
      <c r="T2750" s="12"/>
    </row>
    <row r="2751">
      <c r="A2751" s="15" t="s">
        <v>17803</v>
      </c>
      <c r="B2751" s="16" t="s">
        <v>17811</v>
      </c>
      <c r="C2751" s="16" t="s">
        <v>17812</v>
      </c>
      <c r="D2751" s="16" t="s">
        <v>16</v>
      </c>
      <c r="E2751" s="17" t="s">
        <v>17813</v>
      </c>
      <c r="F2751" s="16" t="s">
        <v>16486</v>
      </c>
      <c r="G2751" s="16">
        <v>23.61</v>
      </c>
      <c r="H2751" s="16"/>
      <c r="I2751" s="16"/>
      <c r="J2751" s="16" t="s">
        <v>17814</v>
      </c>
      <c r="K2751" s="16" t="s">
        <v>17815</v>
      </c>
      <c r="L2751" s="16"/>
      <c r="M2751" s="25" t="s">
        <v>17816</v>
      </c>
      <c r="N2751" s="12"/>
      <c r="O2751" s="12"/>
      <c r="P2751" s="13">
        <f>IFERROR(__xludf.DUMMYFUNCTION("VALUE(SUBSTITUTE((INDEX(SPLIT(A2751,"",""),1)),""."","","",1))"),48.67914)</f>
        <v>48.67914</v>
      </c>
      <c r="Q2751" s="13">
        <f>IFERROR(__xludf.DUMMYFUNCTION("VALUE(SUBSTITUTE((INDEX(SPLIT(A2751,"",""),2)),""."","","",1))"),44.345918)</f>
        <v>44.345918</v>
      </c>
      <c r="R2751" s="14" t="b">
        <f t="shared" si="1"/>
        <v>0</v>
      </c>
      <c r="S2751" s="14" t="str">
        <f t="shared" si="2"/>
        <v>48.67914,44.345918</v>
      </c>
      <c r="T2751" s="12"/>
    </row>
    <row r="2752">
      <c r="A2752" s="18" t="s">
        <v>17817</v>
      </c>
      <c r="B2752" s="8" t="s">
        <v>17818</v>
      </c>
      <c r="C2752" s="8" t="s">
        <v>17819</v>
      </c>
      <c r="D2752" s="8" t="s">
        <v>16</v>
      </c>
      <c r="E2752" s="19" t="s">
        <v>17820</v>
      </c>
      <c r="F2752" s="8" t="s">
        <v>16486</v>
      </c>
      <c r="G2752" s="8">
        <v>23.61</v>
      </c>
      <c r="H2752" s="8"/>
      <c r="I2752" s="8"/>
      <c r="J2752" s="8" t="s">
        <v>17821</v>
      </c>
      <c r="K2752" s="8" t="s">
        <v>17822</v>
      </c>
      <c r="L2752" s="8"/>
      <c r="M2752" s="8"/>
      <c r="N2752" s="12"/>
      <c r="O2752" s="12"/>
      <c r="P2752" s="13">
        <f>IFERROR(__xludf.DUMMYFUNCTION("VALUE(SUBSTITUTE((INDEX(SPLIT(A2752,"",""),1)),""."","","",1))"),48.769788)</f>
        <v>48.769788</v>
      </c>
      <c r="Q2752" s="13">
        <f>IFERROR(__xludf.DUMMYFUNCTION("VALUE(SUBSTITUTE((INDEX(SPLIT(A2752,"",""),2)),""."","","",1))"),44.4118)</f>
        <v>44.4118</v>
      </c>
      <c r="R2752" s="14" t="b">
        <f t="shared" si="1"/>
        <v>0</v>
      </c>
      <c r="S2752" s="14" t="str">
        <f t="shared" si="2"/>
        <v>48.769788,44.4118</v>
      </c>
      <c r="T2752" s="12"/>
    </row>
    <row r="2753">
      <c r="A2753" s="15" t="s">
        <v>17823</v>
      </c>
      <c r="B2753" s="16" t="s">
        <v>17824</v>
      </c>
      <c r="C2753" s="16" t="s">
        <v>17825</v>
      </c>
      <c r="D2753" s="16" t="s">
        <v>16</v>
      </c>
      <c r="E2753" s="17" t="s">
        <v>17826</v>
      </c>
      <c r="F2753" s="16" t="s">
        <v>16486</v>
      </c>
      <c r="G2753" s="16">
        <v>23.61</v>
      </c>
      <c r="H2753" s="16"/>
      <c r="I2753" s="16"/>
      <c r="J2753" s="16" t="s">
        <v>17827</v>
      </c>
      <c r="K2753" s="16" t="s">
        <v>17828</v>
      </c>
      <c r="L2753" s="16"/>
      <c r="M2753" s="25" t="s">
        <v>17829</v>
      </c>
      <c r="N2753" s="12"/>
      <c r="O2753" s="12"/>
      <c r="P2753" s="13">
        <f>IFERROR(__xludf.DUMMYFUNCTION("VALUE(SUBSTITUTE((INDEX(SPLIT(A2753,"",""),1)),""."","","",1))"),48.617365)</f>
        <v>48.617365</v>
      </c>
      <c r="Q2753" s="13">
        <f>IFERROR(__xludf.DUMMYFUNCTION("VALUE(SUBSTITUTE((INDEX(SPLIT(A2753,"",""),2)),""."","","",1))"),44.416112)</f>
        <v>44.416112</v>
      </c>
      <c r="R2753" s="14" t="b">
        <f t="shared" si="1"/>
        <v>0</v>
      </c>
      <c r="S2753" s="14" t="str">
        <f t="shared" si="2"/>
        <v>48.617365,44.416112</v>
      </c>
      <c r="T2753" s="12"/>
    </row>
    <row r="2754">
      <c r="A2754" s="7" t="s">
        <v>17830</v>
      </c>
      <c r="B2754" s="8" t="s">
        <v>17831</v>
      </c>
      <c r="C2754" s="8" t="s">
        <v>17832</v>
      </c>
      <c r="D2754" s="8" t="s">
        <v>16</v>
      </c>
      <c r="E2754" s="9" t="s">
        <v>17833</v>
      </c>
      <c r="F2754" s="10" t="s">
        <v>16486</v>
      </c>
      <c r="G2754" s="8">
        <v>23.61</v>
      </c>
      <c r="H2754" s="8"/>
      <c r="I2754" s="10"/>
      <c r="J2754" s="10" t="s">
        <v>17834</v>
      </c>
      <c r="K2754" s="10" t="s">
        <v>17835</v>
      </c>
      <c r="L2754" s="11" t="s">
        <v>17836</v>
      </c>
      <c r="M2754" s="10"/>
      <c r="N2754" s="12"/>
      <c r="O2754" s="12"/>
      <c r="P2754" s="13">
        <f>IFERROR(__xludf.DUMMYFUNCTION("VALUE(SUBSTITUTE((INDEX(SPLIT(A2754,"",""),1)),""."","","",1))"),48.676802)</f>
        <v>48.676802</v>
      </c>
      <c r="Q2754" s="13">
        <f>IFERROR(__xludf.DUMMYFUNCTION("VALUE(SUBSTITUTE((INDEX(SPLIT(A2754,"",""),2)),""."","","",1))"),44.431375)</f>
        <v>44.431375</v>
      </c>
      <c r="R2754" s="14" t="b">
        <f t="shared" si="1"/>
        <v>0</v>
      </c>
      <c r="S2754" s="14" t="str">
        <f t="shared" si="2"/>
        <v>48.676802,44.431375</v>
      </c>
      <c r="T2754" s="12"/>
    </row>
    <row r="2755">
      <c r="A2755" s="15" t="s">
        <v>17837</v>
      </c>
      <c r="B2755" s="16" t="s">
        <v>17838</v>
      </c>
      <c r="C2755" s="16" t="s">
        <v>17839</v>
      </c>
      <c r="D2755" s="16" t="s">
        <v>16</v>
      </c>
      <c r="E2755" s="17" t="s">
        <v>17840</v>
      </c>
      <c r="F2755" s="16" t="s">
        <v>16486</v>
      </c>
      <c r="G2755" s="16">
        <v>23.61</v>
      </c>
      <c r="H2755" s="16"/>
      <c r="I2755" s="16"/>
      <c r="J2755" s="16" t="s">
        <v>17841</v>
      </c>
      <c r="K2755" s="16" t="s">
        <v>17842</v>
      </c>
      <c r="L2755" s="16"/>
      <c r="M2755" s="16"/>
      <c r="N2755" s="12"/>
      <c r="O2755" s="12"/>
      <c r="P2755" s="13">
        <f>IFERROR(__xludf.DUMMYFUNCTION("VALUE(SUBSTITUTE((INDEX(SPLIT(A2755,"",""),1)),""."","","",1))"),48.562837)</f>
        <v>48.562837</v>
      </c>
      <c r="Q2755" s="13">
        <f>IFERROR(__xludf.DUMMYFUNCTION("VALUE(SUBSTITUTE((INDEX(SPLIT(A2755,"",""),2)),""."","","",1))"),44.450446)</f>
        <v>44.450446</v>
      </c>
      <c r="R2755" s="14" t="b">
        <f t="shared" si="1"/>
        <v>0</v>
      </c>
      <c r="S2755" s="14" t="str">
        <f t="shared" si="2"/>
        <v>48.562837,44.450446</v>
      </c>
      <c r="T2755" s="12"/>
    </row>
    <row r="2756">
      <c r="A2756" s="7" t="s">
        <v>17843</v>
      </c>
      <c r="B2756" s="8" t="s">
        <v>17844</v>
      </c>
      <c r="C2756" s="8" t="s">
        <v>17845</v>
      </c>
      <c r="D2756" s="8" t="s">
        <v>16</v>
      </c>
      <c r="E2756" s="9" t="s">
        <v>17846</v>
      </c>
      <c r="F2756" s="10" t="s">
        <v>16486</v>
      </c>
      <c r="G2756" s="8">
        <v>23.61</v>
      </c>
      <c r="H2756" s="8"/>
      <c r="I2756" s="10"/>
      <c r="J2756" s="10" t="s">
        <v>17847</v>
      </c>
      <c r="K2756" s="10" t="s">
        <v>17835</v>
      </c>
      <c r="L2756" s="11" t="s">
        <v>17848</v>
      </c>
      <c r="M2756" s="10"/>
      <c r="N2756" s="12"/>
      <c r="O2756" s="12"/>
      <c r="P2756" s="13">
        <f>IFERROR(__xludf.DUMMYFUNCTION("VALUE(SUBSTITUTE((INDEX(SPLIT(A2756,"",""),1)),""."","","",1))"),48.683928)</f>
        <v>48.683928</v>
      </c>
      <c r="Q2756" s="13">
        <f>IFERROR(__xludf.DUMMYFUNCTION("VALUE(SUBSTITUTE((INDEX(SPLIT(A2756,"",""),2)),""."","","",1))"),44.453446)</f>
        <v>44.453446</v>
      </c>
      <c r="R2756" s="14" t="b">
        <f t="shared" si="1"/>
        <v>0</v>
      </c>
      <c r="S2756" s="14" t="str">
        <f t="shared" si="2"/>
        <v>48.683928,44.453446</v>
      </c>
      <c r="T2756" s="12"/>
    </row>
    <row r="2757">
      <c r="A2757" s="20" t="s">
        <v>17849</v>
      </c>
      <c r="B2757" s="16" t="s">
        <v>17850</v>
      </c>
      <c r="C2757" s="16" t="s">
        <v>17851</v>
      </c>
      <c r="D2757" s="16" t="s">
        <v>16</v>
      </c>
      <c r="E2757" s="21" t="s">
        <v>17852</v>
      </c>
      <c r="F2757" s="22" t="s">
        <v>16486</v>
      </c>
      <c r="G2757" s="16">
        <v>23.61</v>
      </c>
      <c r="H2757" s="16"/>
      <c r="I2757" s="22"/>
      <c r="J2757" s="22" t="s">
        <v>17853</v>
      </c>
      <c r="K2757" s="22" t="s">
        <v>17854</v>
      </c>
      <c r="L2757" s="23" t="s">
        <v>17855</v>
      </c>
      <c r="M2757" s="22"/>
      <c r="N2757" s="12"/>
      <c r="O2757" s="12"/>
      <c r="P2757" s="13">
        <f>IFERROR(__xludf.DUMMYFUNCTION("VALUE(SUBSTITUTE((INDEX(SPLIT(A2757,"",""),1)),""."","","",1))"),48.557775)</f>
        <v>48.557775</v>
      </c>
      <c r="Q2757" s="13">
        <f>IFERROR(__xludf.DUMMYFUNCTION("VALUE(SUBSTITUTE((INDEX(SPLIT(A2757,"",""),2)),""."","","",1))"),44.461854)</f>
        <v>44.461854</v>
      </c>
      <c r="R2757" s="14" t="b">
        <f t="shared" si="1"/>
        <v>0</v>
      </c>
      <c r="S2757" s="14" t="str">
        <f t="shared" si="2"/>
        <v>48.557775,44.461854</v>
      </c>
      <c r="T2757" s="12"/>
    </row>
    <row r="2758">
      <c r="A2758" s="7" t="s">
        <v>17856</v>
      </c>
      <c r="B2758" s="8" t="s">
        <v>17857</v>
      </c>
      <c r="C2758" s="8" t="s">
        <v>17858</v>
      </c>
      <c r="D2758" s="8" t="s">
        <v>16</v>
      </c>
      <c r="E2758" s="9" t="s">
        <v>17859</v>
      </c>
      <c r="F2758" s="10" t="s">
        <v>16486</v>
      </c>
      <c r="G2758" s="8">
        <v>23.61</v>
      </c>
      <c r="H2758" s="8"/>
      <c r="I2758" s="10"/>
      <c r="J2758" s="10" t="s">
        <v>17860</v>
      </c>
      <c r="K2758" s="10" t="s">
        <v>17861</v>
      </c>
      <c r="L2758" s="11" t="s">
        <v>17862</v>
      </c>
      <c r="M2758" s="10"/>
      <c r="N2758" s="12"/>
      <c r="O2758" s="12"/>
      <c r="P2758" s="13">
        <f>IFERROR(__xludf.DUMMYFUNCTION("VALUE(SUBSTITUTE((INDEX(SPLIT(A2758,"",""),1)),""."","","",1))"),48.771284)</f>
        <v>48.771284</v>
      </c>
      <c r="Q2758" s="13">
        <f>IFERROR(__xludf.DUMMYFUNCTION("VALUE(SUBSTITUTE((INDEX(SPLIT(A2758,"",""),2)),""."","","",1))"),44.469275)</f>
        <v>44.469275</v>
      </c>
      <c r="R2758" s="14" t="b">
        <f t="shared" si="1"/>
        <v>0</v>
      </c>
      <c r="S2758" s="14" t="str">
        <f t="shared" si="2"/>
        <v>48.771284,44.469275</v>
      </c>
      <c r="T2758" s="12"/>
    </row>
    <row r="2759">
      <c r="A2759" s="20" t="s">
        <v>17856</v>
      </c>
      <c r="B2759" s="16" t="s">
        <v>17863</v>
      </c>
      <c r="C2759" s="16" t="s">
        <v>17863</v>
      </c>
      <c r="D2759" s="16" t="s">
        <v>16</v>
      </c>
      <c r="E2759" s="21" t="s">
        <v>17864</v>
      </c>
      <c r="F2759" s="22" t="s">
        <v>17865</v>
      </c>
      <c r="G2759" s="16">
        <v>23.61</v>
      </c>
      <c r="H2759" s="16"/>
      <c r="I2759" s="22"/>
      <c r="J2759" s="22" t="s">
        <v>17866</v>
      </c>
      <c r="K2759" s="22" t="s">
        <v>17867</v>
      </c>
      <c r="L2759" s="23" t="s">
        <v>17868</v>
      </c>
      <c r="M2759" s="22"/>
      <c r="N2759" s="12"/>
      <c r="O2759" s="12"/>
      <c r="P2759" s="13">
        <f>IFERROR(__xludf.DUMMYFUNCTION("VALUE(SUBSTITUTE((INDEX(SPLIT(A2759,"",""),1)),""."","","",1))"),48.771284)</f>
        <v>48.771284</v>
      </c>
      <c r="Q2759" s="13">
        <f>IFERROR(__xludf.DUMMYFUNCTION("VALUE(SUBSTITUTE((INDEX(SPLIT(A2759,"",""),2)),""."","","",1))"),44.469275)</f>
        <v>44.469275</v>
      </c>
      <c r="R2759" s="14" t="b">
        <f t="shared" si="1"/>
        <v>0</v>
      </c>
      <c r="S2759" s="14" t="str">
        <f t="shared" si="2"/>
        <v>48.771284,44.469275</v>
      </c>
      <c r="T2759" s="12"/>
    </row>
    <row r="2760">
      <c r="A2760" s="7" t="s">
        <v>17869</v>
      </c>
      <c r="B2760" s="8" t="s">
        <v>17870</v>
      </c>
      <c r="C2760" s="8" t="s">
        <v>17871</v>
      </c>
      <c r="D2760" s="8" t="s">
        <v>16</v>
      </c>
      <c r="E2760" s="9" t="s">
        <v>17872</v>
      </c>
      <c r="F2760" s="10" t="s">
        <v>16486</v>
      </c>
      <c r="G2760" s="8">
        <v>23.61</v>
      </c>
      <c r="H2760" s="8"/>
      <c r="I2760" s="10"/>
      <c r="J2760" s="10" t="s">
        <v>17873</v>
      </c>
      <c r="K2760" s="10" t="s">
        <v>17874</v>
      </c>
      <c r="L2760" s="11" t="s">
        <v>17875</v>
      </c>
      <c r="M2760" s="10"/>
      <c r="N2760" s="12"/>
      <c r="O2760" s="12"/>
      <c r="P2760" s="13">
        <f>IFERROR(__xludf.DUMMYFUNCTION("VALUE(SUBSTITUTE((INDEX(SPLIT(A2760,"",""),1)),""."","","",1))"),48.807053)</f>
        <v>48.807053</v>
      </c>
      <c r="Q2760" s="13">
        <f>IFERROR(__xludf.DUMMYFUNCTION("VALUE(SUBSTITUTE((INDEX(SPLIT(A2760,"",""),2)),""."","","",1))"),44.475293)</f>
        <v>44.475293</v>
      </c>
      <c r="R2760" s="14" t="b">
        <f t="shared" si="1"/>
        <v>0</v>
      </c>
      <c r="S2760" s="14" t="str">
        <f t="shared" si="2"/>
        <v>48.807053,44.475293</v>
      </c>
      <c r="T2760" s="12"/>
    </row>
    <row r="2761">
      <c r="A2761" s="15" t="s">
        <v>17876</v>
      </c>
      <c r="B2761" s="16" t="s">
        <v>17877</v>
      </c>
      <c r="C2761" s="16" t="s">
        <v>17878</v>
      </c>
      <c r="D2761" s="16" t="s">
        <v>16</v>
      </c>
      <c r="E2761" s="17" t="s">
        <v>17879</v>
      </c>
      <c r="F2761" s="16" t="s">
        <v>16486</v>
      </c>
      <c r="G2761" s="16">
        <v>23.61</v>
      </c>
      <c r="H2761" s="16"/>
      <c r="I2761" s="32" t="s">
        <v>17880</v>
      </c>
      <c r="J2761" s="16" t="s">
        <v>17881</v>
      </c>
      <c r="K2761" s="16" t="s">
        <v>17882</v>
      </c>
      <c r="L2761" s="16"/>
      <c r="M2761" s="16"/>
      <c r="N2761" s="12"/>
      <c r="O2761" s="12"/>
      <c r="P2761" s="13">
        <f>IFERROR(__xludf.DUMMYFUNCTION("VALUE(SUBSTITUTE((INDEX(SPLIT(A2761,"",""),1)),""."","","",1))"),48.803784)</f>
        <v>48.803784</v>
      </c>
      <c r="Q2761" s="13">
        <f>IFERROR(__xludf.DUMMYFUNCTION("VALUE(SUBSTITUTE((INDEX(SPLIT(A2761,"",""),2)),""."","","",1))"),44.477135)</f>
        <v>44.477135</v>
      </c>
      <c r="R2761" s="14" t="b">
        <f t="shared" si="1"/>
        <v>0</v>
      </c>
      <c r="S2761" s="14" t="str">
        <f t="shared" si="2"/>
        <v>48.803784,44.477135</v>
      </c>
      <c r="T2761" s="12"/>
    </row>
    <row r="2762">
      <c r="A2762" s="7" t="s">
        <v>17883</v>
      </c>
      <c r="B2762" s="8" t="s">
        <v>17884</v>
      </c>
      <c r="C2762" s="8" t="s">
        <v>17885</v>
      </c>
      <c r="D2762" s="8" t="s">
        <v>16</v>
      </c>
      <c r="E2762" s="9" t="s">
        <v>17886</v>
      </c>
      <c r="F2762" s="10" t="s">
        <v>16486</v>
      </c>
      <c r="G2762" s="8">
        <v>23.61</v>
      </c>
      <c r="H2762" s="8"/>
      <c r="I2762" s="10"/>
      <c r="J2762" s="10" t="s">
        <v>17887</v>
      </c>
      <c r="K2762" s="10" t="s">
        <v>17888</v>
      </c>
      <c r="L2762" s="11" t="s">
        <v>17836</v>
      </c>
      <c r="M2762" s="10"/>
      <c r="N2762" s="12"/>
      <c r="O2762" s="12"/>
      <c r="P2762" s="13">
        <f>IFERROR(__xludf.DUMMYFUNCTION("VALUE(SUBSTITUTE((INDEX(SPLIT(A2762,"",""),1)),""."","","",1))"),48.703238)</f>
        <v>48.703238</v>
      </c>
      <c r="Q2762" s="13">
        <f>IFERROR(__xludf.DUMMYFUNCTION("VALUE(SUBSTITUTE((INDEX(SPLIT(A2762,"",""),2)),""."","","",1))"),44.483971)</f>
        <v>44.483971</v>
      </c>
      <c r="R2762" s="14" t="b">
        <f t="shared" si="1"/>
        <v>0</v>
      </c>
      <c r="S2762" s="14" t="str">
        <f t="shared" si="2"/>
        <v>48.703238,44.483971</v>
      </c>
      <c r="T2762" s="12"/>
    </row>
    <row r="2763">
      <c r="A2763" s="20" t="s">
        <v>17889</v>
      </c>
      <c r="B2763" s="16" t="s">
        <v>17890</v>
      </c>
      <c r="C2763" s="16" t="s">
        <v>17891</v>
      </c>
      <c r="D2763" s="16" t="s">
        <v>16</v>
      </c>
      <c r="E2763" s="21" t="s">
        <v>17892</v>
      </c>
      <c r="F2763" s="22" t="s">
        <v>16486</v>
      </c>
      <c r="G2763" s="16">
        <v>23.61</v>
      </c>
      <c r="H2763" s="16"/>
      <c r="I2763" s="22"/>
      <c r="J2763" s="22" t="s">
        <v>17893</v>
      </c>
      <c r="K2763" s="22" t="s">
        <v>17894</v>
      </c>
      <c r="L2763" s="23" t="s">
        <v>17895</v>
      </c>
      <c r="M2763" s="22"/>
      <c r="N2763" s="12"/>
      <c r="O2763" s="12"/>
      <c r="P2763" s="13">
        <f>IFERROR(__xludf.DUMMYFUNCTION("VALUE(SUBSTITUTE((INDEX(SPLIT(A2763,"",""),1)),""."","","",1))"),48.705188)</f>
        <v>48.705188</v>
      </c>
      <c r="Q2763" s="13">
        <f>IFERROR(__xludf.DUMMYFUNCTION("VALUE(SUBSTITUTE((INDEX(SPLIT(A2763,"",""),2)),""."","","",1))"),44.484932)</f>
        <v>44.484932</v>
      </c>
      <c r="R2763" s="14" t="b">
        <f t="shared" si="1"/>
        <v>0</v>
      </c>
      <c r="S2763" s="14" t="str">
        <f t="shared" si="2"/>
        <v>48.705188,44.484932</v>
      </c>
      <c r="T2763" s="12"/>
    </row>
    <row r="2764">
      <c r="A2764" s="7" t="s">
        <v>17896</v>
      </c>
      <c r="B2764" s="8" t="s">
        <v>17897</v>
      </c>
      <c r="C2764" s="8" t="s">
        <v>17898</v>
      </c>
      <c r="D2764" s="8" t="s">
        <v>16</v>
      </c>
      <c r="E2764" s="9" t="s">
        <v>17899</v>
      </c>
      <c r="F2764" s="10" t="s">
        <v>16486</v>
      </c>
      <c r="G2764" s="8">
        <v>23.61</v>
      </c>
      <c r="H2764" s="8"/>
      <c r="I2764" s="10"/>
      <c r="J2764" s="10" t="s">
        <v>17893</v>
      </c>
      <c r="K2764" s="10" t="s">
        <v>17894</v>
      </c>
      <c r="L2764" s="11" t="s">
        <v>17900</v>
      </c>
      <c r="M2764" s="10"/>
      <c r="N2764" s="12"/>
      <c r="O2764" s="12"/>
      <c r="P2764" s="13">
        <f>IFERROR(__xludf.DUMMYFUNCTION("VALUE(SUBSTITUTE((INDEX(SPLIT(A2764,"",""),1)),""."","","",1))"),48.787201)</f>
        <v>48.787201</v>
      </c>
      <c r="Q2764" s="13">
        <f>IFERROR(__xludf.DUMMYFUNCTION("VALUE(SUBSTITUTE((INDEX(SPLIT(A2764,"",""),2)),""."","","",1))"),44.490726)</f>
        <v>44.490726</v>
      </c>
      <c r="R2764" s="14" t="b">
        <f t="shared" si="1"/>
        <v>0</v>
      </c>
      <c r="S2764" s="14" t="str">
        <f t="shared" si="2"/>
        <v>48.787201,44.490726</v>
      </c>
      <c r="T2764" s="12"/>
    </row>
    <row r="2765">
      <c r="A2765" s="15" t="s">
        <v>17901</v>
      </c>
      <c r="B2765" s="16" t="s">
        <v>17902</v>
      </c>
      <c r="C2765" s="16" t="s">
        <v>17903</v>
      </c>
      <c r="D2765" s="16" t="s">
        <v>16</v>
      </c>
      <c r="E2765" s="17" t="s">
        <v>17904</v>
      </c>
      <c r="F2765" s="16" t="s">
        <v>16486</v>
      </c>
      <c r="G2765" s="16">
        <v>23.61</v>
      </c>
      <c r="H2765" s="16"/>
      <c r="I2765" s="16"/>
      <c r="J2765" s="16" t="s">
        <v>17905</v>
      </c>
      <c r="K2765" s="16" t="s">
        <v>17906</v>
      </c>
      <c r="L2765" s="16"/>
      <c r="M2765" s="16"/>
      <c r="N2765" s="12"/>
      <c r="O2765" s="12"/>
      <c r="P2765" s="13">
        <f>IFERROR(__xludf.DUMMYFUNCTION("VALUE(SUBSTITUTE((INDEX(SPLIT(A2765,"",""),1)),""."","","",1))"),48.786738)</f>
        <v>48.786738</v>
      </c>
      <c r="Q2765" s="13">
        <f>IFERROR(__xludf.DUMMYFUNCTION("VALUE(SUBSTITUTE((INDEX(SPLIT(A2765,"",""),2)),""."","","",1))"),44.49184)</f>
        <v>44.49184</v>
      </c>
      <c r="R2765" s="14" t="b">
        <f t="shared" si="1"/>
        <v>0</v>
      </c>
      <c r="S2765" s="14" t="str">
        <f t="shared" si="2"/>
        <v>48.786738,44.49184</v>
      </c>
      <c r="T2765" s="12"/>
    </row>
    <row r="2766">
      <c r="A2766" s="18" t="s">
        <v>17901</v>
      </c>
      <c r="B2766" s="8" t="s">
        <v>17907</v>
      </c>
      <c r="C2766" s="8" t="s">
        <v>17908</v>
      </c>
      <c r="D2766" s="8" t="s">
        <v>16</v>
      </c>
      <c r="E2766" s="19" t="s">
        <v>17909</v>
      </c>
      <c r="F2766" s="8" t="s">
        <v>16486</v>
      </c>
      <c r="G2766" s="8">
        <v>23.61</v>
      </c>
      <c r="H2766" s="8"/>
      <c r="I2766" s="8"/>
      <c r="J2766" s="8" t="s">
        <v>17910</v>
      </c>
      <c r="K2766" s="8" t="s">
        <v>17911</v>
      </c>
      <c r="L2766" s="8"/>
      <c r="M2766" s="8"/>
      <c r="N2766" s="12"/>
      <c r="O2766" s="12"/>
      <c r="P2766" s="13">
        <f>IFERROR(__xludf.DUMMYFUNCTION("VALUE(SUBSTITUTE((INDEX(SPLIT(A2766,"",""),1)),""."","","",1))"),48.786738)</f>
        <v>48.786738</v>
      </c>
      <c r="Q2766" s="13">
        <f>IFERROR(__xludf.DUMMYFUNCTION("VALUE(SUBSTITUTE((INDEX(SPLIT(A2766,"",""),2)),""."","","",1))"),44.49184)</f>
        <v>44.49184</v>
      </c>
      <c r="R2766" s="14" t="b">
        <f t="shared" si="1"/>
        <v>0</v>
      </c>
      <c r="S2766" s="14" t="str">
        <f t="shared" si="2"/>
        <v>48.786738,44.49184</v>
      </c>
      <c r="T2766" s="12"/>
    </row>
    <row r="2767">
      <c r="A2767" s="20" t="s">
        <v>17912</v>
      </c>
      <c r="B2767" s="16" t="s">
        <v>17913</v>
      </c>
      <c r="C2767" s="16" t="s">
        <v>17914</v>
      </c>
      <c r="D2767" s="16" t="s">
        <v>16</v>
      </c>
      <c r="E2767" s="21" t="s">
        <v>17915</v>
      </c>
      <c r="F2767" s="22" t="s">
        <v>16486</v>
      </c>
      <c r="G2767" s="16">
        <v>23.61</v>
      </c>
      <c r="H2767" s="16"/>
      <c r="I2767" s="22"/>
      <c r="J2767" s="22" t="s">
        <v>17916</v>
      </c>
      <c r="K2767" s="22" t="s">
        <v>17917</v>
      </c>
      <c r="L2767" s="23" t="s">
        <v>17918</v>
      </c>
      <c r="M2767" s="22"/>
      <c r="N2767" s="12"/>
      <c r="O2767" s="12"/>
      <c r="P2767" s="13">
        <f>IFERROR(__xludf.DUMMYFUNCTION("VALUE(SUBSTITUTE((INDEX(SPLIT(A2767,"",""),1)),""."","","",1))"),48.769076)</f>
        <v>48.769076</v>
      </c>
      <c r="Q2767" s="13">
        <f>IFERROR(__xludf.DUMMYFUNCTION("VALUE(SUBSTITUTE((INDEX(SPLIT(A2767,"",""),2)),""."","","",1))"),44.49228)</f>
        <v>44.49228</v>
      </c>
      <c r="R2767" s="14" t="b">
        <f t="shared" si="1"/>
        <v>0</v>
      </c>
      <c r="S2767" s="14" t="str">
        <f t="shared" si="2"/>
        <v>48.769076,44.49228</v>
      </c>
      <c r="T2767" s="12"/>
    </row>
    <row r="2768">
      <c r="A2768" s="7" t="s">
        <v>17919</v>
      </c>
      <c r="B2768" s="8" t="s">
        <v>17920</v>
      </c>
      <c r="C2768" s="8" t="s">
        <v>17921</v>
      </c>
      <c r="D2768" s="8" t="s">
        <v>16</v>
      </c>
      <c r="E2768" s="9" t="s">
        <v>17922</v>
      </c>
      <c r="F2768" s="10" t="s">
        <v>16486</v>
      </c>
      <c r="G2768" s="8">
        <v>23.61</v>
      </c>
      <c r="H2768" s="8"/>
      <c r="I2768" s="10"/>
      <c r="J2768" s="10" t="s">
        <v>17923</v>
      </c>
      <c r="K2768" s="10" t="s">
        <v>17924</v>
      </c>
      <c r="L2768" s="11" t="s">
        <v>17925</v>
      </c>
      <c r="M2768" s="10"/>
      <c r="N2768" s="12"/>
      <c r="O2768" s="12"/>
      <c r="P2768" s="13">
        <f>IFERROR(__xludf.DUMMYFUNCTION("VALUE(SUBSTITUTE((INDEX(SPLIT(A2768,"",""),1)),""."","","",1))"),48.748383)</f>
        <v>48.748383</v>
      </c>
      <c r="Q2768" s="13">
        <f>IFERROR(__xludf.DUMMYFUNCTION("VALUE(SUBSTITUTE((INDEX(SPLIT(A2768,"",""),2)),""."","","",1))"),44.500572)</f>
        <v>44.500572</v>
      </c>
      <c r="R2768" s="14" t="b">
        <f t="shared" si="1"/>
        <v>0</v>
      </c>
      <c r="S2768" s="14" t="str">
        <f t="shared" si="2"/>
        <v>48.748383,44.500572</v>
      </c>
      <c r="T2768" s="12"/>
    </row>
    <row r="2769">
      <c r="A2769" s="15" t="s">
        <v>17926</v>
      </c>
      <c r="B2769" s="16" t="s">
        <v>17927</v>
      </c>
      <c r="C2769" s="16" t="s">
        <v>17928</v>
      </c>
      <c r="D2769" s="16" t="s">
        <v>16</v>
      </c>
      <c r="E2769" s="17" t="s">
        <v>17929</v>
      </c>
      <c r="F2769" s="16" t="s">
        <v>16486</v>
      </c>
      <c r="G2769" s="16">
        <v>23.61</v>
      </c>
      <c r="H2769" s="16"/>
      <c r="I2769" s="16"/>
      <c r="J2769" s="16" t="s">
        <v>17930</v>
      </c>
      <c r="K2769" s="16" t="s">
        <v>17931</v>
      </c>
      <c r="L2769" s="16"/>
      <c r="M2769" s="16"/>
      <c r="N2769" s="12"/>
      <c r="O2769" s="12"/>
      <c r="P2769" s="13">
        <f>IFERROR(__xludf.DUMMYFUNCTION("VALUE(SUBSTITUTE((INDEX(SPLIT(A2769,"",""),1)),""."","","",1))"),48.778754)</f>
        <v>48.778754</v>
      </c>
      <c r="Q2769" s="13">
        <f>IFERROR(__xludf.DUMMYFUNCTION("VALUE(SUBSTITUTE((INDEX(SPLIT(A2769,"",""),2)),""."","","",1))"),44.503276)</f>
        <v>44.503276</v>
      </c>
      <c r="R2769" s="14" t="b">
        <f t="shared" si="1"/>
        <v>0</v>
      </c>
      <c r="S2769" s="14" t="str">
        <f t="shared" si="2"/>
        <v>48.778754,44.503276</v>
      </c>
      <c r="T2769" s="12"/>
    </row>
    <row r="2770">
      <c r="A2770" s="18" t="s">
        <v>17932</v>
      </c>
      <c r="B2770" s="8" t="s">
        <v>17933</v>
      </c>
      <c r="C2770" s="8" t="s">
        <v>17934</v>
      </c>
      <c r="D2770" s="8" t="s">
        <v>16</v>
      </c>
      <c r="E2770" s="19" t="s">
        <v>17935</v>
      </c>
      <c r="F2770" s="8" t="s">
        <v>17033</v>
      </c>
      <c r="G2770" s="8">
        <v>23.61</v>
      </c>
      <c r="H2770" s="8"/>
      <c r="I2770" s="8"/>
      <c r="J2770" s="8" t="s">
        <v>17936</v>
      </c>
      <c r="K2770" s="8" t="s">
        <v>17937</v>
      </c>
      <c r="L2770" s="8"/>
      <c r="M2770" s="24" t="s">
        <v>17938</v>
      </c>
      <c r="N2770" s="12"/>
      <c r="O2770" s="12"/>
      <c r="P2770" s="13">
        <f>IFERROR(__xludf.DUMMYFUNCTION("VALUE(SUBSTITUTE((INDEX(SPLIT(A2770,"",""),1)),""."","","",1))"),48.765596)</f>
        <v>48.765596</v>
      </c>
      <c r="Q2770" s="13">
        <f>IFERROR(__xludf.DUMMYFUNCTION("VALUE(SUBSTITUTE((INDEX(SPLIT(A2770,"",""),2)),""."","","",1))"),44.506564)</f>
        <v>44.506564</v>
      </c>
      <c r="R2770" s="14" t="b">
        <f t="shared" si="1"/>
        <v>0</v>
      </c>
      <c r="S2770" s="14" t="str">
        <f t="shared" si="2"/>
        <v>48.765596,44.506564</v>
      </c>
      <c r="T2770" s="12"/>
    </row>
    <row r="2771">
      <c r="A2771" s="20" t="s">
        <v>17939</v>
      </c>
      <c r="B2771" s="16" t="s">
        <v>17940</v>
      </c>
      <c r="C2771" s="16" t="s">
        <v>17941</v>
      </c>
      <c r="D2771" s="16" t="s">
        <v>16</v>
      </c>
      <c r="E2771" s="21" t="s">
        <v>17942</v>
      </c>
      <c r="F2771" s="22" t="s">
        <v>16486</v>
      </c>
      <c r="G2771" s="16">
        <v>23.61</v>
      </c>
      <c r="H2771" s="16"/>
      <c r="I2771" s="22"/>
      <c r="J2771" s="22" t="s">
        <v>17943</v>
      </c>
      <c r="K2771" s="22" t="s">
        <v>17944</v>
      </c>
      <c r="L2771" s="23" t="s">
        <v>17945</v>
      </c>
      <c r="M2771" s="22"/>
      <c r="N2771" s="12"/>
      <c r="O2771" s="12"/>
      <c r="P2771" s="13">
        <f>IFERROR(__xludf.DUMMYFUNCTION("VALUE(SUBSTITUTE((INDEX(SPLIT(A2771,"",""),1)),""."","","",1))"),43.464311)</f>
        <v>43.464311</v>
      </c>
      <c r="Q2771" s="13">
        <f>IFERROR(__xludf.DUMMYFUNCTION("VALUE(SUBSTITUTE((INDEX(SPLIT(A2771,"",""),2)),""."","","",1))"),44.540484)</f>
        <v>44.540484</v>
      </c>
      <c r="R2771" s="14" t="b">
        <f t="shared" si="1"/>
        <v>0</v>
      </c>
      <c r="S2771" s="14" t="str">
        <f t="shared" si="2"/>
        <v>43.464311,44.540484</v>
      </c>
      <c r="T2771" s="12"/>
    </row>
    <row r="2772">
      <c r="A2772" s="7" t="s">
        <v>17946</v>
      </c>
      <c r="B2772" s="8" t="s">
        <v>17947</v>
      </c>
      <c r="C2772" s="8" t="s">
        <v>17948</v>
      </c>
      <c r="D2772" s="8" t="s">
        <v>16</v>
      </c>
      <c r="E2772" s="9" t="s">
        <v>17949</v>
      </c>
      <c r="F2772" s="10" t="s">
        <v>16486</v>
      </c>
      <c r="G2772" s="8">
        <v>23.61</v>
      </c>
      <c r="H2772" s="8"/>
      <c r="I2772" s="10"/>
      <c r="J2772" s="10" t="s">
        <v>17950</v>
      </c>
      <c r="K2772" s="10" t="s">
        <v>17951</v>
      </c>
      <c r="L2772" s="11" t="s">
        <v>17952</v>
      </c>
      <c r="M2772" s="10"/>
      <c r="N2772" s="12"/>
      <c r="O2772" s="12"/>
      <c r="P2772" s="13">
        <f>IFERROR(__xludf.DUMMYFUNCTION("VALUE(SUBSTITUTE((INDEX(SPLIT(A2772,"",""),1)),""."","","",1))"),43.190783)</f>
        <v>43.190783</v>
      </c>
      <c r="Q2772" s="13">
        <f>IFERROR(__xludf.DUMMYFUNCTION("VALUE(SUBSTITUTE((INDEX(SPLIT(A2772,"",""),2)),""."","","",1))"),44.541607)</f>
        <v>44.541607</v>
      </c>
      <c r="R2772" s="14" t="b">
        <f t="shared" si="1"/>
        <v>0</v>
      </c>
      <c r="S2772" s="14" t="str">
        <f t="shared" si="2"/>
        <v>43.190783,44.541607</v>
      </c>
      <c r="T2772" s="12"/>
    </row>
    <row r="2773">
      <c r="A2773" s="15" t="s">
        <v>17953</v>
      </c>
      <c r="B2773" s="16" t="s">
        <v>17954</v>
      </c>
      <c r="C2773" s="16" t="s">
        <v>17955</v>
      </c>
      <c r="D2773" s="16" t="s">
        <v>16</v>
      </c>
      <c r="E2773" s="17" t="s">
        <v>17956</v>
      </c>
      <c r="F2773" s="16" t="s">
        <v>16486</v>
      </c>
      <c r="G2773" s="16">
        <v>23.61</v>
      </c>
      <c r="H2773" s="16"/>
      <c r="I2773" s="16"/>
      <c r="J2773" s="16" t="s">
        <v>17957</v>
      </c>
      <c r="K2773" s="16" t="s">
        <v>17755</v>
      </c>
      <c r="L2773" s="16"/>
      <c r="M2773" s="16"/>
      <c r="N2773" s="12"/>
      <c r="O2773" s="12"/>
      <c r="P2773" s="13">
        <f>IFERROR(__xludf.DUMMYFUNCTION("VALUE(SUBSTITUTE((INDEX(SPLIT(A2773,"",""),1)),""."","","",1))"),48.518444)</f>
        <v>48.518444</v>
      </c>
      <c r="Q2773" s="13">
        <f>IFERROR(__xludf.DUMMYFUNCTION("VALUE(SUBSTITUTE((INDEX(SPLIT(A2773,"",""),2)),""."","","",1))"),44.546054)</f>
        <v>44.546054</v>
      </c>
      <c r="R2773" s="14" t="b">
        <f t="shared" si="1"/>
        <v>0</v>
      </c>
      <c r="S2773" s="14" t="str">
        <f t="shared" si="2"/>
        <v>48.518444,44.546054</v>
      </c>
      <c r="T2773" s="12"/>
    </row>
    <row r="2774">
      <c r="A2774" s="18" t="s">
        <v>17958</v>
      </c>
      <c r="B2774" s="8" t="s">
        <v>17959</v>
      </c>
      <c r="C2774" s="8" t="s">
        <v>17960</v>
      </c>
      <c r="D2774" s="8" t="s">
        <v>16</v>
      </c>
      <c r="E2774" s="19" t="s">
        <v>17961</v>
      </c>
      <c r="F2774" s="8" t="s">
        <v>12993</v>
      </c>
      <c r="G2774" s="8">
        <v>23.61</v>
      </c>
      <c r="H2774" s="8"/>
      <c r="I2774" s="8"/>
      <c r="J2774" s="8" t="s">
        <v>17962</v>
      </c>
      <c r="K2774" s="8" t="s">
        <v>17963</v>
      </c>
      <c r="L2774" s="8"/>
      <c r="M2774" s="8"/>
      <c r="N2774" s="12"/>
      <c r="O2774" s="12"/>
      <c r="P2774" s="13">
        <f>IFERROR(__xludf.DUMMYFUNCTION("VALUE(SUBSTITUTE((INDEX(SPLIT(A2774,"",""),1)),""."","","",1))"),48.746512)</f>
        <v>48.746512</v>
      </c>
      <c r="Q2774" s="13">
        <f>IFERROR(__xludf.DUMMYFUNCTION("VALUE(SUBSTITUTE((INDEX(SPLIT(A2774,"",""),2)),""."","","",1))"),44.549368)</f>
        <v>44.549368</v>
      </c>
      <c r="R2774" s="14" t="b">
        <f t="shared" si="1"/>
        <v>0</v>
      </c>
      <c r="S2774" s="14" t="str">
        <f t="shared" si="2"/>
        <v>48.746512,44.549368</v>
      </c>
      <c r="T2774" s="12"/>
    </row>
    <row r="2775">
      <c r="A2775" s="20" t="s">
        <v>17964</v>
      </c>
      <c r="B2775" s="16" t="s">
        <v>17965</v>
      </c>
      <c r="C2775" s="16" t="s">
        <v>17966</v>
      </c>
      <c r="D2775" s="16" t="s">
        <v>16</v>
      </c>
      <c r="E2775" s="21" t="s">
        <v>17967</v>
      </c>
      <c r="F2775" s="22" t="s">
        <v>17033</v>
      </c>
      <c r="G2775" s="16">
        <v>23.61</v>
      </c>
      <c r="H2775" s="16"/>
      <c r="I2775" s="22"/>
      <c r="J2775" s="22" t="s">
        <v>17968</v>
      </c>
      <c r="K2775" s="22" t="s">
        <v>17969</v>
      </c>
      <c r="L2775" s="23" t="s">
        <v>17970</v>
      </c>
      <c r="M2775" s="22"/>
      <c r="N2775" s="12"/>
      <c r="O2775" s="12"/>
      <c r="P2775" s="13">
        <f>IFERROR(__xludf.DUMMYFUNCTION("VALUE(SUBSTITUTE((INDEX(SPLIT(A2775,"",""),1)),""."","","",1))"),48.838811)</f>
        <v>48.838811</v>
      </c>
      <c r="Q2775" s="13">
        <f>IFERROR(__xludf.DUMMYFUNCTION("VALUE(SUBSTITUTE((INDEX(SPLIT(A2775,"",""),2)),""."","","",1))"),44.564756)</f>
        <v>44.564756</v>
      </c>
      <c r="R2775" s="14" t="b">
        <f t="shared" si="1"/>
        <v>0</v>
      </c>
      <c r="S2775" s="14" t="str">
        <f t="shared" si="2"/>
        <v>48.838811,44.564756</v>
      </c>
      <c r="T2775" s="12"/>
    </row>
    <row r="2776">
      <c r="A2776" s="7" t="s">
        <v>17971</v>
      </c>
      <c r="B2776" s="8" t="s">
        <v>17972</v>
      </c>
      <c r="C2776" s="8" t="s">
        <v>17973</v>
      </c>
      <c r="D2776" s="8" t="s">
        <v>16</v>
      </c>
      <c r="E2776" s="9" t="s">
        <v>17974</v>
      </c>
      <c r="F2776" s="10" t="s">
        <v>17033</v>
      </c>
      <c r="G2776" s="8">
        <v>23.61</v>
      </c>
      <c r="H2776" s="8"/>
      <c r="I2776" s="10"/>
      <c r="J2776" s="10" t="s">
        <v>17968</v>
      </c>
      <c r="K2776" s="10" t="s">
        <v>17975</v>
      </c>
      <c r="L2776" s="11" t="s">
        <v>17976</v>
      </c>
      <c r="M2776" s="10"/>
      <c r="N2776" s="12"/>
      <c r="O2776" s="12"/>
      <c r="P2776" s="13">
        <f>IFERROR(__xludf.DUMMYFUNCTION("VALUE(SUBSTITUTE((INDEX(SPLIT(A2776,"",""),1)),""."","","",1))"),43.510351)</f>
        <v>43.510351</v>
      </c>
      <c r="Q2776" s="13">
        <f>IFERROR(__xludf.DUMMYFUNCTION("VALUE(SUBSTITUTE((INDEX(SPLIT(A2776,"",""),2)),""."","","",1))"),44.576318)</f>
        <v>44.576318</v>
      </c>
      <c r="R2776" s="14" t="b">
        <f t="shared" si="1"/>
        <v>0</v>
      </c>
      <c r="S2776" s="14" t="str">
        <f t="shared" si="2"/>
        <v>43.510351,44.576318</v>
      </c>
      <c r="T2776" s="12"/>
    </row>
    <row r="2777">
      <c r="A2777" s="20" t="s">
        <v>17977</v>
      </c>
      <c r="B2777" s="16" t="s">
        <v>17978</v>
      </c>
      <c r="C2777" s="16" t="s">
        <v>17979</v>
      </c>
      <c r="D2777" s="16" t="s">
        <v>16</v>
      </c>
      <c r="E2777" s="21" t="s">
        <v>17980</v>
      </c>
      <c r="F2777" s="22" t="s">
        <v>17033</v>
      </c>
      <c r="G2777" s="16">
        <v>23.61</v>
      </c>
      <c r="H2777" s="16"/>
      <c r="I2777" s="22"/>
      <c r="J2777" s="22" t="s">
        <v>17981</v>
      </c>
      <c r="K2777" s="22" t="s">
        <v>17982</v>
      </c>
      <c r="L2777" s="23" t="s">
        <v>17976</v>
      </c>
      <c r="M2777" s="22"/>
      <c r="N2777" s="12"/>
      <c r="O2777" s="12"/>
      <c r="P2777" s="13">
        <f>IFERROR(__xludf.DUMMYFUNCTION("VALUE(SUBSTITUTE((INDEX(SPLIT(A2777,"",""),1)),""."","","",1))"),43.514738)</f>
        <v>43.514738</v>
      </c>
      <c r="Q2777" s="13">
        <f>IFERROR(__xludf.DUMMYFUNCTION("VALUE(SUBSTITUTE((INDEX(SPLIT(A2777,"",""),2)),""."","","",1))"),44.576417)</f>
        <v>44.576417</v>
      </c>
      <c r="R2777" s="14" t="b">
        <f t="shared" si="1"/>
        <v>0</v>
      </c>
      <c r="S2777" s="14" t="str">
        <f t="shared" si="2"/>
        <v>43.514738,44.576417</v>
      </c>
      <c r="T2777" s="12"/>
    </row>
    <row r="2778">
      <c r="A2778" s="18" t="s">
        <v>17983</v>
      </c>
      <c r="B2778" s="8" t="s">
        <v>17984</v>
      </c>
      <c r="C2778" s="8" t="s">
        <v>17985</v>
      </c>
      <c r="D2778" s="8" t="s">
        <v>16</v>
      </c>
      <c r="E2778" s="19" t="s">
        <v>17986</v>
      </c>
      <c r="F2778" s="8" t="s">
        <v>17033</v>
      </c>
      <c r="G2778" s="8">
        <v>23.61</v>
      </c>
      <c r="H2778" s="8"/>
      <c r="I2778" s="8"/>
      <c r="J2778" s="8" t="s">
        <v>17987</v>
      </c>
      <c r="K2778" s="8" t="s">
        <v>17988</v>
      </c>
      <c r="L2778" s="8"/>
      <c r="M2778" s="24" t="s">
        <v>17989</v>
      </c>
      <c r="N2778" s="12"/>
      <c r="O2778" s="12"/>
      <c r="P2778" s="13">
        <f>IFERROR(__xludf.DUMMYFUNCTION("VALUE(SUBSTITUTE((INDEX(SPLIT(A2778,"",""),1)),""."","","",1))"),43.512711)</f>
        <v>43.512711</v>
      </c>
      <c r="Q2778" s="13">
        <f>IFERROR(__xludf.DUMMYFUNCTION("VALUE(SUBSTITUTE((INDEX(SPLIT(A2778,"",""),2)),""."","","",1))"),44.584483)</f>
        <v>44.584483</v>
      </c>
      <c r="R2778" s="14" t="b">
        <f t="shared" si="1"/>
        <v>0</v>
      </c>
      <c r="S2778" s="14" t="str">
        <f t="shared" si="2"/>
        <v>43.512711,44.584483</v>
      </c>
      <c r="T2778" s="12"/>
    </row>
    <row r="2779">
      <c r="A2779" s="20" t="s">
        <v>17990</v>
      </c>
      <c r="B2779" s="16" t="s">
        <v>17991</v>
      </c>
      <c r="C2779" s="16" t="s">
        <v>17992</v>
      </c>
      <c r="D2779" s="16" t="s">
        <v>16</v>
      </c>
      <c r="E2779" s="21" t="s">
        <v>17993</v>
      </c>
      <c r="F2779" s="22" t="s">
        <v>16486</v>
      </c>
      <c r="G2779" s="16">
        <v>23.61</v>
      </c>
      <c r="H2779" s="16"/>
      <c r="I2779" s="22"/>
      <c r="J2779" s="22" t="s">
        <v>17994</v>
      </c>
      <c r="K2779" s="22" t="s">
        <v>17995</v>
      </c>
      <c r="L2779" s="23" t="s">
        <v>17996</v>
      </c>
      <c r="M2779" s="22"/>
      <c r="N2779" s="12"/>
      <c r="O2779" s="12"/>
      <c r="P2779" s="13">
        <f>IFERROR(__xludf.DUMMYFUNCTION("VALUE(SUBSTITUTE((INDEX(SPLIT(A2779,"",""),1)),""."","","",1))"),48.788881)</f>
        <v>48.788881</v>
      </c>
      <c r="Q2779" s="13">
        <f>IFERROR(__xludf.DUMMYFUNCTION("VALUE(SUBSTITUTE((INDEX(SPLIT(A2779,"",""),2)),""."","","",1))"),44.588795)</f>
        <v>44.588795</v>
      </c>
      <c r="R2779" s="14" t="b">
        <f t="shared" si="1"/>
        <v>0</v>
      </c>
      <c r="S2779" s="14" t="str">
        <f t="shared" si="2"/>
        <v>48.788881,44.588795</v>
      </c>
      <c r="T2779" s="12"/>
    </row>
    <row r="2780">
      <c r="A2780" s="18" t="s">
        <v>17997</v>
      </c>
      <c r="B2780" s="8" t="s">
        <v>17998</v>
      </c>
      <c r="C2780" s="8" t="s">
        <v>17999</v>
      </c>
      <c r="D2780" s="8" t="s">
        <v>16</v>
      </c>
      <c r="E2780" s="19" t="s">
        <v>18000</v>
      </c>
      <c r="F2780" s="8" t="s">
        <v>16486</v>
      </c>
      <c r="G2780" s="8">
        <v>23.61</v>
      </c>
      <c r="H2780" s="8"/>
      <c r="I2780" s="8"/>
      <c r="J2780" s="8" t="s">
        <v>18001</v>
      </c>
      <c r="K2780" s="8" t="s">
        <v>18002</v>
      </c>
      <c r="L2780" s="8"/>
      <c r="M2780" s="8"/>
      <c r="N2780" s="12"/>
      <c r="O2780" s="12"/>
      <c r="P2780" s="13">
        <f>IFERROR(__xludf.DUMMYFUNCTION("VALUE(SUBSTITUTE((INDEX(SPLIT(A2780,"",""),1)),""."","","",1))"),48.782268)</f>
        <v>48.782268</v>
      </c>
      <c r="Q2780" s="13">
        <f>IFERROR(__xludf.DUMMYFUNCTION("VALUE(SUBSTITUTE((INDEX(SPLIT(A2780,"",""),2)),""."","","",1))"),44.596036)</f>
        <v>44.596036</v>
      </c>
      <c r="R2780" s="14" t="b">
        <f t="shared" si="1"/>
        <v>0</v>
      </c>
      <c r="S2780" s="14" t="str">
        <f t="shared" si="2"/>
        <v>48.782268,44.596036</v>
      </c>
      <c r="T2780" s="12"/>
    </row>
    <row r="2781">
      <c r="A2781" s="20" t="s">
        <v>18003</v>
      </c>
      <c r="B2781" s="16" t="s">
        <v>18004</v>
      </c>
      <c r="C2781" s="16" t="s">
        <v>18005</v>
      </c>
      <c r="D2781" s="16" t="s">
        <v>16</v>
      </c>
      <c r="E2781" s="21" t="s">
        <v>18006</v>
      </c>
      <c r="F2781" s="22" t="s">
        <v>16486</v>
      </c>
      <c r="G2781" s="16">
        <v>23.61</v>
      </c>
      <c r="H2781" s="16"/>
      <c r="I2781" s="22"/>
      <c r="J2781" s="22" t="s">
        <v>18007</v>
      </c>
      <c r="K2781" s="22" t="s">
        <v>18008</v>
      </c>
      <c r="L2781" s="23" t="s">
        <v>18009</v>
      </c>
      <c r="M2781" s="22"/>
      <c r="N2781" s="12"/>
      <c r="O2781" s="12"/>
      <c r="P2781" s="13">
        <f>IFERROR(__xludf.DUMMYFUNCTION("VALUE(SUBSTITUTE((INDEX(SPLIT(A2781,"",""),1)),""."","","",1))"),43.488313)</f>
        <v>43.488313</v>
      </c>
      <c r="Q2781" s="13">
        <f>IFERROR(__xludf.DUMMYFUNCTION("VALUE(SUBSTITUTE((INDEX(SPLIT(A2781,"",""),2)),""."","","",1))"),44.596674)</f>
        <v>44.596674</v>
      </c>
      <c r="R2781" s="14" t="b">
        <f t="shared" si="1"/>
        <v>0</v>
      </c>
      <c r="S2781" s="14" t="str">
        <f t="shared" si="2"/>
        <v>43.488313,44.596674</v>
      </c>
      <c r="T2781" s="12"/>
    </row>
    <row r="2782">
      <c r="A2782" s="18" t="s">
        <v>18010</v>
      </c>
      <c r="B2782" s="8" t="s">
        <v>18011</v>
      </c>
      <c r="C2782" s="8" t="s">
        <v>18012</v>
      </c>
      <c r="D2782" s="8" t="s">
        <v>16</v>
      </c>
      <c r="E2782" s="19" t="s">
        <v>18013</v>
      </c>
      <c r="F2782" s="8" t="s">
        <v>17033</v>
      </c>
      <c r="G2782" s="8">
        <v>23.61</v>
      </c>
      <c r="H2782" s="8"/>
      <c r="I2782" s="27" t="s">
        <v>18014</v>
      </c>
      <c r="J2782" s="8" t="s">
        <v>18015</v>
      </c>
      <c r="K2782" s="8" t="s">
        <v>18016</v>
      </c>
      <c r="L2782" s="8"/>
      <c r="M2782" s="8"/>
      <c r="N2782" s="12"/>
      <c r="O2782" s="12"/>
      <c r="P2782" s="13">
        <f>IFERROR(__xludf.DUMMYFUNCTION("VALUE(SUBSTITUTE((INDEX(SPLIT(A2782,"",""),1)),""."","","",1))"),48.49397)</f>
        <v>48.49397</v>
      </c>
      <c r="Q2782" s="13">
        <f>IFERROR(__xludf.DUMMYFUNCTION("VALUE(SUBSTITUTE((INDEX(SPLIT(A2782,"",""),2)),""."","","",1))"),44.597752)</f>
        <v>44.597752</v>
      </c>
      <c r="R2782" s="14" t="b">
        <f t="shared" si="1"/>
        <v>0</v>
      </c>
      <c r="S2782" s="14" t="str">
        <f t="shared" si="2"/>
        <v>48.49397,44.597752</v>
      </c>
      <c r="T2782" s="12"/>
    </row>
    <row r="2783">
      <c r="A2783" s="15" t="s">
        <v>18017</v>
      </c>
      <c r="B2783" s="16" t="s">
        <v>18018</v>
      </c>
      <c r="C2783" s="16" t="s">
        <v>18019</v>
      </c>
      <c r="D2783" s="16" t="s">
        <v>16</v>
      </c>
      <c r="E2783" s="17" t="s">
        <v>18020</v>
      </c>
      <c r="F2783" s="16" t="s">
        <v>17033</v>
      </c>
      <c r="G2783" s="16">
        <v>23.61</v>
      </c>
      <c r="H2783" s="16"/>
      <c r="I2783" s="16"/>
      <c r="J2783" s="16" t="s">
        <v>18021</v>
      </c>
      <c r="K2783" s="16" t="s">
        <v>18022</v>
      </c>
      <c r="L2783" s="16"/>
      <c r="M2783" s="25" t="s">
        <v>18023</v>
      </c>
      <c r="N2783" s="12"/>
      <c r="O2783" s="12"/>
      <c r="P2783" s="13">
        <f>IFERROR(__xludf.DUMMYFUNCTION("VALUE(SUBSTITUTE((INDEX(SPLIT(A2783,"",""),1)),""."","","",1))"),48.839855)</f>
        <v>48.839855</v>
      </c>
      <c r="Q2783" s="13">
        <f>IFERROR(__xludf.DUMMYFUNCTION("VALUE(SUBSTITUTE((INDEX(SPLIT(A2783,"",""),2)),""."","","",1))"),44.601911)</f>
        <v>44.601911</v>
      </c>
      <c r="R2783" s="14" t="b">
        <f t="shared" si="1"/>
        <v>0</v>
      </c>
      <c r="S2783" s="14" t="str">
        <f t="shared" si="2"/>
        <v>48.839855,44.601911</v>
      </c>
      <c r="T2783" s="12"/>
    </row>
    <row r="2784">
      <c r="A2784" s="18" t="s">
        <v>18024</v>
      </c>
      <c r="B2784" s="8" t="s">
        <v>18025</v>
      </c>
      <c r="C2784" s="8" t="s">
        <v>18026</v>
      </c>
      <c r="D2784" s="8" t="s">
        <v>16</v>
      </c>
      <c r="E2784" s="19" t="s">
        <v>18027</v>
      </c>
      <c r="F2784" s="8" t="s">
        <v>16486</v>
      </c>
      <c r="G2784" s="8">
        <v>23.61</v>
      </c>
      <c r="H2784" s="8"/>
      <c r="I2784" s="8"/>
      <c r="J2784" s="8" t="s">
        <v>18028</v>
      </c>
      <c r="K2784" s="8" t="s">
        <v>18029</v>
      </c>
      <c r="L2784" s="8"/>
      <c r="M2784" s="8"/>
      <c r="N2784" s="12"/>
      <c r="O2784" s="12"/>
      <c r="P2784" s="13">
        <f>IFERROR(__xludf.DUMMYFUNCTION("VALUE(SUBSTITUTE((INDEX(SPLIT(A2784,"",""),1)),""."","","",1))"),43.094091)</f>
        <v>43.094091</v>
      </c>
      <c r="Q2784" s="13">
        <f>IFERROR(__xludf.DUMMYFUNCTION("VALUE(SUBSTITUTE((INDEX(SPLIT(A2784,"",""),2)),""."","","",1))"),44.618548)</f>
        <v>44.618548</v>
      </c>
      <c r="R2784" s="14" t="b">
        <f t="shared" si="1"/>
        <v>0</v>
      </c>
      <c r="S2784" s="14" t="str">
        <f t="shared" si="2"/>
        <v>43.094091,44.618548</v>
      </c>
      <c r="T2784" s="12"/>
    </row>
    <row r="2785">
      <c r="A2785" s="20" t="s">
        <v>18030</v>
      </c>
      <c r="B2785" s="16" t="s">
        <v>18031</v>
      </c>
      <c r="C2785" s="16" t="s">
        <v>18032</v>
      </c>
      <c r="D2785" s="16" t="s">
        <v>16</v>
      </c>
      <c r="E2785" s="21" t="s">
        <v>18033</v>
      </c>
      <c r="F2785" s="22" t="s">
        <v>12993</v>
      </c>
      <c r="G2785" s="16">
        <v>23.61</v>
      </c>
      <c r="H2785" s="16"/>
      <c r="I2785" s="22"/>
      <c r="J2785" s="22" t="s">
        <v>18034</v>
      </c>
      <c r="K2785" s="22" t="s">
        <v>16813</v>
      </c>
      <c r="L2785" s="23" t="s">
        <v>18035</v>
      </c>
      <c r="M2785" s="22"/>
      <c r="N2785" s="12"/>
      <c r="O2785" s="12"/>
      <c r="P2785" s="13">
        <f>IFERROR(__xludf.DUMMYFUNCTION("VALUE(SUBSTITUTE((INDEX(SPLIT(A2785,"",""),1)),""."","","",1))"),43.514195)</f>
        <v>43.514195</v>
      </c>
      <c r="Q2785" s="13">
        <f>IFERROR(__xludf.DUMMYFUNCTION("VALUE(SUBSTITUTE((INDEX(SPLIT(A2785,"",""),2)),""."","","",1))"),44.623659)</f>
        <v>44.623659</v>
      </c>
      <c r="R2785" s="14" t="b">
        <f t="shared" si="1"/>
        <v>0</v>
      </c>
      <c r="S2785" s="14" t="str">
        <f t="shared" si="2"/>
        <v>43.514195,44.623659</v>
      </c>
      <c r="T2785" s="12"/>
    </row>
    <row r="2786">
      <c r="A2786" s="7" t="s">
        <v>18036</v>
      </c>
      <c r="B2786" s="8" t="s">
        <v>18037</v>
      </c>
      <c r="C2786" s="8" t="s">
        <v>18038</v>
      </c>
      <c r="D2786" s="8" t="s">
        <v>16</v>
      </c>
      <c r="E2786" s="9" t="s">
        <v>18039</v>
      </c>
      <c r="F2786" s="10" t="s">
        <v>16486</v>
      </c>
      <c r="G2786" s="8">
        <v>23.61</v>
      </c>
      <c r="H2786" s="8"/>
      <c r="I2786" s="10"/>
      <c r="J2786" s="10" t="s">
        <v>18040</v>
      </c>
      <c r="K2786" s="10" t="s">
        <v>18041</v>
      </c>
      <c r="L2786" s="11" t="s">
        <v>18042</v>
      </c>
      <c r="M2786" s="11" t="s">
        <v>18043</v>
      </c>
      <c r="N2786" s="12"/>
      <c r="O2786" s="12"/>
      <c r="P2786" s="13">
        <f>IFERROR(__xludf.DUMMYFUNCTION("VALUE(SUBSTITUTE((INDEX(SPLIT(A2786,"",""),1)),""."","","",1))"),43.044136)</f>
        <v>43.044136</v>
      </c>
      <c r="Q2786" s="13">
        <f>IFERROR(__xludf.DUMMYFUNCTION("VALUE(SUBSTITUTE((INDEX(SPLIT(A2786,"",""),2)),""."","","",1))"),44.629669)</f>
        <v>44.629669</v>
      </c>
      <c r="R2786" s="14" t="b">
        <f t="shared" si="1"/>
        <v>0</v>
      </c>
      <c r="S2786" s="14" t="str">
        <f t="shared" si="2"/>
        <v>43.044136,44.629669</v>
      </c>
      <c r="T2786" s="12"/>
    </row>
    <row r="2787">
      <c r="A2787" s="15" t="s">
        <v>18044</v>
      </c>
      <c r="B2787" s="16" t="s">
        <v>18045</v>
      </c>
      <c r="C2787" s="16" t="s">
        <v>18046</v>
      </c>
      <c r="D2787" s="16" t="s">
        <v>16</v>
      </c>
      <c r="E2787" s="17" t="s">
        <v>18047</v>
      </c>
      <c r="F2787" s="16" t="s">
        <v>12993</v>
      </c>
      <c r="G2787" s="16">
        <v>23.61</v>
      </c>
      <c r="H2787" s="16"/>
      <c r="I2787" s="16"/>
      <c r="J2787" s="16" t="s">
        <v>18048</v>
      </c>
      <c r="K2787" s="16" t="s">
        <v>18049</v>
      </c>
      <c r="L2787" s="16"/>
      <c r="M2787" s="16"/>
      <c r="N2787" s="12"/>
      <c r="O2787" s="12"/>
      <c r="P2787" s="13">
        <f>IFERROR(__xludf.DUMMYFUNCTION("VALUE(SUBSTITUTE((INDEX(SPLIT(A2787,"",""),1)),""."","","",1))"),43.046468)</f>
        <v>43.046468</v>
      </c>
      <c r="Q2787" s="13">
        <f>IFERROR(__xludf.DUMMYFUNCTION("VALUE(SUBSTITUTE((INDEX(SPLIT(A2787,"",""),2)),""."","","",1))"),44.636783)</f>
        <v>44.636783</v>
      </c>
      <c r="R2787" s="14" t="b">
        <f t="shared" si="1"/>
        <v>0</v>
      </c>
      <c r="S2787" s="14" t="str">
        <f t="shared" si="2"/>
        <v>43.046468,44.636783</v>
      </c>
      <c r="T2787" s="12"/>
    </row>
    <row r="2788">
      <c r="A2788" s="7" t="s">
        <v>18050</v>
      </c>
      <c r="B2788" s="8" t="s">
        <v>18051</v>
      </c>
      <c r="C2788" s="8" t="s">
        <v>18052</v>
      </c>
      <c r="D2788" s="8" t="s">
        <v>16</v>
      </c>
      <c r="E2788" s="9" t="s">
        <v>18053</v>
      </c>
      <c r="F2788" s="10" t="s">
        <v>16486</v>
      </c>
      <c r="G2788" s="8">
        <v>23.61</v>
      </c>
      <c r="H2788" s="8"/>
      <c r="I2788" s="10"/>
      <c r="J2788" s="10" t="s">
        <v>18054</v>
      </c>
      <c r="K2788" s="10" t="s">
        <v>18055</v>
      </c>
      <c r="L2788" s="11" t="s">
        <v>18056</v>
      </c>
      <c r="M2788" s="10"/>
      <c r="N2788" s="12"/>
      <c r="O2788" s="12"/>
      <c r="P2788" s="13">
        <f>IFERROR(__xludf.DUMMYFUNCTION("VALUE(SUBSTITUTE((INDEX(SPLIT(A2788,"",""),1)),""."","","",1))"),43.024874)</f>
        <v>43.024874</v>
      </c>
      <c r="Q2788" s="13">
        <f>IFERROR(__xludf.DUMMYFUNCTION("VALUE(SUBSTITUTE((INDEX(SPLIT(A2788,"",""),2)),""."","","",1))"),44.638086)</f>
        <v>44.638086</v>
      </c>
      <c r="R2788" s="14" t="b">
        <f t="shared" si="1"/>
        <v>0</v>
      </c>
      <c r="S2788" s="14" t="str">
        <f t="shared" si="2"/>
        <v>43.024874,44.638086</v>
      </c>
      <c r="T2788" s="12"/>
    </row>
    <row r="2789">
      <c r="A2789" s="15" t="s">
        <v>18057</v>
      </c>
      <c r="B2789" s="16" t="s">
        <v>18058</v>
      </c>
      <c r="C2789" s="16" t="s">
        <v>18059</v>
      </c>
      <c r="D2789" s="16" t="s">
        <v>16</v>
      </c>
      <c r="E2789" s="17" t="s">
        <v>18060</v>
      </c>
      <c r="F2789" s="16" t="s">
        <v>16486</v>
      </c>
      <c r="G2789" s="16">
        <v>23.61</v>
      </c>
      <c r="H2789" s="16"/>
      <c r="I2789" s="16"/>
      <c r="J2789" s="16" t="s">
        <v>18061</v>
      </c>
      <c r="K2789" s="16" t="s">
        <v>18062</v>
      </c>
      <c r="L2789" s="16"/>
      <c r="M2789" s="16"/>
      <c r="N2789" s="12"/>
      <c r="O2789" s="12"/>
      <c r="P2789" s="13">
        <f>IFERROR(__xludf.DUMMYFUNCTION("VALUE(SUBSTITUTE((INDEX(SPLIT(A2789,"",""),1)),""."","","",1))"),48.702168)</f>
        <v>48.702168</v>
      </c>
      <c r="Q2789" s="13">
        <f>IFERROR(__xludf.DUMMYFUNCTION("VALUE(SUBSTITUTE((INDEX(SPLIT(A2789,"",""),2)),""."","","",1))"),44.639137)</f>
        <v>44.639137</v>
      </c>
      <c r="R2789" s="14" t="b">
        <f t="shared" si="1"/>
        <v>0</v>
      </c>
      <c r="S2789" s="14" t="str">
        <f t="shared" si="2"/>
        <v>48.702168,44.639137</v>
      </c>
      <c r="T2789" s="12"/>
    </row>
    <row r="2790">
      <c r="A2790" s="7" t="s">
        <v>18063</v>
      </c>
      <c r="B2790" s="8" t="s">
        <v>18064</v>
      </c>
      <c r="C2790" s="8" t="s">
        <v>18065</v>
      </c>
      <c r="D2790" s="8" t="s">
        <v>16</v>
      </c>
      <c r="E2790" s="9" t="s">
        <v>18066</v>
      </c>
      <c r="F2790" s="10" t="s">
        <v>13111</v>
      </c>
      <c r="G2790" s="8">
        <v>23.61</v>
      </c>
      <c r="H2790" s="8"/>
      <c r="I2790" s="10"/>
      <c r="J2790" s="10" t="s">
        <v>18067</v>
      </c>
      <c r="K2790" s="10" t="s">
        <v>18068</v>
      </c>
      <c r="L2790" s="11" t="s">
        <v>18069</v>
      </c>
      <c r="M2790" s="10"/>
      <c r="N2790" s="12"/>
      <c r="O2790" s="12"/>
      <c r="P2790" s="13">
        <f>IFERROR(__xludf.DUMMYFUNCTION("VALUE(SUBSTITUTE((INDEX(SPLIT(A2790,"",""),1)),""."","","",1))"),43.059617)</f>
        <v>43.059617</v>
      </c>
      <c r="Q2790" s="13">
        <f>IFERROR(__xludf.DUMMYFUNCTION("VALUE(SUBSTITUTE((INDEX(SPLIT(A2790,"",""),2)),""."","","",1))"),44.653276)</f>
        <v>44.653276</v>
      </c>
      <c r="R2790" s="14" t="b">
        <f t="shared" si="1"/>
        <v>0</v>
      </c>
      <c r="S2790" s="14" t="str">
        <f t="shared" si="2"/>
        <v>43.059617,44.653276</v>
      </c>
      <c r="T2790" s="12"/>
    </row>
    <row r="2791">
      <c r="A2791" s="20" t="s">
        <v>18070</v>
      </c>
      <c r="B2791" s="16" t="s">
        <v>18071</v>
      </c>
      <c r="C2791" s="16" t="s">
        <v>18072</v>
      </c>
      <c r="D2791" s="16" t="s">
        <v>16</v>
      </c>
      <c r="E2791" s="21" t="s">
        <v>18073</v>
      </c>
      <c r="F2791" s="22" t="s">
        <v>13111</v>
      </c>
      <c r="G2791" s="16">
        <v>23.61</v>
      </c>
      <c r="H2791" s="16"/>
      <c r="I2791" s="22"/>
      <c r="J2791" s="22" t="s">
        <v>18074</v>
      </c>
      <c r="K2791" s="22" t="s">
        <v>18075</v>
      </c>
      <c r="L2791" s="23" t="s">
        <v>18076</v>
      </c>
      <c r="M2791" s="23" t="s">
        <v>18077</v>
      </c>
      <c r="N2791" s="12"/>
      <c r="O2791" s="12"/>
      <c r="P2791" s="13">
        <f>IFERROR(__xludf.DUMMYFUNCTION("VALUE(SUBSTITUTE((INDEX(SPLIT(A2791,"",""),1)),""."","","",1))"),43.02289)</f>
        <v>43.02289</v>
      </c>
      <c r="Q2791" s="13">
        <f>IFERROR(__xludf.DUMMYFUNCTION("VALUE(SUBSTITUTE((INDEX(SPLIT(A2791,"",""),2)),""."","","",1))"),44.65722)</f>
        <v>44.65722</v>
      </c>
      <c r="R2791" s="14" t="b">
        <f t="shared" si="1"/>
        <v>0</v>
      </c>
      <c r="S2791" s="14" t="str">
        <f t="shared" si="2"/>
        <v>43.02289,44.65722</v>
      </c>
      <c r="T2791" s="12"/>
    </row>
    <row r="2792">
      <c r="A2792" s="18" t="s">
        <v>18078</v>
      </c>
      <c r="B2792" s="8" t="s">
        <v>17947</v>
      </c>
      <c r="C2792" s="8" t="s">
        <v>17948</v>
      </c>
      <c r="D2792" s="8" t="s">
        <v>16</v>
      </c>
      <c r="E2792" s="19" t="s">
        <v>18079</v>
      </c>
      <c r="F2792" s="8" t="s">
        <v>16486</v>
      </c>
      <c r="G2792" s="8">
        <v>23.61</v>
      </c>
      <c r="H2792" s="8"/>
      <c r="I2792" s="8"/>
      <c r="J2792" s="8" t="s">
        <v>18080</v>
      </c>
      <c r="K2792" s="8" t="s">
        <v>18081</v>
      </c>
      <c r="L2792" s="8"/>
      <c r="M2792" s="8"/>
      <c r="N2792" s="12"/>
      <c r="O2792" s="12"/>
      <c r="P2792" s="13">
        <f>IFERROR(__xludf.DUMMYFUNCTION("VALUE(SUBSTITUTE((INDEX(SPLIT(A2792,"",""),1)),""."","","",1))"),43.095809)</f>
        <v>43.095809</v>
      </c>
      <c r="Q2792" s="13">
        <f>IFERROR(__xludf.DUMMYFUNCTION("VALUE(SUBSTITUTE((INDEX(SPLIT(A2792,"",""),2)),""."","","",1))"),44.65846)</f>
        <v>44.65846</v>
      </c>
      <c r="R2792" s="14" t="b">
        <f t="shared" si="1"/>
        <v>0</v>
      </c>
      <c r="S2792" s="14" t="str">
        <f t="shared" si="2"/>
        <v>43.095809,44.65846</v>
      </c>
      <c r="T2792" s="12"/>
    </row>
    <row r="2793">
      <c r="A2793" s="15" t="s">
        <v>18082</v>
      </c>
      <c r="B2793" s="16" t="s">
        <v>18083</v>
      </c>
      <c r="C2793" s="16" t="s">
        <v>18084</v>
      </c>
      <c r="D2793" s="16" t="s">
        <v>16</v>
      </c>
      <c r="E2793" s="17" t="s">
        <v>18085</v>
      </c>
      <c r="F2793" s="16" t="s">
        <v>8566</v>
      </c>
      <c r="G2793" s="16">
        <v>23.61</v>
      </c>
      <c r="H2793" s="16"/>
      <c r="I2793" s="32" t="s">
        <v>18086</v>
      </c>
      <c r="J2793" s="16" t="s">
        <v>18087</v>
      </c>
      <c r="K2793" s="16" t="s">
        <v>18088</v>
      </c>
      <c r="L2793" s="16"/>
      <c r="M2793" s="25" t="s">
        <v>18089</v>
      </c>
      <c r="N2793" s="12"/>
      <c r="O2793" s="12"/>
      <c r="P2793" s="13">
        <f>IFERROR(__xludf.DUMMYFUNCTION("VALUE(SUBSTITUTE((INDEX(SPLIT(A2793,"",""),1)),""."","","",1))"),43.021123)</f>
        <v>43.021123</v>
      </c>
      <c r="Q2793" s="13">
        <f>IFERROR(__xludf.DUMMYFUNCTION("VALUE(SUBSTITUTE((INDEX(SPLIT(A2793,"",""),2)),""."","","",1))"),44.669904)</f>
        <v>44.669904</v>
      </c>
      <c r="R2793" s="14" t="b">
        <f t="shared" si="1"/>
        <v>0</v>
      </c>
      <c r="S2793" s="14" t="str">
        <f t="shared" si="2"/>
        <v>43.021123,44.669904</v>
      </c>
      <c r="T2793" s="12"/>
    </row>
    <row r="2794">
      <c r="A2794" s="18" t="s">
        <v>18090</v>
      </c>
      <c r="B2794" s="8" t="s">
        <v>18091</v>
      </c>
      <c r="C2794" s="8" t="s">
        <v>18092</v>
      </c>
      <c r="D2794" s="8" t="s">
        <v>16</v>
      </c>
      <c r="E2794" s="19" t="s">
        <v>18093</v>
      </c>
      <c r="F2794" s="8" t="s">
        <v>16486</v>
      </c>
      <c r="G2794" s="8">
        <v>23.61</v>
      </c>
      <c r="H2794" s="8"/>
      <c r="I2794" s="8"/>
      <c r="J2794" s="8" t="s">
        <v>18094</v>
      </c>
      <c r="K2794" s="8" t="s">
        <v>18095</v>
      </c>
      <c r="L2794" s="8"/>
      <c r="M2794" s="8"/>
      <c r="N2794" s="12"/>
      <c r="O2794" s="12"/>
      <c r="P2794" s="13">
        <f>IFERROR(__xludf.DUMMYFUNCTION("VALUE(SUBSTITUTE((INDEX(SPLIT(A2794,"",""),1)),""."","","",1))"),43.015356)</f>
        <v>43.015356</v>
      </c>
      <c r="Q2794" s="13">
        <f>IFERROR(__xludf.DUMMYFUNCTION("VALUE(SUBSTITUTE((INDEX(SPLIT(A2794,"",""),2)),""."","","",1))"),44.674387)</f>
        <v>44.674387</v>
      </c>
      <c r="R2794" s="14" t="b">
        <f t="shared" si="1"/>
        <v>0</v>
      </c>
      <c r="S2794" s="14" t="str">
        <f t="shared" si="2"/>
        <v>43.015356,44.674387</v>
      </c>
      <c r="T2794" s="12"/>
    </row>
    <row r="2795">
      <c r="A2795" s="20" t="s">
        <v>18096</v>
      </c>
      <c r="B2795" s="16" t="s">
        <v>18097</v>
      </c>
      <c r="C2795" s="16" t="s">
        <v>18098</v>
      </c>
      <c r="D2795" s="16" t="s">
        <v>16</v>
      </c>
      <c r="E2795" s="21" t="s">
        <v>18099</v>
      </c>
      <c r="F2795" s="22" t="s">
        <v>16486</v>
      </c>
      <c r="G2795" s="16">
        <v>23.61</v>
      </c>
      <c r="H2795" s="16"/>
      <c r="I2795" s="22"/>
      <c r="J2795" s="22" t="s">
        <v>18100</v>
      </c>
      <c r="K2795" s="22" t="s">
        <v>18101</v>
      </c>
      <c r="L2795" s="23" t="s">
        <v>18102</v>
      </c>
      <c r="M2795" s="23" t="s">
        <v>18103</v>
      </c>
      <c r="N2795" s="12"/>
      <c r="O2795" s="12"/>
      <c r="P2795" s="13">
        <f>IFERROR(__xludf.DUMMYFUNCTION("VALUE(SUBSTITUTE((INDEX(SPLIT(A2795,"",""),1)),""."","","",1))"),43.05886)</f>
        <v>43.05886</v>
      </c>
      <c r="Q2795" s="13">
        <f>IFERROR(__xludf.DUMMYFUNCTION("VALUE(SUBSTITUTE((INDEX(SPLIT(A2795,"",""),2)),""."","","",1))"),44.676588)</f>
        <v>44.676588</v>
      </c>
      <c r="R2795" s="14" t="b">
        <f t="shared" si="1"/>
        <v>0</v>
      </c>
      <c r="S2795" s="14" t="str">
        <f t="shared" si="2"/>
        <v>43.05886,44.676588</v>
      </c>
      <c r="T2795" s="12"/>
    </row>
    <row r="2796">
      <c r="A2796" s="18" t="s">
        <v>18104</v>
      </c>
      <c r="B2796" s="8" t="s">
        <v>18105</v>
      </c>
      <c r="C2796" s="8" t="s">
        <v>544</v>
      </c>
      <c r="D2796" s="8" t="s">
        <v>16</v>
      </c>
      <c r="E2796" s="19" t="s">
        <v>18106</v>
      </c>
      <c r="F2796" s="8" t="s">
        <v>16486</v>
      </c>
      <c r="G2796" s="8">
        <v>23.61</v>
      </c>
      <c r="H2796" s="8"/>
      <c r="I2796" s="8"/>
      <c r="J2796" s="8" t="s">
        <v>18107</v>
      </c>
      <c r="K2796" s="8" t="s">
        <v>18108</v>
      </c>
      <c r="L2796" s="8"/>
      <c r="M2796" s="8"/>
      <c r="N2796" s="12"/>
      <c r="O2796" s="12"/>
      <c r="P2796" s="13">
        <f>IFERROR(__xludf.DUMMYFUNCTION("VALUE(SUBSTITUTE((INDEX(SPLIT(A2796,"",""),1)),""."","","",1))"),43.024386)</f>
        <v>43.024386</v>
      </c>
      <c r="Q2796" s="13">
        <f>IFERROR(__xludf.DUMMYFUNCTION("VALUE(SUBSTITUTE((INDEX(SPLIT(A2796,"",""),2)),""."","","",1))"),44.680864)</f>
        <v>44.680864</v>
      </c>
      <c r="R2796" s="14" t="b">
        <f t="shared" si="1"/>
        <v>0</v>
      </c>
      <c r="S2796" s="14" t="str">
        <f t="shared" si="2"/>
        <v>43.024386,44.680864</v>
      </c>
      <c r="T2796" s="12"/>
    </row>
    <row r="2797">
      <c r="A2797" s="20" t="s">
        <v>18109</v>
      </c>
      <c r="B2797" s="16" t="s">
        <v>18110</v>
      </c>
      <c r="C2797" s="16" t="s">
        <v>18111</v>
      </c>
      <c r="D2797" s="16" t="s">
        <v>16</v>
      </c>
      <c r="E2797" s="21" t="s">
        <v>18112</v>
      </c>
      <c r="F2797" s="22" t="s">
        <v>16486</v>
      </c>
      <c r="G2797" s="16">
        <v>23.61</v>
      </c>
      <c r="H2797" s="16"/>
      <c r="I2797" s="22"/>
      <c r="J2797" s="22" t="s">
        <v>18113</v>
      </c>
      <c r="K2797" s="22" t="s">
        <v>18114</v>
      </c>
      <c r="L2797" s="23" t="s">
        <v>18115</v>
      </c>
      <c r="M2797" s="22"/>
      <c r="N2797" s="12"/>
      <c r="O2797" s="12"/>
      <c r="P2797" s="13">
        <f>IFERROR(__xludf.DUMMYFUNCTION("VALUE(SUBSTITUTE((INDEX(SPLIT(A2797,"",""),1)),""."","","",1))"),43.063411)</f>
        <v>43.063411</v>
      </c>
      <c r="Q2797" s="13">
        <f>IFERROR(__xludf.DUMMYFUNCTION("VALUE(SUBSTITUTE((INDEX(SPLIT(A2797,"",""),2)),""."","","",1))"),44.689308)</f>
        <v>44.689308</v>
      </c>
      <c r="R2797" s="14" t="b">
        <f t="shared" si="1"/>
        <v>0</v>
      </c>
      <c r="S2797" s="14" t="str">
        <f t="shared" si="2"/>
        <v>43.063411,44.689308</v>
      </c>
      <c r="T2797" s="12"/>
    </row>
    <row r="2798">
      <c r="A2798" s="7" t="s">
        <v>18116</v>
      </c>
      <c r="B2798" s="8" t="s">
        <v>18117</v>
      </c>
      <c r="C2798" s="8" t="s">
        <v>18118</v>
      </c>
      <c r="D2798" s="8" t="s">
        <v>16</v>
      </c>
      <c r="E2798" s="9" t="s">
        <v>18119</v>
      </c>
      <c r="F2798" s="10" t="s">
        <v>16486</v>
      </c>
      <c r="G2798" s="8">
        <v>23.61</v>
      </c>
      <c r="H2798" s="8"/>
      <c r="I2798" s="10"/>
      <c r="J2798" s="10" t="s">
        <v>18120</v>
      </c>
      <c r="K2798" s="10" t="s">
        <v>18121</v>
      </c>
      <c r="L2798" s="11" t="s">
        <v>18122</v>
      </c>
      <c r="M2798" s="10"/>
      <c r="N2798" s="12"/>
      <c r="O2798" s="12"/>
      <c r="P2798" s="13">
        <f>IFERROR(__xludf.DUMMYFUNCTION("VALUE(SUBSTITUTE((INDEX(SPLIT(A2798,"",""),1)),""."","","",1))"),43.354502)</f>
        <v>43.354502</v>
      </c>
      <c r="Q2798" s="13">
        <f>IFERROR(__xludf.DUMMYFUNCTION("VALUE(SUBSTITUTE((INDEX(SPLIT(A2798,"",""),2)),""."","","",1))"),44.690907)</f>
        <v>44.690907</v>
      </c>
      <c r="R2798" s="14" t="b">
        <f t="shared" si="1"/>
        <v>0</v>
      </c>
      <c r="S2798" s="14" t="str">
        <f t="shared" si="2"/>
        <v>43.354502,44.690907</v>
      </c>
      <c r="T2798" s="12"/>
    </row>
    <row r="2799">
      <c r="A2799" s="15" t="s">
        <v>18123</v>
      </c>
      <c r="B2799" s="16" t="s">
        <v>89</v>
      </c>
      <c r="C2799" s="16" t="s">
        <v>90</v>
      </c>
      <c r="D2799" s="16" t="s">
        <v>16</v>
      </c>
      <c r="E2799" s="17" t="s">
        <v>18124</v>
      </c>
      <c r="F2799" s="16" t="s">
        <v>17033</v>
      </c>
      <c r="G2799" s="16">
        <v>23.61</v>
      </c>
      <c r="H2799" s="16"/>
      <c r="I2799" s="16"/>
      <c r="J2799" s="16" t="s">
        <v>18125</v>
      </c>
      <c r="K2799" s="16" t="s">
        <v>18126</v>
      </c>
      <c r="L2799" s="16"/>
      <c r="M2799" s="16"/>
      <c r="N2799" s="12"/>
      <c r="O2799" s="12"/>
      <c r="P2799" s="13">
        <f>IFERROR(__xludf.DUMMYFUNCTION("VALUE(SUBSTITUTE((INDEX(SPLIT(A2799,"",""),1)),""."","","",1))"),43.075352)</f>
        <v>43.075352</v>
      </c>
      <c r="Q2799" s="13">
        <f>IFERROR(__xludf.DUMMYFUNCTION("VALUE(SUBSTITUTE((INDEX(SPLIT(A2799,"",""),2)),""."","","",1))"),44.692209)</f>
        <v>44.692209</v>
      </c>
      <c r="R2799" s="14" t="b">
        <f t="shared" si="1"/>
        <v>0</v>
      </c>
      <c r="S2799" s="14" t="str">
        <f t="shared" si="2"/>
        <v>43.075352,44.692209</v>
      </c>
      <c r="T2799" s="12"/>
    </row>
    <row r="2800">
      <c r="A2800" s="18" t="s">
        <v>18127</v>
      </c>
      <c r="B2800" s="8" t="s">
        <v>18128</v>
      </c>
      <c r="C2800" s="8" t="s">
        <v>18129</v>
      </c>
      <c r="D2800" s="8" t="s">
        <v>16</v>
      </c>
      <c r="E2800" s="19" t="s">
        <v>18130</v>
      </c>
      <c r="F2800" s="8" t="s">
        <v>16486</v>
      </c>
      <c r="G2800" s="8">
        <v>23.61</v>
      </c>
      <c r="H2800" s="8"/>
      <c r="I2800" s="8"/>
      <c r="J2800" s="8" t="s">
        <v>18131</v>
      </c>
      <c r="K2800" s="8" t="s">
        <v>18132</v>
      </c>
      <c r="L2800" s="8"/>
      <c r="M2800" s="8"/>
      <c r="N2800" s="12"/>
      <c r="O2800" s="12"/>
      <c r="P2800" s="13">
        <f>IFERROR(__xludf.DUMMYFUNCTION("VALUE(SUBSTITUTE((INDEX(SPLIT(A2800,"",""),1)),""."","","",1))"),43.059505)</f>
        <v>43.059505</v>
      </c>
      <c r="Q2800" s="13">
        <f>IFERROR(__xludf.DUMMYFUNCTION("VALUE(SUBSTITUTE((INDEX(SPLIT(A2800,"",""),2)),""."","","",1))"),44.697159)</f>
        <v>44.697159</v>
      </c>
      <c r="R2800" s="14" t="b">
        <f t="shared" si="1"/>
        <v>0</v>
      </c>
      <c r="S2800" s="14" t="str">
        <f t="shared" si="2"/>
        <v>43.059505,44.697159</v>
      </c>
      <c r="T2800" s="12"/>
    </row>
    <row r="2801">
      <c r="A2801" s="20" t="s">
        <v>18127</v>
      </c>
      <c r="B2801" s="16" t="s">
        <v>18133</v>
      </c>
      <c r="C2801" s="16" t="s">
        <v>18134</v>
      </c>
      <c r="D2801" s="16" t="s">
        <v>16</v>
      </c>
      <c r="E2801" s="21" t="s">
        <v>18135</v>
      </c>
      <c r="F2801" s="22" t="s">
        <v>16936</v>
      </c>
      <c r="G2801" s="16">
        <v>23.61</v>
      </c>
      <c r="H2801" s="16"/>
      <c r="I2801" s="22"/>
      <c r="J2801" s="22" t="s">
        <v>18136</v>
      </c>
      <c r="K2801" s="22" t="s">
        <v>18137</v>
      </c>
      <c r="L2801" s="23" t="s">
        <v>18138</v>
      </c>
      <c r="M2801" s="22"/>
      <c r="N2801" s="12"/>
      <c r="O2801" s="12"/>
      <c r="P2801" s="13">
        <f>IFERROR(__xludf.DUMMYFUNCTION("VALUE(SUBSTITUTE((INDEX(SPLIT(A2801,"",""),1)),""."","","",1))"),43.059505)</f>
        <v>43.059505</v>
      </c>
      <c r="Q2801" s="13">
        <f>IFERROR(__xludf.DUMMYFUNCTION("VALUE(SUBSTITUTE((INDEX(SPLIT(A2801,"",""),2)),""."","","",1))"),44.697159)</f>
        <v>44.697159</v>
      </c>
      <c r="R2801" s="14" t="b">
        <f t="shared" si="1"/>
        <v>0</v>
      </c>
      <c r="S2801" s="14" t="str">
        <f t="shared" si="2"/>
        <v>43.059505,44.697159</v>
      </c>
      <c r="T2801" s="12"/>
    </row>
    <row r="2802">
      <c r="A2802" s="18" t="s">
        <v>18139</v>
      </c>
      <c r="B2802" s="8" t="s">
        <v>18140</v>
      </c>
      <c r="C2802" s="8" t="s">
        <v>18141</v>
      </c>
      <c r="D2802" s="8" t="s">
        <v>16</v>
      </c>
      <c r="E2802" s="19" t="s">
        <v>18142</v>
      </c>
      <c r="F2802" s="8" t="s">
        <v>16285</v>
      </c>
      <c r="G2802" s="8">
        <v>23.61</v>
      </c>
      <c r="H2802" s="8"/>
      <c r="I2802" s="8"/>
      <c r="J2802" s="8" t="s">
        <v>18143</v>
      </c>
      <c r="K2802" s="8" t="s">
        <v>18144</v>
      </c>
      <c r="L2802" s="8"/>
      <c r="M2802" s="8"/>
      <c r="N2802" s="12"/>
      <c r="O2802" s="12"/>
      <c r="P2802" s="13">
        <f>IFERROR(__xludf.DUMMYFUNCTION("VALUE(SUBSTITUTE((INDEX(SPLIT(A2802,"",""),1)),""."","","",1))"),43.056389)</f>
        <v>43.056389</v>
      </c>
      <c r="Q2802" s="13">
        <f>IFERROR(__xludf.DUMMYFUNCTION("VALUE(SUBSTITUTE((INDEX(SPLIT(A2802,"",""),2)),""."","","",1))"),44.699216)</f>
        <v>44.699216</v>
      </c>
      <c r="R2802" s="14" t="b">
        <f t="shared" si="1"/>
        <v>0</v>
      </c>
      <c r="S2802" s="14" t="str">
        <f t="shared" si="2"/>
        <v>43.056389,44.699216</v>
      </c>
      <c r="T2802" s="12"/>
    </row>
    <row r="2803">
      <c r="A2803" s="20" t="s">
        <v>18145</v>
      </c>
      <c r="B2803" s="16" t="s">
        <v>18146</v>
      </c>
      <c r="C2803" s="16" t="s">
        <v>18147</v>
      </c>
      <c r="D2803" s="16" t="s">
        <v>16</v>
      </c>
      <c r="E2803" s="21" t="s">
        <v>18148</v>
      </c>
      <c r="F2803" s="22" t="s">
        <v>18149</v>
      </c>
      <c r="G2803" s="16">
        <v>23.61</v>
      </c>
      <c r="H2803" s="16"/>
      <c r="I2803" s="22"/>
      <c r="J2803" s="22" t="s">
        <v>18150</v>
      </c>
      <c r="K2803" s="22" t="s">
        <v>18151</v>
      </c>
      <c r="L2803" s="23" t="s">
        <v>18152</v>
      </c>
      <c r="M2803" s="23" t="s">
        <v>15329</v>
      </c>
      <c r="N2803" s="12"/>
      <c r="O2803" s="12"/>
      <c r="P2803" s="13">
        <f>IFERROR(__xludf.DUMMYFUNCTION("VALUE(SUBSTITUTE((INDEX(SPLIT(A2803,"",""),1)),""."","","",1))"),43.048596)</f>
        <v>43.048596</v>
      </c>
      <c r="Q2803" s="13">
        <f>IFERROR(__xludf.DUMMYFUNCTION("VALUE(SUBSTITUTE((INDEX(SPLIT(A2803,"",""),2)),""."","","",1))"),44.701741)</f>
        <v>44.701741</v>
      </c>
      <c r="R2803" s="14" t="b">
        <f t="shared" si="1"/>
        <v>0</v>
      </c>
      <c r="S2803" s="14" t="str">
        <f t="shared" si="2"/>
        <v>43.048596,44.701741</v>
      </c>
      <c r="T2803" s="12"/>
    </row>
    <row r="2804">
      <c r="A2804" s="18" t="s">
        <v>18153</v>
      </c>
      <c r="B2804" s="8" t="s">
        <v>18154</v>
      </c>
      <c r="C2804" s="8" t="s">
        <v>18155</v>
      </c>
      <c r="D2804" s="8" t="s">
        <v>16</v>
      </c>
      <c r="E2804" s="19" t="s">
        <v>18156</v>
      </c>
      <c r="F2804" s="8" t="s">
        <v>16936</v>
      </c>
      <c r="G2804" s="8">
        <v>23.61</v>
      </c>
      <c r="H2804" s="8"/>
      <c r="I2804" s="8"/>
      <c r="J2804" s="8" t="s">
        <v>18157</v>
      </c>
      <c r="K2804" s="8" t="s">
        <v>18158</v>
      </c>
      <c r="L2804" s="8"/>
      <c r="M2804" s="24" t="s">
        <v>18159</v>
      </c>
      <c r="N2804" s="12"/>
      <c r="O2804" s="12"/>
      <c r="P2804" s="13">
        <f>IFERROR(__xludf.DUMMYFUNCTION("VALUE(SUBSTITUTE((INDEX(SPLIT(A2804,"",""),1)),""."","","",1))"),43.188002)</f>
        <v>43.188002</v>
      </c>
      <c r="Q2804" s="13">
        <f>IFERROR(__xludf.DUMMYFUNCTION("VALUE(SUBSTITUTE((INDEX(SPLIT(A2804,"",""),2)),""."","","",1))"),44.723147)</f>
        <v>44.723147</v>
      </c>
      <c r="R2804" s="14" t="b">
        <f t="shared" si="1"/>
        <v>0</v>
      </c>
      <c r="S2804" s="14" t="str">
        <f t="shared" si="2"/>
        <v>43.188002,44.723147</v>
      </c>
      <c r="T2804" s="12"/>
    </row>
    <row r="2805">
      <c r="A2805" s="20" t="s">
        <v>18160</v>
      </c>
      <c r="B2805" s="16" t="s">
        <v>9587</v>
      </c>
      <c r="C2805" s="16" t="s">
        <v>9588</v>
      </c>
      <c r="D2805" s="16" t="s">
        <v>16</v>
      </c>
      <c r="E2805" s="21" t="s">
        <v>18161</v>
      </c>
      <c r="F2805" s="22" t="s">
        <v>16285</v>
      </c>
      <c r="G2805" s="16">
        <v>23.61</v>
      </c>
      <c r="H2805" s="16"/>
      <c r="I2805" s="22"/>
      <c r="J2805" s="22" t="s">
        <v>18162</v>
      </c>
      <c r="K2805" s="22" t="s">
        <v>18163</v>
      </c>
      <c r="L2805" s="23" t="s">
        <v>18164</v>
      </c>
      <c r="M2805" s="22"/>
      <c r="N2805" s="12"/>
      <c r="O2805" s="12"/>
      <c r="P2805" s="13">
        <f>IFERROR(__xludf.DUMMYFUNCTION("VALUE(SUBSTITUTE((INDEX(SPLIT(A2805,"",""),1)),""."","","",1))"),48.809213)</f>
        <v>48.809213</v>
      </c>
      <c r="Q2805" s="13">
        <f>IFERROR(__xludf.DUMMYFUNCTION("VALUE(SUBSTITUTE((INDEX(SPLIT(A2805,"",""),2)),""."","","",1))"),44.73222)</f>
        <v>44.73222</v>
      </c>
      <c r="R2805" s="14" t="b">
        <f t="shared" si="1"/>
        <v>0</v>
      </c>
      <c r="S2805" s="14" t="str">
        <f t="shared" si="2"/>
        <v>48.809213,44.73222</v>
      </c>
      <c r="T2805" s="12"/>
    </row>
    <row r="2806">
      <c r="A2806" s="18" t="s">
        <v>18165</v>
      </c>
      <c r="B2806" s="8" t="s">
        <v>18166</v>
      </c>
      <c r="C2806" s="8" t="s">
        <v>18167</v>
      </c>
      <c r="D2806" s="8" t="s">
        <v>16</v>
      </c>
      <c r="E2806" s="19" t="s">
        <v>18168</v>
      </c>
      <c r="F2806" s="8" t="s">
        <v>18149</v>
      </c>
      <c r="G2806" s="8">
        <v>23.61</v>
      </c>
      <c r="H2806" s="8"/>
      <c r="I2806" s="8"/>
      <c r="J2806" s="8" t="s">
        <v>18169</v>
      </c>
      <c r="K2806" s="8" t="s">
        <v>18170</v>
      </c>
      <c r="L2806" s="8"/>
      <c r="M2806" s="8"/>
      <c r="N2806" s="12"/>
      <c r="O2806" s="12"/>
      <c r="P2806" s="13">
        <f>IFERROR(__xludf.DUMMYFUNCTION("VALUE(SUBSTITUTE((INDEX(SPLIT(A2806,"",""),1)),""."","","",1))"),43.223559)</f>
        <v>43.223559</v>
      </c>
      <c r="Q2806" s="13">
        <f>IFERROR(__xludf.DUMMYFUNCTION("VALUE(SUBSTITUTE((INDEX(SPLIT(A2806,"",""),2)),""."","","",1))"),44.749127)</f>
        <v>44.749127</v>
      </c>
      <c r="R2806" s="14" t="b">
        <f t="shared" si="1"/>
        <v>0</v>
      </c>
      <c r="S2806" s="14" t="str">
        <f t="shared" si="2"/>
        <v>43.223559,44.749127</v>
      </c>
      <c r="T2806" s="12"/>
    </row>
    <row r="2807">
      <c r="A2807" s="20" t="s">
        <v>18171</v>
      </c>
      <c r="B2807" s="16" t="s">
        <v>18172</v>
      </c>
      <c r="C2807" s="16" t="s">
        <v>18173</v>
      </c>
      <c r="D2807" s="16" t="s">
        <v>16</v>
      </c>
      <c r="E2807" s="21" t="s">
        <v>18174</v>
      </c>
      <c r="F2807" s="22" t="s">
        <v>18149</v>
      </c>
      <c r="G2807" s="16">
        <v>23.61</v>
      </c>
      <c r="H2807" s="16"/>
      <c r="I2807" s="22"/>
      <c r="J2807" s="22" t="s">
        <v>18175</v>
      </c>
      <c r="K2807" s="22" t="s">
        <v>18176</v>
      </c>
      <c r="L2807" s="23" t="s">
        <v>18177</v>
      </c>
      <c r="M2807" s="23" t="s">
        <v>18178</v>
      </c>
      <c r="N2807" s="12"/>
      <c r="O2807" s="12"/>
      <c r="P2807" s="13">
        <f>IFERROR(__xludf.DUMMYFUNCTION("VALUE(SUBSTITUTE((INDEX(SPLIT(A2807,"",""),1)),""."","","",1))"),43.234569)</f>
        <v>43.234569</v>
      </c>
      <c r="Q2807" s="13">
        <f>IFERROR(__xludf.DUMMYFUNCTION("VALUE(SUBSTITUTE((INDEX(SPLIT(A2807,"",""),2)),""."","","",1))"),44.74989)</f>
        <v>44.74989</v>
      </c>
      <c r="R2807" s="14" t="b">
        <f t="shared" si="1"/>
        <v>0</v>
      </c>
      <c r="S2807" s="14" t="str">
        <f t="shared" si="2"/>
        <v>43.234569,44.74989</v>
      </c>
      <c r="T2807" s="12"/>
    </row>
    <row r="2808">
      <c r="A2808" s="18" t="s">
        <v>18179</v>
      </c>
      <c r="B2808" s="8" t="s">
        <v>18180</v>
      </c>
      <c r="C2808" s="8" t="s">
        <v>18181</v>
      </c>
      <c r="D2808" s="8" t="s">
        <v>16</v>
      </c>
      <c r="E2808" s="19" t="s">
        <v>18182</v>
      </c>
      <c r="F2808" s="8" t="s">
        <v>18149</v>
      </c>
      <c r="G2808" s="8">
        <v>23.61</v>
      </c>
      <c r="H2808" s="8"/>
      <c r="I2808" s="8"/>
      <c r="J2808" s="8" t="s">
        <v>18183</v>
      </c>
      <c r="K2808" s="8" t="s">
        <v>18184</v>
      </c>
      <c r="L2808" s="8"/>
      <c r="M2808" s="8"/>
      <c r="N2808" s="12"/>
      <c r="O2808" s="12"/>
      <c r="P2808" s="13">
        <f>IFERROR(__xludf.DUMMYFUNCTION("VALUE(SUBSTITUTE((INDEX(SPLIT(A2808,"",""),1)),""."","","",1))"),48.793172)</f>
        <v>48.793172</v>
      </c>
      <c r="Q2808" s="13">
        <f>IFERROR(__xludf.DUMMYFUNCTION("VALUE(SUBSTITUTE((INDEX(SPLIT(A2808,"",""),2)),""."","","",1))"),44.75219)</f>
        <v>44.75219</v>
      </c>
      <c r="R2808" s="14" t="b">
        <f t="shared" si="1"/>
        <v>0</v>
      </c>
      <c r="S2808" s="14" t="str">
        <f t="shared" si="2"/>
        <v>48.793172,44.75219</v>
      </c>
      <c r="T2808" s="12"/>
    </row>
    <row r="2809">
      <c r="A2809" s="15" t="s">
        <v>18185</v>
      </c>
      <c r="B2809" s="16" t="s">
        <v>18186</v>
      </c>
      <c r="C2809" s="16" t="s">
        <v>18187</v>
      </c>
      <c r="D2809" s="16" t="s">
        <v>16</v>
      </c>
      <c r="E2809" s="17" t="s">
        <v>18188</v>
      </c>
      <c r="F2809" s="16" t="s">
        <v>18149</v>
      </c>
      <c r="G2809" s="16">
        <v>23.61</v>
      </c>
      <c r="H2809" s="16"/>
      <c r="I2809" s="16"/>
      <c r="J2809" s="16" t="s">
        <v>18189</v>
      </c>
      <c r="K2809" s="16" t="s">
        <v>18190</v>
      </c>
      <c r="L2809" s="16"/>
      <c r="M2809" s="16"/>
      <c r="N2809" s="12"/>
      <c r="O2809" s="12"/>
      <c r="P2809" s="13">
        <f>IFERROR(__xludf.DUMMYFUNCTION("VALUE(SUBSTITUTE((INDEX(SPLIT(A2809,"",""),1)),""."","","",1))"),43.226562)</f>
        <v>43.226562</v>
      </c>
      <c r="Q2809" s="13">
        <f>IFERROR(__xludf.DUMMYFUNCTION("VALUE(SUBSTITUTE((INDEX(SPLIT(A2809,"",""),2)),""."","","",1))"),44.753142)</f>
        <v>44.753142</v>
      </c>
      <c r="R2809" s="14" t="b">
        <f t="shared" si="1"/>
        <v>0</v>
      </c>
      <c r="S2809" s="14" t="str">
        <f t="shared" si="2"/>
        <v>43.226562,44.753142</v>
      </c>
      <c r="T2809" s="12"/>
    </row>
    <row r="2810">
      <c r="A2810" s="18" t="s">
        <v>18191</v>
      </c>
      <c r="B2810" s="8" t="s">
        <v>18192</v>
      </c>
      <c r="C2810" s="8" t="s">
        <v>18193</v>
      </c>
      <c r="D2810" s="8" t="s">
        <v>16</v>
      </c>
      <c r="E2810" s="19" t="s">
        <v>18194</v>
      </c>
      <c r="F2810" s="8" t="s">
        <v>18149</v>
      </c>
      <c r="G2810" s="8">
        <v>23.61</v>
      </c>
      <c r="H2810" s="8"/>
      <c r="I2810" s="8"/>
      <c r="J2810" s="8" t="s">
        <v>18195</v>
      </c>
      <c r="K2810" s="8" t="s">
        <v>18196</v>
      </c>
      <c r="L2810" s="8"/>
      <c r="M2810" s="24" t="s">
        <v>18197</v>
      </c>
      <c r="N2810" s="12"/>
      <c r="O2810" s="12"/>
      <c r="P2810" s="13">
        <f>IFERROR(__xludf.DUMMYFUNCTION("VALUE(SUBSTITUTE((INDEX(SPLIT(A2810,"",""),1)),""."","","",1))"),43.196514)</f>
        <v>43.196514</v>
      </c>
      <c r="Q2810" s="13">
        <f>IFERROR(__xludf.DUMMYFUNCTION("VALUE(SUBSTITUTE((INDEX(SPLIT(A2810,"",""),2)),""."","","",1))"),44.755163)</f>
        <v>44.755163</v>
      </c>
      <c r="R2810" s="14" t="b">
        <f t="shared" si="1"/>
        <v>0</v>
      </c>
      <c r="S2810" s="14" t="str">
        <f t="shared" si="2"/>
        <v>43.196514,44.755163</v>
      </c>
      <c r="T2810" s="12"/>
    </row>
    <row r="2811">
      <c r="A2811" s="15" t="s">
        <v>18198</v>
      </c>
      <c r="B2811" s="16" t="s">
        <v>18199</v>
      </c>
      <c r="C2811" s="16" t="s">
        <v>18200</v>
      </c>
      <c r="D2811" s="16" t="s">
        <v>16</v>
      </c>
      <c r="E2811" s="17" t="s">
        <v>18201</v>
      </c>
      <c r="F2811" s="16" t="s">
        <v>18149</v>
      </c>
      <c r="G2811" s="16">
        <v>23.61</v>
      </c>
      <c r="H2811" s="16"/>
      <c r="I2811" s="16"/>
      <c r="J2811" s="16" t="s">
        <v>18202</v>
      </c>
      <c r="K2811" s="16" t="s">
        <v>18203</v>
      </c>
      <c r="L2811" s="16"/>
      <c r="M2811" s="25" t="s">
        <v>18204</v>
      </c>
      <c r="N2811" s="12"/>
      <c r="O2811" s="12"/>
      <c r="P2811" s="13">
        <f>IFERROR(__xludf.DUMMYFUNCTION("VALUE(SUBSTITUTE((INDEX(SPLIT(A2811,"",""),1)),""."","","",1))"),43.063879)</f>
        <v>43.063879</v>
      </c>
      <c r="Q2811" s="13">
        <f>IFERROR(__xludf.DUMMYFUNCTION("VALUE(SUBSTITUTE((INDEX(SPLIT(A2811,"",""),2)),""."","","",1))"),44.757769)</f>
        <v>44.757769</v>
      </c>
      <c r="R2811" s="14" t="b">
        <f t="shared" si="1"/>
        <v>0</v>
      </c>
      <c r="S2811" s="14" t="str">
        <f t="shared" si="2"/>
        <v>43.063879,44.757769</v>
      </c>
      <c r="T2811" s="12"/>
    </row>
    <row r="2812">
      <c r="A2812" s="7" t="s">
        <v>18205</v>
      </c>
      <c r="B2812" s="8" t="s">
        <v>18206</v>
      </c>
      <c r="C2812" s="8" t="s">
        <v>18207</v>
      </c>
      <c r="D2812" s="8" t="s">
        <v>16</v>
      </c>
      <c r="E2812" s="9" t="s">
        <v>18208</v>
      </c>
      <c r="F2812" s="10" t="s">
        <v>18149</v>
      </c>
      <c r="G2812" s="8">
        <v>23.61</v>
      </c>
      <c r="H2812" s="8"/>
      <c r="I2812" s="10"/>
      <c r="J2812" s="10" t="s">
        <v>18209</v>
      </c>
      <c r="K2812" s="10" t="s">
        <v>18210</v>
      </c>
      <c r="L2812" s="11" t="s">
        <v>18211</v>
      </c>
      <c r="M2812" s="10"/>
      <c r="N2812" s="12"/>
      <c r="O2812" s="12"/>
      <c r="P2812" s="13">
        <f>IFERROR(__xludf.DUMMYFUNCTION("VALUE(SUBSTITUTE((INDEX(SPLIT(A2812,"",""),1)),""."","","",1))"),43.238746)</f>
        <v>43.238746</v>
      </c>
      <c r="Q2812" s="13">
        <f>IFERROR(__xludf.DUMMYFUNCTION("VALUE(SUBSTITUTE((INDEX(SPLIT(A2812,"",""),2)),""."","","",1))"),44.765063)</f>
        <v>44.765063</v>
      </c>
      <c r="R2812" s="14" t="b">
        <f t="shared" si="1"/>
        <v>0</v>
      </c>
      <c r="S2812" s="14" t="str">
        <f t="shared" si="2"/>
        <v>43.238746,44.765063</v>
      </c>
      <c r="T2812" s="12"/>
    </row>
    <row r="2813">
      <c r="A2813" s="15" t="s">
        <v>18212</v>
      </c>
      <c r="B2813" s="16" t="s">
        <v>18213</v>
      </c>
      <c r="C2813" s="16" t="s">
        <v>18214</v>
      </c>
      <c r="D2813" s="16" t="s">
        <v>16</v>
      </c>
      <c r="E2813" s="17" t="s">
        <v>18215</v>
      </c>
      <c r="F2813" s="16" t="s">
        <v>18149</v>
      </c>
      <c r="G2813" s="16">
        <v>23.61</v>
      </c>
      <c r="H2813" s="16"/>
      <c r="I2813" s="16"/>
      <c r="J2813" s="16" t="s">
        <v>18216</v>
      </c>
      <c r="K2813" s="16" t="s">
        <v>18217</v>
      </c>
      <c r="L2813" s="16"/>
      <c r="M2813" s="16"/>
      <c r="N2813" s="12"/>
      <c r="O2813" s="12"/>
      <c r="P2813" s="13">
        <f>IFERROR(__xludf.DUMMYFUNCTION("VALUE(SUBSTITUTE((INDEX(SPLIT(A2813,"",""),1)),""."","","",1))"),48.810091)</f>
        <v>48.810091</v>
      </c>
      <c r="Q2813" s="13">
        <f>IFERROR(__xludf.DUMMYFUNCTION("VALUE(SUBSTITUTE((INDEX(SPLIT(A2813,"",""),2)),""."","","",1))"),44.76535)</f>
        <v>44.76535</v>
      </c>
      <c r="R2813" s="14" t="b">
        <f t="shared" si="1"/>
        <v>0</v>
      </c>
      <c r="S2813" s="14" t="str">
        <f t="shared" si="2"/>
        <v>48.810091,44.76535</v>
      </c>
      <c r="T2813" s="12"/>
    </row>
    <row r="2814">
      <c r="A2814" s="18" t="s">
        <v>18218</v>
      </c>
      <c r="B2814" s="8" t="s">
        <v>18219</v>
      </c>
      <c r="C2814" s="8" t="s">
        <v>18220</v>
      </c>
      <c r="D2814" s="8" t="s">
        <v>16</v>
      </c>
      <c r="E2814" s="19" t="s">
        <v>18221</v>
      </c>
      <c r="F2814" s="8" t="s">
        <v>18149</v>
      </c>
      <c r="G2814" s="8">
        <v>23.61</v>
      </c>
      <c r="H2814" s="8"/>
      <c r="I2814" s="8"/>
      <c r="J2814" s="8" t="s">
        <v>18222</v>
      </c>
      <c r="K2814" s="8" t="s">
        <v>18223</v>
      </c>
      <c r="L2814" s="8"/>
      <c r="M2814" s="8"/>
      <c r="N2814" s="12"/>
      <c r="O2814" s="12"/>
      <c r="P2814" s="13">
        <f>IFERROR(__xludf.DUMMYFUNCTION("VALUE(SUBSTITUTE((INDEX(SPLIT(A2814,"",""),1)),""."","","",1))"),43.223921)</f>
        <v>43.223921</v>
      </c>
      <c r="Q2814" s="13">
        <f>IFERROR(__xludf.DUMMYFUNCTION("VALUE(SUBSTITUTE((INDEX(SPLIT(A2814,"",""),2)),""."","","",1))"),44.766662)</f>
        <v>44.766662</v>
      </c>
      <c r="R2814" s="14" t="b">
        <f t="shared" si="1"/>
        <v>0</v>
      </c>
      <c r="S2814" s="14" t="str">
        <f t="shared" si="2"/>
        <v>43.223921,44.766662</v>
      </c>
      <c r="T2814" s="12"/>
    </row>
    <row r="2815">
      <c r="A2815" s="15" t="s">
        <v>18224</v>
      </c>
      <c r="B2815" s="16" t="s">
        <v>18225</v>
      </c>
      <c r="C2815" s="16" t="s">
        <v>18226</v>
      </c>
      <c r="D2815" s="16" t="s">
        <v>16</v>
      </c>
      <c r="E2815" s="17" t="s">
        <v>18227</v>
      </c>
      <c r="F2815" s="16" t="s">
        <v>16936</v>
      </c>
      <c r="G2815" s="16">
        <v>23.61</v>
      </c>
      <c r="H2815" s="16"/>
      <c r="I2815" s="16"/>
      <c r="J2815" s="16" t="s">
        <v>18228</v>
      </c>
      <c r="K2815" s="16" t="s">
        <v>18229</v>
      </c>
      <c r="L2815" s="16"/>
      <c r="M2815" s="25" t="s">
        <v>18230</v>
      </c>
      <c r="N2815" s="12"/>
      <c r="O2815" s="12"/>
      <c r="P2815" s="13">
        <f>IFERROR(__xludf.DUMMYFUNCTION("VALUE(SUBSTITUTE((INDEX(SPLIT(A2815,"",""),1)),""."","","",1))"),43.482204)</f>
        <v>43.482204</v>
      </c>
      <c r="Q2815" s="13">
        <f>IFERROR(__xludf.DUMMYFUNCTION("VALUE(SUBSTITUTE((INDEX(SPLIT(A2815,"",""),2)),""."","","",1))"),44.766841)</f>
        <v>44.766841</v>
      </c>
      <c r="R2815" s="14" t="b">
        <f t="shared" si="1"/>
        <v>0</v>
      </c>
      <c r="S2815" s="14" t="str">
        <f t="shared" si="2"/>
        <v>43.482204,44.766841</v>
      </c>
      <c r="T2815" s="12"/>
    </row>
    <row r="2816">
      <c r="A2816" s="18" t="s">
        <v>18231</v>
      </c>
      <c r="B2816" s="8" t="s">
        <v>18232</v>
      </c>
      <c r="C2816" s="8" t="s">
        <v>18233</v>
      </c>
      <c r="D2816" s="8" t="s">
        <v>16</v>
      </c>
      <c r="E2816" s="19" t="s">
        <v>18234</v>
      </c>
      <c r="F2816" s="8" t="s">
        <v>16936</v>
      </c>
      <c r="G2816" s="8">
        <v>23.61</v>
      </c>
      <c r="H2816" s="8"/>
      <c r="I2816" s="8"/>
      <c r="J2816" s="8" t="s">
        <v>18235</v>
      </c>
      <c r="K2816" s="8" t="s">
        <v>18236</v>
      </c>
      <c r="L2816" s="8"/>
      <c r="M2816" s="8"/>
      <c r="N2816" s="12"/>
      <c r="O2816" s="12"/>
      <c r="P2816" s="13">
        <f>IFERROR(__xludf.DUMMYFUNCTION("VALUE(SUBSTITUTE((INDEX(SPLIT(A2816,"",""),1)),""."","","",1))"),43.225681)</f>
        <v>43.225681</v>
      </c>
      <c r="Q2816" s="13">
        <f>IFERROR(__xludf.DUMMYFUNCTION("VALUE(SUBSTITUTE((INDEX(SPLIT(A2816,"",""),2)),""."","","",1))"),44.767129)</f>
        <v>44.767129</v>
      </c>
      <c r="R2816" s="14" t="b">
        <f t="shared" si="1"/>
        <v>0</v>
      </c>
      <c r="S2816" s="14" t="str">
        <f t="shared" si="2"/>
        <v>43.225681,44.767129</v>
      </c>
      <c r="T2816" s="12"/>
    </row>
    <row r="2817">
      <c r="A2817" s="20" t="s">
        <v>18237</v>
      </c>
      <c r="B2817" s="16" t="s">
        <v>18238</v>
      </c>
      <c r="C2817" s="16" t="s">
        <v>18239</v>
      </c>
      <c r="D2817" s="16" t="s">
        <v>16</v>
      </c>
      <c r="E2817" s="21" t="s">
        <v>18240</v>
      </c>
      <c r="F2817" s="22" t="s">
        <v>13111</v>
      </c>
      <c r="G2817" s="16">
        <v>23.61</v>
      </c>
      <c r="H2817" s="16"/>
      <c r="I2817" s="22"/>
      <c r="J2817" s="22" t="s">
        <v>18241</v>
      </c>
      <c r="K2817" s="22" t="s">
        <v>18242</v>
      </c>
      <c r="L2817" s="23" t="s">
        <v>18243</v>
      </c>
      <c r="M2817" s="22"/>
      <c r="N2817" s="12"/>
      <c r="O2817" s="12"/>
      <c r="P2817" s="13">
        <f>IFERROR(__xludf.DUMMYFUNCTION("VALUE(SUBSTITUTE((INDEX(SPLIT(A2817,"",""),1)),""."","","",1))"),48.789902)</f>
        <v>48.789902</v>
      </c>
      <c r="Q2817" s="13">
        <f>IFERROR(__xludf.DUMMYFUNCTION("VALUE(SUBSTITUTE((INDEX(SPLIT(A2817,"",""),2)),""."","","",1))"),44.767201)</f>
        <v>44.767201</v>
      </c>
      <c r="R2817" s="14" t="b">
        <f t="shared" si="1"/>
        <v>0</v>
      </c>
      <c r="S2817" s="14" t="str">
        <f t="shared" si="2"/>
        <v>48.789902,44.767201</v>
      </c>
      <c r="T2817" s="12"/>
    </row>
    <row r="2818">
      <c r="A2818" s="18" t="s">
        <v>18244</v>
      </c>
      <c r="B2818" s="8" t="s">
        <v>18245</v>
      </c>
      <c r="C2818" s="8" t="s">
        <v>18246</v>
      </c>
      <c r="D2818" s="8" t="s">
        <v>16</v>
      </c>
      <c r="E2818" s="19" t="s">
        <v>18247</v>
      </c>
      <c r="F2818" s="8" t="s">
        <v>13111</v>
      </c>
      <c r="G2818" s="8">
        <v>23.61</v>
      </c>
      <c r="H2818" s="8"/>
      <c r="I2818" s="8"/>
      <c r="J2818" s="8" t="s">
        <v>18248</v>
      </c>
      <c r="K2818" s="8" t="s">
        <v>18249</v>
      </c>
      <c r="L2818" s="8"/>
      <c r="M2818" s="8"/>
      <c r="N2818" s="12"/>
      <c r="O2818" s="12"/>
      <c r="P2818" s="13">
        <f>IFERROR(__xludf.DUMMYFUNCTION("VALUE(SUBSTITUTE((INDEX(SPLIT(A2818,"",""),1)),""."","","",1))"),43.415663)</f>
        <v>43.415663</v>
      </c>
      <c r="Q2818" s="13">
        <f>IFERROR(__xludf.DUMMYFUNCTION("VALUE(SUBSTITUTE((INDEX(SPLIT(A2818,"",""),2)),""."","","",1))"),44.769186)</f>
        <v>44.769186</v>
      </c>
      <c r="R2818" s="14" t="b">
        <f t="shared" si="1"/>
        <v>0</v>
      </c>
      <c r="S2818" s="14" t="str">
        <f t="shared" si="2"/>
        <v>43.415663,44.769186</v>
      </c>
      <c r="T2818" s="12"/>
    </row>
    <row r="2819">
      <c r="A2819" s="20" t="s">
        <v>18250</v>
      </c>
      <c r="B2819" s="16" t="s">
        <v>18251</v>
      </c>
      <c r="C2819" s="16" t="s">
        <v>18252</v>
      </c>
      <c r="D2819" s="16" t="s">
        <v>16</v>
      </c>
      <c r="E2819" s="21" t="s">
        <v>18253</v>
      </c>
      <c r="F2819" s="22" t="s">
        <v>8566</v>
      </c>
      <c r="G2819" s="16">
        <v>23.61</v>
      </c>
      <c r="H2819" s="16"/>
      <c r="I2819" s="22"/>
      <c r="J2819" s="22" t="s">
        <v>18254</v>
      </c>
      <c r="K2819" s="22" t="s">
        <v>18255</v>
      </c>
      <c r="L2819" s="23" t="s">
        <v>18256</v>
      </c>
      <c r="M2819" s="22"/>
      <c r="N2819" s="12"/>
      <c r="O2819" s="12"/>
      <c r="P2819" s="13">
        <f>IFERROR(__xludf.DUMMYFUNCTION("VALUE(SUBSTITUTE((INDEX(SPLIT(A2819,"",""),1)),""."","","",1))"),50.972191)</f>
        <v>50.972191</v>
      </c>
      <c r="Q2819" s="13">
        <f>IFERROR(__xludf.DUMMYFUNCTION("VALUE(SUBSTITUTE((INDEX(SPLIT(A2819,"",""),2)),""."","","",1))"),44.774109)</f>
        <v>44.774109</v>
      </c>
      <c r="R2819" s="14" t="b">
        <f t="shared" si="1"/>
        <v>0</v>
      </c>
      <c r="S2819" s="14" t="str">
        <f t="shared" si="2"/>
        <v>50.972191,44.774109</v>
      </c>
      <c r="T2819" s="12"/>
    </row>
    <row r="2820">
      <c r="A2820" s="18" t="s">
        <v>18257</v>
      </c>
      <c r="B2820" s="8" t="s">
        <v>18258</v>
      </c>
      <c r="C2820" s="8" t="s">
        <v>18259</v>
      </c>
      <c r="D2820" s="8" t="s">
        <v>16</v>
      </c>
      <c r="E2820" s="19" t="s">
        <v>18260</v>
      </c>
      <c r="F2820" s="8" t="s">
        <v>13111</v>
      </c>
      <c r="G2820" s="8">
        <v>23.61</v>
      </c>
      <c r="H2820" s="8"/>
      <c r="I2820" s="8"/>
      <c r="J2820" s="8" t="s">
        <v>18261</v>
      </c>
      <c r="K2820" s="8" t="s">
        <v>18262</v>
      </c>
      <c r="L2820" s="8"/>
      <c r="M2820" s="24" t="s">
        <v>18263</v>
      </c>
      <c r="N2820" s="12"/>
      <c r="O2820" s="12"/>
      <c r="P2820" s="13">
        <f>IFERROR(__xludf.DUMMYFUNCTION("VALUE(SUBSTITUTE((INDEX(SPLIT(A2820,"",""),1)),""."","","",1))"),43.206681)</f>
        <v>43.206681</v>
      </c>
      <c r="Q2820" s="13">
        <f>IFERROR(__xludf.DUMMYFUNCTION("VALUE(SUBSTITUTE((INDEX(SPLIT(A2820,"",""),2)),""."","","",1))"),44.783676)</f>
        <v>44.783676</v>
      </c>
      <c r="R2820" s="14" t="b">
        <f t="shared" si="1"/>
        <v>0</v>
      </c>
      <c r="S2820" s="14" t="str">
        <f t="shared" si="2"/>
        <v>43.206681,44.783676</v>
      </c>
      <c r="T2820" s="12"/>
    </row>
    <row r="2821">
      <c r="A2821" s="15" t="s">
        <v>18264</v>
      </c>
      <c r="B2821" s="16" t="s">
        <v>18265</v>
      </c>
      <c r="C2821" s="16" t="s">
        <v>18266</v>
      </c>
      <c r="D2821" s="16" t="s">
        <v>16</v>
      </c>
      <c r="E2821" s="17" t="s">
        <v>18267</v>
      </c>
      <c r="F2821" s="16" t="s">
        <v>13111</v>
      </c>
      <c r="G2821" s="16">
        <v>23.61</v>
      </c>
      <c r="H2821" s="16"/>
      <c r="I2821" s="16"/>
      <c r="J2821" s="16" t="s">
        <v>18268</v>
      </c>
      <c r="K2821" s="16" t="s">
        <v>18269</v>
      </c>
      <c r="L2821" s="16"/>
      <c r="M2821" s="16"/>
      <c r="N2821" s="12"/>
      <c r="O2821" s="12"/>
      <c r="P2821" s="13">
        <f>IFERROR(__xludf.DUMMYFUNCTION("VALUE(SUBSTITUTE((INDEX(SPLIT(A2821,"",""),1)),""."","","",1))"),43.484003)</f>
        <v>43.484003</v>
      </c>
      <c r="Q2821" s="13">
        <f>IFERROR(__xludf.DUMMYFUNCTION("VALUE(SUBSTITUTE((INDEX(SPLIT(A2821,"",""),2)),""."","","",1))"),44.787682)</f>
        <v>44.787682</v>
      </c>
      <c r="R2821" s="14" t="b">
        <f t="shared" si="1"/>
        <v>0</v>
      </c>
      <c r="S2821" s="14" t="str">
        <f t="shared" si="2"/>
        <v>43.484003,44.787682</v>
      </c>
      <c r="T2821" s="12"/>
    </row>
    <row r="2822">
      <c r="A2822" s="18" t="s">
        <v>18270</v>
      </c>
      <c r="B2822" s="8" t="s">
        <v>18271</v>
      </c>
      <c r="C2822" s="8" t="s">
        <v>18272</v>
      </c>
      <c r="D2822" s="8" t="s">
        <v>16</v>
      </c>
      <c r="E2822" s="19" t="s">
        <v>18273</v>
      </c>
      <c r="F2822" s="8" t="s">
        <v>13111</v>
      </c>
      <c r="G2822" s="8">
        <v>23.61</v>
      </c>
      <c r="H2822" s="8"/>
      <c r="I2822" s="8"/>
      <c r="J2822" s="8" t="s">
        <v>18274</v>
      </c>
      <c r="K2822" s="8" t="s">
        <v>18275</v>
      </c>
      <c r="L2822" s="8"/>
      <c r="M2822" s="8"/>
      <c r="N2822" s="12"/>
      <c r="O2822" s="12"/>
      <c r="P2822" s="13">
        <f>IFERROR(__xludf.DUMMYFUNCTION("VALUE(SUBSTITUTE((INDEX(SPLIT(A2822,"",""),1)),""."","","",1))"),48.781354)</f>
        <v>48.781354</v>
      </c>
      <c r="Q2822" s="13">
        <f>IFERROR(__xludf.DUMMYFUNCTION("VALUE(SUBSTITUTE((INDEX(SPLIT(A2822,"",""),2)),""."","","",1))"),44.78991)</f>
        <v>44.78991</v>
      </c>
      <c r="R2822" s="14" t="b">
        <f t="shared" si="1"/>
        <v>0</v>
      </c>
      <c r="S2822" s="14" t="str">
        <f t="shared" si="2"/>
        <v>48.781354,44.78991</v>
      </c>
      <c r="T2822" s="12"/>
    </row>
    <row r="2823">
      <c r="A2823" s="15" t="s">
        <v>18276</v>
      </c>
      <c r="B2823" s="16" t="s">
        <v>18277</v>
      </c>
      <c r="C2823" s="16" t="s">
        <v>18278</v>
      </c>
      <c r="D2823" s="16" t="s">
        <v>16</v>
      </c>
      <c r="E2823" s="17" t="s">
        <v>18279</v>
      </c>
      <c r="F2823" s="16" t="s">
        <v>13111</v>
      </c>
      <c r="G2823" s="16">
        <v>23.61</v>
      </c>
      <c r="H2823" s="16"/>
      <c r="I2823" s="32" t="s">
        <v>18280</v>
      </c>
      <c r="J2823" s="16" t="s">
        <v>18281</v>
      </c>
      <c r="K2823" s="16" t="s">
        <v>18282</v>
      </c>
      <c r="L2823" s="16"/>
      <c r="M2823" s="25" t="s">
        <v>18283</v>
      </c>
      <c r="N2823" s="12"/>
      <c r="O2823" s="12"/>
      <c r="P2823" s="13">
        <f>IFERROR(__xludf.DUMMYFUNCTION("VALUE(SUBSTITUTE((INDEX(SPLIT(A2823,"",""),1)),""."","","",1))"),48.802632)</f>
        <v>48.802632</v>
      </c>
      <c r="Q2823" s="13">
        <f>IFERROR(__xludf.DUMMYFUNCTION("VALUE(SUBSTITUTE((INDEX(SPLIT(A2823,"",""),2)),""."","","",1))"),44.793225)</f>
        <v>44.793225</v>
      </c>
      <c r="R2823" s="14" t="b">
        <f t="shared" si="1"/>
        <v>0</v>
      </c>
      <c r="S2823" s="14" t="str">
        <f t="shared" si="2"/>
        <v>48.802632,44.793225</v>
      </c>
      <c r="T2823" s="12"/>
    </row>
    <row r="2824">
      <c r="A2824" s="18" t="s">
        <v>18284</v>
      </c>
      <c r="B2824" s="8" t="s">
        <v>18285</v>
      </c>
      <c r="C2824" s="8" t="s">
        <v>18286</v>
      </c>
      <c r="D2824" s="8" t="s">
        <v>16</v>
      </c>
      <c r="E2824" s="19" t="s">
        <v>18287</v>
      </c>
      <c r="F2824" s="8" t="s">
        <v>13111</v>
      </c>
      <c r="G2824" s="8">
        <v>23.61</v>
      </c>
      <c r="H2824" s="8"/>
      <c r="I2824" s="8"/>
      <c r="J2824" s="8" t="s">
        <v>18288</v>
      </c>
      <c r="K2824" s="8" t="s">
        <v>18289</v>
      </c>
      <c r="L2824" s="8"/>
      <c r="M2824" s="8"/>
      <c r="N2824" s="12"/>
      <c r="O2824" s="12"/>
      <c r="P2824" s="13">
        <f>IFERROR(__xludf.DUMMYFUNCTION("VALUE(SUBSTITUTE((INDEX(SPLIT(A2824,"",""),1)),""."","","",1))"),43.217042)</f>
        <v>43.217042</v>
      </c>
      <c r="Q2824" s="13">
        <f>IFERROR(__xludf.DUMMYFUNCTION("VALUE(SUBSTITUTE((INDEX(SPLIT(A2824,"",""),2)),""."","","",1))"),44.793441)</f>
        <v>44.793441</v>
      </c>
      <c r="R2824" s="14" t="b">
        <f t="shared" si="1"/>
        <v>0</v>
      </c>
      <c r="S2824" s="14" t="str">
        <f t="shared" si="2"/>
        <v>43.217042,44.793441</v>
      </c>
      <c r="T2824" s="12"/>
    </row>
    <row r="2825">
      <c r="A2825" s="20" t="s">
        <v>18290</v>
      </c>
      <c r="B2825" s="16" t="s">
        <v>18291</v>
      </c>
      <c r="C2825" s="16" t="s">
        <v>18292</v>
      </c>
      <c r="D2825" s="16" t="s">
        <v>16</v>
      </c>
      <c r="E2825" s="21" t="s">
        <v>18293</v>
      </c>
      <c r="F2825" s="22" t="s">
        <v>12993</v>
      </c>
      <c r="G2825" s="16">
        <v>23.61</v>
      </c>
      <c r="H2825" s="16"/>
      <c r="I2825" s="22"/>
      <c r="J2825" s="22" t="s">
        <v>18294</v>
      </c>
      <c r="K2825" s="22" t="s">
        <v>18295</v>
      </c>
      <c r="L2825" s="23" t="s">
        <v>18296</v>
      </c>
      <c r="M2825" s="22"/>
      <c r="N2825" s="12"/>
      <c r="O2825" s="12"/>
      <c r="P2825" s="13">
        <f>IFERROR(__xludf.DUMMYFUNCTION("VALUE(SUBSTITUTE((INDEX(SPLIT(A2825,"",""),1)),""."","","",1))"),53.221382)</f>
        <v>53.221382</v>
      </c>
      <c r="Q2825" s="13">
        <f>IFERROR(__xludf.DUMMYFUNCTION("VALUE(SUBSTITUTE((INDEX(SPLIT(A2825,"",""),2)),""."","","",1))"),44.794501)</f>
        <v>44.794501</v>
      </c>
      <c r="R2825" s="14" t="b">
        <f t="shared" si="1"/>
        <v>0</v>
      </c>
      <c r="S2825" s="14" t="str">
        <f t="shared" si="2"/>
        <v>53.221382,44.794501</v>
      </c>
      <c r="T2825" s="12"/>
    </row>
    <row r="2826">
      <c r="A2826" s="7" t="s">
        <v>18297</v>
      </c>
      <c r="B2826" s="8" t="s">
        <v>18298</v>
      </c>
      <c r="C2826" s="8" t="s">
        <v>18299</v>
      </c>
      <c r="D2826" s="8" t="s">
        <v>16</v>
      </c>
      <c r="E2826" s="9" t="s">
        <v>18300</v>
      </c>
      <c r="F2826" s="10" t="s">
        <v>13111</v>
      </c>
      <c r="G2826" s="8">
        <v>23.61</v>
      </c>
      <c r="H2826" s="8"/>
      <c r="I2826" s="31" t="s">
        <v>18301</v>
      </c>
      <c r="J2826" s="10" t="s">
        <v>18302</v>
      </c>
      <c r="K2826" s="10" t="s">
        <v>18303</v>
      </c>
      <c r="L2826" s="11" t="s">
        <v>18304</v>
      </c>
      <c r="M2826" s="11" t="s">
        <v>18305</v>
      </c>
      <c r="N2826" s="12"/>
      <c r="O2826" s="12"/>
      <c r="P2826" s="13">
        <f>IFERROR(__xludf.DUMMYFUNCTION("VALUE(SUBSTITUTE((INDEX(SPLIT(A2826,"",""),1)),""."","","",1))"),48.7574)</f>
        <v>48.7574</v>
      </c>
      <c r="Q2826" s="13">
        <f>IFERROR(__xludf.DUMMYFUNCTION("VALUE(SUBSTITUTE((INDEX(SPLIT(A2826,"",""),2)),""."","","",1))"),44.807445)</f>
        <v>44.807445</v>
      </c>
      <c r="R2826" s="14" t="b">
        <f t="shared" si="1"/>
        <v>0</v>
      </c>
      <c r="S2826" s="14" t="str">
        <f t="shared" si="2"/>
        <v>48.7574,44.807445</v>
      </c>
      <c r="T2826" s="12"/>
    </row>
    <row r="2827">
      <c r="A2827" s="15" t="s">
        <v>18306</v>
      </c>
      <c r="B2827" s="16" t="s">
        <v>18307</v>
      </c>
      <c r="C2827" s="16" t="s">
        <v>18308</v>
      </c>
      <c r="D2827" s="16" t="s">
        <v>16</v>
      </c>
      <c r="E2827" s="17" t="s">
        <v>18309</v>
      </c>
      <c r="F2827" s="16" t="s">
        <v>13111</v>
      </c>
      <c r="G2827" s="16">
        <v>23.61</v>
      </c>
      <c r="H2827" s="16"/>
      <c r="I2827" s="16"/>
      <c r="J2827" s="16" t="s">
        <v>18310</v>
      </c>
      <c r="K2827" s="16" t="s">
        <v>18311</v>
      </c>
      <c r="L2827" s="16"/>
      <c r="M2827" s="16"/>
      <c r="N2827" s="12"/>
      <c r="O2827" s="12"/>
      <c r="P2827" s="13">
        <f>IFERROR(__xludf.DUMMYFUNCTION("VALUE(SUBSTITUTE((INDEX(SPLIT(A2827,"",""),1)),""."","","",1))"),43.4786)</f>
        <v>43.4786</v>
      </c>
      <c r="Q2827" s="13">
        <f>IFERROR(__xludf.DUMMYFUNCTION("VALUE(SUBSTITUTE((INDEX(SPLIT(A2827,"",""),2)),""."","","",1))"),44.808478)</f>
        <v>44.808478</v>
      </c>
      <c r="R2827" s="14" t="b">
        <f t="shared" si="1"/>
        <v>0</v>
      </c>
      <c r="S2827" s="14" t="str">
        <f t="shared" si="2"/>
        <v>43.4786,44.808478</v>
      </c>
      <c r="T2827" s="12"/>
    </row>
    <row r="2828">
      <c r="A2828" s="7" t="s">
        <v>18312</v>
      </c>
      <c r="B2828" s="8" t="s">
        <v>18313</v>
      </c>
      <c r="C2828" s="8" t="s">
        <v>18314</v>
      </c>
      <c r="D2828" s="8" t="s">
        <v>16</v>
      </c>
      <c r="E2828" s="9" t="s">
        <v>18315</v>
      </c>
      <c r="F2828" s="10" t="s">
        <v>13111</v>
      </c>
      <c r="G2828" s="8">
        <v>23.61</v>
      </c>
      <c r="H2828" s="8"/>
      <c r="I2828" s="10"/>
      <c r="J2828" s="10" t="s">
        <v>18316</v>
      </c>
      <c r="K2828" s="10" t="s">
        <v>18317</v>
      </c>
      <c r="L2828" s="11" t="s">
        <v>18318</v>
      </c>
      <c r="M2828" s="11" t="s">
        <v>18319</v>
      </c>
      <c r="N2828" s="12"/>
      <c r="O2828" s="12"/>
      <c r="P2828" s="13">
        <f>IFERROR(__xludf.DUMMYFUNCTION("VALUE(SUBSTITUTE((INDEX(SPLIT(A2828,"",""),1)),""."","","",1))"),43.197309)</f>
        <v>43.197309</v>
      </c>
      <c r="Q2828" s="13">
        <f>IFERROR(__xludf.DUMMYFUNCTION("VALUE(SUBSTITUTE((INDEX(SPLIT(A2828,"",""),2)),""."","","",1))"),44.816366)</f>
        <v>44.816366</v>
      </c>
      <c r="R2828" s="14" t="b">
        <f t="shared" si="1"/>
        <v>0</v>
      </c>
      <c r="S2828" s="14" t="str">
        <f t="shared" si="2"/>
        <v>43.197309,44.816366</v>
      </c>
      <c r="T2828" s="12"/>
    </row>
    <row r="2829">
      <c r="A2829" s="15" t="s">
        <v>18320</v>
      </c>
      <c r="B2829" s="16" t="s">
        <v>18321</v>
      </c>
      <c r="C2829" s="16" t="s">
        <v>18322</v>
      </c>
      <c r="D2829" s="16" t="s">
        <v>16</v>
      </c>
      <c r="E2829" s="17" t="s">
        <v>18323</v>
      </c>
      <c r="F2829" s="16" t="s">
        <v>13111</v>
      </c>
      <c r="G2829" s="16">
        <v>23.61</v>
      </c>
      <c r="H2829" s="16"/>
      <c r="I2829" s="16"/>
      <c r="J2829" s="16" t="s">
        <v>18324</v>
      </c>
      <c r="K2829" s="16" t="s">
        <v>18325</v>
      </c>
      <c r="L2829" s="16"/>
      <c r="M2829" s="16"/>
      <c r="N2829" s="12"/>
      <c r="O2829" s="12"/>
      <c r="P2829" s="13">
        <f>IFERROR(__xludf.DUMMYFUNCTION("VALUE(SUBSTITUTE((INDEX(SPLIT(A2829,"",""),1)),""."","","",1))"),48.755244)</f>
        <v>48.755244</v>
      </c>
      <c r="Q2829" s="13">
        <f>IFERROR(__xludf.DUMMYFUNCTION("VALUE(SUBSTITUTE((INDEX(SPLIT(A2829,"",""),2)),""."","","",1))"),44.817587)</f>
        <v>44.817587</v>
      </c>
      <c r="R2829" s="14" t="b">
        <f t="shared" si="1"/>
        <v>0</v>
      </c>
      <c r="S2829" s="14" t="str">
        <f t="shared" si="2"/>
        <v>48.755244,44.817587</v>
      </c>
      <c r="T2829" s="12"/>
    </row>
    <row r="2830">
      <c r="A2830" s="7" t="s">
        <v>18326</v>
      </c>
      <c r="B2830" s="8" t="s">
        <v>18327</v>
      </c>
      <c r="C2830" s="8" t="s">
        <v>18328</v>
      </c>
      <c r="D2830" s="8" t="s">
        <v>16</v>
      </c>
      <c r="E2830" s="9" t="s">
        <v>18329</v>
      </c>
      <c r="F2830" s="10" t="s">
        <v>13111</v>
      </c>
      <c r="G2830" s="8">
        <v>23.61</v>
      </c>
      <c r="H2830" s="8"/>
      <c r="I2830" s="10"/>
      <c r="J2830" s="10" t="s">
        <v>18330</v>
      </c>
      <c r="K2830" s="10" t="s">
        <v>18331</v>
      </c>
      <c r="L2830" s="11" t="s">
        <v>18332</v>
      </c>
      <c r="M2830" s="10"/>
      <c r="N2830" s="12"/>
      <c r="O2830" s="12"/>
      <c r="P2830" s="13">
        <f>IFERROR(__xludf.DUMMYFUNCTION("VALUE(SUBSTITUTE((INDEX(SPLIT(A2830,"",""),1)),""."","","",1))"),48.773939)</f>
        <v>48.773939</v>
      </c>
      <c r="Q2830" s="13">
        <f>IFERROR(__xludf.DUMMYFUNCTION("VALUE(SUBSTITUTE((INDEX(SPLIT(A2830,"",""),2)),""."","","",1))"),44.821773)</f>
        <v>44.821773</v>
      </c>
      <c r="R2830" s="14" t="b">
        <f t="shared" si="1"/>
        <v>0</v>
      </c>
      <c r="S2830" s="14" t="str">
        <f t="shared" si="2"/>
        <v>48.773939,44.821773</v>
      </c>
      <c r="T2830" s="12"/>
    </row>
    <row r="2831">
      <c r="A2831" s="15" t="s">
        <v>18333</v>
      </c>
      <c r="B2831" s="16" t="s">
        <v>18334</v>
      </c>
      <c r="C2831" s="16" t="s">
        <v>18335</v>
      </c>
      <c r="D2831" s="16" t="s">
        <v>16</v>
      </c>
      <c r="E2831" s="17" t="s">
        <v>18336</v>
      </c>
      <c r="F2831" s="16" t="s">
        <v>13111</v>
      </c>
      <c r="G2831" s="16">
        <v>23.61</v>
      </c>
      <c r="H2831" s="16"/>
      <c r="I2831" s="16"/>
      <c r="J2831" s="16" t="s">
        <v>18337</v>
      </c>
      <c r="K2831" s="16" t="s">
        <v>18338</v>
      </c>
      <c r="L2831" s="16"/>
      <c r="M2831" s="16"/>
      <c r="N2831" s="12"/>
      <c r="O2831" s="12"/>
      <c r="P2831" s="13">
        <f>IFERROR(__xludf.DUMMYFUNCTION("VALUE(SUBSTITUTE((INDEX(SPLIT(A2831,"",""),1)),""."","","",1))"),48.7838)</f>
        <v>48.7838</v>
      </c>
      <c r="Q2831" s="13">
        <f>IFERROR(__xludf.DUMMYFUNCTION("VALUE(SUBSTITUTE((INDEX(SPLIT(A2831,"",""),2)),""."","","",1))"),44.825007)</f>
        <v>44.825007</v>
      </c>
      <c r="R2831" s="14" t="b">
        <f t="shared" si="1"/>
        <v>0</v>
      </c>
      <c r="S2831" s="14" t="str">
        <f t="shared" si="2"/>
        <v>48.7838,44.825007</v>
      </c>
      <c r="T2831" s="12"/>
    </row>
    <row r="2832">
      <c r="A2832" s="18" t="s">
        <v>18339</v>
      </c>
      <c r="B2832" s="8" t="s">
        <v>18340</v>
      </c>
      <c r="C2832" s="8" t="s">
        <v>18341</v>
      </c>
      <c r="D2832" s="8" t="s">
        <v>16</v>
      </c>
      <c r="E2832" s="19" t="s">
        <v>18342</v>
      </c>
      <c r="F2832" s="8" t="s">
        <v>13111</v>
      </c>
      <c r="G2832" s="8">
        <v>23.61</v>
      </c>
      <c r="H2832" s="8"/>
      <c r="I2832" s="8"/>
      <c r="J2832" s="8" t="s">
        <v>18343</v>
      </c>
      <c r="K2832" s="8" t="s">
        <v>18344</v>
      </c>
      <c r="L2832" s="8"/>
      <c r="M2832" s="8"/>
      <c r="N2832" s="12"/>
      <c r="O2832" s="12"/>
      <c r="P2832" s="13">
        <f>IFERROR(__xludf.DUMMYFUNCTION("VALUE(SUBSTITUTE((INDEX(SPLIT(A2832,"",""),1)),""."","","",1))"),48.811924)</f>
        <v>48.811924</v>
      </c>
      <c r="Q2832" s="13">
        <f>IFERROR(__xludf.DUMMYFUNCTION("VALUE(SUBSTITUTE((INDEX(SPLIT(A2832,"",""),2)),""."","","",1))"),44.829921)</f>
        <v>44.829921</v>
      </c>
      <c r="R2832" s="14" t="b">
        <f t="shared" si="1"/>
        <v>0</v>
      </c>
      <c r="S2832" s="14" t="str">
        <f t="shared" si="2"/>
        <v>48.811924,44.829921</v>
      </c>
      <c r="T2832" s="12"/>
    </row>
    <row r="2833">
      <c r="A2833" s="20" t="s">
        <v>18345</v>
      </c>
      <c r="B2833" s="16" t="s">
        <v>18346</v>
      </c>
      <c r="C2833" s="16" t="s">
        <v>18347</v>
      </c>
      <c r="D2833" s="16" t="s">
        <v>16</v>
      </c>
      <c r="E2833" s="21" t="s">
        <v>18348</v>
      </c>
      <c r="F2833" s="22" t="s">
        <v>13111</v>
      </c>
      <c r="G2833" s="16">
        <v>23.61</v>
      </c>
      <c r="H2833" s="16"/>
      <c r="I2833" s="22"/>
      <c r="J2833" s="22" t="s">
        <v>18349</v>
      </c>
      <c r="K2833" s="22" t="s">
        <v>18350</v>
      </c>
      <c r="L2833" s="23" t="s">
        <v>18351</v>
      </c>
      <c r="M2833" s="22"/>
      <c r="N2833" s="12"/>
      <c r="O2833" s="12"/>
      <c r="P2833" s="13">
        <f>IFERROR(__xludf.DUMMYFUNCTION("VALUE(SUBSTITUTE((INDEX(SPLIT(A2833,"",""),1)),""."","","",1))"),43.207633)</f>
        <v>43.207633</v>
      </c>
      <c r="Q2833" s="13">
        <f>IFERROR(__xludf.DUMMYFUNCTION("VALUE(SUBSTITUTE((INDEX(SPLIT(A2833,"",""),2)),""."","","",1))"),44.831251)</f>
        <v>44.831251</v>
      </c>
      <c r="R2833" s="14" t="b">
        <f t="shared" si="1"/>
        <v>0</v>
      </c>
      <c r="S2833" s="14" t="str">
        <f t="shared" si="2"/>
        <v>43.207633,44.831251</v>
      </c>
      <c r="T2833" s="12"/>
    </row>
    <row r="2834">
      <c r="A2834" s="18" t="s">
        <v>18345</v>
      </c>
      <c r="B2834" s="8" t="s">
        <v>18352</v>
      </c>
      <c r="C2834" s="8" t="s">
        <v>18353</v>
      </c>
      <c r="D2834" s="8" t="s">
        <v>16</v>
      </c>
      <c r="E2834" s="19" t="s">
        <v>18354</v>
      </c>
      <c r="F2834" s="8" t="s">
        <v>13111</v>
      </c>
      <c r="G2834" s="8">
        <v>23.61</v>
      </c>
      <c r="H2834" s="8"/>
      <c r="I2834" s="8"/>
      <c r="J2834" s="8" t="s">
        <v>18355</v>
      </c>
      <c r="K2834" s="8" t="s">
        <v>18356</v>
      </c>
      <c r="L2834" s="8"/>
      <c r="M2834" s="8"/>
      <c r="N2834" s="12"/>
      <c r="O2834" s="12"/>
      <c r="P2834" s="13">
        <f>IFERROR(__xludf.DUMMYFUNCTION("VALUE(SUBSTITUTE((INDEX(SPLIT(A2834,"",""),1)),""."","","",1))"),43.207633)</f>
        <v>43.207633</v>
      </c>
      <c r="Q2834" s="13">
        <f>IFERROR(__xludf.DUMMYFUNCTION("VALUE(SUBSTITUTE((INDEX(SPLIT(A2834,"",""),2)),""."","","",1))"),44.831251)</f>
        <v>44.831251</v>
      </c>
      <c r="R2834" s="14" t="b">
        <f t="shared" si="1"/>
        <v>0</v>
      </c>
      <c r="S2834" s="14" t="str">
        <f t="shared" si="2"/>
        <v>43.207633,44.831251</v>
      </c>
      <c r="T2834" s="12"/>
    </row>
    <row r="2835">
      <c r="A2835" s="20" t="s">
        <v>18357</v>
      </c>
      <c r="B2835" s="16" t="s">
        <v>18358</v>
      </c>
      <c r="C2835" s="16" t="s">
        <v>18359</v>
      </c>
      <c r="D2835" s="16" t="s">
        <v>16</v>
      </c>
      <c r="E2835" s="21" t="s">
        <v>18360</v>
      </c>
      <c r="F2835" s="22" t="s">
        <v>13111</v>
      </c>
      <c r="G2835" s="16">
        <v>23.61</v>
      </c>
      <c r="H2835" s="16"/>
      <c r="I2835" s="22"/>
      <c r="J2835" s="22" t="s">
        <v>18361</v>
      </c>
      <c r="K2835" s="22" t="s">
        <v>18362</v>
      </c>
      <c r="L2835" s="23" t="s">
        <v>18363</v>
      </c>
      <c r="M2835" s="23" t="s">
        <v>18364</v>
      </c>
      <c r="N2835" s="12"/>
      <c r="O2835" s="12"/>
      <c r="P2835" s="13">
        <f>IFERROR(__xludf.DUMMYFUNCTION("VALUE(SUBSTITUTE((INDEX(SPLIT(A2835,"",""),1)),""."","","",1))"),48.810945)</f>
        <v>48.810945</v>
      </c>
      <c r="Q2835" s="13">
        <f>IFERROR(__xludf.DUMMYFUNCTION("VALUE(SUBSTITUTE((INDEX(SPLIT(A2835,"",""),2)),""."","","",1))"),44.834601)</f>
        <v>44.834601</v>
      </c>
      <c r="R2835" s="14" t="b">
        <f t="shared" si="1"/>
        <v>0</v>
      </c>
      <c r="S2835" s="14" t="str">
        <f t="shared" si="2"/>
        <v>48.810945,44.834601</v>
      </c>
      <c r="T2835" s="12"/>
    </row>
    <row r="2836">
      <c r="A2836" s="7" t="s">
        <v>18365</v>
      </c>
      <c r="B2836" s="8" t="s">
        <v>18366</v>
      </c>
      <c r="C2836" s="8" t="s">
        <v>18367</v>
      </c>
      <c r="D2836" s="8" t="s">
        <v>16</v>
      </c>
      <c r="E2836" s="9" t="s">
        <v>18368</v>
      </c>
      <c r="F2836" s="10" t="s">
        <v>13111</v>
      </c>
      <c r="G2836" s="8">
        <v>23.61</v>
      </c>
      <c r="H2836" s="8"/>
      <c r="I2836" s="10"/>
      <c r="J2836" s="10" t="s">
        <v>18369</v>
      </c>
      <c r="K2836" s="10" t="s">
        <v>18370</v>
      </c>
      <c r="L2836" s="11" t="s">
        <v>18371</v>
      </c>
      <c r="M2836" s="10"/>
      <c r="N2836" s="12"/>
      <c r="O2836" s="12"/>
      <c r="P2836" s="13">
        <f>IFERROR(__xludf.DUMMYFUNCTION("VALUE(SUBSTITUTE((INDEX(SPLIT(A2836,"",""),1)),""."","","",1))"),43.28545)</f>
        <v>43.28545</v>
      </c>
      <c r="Q2836" s="13">
        <f>IFERROR(__xludf.DUMMYFUNCTION("VALUE(SUBSTITUTE((INDEX(SPLIT(A2836,"",""),2)),""."","","",1))"),44.835859)</f>
        <v>44.835859</v>
      </c>
      <c r="R2836" s="14" t="b">
        <f t="shared" si="1"/>
        <v>0</v>
      </c>
      <c r="S2836" s="14" t="str">
        <f t="shared" si="2"/>
        <v>43.28545,44.835859</v>
      </c>
      <c r="T2836" s="12"/>
    </row>
    <row r="2837">
      <c r="A2837" s="15" t="s">
        <v>18372</v>
      </c>
      <c r="B2837" s="16" t="s">
        <v>18373</v>
      </c>
      <c r="C2837" s="16" t="s">
        <v>18374</v>
      </c>
      <c r="D2837" s="16" t="s">
        <v>16</v>
      </c>
      <c r="E2837" s="17" t="s">
        <v>18375</v>
      </c>
      <c r="F2837" s="16" t="s">
        <v>13111</v>
      </c>
      <c r="G2837" s="16">
        <v>23.61</v>
      </c>
      <c r="H2837" s="16"/>
      <c r="I2837" s="16"/>
      <c r="J2837" s="16" t="s">
        <v>18376</v>
      </c>
      <c r="K2837" s="16" t="s">
        <v>18377</v>
      </c>
      <c r="L2837" s="16"/>
      <c r="M2837" s="16"/>
      <c r="N2837" s="12"/>
      <c r="O2837" s="12"/>
      <c r="P2837" s="13">
        <f>IFERROR(__xludf.DUMMYFUNCTION("VALUE(SUBSTITUTE((INDEX(SPLIT(A2837,"",""),1)),""."","","",1))"),43.219316)</f>
        <v>43.219316</v>
      </c>
      <c r="Q2837" s="13">
        <f>IFERROR(__xludf.DUMMYFUNCTION("VALUE(SUBSTITUTE((INDEX(SPLIT(A2837,"",""),2)),""."","","",1))"),44.838249)</f>
        <v>44.838249</v>
      </c>
      <c r="R2837" s="14" t="b">
        <f t="shared" si="1"/>
        <v>0</v>
      </c>
      <c r="S2837" s="14" t="str">
        <f t="shared" si="2"/>
        <v>43.219316,44.838249</v>
      </c>
      <c r="T2837" s="12"/>
    </row>
    <row r="2838">
      <c r="A2838" s="18" t="s">
        <v>18378</v>
      </c>
      <c r="B2838" s="8" t="s">
        <v>18379</v>
      </c>
      <c r="C2838" s="8" t="s">
        <v>18380</v>
      </c>
      <c r="D2838" s="8" t="s">
        <v>16</v>
      </c>
      <c r="E2838" s="19" t="s">
        <v>18381</v>
      </c>
      <c r="F2838" s="8" t="s">
        <v>13111</v>
      </c>
      <c r="G2838" s="8">
        <v>23.61</v>
      </c>
      <c r="H2838" s="8"/>
      <c r="I2838" s="8"/>
      <c r="J2838" s="8" t="s">
        <v>18382</v>
      </c>
      <c r="K2838" s="8" t="s">
        <v>18383</v>
      </c>
      <c r="L2838" s="8"/>
      <c r="M2838" s="24" t="s">
        <v>18384</v>
      </c>
      <c r="N2838" s="12"/>
      <c r="O2838" s="12"/>
      <c r="P2838" s="13">
        <f>IFERROR(__xludf.DUMMYFUNCTION("VALUE(SUBSTITUTE((INDEX(SPLIT(A2838,"",""),1)),""."","","",1))"),43.287196)</f>
        <v>43.287196</v>
      </c>
      <c r="Q2838" s="13">
        <f>IFERROR(__xludf.DUMMYFUNCTION("VALUE(SUBSTITUTE((INDEX(SPLIT(A2838,"",""),2)),""."","","",1))"),44.842138)</f>
        <v>44.842138</v>
      </c>
      <c r="R2838" s="14" t="b">
        <f t="shared" si="1"/>
        <v>0</v>
      </c>
      <c r="S2838" s="14" t="str">
        <f t="shared" si="2"/>
        <v>43.287196,44.842138</v>
      </c>
      <c r="T2838" s="12"/>
    </row>
    <row r="2839">
      <c r="A2839" s="20" t="s">
        <v>18385</v>
      </c>
      <c r="B2839" s="16" t="s">
        <v>18386</v>
      </c>
      <c r="C2839" s="16" t="s">
        <v>18387</v>
      </c>
      <c r="D2839" s="16" t="s">
        <v>16</v>
      </c>
      <c r="E2839" s="21" t="s">
        <v>18388</v>
      </c>
      <c r="F2839" s="22" t="s">
        <v>13111</v>
      </c>
      <c r="G2839" s="16">
        <v>23.61</v>
      </c>
      <c r="H2839" s="16"/>
      <c r="I2839" s="28" t="s">
        <v>18389</v>
      </c>
      <c r="J2839" s="22" t="s">
        <v>18390</v>
      </c>
      <c r="K2839" s="22" t="s">
        <v>18391</v>
      </c>
      <c r="L2839" s="23" t="s">
        <v>18392</v>
      </c>
      <c r="M2839" s="23" t="s">
        <v>18393</v>
      </c>
      <c r="N2839" s="12"/>
      <c r="O2839" s="12"/>
      <c r="P2839" s="13">
        <f>IFERROR(__xludf.DUMMYFUNCTION("VALUE(SUBSTITUTE((INDEX(SPLIT(A2839,"",""),1)),""."","","",1))"),48.811295)</f>
        <v>48.811295</v>
      </c>
      <c r="Q2839" s="13">
        <f>IFERROR(__xludf.DUMMYFUNCTION("VALUE(SUBSTITUTE((INDEX(SPLIT(A2839,"",""),2)),""."","","",1))"),44.84981)</f>
        <v>44.84981</v>
      </c>
      <c r="R2839" s="14" t="b">
        <f t="shared" si="1"/>
        <v>0</v>
      </c>
      <c r="S2839" s="14" t="str">
        <f t="shared" si="2"/>
        <v>48.811295,44.84981</v>
      </c>
      <c r="T2839" s="12"/>
    </row>
    <row r="2840">
      <c r="A2840" s="18" t="s">
        <v>18394</v>
      </c>
      <c r="B2840" s="8" t="s">
        <v>3493</v>
      </c>
      <c r="C2840" s="8" t="s">
        <v>3494</v>
      </c>
      <c r="D2840" s="8" t="s">
        <v>16</v>
      </c>
      <c r="E2840" s="19" t="s">
        <v>18395</v>
      </c>
      <c r="F2840" s="8" t="s">
        <v>18396</v>
      </c>
      <c r="G2840" s="8">
        <v>23.61</v>
      </c>
      <c r="H2840" s="8"/>
      <c r="I2840" s="8"/>
      <c r="J2840" s="8" t="s">
        <v>18397</v>
      </c>
      <c r="K2840" s="8" t="s">
        <v>18398</v>
      </c>
      <c r="L2840" s="8"/>
      <c r="M2840" s="8"/>
      <c r="N2840" s="12"/>
      <c r="O2840" s="12"/>
      <c r="P2840" s="13">
        <f>IFERROR(__xludf.DUMMYFUNCTION("VALUE(SUBSTITUTE((INDEX(SPLIT(A2840,"",""),1)),""."","","",1))"),48.721477)</f>
        <v>48.721477</v>
      </c>
      <c r="Q2840" s="13">
        <f>IFERROR(__xludf.DUMMYFUNCTION("VALUE(SUBSTITUTE((INDEX(SPLIT(A2840,"",""),2)),""."","","",1))"),44.856556)</f>
        <v>44.856556</v>
      </c>
      <c r="R2840" s="14" t="b">
        <f t="shared" si="1"/>
        <v>0</v>
      </c>
      <c r="S2840" s="14" t="str">
        <f t="shared" si="2"/>
        <v>48.721477,44.856556</v>
      </c>
      <c r="T2840" s="12"/>
    </row>
    <row r="2841">
      <c r="A2841" s="15" t="s">
        <v>18399</v>
      </c>
      <c r="B2841" s="16" t="s">
        <v>18400</v>
      </c>
      <c r="C2841" s="16" t="s">
        <v>18401</v>
      </c>
      <c r="D2841" s="16" t="s">
        <v>16</v>
      </c>
      <c r="E2841" s="17" t="s">
        <v>18402</v>
      </c>
      <c r="F2841" s="16" t="s">
        <v>16936</v>
      </c>
      <c r="G2841" s="16">
        <v>23.61</v>
      </c>
      <c r="H2841" s="16"/>
      <c r="I2841" s="16"/>
      <c r="J2841" s="16" t="s">
        <v>18403</v>
      </c>
      <c r="K2841" s="16" t="s">
        <v>18404</v>
      </c>
      <c r="L2841" s="16"/>
      <c r="M2841" s="25" t="s">
        <v>18405</v>
      </c>
      <c r="N2841" s="12"/>
      <c r="O2841" s="12"/>
      <c r="P2841" s="13">
        <f>IFERROR(__xludf.DUMMYFUNCTION("VALUE(SUBSTITUTE((INDEX(SPLIT(A2841,"",""),1)),""."","","",1))"),43.139078)</f>
        <v>43.139078</v>
      </c>
      <c r="Q2841" s="13">
        <f>IFERROR(__xludf.DUMMYFUNCTION("VALUE(SUBSTITUTE((INDEX(SPLIT(A2841,"",""),2)),""."","","",1))"),44.85794)</f>
        <v>44.85794</v>
      </c>
      <c r="R2841" s="14" t="b">
        <f t="shared" si="1"/>
        <v>0</v>
      </c>
      <c r="S2841" s="14" t="str">
        <f t="shared" si="2"/>
        <v>43.139078,44.85794</v>
      </c>
      <c r="T2841" s="12"/>
    </row>
    <row r="2842">
      <c r="A2842" s="18" t="s">
        <v>18406</v>
      </c>
      <c r="B2842" s="8" t="s">
        <v>18407</v>
      </c>
      <c r="C2842" s="8" t="s">
        <v>18408</v>
      </c>
      <c r="D2842" s="8" t="s">
        <v>16</v>
      </c>
      <c r="E2842" s="19" t="s">
        <v>18409</v>
      </c>
      <c r="F2842" s="8" t="s">
        <v>13111</v>
      </c>
      <c r="G2842" s="8">
        <v>23.61</v>
      </c>
      <c r="H2842" s="8"/>
      <c r="I2842" s="8"/>
      <c r="J2842" s="8" t="s">
        <v>18410</v>
      </c>
      <c r="K2842" s="8" t="s">
        <v>18411</v>
      </c>
      <c r="L2842" s="8"/>
      <c r="M2842" s="8"/>
      <c r="N2842" s="12"/>
      <c r="O2842" s="12"/>
      <c r="P2842" s="13">
        <f>IFERROR(__xludf.DUMMYFUNCTION("VALUE(SUBSTITUTE((INDEX(SPLIT(A2842,"",""),1)),""."","","",1))"),43.298764)</f>
        <v>43.298764</v>
      </c>
      <c r="Q2842" s="13">
        <f>IFERROR(__xludf.DUMMYFUNCTION("VALUE(SUBSTITUTE((INDEX(SPLIT(A2842,"",""),2)),""."","","",1))"),44.873984)</f>
        <v>44.873984</v>
      </c>
      <c r="R2842" s="14" t="b">
        <f t="shared" si="1"/>
        <v>0</v>
      </c>
      <c r="S2842" s="14" t="str">
        <f t="shared" si="2"/>
        <v>43.298764,44.873984</v>
      </c>
      <c r="T2842" s="12"/>
    </row>
    <row r="2843">
      <c r="A2843" s="15" t="s">
        <v>18412</v>
      </c>
      <c r="B2843" s="16" t="s">
        <v>1780</v>
      </c>
      <c r="C2843" s="16" t="s">
        <v>1781</v>
      </c>
      <c r="D2843" s="16" t="s">
        <v>16</v>
      </c>
      <c r="E2843" s="17" t="s">
        <v>18413</v>
      </c>
      <c r="F2843" s="16" t="s">
        <v>13111</v>
      </c>
      <c r="G2843" s="16">
        <v>23.61</v>
      </c>
      <c r="H2843" s="16"/>
      <c r="I2843" s="16"/>
      <c r="J2843" s="16" t="s">
        <v>18414</v>
      </c>
      <c r="K2843" s="16" t="s">
        <v>18415</v>
      </c>
      <c r="L2843" s="16"/>
      <c r="M2843" s="25" t="s">
        <v>18416</v>
      </c>
      <c r="N2843" s="12"/>
      <c r="O2843" s="12"/>
      <c r="P2843" s="13">
        <f>IFERROR(__xludf.DUMMYFUNCTION("VALUE(SUBSTITUTE((INDEX(SPLIT(A2843,"",""),1)),""."","","",1))"),53.226654)</f>
        <v>53.226654</v>
      </c>
      <c r="Q2843" s="13">
        <f>IFERROR(__xludf.DUMMYFUNCTION("VALUE(SUBSTITUTE((INDEX(SPLIT(A2843,"",""),2)),""."","","",1))"),44.876679)</f>
        <v>44.876679</v>
      </c>
      <c r="R2843" s="14" t="b">
        <f t="shared" si="1"/>
        <v>0</v>
      </c>
      <c r="S2843" s="14" t="str">
        <f t="shared" si="2"/>
        <v>53.226654,44.876679</v>
      </c>
      <c r="T2843" s="12"/>
    </row>
    <row r="2844">
      <c r="A2844" s="7" t="s">
        <v>18417</v>
      </c>
      <c r="B2844" s="8" t="s">
        <v>18418</v>
      </c>
      <c r="C2844" s="8" t="s">
        <v>18419</v>
      </c>
      <c r="D2844" s="8" t="s">
        <v>16</v>
      </c>
      <c r="E2844" s="9" t="s">
        <v>18420</v>
      </c>
      <c r="F2844" s="10" t="s">
        <v>1448</v>
      </c>
      <c r="G2844" s="8">
        <v>23.61</v>
      </c>
      <c r="H2844" s="8"/>
      <c r="I2844" s="10"/>
      <c r="J2844" s="10" t="s">
        <v>18421</v>
      </c>
      <c r="K2844" s="10" t="s">
        <v>18422</v>
      </c>
      <c r="L2844" s="11" t="s">
        <v>18423</v>
      </c>
      <c r="M2844" s="10"/>
      <c r="N2844" s="12"/>
      <c r="O2844" s="12"/>
      <c r="P2844" s="13">
        <f>IFERROR(__xludf.DUMMYFUNCTION("VALUE(SUBSTITUTE((INDEX(SPLIT(A2844,"",""),1)),""."","","",1))"),43.182027)</f>
        <v>43.182027</v>
      </c>
      <c r="Q2844" s="13">
        <f>IFERROR(__xludf.DUMMYFUNCTION("VALUE(SUBSTITUTE((INDEX(SPLIT(A2844,"",""),2)),""."","","",1))"),44.889992)</f>
        <v>44.889992</v>
      </c>
      <c r="R2844" s="14" t="b">
        <f t="shared" si="1"/>
        <v>0</v>
      </c>
      <c r="S2844" s="14" t="str">
        <f t="shared" si="2"/>
        <v>43.182027,44.889992</v>
      </c>
      <c r="T2844" s="12"/>
    </row>
    <row r="2845">
      <c r="A2845" s="15" t="s">
        <v>18424</v>
      </c>
      <c r="B2845" s="16" t="s">
        <v>18425</v>
      </c>
      <c r="C2845" s="16" t="s">
        <v>18426</v>
      </c>
      <c r="D2845" s="16" t="s">
        <v>16</v>
      </c>
      <c r="E2845" s="17" t="s">
        <v>18427</v>
      </c>
      <c r="F2845" s="16" t="s">
        <v>13111</v>
      </c>
      <c r="G2845" s="16">
        <v>23.61</v>
      </c>
      <c r="H2845" s="16"/>
      <c r="I2845" s="16"/>
      <c r="J2845" s="16" t="s">
        <v>18428</v>
      </c>
      <c r="K2845" s="16" t="s">
        <v>18429</v>
      </c>
      <c r="L2845" s="16"/>
      <c r="M2845" s="16"/>
      <c r="N2845" s="12"/>
      <c r="O2845" s="12"/>
      <c r="P2845" s="13">
        <f>IFERROR(__xludf.DUMMYFUNCTION("VALUE(SUBSTITUTE((INDEX(SPLIT(A2845,"",""),1)),""."","","",1))"),53.224428)</f>
        <v>53.224428</v>
      </c>
      <c r="Q2845" s="13">
        <f>IFERROR(__xludf.DUMMYFUNCTION("VALUE(SUBSTITUTE((INDEX(SPLIT(A2845,"",""),2)),""."","","",1))"),44.895911)</f>
        <v>44.895911</v>
      </c>
      <c r="R2845" s="14" t="b">
        <f t="shared" si="1"/>
        <v>0</v>
      </c>
      <c r="S2845" s="14" t="str">
        <f t="shared" si="2"/>
        <v>53.224428,44.895911</v>
      </c>
      <c r="T2845" s="12"/>
    </row>
    <row r="2846">
      <c r="A2846" s="18" t="s">
        <v>18430</v>
      </c>
      <c r="B2846" s="8" t="s">
        <v>18431</v>
      </c>
      <c r="C2846" s="8" t="s">
        <v>18432</v>
      </c>
      <c r="D2846" s="8" t="s">
        <v>16</v>
      </c>
      <c r="E2846" s="19" t="s">
        <v>18433</v>
      </c>
      <c r="F2846" s="8" t="s">
        <v>18396</v>
      </c>
      <c r="G2846" s="8">
        <v>23.61</v>
      </c>
      <c r="H2846" s="8"/>
      <c r="I2846" s="8"/>
      <c r="J2846" s="8" t="s">
        <v>18434</v>
      </c>
      <c r="K2846" s="8" t="s">
        <v>18435</v>
      </c>
      <c r="L2846" s="8"/>
      <c r="M2846" s="8"/>
      <c r="N2846" s="12"/>
      <c r="O2846" s="12"/>
      <c r="P2846" s="13">
        <f>IFERROR(__xludf.DUMMYFUNCTION("VALUE(SUBSTITUTE((INDEX(SPLIT(A2846,"",""),1)),""."","","",1))"),43.18298)</f>
        <v>43.18298</v>
      </c>
      <c r="Q2846" s="13">
        <f>IFERROR(__xludf.DUMMYFUNCTION("VALUE(SUBSTITUTE((INDEX(SPLIT(A2846,"",""),2)),""."","","",1))"),44.897016)</f>
        <v>44.897016</v>
      </c>
      <c r="R2846" s="14" t="b">
        <f t="shared" si="1"/>
        <v>0</v>
      </c>
      <c r="S2846" s="14" t="str">
        <f t="shared" si="2"/>
        <v>43.18298,44.897016</v>
      </c>
      <c r="T2846" s="12"/>
    </row>
    <row r="2847">
      <c r="A2847" s="15" t="s">
        <v>18436</v>
      </c>
      <c r="B2847" s="16" t="s">
        <v>18437</v>
      </c>
      <c r="C2847" s="16" t="s">
        <v>18438</v>
      </c>
      <c r="D2847" s="16" t="s">
        <v>16</v>
      </c>
      <c r="E2847" s="17" t="s">
        <v>18439</v>
      </c>
      <c r="F2847" s="16" t="s">
        <v>18396</v>
      </c>
      <c r="G2847" s="16">
        <v>23.61</v>
      </c>
      <c r="H2847" s="16"/>
      <c r="I2847" s="16"/>
      <c r="J2847" s="16" t="s">
        <v>18440</v>
      </c>
      <c r="K2847" s="16" t="s">
        <v>18441</v>
      </c>
      <c r="L2847" s="16"/>
      <c r="M2847" s="16"/>
      <c r="N2847" s="12"/>
      <c r="O2847" s="12"/>
      <c r="P2847" s="13">
        <f>IFERROR(__xludf.DUMMYFUNCTION("VALUE(SUBSTITUTE((INDEX(SPLIT(A2847,"",""),1)),""."","","",1))"),43.323993)</f>
        <v>43.323993</v>
      </c>
      <c r="Q2847" s="13">
        <f>IFERROR(__xludf.DUMMYFUNCTION("VALUE(SUBSTITUTE((INDEX(SPLIT(A2847,"",""),2)),""."","","",1))"),44.902595)</f>
        <v>44.902595</v>
      </c>
      <c r="R2847" s="14" t="b">
        <f t="shared" si="1"/>
        <v>0</v>
      </c>
      <c r="S2847" s="14" t="str">
        <f t="shared" si="2"/>
        <v>43.323993,44.902595</v>
      </c>
      <c r="T2847" s="12"/>
    </row>
    <row r="2848">
      <c r="A2848" s="18" t="s">
        <v>18442</v>
      </c>
      <c r="B2848" s="8" t="s">
        <v>18443</v>
      </c>
      <c r="C2848" s="8" t="s">
        <v>18444</v>
      </c>
      <c r="D2848" s="8" t="s">
        <v>16</v>
      </c>
      <c r="E2848" s="19" t="s">
        <v>18445</v>
      </c>
      <c r="F2848" s="8" t="s">
        <v>18396</v>
      </c>
      <c r="G2848" s="8">
        <v>23.61</v>
      </c>
      <c r="H2848" s="8"/>
      <c r="I2848" s="8"/>
      <c r="J2848" s="8" t="s">
        <v>18446</v>
      </c>
      <c r="K2848" s="8" t="s">
        <v>18447</v>
      </c>
      <c r="L2848" s="8"/>
      <c r="M2848" s="8"/>
      <c r="N2848" s="12"/>
      <c r="O2848" s="12"/>
      <c r="P2848" s="13">
        <f>IFERROR(__xludf.DUMMYFUNCTION("VALUE(SUBSTITUTE((INDEX(SPLIT(A2848,"",""),1)),""."","","",1))"),54.054098)</f>
        <v>54.054098</v>
      </c>
      <c r="Q2848" s="13">
        <f>IFERROR(__xludf.DUMMYFUNCTION("VALUE(SUBSTITUTE((INDEX(SPLIT(A2848,"",""),2)),""."","","",1))"),44.907679)</f>
        <v>44.907679</v>
      </c>
      <c r="R2848" s="14" t="b">
        <f t="shared" si="1"/>
        <v>0</v>
      </c>
      <c r="S2848" s="14" t="str">
        <f t="shared" si="2"/>
        <v>54.054098,44.907679</v>
      </c>
      <c r="T2848" s="12"/>
    </row>
    <row r="2849">
      <c r="A2849" s="15" t="s">
        <v>18448</v>
      </c>
      <c r="B2849" s="16" t="s">
        <v>18449</v>
      </c>
      <c r="C2849" s="16" t="s">
        <v>18450</v>
      </c>
      <c r="D2849" s="16" t="s">
        <v>16</v>
      </c>
      <c r="E2849" s="17" t="s">
        <v>18451</v>
      </c>
      <c r="F2849" s="16" t="s">
        <v>13111</v>
      </c>
      <c r="G2849" s="16">
        <v>23.61</v>
      </c>
      <c r="H2849" s="16"/>
      <c r="I2849" s="16"/>
      <c r="J2849" s="16" t="s">
        <v>18452</v>
      </c>
      <c r="K2849" s="16" t="s">
        <v>18453</v>
      </c>
      <c r="L2849" s="16"/>
      <c r="M2849" s="16"/>
      <c r="N2849" s="12"/>
      <c r="O2849" s="12"/>
      <c r="P2849" s="13">
        <f>IFERROR(__xludf.DUMMYFUNCTION("VALUE(SUBSTITUTE((INDEX(SPLIT(A2849,"",""),1)),""."","","",1))"),53.221268)</f>
        <v>53.221268</v>
      </c>
      <c r="Q2849" s="13">
        <f>IFERROR(__xludf.DUMMYFUNCTION("VALUE(SUBSTITUTE((INDEX(SPLIT(A2849,"",""),2)),""."","","",1))"),44.916654)</f>
        <v>44.916654</v>
      </c>
      <c r="R2849" s="14" t="b">
        <f t="shared" si="1"/>
        <v>0</v>
      </c>
      <c r="S2849" s="14" t="str">
        <f t="shared" si="2"/>
        <v>53.221268,44.916654</v>
      </c>
      <c r="T2849" s="12"/>
    </row>
    <row r="2850">
      <c r="A2850" s="7" t="s">
        <v>18454</v>
      </c>
      <c r="B2850" s="8" t="s">
        <v>18455</v>
      </c>
      <c r="C2850" s="8" t="s">
        <v>18456</v>
      </c>
      <c r="D2850" s="8" t="s">
        <v>16</v>
      </c>
      <c r="E2850" s="9" t="s">
        <v>18457</v>
      </c>
      <c r="F2850" s="10" t="s">
        <v>13111</v>
      </c>
      <c r="G2850" s="8">
        <v>23.61</v>
      </c>
      <c r="H2850" s="8"/>
      <c r="I2850" s="10"/>
      <c r="J2850" s="10" t="s">
        <v>18458</v>
      </c>
      <c r="K2850" s="10" t="s">
        <v>18459</v>
      </c>
      <c r="L2850" s="11" t="s">
        <v>18460</v>
      </c>
      <c r="M2850" s="11" t="s">
        <v>18461</v>
      </c>
      <c r="N2850" s="12"/>
      <c r="O2850" s="12"/>
      <c r="P2850" s="13">
        <f>IFERROR(__xludf.DUMMYFUNCTION("VALUE(SUBSTITUTE((INDEX(SPLIT(A2850,"",""),1)),""."","","",1))"),43.204624)</f>
        <v>43.204624</v>
      </c>
      <c r="Q2850" s="13">
        <f>IFERROR(__xludf.DUMMYFUNCTION("VALUE(SUBSTITUTE((INDEX(SPLIT(A2850,"",""),2)),""."","","",1))"),44.917004)</f>
        <v>44.917004</v>
      </c>
      <c r="R2850" s="14" t="b">
        <f t="shared" si="1"/>
        <v>0</v>
      </c>
      <c r="S2850" s="14" t="str">
        <f t="shared" si="2"/>
        <v>43.204624,44.917004</v>
      </c>
      <c r="T2850" s="12"/>
    </row>
    <row r="2851">
      <c r="A2851" s="20" t="s">
        <v>18462</v>
      </c>
      <c r="B2851" s="16" t="s">
        <v>18463</v>
      </c>
      <c r="C2851" s="16" t="s">
        <v>18464</v>
      </c>
      <c r="D2851" s="16" t="s">
        <v>16</v>
      </c>
      <c r="E2851" s="21" t="s">
        <v>18465</v>
      </c>
      <c r="F2851" s="22" t="s">
        <v>18396</v>
      </c>
      <c r="G2851" s="16">
        <v>23.61</v>
      </c>
      <c r="H2851" s="16"/>
      <c r="I2851" s="22"/>
      <c r="J2851" s="22" t="s">
        <v>18466</v>
      </c>
      <c r="K2851" s="22" t="s">
        <v>18467</v>
      </c>
      <c r="L2851" s="23" t="s">
        <v>18468</v>
      </c>
      <c r="M2851" s="22"/>
      <c r="N2851" s="12"/>
      <c r="O2851" s="12"/>
      <c r="P2851" s="13">
        <f>IFERROR(__xludf.DUMMYFUNCTION("VALUE(SUBSTITUTE((INDEX(SPLIT(A2851,"",""),1)),""."","","",1))"),53.272575)</f>
        <v>53.272575</v>
      </c>
      <c r="Q2851" s="13">
        <f>IFERROR(__xludf.DUMMYFUNCTION("VALUE(SUBSTITUTE((INDEX(SPLIT(A2851,"",""),2)),""."","","",1))"),44.924298)</f>
        <v>44.924298</v>
      </c>
      <c r="R2851" s="14" t="b">
        <f t="shared" si="1"/>
        <v>0</v>
      </c>
      <c r="S2851" s="14" t="str">
        <f t="shared" si="2"/>
        <v>53.272575,44.924298</v>
      </c>
      <c r="T2851" s="12"/>
    </row>
    <row r="2852">
      <c r="A2852" s="18" t="s">
        <v>18469</v>
      </c>
      <c r="B2852" s="8" t="s">
        <v>18470</v>
      </c>
      <c r="C2852" s="8" t="s">
        <v>18471</v>
      </c>
      <c r="D2852" s="8" t="s">
        <v>16</v>
      </c>
      <c r="E2852" s="19" t="s">
        <v>18472</v>
      </c>
      <c r="F2852" s="8" t="s">
        <v>13111</v>
      </c>
      <c r="G2852" s="8">
        <v>23.61</v>
      </c>
      <c r="H2852" s="8"/>
      <c r="I2852" s="8"/>
      <c r="J2852" s="8" t="s">
        <v>18473</v>
      </c>
      <c r="K2852" s="8" t="s">
        <v>18474</v>
      </c>
      <c r="L2852" s="8"/>
      <c r="M2852" s="8"/>
      <c r="N2852" s="12"/>
      <c r="O2852" s="12"/>
      <c r="P2852" s="13">
        <f>IFERROR(__xludf.DUMMYFUNCTION("VALUE(SUBSTITUTE((INDEX(SPLIT(A2852,"",""),1)),""."","","",1))"),54.048918)</f>
        <v>54.048918</v>
      </c>
      <c r="Q2852" s="13">
        <f>IFERROR(__xludf.DUMMYFUNCTION("VALUE(SUBSTITUTE((INDEX(SPLIT(A2852,"",""),2)),""."","","",1))"),44.928215)</f>
        <v>44.928215</v>
      </c>
      <c r="R2852" s="14" t="b">
        <f t="shared" si="1"/>
        <v>0</v>
      </c>
      <c r="S2852" s="14" t="str">
        <f t="shared" si="2"/>
        <v>54.048918,44.928215</v>
      </c>
      <c r="T2852" s="12"/>
    </row>
    <row r="2853">
      <c r="A2853" s="20" t="s">
        <v>18475</v>
      </c>
      <c r="B2853" s="16" t="s">
        <v>18476</v>
      </c>
      <c r="C2853" s="16" t="s">
        <v>18477</v>
      </c>
      <c r="D2853" s="16" t="s">
        <v>16</v>
      </c>
      <c r="E2853" s="21" t="s">
        <v>18478</v>
      </c>
      <c r="F2853" s="22" t="s">
        <v>13111</v>
      </c>
      <c r="G2853" s="16">
        <v>23.61</v>
      </c>
      <c r="H2853" s="16"/>
      <c r="I2853" s="22"/>
      <c r="J2853" s="22" t="s">
        <v>18479</v>
      </c>
      <c r="K2853" s="22" t="s">
        <v>18480</v>
      </c>
      <c r="L2853" s="23" t="s">
        <v>18481</v>
      </c>
      <c r="M2853" s="22"/>
      <c r="N2853" s="12"/>
      <c r="O2853" s="12"/>
      <c r="P2853" s="13">
        <f>IFERROR(__xludf.DUMMYFUNCTION("VALUE(SUBSTITUTE((INDEX(SPLIT(A2853,"",""),1)),""."","","",1))"),54.058274)</f>
        <v>54.058274</v>
      </c>
      <c r="Q2853" s="13">
        <f>IFERROR(__xludf.DUMMYFUNCTION("VALUE(SUBSTITUTE((INDEX(SPLIT(A2853,"",""),2)),""."","","",1))"),44.94911)</f>
        <v>44.94911</v>
      </c>
      <c r="R2853" s="14" t="b">
        <f t="shared" si="1"/>
        <v>0</v>
      </c>
      <c r="S2853" s="14" t="str">
        <f t="shared" si="2"/>
        <v>54.058274,44.94911</v>
      </c>
      <c r="T2853" s="12"/>
    </row>
    <row r="2854">
      <c r="A2854" s="18" t="s">
        <v>18482</v>
      </c>
      <c r="B2854" s="8" t="s">
        <v>18483</v>
      </c>
      <c r="C2854" s="8" t="s">
        <v>18484</v>
      </c>
      <c r="D2854" s="8" t="s">
        <v>16</v>
      </c>
      <c r="E2854" s="19" t="s">
        <v>18485</v>
      </c>
      <c r="F2854" s="8" t="s">
        <v>16936</v>
      </c>
      <c r="G2854" s="8">
        <v>23.61</v>
      </c>
      <c r="H2854" s="8"/>
      <c r="I2854" s="8"/>
      <c r="J2854" s="8" t="s">
        <v>18486</v>
      </c>
      <c r="K2854" s="8" t="s">
        <v>18487</v>
      </c>
      <c r="L2854" s="8"/>
      <c r="M2854" s="8"/>
      <c r="N2854" s="12"/>
      <c r="O2854" s="12"/>
      <c r="P2854" s="13">
        <f>IFERROR(__xludf.DUMMYFUNCTION("VALUE(SUBSTITUTE((INDEX(SPLIT(A2854,"",""),1)),""."","","",1))"),54.075631)</f>
        <v>54.075631</v>
      </c>
      <c r="Q2854" s="13">
        <f>IFERROR(__xludf.DUMMYFUNCTION("VALUE(SUBSTITUTE((INDEX(SPLIT(A2854,"",""),2)),""."","","",1))"),44.954032)</f>
        <v>44.954032</v>
      </c>
      <c r="R2854" s="14" t="b">
        <f t="shared" si="1"/>
        <v>0</v>
      </c>
      <c r="S2854" s="14" t="str">
        <f t="shared" si="2"/>
        <v>54.075631,44.954032</v>
      </c>
      <c r="T2854" s="12"/>
    </row>
    <row r="2855">
      <c r="A2855" s="15" t="s">
        <v>18488</v>
      </c>
      <c r="B2855" s="16" t="s">
        <v>18489</v>
      </c>
      <c r="C2855" s="16" t="s">
        <v>18490</v>
      </c>
      <c r="D2855" s="16" t="s">
        <v>16</v>
      </c>
      <c r="E2855" s="17" t="s">
        <v>18491</v>
      </c>
      <c r="F2855" s="16" t="s">
        <v>18396</v>
      </c>
      <c r="G2855" s="16">
        <v>23.61</v>
      </c>
      <c r="H2855" s="16"/>
      <c r="I2855" s="16"/>
      <c r="J2855" s="16" t="s">
        <v>18492</v>
      </c>
      <c r="K2855" s="16" t="s">
        <v>18493</v>
      </c>
      <c r="L2855" s="16"/>
      <c r="M2855" s="16"/>
      <c r="N2855" s="12"/>
      <c r="O2855" s="12"/>
      <c r="P2855" s="13">
        <f>IFERROR(__xludf.DUMMYFUNCTION("VALUE(SUBSTITUTE((INDEX(SPLIT(A2855,"",""),1)),""."","","",1))"),53.172302)</f>
        <v>53.172302</v>
      </c>
      <c r="Q2855" s="13">
        <f>IFERROR(__xludf.DUMMYFUNCTION("VALUE(SUBSTITUTE((INDEX(SPLIT(A2855,"",""),2)),""."","","",1))"),44.957967)</f>
        <v>44.957967</v>
      </c>
      <c r="R2855" s="14" t="b">
        <f t="shared" si="1"/>
        <v>0</v>
      </c>
      <c r="S2855" s="14" t="str">
        <f t="shared" si="2"/>
        <v>53.172302,44.957967</v>
      </c>
      <c r="T2855" s="12"/>
    </row>
    <row r="2856">
      <c r="A2856" s="18" t="s">
        <v>18494</v>
      </c>
      <c r="B2856" s="8" t="s">
        <v>18495</v>
      </c>
      <c r="C2856" s="8" t="s">
        <v>18495</v>
      </c>
      <c r="D2856" s="8" t="s">
        <v>16</v>
      </c>
      <c r="E2856" s="19" t="s">
        <v>18496</v>
      </c>
      <c r="F2856" s="8" t="s">
        <v>16936</v>
      </c>
      <c r="G2856" s="8">
        <v>23.61</v>
      </c>
      <c r="H2856" s="8"/>
      <c r="I2856" s="8"/>
      <c r="J2856" s="8" t="s">
        <v>18497</v>
      </c>
      <c r="K2856" s="8" t="s">
        <v>18498</v>
      </c>
      <c r="L2856" s="8"/>
      <c r="M2856" s="8"/>
      <c r="N2856" s="12"/>
      <c r="O2856" s="12"/>
      <c r="P2856" s="13">
        <f>IFERROR(__xludf.DUMMYFUNCTION("VALUE(SUBSTITUTE((INDEX(SPLIT(A2856,"",""),1)),""."","","",1))"),53.232557)</f>
        <v>53.232557</v>
      </c>
      <c r="Q2856" s="13">
        <f>IFERROR(__xludf.DUMMYFUNCTION("VALUE(SUBSTITUTE((INDEX(SPLIT(A2856,"",""),2)),""."","","",1))"),44.961479)</f>
        <v>44.961479</v>
      </c>
      <c r="R2856" s="14" t="b">
        <f t="shared" si="1"/>
        <v>0</v>
      </c>
      <c r="S2856" s="14" t="str">
        <f t="shared" si="2"/>
        <v>53.232557,44.961479</v>
      </c>
      <c r="T2856" s="12"/>
    </row>
    <row r="2857">
      <c r="A2857" s="15" t="s">
        <v>18494</v>
      </c>
      <c r="B2857" s="16" t="s">
        <v>18499</v>
      </c>
      <c r="C2857" s="16" t="s">
        <v>18500</v>
      </c>
      <c r="D2857" s="16" t="s">
        <v>16</v>
      </c>
      <c r="E2857" s="17" t="s">
        <v>18501</v>
      </c>
      <c r="F2857" s="16" t="s">
        <v>16936</v>
      </c>
      <c r="G2857" s="16">
        <v>23.61</v>
      </c>
      <c r="H2857" s="16"/>
      <c r="I2857" s="16"/>
      <c r="J2857" s="16" t="s">
        <v>18502</v>
      </c>
      <c r="K2857" s="16" t="s">
        <v>18503</v>
      </c>
      <c r="L2857" s="16"/>
      <c r="M2857" s="16"/>
      <c r="N2857" s="12"/>
      <c r="O2857" s="12"/>
      <c r="P2857" s="13">
        <f>IFERROR(__xludf.DUMMYFUNCTION("VALUE(SUBSTITUTE((INDEX(SPLIT(A2857,"",""),1)),""."","","",1))"),53.232557)</f>
        <v>53.232557</v>
      </c>
      <c r="Q2857" s="13">
        <f>IFERROR(__xludf.DUMMYFUNCTION("VALUE(SUBSTITUTE((INDEX(SPLIT(A2857,"",""),2)),""."","","",1))"),44.961479)</f>
        <v>44.961479</v>
      </c>
      <c r="R2857" s="14" t="b">
        <f t="shared" si="1"/>
        <v>0</v>
      </c>
      <c r="S2857" s="14" t="str">
        <f t="shared" si="2"/>
        <v>53.232557,44.961479</v>
      </c>
      <c r="T2857" s="12"/>
    </row>
    <row r="2858">
      <c r="A2858" s="7" t="s">
        <v>18504</v>
      </c>
      <c r="B2858" s="8" t="s">
        <v>18505</v>
      </c>
      <c r="C2858" s="8" t="s">
        <v>18505</v>
      </c>
      <c r="D2858" s="8" t="s">
        <v>16</v>
      </c>
      <c r="E2858" s="9" t="s">
        <v>18506</v>
      </c>
      <c r="F2858" s="10" t="s">
        <v>16936</v>
      </c>
      <c r="G2858" s="8">
        <v>23.61</v>
      </c>
      <c r="H2858" s="8"/>
      <c r="I2858" s="10"/>
      <c r="J2858" s="10" t="s">
        <v>18507</v>
      </c>
      <c r="K2858" s="10" t="s">
        <v>18508</v>
      </c>
      <c r="L2858" s="11" t="s">
        <v>18509</v>
      </c>
      <c r="M2858" s="10"/>
      <c r="N2858" s="12"/>
      <c r="O2858" s="12"/>
      <c r="P2858" s="13">
        <f>IFERROR(__xludf.DUMMYFUNCTION("VALUE(SUBSTITUTE((INDEX(SPLIT(A2858,"",""),1)),""."","","",1))"),53.13112)</f>
        <v>53.13112</v>
      </c>
      <c r="Q2858" s="13">
        <f>IFERROR(__xludf.DUMMYFUNCTION("VALUE(SUBSTITUTE((INDEX(SPLIT(A2858,"",""),2)),""."","","",1))"),44.962611)</f>
        <v>44.962611</v>
      </c>
      <c r="R2858" s="14" t="b">
        <f t="shared" si="1"/>
        <v>0</v>
      </c>
      <c r="S2858" s="14" t="str">
        <f t="shared" si="2"/>
        <v>53.13112,44.962611</v>
      </c>
      <c r="T2858" s="12"/>
    </row>
    <row r="2859">
      <c r="A2859" s="20" t="s">
        <v>18510</v>
      </c>
      <c r="B2859" s="16" t="s">
        <v>18511</v>
      </c>
      <c r="C2859" s="16" t="s">
        <v>18512</v>
      </c>
      <c r="D2859" s="16" t="s">
        <v>16</v>
      </c>
      <c r="E2859" s="21" t="s">
        <v>18513</v>
      </c>
      <c r="F2859" s="22" t="s">
        <v>13111</v>
      </c>
      <c r="G2859" s="16">
        <v>23.61</v>
      </c>
      <c r="H2859" s="16"/>
      <c r="I2859" s="22"/>
      <c r="J2859" s="22" t="s">
        <v>18514</v>
      </c>
      <c r="K2859" s="22" t="s">
        <v>18515</v>
      </c>
      <c r="L2859" s="23" t="s">
        <v>18516</v>
      </c>
      <c r="M2859" s="22"/>
      <c r="N2859" s="12"/>
      <c r="O2859" s="12"/>
      <c r="P2859" s="13">
        <f>IFERROR(__xludf.DUMMYFUNCTION("VALUE(SUBSTITUTE((INDEX(SPLIT(A2859,"",""),1)),""."","","",1))"),53.235079)</f>
        <v>53.235079</v>
      </c>
      <c r="Q2859" s="13">
        <f>IFERROR(__xludf.DUMMYFUNCTION("VALUE(SUBSTITUTE((INDEX(SPLIT(A2859,"",""),2)),""."","","",1))"),44.978044)</f>
        <v>44.978044</v>
      </c>
      <c r="R2859" s="14" t="b">
        <f t="shared" si="1"/>
        <v>0</v>
      </c>
      <c r="S2859" s="14" t="str">
        <f t="shared" si="2"/>
        <v>53.235079,44.978044</v>
      </c>
      <c r="T2859" s="12"/>
    </row>
    <row r="2860">
      <c r="A2860" s="18" t="s">
        <v>18517</v>
      </c>
      <c r="B2860" s="8" t="s">
        <v>18518</v>
      </c>
      <c r="C2860" s="8" t="s">
        <v>18519</v>
      </c>
      <c r="D2860" s="8" t="s">
        <v>16</v>
      </c>
      <c r="E2860" s="19" t="s">
        <v>18520</v>
      </c>
      <c r="F2860" s="8" t="s">
        <v>16936</v>
      </c>
      <c r="G2860" s="8">
        <v>23.61</v>
      </c>
      <c r="H2860" s="8"/>
      <c r="I2860" s="8"/>
      <c r="J2860" s="8" t="s">
        <v>18521</v>
      </c>
      <c r="K2860" s="8" t="s">
        <v>18522</v>
      </c>
      <c r="L2860" s="8"/>
      <c r="M2860" s="8"/>
      <c r="N2860" s="12"/>
      <c r="O2860" s="12"/>
      <c r="P2860" s="13">
        <f>IFERROR(__xludf.DUMMYFUNCTION("VALUE(SUBSTITUTE((INDEX(SPLIT(A2860,"",""),1)),""."","","",1))"),53.143907)</f>
        <v>53.143907</v>
      </c>
      <c r="Q2860" s="13">
        <f>IFERROR(__xludf.DUMMYFUNCTION("VALUE(SUBSTITUTE((INDEX(SPLIT(A2860,"",""),2)),""."","","",1))"),44.979661)</f>
        <v>44.979661</v>
      </c>
      <c r="R2860" s="14" t="b">
        <f t="shared" si="1"/>
        <v>0</v>
      </c>
      <c r="S2860" s="14" t="str">
        <f t="shared" si="2"/>
        <v>53.143907,44.979661</v>
      </c>
      <c r="T2860" s="12"/>
    </row>
    <row r="2861">
      <c r="A2861" s="15" t="s">
        <v>18523</v>
      </c>
      <c r="B2861" s="16" t="s">
        <v>18524</v>
      </c>
      <c r="C2861" s="16" t="s">
        <v>18525</v>
      </c>
      <c r="D2861" s="16" t="s">
        <v>16</v>
      </c>
      <c r="E2861" s="17" t="s">
        <v>18526</v>
      </c>
      <c r="F2861" s="16" t="s">
        <v>8566</v>
      </c>
      <c r="G2861" s="16">
        <v>23.61</v>
      </c>
      <c r="H2861" s="16"/>
      <c r="I2861" s="16"/>
      <c r="J2861" s="16" t="s">
        <v>18527</v>
      </c>
      <c r="K2861" s="16" t="s">
        <v>18528</v>
      </c>
      <c r="L2861" s="16"/>
      <c r="M2861" s="16"/>
      <c r="N2861" s="12"/>
      <c r="O2861" s="12"/>
      <c r="P2861" s="13">
        <f>IFERROR(__xludf.DUMMYFUNCTION("VALUE(SUBSTITUTE((INDEX(SPLIT(A2861,"",""),1)),""."","","",1))"),53.160399)</f>
        <v>53.160399</v>
      </c>
      <c r="Q2861" s="13">
        <f>IFERROR(__xludf.DUMMYFUNCTION("VALUE(SUBSTITUTE((INDEX(SPLIT(A2861,"",""),2)),""."","","",1))"),44.993684)</f>
        <v>44.993684</v>
      </c>
      <c r="R2861" s="14" t="b">
        <f t="shared" si="1"/>
        <v>0</v>
      </c>
      <c r="S2861" s="14" t="str">
        <f t="shared" si="2"/>
        <v>53.160399,44.993684</v>
      </c>
      <c r="T2861" s="12"/>
    </row>
    <row r="2862">
      <c r="A2862" s="18" t="s">
        <v>18529</v>
      </c>
      <c r="B2862" s="8" t="s">
        <v>18530</v>
      </c>
      <c r="C2862" s="8" t="s">
        <v>18531</v>
      </c>
      <c r="D2862" s="8" t="s">
        <v>16</v>
      </c>
      <c r="E2862" s="19" t="s">
        <v>18532</v>
      </c>
      <c r="F2862" s="8" t="s">
        <v>16936</v>
      </c>
      <c r="G2862" s="8">
        <v>23.61</v>
      </c>
      <c r="H2862" s="8"/>
      <c r="I2862" s="8"/>
      <c r="J2862" s="8" t="s">
        <v>18533</v>
      </c>
      <c r="K2862" s="8" t="s">
        <v>18534</v>
      </c>
      <c r="L2862" s="8"/>
      <c r="M2862" s="24" t="s">
        <v>18535</v>
      </c>
      <c r="N2862" s="12"/>
      <c r="O2862" s="12"/>
      <c r="P2862" s="13">
        <f>IFERROR(__xludf.DUMMYFUNCTION("VALUE(SUBSTITUTE((INDEX(SPLIT(A2862,"",""),1)),""."","","",1))"),53.205345)</f>
        <v>53.205345</v>
      </c>
      <c r="Q2862" s="13">
        <f>IFERROR(__xludf.DUMMYFUNCTION("VALUE(SUBSTITUTE((INDEX(SPLIT(A2862,"",""),2)),""."","","",1))"),44.994097)</f>
        <v>44.994097</v>
      </c>
      <c r="R2862" s="14" t="b">
        <f t="shared" si="1"/>
        <v>0</v>
      </c>
      <c r="S2862" s="14" t="str">
        <f t="shared" si="2"/>
        <v>53.205345,44.994097</v>
      </c>
      <c r="T2862" s="12"/>
    </row>
    <row r="2863">
      <c r="A2863" s="15" t="s">
        <v>18536</v>
      </c>
      <c r="B2863" s="16" t="s">
        <v>18537</v>
      </c>
      <c r="C2863" s="16" t="s">
        <v>18538</v>
      </c>
      <c r="D2863" s="16" t="s">
        <v>16</v>
      </c>
      <c r="E2863" s="17" t="s">
        <v>18539</v>
      </c>
      <c r="F2863" s="16" t="s">
        <v>16936</v>
      </c>
      <c r="G2863" s="16">
        <v>23.61</v>
      </c>
      <c r="H2863" s="16"/>
      <c r="I2863" s="16"/>
      <c r="J2863" s="16" t="s">
        <v>18540</v>
      </c>
      <c r="K2863" s="16" t="s">
        <v>18541</v>
      </c>
      <c r="L2863" s="16"/>
      <c r="M2863" s="16"/>
      <c r="N2863" s="12"/>
      <c r="O2863" s="12"/>
      <c r="P2863" s="13">
        <f>IFERROR(__xludf.DUMMYFUNCTION("VALUE(SUBSTITUTE((INDEX(SPLIT(A2863,"",""),1)),""."","","",1))"),53.21042)</f>
        <v>53.21042</v>
      </c>
      <c r="Q2863" s="13">
        <f>IFERROR(__xludf.DUMMYFUNCTION("VALUE(SUBSTITUTE((INDEX(SPLIT(A2863,"",""),2)),""."","","",1))"),45.00043)</f>
        <v>45.00043</v>
      </c>
      <c r="R2863" s="14" t="b">
        <f t="shared" si="1"/>
        <v>0</v>
      </c>
      <c r="S2863" s="14" t="str">
        <f t="shared" si="2"/>
        <v>53.21042,45.00043</v>
      </c>
      <c r="T2863" s="12"/>
    </row>
    <row r="2864">
      <c r="A2864" s="18" t="s">
        <v>18542</v>
      </c>
      <c r="B2864" s="8" t="s">
        <v>18543</v>
      </c>
      <c r="C2864" s="8" t="s">
        <v>18544</v>
      </c>
      <c r="D2864" s="8" t="s">
        <v>16</v>
      </c>
      <c r="E2864" s="19" t="s">
        <v>18545</v>
      </c>
      <c r="F2864" s="8" t="s">
        <v>16936</v>
      </c>
      <c r="G2864" s="8">
        <v>23.61</v>
      </c>
      <c r="H2864" s="8"/>
      <c r="I2864" s="8"/>
      <c r="J2864" s="8" t="s">
        <v>18546</v>
      </c>
      <c r="K2864" s="8" t="s">
        <v>18547</v>
      </c>
      <c r="L2864" s="8"/>
      <c r="M2864" s="8"/>
      <c r="N2864" s="12"/>
      <c r="O2864" s="12"/>
      <c r="P2864" s="13">
        <f>IFERROR(__xludf.DUMMYFUNCTION("VALUE(SUBSTITUTE((INDEX(SPLIT(A2864,"",""),1)),""."","","",1))"),43.185307)</f>
        <v>43.185307</v>
      </c>
      <c r="Q2864" s="13">
        <f>IFERROR(__xludf.DUMMYFUNCTION("VALUE(SUBSTITUTE((INDEX(SPLIT(A2864,"",""),2)),""."","","",1))"),45.00061)</f>
        <v>45.00061</v>
      </c>
      <c r="R2864" s="14" t="b">
        <f t="shared" si="1"/>
        <v>0</v>
      </c>
      <c r="S2864" s="14" t="str">
        <f t="shared" si="2"/>
        <v>43.185307,45.00061</v>
      </c>
      <c r="T2864" s="12"/>
    </row>
    <row r="2865">
      <c r="A2865" s="20" t="s">
        <v>18548</v>
      </c>
      <c r="B2865" s="16" t="s">
        <v>18549</v>
      </c>
      <c r="C2865" s="16" t="s">
        <v>18550</v>
      </c>
      <c r="D2865" s="16" t="s">
        <v>16</v>
      </c>
      <c r="E2865" s="21" t="s">
        <v>18551</v>
      </c>
      <c r="F2865" s="22" t="s">
        <v>12993</v>
      </c>
      <c r="G2865" s="16">
        <v>23.61</v>
      </c>
      <c r="H2865" s="16"/>
      <c r="I2865" s="22"/>
      <c r="J2865" s="22" t="s">
        <v>18552</v>
      </c>
      <c r="K2865" s="22" t="s">
        <v>18553</v>
      </c>
      <c r="L2865" s="23" t="s">
        <v>18554</v>
      </c>
      <c r="M2865" s="23" t="s">
        <v>18555</v>
      </c>
      <c r="N2865" s="12"/>
      <c r="O2865" s="12"/>
      <c r="P2865" s="13">
        <f>IFERROR(__xludf.DUMMYFUNCTION("VALUE(SUBSTITUTE((INDEX(SPLIT(A2865,"",""),1)),""."","","",1))"),53.201213)</f>
        <v>53.201213</v>
      </c>
      <c r="Q2865" s="13">
        <f>IFERROR(__xludf.DUMMYFUNCTION("VALUE(SUBSTITUTE((INDEX(SPLIT(A2865,"",""),2)),""."","","",1))"),45.000754)</f>
        <v>45.000754</v>
      </c>
      <c r="R2865" s="14" t="b">
        <f t="shared" si="1"/>
        <v>0</v>
      </c>
      <c r="S2865" s="14" t="str">
        <f t="shared" si="2"/>
        <v>53.201213,45.000754</v>
      </c>
      <c r="T2865" s="12"/>
    </row>
    <row r="2866">
      <c r="A2866" s="18" t="s">
        <v>18556</v>
      </c>
      <c r="B2866" s="8" t="s">
        <v>18557</v>
      </c>
      <c r="C2866" s="8" t="s">
        <v>18558</v>
      </c>
      <c r="D2866" s="8" t="s">
        <v>16</v>
      </c>
      <c r="E2866" s="19" t="s">
        <v>18559</v>
      </c>
      <c r="F2866" s="8" t="s">
        <v>16936</v>
      </c>
      <c r="G2866" s="8">
        <v>23.61</v>
      </c>
      <c r="H2866" s="8"/>
      <c r="I2866" s="8"/>
      <c r="J2866" s="8" t="s">
        <v>18560</v>
      </c>
      <c r="K2866" s="8" t="s">
        <v>18561</v>
      </c>
      <c r="L2866" s="8"/>
      <c r="M2866" s="8"/>
      <c r="N2866" s="12"/>
      <c r="O2866" s="12"/>
      <c r="P2866" s="13">
        <f>IFERROR(__xludf.DUMMYFUNCTION("VALUE(SUBSTITUTE((INDEX(SPLIT(A2866,"",""),1)),""."","","",1))"),53.234686)</f>
        <v>53.234686</v>
      </c>
      <c r="Q2866" s="13">
        <f>IFERROR(__xludf.DUMMYFUNCTION("VALUE(SUBSTITUTE((INDEX(SPLIT(A2866,"",""),2)),""."","","",1))"),45.007608)</f>
        <v>45.007608</v>
      </c>
      <c r="R2866" s="14" t="b">
        <f t="shared" si="1"/>
        <v>0</v>
      </c>
      <c r="S2866" s="14" t="str">
        <f t="shared" si="2"/>
        <v>53.234686,45.007608</v>
      </c>
      <c r="T2866" s="12"/>
    </row>
    <row r="2867">
      <c r="A2867" s="15" t="s">
        <v>18562</v>
      </c>
      <c r="B2867" s="16" t="s">
        <v>18563</v>
      </c>
      <c r="C2867" s="16" t="s">
        <v>18564</v>
      </c>
      <c r="D2867" s="16" t="s">
        <v>16</v>
      </c>
      <c r="E2867" s="17" t="s">
        <v>18565</v>
      </c>
      <c r="F2867" s="16" t="s">
        <v>16936</v>
      </c>
      <c r="G2867" s="16">
        <v>23.61</v>
      </c>
      <c r="H2867" s="16"/>
      <c r="I2867" s="16"/>
      <c r="J2867" s="16" t="s">
        <v>18566</v>
      </c>
      <c r="K2867" s="16" t="s">
        <v>18567</v>
      </c>
      <c r="L2867" s="16"/>
      <c r="M2867" s="16"/>
      <c r="N2867" s="12"/>
      <c r="O2867" s="12"/>
      <c r="P2867" s="13">
        <f>IFERROR(__xludf.DUMMYFUNCTION("VALUE(SUBSTITUTE((INDEX(SPLIT(A2867,"",""),1)),""."","","",1))"),53.165447)</f>
        <v>53.165447</v>
      </c>
      <c r="Q2867" s="13">
        <f>IFERROR(__xludf.DUMMYFUNCTION("VALUE(SUBSTITUTE((INDEX(SPLIT(A2867,"",""),2)),""."","","",1))"),45.009126)</f>
        <v>45.009126</v>
      </c>
      <c r="R2867" s="14" t="b">
        <f t="shared" si="1"/>
        <v>0</v>
      </c>
      <c r="S2867" s="14" t="str">
        <f t="shared" si="2"/>
        <v>53.165447,45.009126</v>
      </c>
      <c r="T2867" s="12"/>
    </row>
    <row r="2868">
      <c r="A2868" s="18" t="s">
        <v>18568</v>
      </c>
      <c r="B2868" s="8" t="s">
        <v>18569</v>
      </c>
      <c r="C2868" s="8" t="s">
        <v>18570</v>
      </c>
      <c r="D2868" s="8" t="s">
        <v>16</v>
      </c>
      <c r="E2868" s="19" t="s">
        <v>18571</v>
      </c>
      <c r="F2868" s="8" t="s">
        <v>16936</v>
      </c>
      <c r="G2868" s="8">
        <v>23.61</v>
      </c>
      <c r="H2868" s="8"/>
      <c r="I2868" s="8"/>
      <c r="J2868" s="8" t="s">
        <v>18572</v>
      </c>
      <c r="K2868" s="8" t="s">
        <v>18573</v>
      </c>
      <c r="L2868" s="8"/>
      <c r="M2868" s="8"/>
      <c r="N2868" s="12"/>
      <c r="O2868" s="12"/>
      <c r="P2868" s="13">
        <f>IFERROR(__xludf.DUMMYFUNCTION("VALUE(SUBSTITUTE((INDEX(SPLIT(A2868,"",""),1)),""."","","",1))"),53.19933)</f>
        <v>53.19933</v>
      </c>
      <c r="Q2868" s="13">
        <f>IFERROR(__xludf.DUMMYFUNCTION("VALUE(SUBSTITUTE((INDEX(SPLIT(A2868,"",""),2)),""."","","",1))"),45.010608)</f>
        <v>45.010608</v>
      </c>
      <c r="R2868" s="14" t="b">
        <f t="shared" si="1"/>
        <v>0</v>
      </c>
      <c r="S2868" s="14" t="str">
        <f t="shared" si="2"/>
        <v>53.19933,45.010608</v>
      </c>
      <c r="T2868" s="12"/>
    </row>
    <row r="2869">
      <c r="A2869" s="20" t="s">
        <v>18574</v>
      </c>
      <c r="B2869" s="16" t="s">
        <v>18575</v>
      </c>
      <c r="C2869" s="16" t="s">
        <v>18576</v>
      </c>
      <c r="D2869" s="16" t="s">
        <v>16</v>
      </c>
      <c r="E2869" s="21" t="s">
        <v>18577</v>
      </c>
      <c r="F2869" s="22" t="s">
        <v>16936</v>
      </c>
      <c r="G2869" s="16">
        <v>23.61</v>
      </c>
      <c r="H2869" s="16"/>
      <c r="I2869" s="22"/>
      <c r="J2869" s="22" t="s">
        <v>18578</v>
      </c>
      <c r="K2869" s="22" t="s">
        <v>18579</v>
      </c>
      <c r="L2869" s="23" t="s">
        <v>18580</v>
      </c>
      <c r="M2869" s="22"/>
      <c r="N2869" s="12"/>
      <c r="O2869" s="12"/>
      <c r="P2869" s="13">
        <f>IFERROR(__xludf.DUMMYFUNCTION("VALUE(SUBSTITUTE((INDEX(SPLIT(A2869,"",""),1)),""."","","",1))"),53.189258)</f>
        <v>53.189258</v>
      </c>
      <c r="Q2869" s="13">
        <f>IFERROR(__xludf.DUMMYFUNCTION("VALUE(SUBSTITUTE((INDEX(SPLIT(A2869,"",""),2)),""."","","",1))"),45.011947)</f>
        <v>45.011947</v>
      </c>
      <c r="R2869" s="14" t="b">
        <f t="shared" si="1"/>
        <v>0</v>
      </c>
      <c r="S2869" s="14" t="str">
        <f t="shared" si="2"/>
        <v>53.189258,45.011947</v>
      </c>
      <c r="T2869" s="12"/>
    </row>
    <row r="2870">
      <c r="A2870" s="18" t="s">
        <v>18581</v>
      </c>
      <c r="B2870" s="8" t="s">
        <v>10121</v>
      </c>
      <c r="C2870" s="8" t="s">
        <v>10122</v>
      </c>
      <c r="D2870" s="8" t="s">
        <v>16</v>
      </c>
      <c r="E2870" s="19" t="s">
        <v>18582</v>
      </c>
      <c r="F2870" s="8" t="s">
        <v>18396</v>
      </c>
      <c r="G2870" s="8">
        <v>23.61</v>
      </c>
      <c r="H2870" s="8"/>
      <c r="I2870" s="8"/>
      <c r="J2870" s="8" t="s">
        <v>18583</v>
      </c>
      <c r="K2870" s="8" t="s">
        <v>18584</v>
      </c>
      <c r="L2870" s="8"/>
      <c r="M2870" s="8"/>
      <c r="N2870" s="12"/>
      <c r="O2870" s="12"/>
      <c r="P2870" s="13">
        <f>IFERROR(__xludf.DUMMYFUNCTION("VALUE(SUBSTITUTE((INDEX(SPLIT(A2870,"",""),1)),""."","","",1))"),53.18792)</f>
        <v>53.18792</v>
      </c>
      <c r="Q2870" s="13">
        <f>IFERROR(__xludf.DUMMYFUNCTION("VALUE(SUBSTITUTE((INDEX(SPLIT(A2870,"",""),2)),""."","","",1))"),45.012225)</f>
        <v>45.012225</v>
      </c>
      <c r="R2870" s="14" t="b">
        <f t="shared" si="1"/>
        <v>0</v>
      </c>
      <c r="S2870" s="14" t="str">
        <f t="shared" si="2"/>
        <v>53.18792,45.012225</v>
      </c>
      <c r="T2870" s="12"/>
    </row>
    <row r="2871">
      <c r="A2871" s="15" t="s">
        <v>18585</v>
      </c>
      <c r="B2871" s="16" t="s">
        <v>18586</v>
      </c>
      <c r="C2871" s="16" t="s">
        <v>18587</v>
      </c>
      <c r="D2871" s="16" t="s">
        <v>16</v>
      </c>
      <c r="E2871" s="17" t="s">
        <v>18588</v>
      </c>
      <c r="F2871" s="16" t="s">
        <v>16936</v>
      </c>
      <c r="G2871" s="16">
        <v>23.61</v>
      </c>
      <c r="H2871" s="16"/>
      <c r="I2871" s="16"/>
      <c r="J2871" s="16" t="s">
        <v>18589</v>
      </c>
      <c r="K2871" s="16" t="s">
        <v>18590</v>
      </c>
      <c r="L2871" s="16"/>
      <c r="M2871" s="16"/>
      <c r="N2871" s="12"/>
      <c r="O2871" s="12"/>
      <c r="P2871" s="13">
        <f>IFERROR(__xludf.DUMMYFUNCTION("VALUE(SUBSTITUTE((INDEX(SPLIT(A2871,"",""),1)),""."","","",1))"),53.200194)</f>
        <v>53.200194</v>
      </c>
      <c r="Q2871" s="13">
        <f>IFERROR(__xludf.DUMMYFUNCTION("VALUE(SUBSTITUTE((INDEX(SPLIT(A2871,"",""),2)),""."","","",1))"),45.015549)</f>
        <v>45.015549</v>
      </c>
      <c r="R2871" s="14" t="b">
        <f t="shared" si="1"/>
        <v>0</v>
      </c>
      <c r="S2871" s="14" t="str">
        <f t="shared" si="2"/>
        <v>53.200194,45.015549</v>
      </c>
      <c r="T2871" s="12"/>
    </row>
    <row r="2872">
      <c r="A2872" s="18" t="s">
        <v>18591</v>
      </c>
      <c r="B2872" s="8" t="s">
        <v>18592</v>
      </c>
      <c r="C2872" s="8" t="s">
        <v>18593</v>
      </c>
      <c r="D2872" s="8" t="s">
        <v>16</v>
      </c>
      <c r="E2872" s="19" t="s">
        <v>18594</v>
      </c>
      <c r="F2872" s="8" t="s">
        <v>8566</v>
      </c>
      <c r="G2872" s="8">
        <v>23.61</v>
      </c>
      <c r="H2872" s="8"/>
      <c r="I2872" s="8"/>
      <c r="J2872" s="8" t="s">
        <v>18595</v>
      </c>
      <c r="K2872" s="8" t="s">
        <v>18596</v>
      </c>
      <c r="L2872" s="8"/>
      <c r="M2872" s="24" t="s">
        <v>18597</v>
      </c>
      <c r="N2872" s="12"/>
      <c r="O2872" s="12"/>
      <c r="P2872" s="13">
        <f>IFERROR(__xludf.DUMMYFUNCTION("VALUE(SUBSTITUTE((INDEX(SPLIT(A2872,"",""),1)),""."","","",1))"),53.190693)</f>
        <v>53.190693</v>
      </c>
      <c r="Q2872" s="13">
        <f>IFERROR(__xludf.DUMMYFUNCTION("VALUE(SUBSTITUTE((INDEX(SPLIT(A2872,"",""),2)),""."","","",1))"),45.018019)</f>
        <v>45.018019</v>
      </c>
      <c r="R2872" s="14" t="b">
        <f t="shared" si="1"/>
        <v>0</v>
      </c>
      <c r="S2872" s="14" t="str">
        <f t="shared" si="2"/>
        <v>53.190693,45.018019</v>
      </c>
      <c r="T2872" s="12"/>
    </row>
    <row r="2873">
      <c r="A2873" s="20" t="s">
        <v>18598</v>
      </c>
      <c r="B2873" s="16" t="s">
        <v>18599</v>
      </c>
      <c r="C2873" s="16" t="s">
        <v>18600</v>
      </c>
      <c r="D2873" s="16" t="s">
        <v>16</v>
      </c>
      <c r="E2873" s="21" t="s">
        <v>18601</v>
      </c>
      <c r="F2873" s="22" t="s">
        <v>8566</v>
      </c>
      <c r="G2873" s="16">
        <v>23.61</v>
      </c>
      <c r="H2873" s="16"/>
      <c r="I2873" s="22"/>
      <c r="J2873" s="22" t="s">
        <v>18602</v>
      </c>
      <c r="K2873" s="22" t="s">
        <v>18603</v>
      </c>
      <c r="L2873" s="23" t="s">
        <v>18604</v>
      </c>
      <c r="M2873" s="22"/>
      <c r="N2873" s="12"/>
      <c r="O2873" s="12"/>
      <c r="P2873" s="13">
        <f>IFERROR(__xludf.DUMMYFUNCTION("VALUE(SUBSTITUTE((INDEX(SPLIT(A2873,"",""),1)),""."","","",1))"),53.227312)</f>
        <v>53.227312</v>
      </c>
      <c r="Q2873" s="13">
        <f>IFERROR(__xludf.DUMMYFUNCTION("VALUE(SUBSTITUTE((INDEX(SPLIT(A2873,"",""),2)),""."","","",1))"),45.023382)</f>
        <v>45.023382</v>
      </c>
      <c r="R2873" s="14" t="b">
        <f t="shared" si="1"/>
        <v>0</v>
      </c>
      <c r="S2873" s="14" t="str">
        <f t="shared" si="2"/>
        <v>53.227312,45.023382</v>
      </c>
      <c r="T2873" s="12"/>
    </row>
    <row r="2874">
      <c r="A2874" s="18" t="s">
        <v>18605</v>
      </c>
      <c r="B2874" s="8" t="s">
        <v>18606</v>
      </c>
      <c r="C2874" s="8" t="s">
        <v>18607</v>
      </c>
      <c r="D2874" s="8" t="s">
        <v>16</v>
      </c>
      <c r="E2874" s="19" t="s">
        <v>18608</v>
      </c>
      <c r="F2874" s="8" t="s">
        <v>16936</v>
      </c>
      <c r="G2874" s="8">
        <v>23.61</v>
      </c>
      <c r="H2874" s="8"/>
      <c r="I2874" s="8"/>
      <c r="J2874" s="8" t="s">
        <v>18609</v>
      </c>
      <c r="K2874" s="8" t="s">
        <v>18610</v>
      </c>
      <c r="L2874" s="8"/>
      <c r="M2874" s="8"/>
      <c r="N2874" s="12"/>
      <c r="O2874" s="12"/>
      <c r="P2874" s="13">
        <f>IFERROR(__xludf.DUMMYFUNCTION("VALUE(SUBSTITUTE((INDEX(SPLIT(A2874,"",""),1)),""."","","",1))"),43.328801)</f>
        <v>43.328801</v>
      </c>
      <c r="Q2874" s="13">
        <f>IFERROR(__xludf.DUMMYFUNCTION("VALUE(SUBSTITUTE((INDEX(SPLIT(A2874,"",""),2)),""."","","",1))"),45.035096)</f>
        <v>45.035096</v>
      </c>
      <c r="R2874" s="14" t="b">
        <f t="shared" si="1"/>
        <v>0</v>
      </c>
      <c r="S2874" s="14" t="str">
        <f t="shared" si="2"/>
        <v>43.328801,45.035096</v>
      </c>
      <c r="T2874" s="12"/>
    </row>
    <row r="2875">
      <c r="A2875" s="20" t="s">
        <v>18611</v>
      </c>
      <c r="B2875" s="16" t="s">
        <v>18612</v>
      </c>
      <c r="C2875" s="16" t="s">
        <v>18613</v>
      </c>
      <c r="D2875" s="16" t="s">
        <v>16</v>
      </c>
      <c r="E2875" s="21" t="s">
        <v>18614</v>
      </c>
      <c r="F2875" s="22" t="s">
        <v>16936</v>
      </c>
      <c r="G2875" s="16">
        <v>23.61</v>
      </c>
      <c r="H2875" s="16"/>
      <c r="I2875" s="22"/>
      <c r="J2875" s="22" t="s">
        <v>18609</v>
      </c>
      <c r="K2875" s="22" t="s">
        <v>18615</v>
      </c>
      <c r="L2875" s="23" t="s">
        <v>18616</v>
      </c>
      <c r="M2875" s="22"/>
      <c r="N2875" s="12"/>
      <c r="O2875" s="12"/>
      <c r="P2875" s="13">
        <f>IFERROR(__xludf.DUMMYFUNCTION("VALUE(SUBSTITUTE((INDEX(SPLIT(A2875,"",""),1)),""."","","",1))"),43.308113)</f>
        <v>43.308113</v>
      </c>
      <c r="Q2875" s="13">
        <f>IFERROR(__xludf.DUMMYFUNCTION("VALUE(SUBSTITUTE((INDEX(SPLIT(A2875,"",""),2)),""."","","",1))"),45.037324)</f>
        <v>45.037324</v>
      </c>
      <c r="R2875" s="14" t="b">
        <f t="shared" si="1"/>
        <v>0</v>
      </c>
      <c r="S2875" s="14" t="str">
        <f t="shared" si="2"/>
        <v>43.308113,45.037324</v>
      </c>
      <c r="T2875" s="12"/>
    </row>
    <row r="2876">
      <c r="A2876" s="18" t="s">
        <v>18617</v>
      </c>
      <c r="B2876" s="8" t="s">
        <v>3493</v>
      </c>
      <c r="C2876" s="8" t="s">
        <v>3494</v>
      </c>
      <c r="D2876" s="8" t="s">
        <v>16</v>
      </c>
      <c r="E2876" s="19" t="s">
        <v>18618</v>
      </c>
      <c r="F2876" s="8" t="s">
        <v>16936</v>
      </c>
      <c r="G2876" s="8">
        <v>23.61</v>
      </c>
      <c r="H2876" s="8"/>
      <c r="I2876" s="8"/>
      <c r="J2876" s="8" t="s">
        <v>18619</v>
      </c>
      <c r="K2876" s="8" t="s">
        <v>18620</v>
      </c>
      <c r="L2876" s="8"/>
      <c r="M2876" s="8"/>
      <c r="N2876" s="12"/>
      <c r="O2876" s="12"/>
      <c r="P2876" s="13">
        <f>IFERROR(__xludf.DUMMYFUNCTION("VALUE(SUBSTITUTE((INDEX(SPLIT(A2876,"",""),1)),""."","","",1))"),53.268401)</f>
        <v>53.268401</v>
      </c>
      <c r="Q2876" s="13">
        <f>IFERROR(__xludf.DUMMYFUNCTION("VALUE(SUBSTITUTE((INDEX(SPLIT(A2876,"",""),2)),""."","","",1))"),45.039983)</f>
        <v>45.039983</v>
      </c>
      <c r="R2876" s="14" t="b">
        <f t="shared" si="1"/>
        <v>0</v>
      </c>
      <c r="S2876" s="14" t="str">
        <f t="shared" si="2"/>
        <v>53.268401,45.039983</v>
      </c>
      <c r="T2876" s="12"/>
    </row>
    <row r="2877">
      <c r="A2877" s="15" t="s">
        <v>18621</v>
      </c>
      <c r="B2877" s="16" t="s">
        <v>18622</v>
      </c>
      <c r="C2877" s="16" t="s">
        <v>18623</v>
      </c>
      <c r="D2877" s="16" t="s">
        <v>16</v>
      </c>
      <c r="E2877" s="17" t="s">
        <v>18624</v>
      </c>
      <c r="F2877" s="16" t="s">
        <v>16936</v>
      </c>
      <c r="G2877" s="16">
        <v>23.61</v>
      </c>
      <c r="H2877" s="16"/>
      <c r="I2877" s="16"/>
      <c r="J2877" s="16" t="s">
        <v>18625</v>
      </c>
      <c r="K2877" s="16" t="s">
        <v>18626</v>
      </c>
      <c r="L2877" s="16"/>
      <c r="M2877" s="25" t="s">
        <v>18627</v>
      </c>
      <c r="N2877" s="12"/>
      <c r="O2877" s="12"/>
      <c r="P2877" s="13">
        <f>IFERROR(__xludf.DUMMYFUNCTION("VALUE(SUBSTITUTE((INDEX(SPLIT(A2877,"",""),1)),""."","","",1))"),43.309156)</f>
        <v>43.309156</v>
      </c>
      <c r="Q2877" s="13">
        <f>IFERROR(__xludf.DUMMYFUNCTION("VALUE(SUBSTITUTE((INDEX(SPLIT(A2877,"",""),2)),""."","","",1))"),45.044071)</f>
        <v>45.044071</v>
      </c>
      <c r="R2877" s="14" t="b">
        <f t="shared" si="1"/>
        <v>0</v>
      </c>
      <c r="S2877" s="14" t="str">
        <f t="shared" si="2"/>
        <v>43.309156,45.044071</v>
      </c>
      <c r="T2877" s="12"/>
    </row>
    <row r="2878">
      <c r="A2878" s="7" t="s">
        <v>18628</v>
      </c>
      <c r="B2878" s="8" t="s">
        <v>18629</v>
      </c>
      <c r="C2878" s="8" t="s">
        <v>18630</v>
      </c>
      <c r="D2878" s="8" t="s">
        <v>16</v>
      </c>
      <c r="E2878" s="9" t="s">
        <v>18631</v>
      </c>
      <c r="F2878" s="10" t="s">
        <v>8566</v>
      </c>
      <c r="G2878" s="8">
        <v>23.61</v>
      </c>
      <c r="H2878" s="8"/>
      <c r="I2878" s="10"/>
      <c r="J2878" s="10" t="s">
        <v>18632</v>
      </c>
      <c r="K2878" s="10" t="s">
        <v>12698</v>
      </c>
      <c r="L2878" s="11" t="s">
        <v>18633</v>
      </c>
      <c r="M2878" s="11" t="s">
        <v>18634</v>
      </c>
      <c r="N2878" s="12"/>
      <c r="O2878" s="12"/>
      <c r="P2878" s="13">
        <f>IFERROR(__xludf.DUMMYFUNCTION("VALUE(SUBSTITUTE((INDEX(SPLIT(A2878,"",""),1)),""."","","",1))"),43.330906)</f>
        <v>43.330906</v>
      </c>
      <c r="Q2878" s="13">
        <f>IFERROR(__xludf.DUMMYFUNCTION("VALUE(SUBSTITUTE((INDEX(SPLIT(A2878,"",""),2)),""."","","",1))"),45.045777)</f>
        <v>45.045777</v>
      </c>
      <c r="R2878" s="14" t="b">
        <f t="shared" si="1"/>
        <v>0</v>
      </c>
      <c r="S2878" s="14" t="str">
        <f t="shared" si="2"/>
        <v>43.330906,45.045777</v>
      </c>
      <c r="T2878" s="12"/>
    </row>
    <row r="2879">
      <c r="A2879" s="15" t="s">
        <v>18635</v>
      </c>
      <c r="B2879" s="16" t="s">
        <v>18636</v>
      </c>
      <c r="C2879" s="16" t="s">
        <v>18637</v>
      </c>
      <c r="D2879" s="16" t="s">
        <v>16</v>
      </c>
      <c r="E2879" s="17" t="s">
        <v>18638</v>
      </c>
      <c r="F2879" s="16" t="s">
        <v>12993</v>
      </c>
      <c r="G2879" s="16">
        <v>23.61</v>
      </c>
      <c r="H2879" s="16"/>
      <c r="I2879" s="16"/>
      <c r="J2879" s="16" t="s">
        <v>18639</v>
      </c>
      <c r="K2879" s="16" t="s">
        <v>18640</v>
      </c>
      <c r="L2879" s="16"/>
      <c r="M2879" s="16"/>
      <c r="N2879" s="12"/>
      <c r="O2879" s="12"/>
      <c r="P2879" s="13">
        <f>IFERROR(__xludf.DUMMYFUNCTION("VALUE(SUBSTITUTE((INDEX(SPLIT(A2879,"",""),1)),""."","","",1))"),43.318445)</f>
        <v>43.318445</v>
      </c>
      <c r="Q2879" s="13">
        <f>IFERROR(__xludf.DUMMYFUNCTION("VALUE(SUBSTITUTE((INDEX(SPLIT(A2879,"",""),2)),""."","","",1))"),45.05256)</f>
        <v>45.05256</v>
      </c>
      <c r="R2879" s="14" t="b">
        <f t="shared" si="1"/>
        <v>0</v>
      </c>
      <c r="S2879" s="14" t="str">
        <f t="shared" si="2"/>
        <v>43.318445,45.05256</v>
      </c>
      <c r="T2879" s="12"/>
    </row>
    <row r="2880">
      <c r="A2880" s="7" t="s">
        <v>18641</v>
      </c>
      <c r="B2880" s="8" t="s">
        <v>18642</v>
      </c>
      <c r="C2880" s="8" t="s">
        <v>18643</v>
      </c>
      <c r="D2880" s="8" t="s">
        <v>16</v>
      </c>
      <c r="E2880" s="9" t="s">
        <v>18644</v>
      </c>
      <c r="F2880" s="10" t="s">
        <v>16936</v>
      </c>
      <c r="G2880" s="8">
        <v>23.61</v>
      </c>
      <c r="H2880" s="8"/>
      <c r="I2880" s="10"/>
      <c r="J2880" s="10" t="s">
        <v>18645</v>
      </c>
      <c r="K2880" s="10" t="s">
        <v>18646</v>
      </c>
      <c r="L2880" s="11" t="s">
        <v>18647</v>
      </c>
      <c r="M2880" s="10"/>
      <c r="N2880" s="12"/>
      <c r="O2880" s="12"/>
      <c r="P2880" s="13">
        <f>IFERROR(__xludf.DUMMYFUNCTION("VALUE(SUBSTITUTE((INDEX(SPLIT(A2880,"",""),1)),""."","","",1))"),53.186819)</f>
        <v>53.186819</v>
      </c>
      <c r="Q2880" s="13">
        <f>IFERROR(__xludf.DUMMYFUNCTION("VALUE(SUBSTITUTE((INDEX(SPLIT(A2880,"",""),2)),""."","","",1))"),45.064822)</f>
        <v>45.064822</v>
      </c>
      <c r="R2880" s="14" t="b">
        <f t="shared" si="1"/>
        <v>0</v>
      </c>
      <c r="S2880" s="14" t="str">
        <f t="shared" si="2"/>
        <v>53.186819,45.064822</v>
      </c>
      <c r="T2880" s="12"/>
    </row>
    <row r="2881">
      <c r="A2881" s="20" t="s">
        <v>18648</v>
      </c>
      <c r="B2881" s="16" t="s">
        <v>18649</v>
      </c>
      <c r="C2881" s="16" t="s">
        <v>18650</v>
      </c>
      <c r="D2881" s="16" t="s">
        <v>16</v>
      </c>
      <c r="E2881" s="21" t="s">
        <v>18651</v>
      </c>
      <c r="F2881" s="22" t="s">
        <v>8566</v>
      </c>
      <c r="G2881" s="16">
        <v>23.61</v>
      </c>
      <c r="H2881" s="16"/>
      <c r="I2881" s="22"/>
      <c r="J2881" s="22" t="s">
        <v>18652</v>
      </c>
      <c r="K2881" s="22" t="s">
        <v>18653</v>
      </c>
      <c r="L2881" s="23" t="s">
        <v>18654</v>
      </c>
      <c r="M2881" s="22"/>
      <c r="N2881" s="12"/>
      <c r="O2881" s="12"/>
      <c r="P2881" s="13">
        <f>IFERROR(__xludf.DUMMYFUNCTION("VALUE(SUBSTITUTE((INDEX(SPLIT(A2881,"",""),1)),""."","","",1))"),53.183495)</f>
        <v>53.183495</v>
      </c>
      <c r="Q2881" s="13">
        <f>IFERROR(__xludf.DUMMYFUNCTION("VALUE(SUBSTITUTE((INDEX(SPLIT(A2881,"",""),2)),""."","","",1))"),45.070697)</f>
        <v>45.070697</v>
      </c>
      <c r="R2881" s="14" t="b">
        <f t="shared" si="1"/>
        <v>0</v>
      </c>
      <c r="S2881" s="14" t="str">
        <f t="shared" si="2"/>
        <v>53.183495,45.070697</v>
      </c>
      <c r="T2881" s="12"/>
    </row>
    <row r="2882">
      <c r="A2882" s="7" t="s">
        <v>18655</v>
      </c>
      <c r="B2882" s="8" t="s">
        <v>18656</v>
      </c>
      <c r="C2882" s="8" t="s">
        <v>18657</v>
      </c>
      <c r="D2882" s="8" t="s">
        <v>16</v>
      </c>
      <c r="E2882" s="9" t="s">
        <v>18658</v>
      </c>
      <c r="F2882" s="10" t="s">
        <v>13111</v>
      </c>
      <c r="G2882" s="8">
        <v>23.61</v>
      </c>
      <c r="H2882" s="8"/>
      <c r="I2882" s="10"/>
      <c r="J2882" s="10" t="s">
        <v>18659</v>
      </c>
      <c r="K2882" s="10" t="s">
        <v>18660</v>
      </c>
      <c r="L2882" s="11" t="s">
        <v>18661</v>
      </c>
      <c r="M2882" s="11" t="s">
        <v>18662</v>
      </c>
      <c r="N2882" s="12"/>
      <c r="O2882" s="12"/>
      <c r="P2882" s="13">
        <f>IFERROR(__xludf.DUMMYFUNCTION("VALUE(SUBSTITUTE((INDEX(SPLIT(A2882,"",""),1)),""."","","",1))"),54.125022)</f>
        <v>54.125022</v>
      </c>
      <c r="Q2882" s="13">
        <f>IFERROR(__xludf.DUMMYFUNCTION("VALUE(SUBSTITUTE((INDEX(SPLIT(A2882,"",""),2)),""."","","",1))"),45.109216)</f>
        <v>45.109216</v>
      </c>
      <c r="R2882" s="14" t="b">
        <f t="shared" si="1"/>
        <v>0</v>
      </c>
      <c r="S2882" s="14" t="str">
        <f t="shared" si="2"/>
        <v>54.125022,45.109216</v>
      </c>
      <c r="T2882" s="12"/>
    </row>
    <row r="2883">
      <c r="A2883" s="15" t="s">
        <v>18663</v>
      </c>
      <c r="B2883" s="16" t="s">
        <v>18664</v>
      </c>
      <c r="C2883" s="16" t="s">
        <v>18665</v>
      </c>
      <c r="D2883" s="16" t="s">
        <v>16</v>
      </c>
      <c r="E2883" s="17" t="s">
        <v>18666</v>
      </c>
      <c r="F2883" s="16" t="s">
        <v>8566</v>
      </c>
      <c r="G2883" s="16">
        <v>23.61</v>
      </c>
      <c r="H2883" s="16"/>
      <c r="I2883" s="16"/>
      <c r="J2883" s="16" t="s">
        <v>18667</v>
      </c>
      <c r="K2883" s="16" t="s">
        <v>18668</v>
      </c>
      <c r="L2883" s="16"/>
      <c r="M2883" s="16"/>
      <c r="N2883" s="12"/>
      <c r="O2883" s="12"/>
      <c r="P2883" s="13">
        <f>IFERROR(__xludf.DUMMYFUNCTION("VALUE(SUBSTITUTE((INDEX(SPLIT(A2883,"",""),1)),""."","","",1))"),54.291511)</f>
        <v>54.291511</v>
      </c>
      <c r="Q2883" s="13">
        <f>IFERROR(__xludf.DUMMYFUNCTION("VALUE(SUBSTITUTE((INDEX(SPLIT(A2883,"",""),2)),""."","","",1))"),45.121523)</f>
        <v>45.121523</v>
      </c>
      <c r="R2883" s="14" t="b">
        <f t="shared" si="1"/>
        <v>0</v>
      </c>
      <c r="S2883" s="14" t="str">
        <f t="shared" si="2"/>
        <v>54.291511,45.121523</v>
      </c>
      <c r="T2883" s="12"/>
    </row>
    <row r="2884">
      <c r="A2884" s="7" t="s">
        <v>18669</v>
      </c>
      <c r="B2884" s="8" t="s">
        <v>18670</v>
      </c>
      <c r="C2884" s="8" t="s">
        <v>18671</v>
      </c>
      <c r="D2884" s="8" t="s">
        <v>16</v>
      </c>
      <c r="E2884" s="9" t="s">
        <v>18672</v>
      </c>
      <c r="F2884" s="10" t="s">
        <v>8566</v>
      </c>
      <c r="G2884" s="8">
        <v>23.61</v>
      </c>
      <c r="H2884" s="8"/>
      <c r="I2884" s="10"/>
      <c r="J2884" s="10" t="s">
        <v>18673</v>
      </c>
      <c r="K2884" s="10" t="s">
        <v>18674</v>
      </c>
      <c r="L2884" s="11" t="s">
        <v>18675</v>
      </c>
      <c r="M2884" s="10"/>
      <c r="N2884" s="12"/>
      <c r="O2884" s="12"/>
      <c r="P2884" s="13">
        <f>IFERROR(__xludf.DUMMYFUNCTION("VALUE(SUBSTITUTE((INDEX(SPLIT(A2884,"",""),1)),""."","","",1))"),53.203937)</f>
        <v>53.203937</v>
      </c>
      <c r="Q2884" s="13">
        <f>IFERROR(__xludf.DUMMYFUNCTION("VALUE(SUBSTITUTE((INDEX(SPLIT(A2884,"",""),2)),""."","","",1))"),45.139786)</f>
        <v>45.139786</v>
      </c>
      <c r="R2884" s="14" t="b">
        <f t="shared" si="1"/>
        <v>0</v>
      </c>
      <c r="S2884" s="14" t="str">
        <f t="shared" si="2"/>
        <v>53.203937,45.139786</v>
      </c>
      <c r="T2884" s="12"/>
    </row>
    <row r="2885">
      <c r="A2885" s="15" t="s">
        <v>18676</v>
      </c>
      <c r="B2885" s="16" t="s">
        <v>18677</v>
      </c>
      <c r="C2885" s="16" t="s">
        <v>18678</v>
      </c>
      <c r="D2885" s="16" t="s">
        <v>16</v>
      </c>
      <c r="E2885" s="17" t="s">
        <v>18679</v>
      </c>
      <c r="F2885" s="16" t="s">
        <v>18396</v>
      </c>
      <c r="G2885" s="16">
        <v>23.61</v>
      </c>
      <c r="H2885" s="16"/>
      <c r="I2885" s="16"/>
      <c r="J2885" s="16" t="s">
        <v>18680</v>
      </c>
      <c r="K2885" s="16" t="s">
        <v>18681</v>
      </c>
      <c r="L2885" s="16"/>
      <c r="M2885" s="16"/>
      <c r="N2885" s="12"/>
      <c r="O2885" s="12"/>
      <c r="P2885" s="13">
        <f>IFERROR(__xludf.DUMMYFUNCTION("VALUE(SUBSTITUTE((INDEX(SPLIT(A2885,"",""),1)),""."","","",1))"),53.201704)</f>
        <v>53.201704</v>
      </c>
      <c r="Q2885" s="13">
        <f>IFERROR(__xludf.DUMMYFUNCTION("VALUE(SUBSTITUTE((INDEX(SPLIT(A2885,"",""),2)),""."","","",1))"),45.140765)</f>
        <v>45.140765</v>
      </c>
      <c r="R2885" s="14" t="b">
        <f t="shared" si="1"/>
        <v>0</v>
      </c>
      <c r="S2885" s="14" t="str">
        <f t="shared" si="2"/>
        <v>53.201704,45.140765</v>
      </c>
      <c r="T2885" s="12"/>
    </row>
    <row r="2886">
      <c r="A2886" s="7" t="s">
        <v>18682</v>
      </c>
      <c r="B2886" s="8" t="s">
        <v>18683</v>
      </c>
      <c r="C2886" s="8" t="s">
        <v>18684</v>
      </c>
      <c r="D2886" s="8" t="s">
        <v>16</v>
      </c>
      <c r="E2886" s="9" t="s">
        <v>18685</v>
      </c>
      <c r="F2886" s="10" t="s">
        <v>18396</v>
      </c>
      <c r="G2886" s="8">
        <v>23.61</v>
      </c>
      <c r="H2886" s="8"/>
      <c r="I2886" s="10"/>
      <c r="J2886" s="10" t="s">
        <v>18686</v>
      </c>
      <c r="K2886" s="10" t="s">
        <v>18687</v>
      </c>
      <c r="L2886" s="11" t="s">
        <v>18688</v>
      </c>
      <c r="M2886" s="11" t="s">
        <v>18689</v>
      </c>
      <c r="N2886" s="12"/>
      <c r="O2886" s="12"/>
      <c r="P2886" s="13">
        <f>IFERROR(__xludf.DUMMYFUNCTION("VALUE(SUBSTITUTE((INDEX(SPLIT(A2886,"",""),1)),""."","","",1))"),53.093646)</f>
        <v>53.093646</v>
      </c>
      <c r="Q2886" s="13">
        <f>IFERROR(__xludf.DUMMYFUNCTION("VALUE(SUBSTITUTE((INDEX(SPLIT(A2886,"",""),2)),""."","","",1))"),45.150826)</f>
        <v>45.150826</v>
      </c>
      <c r="R2886" s="14" t="b">
        <f t="shared" si="1"/>
        <v>0</v>
      </c>
      <c r="S2886" s="14" t="str">
        <f t="shared" si="2"/>
        <v>53.093646,45.150826</v>
      </c>
      <c r="T2886" s="12"/>
    </row>
    <row r="2887">
      <c r="A2887" s="15" t="s">
        <v>18690</v>
      </c>
      <c r="B2887" s="16" t="s">
        <v>18691</v>
      </c>
      <c r="C2887" s="16" t="s">
        <v>18692</v>
      </c>
      <c r="D2887" s="16" t="s">
        <v>16</v>
      </c>
      <c r="E2887" s="17" t="s">
        <v>18693</v>
      </c>
      <c r="F2887" s="16" t="s">
        <v>13111</v>
      </c>
      <c r="G2887" s="16">
        <v>23.61</v>
      </c>
      <c r="H2887" s="16"/>
      <c r="I2887" s="16"/>
      <c r="J2887" s="16" t="s">
        <v>18694</v>
      </c>
      <c r="K2887" s="16" t="s">
        <v>18695</v>
      </c>
      <c r="L2887" s="16"/>
      <c r="M2887" s="25" t="s">
        <v>18696</v>
      </c>
      <c r="N2887" s="12"/>
      <c r="O2887" s="12"/>
      <c r="P2887" s="13">
        <f>IFERROR(__xludf.DUMMYFUNCTION("VALUE(SUBSTITUTE((INDEX(SPLIT(A2887,"",""),1)),""."","","",1))"),53.182065)</f>
        <v>53.182065</v>
      </c>
      <c r="Q2887" s="13">
        <f>IFERROR(__xludf.DUMMYFUNCTION("VALUE(SUBSTITUTE((INDEX(SPLIT(A2887,"",""),2)),""."","","",1))"),45.1568)</f>
        <v>45.1568</v>
      </c>
      <c r="R2887" s="14" t="b">
        <f t="shared" si="1"/>
        <v>0</v>
      </c>
      <c r="S2887" s="14" t="str">
        <f t="shared" si="2"/>
        <v>53.182065,45.1568</v>
      </c>
      <c r="T2887" s="12"/>
    </row>
    <row r="2888">
      <c r="A2888" s="7" t="s">
        <v>18697</v>
      </c>
      <c r="B2888" s="8" t="s">
        <v>18698</v>
      </c>
      <c r="C2888" s="8" t="s">
        <v>18699</v>
      </c>
      <c r="D2888" s="8" t="s">
        <v>16</v>
      </c>
      <c r="E2888" s="9" t="s">
        <v>18700</v>
      </c>
      <c r="F2888" s="10" t="s">
        <v>18396</v>
      </c>
      <c r="G2888" s="8">
        <v>23.61</v>
      </c>
      <c r="H2888" s="8"/>
      <c r="I2888" s="10"/>
      <c r="J2888" s="10" t="s">
        <v>18701</v>
      </c>
      <c r="K2888" s="10" t="s">
        <v>18702</v>
      </c>
      <c r="L2888" s="11" t="s">
        <v>18703</v>
      </c>
      <c r="M2888" s="10"/>
      <c r="N2888" s="12"/>
      <c r="O2888" s="12"/>
      <c r="P2888" s="13">
        <f>IFERROR(__xludf.DUMMYFUNCTION("VALUE(SUBSTITUTE((INDEX(SPLIT(A2888,"",""),1)),""."","","",1))"),54.183607)</f>
        <v>54.183607</v>
      </c>
      <c r="Q2888" s="13">
        <f>IFERROR(__xludf.DUMMYFUNCTION("VALUE(SUBSTITUTE((INDEX(SPLIT(A2888,"",""),2)),""."","","",1))"),45.172772)</f>
        <v>45.172772</v>
      </c>
      <c r="R2888" s="14" t="b">
        <f t="shared" si="1"/>
        <v>0</v>
      </c>
      <c r="S2888" s="14" t="str">
        <f t="shared" si="2"/>
        <v>54.183607,45.172772</v>
      </c>
      <c r="T2888" s="12"/>
    </row>
    <row r="2889">
      <c r="A2889" s="20" t="s">
        <v>18704</v>
      </c>
      <c r="B2889" s="16" t="s">
        <v>18705</v>
      </c>
      <c r="C2889" s="16" t="s">
        <v>18706</v>
      </c>
      <c r="D2889" s="16" t="s">
        <v>16</v>
      </c>
      <c r="E2889" s="21" t="s">
        <v>18707</v>
      </c>
      <c r="F2889" s="22" t="s">
        <v>18396</v>
      </c>
      <c r="G2889" s="16">
        <v>23.61</v>
      </c>
      <c r="H2889" s="16"/>
      <c r="I2889" s="22"/>
      <c r="J2889" s="22" t="s">
        <v>18708</v>
      </c>
      <c r="K2889" s="22" t="s">
        <v>18709</v>
      </c>
      <c r="L2889" s="23" t="s">
        <v>18710</v>
      </c>
      <c r="M2889" s="22"/>
      <c r="N2889" s="12"/>
      <c r="O2889" s="12"/>
      <c r="P2889" s="13">
        <f>IFERROR(__xludf.DUMMYFUNCTION("VALUE(SUBSTITUTE((INDEX(SPLIT(A2889,"",""),1)),""."","","",1))"),54.189951)</f>
        <v>54.189951</v>
      </c>
      <c r="Q2889" s="13">
        <f>IFERROR(__xludf.DUMMYFUNCTION("VALUE(SUBSTITUTE((INDEX(SPLIT(A2889,"",""),2)),""."","","",1))"),45.178566)</f>
        <v>45.178566</v>
      </c>
      <c r="R2889" s="14" t="b">
        <f t="shared" si="1"/>
        <v>0</v>
      </c>
      <c r="S2889" s="14" t="str">
        <f t="shared" si="2"/>
        <v>54.189951,45.178566</v>
      </c>
      <c r="T2889" s="12"/>
    </row>
    <row r="2890">
      <c r="A2890" s="7" t="s">
        <v>18711</v>
      </c>
      <c r="B2890" s="8" t="s">
        <v>18712</v>
      </c>
      <c r="C2890" s="8" t="s">
        <v>18713</v>
      </c>
      <c r="D2890" s="8" t="s">
        <v>16</v>
      </c>
      <c r="E2890" s="9" t="s">
        <v>18714</v>
      </c>
      <c r="F2890" s="10" t="s">
        <v>16936</v>
      </c>
      <c r="G2890" s="8">
        <v>23.61</v>
      </c>
      <c r="H2890" s="8"/>
      <c r="I2890" s="10"/>
      <c r="J2890" s="10" t="s">
        <v>18715</v>
      </c>
      <c r="K2890" s="10" t="s">
        <v>18716</v>
      </c>
      <c r="L2890" s="11" t="s">
        <v>18717</v>
      </c>
      <c r="M2890" s="10"/>
      <c r="N2890" s="12"/>
      <c r="O2890" s="12"/>
      <c r="P2890" s="13">
        <f>IFERROR(__xludf.DUMMYFUNCTION("VALUE(SUBSTITUTE((INDEX(SPLIT(A2890,"",""),1)),""."","","",1))"),53.221204)</f>
        <v>53.221204</v>
      </c>
      <c r="Q2890" s="13">
        <f>IFERROR(__xludf.DUMMYFUNCTION("VALUE(SUBSTITUTE((INDEX(SPLIT(A2890,"",""),2)),""."","","",1))"),45.179195)</f>
        <v>45.179195</v>
      </c>
      <c r="R2890" s="14" t="b">
        <f t="shared" si="1"/>
        <v>0</v>
      </c>
      <c r="S2890" s="14" t="str">
        <f t="shared" si="2"/>
        <v>53.221204,45.179195</v>
      </c>
      <c r="T2890" s="12"/>
    </row>
    <row r="2891">
      <c r="A2891" s="20" t="s">
        <v>18711</v>
      </c>
      <c r="B2891" s="16" t="s">
        <v>18718</v>
      </c>
      <c r="C2891" s="16" t="s">
        <v>18719</v>
      </c>
      <c r="D2891" s="16" t="s">
        <v>16</v>
      </c>
      <c r="E2891" s="21" t="s">
        <v>18720</v>
      </c>
      <c r="F2891" s="22" t="s">
        <v>4327</v>
      </c>
      <c r="G2891" s="16">
        <v>23.61</v>
      </c>
      <c r="H2891" s="16"/>
      <c r="I2891" s="22"/>
      <c r="J2891" s="22" t="s">
        <v>18721</v>
      </c>
      <c r="K2891" s="22" t="s">
        <v>18722</v>
      </c>
      <c r="L2891" s="23" t="s">
        <v>18723</v>
      </c>
      <c r="M2891" s="22"/>
      <c r="N2891" s="12"/>
      <c r="O2891" s="12"/>
      <c r="P2891" s="13">
        <f>IFERROR(__xludf.DUMMYFUNCTION("VALUE(SUBSTITUTE((INDEX(SPLIT(A2891,"",""),1)),""."","","",1))"),53.221204)</f>
        <v>53.221204</v>
      </c>
      <c r="Q2891" s="13">
        <f>IFERROR(__xludf.DUMMYFUNCTION("VALUE(SUBSTITUTE((INDEX(SPLIT(A2891,"",""),2)),""."","","",1))"),45.179195)</f>
        <v>45.179195</v>
      </c>
      <c r="R2891" s="14" t="b">
        <f t="shared" si="1"/>
        <v>0</v>
      </c>
      <c r="S2891" s="14" t="str">
        <f t="shared" si="2"/>
        <v>53.221204,45.179195</v>
      </c>
      <c r="T2891" s="12"/>
    </row>
    <row r="2892">
      <c r="A2892" s="18" t="s">
        <v>18724</v>
      </c>
      <c r="B2892" s="8" t="s">
        <v>18725</v>
      </c>
      <c r="C2892" s="8" t="s">
        <v>18726</v>
      </c>
      <c r="D2892" s="8" t="s">
        <v>16</v>
      </c>
      <c r="E2892" s="19" t="s">
        <v>18727</v>
      </c>
      <c r="F2892" s="8" t="s">
        <v>8566</v>
      </c>
      <c r="G2892" s="8">
        <v>23.61</v>
      </c>
      <c r="H2892" s="8"/>
      <c r="I2892" s="8"/>
      <c r="J2892" s="8" t="s">
        <v>18728</v>
      </c>
      <c r="K2892" s="8" t="s">
        <v>18729</v>
      </c>
      <c r="L2892" s="8"/>
      <c r="M2892" s="8"/>
      <c r="N2892" s="12"/>
      <c r="O2892" s="12"/>
      <c r="P2892" s="13">
        <f>IFERROR(__xludf.DUMMYFUNCTION("VALUE(SUBSTITUTE((INDEX(SPLIT(A2892,"",""),1)),""."","","",1))"),54.206484)</f>
        <v>54.206484</v>
      </c>
      <c r="Q2892" s="13">
        <f>IFERROR(__xludf.DUMMYFUNCTION("VALUE(SUBSTITUTE((INDEX(SPLIT(A2892,"",""),2)),""."","","",1))"),45.18021)</f>
        <v>45.18021</v>
      </c>
      <c r="R2892" s="14" t="b">
        <f t="shared" si="1"/>
        <v>0</v>
      </c>
      <c r="S2892" s="14" t="str">
        <f t="shared" si="2"/>
        <v>54.206484,45.18021</v>
      </c>
      <c r="T2892" s="12"/>
    </row>
    <row r="2893">
      <c r="A2893" s="20" t="s">
        <v>18730</v>
      </c>
      <c r="B2893" s="16" t="s">
        <v>18731</v>
      </c>
      <c r="C2893" s="16" t="s">
        <v>18732</v>
      </c>
      <c r="D2893" s="16" t="s">
        <v>16</v>
      </c>
      <c r="E2893" s="21" t="s">
        <v>18733</v>
      </c>
      <c r="F2893" s="22" t="s">
        <v>18396</v>
      </c>
      <c r="G2893" s="16">
        <v>23.61</v>
      </c>
      <c r="H2893" s="16"/>
      <c r="I2893" s="22"/>
      <c r="J2893" s="22" t="s">
        <v>18734</v>
      </c>
      <c r="K2893" s="22" t="s">
        <v>18735</v>
      </c>
      <c r="L2893" s="23" t="s">
        <v>18736</v>
      </c>
      <c r="M2893" s="22"/>
      <c r="N2893" s="12"/>
      <c r="O2893" s="12"/>
      <c r="P2893" s="13">
        <f>IFERROR(__xludf.DUMMYFUNCTION("VALUE(SUBSTITUTE((INDEX(SPLIT(A2893,"",""),1)),""."","","",1))"),54.173142)</f>
        <v>54.173142</v>
      </c>
      <c r="Q2893" s="13">
        <f>IFERROR(__xludf.DUMMYFUNCTION("VALUE(SUBSTITUTE((INDEX(SPLIT(A2893,"",""),2)),""."","","",1))"),45.18198)</f>
        <v>45.18198</v>
      </c>
      <c r="R2893" s="14" t="b">
        <f t="shared" si="1"/>
        <v>0</v>
      </c>
      <c r="S2893" s="14" t="str">
        <f t="shared" si="2"/>
        <v>54.173142,45.18198</v>
      </c>
      <c r="T2893" s="12"/>
    </row>
    <row r="2894">
      <c r="A2894" s="18" t="s">
        <v>18737</v>
      </c>
      <c r="B2894" s="8" t="s">
        <v>18738</v>
      </c>
      <c r="C2894" s="8" t="s">
        <v>7731</v>
      </c>
      <c r="D2894" s="8" t="s">
        <v>16</v>
      </c>
      <c r="E2894" s="19" t="s">
        <v>18739</v>
      </c>
      <c r="F2894" s="8" t="s">
        <v>13111</v>
      </c>
      <c r="G2894" s="8">
        <v>23.61</v>
      </c>
      <c r="H2894" s="8"/>
      <c r="I2894" s="8"/>
      <c r="J2894" s="8" t="s">
        <v>18740</v>
      </c>
      <c r="K2894" s="8" t="s">
        <v>18741</v>
      </c>
      <c r="L2894" s="8"/>
      <c r="M2894" s="24" t="s">
        <v>18696</v>
      </c>
      <c r="N2894" s="12"/>
      <c r="O2894" s="12"/>
      <c r="P2894" s="13">
        <f>IFERROR(__xludf.DUMMYFUNCTION("VALUE(SUBSTITUTE((INDEX(SPLIT(A2894,"",""),1)),""."","","",1))"),53.217138)</f>
        <v>53.217138</v>
      </c>
      <c r="Q2894" s="13">
        <f>IFERROR(__xludf.DUMMYFUNCTION("VALUE(SUBSTITUTE((INDEX(SPLIT(A2894,"",""),2)),""."","","",1))"),45.182267)</f>
        <v>45.182267</v>
      </c>
      <c r="R2894" s="14" t="b">
        <f t="shared" si="1"/>
        <v>0</v>
      </c>
      <c r="S2894" s="14" t="str">
        <f t="shared" si="2"/>
        <v>53.217138,45.182267</v>
      </c>
      <c r="T2894" s="12"/>
    </row>
    <row r="2895">
      <c r="A2895" s="15" t="s">
        <v>18742</v>
      </c>
      <c r="B2895" s="16" t="s">
        <v>18743</v>
      </c>
      <c r="C2895" s="16" t="s">
        <v>18744</v>
      </c>
      <c r="D2895" s="16" t="s">
        <v>16</v>
      </c>
      <c r="E2895" s="17" t="s">
        <v>18745</v>
      </c>
      <c r="F2895" s="16" t="s">
        <v>18396</v>
      </c>
      <c r="G2895" s="16">
        <v>23.61</v>
      </c>
      <c r="H2895" s="16"/>
      <c r="I2895" s="16"/>
      <c r="J2895" s="16" t="s">
        <v>18746</v>
      </c>
      <c r="K2895" s="16" t="s">
        <v>18747</v>
      </c>
      <c r="L2895" s="16"/>
      <c r="M2895" s="16"/>
      <c r="N2895" s="12"/>
      <c r="O2895" s="12"/>
      <c r="P2895" s="13">
        <f>IFERROR(__xludf.DUMMYFUNCTION("VALUE(SUBSTITUTE((INDEX(SPLIT(A2895,"",""),1)),""."","","",1))"),54.23649)</f>
        <v>54.23649</v>
      </c>
      <c r="Q2895" s="13">
        <f>IFERROR(__xludf.DUMMYFUNCTION("VALUE(SUBSTITUTE((INDEX(SPLIT(A2895,"",""),2)),""."","","",1))"),45.191511)</f>
        <v>45.191511</v>
      </c>
      <c r="R2895" s="14" t="b">
        <f t="shared" si="1"/>
        <v>0</v>
      </c>
      <c r="S2895" s="14" t="str">
        <f t="shared" si="2"/>
        <v>54.23649,45.191511</v>
      </c>
      <c r="T2895" s="12"/>
    </row>
    <row r="2896">
      <c r="A2896" s="7" t="s">
        <v>18742</v>
      </c>
      <c r="B2896" s="8" t="s">
        <v>18748</v>
      </c>
      <c r="C2896" s="8" t="s">
        <v>18749</v>
      </c>
      <c r="D2896" s="8" t="s">
        <v>16</v>
      </c>
      <c r="E2896" s="9" t="s">
        <v>18750</v>
      </c>
      <c r="F2896" s="10" t="s">
        <v>18396</v>
      </c>
      <c r="G2896" s="8">
        <v>23.61</v>
      </c>
      <c r="H2896" s="8"/>
      <c r="I2896" s="10"/>
      <c r="J2896" s="10" t="s">
        <v>18751</v>
      </c>
      <c r="K2896" s="10" t="s">
        <v>18752</v>
      </c>
      <c r="L2896" s="11" t="s">
        <v>18753</v>
      </c>
      <c r="M2896" s="10"/>
      <c r="N2896" s="12"/>
      <c r="O2896" s="12"/>
      <c r="P2896" s="13">
        <f>IFERROR(__xludf.DUMMYFUNCTION("VALUE(SUBSTITUTE((INDEX(SPLIT(A2896,"",""),1)),""."","","",1))"),54.23649)</f>
        <v>54.23649</v>
      </c>
      <c r="Q2896" s="13">
        <f>IFERROR(__xludf.DUMMYFUNCTION("VALUE(SUBSTITUTE((INDEX(SPLIT(A2896,"",""),2)),""."","","",1))"),45.191511)</f>
        <v>45.191511</v>
      </c>
      <c r="R2896" s="14" t="b">
        <f t="shared" si="1"/>
        <v>0</v>
      </c>
      <c r="S2896" s="14" t="str">
        <f t="shared" si="2"/>
        <v>54.23649,45.191511</v>
      </c>
      <c r="T2896" s="12"/>
    </row>
    <row r="2897">
      <c r="A2897" s="20" t="s">
        <v>18754</v>
      </c>
      <c r="B2897" s="16" t="s">
        <v>18755</v>
      </c>
      <c r="C2897" s="16" t="s">
        <v>18756</v>
      </c>
      <c r="D2897" s="16" t="s">
        <v>16</v>
      </c>
      <c r="E2897" s="21" t="s">
        <v>18757</v>
      </c>
      <c r="F2897" s="22" t="s">
        <v>18396</v>
      </c>
      <c r="G2897" s="16">
        <v>23.61</v>
      </c>
      <c r="H2897" s="16"/>
      <c r="I2897" s="22"/>
      <c r="J2897" s="22" t="s">
        <v>18758</v>
      </c>
      <c r="K2897" s="22" t="s">
        <v>18759</v>
      </c>
      <c r="L2897" s="23" t="s">
        <v>18760</v>
      </c>
      <c r="M2897" s="22"/>
      <c r="N2897" s="12"/>
      <c r="O2897" s="12"/>
      <c r="P2897" s="13">
        <f>IFERROR(__xludf.DUMMYFUNCTION("VALUE(SUBSTITUTE((INDEX(SPLIT(A2897,"",""),1)),""."","","",1))"),53.181019)</f>
        <v>53.181019</v>
      </c>
      <c r="Q2897" s="13">
        <f>IFERROR(__xludf.DUMMYFUNCTION("VALUE(SUBSTITUTE((INDEX(SPLIT(A2897,"",""),2)),""."","","",1))"),45.195697)</f>
        <v>45.195697</v>
      </c>
      <c r="R2897" s="14" t="b">
        <f t="shared" si="1"/>
        <v>0</v>
      </c>
      <c r="S2897" s="14" t="str">
        <f t="shared" si="2"/>
        <v>53.181019,45.195697</v>
      </c>
      <c r="T2897" s="12"/>
    </row>
    <row r="2898">
      <c r="A2898" s="18" t="s">
        <v>18761</v>
      </c>
      <c r="B2898" s="8" t="s">
        <v>18762</v>
      </c>
      <c r="C2898" s="8" t="s">
        <v>18763</v>
      </c>
      <c r="D2898" s="8" t="s">
        <v>16</v>
      </c>
      <c r="E2898" s="19" t="s">
        <v>18764</v>
      </c>
      <c r="F2898" s="8" t="s">
        <v>13111</v>
      </c>
      <c r="G2898" s="8">
        <v>23.61</v>
      </c>
      <c r="H2898" s="8"/>
      <c r="I2898" s="8"/>
      <c r="J2898" s="8" t="s">
        <v>18765</v>
      </c>
      <c r="K2898" s="8" t="s">
        <v>18766</v>
      </c>
      <c r="L2898" s="8"/>
      <c r="M2898" s="8"/>
      <c r="N2898" s="12"/>
      <c r="O2898" s="12"/>
      <c r="P2898" s="13">
        <f>IFERROR(__xludf.DUMMYFUNCTION("VALUE(SUBSTITUTE((INDEX(SPLIT(A2898,"",""),1)),""."","","",1))"),54.221448)</f>
        <v>54.221448</v>
      </c>
      <c r="Q2898" s="13">
        <f>IFERROR(__xludf.DUMMYFUNCTION("VALUE(SUBSTITUTE((INDEX(SPLIT(A2898,"",""),2)),""."","","",1))"),45.199255)</f>
        <v>45.199255</v>
      </c>
      <c r="R2898" s="14" t="b">
        <f t="shared" si="1"/>
        <v>0</v>
      </c>
      <c r="S2898" s="14" t="str">
        <f t="shared" si="2"/>
        <v>54.221448,45.199255</v>
      </c>
      <c r="T2898" s="12"/>
    </row>
    <row r="2899">
      <c r="A2899" s="15" t="s">
        <v>18767</v>
      </c>
      <c r="B2899" s="16" t="s">
        <v>18768</v>
      </c>
      <c r="C2899" s="16" t="s">
        <v>18769</v>
      </c>
      <c r="D2899" s="16" t="s">
        <v>16</v>
      </c>
      <c r="E2899" s="17" t="s">
        <v>18770</v>
      </c>
      <c r="F2899" s="16" t="s">
        <v>18396</v>
      </c>
      <c r="G2899" s="16">
        <v>23.61</v>
      </c>
      <c r="H2899" s="16"/>
      <c r="I2899" s="16"/>
      <c r="J2899" s="16" t="s">
        <v>18771</v>
      </c>
      <c r="K2899" s="16" t="s">
        <v>18772</v>
      </c>
      <c r="L2899" s="16"/>
      <c r="M2899" s="16"/>
      <c r="N2899" s="12"/>
      <c r="O2899" s="12"/>
      <c r="P2899" s="13">
        <f>IFERROR(__xludf.DUMMYFUNCTION("VALUE(SUBSTITUTE((INDEX(SPLIT(A2899,"",""),1)),""."","","",1))"),54.224827)</f>
        <v>54.224827</v>
      </c>
      <c r="Q2899" s="13">
        <f>IFERROR(__xludf.DUMMYFUNCTION("VALUE(SUBSTITUTE((INDEX(SPLIT(A2899,"",""),2)),""."","","",1))"),45.203935)</f>
        <v>45.203935</v>
      </c>
      <c r="R2899" s="14" t="b">
        <f t="shared" si="1"/>
        <v>0</v>
      </c>
      <c r="S2899" s="14" t="str">
        <f t="shared" si="2"/>
        <v>54.224827,45.203935</v>
      </c>
      <c r="T2899" s="12"/>
    </row>
    <row r="2900">
      <c r="A2900" s="18" t="s">
        <v>18773</v>
      </c>
      <c r="B2900" s="8" t="s">
        <v>18774</v>
      </c>
      <c r="C2900" s="8" t="s">
        <v>18775</v>
      </c>
      <c r="D2900" s="8" t="s">
        <v>16</v>
      </c>
      <c r="E2900" s="19" t="s">
        <v>18776</v>
      </c>
      <c r="F2900" s="8" t="s">
        <v>8566</v>
      </c>
      <c r="G2900" s="8">
        <v>23.61</v>
      </c>
      <c r="H2900" s="8"/>
      <c r="I2900" s="8"/>
      <c r="J2900" s="8" t="s">
        <v>18777</v>
      </c>
      <c r="K2900" s="8" t="s">
        <v>18778</v>
      </c>
      <c r="L2900" s="8"/>
      <c r="M2900" s="8"/>
      <c r="N2900" s="12"/>
      <c r="O2900" s="12"/>
      <c r="P2900" s="13">
        <f>IFERROR(__xludf.DUMMYFUNCTION("VALUE(SUBSTITUTE((INDEX(SPLIT(A2900,"",""),1)),""."","","",1))"),54.222037)</f>
        <v>54.222037</v>
      </c>
      <c r="Q2900" s="13">
        <f>IFERROR(__xludf.DUMMYFUNCTION("VALUE(SUBSTITUTE((INDEX(SPLIT(A2900,"",""),2)),""."","","",1))"),45.207941)</f>
        <v>45.207941</v>
      </c>
      <c r="R2900" s="14" t="b">
        <f t="shared" si="1"/>
        <v>0</v>
      </c>
      <c r="S2900" s="14" t="str">
        <f t="shared" si="2"/>
        <v>54.222037,45.207941</v>
      </c>
      <c r="T2900" s="12"/>
    </row>
    <row r="2901">
      <c r="A2901" s="20" t="s">
        <v>18779</v>
      </c>
      <c r="B2901" s="16" t="s">
        <v>18780</v>
      </c>
      <c r="C2901" s="16" t="s">
        <v>18781</v>
      </c>
      <c r="D2901" s="16" t="s">
        <v>16</v>
      </c>
      <c r="E2901" s="21" t="s">
        <v>18782</v>
      </c>
      <c r="F2901" s="22" t="s">
        <v>13111</v>
      </c>
      <c r="G2901" s="16">
        <v>23.61</v>
      </c>
      <c r="H2901" s="16"/>
      <c r="I2901" s="22"/>
      <c r="J2901" s="22" t="s">
        <v>18783</v>
      </c>
      <c r="K2901" s="22" t="s">
        <v>18784</v>
      </c>
      <c r="L2901" s="23" t="s">
        <v>18785</v>
      </c>
      <c r="M2901" s="22"/>
      <c r="N2901" s="12"/>
      <c r="O2901" s="12"/>
      <c r="P2901" s="13">
        <f>IFERROR(__xludf.DUMMYFUNCTION("VALUE(SUBSTITUTE((INDEX(SPLIT(A2901,"",""),1)),""."","","",1))"),54.230848)</f>
        <v>54.230848</v>
      </c>
      <c r="Q2901" s="13">
        <f>IFERROR(__xludf.DUMMYFUNCTION("VALUE(SUBSTITUTE((INDEX(SPLIT(A2901,"",""),2)),""."","","",1))"),45.208238)</f>
        <v>45.208238</v>
      </c>
      <c r="R2901" s="14" t="b">
        <f t="shared" si="1"/>
        <v>0</v>
      </c>
      <c r="S2901" s="14" t="str">
        <f t="shared" si="2"/>
        <v>54.230848,45.208238</v>
      </c>
      <c r="T2901" s="12"/>
    </row>
    <row r="2902">
      <c r="A2902" s="7" t="s">
        <v>18779</v>
      </c>
      <c r="B2902" s="8" t="s">
        <v>18786</v>
      </c>
      <c r="C2902" s="8" t="s">
        <v>18787</v>
      </c>
      <c r="D2902" s="8" t="s">
        <v>16</v>
      </c>
      <c r="E2902" s="9" t="s">
        <v>18788</v>
      </c>
      <c r="F2902" s="10" t="s">
        <v>18396</v>
      </c>
      <c r="G2902" s="8">
        <v>23.61</v>
      </c>
      <c r="H2902" s="8"/>
      <c r="I2902" s="10"/>
      <c r="J2902" s="10" t="s">
        <v>18789</v>
      </c>
      <c r="K2902" s="10" t="s">
        <v>18790</v>
      </c>
      <c r="L2902" s="11" t="s">
        <v>18791</v>
      </c>
      <c r="M2902" s="10"/>
      <c r="N2902" s="12"/>
      <c r="O2902" s="12"/>
      <c r="P2902" s="13">
        <f>IFERROR(__xludf.DUMMYFUNCTION("VALUE(SUBSTITUTE((INDEX(SPLIT(A2902,"",""),1)),""."","","",1))"),54.230848)</f>
        <v>54.230848</v>
      </c>
      <c r="Q2902" s="13">
        <f>IFERROR(__xludf.DUMMYFUNCTION("VALUE(SUBSTITUTE((INDEX(SPLIT(A2902,"",""),2)),""."","","",1))"),45.208238)</f>
        <v>45.208238</v>
      </c>
      <c r="R2902" s="14" t="b">
        <f t="shared" si="1"/>
        <v>0</v>
      </c>
      <c r="S2902" s="14" t="str">
        <f t="shared" si="2"/>
        <v>54.230848,45.208238</v>
      </c>
      <c r="T2902" s="12"/>
    </row>
    <row r="2903">
      <c r="A2903" s="15" t="s">
        <v>18792</v>
      </c>
      <c r="B2903" s="16" t="s">
        <v>18793</v>
      </c>
      <c r="C2903" s="16" t="s">
        <v>18794</v>
      </c>
      <c r="D2903" s="16" t="s">
        <v>16</v>
      </c>
      <c r="E2903" s="17" t="s">
        <v>18795</v>
      </c>
      <c r="F2903" s="16" t="s">
        <v>18396</v>
      </c>
      <c r="G2903" s="16">
        <v>23.61</v>
      </c>
      <c r="H2903" s="16"/>
      <c r="I2903" s="16"/>
      <c r="J2903" s="16" t="s">
        <v>18796</v>
      </c>
      <c r="K2903" s="16" t="s">
        <v>18797</v>
      </c>
      <c r="L2903" s="16"/>
      <c r="M2903" s="16"/>
      <c r="N2903" s="12"/>
      <c r="O2903" s="12"/>
      <c r="P2903" s="13">
        <f>IFERROR(__xludf.DUMMYFUNCTION("VALUE(SUBSTITUTE((INDEX(SPLIT(A2903,"",""),1)),""."","","",1))"),54.239184)</f>
        <v>54.239184</v>
      </c>
      <c r="Q2903" s="13">
        <f>IFERROR(__xludf.DUMMYFUNCTION("VALUE(SUBSTITUTE((INDEX(SPLIT(A2903,"",""),2)),""."","","",1))"),45.21608)</f>
        <v>45.21608</v>
      </c>
      <c r="R2903" s="14" t="b">
        <f t="shared" si="1"/>
        <v>0</v>
      </c>
      <c r="S2903" s="14" t="str">
        <f t="shared" si="2"/>
        <v>54.239184,45.21608</v>
      </c>
      <c r="T2903" s="12"/>
    </row>
    <row r="2904">
      <c r="A2904" s="18" t="s">
        <v>18798</v>
      </c>
      <c r="B2904" s="8" t="s">
        <v>18799</v>
      </c>
      <c r="C2904" s="8" t="s">
        <v>18800</v>
      </c>
      <c r="D2904" s="8" t="s">
        <v>16</v>
      </c>
      <c r="E2904" s="19" t="s">
        <v>18801</v>
      </c>
      <c r="F2904" s="8" t="s">
        <v>12993</v>
      </c>
      <c r="G2904" s="8">
        <v>23.61</v>
      </c>
      <c r="H2904" s="8"/>
      <c r="I2904" s="8"/>
      <c r="J2904" s="8" t="s">
        <v>18802</v>
      </c>
      <c r="K2904" s="8" t="s">
        <v>18803</v>
      </c>
      <c r="L2904" s="8"/>
      <c r="M2904" s="8"/>
      <c r="N2904" s="12"/>
      <c r="O2904" s="12"/>
      <c r="P2904" s="13">
        <f>IFERROR(__xludf.DUMMYFUNCTION("VALUE(SUBSTITUTE((INDEX(SPLIT(A2904,"",""),1)),""."","","",1))"),54.189487)</f>
        <v>54.189487</v>
      </c>
      <c r="Q2904" s="13">
        <f>IFERROR(__xludf.DUMMYFUNCTION("VALUE(SUBSTITUTE((INDEX(SPLIT(A2904,"",""),2)),""."","","",1))"),45.235142)</f>
        <v>45.235142</v>
      </c>
      <c r="R2904" s="14" t="b">
        <f t="shared" si="1"/>
        <v>0</v>
      </c>
      <c r="S2904" s="14" t="str">
        <f t="shared" si="2"/>
        <v>54.189487,45.235142</v>
      </c>
      <c r="T2904" s="12"/>
    </row>
    <row r="2905">
      <c r="A2905" s="15" t="s">
        <v>18804</v>
      </c>
      <c r="B2905" s="16" t="s">
        <v>18805</v>
      </c>
      <c r="C2905" s="16" t="s">
        <v>18806</v>
      </c>
      <c r="D2905" s="16" t="s">
        <v>16</v>
      </c>
      <c r="E2905" s="17" t="s">
        <v>18807</v>
      </c>
      <c r="F2905" s="16" t="s">
        <v>13111</v>
      </c>
      <c r="G2905" s="16">
        <v>23.61</v>
      </c>
      <c r="H2905" s="16"/>
      <c r="I2905" s="16"/>
      <c r="J2905" s="16" t="s">
        <v>18808</v>
      </c>
      <c r="K2905" s="16" t="s">
        <v>18809</v>
      </c>
      <c r="L2905" s="16"/>
      <c r="M2905" s="25" t="s">
        <v>18810</v>
      </c>
      <c r="N2905" s="12"/>
      <c r="O2905" s="12"/>
      <c r="P2905" s="13">
        <f>IFERROR(__xludf.DUMMYFUNCTION("VALUE(SUBSTITUTE((INDEX(SPLIT(A2905,"",""),1)),""."","","",1))"),54.434328)</f>
        <v>54.434328</v>
      </c>
      <c r="Q2905" s="13">
        <f>IFERROR(__xludf.DUMMYFUNCTION("VALUE(SUBSTITUTE((INDEX(SPLIT(A2905,"",""),2)),""."","","",1))"),45.335089)</f>
        <v>45.335089</v>
      </c>
      <c r="R2905" s="14" t="b">
        <f t="shared" si="1"/>
        <v>0</v>
      </c>
      <c r="S2905" s="14" t="str">
        <f t="shared" si="2"/>
        <v>54.434328,45.335089</v>
      </c>
      <c r="T2905" s="12"/>
    </row>
    <row r="2906">
      <c r="A2906" s="7" t="s">
        <v>18811</v>
      </c>
      <c r="B2906" s="8" t="s">
        <v>18812</v>
      </c>
      <c r="C2906" s="8" t="s">
        <v>18813</v>
      </c>
      <c r="D2906" s="8" t="s">
        <v>16</v>
      </c>
      <c r="E2906" s="9" t="s">
        <v>18814</v>
      </c>
      <c r="F2906" s="10" t="s">
        <v>13111</v>
      </c>
      <c r="G2906" s="8">
        <v>23.61</v>
      </c>
      <c r="H2906" s="8"/>
      <c r="I2906" s="10"/>
      <c r="J2906" s="10" t="s">
        <v>18815</v>
      </c>
      <c r="K2906" s="10" t="s">
        <v>18816</v>
      </c>
      <c r="L2906" s="11" t="s">
        <v>18817</v>
      </c>
      <c r="M2906" s="10"/>
      <c r="N2906" s="12"/>
      <c r="O2906" s="12"/>
      <c r="P2906" s="13">
        <f>IFERROR(__xludf.DUMMYFUNCTION("VALUE(SUBSTITUTE((INDEX(SPLIT(A2906,"",""),1)),""."","","",1))"),52.290959)</f>
        <v>52.290959</v>
      </c>
      <c r="Q2906" s="13">
        <f>IFERROR(__xludf.DUMMYFUNCTION("VALUE(SUBSTITUTE((INDEX(SPLIT(A2906,"",""),2)),""."","","",1))"),45.373061)</f>
        <v>45.373061</v>
      </c>
      <c r="R2906" s="14" t="b">
        <f t="shared" si="1"/>
        <v>0</v>
      </c>
      <c r="S2906" s="14" t="str">
        <f t="shared" si="2"/>
        <v>52.290959,45.373061</v>
      </c>
      <c r="T2906" s="12"/>
    </row>
    <row r="2907">
      <c r="A2907" s="20" t="s">
        <v>18818</v>
      </c>
      <c r="B2907" s="16" t="s">
        <v>18819</v>
      </c>
      <c r="C2907" s="16" t="s">
        <v>18820</v>
      </c>
      <c r="D2907" s="16" t="s">
        <v>16</v>
      </c>
      <c r="E2907" s="21" t="s">
        <v>18821</v>
      </c>
      <c r="F2907" s="22" t="s">
        <v>18396</v>
      </c>
      <c r="G2907" s="16">
        <v>23.61</v>
      </c>
      <c r="H2907" s="16"/>
      <c r="I2907" s="22"/>
      <c r="J2907" s="22" t="s">
        <v>18822</v>
      </c>
      <c r="K2907" s="22" t="s">
        <v>18823</v>
      </c>
      <c r="L2907" s="23" t="s">
        <v>18824</v>
      </c>
      <c r="M2907" s="22"/>
      <c r="N2907" s="12"/>
      <c r="O2907" s="12"/>
      <c r="P2907" s="13">
        <f>IFERROR(__xludf.DUMMYFUNCTION("VALUE(SUBSTITUTE((INDEX(SPLIT(A2907,"",""),1)),""."","","",1))"),50.108055)</f>
        <v>50.108055</v>
      </c>
      <c r="Q2907" s="13">
        <f>IFERROR(__xludf.DUMMYFUNCTION("VALUE(SUBSTITUTE((INDEX(SPLIT(A2907,"",""),2)),""."","","",1))"),45.407071)</f>
        <v>45.407071</v>
      </c>
      <c r="R2907" s="14" t="b">
        <f t="shared" si="1"/>
        <v>0</v>
      </c>
      <c r="S2907" s="14" t="str">
        <f t="shared" si="2"/>
        <v>50.108055,45.407071</v>
      </c>
      <c r="T2907" s="12"/>
    </row>
    <row r="2908">
      <c r="A2908" s="7" t="s">
        <v>18825</v>
      </c>
      <c r="B2908" s="8" t="s">
        <v>18826</v>
      </c>
      <c r="C2908" s="8" t="s">
        <v>18827</v>
      </c>
      <c r="D2908" s="8" t="s">
        <v>16</v>
      </c>
      <c r="E2908" s="9" t="s">
        <v>18828</v>
      </c>
      <c r="F2908" s="10" t="s">
        <v>17865</v>
      </c>
      <c r="G2908" s="8">
        <v>23.61</v>
      </c>
      <c r="H2908" s="8"/>
      <c r="I2908" s="10"/>
      <c r="J2908" s="10" t="s">
        <v>18829</v>
      </c>
      <c r="K2908" s="10" t="s">
        <v>18830</v>
      </c>
      <c r="L2908" s="11" t="s">
        <v>18831</v>
      </c>
      <c r="M2908" s="10"/>
      <c r="N2908" s="12"/>
      <c r="O2908" s="12"/>
      <c r="P2908" s="13">
        <f>IFERROR(__xludf.DUMMYFUNCTION("VALUE(SUBSTITUTE((INDEX(SPLIT(A2908,"",""),1)),""."","","",1))"),43.376713)</f>
        <v>43.376713</v>
      </c>
      <c r="Q2908" s="13">
        <f>IFERROR(__xludf.DUMMYFUNCTION("VALUE(SUBSTITUTE((INDEX(SPLIT(A2908,"",""),2)),""."","","",1))"),45.594441)</f>
        <v>45.594441</v>
      </c>
      <c r="R2908" s="14" t="b">
        <f t="shared" si="1"/>
        <v>0</v>
      </c>
      <c r="S2908" s="14" t="str">
        <f t="shared" si="2"/>
        <v>43.376713,45.594441</v>
      </c>
      <c r="T2908" s="12"/>
    </row>
    <row r="2909">
      <c r="A2909" s="15" t="s">
        <v>18832</v>
      </c>
      <c r="B2909" s="16" t="s">
        <v>18833</v>
      </c>
      <c r="C2909" s="16" t="s">
        <v>18834</v>
      </c>
      <c r="D2909" s="16" t="s">
        <v>16</v>
      </c>
      <c r="E2909" s="17" t="s">
        <v>18835</v>
      </c>
      <c r="F2909" s="16" t="s">
        <v>13111</v>
      </c>
      <c r="G2909" s="16">
        <v>23.61</v>
      </c>
      <c r="H2909" s="16"/>
      <c r="I2909" s="16"/>
      <c r="J2909" s="16" t="s">
        <v>18836</v>
      </c>
      <c r="K2909" s="16" t="s">
        <v>18837</v>
      </c>
      <c r="L2909" s="16"/>
      <c r="M2909" s="16"/>
      <c r="N2909" s="12"/>
      <c r="O2909" s="12"/>
      <c r="P2909" s="13">
        <f>IFERROR(__xludf.DUMMYFUNCTION("VALUE(SUBSTITUTE((INDEX(SPLIT(A2909,"",""),1)),""."","","",1))"),43.360342)</f>
        <v>43.360342</v>
      </c>
      <c r="Q2909" s="13">
        <f>IFERROR(__xludf.DUMMYFUNCTION("VALUE(SUBSTITUTE((INDEX(SPLIT(A2909,"",""),2)),""."","","",1))"),45.618462)</f>
        <v>45.618462</v>
      </c>
      <c r="R2909" s="14" t="b">
        <f t="shared" si="1"/>
        <v>0</v>
      </c>
      <c r="S2909" s="14" t="str">
        <f t="shared" si="2"/>
        <v>43.360342,45.618462</v>
      </c>
      <c r="T2909" s="12"/>
    </row>
    <row r="2910">
      <c r="A2910" s="7" t="s">
        <v>18838</v>
      </c>
      <c r="B2910" s="8" t="s">
        <v>18839</v>
      </c>
      <c r="C2910" s="8" t="s">
        <v>18840</v>
      </c>
      <c r="D2910" s="8" t="s">
        <v>16</v>
      </c>
      <c r="E2910" s="9" t="s">
        <v>18841</v>
      </c>
      <c r="F2910" s="10" t="s">
        <v>18396</v>
      </c>
      <c r="G2910" s="8">
        <v>23.61</v>
      </c>
      <c r="H2910" s="8"/>
      <c r="I2910" s="10"/>
      <c r="J2910" s="10" t="s">
        <v>18842</v>
      </c>
      <c r="K2910" s="10" t="s">
        <v>18843</v>
      </c>
      <c r="L2910" s="11" t="s">
        <v>18844</v>
      </c>
      <c r="M2910" s="10"/>
      <c r="N2910" s="12"/>
      <c r="O2910" s="12"/>
      <c r="P2910" s="13">
        <f>IFERROR(__xludf.DUMMYFUNCTION("VALUE(SUBSTITUTE((INDEX(SPLIT(A2910,"",""),1)),""."","","",1))"),43.32764)</f>
        <v>43.32764</v>
      </c>
      <c r="Q2910" s="13">
        <f>IFERROR(__xludf.DUMMYFUNCTION("VALUE(SUBSTITUTE((INDEX(SPLIT(A2910,"",""),2)),""."","","",1))"),45.668813)</f>
        <v>45.668813</v>
      </c>
      <c r="R2910" s="14" t="b">
        <f t="shared" si="1"/>
        <v>0</v>
      </c>
      <c r="S2910" s="14" t="str">
        <f t="shared" si="2"/>
        <v>43.32764,45.668813</v>
      </c>
      <c r="T2910" s="12"/>
    </row>
    <row r="2911">
      <c r="A2911" s="20" t="s">
        <v>18845</v>
      </c>
      <c r="B2911" s="16" t="s">
        <v>18846</v>
      </c>
      <c r="C2911" s="16" t="s">
        <v>18847</v>
      </c>
      <c r="D2911" s="16" t="s">
        <v>16</v>
      </c>
      <c r="E2911" s="21" t="s">
        <v>18848</v>
      </c>
      <c r="F2911" s="22" t="s">
        <v>18396</v>
      </c>
      <c r="G2911" s="16">
        <v>23.61</v>
      </c>
      <c r="H2911" s="16"/>
      <c r="I2911" s="22"/>
      <c r="J2911" s="22" t="s">
        <v>18849</v>
      </c>
      <c r="K2911" s="22" t="s">
        <v>18850</v>
      </c>
      <c r="L2911" s="23" t="s">
        <v>18851</v>
      </c>
      <c r="M2911" s="22"/>
      <c r="N2911" s="12"/>
      <c r="O2911" s="12"/>
      <c r="P2911" s="13">
        <f>IFERROR(__xludf.DUMMYFUNCTION("VALUE(SUBSTITUTE((INDEX(SPLIT(A2911,"",""),1)),""."","","",1))"),43.331286)</f>
        <v>43.331286</v>
      </c>
      <c r="Q2911" s="13">
        <f>IFERROR(__xludf.DUMMYFUNCTION("VALUE(SUBSTITUTE((INDEX(SPLIT(A2911,"",""),2)),""."","","",1))"),45.669469)</f>
        <v>45.669469</v>
      </c>
      <c r="R2911" s="14" t="b">
        <f t="shared" si="1"/>
        <v>0</v>
      </c>
      <c r="S2911" s="14" t="str">
        <f t="shared" si="2"/>
        <v>43.331286,45.669469</v>
      </c>
      <c r="T2911" s="12"/>
    </row>
    <row r="2912">
      <c r="A2912" s="18" t="s">
        <v>18852</v>
      </c>
      <c r="B2912" s="8" t="s">
        <v>18853</v>
      </c>
      <c r="C2912" s="8" t="s">
        <v>18854</v>
      </c>
      <c r="D2912" s="8" t="s">
        <v>16</v>
      </c>
      <c r="E2912" s="19" t="s">
        <v>18855</v>
      </c>
      <c r="F2912" s="8" t="s">
        <v>13111</v>
      </c>
      <c r="G2912" s="8">
        <v>23.61</v>
      </c>
      <c r="H2912" s="8"/>
      <c r="I2912" s="8"/>
      <c r="J2912" s="8" t="s">
        <v>18856</v>
      </c>
      <c r="K2912" s="8" t="s">
        <v>18857</v>
      </c>
      <c r="L2912" s="8"/>
      <c r="M2912" s="24" t="s">
        <v>18858</v>
      </c>
      <c r="N2912" s="12"/>
      <c r="O2912" s="12"/>
      <c r="P2912" s="13">
        <f>IFERROR(__xludf.DUMMYFUNCTION("VALUE(SUBSTITUTE((INDEX(SPLIT(A2912,"",""),1)),""."","","",1))"),43.316097)</f>
        <v>43.316097</v>
      </c>
      <c r="Q2912" s="13">
        <f>IFERROR(__xludf.DUMMYFUNCTION("VALUE(SUBSTITUTE((INDEX(SPLIT(A2912,"",""),2)),""."","","",1))"),45.682162)</f>
        <v>45.682162</v>
      </c>
      <c r="R2912" s="14" t="b">
        <f t="shared" si="1"/>
        <v>0</v>
      </c>
      <c r="S2912" s="14" t="str">
        <f t="shared" si="2"/>
        <v>43.316097,45.682162</v>
      </c>
      <c r="T2912" s="12"/>
    </row>
    <row r="2913">
      <c r="A2913" s="15" t="s">
        <v>18859</v>
      </c>
      <c r="B2913" s="16" t="s">
        <v>18860</v>
      </c>
      <c r="C2913" s="16" t="s">
        <v>18861</v>
      </c>
      <c r="D2913" s="16" t="s">
        <v>16</v>
      </c>
      <c r="E2913" s="17" t="s">
        <v>18862</v>
      </c>
      <c r="F2913" s="16" t="s">
        <v>13111</v>
      </c>
      <c r="G2913" s="16">
        <v>23.61</v>
      </c>
      <c r="H2913" s="16"/>
      <c r="I2913" s="16"/>
      <c r="J2913" s="16" t="s">
        <v>18863</v>
      </c>
      <c r="K2913" s="16" t="s">
        <v>18864</v>
      </c>
      <c r="L2913" s="16"/>
      <c r="M2913" s="25" t="s">
        <v>18865</v>
      </c>
      <c r="N2913" s="12"/>
      <c r="O2913" s="12"/>
      <c r="P2913" s="13">
        <f>IFERROR(__xludf.DUMMYFUNCTION("VALUE(SUBSTITUTE((INDEX(SPLIT(A2913,"",""),1)),""."","","",1))"),43.318366)</f>
        <v>43.318366</v>
      </c>
      <c r="Q2913" s="13">
        <f>IFERROR(__xludf.DUMMYFUNCTION("VALUE(SUBSTITUTE((INDEX(SPLIT(A2913,"",""),2)),""."","","",1))"),45.692421)</f>
        <v>45.692421</v>
      </c>
      <c r="R2913" s="14" t="b">
        <f t="shared" si="1"/>
        <v>0</v>
      </c>
      <c r="S2913" s="14" t="str">
        <f t="shared" si="2"/>
        <v>43.318366,45.692421</v>
      </c>
      <c r="T2913" s="12"/>
    </row>
    <row r="2914">
      <c r="A2914" s="18" t="s">
        <v>18866</v>
      </c>
      <c r="B2914" s="8" t="s">
        <v>18867</v>
      </c>
      <c r="C2914" s="8" t="s">
        <v>18868</v>
      </c>
      <c r="D2914" s="8" t="s">
        <v>16</v>
      </c>
      <c r="E2914" s="19" t="s">
        <v>18869</v>
      </c>
      <c r="F2914" s="8" t="s">
        <v>13111</v>
      </c>
      <c r="G2914" s="8">
        <v>23.61</v>
      </c>
      <c r="H2914" s="8"/>
      <c r="I2914" s="8"/>
      <c r="J2914" s="8" t="s">
        <v>18870</v>
      </c>
      <c r="K2914" s="8" t="s">
        <v>18871</v>
      </c>
      <c r="L2914" s="8"/>
      <c r="M2914" s="24" t="s">
        <v>18872</v>
      </c>
      <c r="N2914" s="12"/>
      <c r="O2914" s="12"/>
      <c r="P2914" s="13">
        <f>IFERROR(__xludf.DUMMYFUNCTION("VALUE(SUBSTITUTE((INDEX(SPLIT(A2914,"",""),1)),""."","","",1))"),53.264303)</f>
        <v>53.264303</v>
      </c>
      <c r="Q2914" s="13">
        <f>IFERROR(__xludf.DUMMYFUNCTION("VALUE(SUBSTITUTE((INDEX(SPLIT(A2914,"",""),2)),""."","","",1))"),45.693858)</f>
        <v>45.693858</v>
      </c>
      <c r="R2914" s="14" t="b">
        <f t="shared" si="1"/>
        <v>0</v>
      </c>
      <c r="S2914" s="14" t="str">
        <f t="shared" si="2"/>
        <v>53.264303,45.693858</v>
      </c>
      <c r="T2914" s="12"/>
    </row>
    <row r="2915">
      <c r="A2915" s="20" t="s">
        <v>18873</v>
      </c>
      <c r="B2915" s="16" t="s">
        <v>18874</v>
      </c>
      <c r="C2915" s="16" t="s">
        <v>18875</v>
      </c>
      <c r="D2915" s="16" t="s">
        <v>16</v>
      </c>
      <c r="E2915" s="21" t="s">
        <v>18876</v>
      </c>
      <c r="F2915" s="22" t="s">
        <v>13111</v>
      </c>
      <c r="G2915" s="16">
        <v>23.61</v>
      </c>
      <c r="H2915" s="16"/>
      <c r="I2915" s="22"/>
      <c r="J2915" s="22" t="s">
        <v>18877</v>
      </c>
      <c r="K2915" s="22" t="s">
        <v>18878</v>
      </c>
      <c r="L2915" s="23" t="s">
        <v>18879</v>
      </c>
      <c r="M2915" s="23" t="s">
        <v>18880</v>
      </c>
      <c r="N2915" s="12"/>
      <c r="O2915" s="12"/>
      <c r="P2915" s="13">
        <f>IFERROR(__xludf.DUMMYFUNCTION("VALUE(SUBSTITUTE((INDEX(SPLIT(A2915,"",""),1)),""."","","",1))"),43.133052)</f>
        <v>43.133052</v>
      </c>
      <c r="Q2915" s="13">
        <f>IFERROR(__xludf.DUMMYFUNCTION("VALUE(SUBSTITUTE((INDEX(SPLIT(A2915,"",""),2)),""."","","",1))"),45.774482)</f>
        <v>45.774482</v>
      </c>
      <c r="R2915" s="14" t="b">
        <f t="shared" si="1"/>
        <v>0</v>
      </c>
      <c r="S2915" s="14" t="str">
        <f t="shared" si="2"/>
        <v>43.133052,45.774482</v>
      </c>
      <c r="T2915" s="12"/>
    </row>
    <row r="2916">
      <c r="A2916" s="18" t="s">
        <v>18881</v>
      </c>
      <c r="B2916" s="8" t="s">
        <v>18882</v>
      </c>
      <c r="C2916" s="8" t="s">
        <v>18883</v>
      </c>
      <c r="D2916" s="8" t="s">
        <v>16</v>
      </c>
      <c r="E2916" s="19" t="s">
        <v>18884</v>
      </c>
      <c r="F2916" s="8" t="s">
        <v>18396</v>
      </c>
      <c r="G2916" s="8">
        <v>23.61</v>
      </c>
      <c r="H2916" s="8"/>
      <c r="I2916" s="8"/>
      <c r="J2916" s="8" t="s">
        <v>18885</v>
      </c>
      <c r="K2916" s="8" t="s">
        <v>18886</v>
      </c>
      <c r="L2916" s="8"/>
      <c r="M2916" s="8"/>
      <c r="N2916" s="12"/>
      <c r="O2916" s="12"/>
      <c r="P2916" s="13">
        <f>IFERROR(__xludf.DUMMYFUNCTION("VALUE(SUBSTITUTE((INDEX(SPLIT(A2916,"",""),1)),""."","","",1))"),51.446083)</f>
        <v>51.446083</v>
      </c>
      <c r="Q2916" s="13">
        <f>IFERROR(__xludf.DUMMYFUNCTION("VALUE(SUBSTITUTE((INDEX(SPLIT(A2916,"",""),2)),""."","","",1))"),45.848665)</f>
        <v>45.848665</v>
      </c>
      <c r="R2916" s="14" t="b">
        <f t="shared" si="1"/>
        <v>0</v>
      </c>
      <c r="S2916" s="14" t="str">
        <f t="shared" si="2"/>
        <v>51.446083,45.848665</v>
      </c>
      <c r="T2916" s="12"/>
    </row>
    <row r="2917">
      <c r="A2917" s="15" t="s">
        <v>18887</v>
      </c>
      <c r="B2917" s="16" t="s">
        <v>18888</v>
      </c>
      <c r="C2917" s="16" t="s">
        <v>18889</v>
      </c>
      <c r="D2917" s="16" t="s">
        <v>16</v>
      </c>
      <c r="E2917" s="17" t="s">
        <v>18890</v>
      </c>
      <c r="F2917" s="16" t="s">
        <v>18396</v>
      </c>
      <c r="G2917" s="16">
        <v>23.61</v>
      </c>
      <c r="H2917" s="16"/>
      <c r="I2917" s="16"/>
      <c r="J2917" s="16" t="s">
        <v>18891</v>
      </c>
      <c r="K2917" s="16" t="s">
        <v>18892</v>
      </c>
      <c r="L2917" s="16"/>
      <c r="M2917" s="16"/>
      <c r="N2917" s="12"/>
      <c r="O2917" s="12"/>
      <c r="P2917" s="13">
        <f>IFERROR(__xludf.DUMMYFUNCTION("VALUE(SUBSTITUTE((INDEX(SPLIT(A2917,"",""),1)),""."","","",1))"),43.292544)</f>
        <v>43.292544</v>
      </c>
      <c r="Q2917" s="13">
        <f>IFERROR(__xludf.DUMMYFUNCTION("VALUE(SUBSTITUTE((INDEX(SPLIT(A2917,"",""),2)),""."","","",1))"),45.864394)</f>
        <v>45.864394</v>
      </c>
      <c r="R2917" s="14" t="b">
        <f t="shared" si="1"/>
        <v>0</v>
      </c>
      <c r="S2917" s="14" t="str">
        <f t="shared" si="2"/>
        <v>43.292544,45.864394</v>
      </c>
      <c r="T2917" s="12"/>
    </row>
    <row r="2918">
      <c r="A2918" s="18" t="s">
        <v>18893</v>
      </c>
      <c r="B2918" s="8" t="s">
        <v>18894</v>
      </c>
      <c r="C2918" s="8" t="s">
        <v>18895</v>
      </c>
      <c r="D2918" s="8" t="s">
        <v>16</v>
      </c>
      <c r="E2918" s="19" t="s">
        <v>18896</v>
      </c>
      <c r="F2918" s="8" t="s">
        <v>13111</v>
      </c>
      <c r="G2918" s="8">
        <v>23.61</v>
      </c>
      <c r="H2918" s="8"/>
      <c r="I2918" s="8"/>
      <c r="J2918" s="8" t="s">
        <v>18897</v>
      </c>
      <c r="K2918" s="8" t="s">
        <v>18898</v>
      </c>
      <c r="L2918" s="8"/>
      <c r="M2918" s="24" t="s">
        <v>18899</v>
      </c>
      <c r="N2918" s="12"/>
      <c r="O2918" s="12"/>
      <c r="P2918" s="13">
        <f>IFERROR(__xludf.DUMMYFUNCTION("VALUE(SUBSTITUTE((INDEX(SPLIT(A2918,"",""),1)),""."","","",1))"),51.43591)</f>
        <v>51.43591</v>
      </c>
      <c r="Q2918" s="13">
        <f>IFERROR(__xludf.DUMMYFUNCTION("VALUE(SUBSTITUTE((INDEX(SPLIT(A2918,"",""),2)),""."","","",1))"),45.866649)</f>
        <v>45.866649</v>
      </c>
      <c r="R2918" s="14" t="b">
        <f t="shared" si="1"/>
        <v>0</v>
      </c>
      <c r="S2918" s="14" t="str">
        <f t="shared" si="2"/>
        <v>51.43591,45.866649</v>
      </c>
      <c r="T2918" s="12"/>
    </row>
    <row r="2919">
      <c r="A2919" s="20" t="s">
        <v>18900</v>
      </c>
      <c r="B2919" s="16" t="s">
        <v>18901</v>
      </c>
      <c r="C2919" s="16" t="s">
        <v>18902</v>
      </c>
      <c r="D2919" s="16" t="s">
        <v>16</v>
      </c>
      <c r="E2919" s="21" t="s">
        <v>18903</v>
      </c>
      <c r="F2919" s="22" t="s">
        <v>18396</v>
      </c>
      <c r="G2919" s="16">
        <v>23.61</v>
      </c>
      <c r="H2919" s="16"/>
      <c r="I2919" s="22"/>
      <c r="J2919" s="22" t="s">
        <v>18904</v>
      </c>
      <c r="K2919" s="22" t="s">
        <v>18905</v>
      </c>
      <c r="L2919" s="23" t="s">
        <v>18906</v>
      </c>
      <c r="M2919" s="22"/>
      <c r="N2919" s="12"/>
      <c r="O2919" s="12"/>
      <c r="P2919" s="13">
        <f>IFERROR(__xludf.DUMMYFUNCTION("VALUE(SUBSTITUTE((INDEX(SPLIT(A2919,"",""),1)),""."","","",1))"),51.620487)</f>
        <v>51.620487</v>
      </c>
      <c r="Q2919" s="13">
        <f>IFERROR(__xludf.DUMMYFUNCTION("VALUE(SUBSTITUTE((INDEX(SPLIT(A2919,"",""),2)),""."","","",1))"),45.874572)</f>
        <v>45.874572</v>
      </c>
      <c r="R2919" s="14" t="b">
        <f t="shared" si="1"/>
        <v>0</v>
      </c>
      <c r="S2919" s="14" t="str">
        <f t="shared" si="2"/>
        <v>51.620487,45.874572</v>
      </c>
      <c r="T2919" s="12"/>
    </row>
    <row r="2920">
      <c r="A2920" s="7" t="s">
        <v>18907</v>
      </c>
      <c r="B2920" s="8" t="s">
        <v>18908</v>
      </c>
      <c r="C2920" s="8" t="s">
        <v>18909</v>
      </c>
      <c r="D2920" s="8" t="s">
        <v>16</v>
      </c>
      <c r="E2920" s="9" t="s">
        <v>18910</v>
      </c>
      <c r="F2920" s="10" t="s">
        <v>18396</v>
      </c>
      <c r="G2920" s="8">
        <v>23.61</v>
      </c>
      <c r="H2920" s="8"/>
      <c r="I2920" s="10"/>
      <c r="J2920" s="10" t="s">
        <v>18911</v>
      </c>
      <c r="K2920" s="10" t="s">
        <v>18912</v>
      </c>
      <c r="L2920" s="11" t="s">
        <v>18913</v>
      </c>
      <c r="M2920" s="10"/>
      <c r="N2920" s="12"/>
      <c r="O2920" s="12"/>
      <c r="P2920" s="13">
        <f>IFERROR(__xludf.DUMMYFUNCTION("VALUE(SUBSTITUTE((INDEX(SPLIT(A2920,"",""),1)),""."","","",1))"),51.605577)</f>
        <v>51.605577</v>
      </c>
      <c r="Q2920" s="13">
        <f>IFERROR(__xludf.DUMMYFUNCTION("VALUE(SUBSTITUTE((INDEX(SPLIT(A2920,"",""),2)),""."","","",1))"),45.877806)</f>
        <v>45.877806</v>
      </c>
      <c r="R2920" s="14" t="b">
        <f t="shared" si="1"/>
        <v>0</v>
      </c>
      <c r="S2920" s="14" t="str">
        <f t="shared" si="2"/>
        <v>51.605577,45.877806</v>
      </c>
      <c r="T2920" s="12"/>
    </row>
    <row r="2921">
      <c r="A2921" s="20" t="s">
        <v>18914</v>
      </c>
      <c r="B2921" s="16" t="s">
        <v>18915</v>
      </c>
      <c r="C2921" s="16" t="s">
        <v>18916</v>
      </c>
      <c r="D2921" s="16" t="s">
        <v>16</v>
      </c>
      <c r="E2921" s="21" t="s">
        <v>18917</v>
      </c>
      <c r="F2921" s="22" t="s">
        <v>18396</v>
      </c>
      <c r="G2921" s="16">
        <v>23.61</v>
      </c>
      <c r="H2921" s="16"/>
      <c r="I2921" s="22"/>
      <c r="J2921" s="22" t="s">
        <v>18918</v>
      </c>
      <c r="K2921" s="22" t="s">
        <v>18919</v>
      </c>
      <c r="L2921" s="23" t="s">
        <v>18920</v>
      </c>
      <c r="M2921" s="22"/>
      <c r="N2921" s="12"/>
      <c r="O2921" s="12"/>
      <c r="P2921" s="13">
        <f>IFERROR(__xludf.DUMMYFUNCTION("VALUE(SUBSTITUTE((INDEX(SPLIT(A2921,"",""),1)),""."","","",1))"),51.710381)</f>
        <v>51.710381</v>
      </c>
      <c r="Q2921" s="13">
        <f>IFERROR(__xludf.DUMMYFUNCTION("VALUE(SUBSTITUTE((INDEX(SPLIT(A2921,"",""),2)),""."","","",1))"),45.880321)</f>
        <v>45.880321</v>
      </c>
      <c r="R2921" s="14" t="b">
        <f t="shared" si="1"/>
        <v>0</v>
      </c>
      <c r="S2921" s="14" t="str">
        <f t="shared" si="2"/>
        <v>51.710381,45.880321</v>
      </c>
      <c r="T2921" s="12"/>
    </row>
    <row r="2922">
      <c r="A2922" s="7" t="s">
        <v>18921</v>
      </c>
      <c r="B2922" s="8" t="s">
        <v>18922</v>
      </c>
      <c r="C2922" s="8" t="s">
        <v>18923</v>
      </c>
      <c r="D2922" s="8" t="s">
        <v>16</v>
      </c>
      <c r="E2922" s="9" t="s">
        <v>18924</v>
      </c>
      <c r="F2922" s="10" t="s">
        <v>13111</v>
      </c>
      <c r="G2922" s="8">
        <v>23.61</v>
      </c>
      <c r="H2922" s="8"/>
      <c r="I2922" s="10"/>
      <c r="J2922" s="10" t="s">
        <v>18925</v>
      </c>
      <c r="K2922" s="10" t="s">
        <v>18926</v>
      </c>
      <c r="L2922" s="11" t="s">
        <v>18927</v>
      </c>
      <c r="M2922" s="11" t="s">
        <v>18928</v>
      </c>
      <c r="N2922" s="12"/>
      <c r="O2922" s="12"/>
      <c r="P2922" s="13">
        <f>IFERROR(__xludf.DUMMYFUNCTION("VALUE(SUBSTITUTE((INDEX(SPLIT(A2922,"",""),1)),""."","","",1))"),43.283547)</f>
        <v>43.283547</v>
      </c>
      <c r="Q2922" s="13">
        <f>IFERROR(__xludf.DUMMYFUNCTION("VALUE(SUBSTITUTE((INDEX(SPLIT(A2922,"",""),2)),""."","","",1))"),45.881678)</f>
        <v>45.881678</v>
      </c>
      <c r="R2922" s="14" t="b">
        <f t="shared" si="1"/>
        <v>0</v>
      </c>
      <c r="S2922" s="14" t="str">
        <f t="shared" si="2"/>
        <v>43.283547,45.881678</v>
      </c>
      <c r="T2922" s="12"/>
    </row>
    <row r="2923">
      <c r="A2923" s="20" t="s">
        <v>18929</v>
      </c>
      <c r="B2923" s="16" t="s">
        <v>18930</v>
      </c>
      <c r="C2923" s="16" t="s">
        <v>18931</v>
      </c>
      <c r="D2923" s="16" t="s">
        <v>16</v>
      </c>
      <c r="E2923" s="21" t="s">
        <v>18932</v>
      </c>
      <c r="F2923" s="22" t="s">
        <v>13111</v>
      </c>
      <c r="G2923" s="16">
        <v>23.61</v>
      </c>
      <c r="H2923" s="16"/>
      <c r="I2923" s="22"/>
      <c r="J2923" s="22" t="s">
        <v>18933</v>
      </c>
      <c r="K2923" s="22" t="s">
        <v>18934</v>
      </c>
      <c r="L2923" s="23" t="s">
        <v>18935</v>
      </c>
      <c r="M2923" s="22"/>
      <c r="N2923" s="12"/>
      <c r="O2923" s="12"/>
      <c r="P2923" s="13">
        <f>IFERROR(__xludf.DUMMYFUNCTION("VALUE(SUBSTITUTE((INDEX(SPLIT(A2923,"",""),1)),""."","","",1))"),53.140023)</f>
        <v>53.140023</v>
      </c>
      <c r="Q2923" s="13">
        <f>IFERROR(__xludf.DUMMYFUNCTION("VALUE(SUBSTITUTE((INDEX(SPLIT(A2923,"",""),2)),""."","","",1))"),45.885927)</f>
        <v>45.885927</v>
      </c>
      <c r="R2923" s="14" t="b">
        <f t="shared" si="1"/>
        <v>0</v>
      </c>
      <c r="S2923" s="14" t="str">
        <f t="shared" si="2"/>
        <v>53.140023,45.885927</v>
      </c>
      <c r="T2923" s="12"/>
    </row>
    <row r="2924">
      <c r="A2924" s="7" t="s">
        <v>18936</v>
      </c>
      <c r="B2924" s="8" t="s">
        <v>18937</v>
      </c>
      <c r="C2924" s="8" t="s">
        <v>18938</v>
      </c>
      <c r="D2924" s="8" t="s">
        <v>16</v>
      </c>
      <c r="E2924" s="9" t="s">
        <v>18939</v>
      </c>
      <c r="F2924" s="10" t="s">
        <v>18396</v>
      </c>
      <c r="G2924" s="8">
        <v>23.61</v>
      </c>
      <c r="H2924" s="8"/>
      <c r="I2924" s="10"/>
      <c r="J2924" s="10" t="s">
        <v>18940</v>
      </c>
      <c r="K2924" s="10" t="s">
        <v>18941</v>
      </c>
      <c r="L2924" s="11" t="s">
        <v>18942</v>
      </c>
      <c r="M2924" s="10"/>
      <c r="N2924" s="12"/>
      <c r="O2924" s="12"/>
      <c r="P2924" s="13">
        <f>IFERROR(__xludf.DUMMYFUNCTION("VALUE(SUBSTITUTE((INDEX(SPLIT(A2924,"",""),1)),""."","","",1))"),51.605185)</f>
        <v>51.605185</v>
      </c>
      <c r="Q2924" s="13">
        <f>IFERROR(__xludf.DUMMYFUNCTION("VALUE(SUBSTITUTE((INDEX(SPLIT(A2924,"",""),2)),""."","","",1))"),45.9132)</f>
        <v>45.9132</v>
      </c>
      <c r="R2924" s="14" t="b">
        <f t="shared" si="1"/>
        <v>0</v>
      </c>
      <c r="S2924" s="14" t="str">
        <f t="shared" si="2"/>
        <v>51.605185,45.9132</v>
      </c>
      <c r="T2924" s="12"/>
    </row>
    <row r="2925">
      <c r="A2925" s="15" t="s">
        <v>18936</v>
      </c>
      <c r="B2925" s="16" t="s">
        <v>18943</v>
      </c>
      <c r="C2925" s="16" t="s">
        <v>18944</v>
      </c>
      <c r="D2925" s="16" t="s">
        <v>16</v>
      </c>
      <c r="E2925" s="17" t="s">
        <v>18945</v>
      </c>
      <c r="F2925" s="16" t="s">
        <v>18396</v>
      </c>
      <c r="G2925" s="16">
        <v>23.61</v>
      </c>
      <c r="H2925" s="16"/>
      <c r="I2925" s="16"/>
      <c r="J2925" s="16" t="s">
        <v>18946</v>
      </c>
      <c r="K2925" s="16" t="s">
        <v>18947</v>
      </c>
      <c r="L2925" s="16"/>
      <c r="M2925" s="16"/>
      <c r="N2925" s="12"/>
      <c r="O2925" s="12"/>
      <c r="P2925" s="13">
        <f>IFERROR(__xludf.DUMMYFUNCTION("VALUE(SUBSTITUTE((INDEX(SPLIT(A2925,"",""),1)),""."","","",1))"),51.605185)</f>
        <v>51.605185</v>
      </c>
      <c r="Q2925" s="13">
        <f>IFERROR(__xludf.DUMMYFUNCTION("VALUE(SUBSTITUTE((INDEX(SPLIT(A2925,"",""),2)),""."","","",1))"),45.9132)</f>
        <v>45.9132</v>
      </c>
      <c r="R2925" s="14" t="b">
        <f t="shared" si="1"/>
        <v>0</v>
      </c>
      <c r="S2925" s="14" t="str">
        <f t="shared" si="2"/>
        <v>51.605185,45.9132</v>
      </c>
      <c r="T2925" s="12"/>
    </row>
    <row r="2926">
      <c r="A2926" s="7" t="s">
        <v>18936</v>
      </c>
      <c r="B2926" s="8" t="s">
        <v>18948</v>
      </c>
      <c r="C2926" s="8" t="s">
        <v>18949</v>
      </c>
      <c r="D2926" s="8" t="s">
        <v>16</v>
      </c>
      <c r="E2926" s="9" t="s">
        <v>18950</v>
      </c>
      <c r="F2926" s="10" t="s">
        <v>17865</v>
      </c>
      <c r="G2926" s="8">
        <v>23.61</v>
      </c>
      <c r="H2926" s="8"/>
      <c r="I2926" s="10"/>
      <c r="J2926" s="10" t="s">
        <v>18951</v>
      </c>
      <c r="K2926" s="10" t="s">
        <v>18952</v>
      </c>
      <c r="L2926" s="11" t="s">
        <v>18953</v>
      </c>
      <c r="M2926" s="10"/>
      <c r="N2926" s="12"/>
      <c r="O2926" s="12"/>
      <c r="P2926" s="13">
        <f>IFERROR(__xludf.DUMMYFUNCTION("VALUE(SUBSTITUTE((INDEX(SPLIT(A2926,"",""),1)),""."","","",1))"),51.605185)</f>
        <v>51.605185</v>
      </c>
      <c r="Q2926" s="13">
        <f>IFERROR(__xludf.DUMMYFUNCTION("VALUE(SUBSTITUTE((INDEX(SPLIT(A2926,"",""),2)),""."","","",1))"),45.9132)</f>
        <v>45.9132</v>
      </c>
      <c r="R2926" s="14" t="b">
        <f t="shared" si="1"/>
        <v>0</v>
      </c>
      <c r="S2926" s="14" t="str">
        <f t="shared" si="2"/>
        <v>51.605185,45.9132</v>
      </c>
      <c r="T2926" s="12"/>
    </row>
    <row r="2927">
      <c r="A2927" s="20" t="s">
        <v>18954</v>
      </c>
      <c r="B2927" s="16" t="s">
        <v>18955</v>
      </c>
      <c r="C2927" s="16" t="s">
        <v>18956</v>
      </c>
      <c r="D2927" s="16" t="s">
        <v>16</v>
      </c>
      <c r="E2927" s="21" t="s">
        <v>18957</v>
      </c>
      <c r="F2927" s="22" t="s">
        <v>8566</v>
      </c>
      <c r="G2927" s="16">
        <v>23.61</v>
      </c>
      <c r="H2927" s="16"/>
      <c r="I2927" s="22"/>
      <c r="J2927" s="22" t="s">
        <v>18958</v>
      </c>
      <c r="K2927" s="22" t="s">
        <v>18959</v>
      </c>
      <c r="L2927" s="23" t="s">
        <v>18960</v>
      </c>
      <c r="M2927" s="22"/>
      <c r="N2927" s="12"/>
      <c r="O2927" s="12"/>
      <c r="P2927" s="13">
        <f>IFERROR(__xludf.DUMMYFUNCTION("VALUE(SUBSTITUTE((INDEX(SPLIT(A2927,"",""),1)),""."","","",1))"),43.248977)</f>
        <v>43.248977</v>
      </c>
      <c r="Q2927" s="13">
        <f>IFERROR(__xludf.DUMMYFUNCTION("VALUE(SUBSTITUTE((INDEX(SPLIT(A2927,"",""),2)),""."","","",1))"),45.919227)</f>
        <v>45.919227</v>
      </c>
      <c r="R2927" s="14" t="b">
        <f t="shared" si="1"/>
        <v>0</v>
      </c>
      <c r="S2927" s="14" t="str">
        <f t="shared" si="2"/>
        <v>43.248977,45.919227</v>
      </c>
      <c r="T2927" s="12"/>
    </row>
    <row r="2928">
      <c r="A2928" s="18" t="s">
        <v>18961</v>
      </c>
      <c r="B2928" s="8" t="s">
        <v>18962</v>
      </c>
      <c r="C2928" s="8" t="s">
        <v>18963</v>
      </c>
      <c r="D2928" s="8" t="s">
        <v>16</v>
      </c>
      <c r="E2928" s="19" t="s">
        <v>18964</v>
      </c>
      <c r="F2928" s="8" t="s">
        <v>18396</v>
      </c>
      <c r="G2928" s="8">
        <v>23.61</v>
      </c>
      <c r="H2928" s="8"/>
      <c r="I2928" s="8"/>
      <c r="J2928" s="8" t="s">
        <v>18965</v>
      </c>
      <c r="K2928" s="8" t="s">
        <v>18966</v>
      </c>
      <c r="L2928" s="8"/>
      <c r="M2928" s="8"/>
      <c r="N2928" s="12"/>
      <c r="O2928" s="12"/>
      <c r="P2928" s="13">
        <f>IFERROR(__xludf.DUMMYFUNCTION("VALUE(SUBSTITUTE((INDEX(SPLIT(A2928,"",""),1)),""."","","",1))"),51.602796)</f>
        <v>51.602796</v>
      </c>
      <c r="Q2928" s="13">
        <f>IFERROR(__xludf.DUMMYFUNCTION("VALUE(SUBSTITUTE((INDEX(SPLIT(A2928,"",""),2)),""."","","",1))"),45.941416)</f>
        <v>45.941416</v>
      </c>
      <c r="R2928" s="14" t="b">
        <f t="shared" si="1"/>
        <v>0</v>
      </c>
      <c r="S2928" s="14" t="str">
        <f t="shared" si="2"/>
        <v>51.602796,45.941416</v>
      </c>
      <c r="T2928" s="12"/>
    </row>
    <row r="2929">
      <c r="A2929" s="20" t="s">
        <v>18967</v>
      </c>
      <c r="B2929" s="16" t="s">
        <v>18968</v>
      </c>
      <c r="C2929" s="16" t="s">
        <v>18969</v>
      </c>
      <c r="D2929" s="16" t="s">
        <v>16</v>
      </c>
      <c r="E2929" s="21" t="s">
        <v>18970</v>
      </c>
      <c r="F2929" s="22" t="s">
        <v>17865</v>
      </c>
      <c r="G2929" s="16">
        <v>23.61</v>
      </c>
      <c r="H2929" s="16"/>
      <c r="I2929" s="22"/>
      <c r="J2929" s="22" t="s">
        <v>18971</v>
      </c>
      <c r="K2929" s="22" t="s">
        <v>18972</v>
      </c>
      <c r="L2929" s="23" t="s">
        <v>18973</v>
      </c>
      <c r="M2929" s="22"/>
      <c r="N2929" s="12"/>
      <c r="O2929" s="12"/>
      <c r="P2929" s="13">
        <f>IFERROR(__xludf.DUMMYFUNCTION("VALUE(SUBSTITUTE((INDEX(SPLIT(A2929,"",""),1)),""."","","",1))"),51.584987)</f>
        <v>51.584987</v>
      </c>
      <c r="Q2929" s="13">
        <f>IFERROR(__xludf.DUMMYFUNCTION("VALUE(SUBSTITUTE((INDEX(SPLIT(A2929,"",""),2)),""."","","",1))"),45.954369)</f>
        <v>45.954369</v>
      </c>
      <c r="R2929" s="14" t="b">
        <f t="shared" si="1"/>
        <v>0</v>
      </c>
      <c r="S2929" s="14" t="str">
        <f t="shared" si="2"/>
        <v>51.584987,45.954369</v>
      </c>
      <c r="T2929" s="12"/>
    </row>
    <row r="2930">
      <c r="A2930" s="7" t="s">
        <v>18974</v>
      </c>
      <c r="B2930" s="8" t="s">
        <v>11778</v>
      </c>
      <c r="C2930" s="8" t="s">
        <v>11779</v>
      </c>
      <c r="D2930" s="8" t="s">
        <v>16</v>
      </c>
      <c r="E2930" s="9" t="s">
        <v>18975</v>
      </c>
      <c r="F2930" s="10" t="s">
        <v>18396</v>
      </c>
      <c r="G2930" s="8">
        <v>23.61</v>
      </c>
      <c r="H2930" s="8"/>
      <c r="I2930" s="10"/>
      <c r="J2930" s="10" t="s">
        <v>18976</v>
      </c>
      <c r="K2930" s="10" t="s">
        <v>18977</v>
      </c>
      <c r="L2930" s="11" t="s">
        <v>18978</v>
      </c>
      <c r="M2930" s="10"/>
      <c r="N2930" s="12"/>
      <c r="O2930" s="12"/>
      <c r="P2930" s="13">
        <f>IFERROR(__xludf.DUMMYFUNCTION("VALUE(SUBSTITUTE((INDEX(SPLIT(A2930,"",""),1)),""."","","",1))"),51.566449)</f>
        <v>51.566449</v>
      </c>
      <c r="Q2930" s="13">
        <f>IFERROR(__xludf.DUMMYFUNCTION("VALUE(SUBSTITUTE((INDEX(SPLIT(A2930,"",""),2)),""."","","",1))"),45.978929)</f>
        <v>45.978929</v>
      </c>
      <c r="R2930" s="14" t="b">
        <f t="shared" si="1"/>
        <v>0</v>
      </c>
      <c r="S2930" s="14" t="str">
        <f t="shared" si="2"/>
        <v>51.566449,45.978929</v>
      </c>
      <c r="T2930" s="12"/>
    </row>
    <row r="2931">
      <c r="A2931" s="20" t="s">
        <v>18979</v>
      </c>
      <c r="B2931" s="16" t="s">
        <v>1286</v>
      </c>
      <c r="C2931" s="16" t="s">
        <v>1287</v>
      </c>
      <c r="D2931" s="16" t="s">
        <v>16</v>
      </c>
      <c r="E2931" s="21" t="s">
        <v>18980</v>
      </c>
      <c r="F2931" s="22" t="s">
        <v>8566</v>
      </c>
      <c r="G2931" s="16">
        <v>23.61</v>
      </c>
      <c r="H2931" s="16"/>
      <c r="I2931" s="22"/>
      <c r="J2931" s="22" t="s">
        <v>18981</v>
      </c>
      <c r="K2931" s="22" t="s">
        <v>18982</v>
      </c>
      <c r="L2931" s="23" t="s">
        <v>18983</v>
      </c>
      <c r="M2931" s="22"/>
      <c r="N2931" s="12"/>
      <c r="O2931" s="12"/>
      <c r="P2931" s="13">
        <f>IFERROR(__xludf.DUMMYFUNCTION("VALUE(SUBSTITUTE((INDEX(SPLIT(A2931,"",""),1)),""."","","",1))"),51.515479)</f>
        <v>51.515479</v>
      </c>
      <c r="Q2931" s="13">
        <f>IFERROR(__xludf.DUMMYFUNCTION("VALUE(SUBSTITUTE((INDEX(SPLIT(A2931,"",""),2)),""."","","",1))"),45.980915)</f>
        <v>45.980915</v>
      </c>
      <c r="R2931" s="14" t="b">
        <f t="shared" si="1"/>
        <v>0</v>
      </c>
      <c r="S2931" s="14" t="str">
        <f t="shared" si="2"/>
        <v>51.515479,45.980915</v>
      </c>
      <c r="T2931" s="12"/>
    </row>
    <row r="2932">
      <c r="A2932" s="7" t="s">
        <v>18984</v>
      </c>
      <c r="B2932" s="8" t="s">
        <v>18985</v>
      </c>
      <c r="C2932" s="8" t="s">
        <v>18986</v>
      </c>
      <c r="D2932" s="8" t="s">
        <v>16</v>
      </c>
      <c r="E2932" s="9" t="s">
        <v>18987</v>
      </c>
      <c r="F2932" s="10" t="s">
        <v>18396</v>
      </c>
      <c r="G2932" s="8">
        <v>23.61</v>
      </c>
      <c r="H2932" s="8"/>
      <c r="I2932" s="10"/>
      <c r="J2932" s="10" t="s">
        <v>18988</v>
      </c>
      <c r="K2932" s="10" t="s">
        <v>18989</v>
      </c>
      <c r="L2932" s="11" t="s">
        <v>18990</v>
      </c>
      <c r="M2932" s="10"/>
      <c r="N2932" s="12"/>
      <c r="O2932" s="12"/>
      <c r="P2932" s="13">
        <f>IFERROR(__xludf.DUMMYFUNCTION("VALUE(SUBSTITUTE((INDEX(SPLIT(A2932,"",""),1)),""."","","",1))"),43.167484)</f>
        <v>43.167484</v>
      </c>
      <c r="Q2932" s="13">
        <f>IFERROR(__xludf.DUMMYFUNCTION("VALUE(SUBSTITUTE((INDEX(SPLIT(A2932,"",""),2)),""."","","",1))"),45.98785)</f>
        <v>45.98785</v>
      </c>
      <c r="R2932" s="14" t="b">
        <f t="shared" si="1"/>
        <v>0</v>
      </c>
      <c r="S2932" s="14" t="str">
        <f t="shared" si="2"/>
        <v>43.167484,45.98785</v>
      </c>
      <c r="T2932" s="12"/>
    </row>
    <row r="2933">
      <c r="A2933" s="15" t="s">
        <v>18991</v>
      </c>
      <c r="B2933" s="16" t="s">
        <v>18992</v>
      </c>
      <c r="C2933" s="16" t="s">
        <v>18993</v>
      </c>
      <c r="D2933" s="16" t="s">
        <v>16</v>
      </c>
      <c r="E2933" s="17" t="s">
        <v>18994</v>
      </c>
      <c r="F2933" s="16" t="s">
        <v>18995</v>
      </c>
      <c r="G2933" s="16">
        <v>23.61</v>
      </c>
      <c r="H2933" s="16"/>
      <c r="I2933" s="16"/>
      <c r="J2933" s="16" t="s">
        <v>18996</v>
      </c>
      <c r="K2933" s="16" t="s">
        <v>18997</v>
      </c>
      <c r="L2933" s="16"/>
      <c r="M2933" s="16"/>
      <c r="N2933" s="12"/>
      <c r="O2933" s="12"/>
      <c r="P2933" s="13">
        <f>IFERROR(__xludf.DUMMYFUNCTION("VALUE(SUBSTITUTE((INDEX(SPLIT(A2933,"",""),1)),""."","","",1))"),51.513652)</f>
        <v>51.513652</v>
      </c>
      <c r="Q2933" s="13">
        <f>IFERROR(__xludf.DUMMYFUNCTION("VALUE(SUBSTITUTE((INDEX(SPLIT(A2933,"",""),2)),""."","","",1))"),45.998486)</f>
        <v>45.998486</v>
      </c>
      <c r="R2933" s="14" t="b">
        <f t="shared" si="1"/>
        <v>0</v>
      </c>
      <c r="S2933" s="14" t="str">
        <f t="shared" si="2"/>
        <v>51.513652,45.998486</v>
      </c>
      <c r="T2933" s="12"/>
    </row>
    <row r="2934">
      <c r="A2934" s="18" t="s">
        <v>18998</v>
      </c>
      <c r="B2934" s="8" t="s">
        <v>18999</v>
      </c>
      <c r="C2934" s="8" t="s">
        <v>19000</v>
      </c>
      <c r="D2934" s="8" t="s">
        <v>16</v>
      </c>
      <c r="E2934" s="19" t="s">
        <v>19001</v>
      </c>
      <c r="F2934" s="8" t="s">
        <v>17780</v>
      </c>
      <c r="G2934" s="8">
        <v>23.61</v>
      </c>
      <c r="H2934" s="8"/>
      <c r="I2934" s="8"/>
      <c r="J2934" s="8" t="s">
        <v>19002</v>
      </c>
      <c r="K2934" s="8" t="s">
        <v>19003</v>
      </c>
      <c r="L2934" s="8"/>
      <c r="M2934" s="8"/>
      <c r="N2934" s="12"/>
      <c r="O2934" s="12"/>
      <c r="P2934" s="13">
        <f>IFERROR(__xludf.DUMMYFUNCTION("VALUE(SUBSTITUTE((INDEX(SPLIT(A2934,"",""),1)),""."","","",1))"),51.611718)</f>
        <v>51.611718</v>
      </c>
      <c r="Q2934" s="13">
        <f>IFERROR(__xludf.DUMMYFUNCTION("VALUE(SUBSTITUTE((INDEX(SPLIT(A2934,"",""),2)),""."","","",1))"),45.998926)</f>
        <v>45.998926</v>
      </c>
      <c r="R2934" s="14" t="b">
        <f t="shared" si="1"/>
        <v>0</v>
      </c>
      <c r="S2934" s="14" t="str">
        <f t="shared" si="2"/>
        <v>51.611718,45.998926</v>
      </c>
      <c r="T2934" s="12"/>
    </row>
    <row r="2935">
      <c r="A2935" s="20" t="s">
        <v>18998</v>
      </c>
      <c r="B2935" s="16" t="s">
        <v>19004</v>
      </c>
      <c r="C2935" s="16" t="s">
        <v>19005</v>
      </c>
      <c r="D2935" s="16" t="s">
        <v>16</v>
      </c>
      <c r="E2935" s="21" t="s">
        <v>19006</v>
      </c>
      <c r="F2935" s="22" t="s">
        <v>8566</v>
      </c>
      <c r="G2935" s="16">
        <v>23.61</v>
      </c>
      <c r="H2935" s="16"/>
      <c r="I2935" s="22"/>
      <c r="J2935" s="22" t="s">
        <v>19007</v>
      </c>
      <c r="K2935" s="22" t="s">
        <v>19008</v>
      </c>
      <c r="L2935" s="23" t="s">
        <v>19009</v>
      </c>
      <c r="M2935" s="22"/>
      <c r="N2935" s="12"/>
      <c r="O2935" s="12"/>
      <c r="P2935" s="13">
        <f>IFERROR(__xludf.DUMMYFUNCTION("VALUE(SUBSTITUTE((INDEX(SPLIT(A2935,"",""),1)),""."","","",1))"),51.611718)</f>
        <v>51.611718</v>
      </c>
      <c r="Q2935" s="13">
        <f>IFERROR(__xludf.DUMMYFUNCTION("VALUE(SUBSTITUTE((INDEX(SPLIT(A2935,"",""),2)),""."","","",1))"),45.998926)</f>
        <v>45.998926</v>
      </c>
      <c r="R2935" s="14" t="b">
        <f t="shared" si="1"/>
        <v>0</v>
      </c>
      <c r="S2935" s="14" t="str">
        <f t="shared" si="2"/>
        <v>51.611718,45.998926</v>
      </c>
      <c r="T2935" s="12"/>
    </row>
    <row r="2936">
      <c r="A2936" s="18" t="s">
        <v>19010</v>
      </c>
      <c r="B2936" s="8" t="s">
        <v>19011</v>
      </c>
      <c r="C2936" s="8" t="s">
        <v>19012</v>
      </c>
      <c r="D2936" s="8" t="s">
        <v>16</v>
      </c>
      <c r="E2936" s="19" t="s">
        <v>19013</v>
      </c>
      <c r="F2936" s="8" t="s">
        <v>17865</v>
      </c>
      <c r="G2936" s="8">
        <v>23.61</v>
      </c>
      <c r="H2936" s="8"/>
      <c r="I2936" s="8"/>
      <c r="J2936" s="8" t="s">
        <v>19014</v>
      </c>
      <c r="K2936" s="8" t="s">
        <v>19015</v>
      </c>
      <c r="L2936" s="8"/>
      <c r="M2936" s="8"/>
      <c r="N2936" s="12"/>
      <c r="O2936" s="12"/>
      <c r="P2936" s="13">
        <f>IFERROR(__xludf.DUMMYFUNCTION("VALUE(SUBSTITUTE((INDEX(SPLIT(A2936,"",""),1)),""."","","",1))"),51.533562)</f>
        <v>51.533562</v>
      </c>
      <c r="Q2936" s="13">
        <f>IFERROR(__xludf.DUMMYFUNCTION("VALUE(SUBSTITUTE((INDEX(SPLIT(A2936,"",""),2)),""."","","",1))"),46.034266)</f>
        <v>46.034266</v>
      </c>
      <c r="R2936" s="14" t="b">
        <f t="shared" si="1"/>
        <v>0</v>
      </c>
      <c r="S2936" s="14" t="str">
        <f t="shared" si="2"/>
        <v>51.533562,46.034266</v>
      </c>
      <c r="T2936" s="12"/>
    </row>
    <row r="2937">
      <c r="A2937" s="20" t="s">
        <v>19010</v>
      </c>
      <c r="B2937" s="16" t="s">
        <v>19016</v>
      </c>
      <c r="C2937" s="16" t="s">
        <v>19017</v>
      </c>
      <c r="D2937" s="16" t="s">
        <v>16</v>
      </c>
      <c r="E2937" s="21" t="s">
        <v>19018</v>
      </c>
      <c r="F2937" s="22" t="s">
        <v>18396</v>
      </c>
      <c r="G2937" s="16">
        <v>23.61</v>
      </c>
      <c r="H2937" s="16"/>
      <c r="I2937" s="22"/>
      <c r="J2937" s="22" t="s">
        <v>19019</v>
      </c>
      <c r="K2937" s="22" t="s">
        <v>19020</v>
      </c>
      <c r="L2937" s="23" t="s">
        <v>19021</v>
      </c>
      <c r="M2937" s="22"/>
      <c r="N2937" s="12"/>
      <c r="O2937" s="12"/>
      <c r="P2937" s="13">
        <f>IFERROR(__xludf.DUMMYFUNCTION("VALUE(SUBSTITUTE((INDEX(SPLIT(A2937,"",""),1)),""."","","",1))"),51.533562)</f>
        <v>51.533562</v>
      </c>
      <c r="Q2937" s="13">
        <f>IFERROR(__xludf.DUMMYFUNCTION("VALUE(SUBSTITUTE((INDEX(SPLIT(A2937,"",""),2)),""."","","",1))"),46.034266)</f>
        <v>46.034266</v>
      </c>
      <c r="R2937" s="14" t="b">
        <f t="shared" si="1"/>
        <v>0</v>
      </c>
      <c r="S2937" s="14" t="str">
        <f t="shared" si="2"/>
        <v>51.533562,46.034266</v>
      </c>
      <c r="T2937" s="12"/>
    </row>
    <row r="2938">
      <c r="A2938" s="7" t="s">
        <v>19022</v>
      </c>
      <c r="B2938" s="8" t="s">
        <v>4400</v>
      </c>
      <c r="C2938" s="8" t="s">
        <v>4401</v>
      </c>
      <c r="D2938" s="8" t="s">
        <v>16</v>
      </c>
      <c r="E2938" s="9" t="s">
        <v>19023</v>
      </c>
      <c r="F2938" s="10" t="s">
        <v>4263</v>
      </c>
      <c r="G2938" s="8">
        <v>23.61</v>
      </c>
      <c r="H2938" s="8"/>
      <c r="I2938" s="10"/>
      <c r="J2938" s="10" t="s">
        <v>19024</v>
      </c>
      <c r="K2938" s="10" t="s">
        <v>19025</v>
      </c>
      <c r="L2938" s="11" t="s">
        <v>19026</v>
      </c>
      <c r="M2938" s="10"/>
      <c r="N2938" s="12"/>
      <c r="O2938" s="12"/>
      <c r="P2938" s="13">
        <f>IFERROR(__xludf.DUMMYFUNCTION("VALUE(SUBSTITUTE((INDEX(SPLIT(A2938,"",""),1)),""."","","",1))"),51.532711)</f>
        <v>51.532711</v>
      </c>
      <c r="Q2938" s="13">
        <f>IFERROR(__xludf.DUMMYFUNCTION("VALUE(SUBSTITUTE((INDEX(SPLIT(A2938,"",""),2)),""."","","",1))"),46.045225)</f>
        <v>46.045225</v>
      </c>
      <c r="R2938" s="14" t="b">
        <f t="shared" si="1"/>
        <v>0</v>
      </c>
      <c r="S2938" s="14" t="str">
        <f t="shared" si="2"/>
        <v>51.532711,46.045225</v>
      </c>
      <c r="T2938" s="12"/>
    </row>
    <row r="2939">
      <c r="A2939" s="15" t="s">
        <v>19027</v>
      </c>
      <c r="B2939" s="16" t="s">
        <v>19028</v>
      </c>
      <c r="C2939" s="16" t="s">
        <v>19029</v>
      </c>
      <c r="D2939" s="16" t="s">
        <v>16</v>
      </c>
      <c r="E2939" s="17" t="s">
        <v>19030</v>
      </c>
      <c r="F2939" s="16" t="s">
        <v>17865</v>
      </c>
      <c r="G2939" s="16">
        <v>23.61</v>
      </c>
      <c r="H2939" s="16"/>
      <c r="I2939" s="16"/>
      <c r="J2939" s="16" t="s">
        <v>19031</v>
      </c>
      <c r="K2939" s="16" t="s">
        <v>10715</v>
      </c>
      <c r="L2939" s="16"/>
      <c r="M2939" s="16"/>
      <c r="N2939" s="12"/>
      <c r="O2939" s="12"/>
      <c r="P2939" s="13">
        <f>IFERROR(__xludf.DUMMYFUNCTION("VALUE(SUBSTITUTE((INDEX(SPLIT(A2939,"",""),1)),""."","","",1))"),51.556561)</f>
        <v>51.556561</v>
      </c>
      <c r="Q2939" s="13">
        <f>IFERROR(__xludf.DUMMYFUNCTION("VALUE(SUBSTITUTE((INDEX(SPLIT(A2939,"",""),2)),""."","","",1))"),46.065662)</f>
        <v>46.065662</v>
      </c>
      <c r="R2939" s="14" t="b">
        <f t="shared" si="1"/>
        <v>0</v>
      </c>
      <c r="S2939" s="14" t="str">
        <f t="shared" si="2"/>
        <v>51.556561,46.065662</v>
      </c>
      <c r="T2939" s="12"/>
    </row>
    <row r="2940">
      <c r="A2940" s="18" t="s">
        <v>19032</v>
      </c>
      <c r="B2940" s="8" t="s">
        <v>89</v>
      </c>
      <c r="C2940" s="8" t="s">
        <v>90</v>
      </c>
      <c r="D2940" s="8" t="s">
        <v>16</v>
      </c>
      <c r="E2940" s="19" t="s">
        <v>19033</v>
      </c>
      <c r="F2940" s="8" t="s">
        <v>8566</v>
      </c>
      <c r="G2940" s="8">
        <v>23.61</v>
      </c>
      <c r="H2940" s="8"/>
      <c r="I2940" s="8"/>
      <c r="J2940" s="8" t="s">
        <v>19034</v>
      </c>
      <c r="K2940" s="8" t="s">
        <v>19035</v>
      </c>
      <c r="L2940" s="8"/>
      <c r="M2940" s="24" t="s">
        <v>19036</v>
      </c>
      <c r="N2940" s="12"/>
      <c r="O2940" s="12"/>
      <c r="P2940" s="13">
        <f>IFERROR(__xludf.DUMMYFUNCTION("VALUE(SUBSTITUTE((INDEX(SPLIT(A2940,"",""),1)),""."","","",1))"),51.529943)</f>
        <v>51.529943</v>
      </c>
      <c r="Q2940" s="13">
        <f>IFERROR(__xludf.DUMMYFUNCTION("VALUE(SUBSTITUTE((INDEX(SPLIT(A2940,"",""),2)),""."","","",1))"),46.065967)</f>
        <v>46.065967</v>
      </c>
      <c r="R2940" s="14" t="b">
        <f t="shared" si="1"/>
        <v>0</v>
      </c>
      <c r="S2940" s="14" t="str">
        <f t="shared" si="2"/>
        <v>51.529943,46.065967</v>
      </c>
      <c r="T2940" s="12"/>
    </row>
    <row r="2941">
      <c r="A2941" s="15" t="s">
        <v>19037</v>
      </c>
      <c r="B2941" s="16" t="s">
        <v>834</v>
      </c>
      <c r="C2941" s="16" t="s">
        <v>835</v>
      </c>
      <c r="D2941" s="16" t="s">
        <v>16</v>
      </c>
      <c r="E2941" s="17" t="s">
        <v>19038</v>
      </c>
      <c r="F2941" s="16" t="s">
        <v>17780</v>
      </c>
      <c r="G2941" s="16">
        <v>23.61</v>
      </c>
      <c r="H2941" s="16"/>
      <c r="I2941" s="16"/>
      <c r="J2941" s="16" t="s">
        <v>19039</v>
      </c>
      <c r="K2941" s="16" t="s">
        <v>19040</v>
      </c>
      <c r="L2941" s="16"/>
      <c r="M2941" s="16"/>
      <c r="N2941" s="12"/>
      <c r="O2941" s="12"/>
      <c r="P2941" s="13">
        <f>IFERROR(__xludf.DUMMYFUNCTION("VALUE(SUBSTITUTE((INDEX(SPLIT(A2941,"",""),1)),""."","","",1))"),43.216004)</f>
        <v>43.216004</v>
      </c>
      <c r="Q2941" s="13">
        <f>IFERROR(__xludf.DUMMYFUNCTION("VALUE(SUBSTITUTE((INDEX(SPLIT(A2941,"",""),2)),""."","","",1))"),46.072758)</f>
        <v>46.072758</v>
      </c>
      <c r="R2941" s="14" t="b">
        <f t="shared" si="1"/>
        <v>0</v>
      </c>
      <c r="S2941" s="14" t="str">
        <f t="shared" si="2"/>
        <v>43.216004,46.072758</v>
      </c>
      <c r="T2941" s="12"/>
    </row>
    <row r="2942">
      <c r="A2942" s="18" t="s">
        <v>19041</v>
      </c>
      <c r="B2942" s="8" t="s">
        <v>19042</v>
      </c>
      <c r="C2942" s="8" t="s">
        <v>19043</v>
      </c>
      <c r="D2942" s="8" t="s">
        <v>16</v>
      </c>
      <c r="E2942" s="19" t="s">
        <v>19044</v>
      </c>
      <c r="F2942" s="8" t="s">
        <v>8566</v>
      </c>
      <c r="G2942" s="8">
        <v>23.61</v>
      </c>
      <c r="H2942" s="8"/>
      <c r="I2942" s="8"/>
      <c r="J2942" s="8" t="s">
        <v>19045</v>
      </c>
      <c r="K2942" s="8" t="s">
        <v>19046</v>
      </c>
      <c r="L2942" s="8"/>
      <c r="M2942" s="8"/>
      <c r="N2942" s="12"/>
      <c r="O2942" s="12"/>
      <c r="P2942" s="13">
        <f>IFERROR(__xludf.DUMMYFUNCTION("VALUE(SUBSTITUTE((INDEX(SPLIT(A2942,"",""),1)),""."","","",1))"),51.494781)</f>
        <v>51.494781</v>
      </c>
      <c r="Q2942" s="13">
        <f>IFERROR(__xludf.DUMMYFUNCTION("VALUE(SUBSTITUTE((INDEX(SPLIT(A2942,"",""),2)),""."","","",1))"),46.074187)</f>
        <v>46.074187</v>
      </c>
      <c r="R2942" s="14" t="b">
        <f t="shared" si="1"/>
        <v>0</v>
      </c>
      <c r="S2942" s="14" t="str">
        <f t="shared" si="2"/>
        <v>51.494781,46.074187</v>
      </c>
      <c r="T2942" s="12"/>
    </row>
    <row r="2943">
      <c r="A2943" s="15" t="s">
        <v>19047</v>
      </c>
      <c r="B2943" s="16" t="s">
        <v>19048</v>
      </c>
      <c r="C2943" s="16" t="s">
        <v>19049</v>
      </c>
      <c r="D2943" s="16" t="s">
        <v>16</v>
      </c>
      <c r="E2943" s="17" t="s">
        <v>19050</v>
      </c>
      <c r="F2943" s="16" t="s">
        <v>17780</v>
      </c>
      <c r="G2943" s="16">
        <v>23.61</v>
      </c>
      <c r="H2943" s="16"/>
      <c r="I2943" s="16"/>
      <c r="J2943" s="16" t="s">
        <v>19051</v>
      </c>
      <c r="K2943" s="16" t="s">
        <v>19052</v>
      </c>
      <c r="L2943" s="16"/>
      <c r="M2943" s="25" t="s">
        <v>19053</v>
      </c>
      <c r="N2943" s="12"/>
      <c r="O2943" s="12"/>
      <c r="P2943" s="13">
        <f>IFERROR(__xludf.DUMMYFUNCTION("VALUE(SUBSTITUTE((INDEX(SPLIT(A2943,"",""),1)),""."","","",1))"),51.500775)</f>
        <v>51.500775</v>
      </c>
      <c r="Q2943" s="13">
        <f>IFERROR(__xludf.DUMMYFUNCTION("VALUE(SUBSTITUTE((INDEX(SPLIT(A2943,"",""),2)),""."","","",1))"),46.091479)</f>
        <v>46.091479</v>
      </c>
      <c r="R2943" s="14" t="b">
        <f t="shared" si="1"/>
        <v>0</v>
      </c>
      <c r="S2943" s="14" t="str">
        <f t="shared" si="2"/>
        <v>51.500775,46.091479</v>
      </c>
      <c r="T2943" s="12"/>
    </row>
    <row r="2944">
      <c r="A2944" s="18" t="s">
        <v>19054</v>
      </c>
      <c r="B2944" s="8" t="s">
        <v>19055</v>
      </c>
      <c r="C2944" s="8" t="s">
        <v>19056</v>
      </c>
      <c r="D2944" s="8" t="s">
        <v>16</v>
      </c>
      <c r="E2944" s="19" t="s">
        <v>19057</v>
      </c>
      <c r="F2944" s="8" t="s">
        <v>17780</v>
      </c>
      <c r="G2944" s="8">
        <v>23.61</v>
      </c>
      <c r="H2944" s="8"/>
      <c r="I2944" s="8"/>
      <c r="J2944" s="8" t="s">
        <v>19058</v>
      </c>
      <c r="K2944" s="8" t="s">
        <v>19059</v>
      </c>
      <c r="L2944" s="8"/>
      <c r="M2944" s="24" t="s">
        <v>19060</v>
      </c>
      <c r="N2944" s="12"/>
      <c r="O2944" s="12"/>
      <c r="P2944" s="13">
        <f>IFERROR(__xludf.DUMMYFUNCTION("VALUE(SUBSTITUTE((INDEX(SPLIT(A2944,"",""),1)),""."","","",1))"),54.266137)</f>
        <v>54.266137</v>
      </c>
      <c r="Q2944" s="13">
        <f>IFERROR(__xludf.DUMMYFUNCTION("VALUE(SUBSTITUTE((INDEX(SPLIT(A2944,"",""),2)),""."","","",1))"),46.093348)</f>
        <v>46.093348</v>
      </c>
      <c r="R2944" s="14" t="b">
        <f t="shared" si="1"/>
        <v>0</v>
      </c>
      <c r="S2944" s="14" t="str">
        <f t="shared" si="2"/>
        <v>54.266137,46.093348</v>
      </c>
      <c r="T2944" s="12"/>
    </row>
    <row r="2945">
      <c r="A2945" s="15" t="s">
        <v>19061</v>
      </c>
      <c r="B2945" s="16" t="s">
        <v>19062</v>
      </c>
      <c r="C2945" s="16" t="s">
        <v>19063</v>
      </c>
      <c r="D2945" s="16" t="s">
        <v>16</v>
      </c>
      <c r="E2945" s="17" t="s">
        <v>19064</v>
      </c>
      <c r="F2945" s="16" t="s">
        <v>17865</v>
      </c>
      <c r="G2945" s="16">
        <v>23.61</v>
      </c>
      <c r="H2945" s="16"/>
      <c r="I2945" s="16"/>
      <c r="J2945" s="16" t="s">
        <v>19065</v>
      </c>
      <c r="K2945" s="16" t="s">
        <v>19066</v>
      </c>
      <c r="L2945" s="16"/>
      <c r="M2945" s="25" t="s">
        <v>19067</v>
      </c>
      <c r="N2945" s="12"/>
      <c r="O2945" s="12"/>
      <c r="P2945" s="13">
        <f>IFERROR(__xludf.DUMMYFUNCTION("VALUE(SUBSTITUTE((INDEX(SPLIT(A2945,"",""),1)),""."","","",1))"),51.5035)</f>
        <v>51.5035</v>
      </c>
      <c r="Q2945" s="13">
        <f>IFERROR(__xludf.DUMMYFUNCTION("VALUE(SUBSTITUTE((INDEX(SPLIT(A2945,"",""),2)),""."","","",1))"),46.108727)</f>
        <v>46.108727</v>
      </c>
      <c r="R2945" s="14" t="b">
        <f t="shared" si="1"/>
        <v>0</v>
      </c>
      <c r="S2945" s="14" t="str">
        <f t="shared" si="2"/>
        <v>51.5035,46.108727</v>
      </c>
      <c r="T2945" s="12"/>
    </row>
    <row r="2946">
      <c r="A2946" s="7" t="s">
        <v>19068</v>
      </c>
      <c r="B2946" s="8" t="s">
        <v>19069</v>
      </c>
      <c r="C2946" s="8" t="s">
        <v>19070</v>
      </c>
      <c r="D2946" s="8" t="s">
        <v>16</v>
      </c>
      <c r="E2946" s="9" t="s">
        <v>19071</v>
      </c>
      <c r="F2946" s="10" t="s">
        <v>17865</v>
      </c>
      <c r="G2946" s="8">
        <v>23.61</v>
      </c>
      <c r="H2946" s="8"/>
      <c r="I2946" s="10"/>
      <c r="J2946" s="10" t="s">
        <v>19072</v>
      </c>
      <c r="K2946" s="10" t="s">
        <v>19073</v>
      </c>
      <c r="L2946" s="11" t="s">
        <v>19074</v>
      </c>
      <c r="M2946" s="11" t="s">
        <v>19075</v>
      </c>
      <c r="N2946" s="12"/>
      <c r="O2946" s="12"/>
      <c r="P2946" s="13">
        <f>IFERROR(__xludf.DUMMYFUNCTION("VALUE(SUBSTITUTE((INDEX(SPLIT(A2946,"",""),1)),""."","","",1))"),51.495841)</f>
        <v>51.495841</v>
      </c>
      <c r="Q2946" s="13">
        <f>IFERROR(__xludf.DUMMYFUNCTION("VALUE(SUBSTITUTE((INDEX(SPLIT(A2946,"",""),2)),""."","","",1))"),46.116686)</f>
        <v>46.116686</v>
      </c>
      <c r="R2946" s="14" t="b">
        <f t="shared" si="1"/>
        <v>0</v>
      </c>
      <c r="S2946" s="14" t="str">
        <f t="shared" si="2"/>
        <v>51.495841,46.116686</v>
      </c>
      <c r="T2946" s="12"/>
    </row>
    <row r="2947">
      <c r="A2947" s="15" t="s">
        <v>19076</v>
      </c>
      <c r="B2947" s="16" t="s">
        <v>19077</v>
      </c>
      <c r="C2947" s="16" t="s">
        <v>19078</v>
      </c>
      <c r="D2947" s="16" t="s">
        <v>16</v>
      </c>
      <c r="E2947" s="17" t="s">
        <v>19079</v>
      </c>
      <c r="F2947" s="16" t="s">
        <v>17865</v>
      </c>
      <c r="G2947" s="16">
        <v>23.61</v>
      </c>
      <c r="H2947" s="16"/>
      <c r="I2947" s="16"/>
      <c r="J2947" s="16" t="s">
        <v>19072</v>
      </c>
      <c r="K2947" s="16" t="s">
        <v>19080</v>
      </c>
      <c r="L2947" s="16"/>
      <c r="M2947" s="25" t="s">
        <v>19081</v>
      </c>
      <c r="N2947" s="12"/>
      <c r="O2947" s="12"/>
      <c r="P2947" s="13">
        <f>IFERROR(__xludf.DUMMYFUNCTION("VALUE(SUBSTITUTE((INDEX(SPLIT(A2947,"",""),1)),""."","","",1))"),51.456214)</f>
        <v>51.456214</v>
      </c>
      <c r="Q2947" s="13">
        <f>IFERROR(__xludf.DUMMYFUNCTION("VALUE(SUBSTITUTE((INDEX(SPLIT(A2947,"",""),2)),""."","","",1))"),46.128957)</f>
        <v>46.128957</v>
      </c>
      <c r="R2947" s="14" t="b">
        <f t="shared" si="1"/>
        <v>0</v>
      </c>
      <c r="S2947" s="14" t="str">
        <f t="shared" si="2"/>
        <v>51.456214,46.128957</v>
      </c>
      <c r="T2947" s="12"/>
    </row>
    <row r="2948">
      <c r="A2948" s="18" t="s">
        <v>19082</v>
      </c>
      <c r="B2948" s="8" t="s">
        <v>19083</v>
      </c>
      <c r="C2948" s="8" t="s">
        <v>19084</v>
      </c>
      <c r="D2948" s="8" t="s">
        <v>16</v>
      </c>
      <c r="E2948" s="19" t="s">
        <v>19085</v>
      </c>
      <c r="F2948" s="8" t="s">
        <v>17865</v>
      </c>
      <c r="G2948" s="8">
        <v>23.61</v>
      </c>
      <c r="H2948" s="8"/>
      <c r="I2948" s="8"/>
      <c r="J2948" s="8" t="s">
        <v>19086</v>
      </c>
      <c r="K2948" s="8" t="s">
        <v>19087</v>
      </c>
      <c r="L2948" s="8"/>
      <c r="M2948" s="8"/>
      <c r="N2948" s="12"/>
      <c r="O2948" s="12"/>
      <c r="P2948" s="13">
        <f>IFERROR(__xludf.DUMMYFUNCTION("VALUE(SUBSTITUTE((INDEX(SPLIT(A2948,"",""),1)),""."","","",1))"),51.493716)</f>
        <v>51.493716</v>
      </c>
      <c r="Q2948" s="13">
        <f>IFERROR(__xludf.DUMMYFUNCTION("VALUE(SUBSTITUTE((INDEX(SPLIT(A2948,"",""),2)),""."","","",1))"),46.15764)</f>
        <v>46.15764</v>
      </c>
      <c r="R2948" s="14" t="b">
        <f t="shared" si="1"/>
        <v>0</v>
      </c>
      <c r="S2948" s="14" t="str">
        <f t="shared" si="2"/>
        <v>51.493716,46.15764</v>
      </c>
      <c r="T2948" s="12"/>
    </row>
    <row r="2949">
      <c r="A2949" s="15" t="s">
        <v>19082</v>
      </c>
      <c r="B2949" s="16" t="s">
        <v>19088</v>
      </c>
      <c r="C2949" s="16" t="s">
        <v>19089</v>
      </c>
      <c r="D2949" s="16" t="s">
        <v>16</v>
      </c>
      <c r="E2949" s="17" t="s">
        <v>19090</v>
      </c>
      <c r="F2949" s="16" t="s">
        <v>17865</v>
      </c>
      <c r="G2949" s="16">
        <v>23.61</v>
      </c>
      <c r="H2949" s="16"/>
      <c r="I2949" s="16"/>
      <c r="J2949" s="16" t="s">
        <v>19091</v>
      </c>
      <c r="K2949" s="16" t="s">
        <v>19092</v>
      </c>
      <c r="L2949" s="16"/>
      <c r="M2949" s="16"/>
      <c r="N2949" s="12"/>
      <c r="O2949" s="12"/>
      <c r="P2949" s="13">
        <f>IFERROR(__xludf.DUMMYFUNCTION("VALUE(SUBSTITUTE((INDEX(SPLIT(A2949,"",""),1)),""."","","",1))"),51.493716)</f>
        <v>51.493716</v>
      </c>
      <c r="Q2949" s="13">
        <f>IFERROR(__xludf.DUMMYFUNCTION("VALUE(SUBSTITUTE((INDEX(SPLIT(A2949,"",""),2)),""."","","",1))"),46.15764)</f>
        <v>46.15764</v>
      </c>
      <c r="R2949" s="14" t="b">
        <f t="shared" si="1"/>
        <v>0</v>
      </c>
      <c r="S2949" s="14" t="str">
        <f t="shared" si="2"/>
        <v>51.493716,46.15764</v>
      </c>
      <c r="T2949" s="12"/>
    </row>
    <row r="2950">
      <c r="A2950" s="7" t="s">
        <v>19093</v>
      </c>
      <c r="B2950" s="8" t="s">
        <v>19094</v>
      </c>
      <c r="C2950" s="8" t="s">
        <v>19095</v>
      </c>
      <c r="D2950" s="8" t="s">
        <v>16</v>
      </c>
      <c r="E2950" s="9" t="s">
        <v>19096</v>
      </c>
      <c r="F2950" s="10" t="s">
        <v>17865</v>
      </c>
      <c r="G2950" s="8">
        <v>23.61</v>
      </c>
      <c r="H2950" s="8"/>
      <c r="I2950" s="10"/>
      <c r="J2950" s="10" t="s">
        <v>19097</v>
      </c>
      <c r="K2950" s="10" t="s">
        <v>19098</v>
      </c>
      <c r="L2950" s="11" t="s">
        <v>19099</v>
      </c>
      <c r="M2950" s="10"/>
      <c r="N2950" s="12"/>
      <c r="O2950" s="12"/>
      <c r="P2950" s="13">
        <f>IFERROR(__xludf.DUMMYFUNCTION("VALUE(SUBSTITUTE((INDEX(SPLIT(A2950,"",""),1)),""."","","",1))"),54.429484)</f>
        <v>54.429484</v>
      </c>
      <c r="Q2950" s="13">
        <f>IFERROR(__xludf.DUMMYFUNCTION("VALUE(SUBSTITUTE((INDEX(SPLIT(A2950,"",""),2)),""."","","",1))"),46.312159)</f>
        <v>46.312159</v>
      </c>
      <c r="R2950" s="14" t="b">
        <f t="shared" si="1"/>
        <v>0</v>
      </c>
      <c r="S2950" s="14" t="str">
        <f t="shared" si="2"/>
        <v>54.429484,46.312159</v>
      </c>
      <c r="T2950" s="12"/>
    </row>
    <row r="2951">
      <c r="A2951" s="15" t="s">
        <v>19100</v>
      </c>
      <c r="B2951" s="16" t="s">
        <v>19101</v>
      </c>
      <c r="C2951" s="16" t="s">
        <v>19102</v>
      </c>
      <c r="D2951" s="16" t="s">
        <v>16</v>
      </c>
      <c r="E2951" s="17" t="s">
        <v>19103</v>
      </c>
      <c r="F2951" s="16" t="s">
        <v>8566</v>
      </c>
      <c r="G2951" s="16">
        <v>23.61</v>
      </c>
      <c r="H2951" s="16"/>
      <c r="I2951" s="16"/>
      <c r="J2951" s="16" t="s">
        <v>19104</v>
      </c>
      <c r="K2951" s="16" t="s">
        <v>19105</v>
      </c>
      <c r="L2951" s="16"/>
      <c r="M2951" s="16"/>
      <c r="N2951" s="12"/>
      <c r="O2951" s="12"/>
      <c r="P2951" s="13">
        <f>IFERROR(__xludf.DUMMYFUNCTION("VALUE(SUBSTITUTE((INDEX(SPLIT(A2951,"",""),1)),""."","","",1))"),43.508043)</f>
        <v>43.508043</v>
      </c>
      <c r="Q2951" s="13">
        <f>IFERROR(__xludf.DUMMYFUNCTION("VALUE(SUBSTITUTE((INDEX(SPLIT(A2951,"",""),2)),""."","","",1))"),46.336108)</f>
        <v>46.336108</v>
      </c>
      <c r="R2951" s="14" t="b">
        <f t="shared" si="1"/>
        <v>0</v>
      </c>
      <c r="S2951" s="14" t="str">
        <f t="shared" si="2"/>
        <v>43.508043,46.336108</v>
      </c>
      <c r="T2951" s="12"/>
    </row>
    <row r="2952">
      <c r="A2952" s="7" t="s">
        <v>19106</v>
      </c>
      <c r="B2952" s="8" t="s">
        <v>19107</v>
      </c>
      <c r="C2952" s="8" t="s">
        <v>19108</v>
      </c>
      <c r="D2952" s="8" t="s">
        <v>16</v>
      </c>
      <c r="E2952" s="9" t="s">
        <v>19109</v>
      </c>
      <c r="F2952" s="10" t="s">
        <v>12993</v>
      </c>
      <c r="G2952" s="8">
        <v>23.61</v>
      </c>
      <c r="H2952" s="8"/>
      <c r="I2952" s="10"/>
      <c r="J2952" s="10" t="s">
        <v>19110</v>
      </c>
      <c r="K2952" s="10" t="s">
        <v>16402</v>
      </c>
      <c r="L2952" s="11" t="s">
        <v>19111</v>
      </c>
      <c r="M2952" s="10"/>
      <c r="N2952" s="12"/>
      <c r="O2952" s="12"/>
      <c r="P2952" s="13">
        <f>IFERROR(__xludf.DUMMYFUNCTION("VALUE(SUBSTITUTE((INDEX(SPLIT(A2952,"",""),1)),""."","","",1))"),42.597644)</f>
        <v>42.597644</v>
      </c>
      <c r="Q2952" s="13">
        <f>IFERROR(__xludf.DUMMYFUNCTION("VALUE(SUBSTITUTE((INDEX(SPLIT(A2952,"",""),2)),""."","","",1))"),46.341355)</f>
        <v>46.341355</v>
      </c>
      <c r="R2952" s="14" t="b">
        <f t="shared" si="1"/>
        <v>0</v>
      </c>
      <c r="S2952" s="14" t="str">
        <f t="shared" si="2"/>
        <v>42.597644,46.341355</v>
      </c>
      <c r="T2952" s="12"/>
    </row>
    <row r="2953">
      <c r="A2953" s="15" t="s">
        <v>19112</v>
      </c>
      <c r="B2953" s="16" t="s">
        <v>19113</v>
      </c>
      <c r="C2953" s="16" t="s">
        <v>19114</v>
      </c>
      <c r="D2953" s="16" t="s">
        <v>16</v>
      </c>
      <c r="E2953" s="17" t="s">
        <v>19115</v>
      </c>
      <c r="F2953" s="16" t="s">
        <v>17865</v>
      </c>
      <c r="G2953" s="16">
        <v>23.61</v>
      </c>
      <c r="H2953" s="16"/>
      <c r="I2953" s="16"/>
      <c r="J2953" s="16" t="s">
        <v>19116</v>
      </c>
      <c r="K2953" s="16" t="s">
        <v>19117</v>
      </c>
      <c r="L2953" s="16"/>
      <c r="M2953" s="25" t="s">
        <v>19118</v>
      </c>
      <c r="N2953" s="12"/>
      <c r="O2953" s="12"/>
      <c r="P2953" s="13">
        <f>IFERROR(__xludf.DUMMYFUNCTION("VALUE(SUBSTITUTE((INDEX(SPLIT(A2953,"",""),1)),""."","","",1))"),56.201134)</f>
        <v>56.201134</v>
      </c>
      <c r="Q2953" s="13">
        <f>IFERROR(__xludf.DUMMYFUNCTION("VALUE(SUBSTITUTE((INDEX(SPLIT(A2953,"",""),2)),""."","","",1))"),46.529381)</f>
        <v>46.529381</v>
      </c>
      <c r="R2953" s="14" t="b">
        <f t="shared" si="1"/>
        <v>0</v>
      </c>
      <c r="S2953" s="14" t="str">
        <f t="shared" si="2"/>
        <v>56.201134,46.529381</v>
      </c>
      <c r="T2953" s="12"/>
    </row>
    <row r="2954">
      <c r="A2954" s="18" t="s">
        <v>19119</v>
      </c>
      <c r="B2954" s="8" t="s">
        <v>19120</v>
      </c>
      <c r="C2954" s="8" t="s">
        <v>19121</v>
      </c>
      <c r="D2954" s="8" t="s">
        <v>16</v>
      </c>
      <c r="E2954" s="19" t="s">
        <v>19122</v>
      </c>
      <c r="F2954" s="8" t="s">
        <v>17865</v>
      </c>
      <c r="G2954" s="8">
        <v>23.61</v>
      </c>
      <c r="H2954" s="8"/>
      <c r="I2954" s="8"/>
      <c r="J2954" s="8" t="s">
        <v>19123</v>
      </c>
      <c r="K2954" s="8" t="s">
        <v>19124</v>
      </c>
      <c r="L2954" s="8"/>
      <c r="M2954" s="8"/>
      <c r="N2954" s="12"/>
      <c r="O2954" s="12"/>
      <c r="P2954" s="13">
        <f>IFERROR(__xludf.DUMMYFUNCTION("VALUE(SUBSTITUTE((INDEX(SPLIT(A2954,"",""),1)),""."","","",1))"),43.204374)</f>
        <v>43.204374</v>
      </c>
      <c r="Q2954" s="13">
        <f>IFERROR(__xludf.DUMMYFUNCTION("VALUE(SUBSTITUTE((INDEX(SPLIT(A2954,"",""),2)),""."","","",1))"),46.532983)</f>
        <v>46.532983</v>
      </c>
      <c r="R2954" s="14" t="b">
        <f t="shared" si="1"/>
        <v>0</v>
      </c>
      <c r="S2954" s="14" t="str">
        <f t="shared" si="2"/>
        <v>43.204374,46.532983</v>
      </c>
      <c r="T2954" s="12"/>
    </row>
    <row r="2955">
      <c r="A2955" s="20" t="s">
        <v>19125</v>
      </c>
      <c r="B2955" s="16" t="s">
        <v>19126</v>
      </c>
      <c r="C2955" s="16" t="s">
        <v>19127</v>
      </c>
      <c r="D2955" s="16" t="s">
        <v>16</v>
      </c>
      <c r="E2955" s="21" t="s">
        <v>19128</v>
      </c>
      <c r="F2955" s="22" t="s">
        <v>8566</v>
      </c>
      <c r="G2955" s="16">
        <v>23.61</v>
      </c>
      <c r="H2955" s="16"/>
      <c r="I2955" s="22"/>
      <c r="J2955" s="22" t="s">
        <v>19129</v>
      </c>
      <c r="K2955" s="22" t="s">
        <v>19130</v>
      </c>
      <c r="L2955" s="23" t="s">
        <v>19131</v>
      </c>
      <c r="M2955" s="22"/>
      <c r="N2955" s="12"/>
      <c r="O2955" s="12"/>
      <c r="P2955" s="13">
        <f>IFERROR(__xludf.DUMMYFUNCTION("VALUE(SUBSTITUTE((INDEX(SPLIT(A2955,"",""),1)),""."","","",1))"),53.127749)</f>
        <v>53.127749</v>
      </c>
      <c r="Q2955" s="13">
        <f>IFERROR(__xludf.DUMMYFUNCTION("VALUE(SUBSTITUTE((INDEX(SPLIT(A2955,"",""),2)),""."","","",1))"),46.572482)</f>
        <v>46.572482</v>
      </c>
      <c r="R2955" s="14" t="b">
        <f t="shared" si="1"/>
        <v>0</v>
      </c>
      <c r="S2955" s="14" t="str">
        <f t="shared" si="2"/>
        <v>53.127749,46.572482</v>
      </c>
      <c r="T2955" s="12"/>
    </row>
    <row r="2956">
      <c r="A2956" s="18" t="s">
        <v>19132</v>
      </c>
      <c r="B2956" s="8" t="s">
        <v>19133</v>
      </c>
      <c r="C2956" s="8" t="s">
        <v>19134</v>
      </c>
      <c r="D2956" s="8" t="s">
        <v>16</v>
      </c>
      <c r="E2956" s="19" t="s">
        <v>19135</v>
      </c>
      <c r="F2956" s="8" t="s">
        <v>8566</v>
      </c>
      <c r="G2956" s="8">
        <v>23.61</v>
      </c>
      <c r="H2956" s="8"/>
      <c r="I2956" s="8"/>
      <c r="J2956" s="8" t="s">
        <v>19136</v>
      </c>
      <c r="K2956" s="8" t="s">
        <v>19137</v>
      </c>
      <c r="L2956" s="8"/>
      <c r="M2956" s="8"/>
      <c r="N2956" s="12"/>
      <c r="O2956" s="12"/>
      <c r="P2956" s="13">
        <f>IFERROR(__xludf.DUMMYFUNCTION("VALUE(SUBSTITUTE((INDEX(SPLIT(A2956,"",""),1)),""."","","",1))"),43.088462)</f>
        <v>43.088462</v>
      </c>
      <c r="Q2956" s="13">
        <f>IFERROR(__xludf.DUMMYFUNCTION("VALUE(SUBSTITUTE((INDEX(SPLIT(A2956,"",""),2)),""."","","",1))"),46.573731)</f>
        <v>46.573731</v>
      </c>
      <c r="R2956" s="14" t="b">
        <f t="shared" si="1"/>
        <v>0</v>
      </c>
      <c r="S2956" s="14" t="str">
        <f t="shared" si="2"/>
        <v>43.088462,46.573731</v>
      </c>
      <c r="T2956" s="12"/>
    </row>
    <row r="2957">
      <c r="A2957" s="15" t="s">
        <v>19138</v>
      </c>
      <c r="B2957" s="16" t="s">
        <v>743</v>
      </c>
      <c r="C2957" s="16" t="s">
        <v>744</v>
      </c>
      <c r="D2957" s="16" t="s">
        <v>16</v>
      </c>
      <c r="E2957" s="17" t="s">
        <v>19139</v>
      </c>
      <c r="F2957" s="16" t="s">
        <v>17865</v>
      </c>
      <c r="G2957" s="16">
        <v>23.61</v>
      </c>
      <c r="H2957" s="16"/>
      <c r="I2957" s="16"/>
      <c r="J2957" s="16" t="s">
        <v>19140</v>
      </c>
      <c r="K2957" s="16" t="s">
        <v>19141</v>
      </c>
      <c r="L2957" s="16"/>
      <c r="M2957" s="25" t="s">
        <v>19142</v>
      </c>
      <c r="N2957" s="12"/>
      <c r="O2957" s="12"/>
      <c r="P2957" s="13">
        <f>IFERROR(__xludf.DUMMYFUNCTION("VALUE(SUBSTITUTE((INDEX(SPLIT(A2957,"",""),1)),""."","","",1))"),43.259719)</f>
        <v>43.259719</v>
      </c>
      <c r="Q2957" s="13">
        <f>IFERROR(__xludf.DUMMYFUNCTION("VALUE(SUBSTITUTE((INDEX(SPLIT(A2957,"",""),2)),""."","","",1))"),46.58134)</f>
        <v>46.58134</v>
      </c>
      <c r="R2957" s="14" t="b">
        <f t="shared" si="1"/>
        <v>0</v>
      </c>
      <c r="S2957" s="14" t="str">
        <f t="shared" si="2"/>
        <v>43.259719,46.58134</v>
      </c>
      <c r="T2957" s="12"/>
    </row>
    <row r="2958">
      <c r="A2958" s="18" t="s">
        <v>19143</v>
      </c>
      <c r="B2958" s="8" t="s">
        <v>19144</v>
      </c>
      <c r="C2958" s="8" t="s">
        <v>19145</v>
      </c>
      <c r="D2958" s="8" t="s">
        <v>16</v>
      </c>
      <c r="E2958" s="19" t="s">
        <v>19146</v>
      </c>
      <c r="F2958" s="8" t="s">
        <v>18396</v>
      </c>
      <c r="G2958" s="8">
        <v>23.61</v>
      </c>
      <c r="H2958" s="8"/>
      <c r="I2958" s="8"/>
      <c r="J2958" s="8" t="s">
        <v>19147</v>
      </c>
      <c r="K2958" s="8" t="s">
        <v>19148</v>
      </c>
      <c r="L2958" s="8"/>
      <c r="M2958" s="8"/>
      <c r="N2958" s="12"/>
      <c r="O2958" s="12"/>
      <c r="P2958" s="13">
        <f>IFERROR(__xludf.DUMMYFUNCTION("VALUE(SUBSTITUTE((INDEX(SPLIT(A2958,"",""),1)),""."","","",1))"),54.846597)</f>
        <v>54.846597</v>
      </c>
      <c r="Q2958" s="13">
        <f>IFERROR(__xludf.DUMMYFUNCTION("VALUE(SUBSTITUTE((INDEX(SPLIT(A2958,"",""),2)),""."","","",1))"),46.594778)</f>
        <v>46.594778</v>
      </c>
      <c r="R2958" s="14" t="b">
        <f t="shared" si="1"/>
        <v>0</v>
      </c>
      <c r="S2958" s="14" t="str">
        <f t="shared" si="2"/>
        <v>54.846597,46.594778</v>
      </c>
      <c r="T2958" s="12"/>
    </row>
    <row r="2959">
      <c r="A2959" s="20" t="s">
        <v>19149</v>
      </c>
      <c r="B2959" s="16" t="s">
        <v>19150</v>
      </c>
      <c r="C2959" s="16" t="s">
        <v>19151</v>
      </c>
      <c r="D2959" s="16" t="s">
        <v>16</v>
      </c>
      <c r="E2959" s="21" t="s">
        <v>19152</v>
      </c>
      <c r="F2959" s="22" t="s">
        <v>17865</v>
      </c>
      <c r="G2959" s="16">
        <v>23.61</v>
      </c>
      <c r="H2959" s="16"/>
      <c r="I2959" s="22"/>
      <c r="J2959" s="22" t="s">
        <v>19153</v>
      </c>
      <c r="K2959" s="22" t="s">
        <v>19154</v>
      </c>
      <c r="L2959" s="23" t="s">
        <v>19155</v>
      </c>
      <c r="M2959" s="22"/>
      <c r="N2959" s="12"/>
      <c r="O2959" s="12"/>
      <c r="P2959" s="13">
        <f>IFERROR(__xludf.DUMMYFUNCTION("VALUE(SUBSTITUTE((INDEX(SPLIT(A2959,"",""),1)),""."","","",1))"),43.257658)</f>
        <v>43.257658</v>
      </c>
      <c r="Q2959" s="13">
        <f>IFERROR(__xludf.DUMMYFUNCTION("VALUE(SUBSTITUTE((INDEX(SPLIT(A2959,"",""),2)),""."","","",1))"),46.60837)</f>
        <v>46.60837</v>
      </c>
      <c r="R2959" s="14" t="b">
        <f t="shared" si="1"/>
        <v>0</v>
      </c>
      <c r="S2959" s="14" t="str">
        <f t="shared" si="2"/>
        <v>43.257658,46.60837</v>
      </c>
      <c r="T2959" s="12"/>
    </row>
    <row r="2960">
      <c r="A2960" s="7" t="s">
        <v>19156</v>
      </c>
      <c r="B2960" s="8" t="s">
        <v>19157</v>
      </c>
      <c r="C2960" s="8" t="s">
        <v>19158</v>
      </c>
      <c r="D2960" s="8" t="s">
        <v>16</v>
      </c>
      <c r="E2960" s="9" t="s">
        <v>19159</v>
      </c>
      <c r="F2960" s="10" t="s">
        <v>17865</v>
      </c>
      <c r="G2960" s="8">
        <v>23.61</v>
      </c>
      <c r="H2960" s="8"/>
      <c r="I2960" s="10"/>
      <c r="J2960" s="10" t="s">
        <v>19160</v>
      </c>
      <c r="K2960" s="10" t="s">
        <v>19161</v>
      </c>
      <c r="L2960" s="11" t="s">
        <v>19162</v>
      </c>
      <c r="M2960" s="10"/>
      <c r="N2960" s="12"/>
      <c r="O2960" s="12"/>
      <c r="P2960" s="13">
        <f>IFERROR(__xludf.DUMMYFUNCTION("VALUE(SUBSTITUTE((INDEX(SPLIT(A2960,"",""),1)),""."","","",1))"),43.257113)</f>
        <v>43.257113</v>
      </c>
      <c r="Q2960" s="13">
        <f>IFERROR(__xludf.DUMMYFUNCTION("VALUE(SUBSTITUTE((INDEX(SPLIT(A2960,"",""),2)),""."","","",1))"),46.609403)</f>
        <v>46.609403</v>
      </c>
      <c r="R2960" s="14" t="b">
        <f t="shared" si="1"/>
        <v>0</v>
      </c>
      <c r="S2960" s="14" t="str">
        <f t="shared" si="2"/>
        <v>43.257113,46.609403</v>
      </c>
      <c r="T2960" s="12"/>
    </row>
    <row r="2961">
      <c r="A2961" s="15" t="s">
        <v>19156</v>
      </c>
      <c r="B2961" s="16" t="s">
        <v>19163</v>
      </c>
      <c r="C2961" s="16" t="s">
        <v>19164</v>
      </c>
      <c r="D2961" s="16" t="s">
        <v>16</v>
      </c>
      <c r="E2961" s="17" t="s">
        <v>19165</v>
      </c>
      <c r="F2961" s="16" t="s">
        <v>17865</v>
      </c>
      <c r="G2961" s="16">
        <v>23.61</v>
      </c>
      <c r="H2961" s="16"/>
      <c r="I2961" s="16"/>
      <c r="J2961" s="16" t="s">
        <v>19166</v>
      </c>
      <c r="K2961" s="16" t="s">
        <v>19167</v>
      </c>
      <c r="L2961" s="16"/>
      <c r="M2961" s="16"/>
      <c r="N2961" s="12"/>
      <c r="O2961" s="12"/>
      <c r="P2961" s="13">
        <f>IFERROR(__xludf.DUMMYFUNCTION("VALUE(SUBSTITUTE((INDEX(SPLIT(A2961,"",""),1)),""."","","",1))"),43.257113)</f>
        <v>43.257113</v>
      </c>
      <c r="Q2961" s="13">
        <f>IFERROR(__xludf.DUMMYFUNCTION("VALUE(SUBSTITUTE((INDEX(SPLIT(A2961,"",""),2)),""."","","",1))"),46.609403)</f>
        <v>46.609403</v>
      </c>
      <c r="R2961" s="14" t="b">
        <f t="shared" si="1"/>
        <v>0</v>
      </c>
      <c r="S2961" s="14" t="str">
        <f t="shared" si="2"/>
        <v>43.257113,46.609403</v>
      </c>
      <c r="T2961" s="12"/>
    </row>
    <row r="2962">
      <c r="A2962" s="18" t="s">
        <v>19168</v>
      </c>
      <c r="B2962" s="8" t="s">
        <v>19169</v>
      </c>
      <c r="C2962" s="8" t="s">
        <v>19170</v>
      </c>
      <c r="D2962" s="8" t="s">
        <v>16</v>
      </c>
      <c r="E2962" s="19" t="s">
        <v>19171</v>
      </c>
      <c r="F2962" s="8" t="s">
        <v>17865</v>
      </c>
      <c r="G2962" s="8">
        <v>23.61</v>
      </c>
      <c r="H2962" s="8"/>
      <c r="I2962" s="8"/>
      <c r="J2962" s="8" t="s">
        <v>19172</v>
      </c>
      <c r="K2962" s="8" t="s">
        <v>19173</v>
      </c>
      <c r="L2962" s="8"/>
      <c r="M2962" s="8"/>
      <c r="N2962" s="12"/>
      <c r="O2962" s="12"/>
      <c r="P2962" s="13">
        <f>IFERROR(__xludf.DUMMYFUNCTION("VALUE(SUBSTITUTE((INDEX(SPLIT(A2962,"",""),1)),""."","","",1))"),53.119778)</f>
        <v>53.119778</v>
      </c>
      <c r="Q2962" s="13">
        <f>IFERROR(__xludf.DUMMYFUNCTION("VALUE(SUBSTITUTE((INDEX(SPLIT(A2962,"",""),2)),""."","","",1))"),46.639784)</f>
        <v>46.639784</v>
      </c>
      <c r="R2962" s="14" t="b">
        <f t="shared" si="1"/>
        <v>0</v>
      </c>
      <c r="S2962" s="14" t="str">
        <f t="shared" si="2"/>
        <v>53.119778,46.639784</v>
      </c>
      <c r="T2962" s="12"/>
    </row>
    <row r="2963">
      <c r="A2963" s="20" t="s">
        <v>19174</v>
      </c>
      <c r="B2963" s="16" t="s">
        <v>19175</v>
      </c>
      <c r="C2963" s="16" t="s">
        <v>19176</v>
      </c>
      <c r="D2963" s="16" t="s">
        <v>16</v>
      </c>
      <c r="E2963" s="21" t="s">
        <v>19177</v>
      </c>
      <c r="F2963" s="22" t="s">
        <v>17865</v>
      </c>
      <c r="G2963" s="16">
        <v>23.61</v>
      </c>
      <c r="H2963" s="16"/>
      <c r="I2963" s="22"/>
      <c r="J2963" s="22" t="s">
        <v>19178</v>
      </c>
      <c r="K2963" s="22" t="s">
        <v>19179</v>
      </c>
      <c r="L2963" s="23" t="s">
        <v>19180</v>
      </c>
      <c r="M2963" s="22"/>
      <c r="N2963" s="12"/>
      <c r="O2963" s="12"/>
      <c r="P2963" s="13">
        <f>IFERROR(__xludf.DUMMYFUNCTION("VALUE(SUBSTITUTE((INDEX(SPLIT(A2963,"",""),1)),""."","","",1))"),43.354312)</f>
        <v>43.354312</v>
      </c>
      <c r="Q2963" s="13">
        <f>IFERROR(__xludf.DUMMYFUNCTION("VALUE(SUBSTITUTE((INDEX(SPLIT(A2963,"",""),2)),""."","","",1))"),46.644213)</f>
        <v>46.644213</v>
      </c>
      <c r="R2963" s="14" t="b">
        <f t="shared" si="1"/>
        <v>0</v>
      </c>
      <c r="S2963" s="14" t="str">
        <f t="shared" si="2"/>
        <v>43.354312,46.644213</v>
      </c>
      <c r="T2963" s="12"/>
    </row>
    <row r="2964">
      <c r="A2964" s="18" t="s">
        <v>19181</v>
      </c>
      <c r="B2964" s="8" t="s">
        <v>19182</v>
      </c>
      <c r="C2964" s="8" t="s">
        <v>19183</v>
      </c>
      <c r="D2964" s="8" t="s">
        <v>16</v>
      </c>
      <c r="E2964" s="19" t="s">
        <v>19184</v>
      </c>
      <c r="F2964" s="8" t="s">
        <v>17865</v>
      </c>
      <c r="G2964" s="8">
        <v>23.61</v>
      </c>
      <c r="H2964" s="8"/>
      <c r="I2964" s="8"/>
      <c r="J2964" s="8" t="s">
        <v>19185</v>
      </c>
      <c r="K2964" s="8" t="s">
        <v>19186</v>
      </c>
      <c r="L2964" s="8"/>
      <c r="M2964" s="8"/>
      <c r="N2964" s="12"/>
      <c r="O2964" s="12"/>
      <c r="P2964" s="13">
        <f>IFERROR(__xludf.DUMMYFUNCTION("VALUE(SUBSTITUTE((INDEX(SPLIT(A2964,"",""),1)),""."","","",1))"),53.045513)</f>
        <v>53.045513</v>
      </c>
      <c r="Q2964" s="13">
        <f>IFERROR(__xludf.DUMMYFUNCTION("VALUE(SUBSTITUTE((INDEX(SPLIT(A2964,"",""),2)),""."","","",1))"),46.648426)</f>
        <v>46.648426</v>
      </c>
      <c r="R2964" s="14" t="b">
        <f t="shared" si="1"/>
        <v>0</v>
      </c>
      <c r="S2964" s="14" t="str">
        <f t="shared" si="2"/>
        <v>53.045513,46.648426</v>
      </c>
      <c r="T2964" s="12"/>
    </row>
    <row r="2965">
      <c r="A2965" s="15" t="s">
        <v>19187</v>
      </c>
      <c r="B2965" s="16" t="s">
        <v>19188</v>
      </c>
      <c r="C2965" s="16" t="s">
        <v>19189</v>
      </c>
      <c r="D2965" s="16" t="s">
        <v>16</v>
      </c>
      <c r="E2965" s="17" t="s">
        <v>19190</v>
      </c>
      <c r="F2965" s="16" t="s">
        <v>17865</v>
      </c>
      <c r="G2965" s="16">
        <v>23.61</v>
      </c>
      <c r="H2965" s="16"/>
      <c r="I2965" s="16"/>
      <c r="J2965" s="16" t="s">
        <v>19191</v>
      </c>
      <c r="K2965" s="16" t="s">
        <v>19192</v>
      </c>
      <c r="L2965" s="16"/>
      <c r="M2965" s="16"/>
      <c r="N2965" s="12"/>
      <c r="O2965" s="12"/>
      <c r="P2965" s="13">
        <f>IFERROR(__xludf.DUMMYFUNCTION("VALUE(SUBSTITUTE((INDEX(SPLIT(A2965,"",""),1)),""."","","",1))"),43.830038)</f>
        <v>43.830038</v>
      </c>
      <c r="Q2965" s="13">
        <f>IFERROR(__xludf.DUMMYFUNCTION("VALUE(SUBSTITUTE((INDEX(SPLIT(A2965,"",""),2)),""."","","",1))"),46.69062)</f>
        <v>46.69062</v>
      </c>
      <c r="R2965" s="14" t="b">
        <f t="shared" si="1"/>
        <v>0</v>
      </c>
      <c r="S2965" s="14" t="str">
        <f t="shared" si="2"/>
        <v>43.830038,46.69062</v>
      </c>
      <c r="T2965" s="12"/>
    </row>
    <row r="2966">
      <c r="A2966" s="18" t="s">
        <v>19193</v>
      </c>
      <c r="B2966" s="8" t="s">
        <v>15788</v>
      </c>
      <c r="C2966" s="8" t="s">
        <v>15789</v>
      </c>
      <c r="D2966" s="8" t="s">
        <v>16</v>
      </c>
      <c r="E2966" s="19" t="s">
        <v>19194</v>
      </c>
      <c r="F2966" s="8" t="s">
        <v>17865</v>
      </c>
      <c r="G2966" s="8">
        <v>23.61</v>
      </c>
      <c r="H2966" s="8"/>
      <c r="I2966" s="8"/>
      <c r="J2966" s="8" t="s">
        <v>19195</v>
      </c>
      <c r="K2966" s="8" t="s">
        <v>19196</v>
      </c>
      <c r="L2966" s="8"/>
      <c r="M2966" s="24" t="s">
        <v>19197</v>
      </c>
      <c r="N2966" s="12"/>
      <c r="O2966" s="12"/>
      <c r="P2966" s="13">
        <f>IFERROR(__xludf.DUMMYFUNCTION("VALUE(SUBSTITUTE((INDEX(SPLIT(A2966,"",""),1)),""."","","",1))"),51.695383)</f>
        <v>51.695383</v>
      </c>
      <c r="Q2966" s="13">
        <f>IFERROR(__xludf.DUMMYFUNCTION("VALUE(SUBSTITUTE((INDEX(SPLIT(A2966,"",""),2)),""."","","",1))"),46.735553)</f>
        <v>46.735553</v>
      </c>
      <c r="R2966" s="14" t="b">
        <f t="shared" si="1"/>
        <v>0</v>
      </c>
      <c r="S2966" s="14" t="str">
        <f t="shared" si="2"/>
        <v>51.695383,46.735553</v>
      </c>
      <c r="T2966" s="12"/>
    </row>
    <row r="2967">
      <c r="A2967" s="20" t="s">
        <v>19198</v>
      </c>
      <c r="B2967" s="16" t="s">
        <v>19199</v>
      </c>
      <c r="C2967" s="16" t="s">
        <v>19200</v>
      </c>
      <c r="D2967" s="16" t="s">
        <v>16</v>
      </c>
      <c r="E2967" s="21" t="s">
        <v>19201</v>
      </c>
      <c r="F2967" s="22" t="s">
        <v>8566</v>
      </c>
      <c r="G2967" s="16">
        <v>23.61</v>
      </c>
      <c r="H2967" s="16"/>
      <c r="I2967" s="22"/>
      <c r="J2967" s="22" t="s">
        <v>19202</v>
      </c>
      <c r="K2967" s="22" t="s">
        <v>19203</v>
      </c>
      <c r="L2967" s="23" t="s">
        <v>19204</v>
      </c>
      <c r="M2967" s="23" t="s">
        <v>19205</v>
      </c>
      <c r="N2967" s="12"/>
      <c r="O2967" s="12"/>
      <c r="P2967" s="13">
        <f>IFERROR(__xludf.DUMMYFUNCTION("VALUE(SUBSTITUTE((INDEX(SPLIT(A2967,"",""),1)),""."","","",1))"),43.193221)</f>
        <v>43.193221</v>
      </c>
      <c r="Q2967" s="13">
        <f>IFERROR(__xludf.DUMMYFUNCTION("VALUE(SUBSTITUTE((INDEX(SPLIT(A2967,"",""),2)),""."","","",1))"),46.770255)</f>
        <v>46.770255</v>
      </c>
      <c r="R2967" s="14" t="b">
        <f t="shared" si="1"/>
        <v>0</v>
      </c>
      <c r="S2967" s="14" t="str">
        <f t="shared" si="2"/>
        <v>43.193221,46.770255</v>
      </c>
      <c r="T2967" s="12"/>
    </row>
    <row r="2968">
      <c r="A2968" s="18" t="s">
        <v>19206</v>
      </c>
      <c r="B2968" s="8" t="s">
        <v>19207</v>
      </c>
      <c r="C2968" s="8" t="s">
        <v>19208</v>
      </c>
      <c r="D2968" s="8" t="s">
        <v>16</v>
      </c>
      <c r="E2968" s="19" t="s">
        <v>19209</v>
      </c>
      <c r="F2968" s="8" t="s">
        <v>17865</v>
      </c>
      <c r="G2968" s="8">
        <v>23.61</v>
      </c>
      <c r="H2968" s="8"/>
      <c r="I2968" s="8"/>
      <c r="J2968" s="8" t="s">
        <v>19210</v>
      </c>
      <c r="K2968" s="8" t="s">
        <v>19211</v>
      </c>
      <c r="L2968" s="8"/>
      <c r="M2968" s="24" t="s">
        <v>19212</v>
      </c>
      <c r="N2968" s="12"/>
      <c r="O2968" s="12"/>
      <c r="P2968" s="13">
        <f>IFERROR(__xludf.DUMMYFUNCTION("VALUE(SUBSTITUTE((INDEX(SPLIT(A2968,"",""),1)),""."","","",1))"),43.193458)</f>
        <v>43.193458</v>
      </c>
      <c r="Q2968" s="13">
        <f>IFERROR(__xludf.DUMMYFUNCTION("VALUE(SUBSTITUTE((INDEX(SPLIT(A2968,"",""),2)),""."","","",1))"),46.810275)</f>
        <v>46.810275</v>
      </c>
      <c r="R2968" s="14" t="b">
        <f t="shared" si="1"/>
        <v>0</v>
      </c>
      <c r="S2968" s="14" t="str">
        <f t="shared" si="2"/>
        <v>43.193458,46.810275</v>
      </c>
      <c r="T2968" s="12"/>
    </row>
    <row r="2969">
      <c r="A2969" s="20" t="s">
        <v>19213</v>
      </c>
      <c r="B2969" s="16" t="s">
        <v>19214</v>
      </c>
      <c r="C2969" s="16" t="s">
        <v>19215</v>
      </c>
      <c r="D2969" s="16" t="s">
        <v>16</v>
      </c>
      <c r="E2969" s="21" t="s">
        <v>19216</v>
      </c>
      <c r="F2969" s="22" t="s">
        <v>8566</v>
      </c>
      <c r="G2969" s="16">
        <v>23.61</v>
      </c>
      <c r="H2969" s="16"/>
      <c r="I2969" s="28" t="s">
        <v>19217</v>
      </c>
      <c r="J2969" s="22" t="s">
        <v>19218</v>
      </c>
      <c r="K2969" s="22" t="s">
        <v>19219</v>
      </c>
      <c r="L2969" s="23" t="s">
        <v>19220</v>
      </c>
      <c r="M2969" s="22"/>
      <c r="N2969" s="12"/>
      <c r="O2969" s="12"/>
      <c r="P2969" s="13">
        <f>IFERROR(__xludf.DUMMYFUNCTION("VALUE(SUBSTITUTE((INDEX(SPLIT(A2969,"",""),1)),""."","","",1))"),43.166077)</f>
        <v>43.166077</v>
      </c>
      <c r="Q2969" s="13">
        <f>IFERROR(__xludf.DUMMYFUNCTION("VALUE(SUBSTITUTE((INDEX(SPLIT(A2969,"",""),2)),""."","","",1))"),46.834081)</f>
        <v>46.834081</v>
      </c>
      <c r="R2969" s="14" t="b">
        <f t="shared" si="1"/>
        <v>0</v>
      </c>
      <c r="S2969" s="14" t="str">
        <f t="shared" si="2"/>
        <v>43.166077,46.834081</v>
      </c>
      <c r="T2969" s="12"/>
    </row>
    <row r="2970">
      <c r="A2970" s="7" t="s">
        <v>19221</v>
      </c>
      <c r="B2970" s="8" t="s">
        <v>19222</v>
      </c>
      <c r="C2970" s="8" t="s">
        <v>19223</v>
      </c>
      <c r="D2970" s="8" t="s">
        <v>16</v>
      </c>
      <c r="E2970" s="9" t="s">
        <v>19224</v>
      </c>
      <c r="F2970" s="10" t="s">
        <v>8566</v>
      </c>
      <c r="G2970" s="8">
        <v>23.61</v>
      </c>
      <c r="H2970" s="8"/>
      <c r="I2970" s="10"/>
      <c r="J2970" s="10" t="s">
        <v>19225</v>
      </c>
      <c r="K2970" s="10" t="s">
        <v>19226</v>
      </c>
      <c r="L2970" s="11" t="s">
        <v>19227</v>
      </c>
      <c r="M2970" s="11" t="s">
        <v>19228</v>
      </c>
      <c r="N2970" s="12"/>
      <c r="O2970" s="12"/>
      <c r="P2970" s="13">
        <f>IFERROR(__xludf.DUMMYFUNCTION("VALUE(SUBSTITUTE((INDEX(SPLIT(A2970,"",""),1)),""."","","",1))"),43.196159)</f>
        <v>43.196159</v>
      </c>
      <c r="Q2970" s="13">
        <f>IFERROR(__xludf.DUMMYFUNCTION("VALUE(SUBSTITUTE((INDEX(SPLIT(A2970,"",""),2)),""."","","",1))"),46.864875)</f>
        <v>46.864875</v>
      </c>
      <c r="R2970" s="14" t="b">
        <f t="shared" si="1"/>
        <v>0</v>
      </c>
      <c r="S2970" s="14" t="str">
        <f t="shared" si="2"/>
        <v>43.196159,46.864875</v>
      </c>
      <c r="T2970" s="12"/>
    </row>
    <row r="2971">
      <c r="A2971" s="15" t="s">
        <v>19229</v>
      </c>
      <c r="B2971" s="16" t="s">
        <v>19230</v>
      </c>
      <c r="C2971" s="16" t="s">
        <v>19231</v>
      </c>
      <c r="D2971" s="16" t="s">
        <v>16</v>
      </c>
      <c r="E2971" s="17" t="s">
        <v>19232</v>
      </c>
      <c r="F2971" s="16" t="s">
        <v>8566</v>
      </c>
      <c r="G2971" s="16">
        <v>23.61</v>
      </c>
      <c r="H2971" s="16"/>
      <c r="I2971" s="16"/>
      <c r="J2971" s="16" t="s">
        <v>19233</v>
      </c>
      <c r="K2971" s="16" t="s">
        <v>19234</v>
      </c>
      <c r="L2971" s="16"/>
      <c r="M2971" s="16"/>
      <c r="N2971" s="12"/>
      <c r="O2971" s="12"/>
      <c r="P2971" s="13">
        <f>IFERROR(__xludf.DUMMYFUNCTION("VALUE(SUBSTITUTE((INDEX(SPLIT(A2971,"",""),1)),""."","","",1))"),42.518635)</f>
        <v>42.518635</v>
      </c>
      <c r="Q2971" s="13">
        <f>IFERROR(__xludf.DUMMYFUNCTION("VALUE(SUBSTITUTE((INDEX(SPLIT(A2971,"",""),2)),""."","","",1))"),46.88382)</f>
        <v>46.88382</v>
      </c>
      <c r="R2971" s="14" t="b">
        <f t="shared" si="1"/>
        <v>0</v>
      </c>
      <c r="S2971" s="14" t="str">
        <f t="shared" si="2"/>
        <v>42.518635,46.88382</v>
      </c>
      <c r="T2971" s="12"/>
    </row>
    <row r="2972">
      <c r="A2972" s="7" t="s">
        <v>19235</v>
      </c>
      <c r="B2972" s="8" t="s">
        <v>19236</v>
      </c>
      <c r="C2972" s="8" t="s">
        <v>19237</v>
      </c>
      <c r="D2972" s="8" t="s">
        <v>16</v>
      </c>
      <c r="E2972" s="9" t="s">
        <v>19238</v>
      </c>
      <c r="F2972" s="10" t="s">
        <v>12993</v>
      </c>
      <c r="G2972" s="8">
        <v>23.61</v>
      </c>
      <c r="H2972" s="8"/>
      <c r="I2972" s="10"/>
      <c r="J2972" s="10" t="s">
        <v>19239</v>
      </c>
      <c r="K2972" s="10" t="s">
        <v>19240</v>
      </c>
      <c r="L2972" s="11" t="s">
        <v>19241</v>
      </c>
      <c r="M2972" s="10"/>
      <c r="N2972" s="12"/>
      <c r="O2972" s="12"/>
      <c r="P2972" s="13">
        <f>IFERROR(__xludf.DUMMYFUNCTION("VALUE(SUBSTITUTE((INDEX(SPLIT(A2972,"",""),1)),""."","","",1))"),52.15252)</f>
        <v>52.15252</v>
      </c>
      <c r="Q2972" s="13">
        <f>IFERROR(__xludf.DUMMYFUNCTION("VALUE(SUBSTITUTE((INDEX(SPLIT(A2972,"",""),2)),""."","","",1))"),46.963995)</f>
        <v>46.963995</v>
      </c>
      <c r="R2972" s="14" t="b">
        <f t="shared" si="1"/>
        <v>0</v>
      </c>
      <c r="S2972" s="14" t="str">
        <f t="shared" si="2"/>
        <v>52.15252,46.963995</v>
      </c>
      <c r="T2972" s="12"/>
    </row>
    <row r="2973">
      <c r="A2973" s="20" t="s">
        <v>19242</v>
      </c>
      <c r="B2973" s="16" t="s">
        <v>19243</v>
      </c>
      <c r="C2973" s="16" t="s">
        <v>19244</v>
      </c>
      <c r="D2973" s="16" t="s">
        <v>16</v>
      </c>
      <c r="E2973" s="21" t="s">
        <v>19245</v>
      </c>
      <c r="F2973" s="22" t="s">
        <v>18396</v>
      </c>
      <c r="G2973" s="16">
        <v>23.61</v>
      </c>
      <c r="H2973" s="16"/>
      <c r="I2973" s="22"/>
      <c r="J2973" s="22" t="s">
        <v>19246</v>
      </c>
      <c r="K2973" s="22" t="s">
        <v>19247</v>
      </c>
      <c r="L2973" s="23" t="s">
        <v>19248</v>
      </c>
      <c r="M2973" s="22"/>
      <c r="N2973" s="12"/>
      <c r="O2973" s="12"/>
      <c r="P2973" s="13">
        <f>IFERROR(__xludf.DUMMYFUNCTION("VALUE(SUBSTITUTE((INDEX(SPLIT(A2973,"",""),1)),""."","","",1))"),42.598202)</f>
        <v>42.598202</v>
      </c>
      <c r="Q2973" s="13">
        <f>IFERROR(__xludf.DUMMYFUNCTION("VALUE(SUBSTITUTE((INDEX(SPLIT(A2973,"",""),2)),""."","","",1))"),46.965423)</f>
        <v>46.965423</v>
      </c>
      <c r="R2973" s="14" t="b">
        <f t="shared" si="1"/>
        <v>0</v>
      </c>
      <c r="S2973" s="14" t="str">
        <f t="shared" si="2"/>
        <v>42.598202,46.965423</v>
      </c>
      <c r="T2973" s="12"/>
    </row>
    <row r="2974">
      <c r="A2974" s="18" t="s">
        <v>19249</v>
      </c>
      <c r="B2974" s="8" t="s">
        <v>19250</v>
      </c>
      <c r="C2974" s="8" t="s">
        <v>19251</v>
      </c>
      <c r="D2974" s="8" t="s">
        <v>16</v>
      </c>
      <c r="E2974" s="19" t="s">
        <v>19252</v>
      </c>
      <c r="F2974" s="8" t="s">
        <v>18396</v>
      </c>
      <c r="G2974" s="8">
        <v>23.61</v>
      </c>
      <c r="H2974" s="8"/>
      <c r="I2974" s="8"/>
      <c r="J2974" s="8" t="s">
        <v>19253</v>
      </c>
      <c r="K2974" s="8" t="s">
        <v>19254</v>
      </c>
      <c r="L2974" s="8"/>
      <c r="M2974" s="8"/>
      <c r="N2974" s="12"/>
      <c r="O2974" s="12"/>
      <c r="P2974" s="13">
        <f>IFERROR(__xludf.DUMMYFUNCTION("VALUE(SUBSTITUTE((INDEX(SPLIT(A2974,"",""),1)),""."","","",1))"),42.458033)</f>
        <v>42.458033</v>
      </c>
      <c r="Q2974" s="13">
        <f>IFERROR(__xludf.DUMMYFUNCTION("VALUE(SUBSTITUTE((INDEX(SPLIT(A2974,"",""),2)),""."","","",1))"),47.005668)</f>
        <v>47.005668</v>
      </c>
      <c r="R2974" s="14" t="b">
        <f t="shared" si="1"/>
        <v>0</v>
      </c>
      <c r="S2974" s="14" t="str">
        <f t="shared" si="2"/>
        <v>42.458033,47.005668</v>
      </c>
      <c r="T2974" s="12"/>
    </row>
    <row r="2975">
      <c r="A2975" s="15" t="s">
        <v>19255</v>
      </c>
      <c r="B2975" s="16" t="s">
        <v>19256</v>
      </c>
      <c r="C2975" s="16" t="s">
        <v>19257</v>
      </c>
      <c r="D2975" s="16" t="s">
        <v>16</v>
      </c>
      <c r="E2975" s="17" t="s">
        <v>19258</v>
      </c>
      <c r="F2975" s="16" t="s">
        <v>12993</v>
      </c>
      <c r="G2975" s="16">
        <v>23.61</v>
      </c>
      <c r="H2975" s="16"/>
      <c r="I2975" s="16"/>
      <c r="J2975" s="16" t="s">
        <v>19259</v>
      </c>
      <c r="K2975" s="16" t="s">
        <v>19260</v>
      </c>
      <c r="L2975" s="16"/>
      <c r="M2975" s="16"/>
      <c r="N2975" s="12"/>
      <c r="O2975" s="12"/>
      <c r="P2975" s="13">
        <f>IFERROR(__xludf.DUMMYFUNCTION("VALUE(SUBSTITUTE((INDEX(SPLIT(A2975,"",""),1)),""."","","",1))"),60.356274)</f>
        <v>60.356274</v>
      </c>
      <c r="Q2975" s="13">
        <f>IFERROR(__xludf.DUMMYFUNCTION("VALUE(SUBSTITUTE((INDEX(SPLIT(A2975,"",""),2)),""."","","",1))"),47.083803)</f>
        <v>47.083803</v>
      </c>
      <c r="R2975" s="14" t="b">
        <f t="shared" si="1"/>
        <v>0</v>
      </c>
      <c r="S2975" s="14" t="str">
        <f t="shared" si="2"/>
        <v>60.356274,47.083803</v>
      </c>
      <c r="T2975" s="12"/>
    </row>
    <row r="2976">
      <c r="A2976" s="7" t="s">
        <v>19261</v>
      </c>
      <c r="B2976" s="8" t="s">
        <v>19262</v>
      </c>
      <c r="C2976" s="8" t="s">
        <v>19263</v>
      </c>
      <c r="D2976" s="8" t="s">
        <v>16</v>
      </c>
      <c r="E2976" s="9" t="s">
        <v>19264</v>
      </c>
      <c r="F2976" s="10" t="s">
        <v>17865</v>
      </c>
      <c r="G2976" s="8">
        <v>23.61</v>
      </c>
      <c r="H2976" s="8"/>
      <c r="I2976" s="10"/>
      <c r="J2976" s="10" t="s">
        <v>19265</v>
      </c>
      <c r="K2976" s="10" t="s">
        <v>19266</v>
      </c>
      <c r="L2976" s="11" t="s">
        <v>19267</v>
      </c>
      <c r="M2976" s="10"/>
      <c r="N2976" s="12"/>
      <c r="O2976" s="12"/>
      <c r="P2976" s="13">
        <f>IFERROR(__xludf.DUMMYFUNCTION("VALUE(SUBSTITUTE((INDEX(SPLIT(A2976,"",""),1)),""."","","",1))"),52.6967)</f>
        <v>52.6967</v>
      </c>
      <c r="Q2976" s="13">
        <f>IFERROR(__xludf.DUMMYFUNCTION("VALUE(SUBSTITUTE((INDEX(SPLIT(A2976,"",""),2)),""."","","",1))"),47.129572)</f>
        <v>47.129572</v>
      </c>
      <c r="R2976" s="14" t="b">
        <f t="shared" si="1"/>
        <v>0</v>
      </c>
      <c r="S2976" s="14" t="str">
        <f t="shared" si="2"/>
        <v>52.6967,47.129572</v>
      </c>
      <c r="T2976" s="12"/>
    </row>
    <row r="2977">
      <c r="A2977" s="20" t="s">
        <v>19268</v>
      </c>
      <c r="B2977" s="16" t="s">
        <v>19269</v>
      </c>
      <c r="C2977" s="16" t="s">
        <v>19270</v>
      </c>
      <c r="D2977" s="16" t="s">
        <v>16</v>
      </c>
      <c r="E2977" s="21" t="s">
        <v>19271</v>
      </c>
      <c r="F2977" s="22" t="s">
        <v>8566</v>
      </c>
      <c r="G2977" s="16">
        <v>23.61</v>
      </c>
      <c r="H2977" s="16"/>
      <c r="I2977" s="22"/>
      <c r="J2977" s="22" t="s">
        <v>19272</v>
      </c>
      <c r="K2977" s="22" t="s">
        <v>19273</v>
      </c>
      <c r="L2977" s="23" t="s">
        <v>19274</v>
      </c>
      <c r="M2977" s="22"/>
      <c r="N2977" s="12"/>
      <c r="O2977" s="12"/>
      <c r="P2977" s="13">
        <f>IFERROR(__xludf.DUMMYFUNCTION("VALUE(SUBSTITUTE((INDEX(SPLIT(A2977,"",""),1)),""."","","",1))"),42.817093)</f>
        <v>42.817093</v>
      </c>
      <c r="Q2977" s="13">
        <f>IFERROR(__xludf.DUMMYFUNCTION("VALUE(SUBSTITUTE((INDEX(SPLIT(A2977,"",""),2)),""."","","",1))"),47.132204)</f>
        <v>47.132204</v>
      </c>
      <c r="R2977" s="14" t="b">
        <f t="shared" si="1"/>
        <v>0</v>
      </c>
      <c r="S2977" s="14" t="str">
        <f t="shared" si="2"/>
        <v>42.817093,47.132204</v>
      </c>
      <c r="T2977" s="12"/>
    </row>
    <row r="2978">
      <c r="A2978" s="7" t="s">
        <v>19275</v>
      </c>
      <c r="B2978" s="8" t="s">
        <v>19276</v>
      </c>
      <c r="C2978" s="8" t="s">
        <v>19277</v>
      </c>
      <c r="D2978" s="8" t="s">
        <v>16</v>
      </c>
      <c r="E2978" s="9" t="s">
        <v>19278</v>
      </c>
      <c r="F2978" s="10" t="s">
        <v>8566</v>
      </c>
      <c r="G2978" s="8">
        <v>23.61</v>
      </c>
      <c r="H2978" s="8"/>
      <c r="I2978" s="10"/>
      <c r="J2978" s="10" t="s">
        <v>19279</v>
      </c>
      <c r="K2978" s="10" t="s">
        <v>19280</v>
      </c>
      <c r="L2978" s="11" t="s">
        <v>19281</v>
      </c>
      <c r="M2978" s="11" t="s">
        <v>19282</v>
      </c>
      <c r="N2978" s="12"/>
      <c r="O2978" s="12"/>
      <c r="P2978" s="13">
        <f>IFERROR(__xludf.DUMMYFUNCTION("VALUE(SUBSTITUTE((INDEX(SPLIT(A2978,"",""),1)),""."","","",1))"),61.309868)</f>
        <v>61.309868</v>
      </c>
      <c r="Q2978" s="13">
        <f>IFERROR(__xludf.DUMMYFUNCTION("VALUE(SUBSTITUTE((INDEX(SPLIT(A2978,"",""),2)),""."","","",1))"),47.134414)</f>
        <v>47.134414</v>
      </c>
      <c r="R2978" s="14" t="b">
        <f t="shared" si="1"/>
        <v>0</v>
      </c>
      <c r="S2978" s="14" t="str">
        <f t="shared" si="2"/>
        <v>61.309868,47.134414</v>
      </c>
      <c r="T2978" s="12"/>
    </row>
    <row r="2979">
      <c r="A2979" s="20" t="s">
        <v>19275</v>
      </c>
      <c r="B2979" s="16" t="s">
        <v>19283</v>
      </c>
      <c r="C2979" s="16" t="s">
        <v>19284</v>
      </c>
      <c r="D2979" s="16" t="s">
        <v>16</v>
      </c>
      <c r="E2979" s="21" t="s">
        <v>19285</v>
      </c>
      <c r="F2979" s="22" t="s">
        <v>8566</v>
      </c>
      <c r="G2979" s="16">
        <v>23.61</v>
      </c>
      <c r="H2979" s="16"/>
      <c r="I2979" s="22"/>
      <c r="J2979" s="22" t="s">
        <v>19286</v>
      </c>
      <c r="K2979" s="22" t="s">
        <v>19287</v>
      </c>
      <c r="L2979" s="23" t="s">
        <v>19288</v>
      </c>
      <c r="M2979" s="22"/>
      <c r="N2979" s="12"/>
      <c r="O2979" s="12"/>
      <c r="P2979" s="13">
        <f>IFERROR(__xludf.DUMMYFUNCTION("VALUE(SUBSTITUTE((INDEX(SPLIT(A2979,"",""),1)),""."","","",1))"),61.309868)</f>
        <v>61.309868</v>
      </c>
      <c r="Q2979" s="13">
        <f>IFERROR(__xludf.DUMMYFUNCTION("VALUE(SUBSTITUTE((INDEX(SPLIT(A2979,"",""),2)),""."","","",1))"),47.134414)</f>
        <v>47.134414</v>
      </c>
      <c r="R2979" s="14" t="b">
        <f t="shared" si="1"/>
        <v>0</v>
      </c>
      <c r="S2979" s="14" t="str">
        <f t="shared" si="2"/>
        <v>61.309868,47.134414</v>
      </c>
      <c r="T2979" s="12"/>
    </row>
    <row r="2980">
      <c r="A2980" s="7" t="s">
        <v>19289</v>
      </c>
      <c r="B2980" s="8" t="s">
        <v>19290</v>
      </c>
      <c r="C2980" s="8" t="s">
        <v>19291</v>
      </c>
      <c r="D2980" s="8" t="s">
        <v>16</v>
      </c>
      <c r="E2980" s="9" t="s">
        <v>19292</v>
      </c>
      <c r="F2980" s="10" t="s">
        <v>8566</v>
      </c>
      <c r="G2980" s="8">
        <v>23.61</v>
      </c>
      <c r="H2980" s="8"/>
      <c r="I2980" s="31" t="s">
        <v>19293</v>
      </c>
      <c r="J2980" s="10" t="s">
        <v>19294</v>
      </c>
      <c r="K2980" s="10" t="s">
        <v>19295</v>
      </c>
      <c r="L2980" s="11" t="s">
        <v>19296</v>
      </c>
      <c r="M2980" s="10"/>
      <c r="N2980" s="12"/>
      <c r="O2980" s="12"/>
      <c r="P2980" s="13">
        <f>IFERROR(__xludf.DUMMYFUNCTION("VALUE(SUBSTITUTE((INDEX(SPLIT(A2980,"",""),1)),""."","","",1))"),61.305781)</f>
        <v>61.305781</v>
      </c>
      <c r="Q2980" s="13">
        <f>IFERROR(__xludf.DUMMYFUNCTION("VALUE(SUBSTITUTE((INDEX(SPLIT(A2980,"",""),2)),""."","","",1))"),47.160492)</f>
        <v>47.160492</v>
      </c>
      <c r="R2980" s="14" t="b">
        <f t="shared" si="1"/>
        <v>0</v>
      </c>
      <c r="S2980" s="14" t="str">
        <f t="shared" si="2"/>
        <v>61.305781,47.160492</v>
      </c>
      <c r="T2980" s="12"/>
    </row>
    <row r="2981">
      <c r="A2981" s="20" t="s">
        <v>19297</v>
      </c>
      <c r="B2981" s="16" t="s">
        <v>2895</v>
      </c>
      <c r="C2981" s="16" t="s">
        <v>2896</v>
      </c>
      <c r="D2981" s="16" t="s">
        <v>16</v>
      </c>
      <c r="E2981" s="21" t="s">
        <v>19298</v>
      </c>
      <c r="F2981" s="22" t="s">
        <v>18396</v>
      </c>
      <c r="G2981" s="16">
        <v>23.61</v>
      </c>
      <c r="H2981" s="16"/>
      <c r="I2981" s="22"/>
      <c r="J2981" s="22" t="s">
        <v>19299</v>
      </c>
      <c r="K2981" s="22" t="s">
        <v>19300</v>
      </c>
      <c r="L2981" s="23" t="s">
        <v>19301</v>
      </c>
      <c r="M2981" s="22"/>
      <c r="N2981" s="12"/>
      <c r="O2981" s="12"/>
      <c r="P2981" s="13">
        <f>IFERROR(__xludf.DUMMYFUNCTION("VALUE(SUBSTITUTE((INDEX(SPLIT(A2981,"",""),1)),""."","","",1))"),56.128807)</f>
        <v>56.128807</v>
      </c>
      <c r="Q2981" s="13">
        <f>IFERROR(__xludf.DUMMYFUNCTION("VALUE(SUBSTITUTE((INDEX(SPLIT(A2981,"",""),2)),""."","","",1))"),47.162271)</f>
        <v>47.162271</v>
      </c>
      <c r="R2981" s="14" t="b">
        <f t="shared" si="1"/>
        <v>0</v>
      </c>
      <c r="S2981" s="14" t="str">
        <f t="shared" si="2"/>
        <v>56.128807,47.162271</v>
      </c>
      <c r="T2981" s="12"/>
    </row>
    <row r="2982">
      <c r="A2982" s="7" t="s">
        <v>19302</v>
      </c>
      <c r="B2982" s="8" t="s">
        <v>19303</v>
      </c>
      <c r="C2982" s="8" t="s">
        <v>19304</v>
      </c>
      <c r="D2982" s="8" t="s">
        <v>16</v>
      </c>
      <c r="E2982" s="9" t="s">
        <v>19305</v>
      </c>
      <c r="F2982" s="10" t="s">
        <v>8566</v>
      </c>
      <c r="G2982" s="8">
        <v>23.61</v>
      </c>
      <c r="H2982" s="8"/>
      <c r="I2982" s="10"/>
      <c r="J2982" s="10" t="s">
        <v>19306</v>
      </c>
      <c r="K2982" s="10" t="s">
        <v>19307</v>
      </c>
      <c r="L2982" s="11" t="s">
        <v>19308</v>
      </c>
      <c r="M2982" s="11" t="s">
        <v>19309</v>
      </c>
      <c r="N2982" s="12"/>
      <c r="O2982" s="12"/>
      <c r="P2982" s="13">
        <f>IFERROR(__xludf.DUMMYFUNCTION("VALUE(SUBSTITUTE((INDEX(SPLIT(A2982,"",""),1)),""."","","",1))"),56.119117)</f>
        <v>56.119117</v>
      </c>
      <c r="Q2982" s="13">
        <f>IFERROR(__xludf.DUMMYFUNCTION("VALUE(SUBSTITUTE((INDEX(SPLIT(A2982,"",""),2)),""."","","",1))"),47.199398)</f>
        <v>47.199398</v>
      </c>
      <c r="R2982" s="14" t="b">
        <f t="shared" si="1"/>
        <v>0</v>
      </c>
      <c r="S2982" s="14" t="str">
        <f t="shared" si="2"/>
        <v>56.119117,47.199398</v>
      </c>
      <c r="T2982" s="12"/>
    </row>
    <row r="2983">
      <c r="A2983" s="20" t="s">
        <v>19310</v>
      </c>
      <c r="B2983" s="16" t="s">
        <v>10970</v>
      </c>
      <c r="C2983" s="16" t="s">
        <v>10971</v>
      </c>
      <c r="D2983" s="16" t="s">
        <v>16</v>
      </c>
      <c r="E2983" s="21" t="s">
        <v>19311</v>
      </c>
      <c r="F2983" s="22" t="s">
        <v>18396</v>
      </c>
      <c r="G2983" s="16">
        <v>23.61</v>
      </c>
      <c r="H2983" s="16"/>
      <c r="I2983" s="22"/>
      <c r="J2983" s="22" t="s">
        <v>19312</v>
      </c>
      <c r="K2983" s="22" t="s">
        <v>19313</v>
      </c>
      <c r="L2983" s="23" t="s">
        <v>19314</v>
      </c>
      <c r="M2983" s="22"/>
      <c r="N2983" s="12"/>
      <c r="O2983" s="12"/>
      <c r="P2983" s="13">
        <f>IFERROR(__xludf.DUMMYFUNCTION("VALUE(SUBSTITUTE((INDEX(SPLIT(A2983,"",""),1)),""."","","",1))"),56.081602)</f>
        <v>56.081602</v>
      </c>
      <c r="Q2983" s="13">
        <f>IFERROR(__xludf.DUMMYFUNCTION("VALUE(SUBSTITUTE((INDEX(SPLIT(A2983,"",""),2)),""."","","",1))"),47.215047)</f>
        <v>47.215047</v>
      </c>
      <c r="R2983" s="14" t="b">
        <f t="shared" si="1"/>
        <v>0</v>
      </c>
      <c r="S2983" s="14" t="str">
        <f t="shared" si="2"/>
        <v>56.081602,47.215047</v>
      </c>
      <c r="T2983" s="12"/>
    </row>
    <row r="2984">
      <c r="A2984" s="18" t="s">
        <v>19315</v>
      </c>
      <c r="B2984" s="8" t="s">
        <v>19316</v>
      </c>
      <c r="C2984" s="8" t="s">
        <v>19317</v>
      </c>
      <c r="D2984" s="8" t="s">
        <v>16</v>
      </c>
      <c r="E2984" s="19" t="s">
        <v>19318</v>
      </c>
      <c r="F2984" s="8" t="s">
        <v>12993</v>
      </c>
      <c r="G2984" s="8">
        <v>23.61</v>
      </c>
      <c r="H2984" s="8"/>
      <c r="I2984" s="27" t="s">
        <v>19319</v>
      </c>
      <c r="J2984" s="8" t="s">
        <v>19320</v>
      </c>
      <c r="K2984" s="8" t="s">
        <v>19321</v>
      </c>
      <c r="L2984" s="8"/>
      <c r="M2984" s="8"/>
      <c r="N2984" s="12"/>
      <c r="O2984" s="12"/>
      <c r="P2984" s="13">
        <f>IFERROR(__xludf.DUMMYFUNCTION("VALUE(SUBSTITUTE((INDEX(SPLIT(A2984,"",""),1)),""."","","",1))"),56.141974)</f>
        <v>56.141974</v>
      </c>
      <c r="Q2984" s="13">
        <f>IFERROR(__xludf.DUMMYFUNCTION("VALUE(SUBSTITUTE((INDEX(SPLIT(A2984,"",""),2)),""."","","",1))"),47.226977)</f>
        <v>47.226977</v>
      </c>
      <c r="R2984" s="14" t="b">
        <f t="shared" si="1"/>
        <v>0</v>
      </c>
      <c r="S2984" s="14" t="str">
        <f t="shared" si="2"/>
        <v>56.141974,47.226977</v>
      </c>
      <c r="T2984" s="12"/>
    </row>
    <row r="2985">
      <c r="A2985" s="20" t="s">
        <v>19322</v>
      </c>
      <c r="B2985" s="16" t="s">
        <v>19323</v>
      </c>
      <c r="C2985" s="16" t="s">
        <v>19324</v>
      </c>
      <c r="D2985" s="16" t="s">
        <v>16</v>
      </c>
      <c r="E2985" s="21" t="s">
        <v>19325</v>
      </c>
      <c r="F2985" s="22" t="s">
        <v>8566</v>
      </c>
      <c r="G2985" s="16">
        <v>23.61</v>
      </c>
      <c r="H2985" s="16"/>
      <c r="I2985" s="22"/>
      <c r="J2985" s="22" t="s">
        <v>19326</v>
      </c>
      <c r="K2985" s="22" t="s">
        <v>19327</v>
      </c>
      <c r="L2985" s="23" t="s">
        <v>19328</v>
      </c>
      <c r="M2985" s="22"/>
      <c r="N2985" s="12"/>
      <c r="O2985" s="12"/>
      <c r="P2985" s="13">
        <f>IFERROR(__xludf.DUMMYFUNCTION("VALUE(SUBSTITUTE((INDEX(SPLIT(A2985,"",""),1)),""."","","",1))"),56.076323)</f>
        <v>56.076323</v>
      </c>
      <c r="Q2985" s="13">
        <f>IFERROR(__xludf.DUMMYFUNCTION("VALUE(SUBSTITUTE((INDEX(SPLIT(A2985,"",""),2)),""."","","",1))"),47.22739)</f>
        <v>47.22739</v>
      </c>
      <c r="R2985" s="14" t="b">
        <f t="shared" si="1"/>
        <v>0</v>
      </c>
      <c r="S2985" s="14" t="str">
        <f t="shared" si="2"/>
        <v>56.076323,47.22739</v>
      </c>
      <c r="T2985" s="12"/>
    </row>
    <row r="2986">
      <c r="A2986" s="7" t="s">
        <v>19329</v>
      </c>
      <c r="B2986" s="8" t="s">
        <v>19330</v>
      </c>
      <c r="C2986" s="8" t="s">
        <v>19331</v>
      </c>
      <c r="D2986" s="8" t="s">
        <v>16</v>
      </c>
      <c r="E2986" s="9" t="s">
        <v>19332</v>
      </c>
      <c r="F2986" s="10" t="s">
        <v>18396</v>
      </c>
      <c r="G2986" s="8">
        <v>23.61</v>
      </c>
      <c r="H2986" s="8"/>
      <c r="I2986" s="10"/>
      <c r="J2986" s="10" t="s">
        <v>19333</v>
      </c>
      <c r="K2986" s="10" t="s">
        <v>19334</v>
      </c>
      <c r="L2986" s="11" t="s">
        <v>19335</v>
      </c>
      <c r="M2986" s="10"/>
      <c r="N2986" s="12"/>
      <c r="O2986" s="12"/>
      <c r="P2986" s="13">
        <f>IFERROR(__xludf.DUMMYFUNCTION("VALUE(SUBSTITUTE((INDEX(SPLIT(A2986,"",""),1)),""."","","",1))"),56.071565)</f>
        <v>56.071565</v>
      </c>
      <c r="Q2986" s="13">
        <f>IFERROR(__xludf.DUMMYFUNCTION("VALUE(SUBSTITUTE((INDEX(SPLIT(A2986,"",""),2)),""."","","",1))"),47.237424)</f>
        <v>47.237424</v>
      </c>
      <c r="R2986" s="14" t="b">
        <f t="shared" si="1"/>
        <v>0</v>
      </c>
      <c r="S2986" s="14" t="str">
        <f t="shared" si="2"/>
        <v>56.071565,47.237424</v>
      </c>
      <c r="T2986" s="12"/>
    </row>
    <row r="2987">
      <c r="A2987" s="20" t="s">
        <v>19336</v>
      </c>
      <c r="B2987" s="16" t="s">
        <v>9866</v>
      </c>
      <c r="C2987" s="16" t="s">
        <v>9867</v>
      </c>
      <c r="D2987" s="16" t="s">
        <v>16</v>
      </c>
      <c r="E2987" s="21" t="s">
        <v>19337</v>
      </c>
      <c r="F2987" s="22" t="s">
        <v>8566</v>
      </c>
      <c r="G2987" s="16">
        <v>23.61</v>
      </c>
      <c r="H2987" s="16"/>
      <c r="I2987" s="22"/>
      <c r="J2987" s="22" t="s">
        <v>19338</v>
      </c>
      <c r="K2987" s="22" t="s">
        <v>19339</v>
      </c>
      <c r="L2987" s="23" t="s">
        <v>19340</v>
      </c>
      <c r="M2987" s="23" t="s">
        <v>19341</v>
      </c>
      <c r="N2987" s="12"/>
      <c r="O2987" s="12"/>
      <c r="P2987" s="13">
        <f>IFERROR(__xludf.DUMMYFUNCTION("VALUE(SUBSTITUTE((INDEX(SPLIT(A2987,"",""),1)),""."","","",1))"),56.103025)</f>
        <v>56.103025</v>
      </c>
      <c r="Q2987" s="13">
        <f>IFERROR(__xludf.DUMMYFUNCTION("VALUE(SUBSTITUTE((INDEX(SPLIT(A2987,"",""),2)),""."","","",1))"),47.238125)</f>
        <v>47.238125</v>
      </c>
      <c r="R2987" s="14" t="b">
        <f t="shared" si="1"/>
        <v>0</v>
      </c>
      <c r="S2987" s="14" t="str">
        <f t="shared" si="2"/>
        <v>56.103025,47.238125</v>
      </c>
      <c r="T2987" s="12"/>
    </row>
    <row r="2988">
      <c r="A2988" s="18" t="s">
        <v>19342</v>
      </c>
      <c r="B2988" s="8" t="s">
        <v>19343</v>
      </c>
      <c r="C2988" s="8" t="s">
        <v>19344</v>
      </c>
      <c r="D2988" s="8" t="s">
        <v>16</v>
      </c>
      <c r="E2988" s="19" t="s">
        <v>19345</v>
      </c>
      <c r="F2988" s="8" t="s">
        <v>12993</v>
      </c>
      <c r="G2988" s="8">
        <v>23.61</v>
      </c>
      <c r="H2988" s="8"/>
      <c r="I2988" s="27" t="s">
        <v>19346</v>
      </c>
      <c r="J2988" s="8" t="s">
        <v>19347</v>
      </c>
      <c r="K2988" s="8" t="s">
        <v>19348</v>
      </c>
      <c r="L2988" s="8"/>
      <c r="M2988" s="24" t="s">
        <v>19349</v>
      </c>
      <c r="N2988" s="12"/>
      <c r="O2988" s="12"/>
      <c r="P2988" s="13">
        <f>IFERROR(__xludf.DUMMYFUNCTION("VALUE(SUBSTITUTE((INDEX(SPLIT(A2988,"",""),1)),""."","","",1))"),56.130813)</f>
        <v>56.130813</v>
      </c>
      <c r="Q2988" s="13">
        <f>IFERROR(__xludf.DUMMYFUNCTION("VALUE(SUBSTITUTE((INDEX(SPLIT(A2988,"",""),2)),""."","","",1))"),47.243937)</f>
        <v>47.243937</v>
      </c>
      <c r="R2988" s="14" t="b">
        <f t="shared" si="1"/>
        <v>0</v>
      </c>
      <c r="S2988" s="14" t="str">
        <f t="shared" si="2"/>
        <v>56.130813,47.243937</v>
      </c>
      <c r="T2988" s="12"/>
    </row>
    <row r="2989">
      <c r="A2989" s="15" t="s">
        <v>19350</v>
      </c>
      <c r="B2989" s="16" t="s">
        <v>19351</v>
      </c>
      <c r="C2989" s="16" t="s">
        <v>19352</v>
      </c>
      <c r="D2989" s="16" t="s">
        <v>16</v>
      </c>
      <c r="E2989" s="17" t="s">
        <v>19353</v>
      </c>
      <c r="F2989" s="16" t="s">
        <v>17865</v>
      </c>
      <c r="G2989" s="16">
        <v>23.61</v>
      </c>
      <c r="H2989" s="16"/>
      <c r="I2989" s="16"/>
      <c r="J2989" s="16" t="s">
        <v>19354</v>
      </c>
      <c r="K2989" s="16" t="s">
        <v>19355</v>
      </c>
      <c r="L2989" s="16"/>
      <c r="M2989" s="16"/>
      <c r="N2989" s="12"/>
      <c r="O2989" s="12"/>
      <c r="P2989" s="13">
        <f>IFERROR(__xludf.DUMMYFUNCTION("VALUE(SUBSTITUTE((INDEX(SPLIT(A2989,"",""),1)),""."","","",1))"),56.058448)</f>
        <v>56.058448</v>
      </c>
      <c r="Q2989" s="13">
        <f>IFERROR(__xludf.DUMMYFUNCTION("VALUE(SUBSTITUTE((INDEX(SPLIT(A2989,"",""),2)),""."","","",1))"),47.245635)</f>
        <v>47.245635</v>
      </c>
      <c r="R2989" s="14" t="b">
        <f t="shared" si="1"/>
        <v>0</v>
      </c>
      <c r="S2989" s="14" t="str">
        <f t="shared" si="2"/>
        <v>56.058448,47.245635</v>
      </c>
      <c r="T2989" s="12"/>
    </row>
    <row r="2990">
      <c r="A2990" s="7" t="s">
        <v>19350</v>
      </c>
      <c r="B2990" s="8" t="s">
        <v>19356</v>
      </c>
      <c r="C2990" s="8" t="s">
        <v>19357</v>
      </c>
      <c r="D2990" s="8" t="s">
        <v>16</v>
      </c>
      <c r="E2990" s="9" t="s">
        <v>19358</v>
      </c>
      <c r="F2990" s="10" t="s">
        <v>8566</v>
      </c>
      <c r="G2990" s="8">
        <v>23.61</v>
      </c>
      <c r="H2990" s="8"/>
      <c r="I2990" s="10"/>
      <c r="J2990" s="10" t="s">
        <v>19359</v>
      </c>
      <c r="K2990" s="10" t="s">
        <v>19360</v>
      </c>
      <c r="L2990" s="29" t="s">
        <v>19361</v>
      </c>
      <c r="M2990" s="10"/>
      <c r="N2990" s="12"/>
      <c r="O2990" s="12"/>
      <c r="P2990" s="13">
        <f>IFERROR(__xludf.DUMMYFUNCTION("VALUE(SUBSTITUTE((INDEX(SPLIT(A2990,"",""),1)),""."","","",1))"),56.058448)</f>
        <v>56.058448</v>
      </c>
      <c r="Q2990" s="13">
        <f>IFERROR(__xludf.DUMMYFUNCTION("VALUE(SUBSTITUTE((INDEX(SPLIT(A2990,"",""),2)),""."","","",1))"),47.245635)</f>
        <v>47.245635</v>
      </c>
      <c r="R2990" s="14" t="b">
        <f t="shared" si="1"/>
        <v>0</v>
      </c>
      <c r="S2990" s="14" t="str">
        <f t="shared" si="2"/>
        <v>56.058448,47.245635</v>
      </c>
      <c r="T2990" s="12"/>
    </row>
    <row r="2991">
      <c r="A2991" s="20" t="s">
        <v>19362</v>
      </c>
      <c r="B2991" s="16" t="s">
        <v>19182</v>
      </c>
      <c r="C2991" s="16" t="s">
        <v>19183</v>
      </c>
      <c r="D2991" s="16" t="s">
        <v>16</v>
      </c>
      <c r="E2991" s="21" t="s">
        <v>19363</v>
      </c>
      <c r="F2991" s="22" t="s">
        <v>17865</v>
      </c>
      <c r="G2991" s="16">
        <v>23.61</v>
      </c>
      <c r="H2991" s="16"/>
      <c r="I2991" s="22"/>
      <c r="J2991" s="22" t="s">
        <v>19364</v>
      </c>
      <c r="K2991" s="22" t="s">
        <v>19365</v>
      </c>
      <c r="L2991" s="23" t="s">
        <v>19366</v>
      </c>
      <c r="M2991" s="22"/>
      <c r="N2991" s="12"/>
      <c r="O2991" s="12"/>
      <c r="P2991" s="13">
        <f>IFERROR(__xludf.DUMMYFUNCTION("VALUE(SUBSTITUTE((INDEX(SPLIT(A2991,"",""),1)),""."","","",1))"),56.140851)</f>
        <v>56.140851</v>
      </c>
      <c r="Q2991" s="13">
        <f>IFERROR(__xludf.DUMMYFUNCTION("VALUE(SUBSTITUTE((INDEX(SPLIT(A2991,"",""),2)),""."","","",1))"),47.245913)</f>
        <v>47.245913</v>
      </c>
      <c r="R2991" s="14" t="b">
        <f t="shared" si="1"/>
        <v>0</v>
      </c>
      <c r="S2991" s="14" t="str">
        <f t="shared" si="2"/>
        <v>56.140851,47.245913</v>
      </c>
      <c r="T2991" s="12"/>
    </row>
    <row r="2992">
      <c r="A2992" s="7" t="s">
        <v>19367</v>
      </c>
      <c r="B2992" s="8" t="s">
        <v>19368</v>
      </c>
      <c r="C2992" s="8" t="s">
        <v>19369</v>
      </c>
      <c r="D2992" s="8" t="s">
        <v>16</v>
      </c>
      <c r="E2992" s="9" t="s">
        <v>19370</v>
      </c>
      <c r="F2992" s="10" t="s">
        <v>8566</v>
      </c>
      <c r="G2992" s="8">
        <v>23.61</v>
      </c>
      <c r="H2992" s="8"/>
      <c r="I2992" s="10"/>
      <c r="J2992" s="10" t="s">
        <v>19371</v>
      </c>
      <c r="K2992" s="10" t="s">
        <v>19372</v>
      </c>
      <c r="L2992" s="11" t="s">
        <v>19373</v>
      </c>
      <c r="M2992" s="10"/>
      <c r="N2992" s="12"/>
      <c r="O2992" s="12"/>
      <c r="P2992" s="13">
        <f>IFERROR(__xludf.DUMMYFUNCTION("VALUE(SUBSTITUTE((INDEX(SPLIT(A2992,"",""),1)),""."","","",1))"),56.139918)</f>
        <v>56.139918</v>
      </c>
      <c r="Q2992" s="13">
        <f>IFERROR(__xludf.DUMMYFUNCTION("VALUE(SUBSTITUTE((INDEX(SPLIT(A2992,"",""),2)),""."","","",1))"),47.247728)</f>
        <v>47.247728</v>
      </c>
      <c r="R2992" s="14" t="b">
        <f t="shared" si="1"/>
        <v>0</v>
      </c>
      <c r="S2992" s="14" t="str">
        <f t="shared" si="2"/>
        <v>56.139918,47.247728</v>
      </c>
      <c r="T2992" s="12"/>
    </row>
    <row r="2993">
      <c r="A2993" s="15" t="s">
        <v>19374</v>
      </c>
      <c r="B2993" s="16" t="s">
        <v>19375</v>
      </c>
      <c r="C2993" s="16" t="s">
        <v>19376</v>
      </c>
      <c r="D2993" s="16" t="s">
        <v>16</v>
      </c>
      <c r="E2993" s="17" t="s">
        <v>19377</v>
      </c>
      <c r="F2993" s="16" t="s">
        <v>19378</v>
      </c>
      <c r="G2993" s="16">
        <v>23.61</v>
      </c>
      <c r="H2993" s="16"/>
      <c r="I2993" s="16"/>
      <c r="J2993" s="16" t="s">
        <v>19379</v>
      </c>
      <c r="K2993" s="16" t="s">
        <v>19380</v>
      </c>
      <c r="L2993" s="16"/>
      <c r="M2993" s="16"/>
      <c r="N2993" s="12"/>
      <c r="O2993" s="12"/>
      <c r="P2993" s="13">
        <f>IFERROR(__xludf.DUMMYFUNCTION("VALUE(SUBSTITUTE((INDEX(SPLIT(A2993,"",""),1)),""."","","",1))"),56.106369)</f>
        <v>56.106369</v>
      </c>
      <c r="Q2993" s="13">
        <f>IFERROR(__xludf.DUMMYFUNCTION("VALUE(SUBSTITUTE((INDEX(SPLIT(A2993,"",""),2)),""."","","",1))"),47.248186)</f>
        <v>47.248186</v>
      </c>
      <c r="R2993" s="14" t="b">
        <f t="shared" si="1"/>
        <v>0</v>
      </c>
      <c r="S2993" s="14" t="str">
        <f t="shared" si="2"/>
        <v>56.106369,47.248186</v>
      </c>
      <c r="T2993" s="12"/>
    </row>
    <row r="2994">
      <c r="A2994" s="18" t="s">
        <v>19381</v>
      </c>
      <c r="B2994" s="8" t="s">
        <v>7514</v>
      </c>
      <c r="C2994" s="8" t="s">
        <v>7515</v>
      </c>
      <c r="D2994" s="8" t="s">
        <v>16</v>
      </c>
      <c r="E2994" s="19" t="s">
        <v>19382</v>
      </c>
      <c r="F2994" s="8" t="s">
        <v>17780</v>
      </c>
      <c r="G2994" s="8">
        <v>23.61</v>
      </c>
      <c r="H2994" s="8"/>
      <c r="I2994" s="8"/>
      <c r="J2994" s="8" t="s">
        <v>19383</v>
      </c>
      <c r="K2994" s="8" t="s">
        <v>19384</v>
      </c>
      <c r="L2994" s="8"/>
      <c r="M2994" s="8"/>
      <c r="N2994" s="12"/>
      <c r="O2994" s="12"/>
      <c r="P2994" s="13">
        <f>IFERROR(__xludf.DUMMYFUNCTION("VALUE(SUBSTITUTE((INDEX(SPLIT(A2994,"",""),1)),""."","","",1))"),56.143774)</f>
        <v>56.143774</v>
      </c>
      <c r="Q2994" s="13">
        <f>IFERROR(__xludf.DUMMYFUNCTION("VALUE(SUBSTITUTE((INDEX(SPLIT(A2994,"",""),2)),""."","","",1))"),47.250782)</f>
        <v>47.250782</v>
      </c>
      <c r="R2994" s="14" t="b">
        <f t="shared" si="1"/>
        <v>0</v>
      </c>
      <c r="S2994" s="14" t="str">
        <f t="shared" si="2"/>
        <v>56.143774,47.250782</v>
      </c>
      <c r="T2994" s="12"/>
    </row>
    <row r="2995">
      <c r="A2995" s="20" t="s">
        <v>19385</v>
      </c>
      <c r="B2995" s="16" t="s">
        <v>19386</v>
      </c>
      <c r="C2995" s="16" t="s">
        <v>19387</v>
      </c>
      <c r="D2995" s="16" t="s">
        <v>16</v>
      </c>
      <c r="E2995" s="21" t="s">
        <v>19388</v>
      </c>
      <c r="F2995" s="22" t="s">
        <v>12993</v>
      </c>
      <c r="G2995" s="16">
        <v>23.61</v>
      </c>
      <c r="H2995" s="16"/>
      <c r="I2995" s="28" t="s">
        <v>19389</v>
      </c>
      <c r="J2995" s="22" t="s">
        <v>19390</v>
      </c>
      <c r="K2995" s="22" t="s">
        <v>10670</v>
      </c>
      <c r="L2995" s="23" t="s">
        <v>19391</v>
      </c>
      <c r="M2995" s="22"/>
      <c r="N2995" s="12"/>
      <c r="O2995" s="12"/>
      <c r="P2995" s="13">
        <f>IFERROR(__xludf.DUMMYFUNCTION("VALUE(SUBSTITUTE((INDEX(SPLIT(A2995,"",""),1)),""."","","",1))"),56.10056)</f>
        <v>56.10056</v>
      </c>
      <c r="Q2995" s="13">
        <f>IFERROR(__xludf.DUMMYFUNCTION("VALUE(SUBSTITUTE((INDEX(SPLIT(A2995,"",""),2)),""."","","",1))"),47.262397)</f>
        <v>47.262397</v>
      </c>
      <c r="R2995" s="14" t="b">
        <f t="shared" si="1"/>
        <v>0</v>
      </c>
      <c r="S2995" s="14" t="str">
        <f t="shared" si="2"/>
        <v>56.10056,47.262397</v>
      </c>
      <c r="T2995" s="12"/>
    </row>
    <row r="2996">
      <c r="A2996" s="18" t="s">
        <v>19392</v>
      </c>
      <c r="B2996" s="8" t="s">
        <v>19393</v>
      </c>
      <c r="C2996" s="8" t="s">
        <v>19394</v>
      </c>
      <c r="D2996" s="8" t="s">
        <v>16</v>
      </c>
      <c r="E2996" s="19" t="s">
        <v>19395</v>
      </c>
      <c r="F2996" s="8" t="s">
        <v>12993</v>
      </c>
      <c r="G2996" s="8">
        <v>23.61</v>
      </c>
      <c r="H2996" s="8"/>
      <c r="I2996" s="8"/>
      <c r="J2996" s="8" t="s">
        <v>19396</v>
      </c>
      <c r="K2996" s="8" t="s">
        <v>19397</v>
      </c>
      <c r="L2996" s="8"/>
      <c r="M2996" s="24" t="s">
        <v>19398</v>
      </c>
      <c r="N2996" s="12"/>
      <c r="O2996" s="12"/>
      <c r="P2996" s="13">
        <f>IFERROR(__xludf.DUMMYFUNCTION("VALUE(SUBSTITUTE((INDEX(SPLIT(A2996,"",""),1)),""."","","",1))"),56.140314)</f>
        <v>56.140314</v>
      </c>
      <c r="Q2996" s="13">
        <f>IFERROR(__xludf.DUMMYFUNCTION("VALUE(SUBSTITUTE((INDEX(SPLIT(A2996,"",""),2)),""."","","",1))"),47.264715)</f>
        <v>47.264715</v>
      </c>
      <c r="R2996" s="14" t="b">
        <f t="shared" si="1"/>
        <v>0</v>
      </c>
      <c r="S2996" s="14" t="str">
        <f t="shared" si="2"/>
        <v>56.140314,47.264715</v>
      </c>
      <c r="T2996" s="12"/>
    </row>
    <row r="2997">
      <c r="A2997" s="20" t="s">
        <v>19399</v>
      </c>
      <c r="B2997" s="16" t="s">
        <v>19400</v>
      </c>
      <c r="C2997" s="16" t="s">
        <v>19401</v>
      </c>
      <c r="D2997" s="16" t="s">
        <v>16</v>
      </c>
      <c r="E2997" s="21" t="s">
        <v>19402</v>
      </c>
      <c r="F2997" s="22" t="s">
        <v>17780</v>
      </c>
      <c r="G2997" s="16">
        <v>23.61</v>
      </c>
      <c r="H2997" s="16"/>
      <c r="I2997" s="22"/>
      <c r="J2997" s="22" t="s">
        <v>19403</v>
      </c>
      <c r="K2997" s="22" t="s">
        <v>19404</v>
      </c>
      <c r="L2997" s="23" t="s">
        <v>19405</v>
      </c>
      <c r="M2997" s="22"/>
      <c r="N2997" s="12"/>
      <c r="O2997" s="12"/>
      <c r="P2997" s="13">
        <f>IFERROR(__xludf.DUMMYFUNCTION("VALUE(SUBSTITUTE((INDEX(SPLIT(A2997,"",""),1)),""."","","",1))"),56.064489)</f>
        <v>56.064489</v>
      </c>
      <c r="Q2997" s="13">
        <f>IFERROR(__xludf.DUMMYFUNCTION("VALUE(SUBSTITUTE((INDEX(SPLIT(A2997,"",""),2)),""."","","",1))"),47.265487)</f>
        <v>47.265487</v>
      </c>
      <c r="R2997" s="14" t="b">
        <f t="shared" si="1"/>
        <v>0</v>
      </c>
      <c r="S2997" s="14" t="str">
        <f t="shared" si="2"/>
        <v>56.064489,47.265487</v>
      </c>
      <c r="T2997" s="12"/>
    </row>
    <row r="2998">
      <c r="A2998" s="7" t="s">
        <v>19406</v>
      </c>
      <c r="B2998" s="8" t="s">
        <v>19407</v>
      </c>
      <c r="C2998" s="8" t="s">
        <v>19408</v>
      </c>
      <c r="D2998" s="8" t="s">
        <v>16</v>
      </c>
      <c r="E2998" s="9" t="s">
        <v>19409</v>
      </c>
      <c r="F2998" s="10" t="s">
        <v>12993</v>
      </c>
      <c r="G2998" s="8">
        <v>23.61</v>
      </c>
      <c r="H2998" s="8"/>
      <c r="I2998" s="10"/>
      <c r="J2998" s="10" t="s">
        <v>19410</v>
      </c>
      <c r="K2998" s="10" t="s">
        <v>19411</v>
      </c>
      <c r="L2998" s="11" t="s">
        <v>19412</v>
      </c>
      <c r="M2998" s="10"/>
      <c r="N2998" s="12"/>
      <c r="O2998" s="12"/>
      <c r="P2998" s="13">
        <f>IFERROR(__xludf.DUMMYFUNCTION("VALUE(SUBSTITUTE((INDEX(SPLIT(A2998,"",""),1)),""."","","",1))"),43.049255)</f>
        <v>43.049255</v>
      </c>
      <c r="Q2998" s="13">
        <f>IFERROR(__xludf.DUMMYFUNCTION("VALUE(SUBSTITUTE((INDEX(SPLIT(A2998,"",""),2)),""."","","",1))"),47.282807)</f>
        <v>47.282807</v>
      </c>
      <c r="R2998" s="14" t="b">
        <f t="shared" si="1"/>
        <v>0</v>
      </c>
      <c r="S2998" s="14" t="str">
        <f t="shared" si="2"/>
        <v>43.049255,47.282807</v>
      </c>
      <c r="T2998" s="12"/>
    </row>
    <row r="2999">
      <c r="A2999" s="20" t="s">
        <v>19413</v>
      </c>
      <c r="B2999" s="16" t="s">
        <v>19414</v>
      </c>
      <c r="C2999" s="16" t="s">
        <v>19415</v>
      </c>
      <c r="D2999" s="16" t="s">
        <v>16</v>
      </c>
      <c r="E2999" s="21" t="s">
        <v>19416</v>
      </c>
      <c r="F2999" s="22" t="s">
        <v>17865</v>
      </c>
      <c r="G2999" s="16">
        <v>23.61</v>
      </c>
      <c r="H2999" s="16"/>
      <c r="I2999" s="22"/>
      <c r="J2999" s="22" t="s">
        <v>19417</v>
      </c>
      <c r="K2999" s="22" t="s">
        <v>19355</v>
      </c>
      <c r="L2999" s="23" t="s">
        <v>19418</v>
      </c>
      <c r="M2999" s="23" t="s">
        <v>19419</v>
      </c>
      <c r="N2999" s="12"/>
      <c r="O2999" s="12"/>
      <c r="P2999" s="13">
        <f>IFERROR(__xludf.DUMMYFUNCTION("VALUE(SUBSTITUTE((INDEX(SPLIT(A2999,"",""),1)),""."","","",1))"),56.134982)</f>
        <v>56.134982</v>
      </c>
      <c r="Q2999" s="13">
        <f>IFERROR(__xludf.DUMMYFUNCTION("VALUE(SUBSTITUTE((INDEX(SPLIT(A2999,"",""),2)),""."","","",1))"),47.294521)</f>
        <v>47.294521</v>
      </c>
      <c r="R2999" s="14" t="b">
        <f t="shared" si="1"/>
        <v>0</v>
      </c>
      <c r="S2999" s="14" t="str">
        <f t="shared" si="2"/>
        <v>56.134982,47.294521</v>
      </c>
      <c r="T2999" s="12"/>
    </row>
    <row r="3000">
      <c r="A3000" s="7" t="s">
        <v>19420</v>
      </c>
      <c r="B3000" s="8" t="s">
        <v>19421</v>
      </c>
      <c r="C3000" s="8" t="s">
        <v>19422</v>
      </c>
      <c r="D3000" s="8" t="s">
        <v>16</v>
      </c>
      <c r="E3000" s="9" t="s">
        <v>19423</v>
      </c>
      <c r="F3000" s="10" t="s">
        <v>17865</v>
      </c>
      <c r="G3000" s="8">
        <v>23.61</v>
      </c>
      <c r="H3000" s="8"/>
      <c r="I3000" s="10"/>
      <c r="J3000" s="10" t="s">
        <v>19424</v>
      </c>
      <c r="K3000" s="10" t="s">
        <v>19425</v>
      </c>
      <c r="L3000" s="11" t="s">
        <v>19426</v>
      </c>
      <c r="M3000" s="10"/>
      <c r="N3000" s="12"/>
      <c r="O3000" s="12"/>
      <c r="P3000" s="13">
        <f>IFERROR(__xludf.DUMMYFUNCTION("VALUE(SUBSTITUTE((INDEX(SPLIT(A3000,"",""),1)),""."","","",1))"),56.083732)</f>
        <v>56.083732</v>
      </c>
      <c r="Q3000" s="13">
        <f>IFERROR(__xludf.DUMMYFUNCTION("VALUE(SUBSTITUTE((INDEX(SPLIT(A3000,"",""),2)),""."","","",1))"),47.297108)</f>
        <v>47.297108</v>
      </c>
      <c r="R3000" s="14" t="b">
        <f t="shared" si="1"/>
        <v>0</v>
      </c>
      <c r="S3000" s="14" t="str">
        <f t="shared" si="2"/>
        <v>56.083732,47.297108</v>
      </c>
      <c r="T3000" s="12"/>
    </row>
    <row r="3001">
      <c r="A3001" s="20" t="s">
        <v>19427</v>
      </c>
      <c r="B3001" s="16" t="s">
        <v>19428</v>
      </c>
      <c r="C3001" s="16" t="s">
        <v>19429</v>
      </c>
      <c r="D3001" s="16" t="s">
        <v>16</v>
      </c>
      <c r="E3001" s="21" t="s">
        <v>19430</v>
      </c>
      <c r="F3001" s="22" t="s">
        <v>17865</v>
      </c>
      <c r="G3001" s="16">
        <v>23.61</v>
      </c>
      <c r="H3001" s="16"/>
      <c r="I3001" s="22"/>
      <c r="J3001" s="22" t="s">
        <v>19431</v>
      </c>
      <c r="K3001" s="22" t="s">
        <v>19432</v>
      </c>
      <c r="L3001" s="23" t="s">
        <v>19433</v>
      </c>
      <c r="M3001" s="22"/>
      <c r="N3001" s="12"/>
      <c r="O3001" s="12"/>
      <c r="P3001" s="13">
        <f>IFERROR(__xludf.DUMMYFUNCTION("VALUE(SUBSTITUTE((INDEX(SPLIT(A3001,"",""),1)),""."","","",1))"),43.049189)</f>
        <v>43.049189</v>
      </c>
      <c r="Q3001" s="13">
        <f>IFERROR(__xludf.DUMMYFUNCTION("VALUE(SUBSTITUTE((INDEX(SPLIT(A3001,"",""),2)),""."","","",1))"),47.307816)</f>
        <v>47.307816</v>
      </c>
      <c r="R3001" s="14" t="b">
        <f t="shared" si="1"/>
        <v>0</v>
      </c>
      <c r="S3001" s="14" t="str">
        <f t="shared" si="2"/>
        <v>43.049189,47.307816</v>
      </c>
      <c r="T3001" s="12"/>
    </row>
    <row r="3002">
      <c r="A3002" s="18" t="s">
        <v>19434</v>
      </c>
      <c r="B3002" s="8" t="s">
        <v>19435</v>
      </c>
      <c r="C3002" s="8" t="s">
        <v>19436</v>
      </c>
      <c r="D3002" s="8" t="s">
        <v>16</v>
      </c>
      <c r="E3002" s="19" t="s">
        <v>19437</v>
      </c>
      <c r="F3002" s="8" t="s">
        <v>17865</v>
      </c>
      <c r="G3002" s="8">
        <v>23.61</v>
      </c>
      <c r="H3002" s="8"/>
      <c r="I3002" s="8"/>
      <c r="J3002" s="8" t="s">
        <v>19438</v>
      </c>
      <c r="K3002" s="8" t="s">
        <v>19439</v>
      </c>
      <c r="L3002" s="8"/>
      <c r="M3002" s="8"/>
      <c r="N3002" s="12"/>
      <c r="O3002" s="12"/>
      <c r="P3002" s="13">
        <f>IFERROR(__xludf.DUMMYFUNCTION("VALUE(SUBSTITUTE((INDEX(SPLIT(A3002,"",""),1)),""."","","",1))"),43.036565)</f>
        <v>43.036565</v>
      </c>
      <c r="Q3002" s="13">
        <f>IFERROR(__xludf.DUMMYFUNCTION("VALUE(SUBSTITUTE((INDEX(SPLIT(A3002,"",""),2)),""."","","",1))"),47.316)</f>
        <v>47.316</v>
      </c>
      <c r="R3002" s="14" t="b">
        <f t="shared" si="1"/>
        <v>0</v>
      </c>
      <c r="S3002" s="14" t="str">
        <f t="shared" si="2"/>
        <v>43.036565,47.316</v>
      </c>
      <c r="T3002" s="12"/>
    </row>
    <row r="3003">
      <c r="A3003" s="15" t="s">
        <v>19440</v>
      </c>
      <c r="B3003" s="16" t="s">
        <v>19441</v>
      </c>
      <c r="C3003" s="16" t="s">
        <v>19442</v>
      </c>
      <c r="D3003" s="16" t="s">
        <v>16</v>
      </c>
      <c r="E3003" s="17" t="s">
        <v>19443</v>
      </c>
      <c r="F3003" s="16" t="s">
        <v>8566</v>
      </c>
      <c r="G3003" s="16">
        <v>23.61</v>
      </c>
      <c r="H3003" s="16"/>
      <c r="I3003" s="16"/>
      <c r="J3003" s="16" t="s">
        <v>19444</v>
      </c>
      <c r="K3003" s="16" t="s">
        <v>19445</v>
      </c>
      <c r="L3003" s="16"/>
      <c r="M3003" s="16"/>
      <c r="N3003" s="12"/>
      <c r="O3003" s="12"/>
      <c r="P3003" s="13">
        <f>IFERROR(__xludf.DUMMYFUNCTION("VALUE(SUBSTITUTE((INDEX(SPLIT(A3003,"",""),1)),""."","","",1))"),42.967915)</f>
        <v>42.967915</v>
      </c>
      <c r="Q3003" s="13">
        <f>IFERROR(__xludf.DUMMYFUNCTION("VALUE(SUBSTITUTE((INDEX(SPLIT(A3003,"",""),2)),""."","","",1))"),47.344872)</f>
        <v>47.344872</v>
      </c>
      <c r="R3003" s="14" t="b">
        <f t="shared" si="1"/>
        <v>0</v>
      </c>
      <c r="S3003" s="14" t="str">
        <f t="shared" si="2"/>
        <v>42.967915,47.344872</v>
      </c>
      <c r="T3003" s="12"/>
    </row>
    <row r="3004">
      <c r="A3004" s="7" t="s">
        <v>19446</v>
      </c>
      <c r="B3004" s="8" t="s">
        <v>19447</v>
      </c>
      <c r="C3004" s="8" t="s">
        <v>19448</v>
      </c>
      <c r="D3004" s="8" t="s">
        <v>16</v>
      </c>
      <c r="E3004" s="9" t="s">
        <v>19449</v>
      </c>
      <c r="F3004" s="10" t="s">
        <v>17780</v>
      </c>
      <c r="G3004" s="8">
        <v>23.61</v>
      </c>
      <c r="H3004" s="8"/>
      <c r="I3004" s="10"/>
      <c r="J3004" s="10" t="s">
        <v>19450</v>
      </c>
      <c r="K3004" s="10" t="s">
        <v>19451</v>
      </c>
      <c r="L3004" s="11" t="s">
        <v>19452</v>
      </c>
      <c r="M3004" s="10"/>
      <c r="N3004" s="12"/>
      <c r="O3004" s="12"/>
      <c r="P3004" s="13">
        <f>IFERROR(__xludf.DUMMYFUNCTION("VALUE(SUBSTITUTE((INDEX(SPLIT(A3004,"",""),1)),""."","","",1))"),52.065554)</f>
        <v>52.065554</v>
      </c>
      <c r="Q3004" s="13">
        <f>IFERROR(__xludf.DUMMYFUNCTION("VALUE(SUBSTITUTE((INDEX(SPLIT(A3004,"",""),2)),""."","","",1))"),47.354753)</f>
        <v>47.354753</v>
      </c>
      <c r="R3004" s="14" t="b">
        <f t="shared" si="1"/>
        <v>0</v>
      </c>
      <c r="S3004" s="14" t="str">
        <f t="shared" si="2"/>
        <v>52.065554,47.354753</v>
      </c>
      <c r="T3004" s="12"/>
    </row>
    <row r="3005">
      <c r="A3005" s="20" t="s">
        <v>19453</v>
      </c>
      <c r="B3005" s="16" t="s">
        <v>19454</v>
      </c>
      <c r="C3005" s="16" t="s">
        <v>19455</v>
      </c>
      <c r="D3005" s="16" t="s">
        <v>16</v>
      </c>
      <c r="E3005" s="21" t="s">
        <v>19456</v>
      </c>
      <c r="F3005" s="22" t="s">
        <v>17780</v>
      </c>
      <c r="G3005" s="16">
        <v>23.61</v>
      </c>
      <c r="H3005" s="16"/>
      <c r="I3005" s="22"/>
      <c r="J3005" s="22" t="s">
        <v>19457</v>
      </c>
      <c r="K3005" s="22" t="s">
        <v>19458</v>
      </c>
      <c r="L3005" s="23" t="s">
        <v>19459</v>
      </c>
      <c r="M3005" s="22"/>
      <c r="N3005" s="12"/>
      <c r="O3005" s="12"/>
      <c r="P3005" s="13">
        <f>IFERROR(__xludf.DUMMYFUNCTION("VALUE(SUBSTITUTE((INDEX(SPLIT(A3005,"",""),1)),""."","","",1))"),52.05011)</f>
        <v>52.05011</v>
      </c>
      <c r="Q3005" s="13">
        <f>IFERROR(__xludf.DUMMYFUNCTION("VALUE(SUBSTITUTE((INDEX(SPLIT(A3005,"",""),2)),""."","","",1))"),47.374354)</f>
        <v>47.374354</v>
      </c>
      <c r="R3005" s="14" t="b">
        <f t="shared" si="1"/>
        <v>0</v>
      </c>
      <c r="S3005" s="14" t="str">
        <f t="shared" si="2"/>
        <v>52.05011,47.374354</v>
      </c>
      <c r="T3005" s="12"/>
    </row>
    <row r="3006">
      <c r="A3006" s="7" t="s">
        <v>19460</v>
      </c>
      <c r="B3006" s="8" t="s">
        <v>19461</v>
      </c>
      <c r="C3006" s="8" t="s">
        <v>19462</v>
      </c>
      <c r="D3006" s="8" t="s">
        <v>16</v>
      </c>
      <c r="E3006" s="9" t="s">
        <v>19463</v>
      </c>
      <c r="F3006" s="10" t="s">
        <v>17865</v>
      </c>
      <c r="G3006" s="8">
        <v>23.61</v>
      </c>
      <c r="H3006" s="8"/>
      <c r="I3006" s="10"/>
      <c r="J3006" s="10" t="s">
        <v>19464</v>
      </c>
      <c r="K3006" s="10" t="s">
        <v>19465</v>
      </c>
      <c r="L3006" s="11" t="s">
        <v>19466</v>
      </c>
      <c r="M3006" s="10"/>
      <c r="N3006" s="12"/>
      <c r="O3006" s="12"/>
      <c r="P3006" s="13">
        <f>IFERROR(__xludf.DUMMYFUNCTION("VALUE(SUBSTITUTE((INDEX(SPLIT(A3006,"",""),1)),""."","","",1))"),56.127066)</f>
        <v>56.127066</v>
      </c>
      <c r="Q3006" s="13">
        <f>IFERROR(__xludf.DUMMYFUNCTION("VALUE(SUBSTITUTE((INDEX(SPLIT(A3006,"",""),2)),""."","","",1))"),47.387173)</f>
        <v>47.387173</v>
      </c>
      <c r="R3006" s="14" t="b">
        <f t="shared" si="1"/>
        <v>0</v>
      </c>
      <c r="S3006" s="14" t="str">
        <f t="shared" si="2"/>
        <v>56.127066,47.387173</v>
      </c>
      <c r="T3006" s="12"/>
    </row>
    <row r="3007">
      <c r="A3007" s="15" t="s">
        <v>19467</v>
      </c>
      <c r="B3007" s="16" t="s">
        <v>743</v>
      </c>
      <c r="C3007" s="16" t="s">
        <v>744</v>
      </c>
      <c r="D3007" s="16" t="s">
        <v>16</v>
      </c>
      <c r="E3007" s="17" t="s">
        <v>19468</v>
      </c>
      <c r="F3007" s="16" t="s">
        <v>17865</v>
      </c>
      <c r="G3007" s="16">
        <v>23.61</v>
      </c>
      <c r="H3007" s="16"/>
      <c r="I3007" s="16"/>
      <c r="J3007" s="16" t="s">
        <v>19469</v>
      </c>
      <c r="K3007" s="16" t="s">
        <v>19470</v>
      </c>
      <c r="L3007" s="16"/>
      <c r="M3007" s="25" t="s">
        <v>19471</v>
      </c>
      <c r="N3007" s="12"/>
      <c r="O3007" s="12"/>
      <c r="P3007" s="13">
        <f>IFERROR(__xludf.DUMMYFUNCTION("VALUE(SUBSTITUTE((INDEX(SPLIT(A3007,"",""),1)),""."","","",1))"),55.723278)</f>
        <v>55.723278</v>
      </c>
      <c r="Q3007" s="13">
        <f>IFERROR(__xludf.DUMMYFUNCTION("VALUE(SUBSTITUTE((INDEX(SPLIT(A3007,"",""),2)),""."","","",1))"),47.439446)</f>
        <v>47.439446</v>
      </c>
      <c r="R3007" s="14" t="b">
        <f t="shared" si="1"/>
        <v>0</v>
      </c>
      <c r="S3007" s="14" t="str">
        <f t="shared" si="2"/>
        <v>55.723278,47.439446</v>
      </c>
      <c r="T3007" s="12"/>
    </row>
    <row r="3008">
      <c r="A3008" s="18" t="s">
        <v>19472</v>
      </c>
      <c r="B3008" s="8" t="s">
        <v>19473</v>
      </c>
      <c r="C3008" s="8" t="s">
        <v>19474</v>
      </c>
      <c r="D3008" s="8" t="s">
        <v>16</v>
      </c>
      <c r="E3008" s="19" t="s">
        <v>19475</v>
      </c>
      <c r="F3008" s="8" t="s">
        <v>17780</v>
      </c>
      <c r="G3008" s="8">
        <v>23.61</v>
      </c>
      <c r="H3008" s="8"/>
      <c r="I3008" s="8"/>
      <c r="J3008" s="8" t="s">
        <v>19476</v>
      </c>
      <c r="K3008" s="8" t="s">
        <v>19477</v>
      </c>
      <c r="L3008" s="8"/>
      <c r="M3008" s="8"/>
      <c r="N3008" s="12"/>
      <c r="O3008" s="12"/>
      <c r="P3008" s="13">
        <f>IFERROR(__xludf.DUMMYFUNCTION("VALUE(SUBSTITUTE((INDEX(SPLIT(A3008,"",""),1)),""."","","",1))"),42.991798)</f>
        <v>42.991798</v>
      </c>
      <c r="Q3008" s="13">
        <f>IFERROR(__xludf.DUMMYFUNCTION("VALUE(SUBSTITUTE((INDEX(SPLIT(A3008,"",""),2)),""."","","",1))"),47.460557)</f>
        <v>47.460557</v>
      </c>
      <c r="R3008" s="14" t="b">
        <f t="shared" si="1"/>
        <v>0</v>
      </c>
      <c r="S3008" s="14" t="str">
        <f t="shared" si="2"/>
        <v>42.991798,47.460557</v>
      </c>
      <c r="T3008" s="12"/>
    </row>
    <row r="3009">
      <c r="A3009" s="20" t="s">
        <v>19478</v>
      </c>
      <c r="B3009" s="16" t="s">
        <v>19479</v>
      </c>
      <c r="C3009" s="16" t="s">
        <v>19480</v>
      </c>
      <c r="D3009" s="16" t="s">
        <v>16</v>
      </c>
      <c r="E3009" s="21" t="s">
        <v>19481</v>
      </c>
      <c r="F3009" s="22" t="s">
        <v>17780</v>
      </c>
      <c r="G3009" s="16">
        <v>23.61</v>
      </c>
      <c r="H3009" s="16"/>
      <c r="I3009" s="22"/>
      <c r="J3009" s="22" t="s">
        <v>19482</v>
      </c>
      <c r="K3009" s="22" t="s">
        <v>19483</v>
      </c>
      <c r="L3009" s="23" t="s">
        <v>19459</v>
      </c>
      <c r="M3009" s="22"/>
      <c r="N3009" s="12"/>
      <c r="O3009" s="12"/>
      <c r="P3009" s="13">
        <f>IFERROR(__xludf.DUMMYFUNCTION("VALUE(SUBSTITUTE((INDEX(SPLIT(A3009,"",""),1)),""."","","",1))"),56.105922)</f>
        <v>56.105922</v>
      </c>
      <c r="Q3009" s="13">
        <f>IFERROR(__xludf.DUMMYFUNCTION("VALUE(SUBSTITUTE((INDEX(SPLIT(A3009,"",""),2)),""."","","",1))"),47.483239)</f>
        <v>47.483239</v>
      </c>
      <c r="R3009" s="14" t="b">
        <f t="shared" si="1"/>
        <v>0</v>
      </c>
      <c r="S3009" s="14" t="str">
        <f t="shared" si="2"/>
        <v>56.105922,47.483239</v>
      </c>
      <c r="T3009" s="12"/>
    </row>
    <row r="3010">
      <c r="A3010" s="18" t="s">
        <v>19484</v>
      </c>
      <c r="B3010" s="8" t="s">
        <v>19485</v>
      </c>
      <c r="C3010" s="8" t="s">
        <v>19486</v>
      </c>
      <c r="D3010" s="8" t="s">
        <v>16</v>
      </c>
      <c r="E3010" s="19" t="s">
        <v>19487</v>
      </c>
      <c r="F3010" s="8" t="s">
        <v>17865</v>
      </c>
      <c r="G3010" s="8">
        <v>23.61</v>
      </c>
      <c r="H3010" s="8"/>
      <c r="I3010" s="8"/>
      <c r="J3010" s="8" t="s">
        <v>19488</v>
      </c>
      <c r="K3010" s="8" t="s">
        <v>19489</v>
      </c>
      <c r="L3010" s="8"/>
      <c r="M3010" s="24" t="s">
        <v>19490</v>
      </c>
      <c r="N3010" s="12"/>
      <c r="O3010" s="12"/>
      <c r="P3010" s="13">
        <f>IFERROR(__xludf.DUMMYFUNCTION("VALUE(SUBSTITUTE((INDEX(SPLIT(A3010,"",""),1)),""."","","",1))"),42.969439)</f>
        <v>42.969439</v>
      </c>
      <c r="Q3010" s="13">
        <f>IFERROR(__xludf.DUMMYFUNCTION("VALUE(SUBSTITUTE((INDEX(SPLIT(A3010,"",""),2)),""."","","",1))"),47.483769)</f>
        <v>47.483769</v>
      </c>
      <c r="R3010" s="14" t="b">
        <f t="shared" si="1"/>
        <v>0</v>
      </c>
      <c r="S3010" s="14" t="str">
        <f t="shared" si="2"/>
        <v>42.969439,47.483769</v>
      </c>
      <c r="T3010" s="12"/>
    </row>
    <row r="3011">
      <c r="A3011" s="20" t="s">
        <v>19491</v>
      </c>
      <c r="B3011" s="16" t="s">
        <v>5139</v>
      </c>
      <c r="C3011" s="16" t="s">
        <v>5140</v>
      </c>
      <c r="D3011" s="16" t="s">
        <v>16</v>
      </c>
      <c r="E3011" s="21" t="s">
        <v>19492</v>
      </c>
      <c r="F3011" s="22" t="s">
        <v>17780</v>
      </c>
      <c r="G3011" s="16">
        <v>23.61</v>
      </c>
      <c r="H3011" s="16"/>
      <c r="I3011" s="22"/>
      <c r="J3011" s="22" t="s">
        <v>19493</v>
      </c>
      <c r="K3011" s="22" t="s">
        <v>19494</v>
      </c>
      <c r="L3011" s="23" t="s">
        <v>19495</v>
      </c>
      <c r="M3011" s="22"/>
      <c r="N3011" s="12"/>
      <c r="O3011" s="12"/>
      <c r="P3011" s="13">
        <f>IFERROR(__xludf.DUMMYFUNCTION("VALUE(SUBSTITUTE((INDEX(SPLIT(A3011,"",""),1)),""."","","",1))"),42.966879)</f>
        <v>42.966879</v>
      </c>
      <c r="Q3011" s="13">
        <f>IFERROR(__xludf.DUMMYFUNCTION("VALUE(SUBSTITUTE((INDEX(SPLIT(A3011,"",""),2)),""."","","",1))"),47.488602)</f>
        <v>47.488602</v>
      </c>
      <c r="R3011" s="14" t="b">
        <f t="shared" si="1"/>
        <v>0</v>
      </c>
      <c r="S3011" s="14" t="str">
        <f t="shared" si="2"/>
        <v>42.966879,47.488602</v>
      </c>
      <c r="T3011" s="12"/>
    </row>
    <row r="3012">
      <c r="A3012" s="18" t="s">
        <v>19496</v>
      </c>
      <c r="B3012" s="8" t="s">
        <v>19497</v>
      </c>
      <c r="C3012" s="8" t="s">
        <v>19498</v>
      </c>
      <c r="D3012" s="8" t="s">
        <v>16</v>
      </c>
      <c r="E3012" s="19" t="s">
        <v>19499</v>
      </c>
      <c r="F3012" s="8" t="s">
        <v>17780</v>
      </c>
      <c r="G3012" s="8">
        <v>23.61</v>
      </c>
      <c r="H3012" s="8"/>
      <c r="I3012" s="8"/>
      <c r="J3012" s="8" t="s">
        <v>19500</v>
      </c>
      <c r="K3012" s="8" t="s">
        <v>19494</v>
      </c>
      <c r="L3012" s="8"/>
      <c r="M3012" s="8"/>
      <c r="N3012" s="12"/>
      <c r="O3012" s="12"/>
      <c r="P3012" s="13">
        <f>IFERROR(__xludf.DUMMYFUNCTION("VALUE(SUBSTITUTE((INDEX(SPLIT(A3012,"",""),1)),""."","","",1))"),42.986681)</f>
        <v>42.986681</v>
      </c>
      <c r="Q3012" s="13">
        <f>IFERROR(__xludf.DUMMYFUNCTION("VALUE(SUBSTITUTE((INDEX(SPLIT(A3012,"",""),2)),""."","","",1))"),47.493911)</f>
        <v>47.493911</v>
      </c>
      <c r="R3012" s="14" t="b">
        <f t="shared" si="1"/>
        <v>0</v>
      </c>
      <c r="S3012" s="14" t="str">
        <f t="shared" si="2"/>
        <v>42.986681,47.493911</v>
      </c>
      <c r="T3012" s="12"/>
    </row>
    <row r="3013">
      <c r="A3013" s="15" t="s">
        <v>19501</v>
      </c>
      <c r="B3013" s="16" t="s">
        <v>19502</v>
      </c>
      <c r="C3013" s="16" t="s">
        <v>19503</v>
      </c>
      <c r="D3013" s="16" t="s">
        <v>16</v>
      </c>
      <c r="E3013" s="17" t="s">
        <v>19504</v>
      </c>
      <c r="F3013" s="16" t="s">
        <v>17865</v>
      </c>
      <c r="G3013" s="16">
        <v>23.61</v>
      </c>
      <c r="H3013" s="16"/>
      <c r="I3013" s="16"/>
      <c r="J3013" s="16" t="s">
        <v>19505</v>
      </c>
      <c r="K3013" s="16" t="s">
        <v>19355</v>
      </c>
      <c r="L3013" s="16"/>
      <c r="M3013" s="16"/>
      <c r="N3013" s="12"/>
      <c r="O3013" s="12"/>
      <c r="P3013" s="13">
        <f>IFERROR(__xludf.DUMMYFUNCTION("VALUE(SUBSTITUTE((INDEX(SPLIT(A3013,"",""),1)),""."","","",1))"),56.095042)</f>
        <v>56.095042</v>
      </c>
      <c r="Q3013" s="13">
        <f>IFERROR(__xludf.DUMMYFUNCTION("VALUE(SUBSTITUTE((INDEX(SPLIT(A3013,"",""),2)),""."","","",1))"),47.500244)</f>
        <v>47.500244</v>
      </c>
      <c r="R3013" s="14" t="b">
        <f t="shared" si="1"/>
        <v>0</v>
      </c>
      <c r="S3013" s="14" t="str">
        <f t="shared" si="2"/>
        <v>56.095042,47.500244</v>
      </c>
      <c r="T3013" s="12"/>
    </row>
    <row r="3014">
      <c r="A3014" s="18" t="s">
        <v>19506</v>
      </c>
      <c r="B3014" s="8" t="s">
        <v>19507</v>
      </c>
      <c r="C3014" s="8" t="s">
        <v>19508</v>
      </c>
      <c r="D3014" s="8" t="s">
        <v>16</v>
      </c>
      <c r="E3014" s="19" t="s">
        <v>19509</v>
      </c>
      <c r="F3014" s="8" t="s">
        <v>17780</v>
      </c>
      <c r="G3014" s="8">
        <v>23.61</v>
      </c>
      <c r="H3014" s="8"/>
      <c r="I3014" s="8"/>
      <c r="J3014" s="8" t="s">
        <v>19510</v>
      </c>
      <c r="K3014" s="8" t="s">
        <v>19511</v>
      </c>
      <c r="L3014" s="8"/>
      <c r="M3014" s="8"/>
      <c r="N3014" s="12"/>
      <c r="O3014" s="12"/>
      <c r="P3014" s="13">
        <f>IFERROR(__xludf.DUMMYFUNCTION("VALUE(SUBSTITUTE((INDEX(SPLIT(A3014,"",""),1)),""."","","",1))"),42.98302)</f>
        <v>42.98302</v>
      </c>
      <c r="Q3014" s="13">
        <f>IFERROR(__xludf.DUMMYFUNCTION("VALUE(SUBSTITUTE((INDEX(SPLIT(A3014,"",""),2)),""."","","",1))"),47.501152)</f>
        <v>47.501152</v>
      </c>
      <c r="R3014" s="14" t="b">
        <f t="shared" si="1"/>
        <v>0</v>
      </c>
      <c r="S3014" s="14" t="str">
        <f t="shared" si="2"/>
        <v>42.98302,47.501152</v>
      </c>
      <c r="T3014" s="12"/>
    </row>
    <row r="3015">
      <c r="A3015" s="20" t="s">
        <v>19512</v>
      </c>
      <c r="B3015" s="16" t="s">
        <v>19513</v>
      </c>
      <c r="C3015" s="16" t="s">
        <v>19514</v>
      </c>
      <c r="D3015" s="16" t="s">
        <v>16</v>
      </c>
      <c r="E3015" s="21" t="s">
        <v>19515</v>
      </c>
      <c r="F3015" s="22" t="s">
        <v>17780</v>
      </c>
      <c r="G3015" s="16">
        <v>23.61</v>
      </c>
      <c r="H3015" s="16"/>
      <c r="I3015" s="22"/>
      <c r="J3015" s="22" t="s">
        <v>19516</v>
      </c>
      <c r="K3015" s="22" t="s">
        <v>19517</v>
      </c>
      <c r="L3015" s="23" t="s">
        <v>19518</v>
      </c>
      <c r="M3015" s="23" t="s">
        <v>19519</v>
      </c>
      <c r="N3015" s="12"/>
      <c r="O3015" s="12"/>
      <c r="P3015" s="13">
        <f>IFERROR(__xludf.DUMMYFUNCTION("VALUE(SUBSTITUTE((INDEX(SPLIT(A3015,"",""),1)),""."","","",1))"),56.088067)</f>
        <v>56.088067</v>
      </c>
      <c r="Q3015" s="13">
        <f>IFERROR(__xludf.DUMMYFUNCTION("VALUE(SUBSTITUTE((INDEX(SPLIT(A3015,"",""),2)),""."","","",1))"),47.503092)</f>
        <v>47.503092</v>
      </c>
      <c r="R3015" s="14" t="b">
        <f t="shared" si="1"/>
        <v>0</v>
      </c>
      <c r="S3015" s="14" t="str">
        <f t="shared" si="2"/>
        <v>56.088067,47.503092</v>
      </c>
      <c r="T3015" s="12"/>
    </row>
    <row r="3016">
      <c r="A3016" s="7" t="s">
        <v>19512</v>
      </c>
      <c r="B3016" s="8" t="s">
        <v>19520</v>
      </c>
      <c r="C3016" s="8" t="s">
        <v>19521</v>
      </c>
      <c r="D3016" s="8" t="s">
        <v>16</v>
      </c>
      <c r="E3016" s="9" t="s">
        <v>19522</v>
      </c>
      <c r="F3016" s="10" t="s">
        <v>8566</v>
      </c>
      <c r="G3016" s="8">
        <v>23.61</v>
      </c>
      <c r="H3016" s="8"/>
      <c r="I3016" s="10"/>
      <c r="J3016" s="10" t="s">
        <v>19523</v>
      </c>
      <c r="K3016" s="10" t="s">
        <v>19524</v>
      </c>
      <c r="L3016" s="11" t="s">
        <v>19525</v>
      </c>
      <c r="M3016" s="10"/>
      <c r="N3016" s="12"/>
      <c r="O3016" s="12"/>
      <c r="P3016" s="13">
        <f>IFERROR(__xludf.DUMMYFUNCTION("VALUE(SUBSTITUTE((INDEX(SPLIT(A3016,"",""),1)),""."","","",1))"),56.088067)</f>
        <v>56.088067</v>
      </c>
      <c r="Q3016" s="13">
        <f>IFERROR(__xludf.DUMMYFUNCTION("VALUE(SUBSTITUTE((INDEX(SPLIT(A3016,"",""),2)),""."","","",1))"),47.503092)</f>
        <v>47.503092</v>
      </c>
      <c r="R3016" s="14" t="b">
        <f t="shared" si="1"/>
        <v>0</v>
      </c>
      <c r="S3016" s="14" t="str">
        <f t="shared" si="2"/>
        <v>56.088067,47.503092</v>
      </c>
      <c r="T3016" s="12"/>
    </row>
    <row r="3017">
      <c r="A3017" s="15" t="s">
        <v>19526</v>
      </c>
      <c r="B3017" s="16" t="s">
        <v>516</v>
      </c>
      <c r="C3017" s="16" t="s">
        <v>517</v>
      </c>
      <c r="D3017" s="16" t="s">
        <v>16</v>
      </c>
      <c r="E3017" s="17" t="s">
        <v>19527</v>
      </c>
      <c r="F3017" s="16" t="s">
        <v>17780</v>
      </c>
      <c r="G3017" s="16">
        <v>23.61</v>
      </c>
      <c r="H3017" s="16"/>
      <c r="I3017" s="16"/>
      <c r="J3017" s="16" t="s">
        <v>19528</v>
      </c>
      <c r="K3017" s="16" t="s">
        <v>19529</v>
      </c>
      <c r="L3017" s="16"/>
      <c r="M3017" s="25" t="s">
        <v>19530</v>
      </c>
      <c r="N3017" s="12"/>
      <c r="O3017" s="12"/>
      <c r="P3017" s="13">
        <f>IFERROR(__xludf.DUMMYFUNCTION("VALUE(SUBSTITUTE((INDEX(SPLIT(A3017,"",""),1)),""."","","",1))"),56.09699)</f>
        <v>56.09699</v>
      </c>
      <c r="Q3017" s="13">
        <f>IFERROR(__xludf.DUMMYFUNCTION("VALUE(SUBSTITUTE((INDEX(SPLIT(A3017,"",""),2)),""."","","",1))"),47.503757)</f>
        <v>47.503757</v>
      </c>
      <c r="R3017" s="14" t="b">
        <f t="shared" si="1"/>
        <v>0</v>
      </c>
      <c r="S3017" s="14" t="str">
        <f t="shared" si="2"/>
        <v>56.09699,47.503757</v>
      </c>
      <c r="T3017" s="12"/>
    </row>
    <row r="3018">
      <c r="A3018" s="18" t="s">
        <v>19531</v>
      </c>
      <c r="B3018" s="8" t="s">
        <v>19532</v>
      </c>
      <c r="C3018" s="8" t="s">
        <v>19533</v>
      </c>
      <c r="D3018" s="8" t="s">
        <v>16</v>
      </c>
      <c r="E3018" s="19" t="s">
        <v>19534</v>
      </c>
      <c r="F3018" s="8" t="s">
        <v>17780</v>
      </c>
      <c r="G3018" s="8">
        <v>23.61</v>
      </c>
      <c r="H3018" s="8"/>
      <c r="I3018" s="8"/>
      <c r="J3018" s="8" t="s">
        <v>19535</v>
      </c>
      <c r="K3018" s="8" t="s">
        <v>19536</v>
      </c>
      <c r="L3018" s="8"/>
      <c r="M3018" s="24" t="s">
        <v>19537</v>
      </c>
      <c r="N3018" s="12"/>
      <c r="O3018" s="12"/>
      <c r="P3018" s="13">
        <f>IFERROR(__xludf.DUMMYFUNCTION("VALUE(SUBSTITUTE((INDEX(SPLIT(A3018,"",""),1)),""."","","",1))"),56.092376)</f>
        <v>56.092376</v>
      </c>
      <c r="Q3018" s="13">
        <f>IFERROR(__xludf.DUMMYFUNCTION("VALUE(SUBSTITUTE((INDEX(SPLIT(A3018,"",""),2)),""."","","",1))"),47.503972)</f>
        <v>47.503972</v>
      </c>
      <c r="R3018" s="14" t="b">
        <f t="shared" si="1"/>
        <v>0</v>
      </c>
      <c r="S3018" s="14" t="str">
        <f t="shared" si="2"/>
        <v>56.092376,47.503972</v>
      </c>
      <c r="T3018" s="12"/>
    </row>
    <row r="3019">
      <c r="A3019" s="15" t="s">
        <v>19538</v>
      </c>
      <c r="B3019" s="16" t="s">
        <v>9360</v>
      </c>
      <c r="C3019" s="16" t="s">
        <v>9361</v>
      </c>
      <c r="D3019" s="16" t="s">
        <v>16</v>
      </c>
      <c r="E3019" s="17" t="s">
        <v>19539</v>
      </c>
      <c r="F3019" s="16" t="s">
        <v>17780</v>
      </c>
      <c r="G3019" s="16">
        <v>23.61</v>
      </c>
      <c r="H3019" s="16"/>
      <c r="I3019" s="16"/>
      <c r="J3019" s="16" t="s">
        <v>19540</v>
      </c>
      <c r="K3019" s="16" t="s">
        <v>19541</v>
      </c>
      <c r="L3019" s="16"/>
      <c r="M3019" s="25" t="s">
        <v>19537</v>
      </c>
      <c r="N3019" s="12"/>
      <c r="O3019" s="12"/>
      <c r="P3019" s="13">
        <f>IFERROR(__xludf.DUMMYFUNCTION("VALUE(SUBSTITUTE((INDEX(SPLIT(A3019,"",""),1)),""."","","",1))"),56.091251)</f>
        <v>56.091251</v>
      </c>
      <c r="Q3019" s="13">
        <f>IFERROR(__xludf.DUMMYFUNCTION("VALUE(SUBSTITUTE((INDEX(SPLIT(A3019,"",""),2)),""."","","",1))"),47.504269)</f>
        <v>47.504269</v>
      </c>
      <c r="R3019" s="14" t="b">
        <f t="shared" si="1"/>
        <v>0</v>
      </c>
      <c r="S3019" s="14" t="str">
        <f t="shared" si="2"/>
        <v>56.091251,47.504269</v>
      </c>
      <c r="T3019" s="12"/>
    </row>
    <row r="3020">
      <c r="A3020" s="18" t="s">
        <v>19542</v>
      </c>
      <c r="B3020" s="8" t="s">
        <v>19543</v>
      </c>
      <c r="C3020" s="8" t="s">
        <v>19544</v>
      </c>
      <c r="D3020" s="8" t="s">
        <v>16</v>
      </c>
      <c r="E3020" s="19" t="s">
        <v>19545</v>
      </c>
      <c r="F3020" s="8" t="s">
        <v>8566</v>
      </c>
      <c r="G3020" s="8">
        <v>23.61</v>
      </c>
      <c r="H3020" s="8"/>
      <c r="I3020" s="8"/>
      <c r="J3020" s="8" t="s">
        <v>19546</v>
      </c>
      <c r="K3020" s="8" t="s">
        <v>19547</v>
      </c>
      <c r="L3020" s="8"/>
      <c r="M3020" s="8"/>
      <c r="N3020" s="12"/>
      <c r="O3020" s="12"/>
      <c r="P3020" s="13">
        <f>IFERROR(__xludf.DUMMYFUNCTION("VALUE(SUBSTITUTE((INDEX(SPLIT(A3020,"",""),1)),""."","","",1))"),42.946695)</f>
        <v>42.946695</v>
      </c>
      <c r="Q3020" s="13">
        <f>IFERROR(__xludf.DUMMYFUNCTION("VALUE(SUBSTITUTE((INDEX(SPLIT(A3020,"",""),2)),""."","","",1))"),47.506344)</f>
        <v>47.506344</v>
      </c>
      <c r="R3020" s="14" t="b">
        <f t="shared" si="1"/>
        <v>0</v>
      </c>
      <c r="S3020" s="14" t="str">
        <f t="shared" si="2"/>
        <v>42.946695,47.506344</v>
      </c>
      <c r="T3020" s="12"/>
    </row>
    <row r="3021">
      <c r="A3021" s="15" t="s">
        <v>19548</v>
      </c>
      <c r="B3021" s="16" t="s">
        <v>19549</v>
      </c>
      <c r="C3021" s="16" t="s">
        <v>19550</v>
      </c>
      <c r="D3021" s="16" t="s">
        <v>16</v>
      </c>
      <c r="E3021" s="17" t="s">
        <v>19551</v>
      </c>
      <c r="F3021" s="16" t="s">
        <v>8566</v>
      </c>
      <c r="G3021" s="16">
        <v>23.61</v>
      </c>
      <c r="H3021" s="16"/>
      <c r="I3021" s="16"/>
      <c r="J3021" s="16" t="s">
        <v>19552</v>
      </c>
      <c r="K3021" s="16" t="s">
        <v>19553</v>
      </c>
      <c r="L3021" s="16"/>
      <c r="M3021" s="25" t="s">
        <v>19554</v>
      </c>
      <c r="N3021" s="12"/>
      <c r="O3021" s="12"/>
      <c r="P3021" s="13">
        <f>IFERROR(__xludf.DUMMYFUNCTION("VALUE(SUBSTITUTE((INDEX(SPLIT(A3021,"",""),1)),""."","","",1))"),42.985764)</f>
        <v>42.985764</v>
      </c>
      <c r="Q3021" s="13">
        <f>IFERROR(__xludf.DUMMYFUNCTION("VALUE(SUBSTITUTE((INDEX(SPLIT(A3021,"",""),2)),""."","","",1))"),47.507062)</f>
        <v>47.507062</v>
      </c>
      <c r="R3021" s="14" t="b">
        <f t="shared" si="1"/>
        <v>0</v>
      </c>
      <c r="S3021" s="14" t="str">
        <f t="shared" si="2"/>
        <v>42.985764,47.507062</v>
      </c>
      <c r="T3021" s="12"/>
    </row>
    <row r="3022">
      <c r="A3022" s="18" t="s">
        <v>19555</v>
      </c>
      <c r="B3022" s="8" t="s">
        <v>19556</v>
      </c>
      <c r="C3022" s="8" t="s">
        <v>19557</v>
      </c>
      <c r="D3022" s="8" t="s">
        <v>16</v>
      </c>
      <c r="E3022" s="19" t="s">
        <v>19558</v>
      </c>
      <c r="F3022" s="8" t="s">
        <v>17780</v>
      </c>
      <c r="G3022" s="8">
        <v>23.61</v>
      </c>
      <c r="H3022" s="8"/>
      <c r="I3022" s="8"/>
      <c r="J3022" s="8" t="s">
        <v>19559</v>
      </c>
      <c r="K3022" s="8" t="s">
        <v>19560</v>
      </c>
      <c r="L3022" s="8"/>
      <c r="M3022" s="8"/>
      <c r="N3022" s="12"/>
      <c r="O3022" s="12"/>
      <c r="P3022" s="13">
        <f>IFERROR(__xludf.DUMMYFUNCTION("VALUE(SUBSTITUTE((INDEX(SPLIT(A3022,"",""),1)),""."","","",1))"),56.085922)</f>
        <v>56.085922</v>
      </c>
      <c r="Q3022" s="13">
        <f>IFERROR(__xludf.DUMMYFUNCTION("VALUE(SUBSTITUTE((INDEX(SPLIT(A3022,"",""),2)),""."","","",1))"),47.508419)</f>
        <v>47.508419</v>
      </c>
      <c r="R3022" s="14" t="b">
        <f t="shared" si="1"/>
        <v>0</v>
      </c>
      <c r="S3022" s="14" t="str">
        <f t="shared" si="2"/>
        <v>56.085922,47.508419</v>
      </c>
      <c r="T3022" s="12"/>
    </row>
    <row r="3023">
      <c r="A3023" s="15" t="s">
        <v>19561</v>
      </c>
      <c r="B3023" s="16" t="s">
        <v>19562</v>
      </c>
      <c r="C3023" s="16" t="s">
        <v>19563</v>
      </c>
      <c r="D3023" s="16" t="s">
        <v>16</v>
      </c>
      <c r="E3023" s="17" t="s">
        <v>19564</v>
      </c>
      <c r="F3023" s="16" t="s">
        <v>17780</v>
      </c>
      <c r="G3023" s="16">
        <v>23.61</v>
      </c>
      <c r="H3023" s="16"/>
      <c r="I3023" s="16"/>
      <c r="J3023" s="16" t="s">
        <v>19565</v>
      </c>
      <c r="K3023" s="16" t="s">
        <v>19566</v>
      </c>
      <c r="L3023" s="16"/>
      <c r="M3023" s="16"/>
      <c r="N3023" s="12"/>
      <c r="O3023" s="12"/>
      <c r="P3023" s="13">
        <f>IFERROR(__xludf.DUMMYFUNCTION("VALUE(SUBSTITUTE((INDEX(SPLIT(A3023,"",""),1)),""."","","",1))"),56.088448)</f>
        <v>56.088448</v>
      </c>
      <c r="Q3023" s="13">
        <f>IFERROR(__xludf.DUMMYFUNCTION("VALUE(SUBSTITUTE((INDEX(SPLIT(A3023,"",""),2)),""."","","",1))"),47.509991)</f>
        <v>47.509991</v>
      </c>
      <c r="R3023" s="14" t="b">
        <f t="shared" si="1"/>
        <v>0</v>
      </c>
      <c r="S3023" s="14" t="str">
        <f t="shared" si="2"/>
        <v>56.088448,47.509991</v>
      </c>
      <c r="T3023" s="12"/>
    </row>
    <row r="3024">
      <c r="A3024" s="7" t="s">
        <v>19567</v>
      </c>
      <c r="B3024" s="8" t="s">
        <v>19568</v>
      </c>
      <c r="C3024" s="8" t="s">
        <v>19569</v>
      </c>
      <c r="D3024" s="8" t="s">
        <v>16</v>
      </c>
      <c r="E3024" s="9" t="s">
        <v>19570</v>
      </c>
      <c r="F3024" s="10" t="s">
        <v>8566</v>
      </c>
      <c r="G3024" s="8">
        <v>23.61</v>
      </c>
      <c r="H3024" s="8"/>
      <c r="I3024" s="31" t="s">
        <v>19571</v>
      </c>
      <c r="J3024" s="10" t="s">
        <v>19572</v>
      </c>
      <c r="K3024" s="10" t="s">
        <v>19573</v>
      </c>
      <c r="L3024" s="11" t="s">
        <v>19574</v>
      </c>
      <c r="M3024" s="11" t="s">
        <v>19575</v>
      </c>
      <c r="N3024" s="12"/>
      <c r="O3024" s="12"/>
      <c r="P3024" s="13">
        <f>IFERROR(__xludf.DUMMYFUNCTION("VALUE(SUBSTITUTE((INDEX(SPLIT(A3024,"",""),1)),""."","","",1))"),42.929812)</f>
        <v>42.929812</v>
      </c>
      <c r="Q3024" s="13">
        <f>IFERROR(__xludf.DUMMYFUNCTION("VALUE(SUBSTITUTE((INDEX(SPLIT(A3024,"",""),2)),""."","","",1))"),47.519199)</f>
        <v>47.519199</v>
      </c>
      <c r="R3024" s="14" t="b">
        <f t="shared" si="1"/>
        <v>0</v>
      </c>
      <c r="S3024" s="14" t="str">
        <f t="shared" si="2"/>
        <v>42.929812,47.519199</v>
      </c>
      <c r="T3024" s="12"/>
    </row>
    <row r="3025">
      <c r="A3025" s="15" t="s">
        <v>19576</v>
      </c>
      <c r="B3025" s="16" t="s">
        <v>19577</v>
      </c>
      <c r="C3025" s="16" t="s">
        <v>19578</v>
      </c>
      <c r="D3025" s="16" t="s">
        <v>16</v>
      </c>
      <c r="E3025" s="17" t="s">
        <v>19579</v>
      </c>
      <c r="F3025" s="16" t="s">
        <v>8566</v>
      </c>
      <c r="G3025" s="16">
        <v>23.61</v>
      </c>
      <c r="H3025" s="16"/>
      <c r="I3025" s="16"/>
      <c r="J3025" s="16" t="s">
        <v>19580</v>
      </c>
      <c r="K3025" s="16" t="s">
        <v>19581</v>
      </c>
      <c r="L3025" s="16"/>
      <c r="M3025" s="16"/>
      <c r="N3025" s="12"/>
      <c r="O3025" s="12"/>
      <c r="P3025" s="13">
        <f>IFERROR(__xludf.DUMMYFUNCTION("VALUE(SUBSTITUTE((INDEX(SPLIT(A3025,"",""),1)),""."","","",1))"),52.075961)</f>
        <v>52.075961</v>
      </c>
      <c r="Q3025" s="13">
        <f>IFERROR(__xludf.DUMMYFUNCTION("VALUE(SUBSTITUTE((INDEX(SPLIT(A3025,"",""),2)),""."","","",1))"),47.519549)</f>
        <v>47.519549</v>
      </c>
      <c r="R3025" s="14" t="b">
        <f t="shared" si="1"/>
        <v>0</v>
      </c>
      <c r="S3025" s="14" t="str">
        <f t="shared" si="2"/>
        <v>52.075961,47.519549</v>
      </c>
      <c r="T3025" s="12"/>
    </row>
    <row r="3026">
      <c r="A3026" s="18" t="s">
        <v>19582</v>
      </c>
      <c r="B3026" s="8" t="s">
        <v>19583</v>
      </c>
      <c r="C3026" s="8" t="s">
        <v>19584</v>
      </c>
      <c r="D3026" s="8" t="s">
        <v>16</v>
      </c>
      <c r="E3026" s="19" t="s">
        <v>19585</v>
      </c>
      <c r="F3026" s="8" t="s">
        <v>8566</v>
      </c>
      <c r="G3026" s="8">
        <v>23.61</v>
      </c>
      <c r="H3026" s="8"/>
      <c r="I3026" s="8"/>
      <c r="J3026" s="8" t="s">
        <v>19586</v>
      </c>
      <c r="K3026" s="8" t="s">
        <v>19587</v>
      </c>
      <c r="L3026" s="8"/>
      <c r="M3026" s="8"/>
      <c r="N3026" s="12"/>
      <c r="O3026" s="12"/>
      <c r="P3026" s="13">
        <f>IFERROR(__xludf.DUMMYFUNCTION("VALUE(SUBSTITUTE((INDEX(SPLIT(A3026,"",""),1)),""."","","",1))"),56.119986)</f>
        <v>56.119986</v>
      </c>
      <c r="Q3026" s="13">
        <f>IFERROR(__xludf.DUMMYFUNCTION("VALUE(SUBSTITUTE((INDEX(SPLIT(A3026,"",""),2)),""."","","",1))"),47.520627)</f>
        <v>47.520627</v>
      </c>
      <c r="R3026" s="14" t="b">
        <f t="shared" si="1"/>
        <v>0</v>
      </c>
      <c r="S3026" s="14" t="str">
        <f t="shared" si="2"/>
        <v>56.119986,47.520627</v>
      </c>
      <c r="T3026" s="12"/>
    </row>
    <row r="3027">
      <c r="A3027" s="20" t="s">
        <v>19588</v>
      </c>
      <c r="B3027" s="16" t="s">
        <v>16251</v>
      </c>
      <c r="C3027" s="16" t="s">
        <v>16252</v>
      </c>
      <c r="D3027" s="16" t="s">
        <v>16</v>
      </c>
      <c r="E3027" s="21" t="s">
        <v>19589</v>
      </c>
      <c r="F3027" s="22" t="s">
        <v>17780</v>
      </c>
      <c r="G3027" s="16">
        <v>23.61</v>
      </c>
      <c r="H3027" s="16"/>
      <c r="I3027" s="22"/>
      <c r="J3027" s="22" t="s">
        <v>19590</v>
      </c>
      <c r="K3027" s="22" t="s">
        <v>19591</v>
      </c>
      <c r="L3027" s="23" t="s">
        <v>19592</v>
      </c>
      <c r="M3027" s="22"/>
      <c r="N3027" s="12"/>
      <c r="O3027" s="12"/>
      <c r="P3027" s="13">
        <f>IFERROR(__xludf.DUMMYFUNCTION("VALUE(SUBSTITUTE((INDEX(SPLIT(A3027,"",""),1)),""."","","",1))"),42.905469)</f>
        <v>42.905469</v>
      </c>
      <c r="Q3027" s="13">
        <f>IFERROR(__xludf.DUMMYFUNCTION("VALUE(SUBSTITUTE((INDEX(SPLIT(A3027,"",""),2)),""."","","",1))"),47.526026)</f>
        <v>47.526026</v>
      </c>
      <c r="R3027" s="14" t="b">
        <f t="shared" si="1"/>
        <v>0</v>
      </c>
      <c r="S3027" s="14" t="str">
        <f t="shared" si="2"/>
        <v>42.905469,47.526026</v>
      </c>
      <c r="T3027" s="12"/>
    </row>
    <row r="3028">
      <c r="A3028" s="18" t="s">
        <v>19593</v>
      </c>
      <c r="B3028" s="8" t="s">
        <v>19594</v>
      </c>
      <c r="C3028" s="8" t="s">
        <v>19595</v>
      </c>
      <c r="D3028" s="8" t="s">
        <v>16</v>
      </c>
      <c r="E3028" s="19" t="s">
        <v>19596</v>
      </c>
      <c r="F3028" s="8" t="s">
        <v>8566</v>
      </c>
      <c r="G3028" s="8">
        <v>23.61</v>
      </c>
      <c r="H3028" s="8"/>
      <c r="I3028" s="27" t="s">
        <v>19597</v>
      </c>
      <c r="J3028" s="8" t="s">
        <v>19598</v>
      </c>
      <c r="K3028" s="8" t="s">
        <v>19599</v>
      </c>
      <c r="L3028" s="8"/>
      <c r="M3028" s="24" t="s">
        <v>19600</v>
      </c>
      <c r="N3028" s="12"/>
      <c r="O3028" s="12"/>
      <c r="P3028" s="13">
        <f>IFERROR(__xludf.DUMMYFUNCTION("VALUE(SUBSTITUTE((INDEX(SPLIT(A3028,"",""),1)),""."","","",1))"),42.925)</f>
        <v>42.925</v>
      </c>
      <c r="Q3028" s="13">
        <f>IFERROR(__xludf.DUMMYFUNCTION("VALUE(SUBSTITUTE((INDEX(SPLIT(A3028,"",""),2)),""."","","",1))"),47.531631)</f>
        <v>47.531631</v>
      </c>
      <c r="R3028" s="14" t="b">
        <f t="shared" si="1"/>
        <v>0</v>
      </c>
      <c r="S3028" s="14" t="str">
        <f t="shared" si="2"/>
        <v>42.925,47.531631</v>
      </c>
      <c r="T3028" s="12"/>
    </row>
    <row r="3029">
      <c r="A3029" s="15" t="s">
        <v>19601</v>
      </c>
      <c r="B3029" s="16" t="s">
        <v>19602</v>
      </c>
      <c r="C3029" s="16" t="s">
        <v>19603</v>
      </c>
      <c r="D3029" s="16" t="s">
        <v>16</v>
      </c>
      <c r="E3029" s="17" t="s">
        <v>19604</v>
      </c>
      <c r="F3029" s="16" t="s">
        <v>8566</v>
      </c>
      <c r="G3029" s="16">
        <v>23.61</v>
      </c>
      <c r="H3029" s="16"/>
      <c r="I3029" s="32" t="s">
        <v>19605</v>
      </c>
      <c r="J3029" s="16" t="s">
        <v>19606</v>
      </c>
      <c r="K3029" s="16" t="s">
        <v>19607</v>
      </c>
      <c r="L3029" s="16"/>
      <c r="M3029" s="16"/>
      <c r="N3029" s="12"/>
      <c r="O3029" s="12"/>
      <c r="P3029" s="13">
        <f>IFERROR(__xludf.DUMMYFUNCTION("VALUE(SUBSTITUTE((INDEX(SPLIT(A3029,"",""),1)),""."","","",1))"),54.888988)</f>
        <v>54.888988</v>
      </c>
      <c r="Q3029" s="13">
        <f>IFERROR(__xludf.DUMMYFUNCTION("VALUE(SUBSTITUTE((INDEX(SPLIT(A3029,"",""),2)),""."","","",1))"),47.538548)</f>
        <v>47.538548</v>
      </c>
      <c r="R3029" s="14" t="b">
        <f t="shared" si="1"/>
        <v>0</v>
      </c>
      <c r="S3029" s="14" t="str">
        <f t="shared" si="2"/>
        <v>54.888988,47.538548</v>
      </c>
      <c r="T3029" s="12"/>
    </row>
    <row r="3030">
      <c r="A3030" s="18" t="s">
        <v>19608</v>
      </c>
      <c r="B3030" s="8" t="s">
        <v>19609</v>
      </c>
      <c r="C3030" s="8" t="s">
        <v>19610</v>
      </c>
      <c r="D3030" s="8" t="s">
        <v>16</v>
      </c>
      <c r="E3030" s="19" t="s">
        <v>19611</v>
      </c>
      <c r="F3030" s="8" t="s">
        <v>8566</v>
      </c>
      <c r="G3030" s="8">
        <v>23.61</v>
      </c>
      <c r="H3030" s="8"/>
      <c r="I3030" s="27" t="s">
        <v>19612</v>
      </c>
      <c r="J3030" s="8" t="s">
        <v>19613</v>
      </c>
      <c r="K3030" s="8" t="s">
        <v>16057</v>
      </c>
      <c r="L3030" s="8"/>
      <c r="M3030" s="24" t="s">
        <v>19614</v>
      </c>
      <c r="N3030" s="12"/>
      <c r="O3030" s="12"/>
      <c r="P3030" s="13">
        <f>IFERROR(__xludf.DUMMYFUNCTION("VALUE(SUBSTITUTE((INDEX(SPLIT(A3030,"",""),1)),""."","","",1))"),56.114686)</f>
        <v>56.114686</v>
      </c>
      <c r="Q3030" s="13">
        <f>IFERROR(__xludf.DUMMYFUNCTION("VALUE(SUBSTITUTE((INDEX(SPLIT(A3030,"",""),2)),""."","","",1))"),47.54746)</f>
        <v>47.54746</v>
      </c>
      <c r="R3030" s="14" t="b">
        <f t="shared" si="1"/>
        <v>0</v>
      </c>
      <c r="S3030" s="14" t="str">
        <f t="shared" si="2"/>
        <v>56.114686,47.54746</v>
      </c>
      <c r="T3030" s="12"/>
    </row>
    <row r="3031">
      <c r="A3031" s="15" t="s">
        <v>19615</v>
      </c>
      <c r="B3031" s="16" t="s">
        <v>16328</v>
      </c>
      <c r="C3031" s="16" t="s">
        <v>16329</v>
      </c>
      <c r="D3031" s="16" t="s">
        <v>16</v>
      </c>
      <c r="E3031" s="17" t="s">
        <v>19616</v>
      </c>
      <c r="F3031" s="16" t="s">
        <v>17071</v>
      </c>
      <c r="G3031" s="16">
        <v>23.61</v>
      </c>
      <c r="H3031" s="16"/>
      <c r="I3031" s="16"/>
      <c r="J3031" s="16" t="s">
        <v>19617</v>
      </c>
      <c r="K3031" s="16" t="s">
        <v>19618</v>
      </c>
      <c r="L3031" s="16"/>
      <c r="M3031" s="16"/>
      <c r="N3031" s="12"/>
      <c r="O3031" s="12"/>
      <c r="P3031" s="13">
        <f>IFERROR(__xludf.DUMMYFUNCTION("VALUE(SUBSTITUTE((INDEX(SPLIT(A3031,"",""),1)),""."","","",1))"),56.831521)</f>
        <v>56.831521</v>
      </c>
      <c r="Q3031" s="13">
        <f>IFERROR(__xludf.DUMMYFUNCTION("VALUE(SUBSTITUTE((INDEX(SPLIT(A3031,"",""),2)),""."","","",1))"),47.559057)</f>
        <v>47.559057</v>
      </c>
      <c r="R3031" s="14" t="b">
        <f t="shared" si="1"/>
        <v>0</v>
      </c>
      <c r="S3031" s="14" t="str">
        <f t="shared" si="2"/>
        <v>56.831521,47.559057</v>
      </c>
      <c r="T3031" s="12"/>
    </row>
    <row r="3032">
      <c r="A3032" s="7" t="s">
        <v>19619</v>
      </c>
      <c r="B3032" s="8" t="s">
        <v>19620</v>
      </c>
      <c r="C3032" s="8" t="s">
        <v>19621</v>
      </c>
      <c r="D3032" s="8" t="s">
        <v>16</v>
      </c>
      <c r="E3032" s="9" t="s">
        <v>19622</v>
      </c>
      <c r="F3032" s="10" t="s">
        <v>13111</v>
      </c>
      <c r="G3032" s="8">
        <v>23.61</v>
      </c>
      <c r="H3032" s="8"/>
      <c r="I3032" s="10"/>
      <c r="J3032" s="10" t="s">
        <v>19623</v>
      </c>
      <c r="K3032" s="10" t="s">
        <v>19624</v>
      </c>
      <c r="L3032" s="11" t="s">
        <v>19625</v>
      </c>
      <c r="M3032" s="10"/>
      <c r="N3032" s="12"/>
      <c r="O3032" s="12"/>
      <c r="P3032" s="13">
        <f>IFERROR(__xludf.DUMMYFUNCTION("VALUE(SUBSTITUTE((INDEX(SPLIT(A3032,"",""),1)),""."","","",1))"),42.904987)</f>
        <v>42.904987</v>
      </c>
      <c r="Q3032" s="13">
        <f>IFERROR(__xludf.DUMMYFUNCTION("VALUE(SUBSTITUTE((INDEX(SPLIT(A3032,"",""),2)),""."","","",1))"),47.610162)</f>
        <v>47.610162</v>
      </c>
      <c r="R3032" s="14" t="b">
        <f t="shared" si="1"/>
        <v>0</v>
      </c>
      <c r="S3032" s="14" t="str">
        <f t="shared" si="2"/>
        <v>42.904987,47.610162</v>
      </c>
      <c r="T3032" s="12"/>
    </row>
    <row r="3033">
      <c r="A3033" s="15" t="s">
        <v>19626</v>
      </c>
      <c r="B3033" s="16" t="s">
        <v>19627</v>
      </c>
      <c r="C3033" s="16" t="s">
        <v>19628</v>
      </c>
      <c r="D3033" s="16" t="s">
        <v>16</v>
      </c>
      <c r="E3033" s="17" t="s">
        <v>19629</v>
      </c>
      <c r="F3033" s="16" t="s">
        <v>8566</v>
      </c>
      <c r="G3033" s="16">
        <v>23.61</v>
      </c>
      <c r="H3033" s="16"/>
      <c r="I3033" s="16"/>
      <c r="J3033" s="16" t="s">
        <v>19630</v>
      </c>
      <c r="K3033" s="16" t="s">
        <v>19631</v>
      </c>
      <c r="L3033" s="16"/>
      <c r="M3033" s="25" t="s">
        <v>19632</v>
      </c>
      <c r="N3033" s="12"/>
      <c r="O3033" s="12"/>
      <c r="P3033" s="13">
        <f>IFERROR(__xludf.DUMMYFUNCTION("VALUE(SUBSTITUTE((INDEX(SPLIT(A3033,"",""),1)),""."","","",1))"),42.885635)</f>
        <v>42.885635</v>
      </c>
      <c r="Q3033" s="13">
        <f>IFERROR(__xludf.DUMMYFUNCTION("VALUE(SUBSTITUTE((INDEX(SPLIT(A3033,"",""),2)),""."","","",1))"),47.615848)</f>
        <v>47.615848</v>
      </c>
      <c r="R3033" s="14" t="b">
        <f t="shared" si="1"/>
        <v>0</v>
      </c>
      <c r="S3033" s="14" t="str">
        <f t="shared" si="2"/>
        <v>42.885635,47.615848</v>
      </c>
      <c r="T3033" s="12"/>
    </row>
    <row r="3034">
      <c r="A3034" s="18" t="s">
        <v>19626</v>
      </c>
      <c r="B3034" s="8" t="s">
        <v>19633</v>
      </c>
      <c r="C3034" s="8" t="s">
        <v>19634</v>
      </c>
      <c r="D3034" s="8" t="s">
        <v>16</v>
      </c>
      <c r="E3034" s="19" t="s">
        <v>19635</v>
      </c>
      <c r="F3034" s="8" t="s">
        <v>17110</v>
      </c>
      <c r="G3034" s="8">
        <v>23.61</v>
      </c>
      <c r="H3034" s="8"/>
      <c r="I3034" s="8"/>
      <c r="J3034" s="8" t="s">
        <v>19636</v>
      </c>
      <c r="K3034" s="8" t="s">
        <v>19637</v>
      </c>
      <c r="L3034" s="8"/>
      <c r="M3034" s="8"/>
      <c r="N3034" s="12"/>
      <c r="O3034" s="12"/>
      <c r="P3034" s="13">
        <f>IFERROR(__xludf.DUMMYFUNCTION("VALUE(SUBSTITUTE((INDEX(SPLIT(A3034,"",""),1)),""."","","",1))"),42.885635)</f>
        <v>42.885635</v>
      </c>
      <c r="Q3034" s="13">
        <f>IFERROR(__xludf.DUMMYFUNCTION("VALUE(SUBSTITUTE((INDEX(SPLIT(A3034,"",""),2)),""."","","",1))"),47.615848)</f>
        <v>47.615848</v>
      </c>
      <c r="R3034" s="14" t="b">
        <f t="shared" si="1"/>
        <v>0</v>
      </c>
      <c r="S3034" s="14" t="str">
        <f t="shared" si="2"/>
        <v>42.885635,47.615848</v>
      </c>
      <c r="T3034" s="12"/>
    </row>
    <row r="3035">
      <c r="A3035" s="15" t="s">
        <v>19626</v>
      </c>
      <c r="B3035" s="16" t="s">
        <v>19638</v>
      </c>
      <c r="C3035" s="16" t="s">
        <v>19639</v>
      </c>
      <c r="D3035" s="16" t="s">
        <v>16</v>
      </c>
      <c r="E3035" s="17" t="s">
        <v>19640</v>
      </c>
      <c r="F3035" s="16" t="s">
        <v>17110</v>
      </c>
      <c r="G3035" s="16">
        <v>23.61</v>
      </c>
      <c r="H3035" s="16"/>
      <c r="I3035" s="16"/>
      <c r="J3035" s="16" t="s">
        <v>19641</v>
      </c>
      <c r="K3035" s="16" t="s">
        <v>19642</v>
      </c>
      <c r="L3035" s="16"/>
      <c r="M3035" s="25" t="s">
        <v>19643</v>
      </c>
      <c r="N3035" s="12"/>
      <c r="O3035" s="12"/>
      <c r="P3035" s="13">
        <f>IFERROR(__xludf.DUMMYFUNCTION("VALUE(SUBSTITUTE((INDEX(SPLIT(A3035,"",""),1)),""."","","",1))"),42.885635)</f>
        <v>42.885635</v>
      </c>
      <c r="Q3035" s="13">
        <f>IFERROR(__xludf.DUMMYFUNCTION("VALUE(SUBSTITUTE((INDEX(SPLIT(A3035,"",""),2)),""."","","",1))"),47.615848)</f>
        <v>47.615848</v>
      </c>
      <c r="R3035" s="14" t="b">
        <f t="shared" si="1"/>
        <v>0</v>
      </c>
      <c r="S3035" s="14" t="str">
        <f t="shared" si="2"/>
        <v>42.885635,47.615848</v>
      </c>
      <c r="T3035" s="12"/>
    </row>
    <row r="3036">
      <c r="A3036" s="18" t="s">
        <v>19644</v>
      </c>
      <c r="B3036" s="8" t="s">
        <v>19645</v>
      </c>
      <c r="C3036" s="8" t="s">
        <v>19646</v>
      </c>
      <c r="D3036" s="8" t="s">
        <v>16</v>
      </c>
      <c r="E3036" s="19" t="s">
        <v>19647</v>
      </c>
      <c r="F3036" s="8" t="s">
        <v>8566</v>
      </c>
      <c r="G3036" s="8">
        <v>23.61</v>
      </c>
      <c r="H3036" s="8"/>
      <c r="I3036" s="8"/>
      <c r="J3036" s="8" t="s">
        <v>19648</v>
      </c>
      <c r="K3036" s="8" t="s">
        <v>13104</v>
      </c>
      <c r="L3036" s="8"/>
      <c r="M3036" s="24" t="s">
        <v>19649</v>
      </c>
      <c r="N3036" s="12"/>
      <c r="O3036" s="12"/>
      <c r="P3036" s="13">
        <f>IFERROR(__xludf.DUMMYFUNCTION("VALUE(SUBSTITUTE((INDEX(SPLIT(A3036,"",""),1)),""."","","",1))"),42.882424)</f>
        <v>42.882424</v>
      </c>
      <c r="Q3036" s="13">
        <f>IFERROR(__xludf.DUMMYFUNCTION("VALUE(SUBSTITUTE((INDEX(SPLIT(A3036,"",""),2)),""."","","",1))"),47.618606)</f>
        <v>47.618606</v>
      </c>
      <c r="R3036" s="14" t="b">
        <f t="shared" si="1"/>
        <v>0</v>
      </c>
      <c r="S3036" s="14" t="str">
        <f t="shared" si="2"/>
        <v>42.882424,47.618606</v>
      </c>
      <c r="T3036" s="12"/>
    </row>
    <row r="3037">
      <c r="A3037" s="20" t="s">
        <v>19650</v>
      </c>
      <c r="B3037" s="16" t="s">
        <v>19651</v>
      </c>
      <c r="C3037" s="16" t="s">
        <v>19651</v>
      </c>
      <c r="D3037" s="16" t="s">
        <v>16</v>
      </c>
      <c r="E3037" s="21" t="s">
        <v>19652</v>
      </c>
      <c r="F3037" s="22" t="s">
        <v>17110</v>
      </c>
      <c r="G3037" s="16">
        <v>23.61</v>
      </c>
      <c r="H3037" s="16"/>
      <c r="I3037" s="22"/>
      <c r="J3037" s="22" t="s">
        <v>19653</v>
      </c>
      <c r="K3037" s="22" t="s">
        <v>19654</v>
      </c>
      <c r="L3037" s="23" t="s">
        <v>19655</v>
      </c>
      <c r="M3037" s="22"/>
      <c r="N3037" s="12"/>
      <c r="O3037" s="12"/>
      <c r="P3037" s="13">
        <f>IFERROR(__xludf.DUMMYFUNCTION("VALUE(SUBSTITUTE((INDEX(SPLIT(A3037,"",""),1)),""."","","",1))"),42.868563)</f>
        <v>42.868563</v>
      </c>
      <c r="Q3037" s="13">
        <f>IFERROR(__xludf.DUMMYFUNCTION("VALUE(SUBSTITUTE((INDEX(SPLIT(A3037,"",""),2)),""."","","",1))"),47.637426)</f>
        <v>47.637426</v>
      </c>
      <c r="R3037" s="14" t="b">
        <f t="shared" si="1"/>
        <v>0</v>
      </c>
      <c r="S3037" s="14" t="str">
        <f t="shared" si="2"/>
        <v>42.868563,47.637426</v>
      </c>
      <c r="T3037" s="12"/>
    </row>
    <row r="3038">
      <c r="A3038" s="7" t="s">
        <v>19656</v>
      </c>
      <c r="B3038" s="8" t="s">
        <v>19657</v>
      </c>
      <c r="C3038" s="8" t="s">
        <v>19657</v>
      </c>
      <c r="D3038" s="8" t="s">
        <v>16</v>
      </c>
      <c r="E3038" s="9" t="s">
        <v>19658</v>
      </c>
      <c r="F3038" s="10" t="s">
        <v>17110</v>
      </c>
      <c r="G3038" s="8">
        <v>23.61</v>
      </c>
      <c r="H3038" s="8"/>
      <c r="I3038" s="10"/>
      <c r="J3038" s="10" t="s">
        <v>19659</v>
      </c>
      <c r="K3038" s="10" t="s">
        <v>19660</v>
      </c>
      <c r="L3038" s="11" t="s">
        <v>19661</v>
      </c>
      <c r="M3038" s="10"/>
      <c r="N3038" s="12"/>
      <c r="O3038" s="12"/>
      <c r="P3038" s="13">
        <f>IFERROR(__xludf.DUMMYFUNCTION("VALUE(SUBSTITUTE((INDEX(SPLIT(A3038,"",""),1)),""."","","",1))"),53.152353)</f>
        <v>53.152353</v>
      </c>
      <c r="Q3038" s="13">
        <f>IFERROR(__xludf.DUMMYFUNCTION("VALUE(SUBSTITUTE((INDEX(SPLIT(A3038,"",""),2)),""."","","",1))"),47.722191)</f>
        <v>47.722191</v>
      </c>
      <c r="R3038" s="14" t="b">
        <f t="shared" si="1"/>
        <v>0</v>
      </c>
      <c r="S3038" s="14" t="str">
        <f t="shared" si="2"/>
        <v>53.152353,47.722191</v>
      </c>
      <c r="T3038" s="12"/>
    </row>
    <row r="3039">
      <c r="A3039" s="20" t="s">
        <v>19656</v>
      </c>
      <c r="B3039" s="16" t="s">
        <v>19662</v>
      </c>
      <c r="C3039" s="16" t="s">
        <v>19663</v>
      </c>
      <c r="D3039" s="16" t="s">
        <v>16</v>
      </c>
      <c r="E3039" s="21" t="s">
        <v>19664</v>
      </c>
      <c r="F3039" s="22" t="s">
        <v>17110</v>
      </c>
      <c r="G3039" s="16">
        <v>23.61</v>
      </c>
      <c r="H3039" s="16"/>
      <c r="I3039" s="22"/>
      <c r="J3039" s="22" t="s">
        <v>19665</v>
      </c>
      <c r="K3039" s="22" t="s">
        <v>19666</v>
      </c>
      <c r="L3039" s="23" t="s">
        <v>19667</v>
      </c>
      <c r="M3039" s="22"/>
      <c r="N3039" s="12"/>
      <c r="O3039" s="12"/>
      <c r="P3039" s="13">
        <f>IFERROR(__xludf.DUMMYFUNCTION("VALUE(SUBSTITUTE((INDEX(SPLIT(A3039,"",""),1)),""."","","",1))"),53.152353)</f>
        <v>53.152353</v>
      </c>
      <c r="Q3039" s="13">
        <f>IFERROR(__xludf.DUMMYFUNCTION("VALUE(SUBSTITUTE((INDEX(SPLIT(A3039,"",""),2)),""."","","",1))"),47.722191)</f>
        <v>47.722191</v>
      </c>
      <c r="R3039" s="14" t="b">
        <f t="shared" si="1"/>
        <v>0</v>
      </c>
      <c r="S3039" s="14" t="str">
        <f t="shared" si="2"/>
        <v>53.152353,47.722191</v>
      </c>
      <c r="T3039" s="12"/>
    </row>
    <row r="3040">
      <c r="A3040" s="18" t="s">
        <v>19668</v>
      </c>
      <c r="B3040" s="8" t="s">
        <v>19669</v>
      </c>
      <c r="C3040" s="8" t="s">
        <v>19670</v>
      </c>
      <c r="D3040" s="8" t="s">
        <v>16</v>
      </c>
      <c r="E3040" s="19" t="s">
        <v>19671</v>
      </c>
      <c r="F3040" s="8" t="s">
        <v>17110</v>
      </c>
      <c r="G3040" s="8">
        <v>23.61</v>
      </c>
      <c r="H3040" s="8"/>
      <c r="I3040" s="8"/>
      <c r="J3040" s="8" t="s">
        <v>19672</v>
      </c>
      <c r="K3040" s="8" t="s">
        <v>19673</v>
      </c>
      <c r="L3040" s="8"/>
      <c r="M3040" s="8"/>
      <c r="N3040" s="12"/>
      <c r="O3040" s="12"/>
      <c r="P3040" s="13">
        <f>IFERROR(__xludf.DUMMYFUNCTION("VALUE(SUBSTITUTE((INDEX(SPLIT(A3040,"",""),1)),""."","","",1))"),53.15663)</f>
        <v>53.15663</v>
      </c>
      <c r="Q3040" s="13">
        <f>IFERROR(__xludf.DUMMYFUNCTION("VALUE(SUBSTITUTE((INDEX(SPLIT(A3040,"",""),2)),""."","","",1))"),47.753111)</f>
        <v>47.753111</v>
      </c>
      <c r="R3040" s="14" t="b">
        <f t="shared" si="1"/>
        <v>0</v>
      </c>
      <c r="S3040" s="14" t="str">
        <f t="shared" si="2"/>
        <v>53.15663,47.753111</v>
      </c>
      <c r="T3040" s="12"/>
    </row>
    <row r="3041">
      <c r="A3041" s="20" t="s">
        <v>19674</v>
      </c>
      <c r="B3041" s="16" t="s">
        <v>19675</v>
      </c>
      <c r="C3041" s="16" t="s">
        <v>19676</v>
      </c>
      <c r="D3041" s="16" t="s">
        <v>16</v>
      </c>
      <c r="E3041" s="21" t="s">
        <v>19677</v>
      </c>
      <c r="F3041" s="22" t="s">
        <v>17865</v>
      </c>
      <c r="G3041" s="16">
        <v>23.61</v>
      </c>
      <c r="H3041" s="16"/>
      <c r="I3041" s="22"/>
      <c r="J3041" s="22" t="s">
        <v>19678</v>
      </c>
      <c r="K3041" s="22" t="s">
        <v>19679</v>
      </c>
      <c r="L3041" s="23" t="s">
        <v>19680</v>
      </c>
      <c r="M3041" s="22"/>
      <c r="N3041" s="12"/>
      <c r="O3041" s="12"/>
      <c r="P3041" s="13">
        <f>IFERROR(__xludf.DUMMYFUNCTION("VALUE(SUBSTITUTE((INDEX(SPLIT(A3041,"",""),1)),""."","","",1))"),52.005935)</f>
        <v>52.005935</v>
      </c>
      <c r="Q3041" s="13">
        <f>IFERROR(__xludf.DUMMYFUNCTION("VALUE(SUBSTITUTE((INDEX(SPLIT(A3041,"",""),2)),""."","","",1))"),47.779557)</f>
        <v>47.779557</v>
      </c>
      <c r="R3041" s="14" t="b">
        <f t="shared" si="1"/>
        <v>0</v>
      </c>
      <c r="S3041" s="14" t="str">
        <f t="shared" si="2"/>
        <v>52.005935,47.779557</v>
      </c>
      <c r="T3041" s="12"/>
    </row>
    <row r="3042">
      <c r="A3042" s="18" t="s">
        <v>19681</v>
      </c>
      <c r="B3042" s="8" t="s">
        <v>19682</v>
      </c>
      <c r="C3042" s="8" t="s">
        <v>19683</v>
      </c>
      <c r="D3042" s="8" t="s">
        <v>16</v>
      </c>
      <c r="E3042" s="19" t="s">
        <v>19684</v>
      </c>
      <c r="F3042" s="8" t="s">
        <v>17110</v>
      </c>
      <c r="G3042" s="8">
        <v>23.61</v>
      </c>
      <c r="H3042" s="8"/>
      <c r="I3042" s="8"/>
      <c r="J3042" s="8" t="s">
        <v>19685</v>
      </c>
      <c r="K3042" s="8" t="s">
        <v>19686</v>
      </c>
      <c r="L3042" s="8"/>
      <c r="M3042" s="8"/>
      <c r="N3042" s="12"/>
      <c r="O3042" s="12"/>
      <c r="P3042" s="13">
        <f>IFERROR(__xludf.DUMMYFUNCTION("VALUE(SUBSTITUTE((INDEX(SPLIT(A3042,"",""),1)),""."","","",1))"),56.627327)</f>
        <v>56.627327</v>
      </c>
      <c r="Q3042" s="13">
        <f>IFERROR(__xludf.DUMMYFUNCTION("VALUE(SUBSTITUTE((INDEX(SPLIT(A3042,"",""),2)),""."","","",1))"),47.790193)</f>
        <v>47.790193</v>
      </c>
      <c r="R3042" s="14" t="b">
        <f t="shared" si="1"/>
        <v>0</v>
      </c>
      <c r="S3042" s="14" t="str">
        <f t="shared" si="2"/>
        <v>56.627327,47.790193</v>
      </c>
      <c r="T3042" s="12"/>
    </row>
    <row r="3043">
      <c r="A3043" s="20" t="s">
        <v>19687</v>
      </c>
      <c r="B3043" s="16" t="s">
        <v>19688</v>
      </c>
      <c r="C3043" s="16" t="s">
        <v>19689</v>
      </c>
      <c r="D3043" s="16" t="s">
        <v>16</v>
      </c>
      <c r="E3043" s="21" t="s">
        <v>19690</v>
      </c>
      <c r="F3043" s="22" t="s">
        <v>17071</v>
      </c>
      <c r="G3043" s="16">
        <v>23.61</v>
      </c>
      <c r="H3043" s="16"/>
      <c r="I3043" s="22"/>
      <c r="J3043" s="22" t="s">
        <v>19691</v>
      </c>
      <c r="K3043" s="22" t="s">
        <v>19692</v>
      </c>
      <c r="L3043" s="23" t="s">
        <v>19693</v>
      </c>
      <c r="M3043" s="22"/>
      <c r="N3043" s="12"/>
      <c r="O3043" s="12"/>
      <c r="P3043" s="13">
        <f>IFERROR(__xludf.DUMMYFUNCTION("VALUE(SUBSTITUTE((INDEX(SPLIT(A3043,"",""),1)),""."","","",1))"),52.043652)</f>
        <v>52.043652</v>
      </c>
      <c r="Q3043" s="13">
        <f>IFERROR(__xludf.DUMMYFUNCTION("VALUE(SUBSTITUTE((INDEX(SPLIT(A3043,"",""),2)),""."","","",1))"),47.809795)</f>
        <v>47.809795</v>
      </c>
      <c r="R3043" s="14" t="b">
        <f t="shared" si="1"/>
        <v>0</v>
      </c>
      <c r="S3043" s="14" t="str">
        <f t="shared" si="2"/>
        <v>52.043652,47.809795</v>
      </c>
      <c r="T3043" s="12"/>
    </row>
    <row r="3044">
      <c r="A3044" s="7" t="s">
        <v>19694</v>
      </c>
      <c r="B3044" s="8" t="s">
        <v>19695</v>
      </c>
      <c r="C3044" s="8" t="s">
        <v>19696</v>
      </c>
      <c r="D3044" s="8" t="s">
        <v>16</v>
      </c>
      <c r="E3044" s="9" t="s">
        <v>19697</v>
      </c>
      <c r="F3044" s="10" t="s">
        <v>8566</v>
      </c>
      <c r="G3044" s="8">
        <v>23.61</v>
      </c>
      <c r="H3044" s="8"/>
      <c r="I3044" s="10"/>
      <c r="J3044" s="10" t="s">
        <v>19698</v>
      </c>
      <c r="K3044" s="10" t="s">
        <v>19699</v>
      </c>
      <c r="L3044" s="11" t="s">
        <v>19700</v>
      </c>
      <c r="M3044" s="10"/>
      <c r="N3044" s="12"/>
      <c r="O3044" s="12"/>
      <c r="P3044" s="13">
        <f>IFERROR(__xludf.DUMMYFUNCTION("VALUE(SUBSTITUTE((INDEX(SPLIT(A3044,"",""),1)),""."","","",1))"),56.628025)</f>
        <v>56.628025</v>
      </c>
      <c r="Q3044" s="13">
        <f>IFERROR(__xludf.DUMMYFUNCTION("VALUE(SUBSTITUTE((INDEX(SPLIT(A3044,"",""),2)),""."","","",1))"),47.816191)</f>
        <v>47.816191</v>
      </c>
      <c r="R3044" s="14" t="b">
        <f t="shared" si="1"/>
        <v>0</v>
      </c>
      <c r="S3044" s="14" t="str">
        <f t="shared" si="2"/>
        <v>56.628025,47.816191</v>
      </c>
      <c r="T3044" s="12"/>
    </row>
    <row r="3045">
      <c r="A3045" s="15" t="s">
        <v>19701</v>
      </c>
      <c r="B3045" s="16" t="s">
        <v>19702</v>
      </c>
      <c r="C3045" s="16" t="s">
        <v>19703</v>
      </c>
      <c r="D3045" s="16" t="s">
        <v>16</v>
      </c>
      <c r="E3045" s="17" t="s">
        <v>19704</v>
      </c>
      <c r="F3045" s="16" t="s">
        <v>17110</v>
      </c>
      <c r="G3045" s="16">
        <v>23.61</v>
      </c>
      <c r="H3045" s="16"/>
      <c r="I3045" s="16"/>
      <c r="J3045" s="16" t="s">
        <v>19705</v>
      </c>
      <c r="K3045" s="16" t="s">
        <v>19706</v>
      </c>
      <c r="L3045" s="16"/>
      <c r="M3045" s="25" t="s">
        <v>19707</v>
      </c>
      <c r="N3045" s="12"/>
      <c r="O3045" s="12"/>
      <c r="P3045" s="13">
        <f>IFERROR(__xludf.DUMMYFUNCTION("VALUE(SUBSTITUTE((INDEX(SPLIT(A3045,"",""),1)),""."","","",1))"),56.618829)</f>
        <v>56.618829</v>
      </c>
      <c r="Q3045" s="13">
        <f>IFERROR(__xludf.DUMMYFUNCTION("VALUE(SUBSTITUTE((INDEX(SPLIT(A3045,"",""),2)),""."","","",1))"),47.827743)</f>
        <v>47.827743</v>
      </c>
      <c r="R3045" s="14" t="b">
        <f t="shared" si="1"/>
        <v>0</v>
      </c>
      <c r="S3045" s="14" t="str">
        <f t="shared" si="2"/>
        <v>56.618829,47.827743</v>
      </c>
      <c r="T3045" s="12"/>
    </row>
    <row r="3046">
      <c r="A3046" s="18" t="s">
        <v>19708</v>
      </c>
      <c r="B3046" s="8" t="s">
        <v>19709</v>
      </c>
      <c r="C3046" s="8" t="s">
        <v>19710</v>
      </c>
      <c r="D3046" s="8" t="s">
        <v>16</v>
      </c>
      <c r="E3046" s="19" t="s">
        <v>19711</v>
      </c>
      <c r="F3046" s="8" t="s">
        <v>17071</v>
      </c>
      <c r="G3046" s="8">
        <v>23.61</v>
      </c>
      <c r="H3046" s="8"/>
      <c r="I3046" s="8"/>
      <c r="J3046" s="8" t="s">
        <v>19712</v>
      </c>
      <c r="K3046" s="8" t="s">
        <v>19713</v>
      </c>
      <c r="L3046" s="8"/>
      <c r="M3046" s="24" t="s">
        <v>19714</v>
      </c>
      <c r="N3046" s="12"/>
      <c r="O3046" s="12"/>
      <c r="P3046" s="13">
        <f>IFERROR(__xludf.DUMMYFUNCTION("VALUE(SUBSTITUTE((INDEX(SPLIT(A3046,"",""),1)),""."","","",1))"),56.625351)</f>
        <v>56.625351</v>
      </c>
      <c r="Q3046" s="13">
        <f>IFERROR(__xludf.DUMMYFUNCTION("VALUE(SUBSTITUTE((INDEX(SPLIT(A3046,"",""),2)),""."","","",1))"),47.840508)</f>
        <v>47.840508</v>
      </c>
      <c r="R3046" s="14" t="b">
        <f t="shared" si="1"/>
        <v>0</v>
      </c>
      <c r="S3046" s="14" t="str">
        <f t="shared" si="2"/>
        <v>56.625351,47.840508</v>
      </c>
      <c r="T3046" s="12"/>
    </row>
    <row r="3047">
      <c r="A3047" s="15" t="s">
        <v>19708</v>
      </c>
      <c r="B3047" s="16" t="s">
        <v>19715</v>
      </c>
      <c r="C3047" s="16" t="s">
        <v>19716</v>
      </c>
      <c r="D3047" s="16" t="s">
        <v>16</v>
      </c>
      <c r="E3047" s="17" t="s">
        <v>19717</v>
      </c>
      <c r="F3047" s="16" t="s">
        <v>17071</v>
      </c>
      <c r="G3047" s="16">
        <v>23.61</v>
      </c>
      <c r="H3047" s="16"/>
      <c r="I3047" s="16"/>
      <c r="J3047" s="16" t="s">
        <v>19718</v>
      </c>
      <c r="K3047" s="16" t="s">
        <v>19719</v>
      </c>
      <c r="L3047" s="16"/>
      <c r="M3047" s="25" t="s">
        <v>19720</v>
      </c>
      <c r="N3047" s="12"/>
      <c r="O3047" s="12"/>
      <c r="P3047" s="13">
        <f>IFERROR(__xludf.DUMMYFUNCTION("VALUE(SUBSTITUTE((INDEX(SPLIT(A3047,"",""),1)),""."","","",1))"),56.625351)</f>
        <v>56.625351</v>
      </c>
      <c r="Q3047" s="13">
        <f>IFERROR(__xludf.DUMMYFUNCTION("VALUE(SUBSTITUTE((INDEX(SPLIT(A3047,"",""),2)),""."","","",1))"),47.840508)</f>
        <v>47.840508</v>
      </c>
      <c r="R3047" s="14" t="b">
        <f t="shared" si="1"/>
        <v>0</v>
      </c>
      <c r="S3047" s="14" t="str">
        <f t="shared" si="2"/>
        <v>56.625351,47.840508</v>
      </c>
      <c r="T3047" s="12"/>
    </row>
    <row r="3048">
      <c r="A3048" s="7" t="s">
        <v>19721</v>
      </c>
      <c r="B3048" s="8" t="s">
        <v>19722</v>
      </c>
      <c r="C3048" s="8" t="s">
        <v>19723</v>
      </c>
      <c r="D3048" s="8" t="s">
        <v>16</v>
      </c>
      <c r="E3048" s="9" t="s">
        <v>19724</v>
      </c>
      <c r="F3048" s="10" t="s">
        <v>17071</v>
      </c>
      <c r="G3048" s="8">
        <v>23.61</v>
      </c>
      <c r="H3048" s="8"/>
      <c r="I3048" s="10"/>
      <c r="J3048" s="10" t="s">
        <v>19725</v>
      </c>
      <c r="K3048" s="10" t="s">
        <v>19726</v>
      </c>
      <c r="L3048" s="11" t="s">
        <v>19727</v>
      </c>
      <c r="M3048" s="11" t="s">
        <v>19728</v>
      </c>
      <c r="N3048" s="12"/>
      <c r="O3048" s="12"/>
      <c r="P3048" s="13">
        <f>IFERROR(__xludf.DUMMYFUNCTION("VALUE(SUBSTITUTE((INDEX(SPLIT(A3048,"",""),1)),""."","","",1))"),57.310403)</f>
        <v>57.310403</v>
      </c>
      <c r="Q3048" s="13">
        <f>IFERROR(__xludf.DUMMYFUNCTION("VALUE(SUBSTITUTE((INDEX(SPLIT(A3048,"",""),2)),""."","","",1))"),47.863622)</f>
        <v>47.863622</v>
      </c>
      <c r="R3048" s="14" t="b">
        <f t="shared" si="1"/>
        <v>0</v>
      </c>
      <c r="S3048" s="14" t="str">
        <f t="shared" si="2"/>
        <v>57.310403,47.863622</v>
      </c>
      <c r="T3048" s="12"/>
    </row>
    <row r="3049">
      <c r="A3049" s="15" t="s">
        <v>19729</v>
      </c>
      <c r="B3049" s="16" t="s">
        <v>19730</v>
      </c>
      <c r="C3049" s="16" t="s">
        <v>19731</v>
      </c>
      <c r="D3049" s="16" t="s">
        <v>16</v>
      </c>
      <c r="E3049" s="17" t="s">
        <v>19732</v>
      </c>
      <c r="F3049" s="16" t="s">
        <v>17071</v>
      </c>
      <c r="G3049" s="16">
        <v>23.61</v>
      </c>
      <c r="H3049" s="16"/>
      <c r="I3049" s="16"/>
      <c r="J3049" s="16" t="s">
        <v>19733</v>
      </c>
      <c r="K3049" s="16" t="s">
        <v>19734</v>
      </c>
      <c r="L3049" s="16"/>
      <c r="M3049" s="25" t="s">
        <v>19735</v>
      </c>
      <c r="N3049" s="12"/>
      <c r="O3049" s="12"/>
      <c r="P3049" s="13">
        <f>IFERROR(__xludf.DUMMYFUNCTION("VALUE(SUBSTITUTE((INDEX(SPLIT(A3049,"",""),1)),""."","","",1))"),56.6316)</f>
        <v>56.6316</v>
      </c>
      <c r="Q3049" s="13">
        <f>IFERROR(__xludf.DUMMYFUNCTION("VALUE(SUBSTITUTE((INDEX(SPLIT(A3049,"",""),2)),""."","","",1))"),47.886178)</f>
        <v>47.886178</v>
      </c>
      <c r="R3049" s="14" t="b">
        <f t="shared" si="1"/>
        <v>0</v>
      </c>
      <c r="S3049" s="14" t="str">
        <f t="shared" si="2"/>
        <v>56.6316,47.886178</v>
      </c>
      <c r="T3049" s="12"/>
    </row>
    <row r="3050">
      <c r="A3050" s="18" t="s">
        <v>19736</v>
      </c>
      <c r="B3050" s="8" t="s">
        <v>19737</v>
      </c>
      <c r="C3050" s="8" t="s">
        <v>19738</v>
      </c>
      <c r="D3050" s="8" t="s">
        <v>16</v>
      </c>
      <c r="E3050" s="19" t="s">
        <v>19739</v>
      </c>
      <c r="F3050" s="8" t="s">
        <v>17110</v>
      </c>
      <c r="G3050" s="8">
        <v>23.61</v>
      </c>
      <c r="H3050" s="8"/>
      <c r="I3050" s="8"/>
      <c r="J3050" s="8" t="s">
        <v>19740</v>
      </c>
      <c r="K3050" s="8" t="s">
        <v>19741</v>
      </c>
      <c r="L3050" s="8"/>
      <c r="M3050" s="24" t="s">
        <v>19742</v>
      </c>
      <c r="N3050" s="12"/>
      <c r="O3050" s="12"/>
      <c r="P3050" s="13">
        <f>IFERROR(__xludf.DUMMYFUNCTION("VALUE(SUBSTITUTE((INDEX(SPLIT(A3050,"",""),1)),""."","","",1))"),56.615525)</f>
        <v>56.615525</v>
      </c>
      <c r="Q3050" s="13">
        <f>IFERROR(__xludf.DUMMYFUNCTION("VALUE(SUBSTITUTE((INDEX(SPLIT(A3050,"",""),2)),""."","","",1))"),47.888802)</f>
        <v>47.888802</v>
      </c>
      <c r="R3050" s="14" t="b">
        <f t="shared" si="1"/>
        <v>0</v>
      </c>
      <c r="S3050" s="14" t="str">
        <f t="shared" si="2"/>
        <v>56.615525,47.888802</v>
      </c>
      <c r="T3050" s="12"/>
    </row>
    <row r="3051">
      <c r="A3051" s="20" t="s">
        <v>19743</v>
      </c>
      <c r="B3051" s="16" t="s">
        <v>19744</v>
      </c>
      <c r="C3051" s="16" t="s">
        <v>19745</v>
      </c>
      <c r="D3051" s="16" t="s">
        <v>16</v>
      </c>
      <c r="E3051" s="21" t="s">
        <v>19746</v>
      </c>
      <c r="F3051" s="22" t="s">
        <v>17865</v>
      </c>
      <c r="G3051" s="16">
        <v>23.61</v>
      </c>
      <c r="H3051" s="16"/>
      <c r="I3051" s="22"/>
      <c r="J3051" s="22" t="s">
        <v>19747</v>
      </c>
      <c r="K3051" s="22" t="s">
        <v>19748</v>
      </c>
      <c r="L3051" s="23" t="s">
        <v>19749</v>
      </c>
      <c r="M3051" s="22"/>
      <c r="N3051" s="12"/>
      <c r="O3051" s="12"/>
      <c r="P3051" s="13">
        <f>IFERROR(__xludf.DUMMYFUNCTION("VALUE(SUBSTITUTE((INDEX(SPLIT(A3051,"",""),1)),""."","","",1))"),56.637095)</f>
        <v>56.637095</v>
      </c>
      <c r="Q3051" s="13">
        <f>IFERROR(__xludf.DUMMYFUNCTION("VALUE(SUBSTITUTE((INDEX(SPLIT(A3051,"",""),2)),""."","","",1))"),47.89332)</f>
        <v>47.89332</v>
      </c>
      <c r="R3051" s="14" t="b">
        <f t="shared" si="1"/>
        <v>0</v>
      </c>
      <c r="S3051" s="14" t="str">
        <f t="shared" si="2"/>
        <v>56.637095,47.89332</v>
      </c>
      <c r="T3051" s="12"/>
    </row>
    <row r="3052">
      <c r="A3052" s="18" t="s">
        <v>19750</v>
      </c>
      <c r="B3052" s="8" t="s">
        <v>19751</v>
      </c>
      <c r="C3052" s="8" t="s">
        <v>19752</v>
      </c>
      <c r="D3052" s="8" t="s">
        <v>16</v>
      </c>
      <c r="E3052" s="19" t="s">
        <v>19753</v>
      </c>
      <c r="F3052" s="8" t="s">
        <v>17071</v>
      </c>
      <c r="G3052" s="8">
        <v>23.61</v>
      </c>
      <c r="H3052" s="8"/>
      <c r="I3052" s="8"/>
      <c r="J3052" s="8" t="s">
        <v>19754</v>
      </c>
      <c r="K3052" s="8" t="s">
        <v>19755</v>
      </c>
      <c r="L3052" s="8"/>
      <c r="M3052" s="24" t="s">
        <v>19756</v>
      </c>
      <c r="N3052" s="12"/>
      <c r="O3052" s="12"/>
      <c r="P3052" s="13">
        <f>IFERROR(__xludf.DUMMYFUNCTION("VALUE(SUBSTITUTE((INDEX(SPLIT(A3052,"",""),1)),""."","","",1))"),56.613767)</f>
        <v>56.613767</v>
      </c>
      <c r="Q3052" s="13">
        <f>IFERROR(__xludf.DUMMYFUNCTION("VALUE(SUBSTITUTE((INDEX(SPLIT(A3052,"",""),2)),""."","","",1))"),47.893652)</f>
        <v>47.893652</v>
      </c>
      <c r="R3052" s="14" t="b">
        <f t="shared" si="1"/>
        <v>0</v>
      </c>
      <c r="S3052" s="14" t="str">
        <f t="shared" si="2"/>
        <v>56.613767,47.893652</v>
      </c>
      <c r="T3052" s="12"/>
    </row>
    <row r="3053">
      <c r="A3053" s="15" t="s">
        <v>19757</v>
      </c>
      <c r="B3053" s="16" t="s">
        <v>19758</v>
      </c>
      <c r="C3053" s="16" t="s">
        <v>19759</v>
      </c>
      <c r="D3053" s="16" t="s">
        <v>16</v>
      </c>
      <c r="E3053" s="17" t="s">
        <v>19760</v>
      </c>
      <c r="F3053" s="16" t="s">
        <v>17071</v>
      </c>
      <c r="G3053" s="16">
        <v>23.61</v>
      </c>
      <c r="H3053" s="16"/>
      <c r="I3053" s="16"/>
      <c r="J3053" s="16" t="s">
        <v>19754</v>
      </c>
      <c r="K3053" s="16" t="s">
        <v>19761</v>
      </c>
      <c r="L3053" s="16"/>
      <c r="M3053" s="16"/>
      <c r="N3053" s="12"/>
      <c r="O3053" s="12"/>
      <c r="P3053" s="13">
        <f>IFERROR(__xludf.DUMMYFUNCTION("VALUE(SUBSTITUTE((INDEX(SPLIT(A3053,"",""),1)),""."","","",1))"),52.060798)</f>
        <v>52.060798</v>
      </c>
      <c r="Q3053" s="13">
        <f>IFERROR(__xludf.DUMMYFUNCTION("VALUE(SUBSTITUTE((INDEX(SPLIT(A3053,"",""),2)),""."","","",1))"),47.920476)</f>
        <v>47.920476</v>
      </c>
      <c r="R3053" s="14" t="b">
        <f t="shared" si="1"/>
        <v>0</v>
      </c>
      <c r="S3053" s="14" t="str">
        <f t="shared" si="2"/>
        <v>52.060798,47.920476</v>
      </c>
      <c r="T3053" s="12"/>
    </row>
    <row r="3054">
      <c r="A3054" s="18" t="s">
        <v>19762</v>
      </c>
      <c r="B3054" s="8" t="s">
        <v>19763</v>
      </c>
      <c r="C3054" s="8" t="s">
        <v>19764</v>
      </c>
      <c r="D3054" s="8" t="s">
        <v>16</v>
      </c>
      <c r="E3054" s="19" t="s">
        <v>19765</v>
      </c>
      <c r="F3054" s="8" t="s">
        <v>17071</v>
      </c>
      <c r="G3054" s="8">
        <v>23.61</v>
      </c>
      <c r="H3054" s="8"/>
      <c r="I3054" s="8"/>
      <c r="J3054" s="8" t="s">
        <v>19754</v>
      </c>
      <c r="K3054" s="8" t="s">
        <v>19755</v>
      </c>
      <c r="L3054" s="8"/>
      <c r="M3054" s="8"/>
      <c r="N3054" s="12"/>
      <c r="O3054" s="12"/>
      <c r="P3054" s="13">
        <f>IFERROR(__xludf.DUMMYFUNCTION("VALUE(SUBSTITUTE((INDEX(SPLIT(A3054,"",""),1)),""."","","",1))"),56.627936)</f>
        <v>56.627936</v>
      </c>
      <c r="Q3054" s="13">
        <f>IFERROR(__xludf.DUMMYFUNCTION("VALUE(SUBSTITUTE((INDEX(SPLIT(A3054,"",""),2)),""."","","",1))"),47.924887)</f>
        <v>47.924887</v>
      </c>
      <c r="R3054" s="14" t="b">
        <f t="shared" si="1"/>
        <v>0</v>
      </c>
      <c r="S3054" s="14" t="str">
        <f t="shared" si="2"/>
        <v>56.627936,47.924887</v>
      </c>
      <c r="T3054" s="12"/>
    </row>
    <row r="3055">
      <c r="A3055" s="20" t="s">
        <v>19766</v>
      </c>
      <c r="B3055" s="16" t="s">
        <v>19767</v>
      </c>
      <c r="C3055" s="16" t="s">
        <v>19768</v>
      </c>
      <c r="D3055" s="16" t="s">
        <v>16</v>
      </c>
      <c r="E3055" s="21" t="s">
        <v>19769</v>
      </c>
      <c r="F3055" s="22" t="s">
        <v>17110</v>
      </c>
      <c r="G3055" s="16">
        <v>23.61</v>
      </c>
      <c r="H3055" s="16"/>
      <c r="I3055" s="22"/>
      <c r="J3055" s="22" t="s">
        <v>19770</v>
      </c>
      <c r="K3055" s="22" t="s">
        <v>19771</v>
      </c>
      <c r="L3055" s="23" t="s">
        <v>19772</v>
      </c>
      <c r="M3055" s="22"/>
      <c r="N3055" s="12"/>
      <c r="O3055" s="12"/>
      <c r="P3055" s="13">
        <f>IFERROR(__xludf.DUMMYFUNCTION("VALUE(SUBSTITUTE((INDEX(SPLIT(A3055,"",""),1)),""."","","",1))"),46.32995)</f>
        <v>46.32995</v>
      </c>
      <c r="Q3055" s="13">
        <f>IFERROR(__xludf.DUMMYFUNCTION("VALUE(SUBSTITUTE((INDEX(SPLIT(A3055,"",""),2)),""."","","",1))"),47.972021)</f>
        <v>47.972021</v>
      </c>
      <c r="R3055" s="14" t="b">
        <f t="shared" si="1"/>
        <v>0</v>
      </c>
      <c r="S3055" s="14" t="str">
        <f t="shared" si="2"/>
        <v>46.32995,47.972021</v>
      </c>
      <c r="T3055" s="12"/>
    </row>
    <row r="3056">
      <c r="A3056" s="18" t="s">
        <v>19773</v>
      </c>
      <c r="B3056" s="8" t="s">
        <v>19774</v>
      </c>
      <c r="C3056" s="8" t="s">
        <v>19775</v>
      </c>
      <c r="D3056" s="8" t="s">
        <v>16</v>
      </c>
      <c r="E3056" s="19" t="s">
        <v>19776</v>
      </c>
      <c r="F3056" s="8" t="s">
        <v>17071</v>
      </c>
      <c r="G3056" s="8">
        <v>23.61</v>
      </c>
      <c r="H3056" s="8"/>
      <c r="I3056" s="8"/>
      <c r="J3056" s="8" t="s">
        <v>19777</v>
      </c>
      <c r="K3056" s="8" t="s">
        <v>19778</v>
      </c>
      <c r="L3056" s="8"/>
      <c r="M3056" s="8"/>
      <c r="N3056" s="12"/>
      <c r="O3056" s="12"/>
      <c r="P3056" s="13">
        <f>IFERROR(__xludf.DUMMYFUNCTION("VALUE(SUBSTITUTE((INDEX(SPLIT(A3056,"",""),1)),""."","","",1))"),56.637387)</f>
        <v>56.637387</v>
      </c>
      <c r="Q3056" s="13">
        <f>IFERROR(__xludf.DUMMYFUNCTION("VALUE(SUBSTITUTE((INDEX(SPLIT(A3056,"",""),2)),""."","","",1))"),47.978992)</f>
        <v>47.978992</v>
      </c>
      <c r="R3056" s="14" t="b">
        <f t="shared" si="1"/>
        <v>0</v>
      </c>
      <c r="S3056" s="14" t="str">
        <f t="shared" si="2"/>
        <v>56.637387,47.978992</v>
      </c>
      <c r="T3056" s="12"/>
    </row>
    <row r="3057">
      <c r="A3057" s="15" t="s">
        <v>19773</v>
      </c>
      <c r="B3057" s="16" t="s">
        <v>19779</v>
      </c>
      <c r="C3057" s="16" t="s">
        <v>19780</v>
      </c>
      <c r="D3057" s="16" t="s">
        <v>16</v>
      </c>
      <c r="E3057" s="17" t="s">
        <v>19781</v>
      </c>
      <c r="F3057" s="16" t="s">
        <v>17071</v>
      </c>
      <c r="G3057" s="16">
        <v>23.61</v>
      </c>
      <c r="H3057" s="16"/>
      <c r="I3057" s="16"/>
      <c r="J3057" s="16" t="s">
        <v>19782</v>
      </c>
      <c r="K3057" s="16" t="s">
        <v>19783</v>
      </c>
      <c r="L3057" s="16"/>
      <c r="M3057" s="16"/>
      <c r="N3057" s="12"/>
      <c r="O3057" s="12"/>
      <c r="P3057" s="13">
        <f>IFERROR(__xludf.DUMMYFUNCTION("VALUE(SUBSTITUTE((INDEX(SPLIT(A3057,"",""),1)),""."","","",1))"),56.637387)</f>
        <v>56.637387</v>
      </c>
      <c r="Q3057" s="13">
        <f>IFERROR(__xludf.DUMMYFUNCTION("VALUE(SUBSTITUTE((INDEX(SPLIT(A3057,"",""),2)),""."","","",1))"),47.978992)</f>
        <v>47.978992</v>
      </c>
      <c r="R3057" s="14" t="b">
        <f t="shared" si="1"/>
        <v>0</v>
      </c>
      <c r="S3057" s="14" t="str">
        <f t="shared" si="2"/>
        <v>56.637387,47.978992</v>
      </c>
      <c r="T3057" s="12"/>
    </row>
    <row r="3058">
      <c r="A3058" s="7" t="s">
        <v>19784</v>
      </c>
      <c r="B3058" s="8" t="s">
        <v>19785</v>
      </c>
      <c r="C3058" s="8" t="s">
        <v>19786</v>
      </c>
      <c r="D3058" s="8" t="s">
        <v>16</v>
      </c>
      <c r="E3058" s="9" t="s">
        <v>19787</v>
      </c>
      <c r="F3058" s="10" t="s">
        <v>17071</v>
      </c>
      <c r="G3058" s="8">
        <v>23.61</v>
      </c>
      <c r="H3058" s="8"/>
      <c r="I3058" s="10"/>
      <c r="J3058" s="10" t="s">
        <v>19788</v>
      </c>
      <c r="K3058" s="10" t="s">
        <v>19789</v>
      </c>
      <c r="L3058" s="11" t="s">
        <v>19790</v>
      </c>
      <c r="M3058" s="11" t="s">
        <v>19791</v>
      </c>
      <c r="N3058" s="12"/>
      <c r="O3058" s="12"/>
      <c r="P3058" s="13">
        <f>IFERROR(__xludf.DUMMYFUNCTION("VALUE(SUBSTITUTE((INDEX(SPLIT(A3058,"",""),1)),""."","","",1))"),46.407338)</f>
        <v>46.407338</v>
      </c>
      <c r="Q3058" s="13">
        <f>IFERROR(__xludf.DUMMYFUNCTION("VALUE(SUBSTITUTE((INDEX(SPLIT(A3058,"",""),2)),""."","","",1))"),48.010353)</f>
        <v>48.010353</v>
      </c>
      <c r="R3058" s="14" t="b">
        <f t="shared" si="1"/>
        <v>0</v>
      </c>
      <c r="S3058" s="14" t="str">
        <f t="shared" si="2"/>
        <v>46.407338,48.010353</v>
      </c>
      <c r="T3058" s="12"/>
    </row>
    <row r="3059">
      <c r="A3059" s="15" t="s">
        <v>19792</v>
      </c>
      <c r="B3059" s="16" t="s">
        <v>19793</v>
      </c>
      <c r="C3059" s="16" t="s">
        <v>19794</v>
      </c>
      <c r="D3059" s="16" t="s">
        <v>16</v>
      </c>
      <c r="E3059" s="17" t="s">
        <v>19795</v>
      </c>
      <c r="F3059" s="16" t="s">
        <v>17071</v>
      </c>
      <c r="G3059" s="16">
        <v>23.61</v>
      </c>
      <c r="H3059" s="16"/>
      <c r="I3059" s="16"/>
      <c r="J3059" s="16" t="s">
        <v>19796</v>
      </c>
      <c r="K3059" s="16" t="s">
        <v>19797</v>
      </c>
      <c r="L3059" s="16"/>
      <c r="M3059" s="25" t="s">
        <v>19798</v>
      </c>
      <c r="N3059" s="12"/>
      <c r="O3059" s="12"/>
      <c r="P3059" s="13">
        <f>IFERROR(__xludf.DUMMYFUNCTION("VALUE(SUBSTITUTE((INDEX(SPLIT(A3059,"",""),1)),""."","","",1))"),55.974539)</f>
        <v>55.974539</v>
      </c>
      <c r="Q3059" s="13">
        <f>IFERROR(__xludf.DUMMYFUNCTION("VALUE(SUBSTITUTE((INDEX(SPLIT(A3059,"",""),2)),""."","","",1))"),48.011844)</f>
        <v>48.011844</v>
      </c>
      <c r="R3059" s="14" t="b">
        <f t="shared" si="1"/>
        <v>0</v>
      </c>
      <c r="S3059" s="14" t="str">
        <f t="shared" si="2"/>
        <v>55.974539,48.011844</v>
      </c>
      <c r="T3059" s="12"/>
    </row>
    <row r="3060">
      <c r="A3060" s="7" t="s">
        <v>19799</v>
      </c>
      <c r="B3060" s="8" t="s">
        <v>19800</v>
      </c>
      <c r="C3060" s="8" t="s">
        <v>19801</v>
      </c>
      <c r="D3060" s="8" t="s">
        <v>16</v>
      </c>
      <c r="E3060" s="9" t="s">
        <v>19802</v>
      </c>
      <c r="F3060" s="10" t="s">
        <v>17110</v>
      </c>
      <c r="G3060" s="8">
        <v>23.61</v>
      </c>
      <c r="H3060" s="8"/>
      <c r="I3060" s="10"/>
      <c r="J3060" s="10" t="s">
        <v>19803</v>
      </c>
      <c r="K3060" s="10" t="s">
        <v>19804</v>
      </c>
      <c r="L3060" s="11" t="s">
        <v>19805</v>
      </c>
      <c r="M3060" s="10"/>
      <c r="N3060" s="12"/>
      <c r="O3060" s="12"/>
      <c r="P3060" s="13">
        <f>IFERROR(__xludf.DUMMYFUNCTION("VALUE(SUBSTITUTE((INDEX(SPLIT(A3060,"",""),1)),""."","","",1))"),46.333939)</f>
        <v>46.333939</v>
      </c>
      <c r="Q3060" s="13">
        <f>IFERROR(__xludf.DUMMYFUNCTION("VALUE(SUBSTITUTE((INDEX(SPLIT(A3060,"",""),2)),""."","","",1))"),48.017809)</f>
        <v>48.017809</v>
      </c>
      <c r="R3060" s="14" t="b">
        <f t="shared" si="1"/>
        <v>0</v>
      </c>
      <c r="S3060" s="14" t="str">
        <f t="shared" si="2"/>
        <v>46.333939,48.017809</v>
      </c>
      <c r="T3060" s="12"/>
    </row>
    <row r="3061">
      <c r="A3061" s="15" t="s">
        <v>19806</v>
      </c>
      <c r="B3061" s="16" t="s">
        <v>19807</v>
      </c>
      <c r="C3061" s="16" t="s">
        <v>19808</v>
      </c>
      <c r="D3061" s="16" t="s">
        <v>16</v>
      </c>
      <c r="E3061" s="17" t="s">
        <v>19809</v>
      </c>
      <c r="F3061" s="16" t="s">
        <v>17071</v>
      </c>
      <c r="G3061" s="16">
        <v>23.61</v>
      </c>
      <c r="H3061" s="16"/>
      <c r="I3061" s="16"/>
      <c r="J3061" s="16" t="s">
        <v>19810</v>
      </c>
      <c r="K3061" s="16" t="s">
        <v>19811</v>
      </c>
      <c r="L3061" s="16"/>
      <c r="M3061" s="25" t="s">
        <v>19812</v>
      </c>
      <c r="N3061" s="12"/>
      <c r="O3061" s="12"/>
      <c r="P3061" s="13">
        <f>IFERROR(__xludf.DUMMYFUNCTION("VALUE(SUBSTITUTE((INDEX(SPLIT(A3061,"",""),1)),""."","","",1))"),46.381687)</f>
        <v>46.381687</v>
      </c>
      <c r="Q3061" s="13">
        <f>IFERROR(__xludf.DUMMYFUNCTION("VALUE(SUBSTITUTE((INDEX(SPLIT(A3061,"",""),2)),""."","","",1))"),48.01974)</f>
        <v>48.01974</v>
      </c>
      <c r="R3061" s="14" t="b">
        <f t="shared" si="1"/>
        <v>0</v>
      </c>
      <c r="S3061" s="14" t="str">
        <f t="shared" si="2"/>
        <v>46.381687,48.01974</v>
      </c>
      <c r="T3061" s="12"/>
    </row>
    <row r="3062">
      <c r="A3062" s="7" t="s">
        <v>19813</v>
      </c>
      <c r="B3062" s="8" t="s">
        <v>19814</v>
      </c>
      <c r="C3062" s="8" t="s">
        <v>19815</v>
      </c>
      <c r="D3062" s="8" t="s">
        <v>16</v>
      </c>
      <c r="E3062" s="9" t="s">
        <v>19816</v>
      </c>
      <c r="F3062" s="10" t="s">
        <v>17071</v>
      </c>
      <c r="G3062" s="8">
        <v>23.61</v>
      </c>
      <c r="H3062" s="8"/>
      <c r="I3062" s="10"/>
      <c r="J3062" s="10" t="s">
        <v>19817</v>
      </c>
      <c r="K3062" s="10" t="s">
        <v>19818</v>
      </c>
      <c r="L3062" s="11" t="s">
        <v>19819</v>
      </c>
      <c r="M3062" s="10"/>
      <c r="N3062" s="12"/>
      <c r="O3062" s="12"/>
      <c r="P3062" s="13">
        <f>IFERROR(__xludf.DUMMYFUNCTION("VALUE(SUBSTITUTE((INDEX(SPLIT(A3062,"",""),1)),""."","","",1))"),46.32326)</f>
        <v>46.32326</v>
      </c>
      <c r="Q3062" s="13">
        <f>IFERROR(__xludf.DUMMYFUNCTION("VALUE(SUBSTITUTE((INDEX(SPLIT(A3062,"",""),2)),""."","","",1))"),48.034275)</f>
        <v>48.034275</v>
      </c>
      <c r="R3062" s="14" t="b">
        <f t="shared" si="1"/>
        <v>0</v>
      </c>
      <c r="S3062" s="14" t="str">
        <f t="shared" si="2"/>
        <v>46.32326,48.034275</v>
      </c>
      <c r="T3062" s="12"/>
    </row>
    <row r="3063">
      <c r="A3063" s="20" t="s">
        <v>19820</v>
      </c>
      <c r="B3063" s="16" t="s">
        <v>19821</v>
      </c>
      <c r="C3063" s="16" t="s">
        <v>19822</v>
      </c>
      <c r="D3063" s="16" t="s">
        <v>16</v>
      </c>
      <c r="E3063" s="21" t="s">
        <v>19823</v>
      </c>
      <c r="F3063" s="22" t="s">
        <v>17071</v>
      </c>
      <c r="G3063" s="16">
        <v>23.61</v>
      </c>
      <c r="H3063" s="16"/>
      <c r="I3063" s="22"/>
      <c r="J3063" s="22" t="s">
        <v>19824</v>
      </c>
      <c r="K3063" s="22" t="s">
        <v>19818</v>
      </c>
      <c r="L3063" s="23" t="s">
        <v>19825</v>
      </c>
      <c r="M3063" s="22"/>
      <c r="N3063" s="12"/>
      <c r="O3063" s="12"/>
      <c r="P3063" s="13">
        <f>IFERROR(__xludf.DUMMYFUNCTION("VALUE(SUBSTITUTE((INDEX(SPLIT(A3063,"",""),1)),""."","","",1))"),46.322551)</f>
        <v>46.322551</v>
      </c>
      <c r="Q3063" s="13">
        <f>IFERROR(__xludf.DUMMYFUNCTION("VALUE(SUBSTITUTE((INDEX(SPLIT(A3063,"",""),2)),""."","","",1))"),48.035146)</f>
        <v>48.035146</v>
      </c>
      <c r="R3063" s="14" t="b">
        <f t="shared" si="1"/>
        <v>0</v>
      </c>
      <c r="S3063" s="14" t="str">
        <f t="shared" si="2"/>
        <v>46.322551,48.035146</v>
      </c>
      <c r="T3063" s="12"/>
    </row>
    <row r="3064">
      <c r="A3064" s="18" t="s">
        <v>19826</v>
      </c>
      <c r="B3064" s="8" t="s">
        <v>11951</v>
      </c>
      <c r="C3064" s="8" t="s">
        <v>11952</v>
      </c>
      <c r="D3064" s="8" t="s">
        <v>16</v>
      </c>
      <c r="E3064" s="19" t="s">
        <v>19827</v>
      </c>
      <c r="F3064" s="8" t="s">
        <v>17071</v>
      </c>
      <c r="G3064" s="8">
        <v>23.61</v>
      </c>
      <c r="H3064" s="8"/>
      <c r="I3064" s="8"/>
      <c r="J3064" s="8" t="s">
        <v>19828</v>
      </c>
      <c r="K3064" s="8" t="s">
        <v>19829</v>
      </c>
      <c r="L3064" s="8"/>
      <c r="M3064" s="8"/>
      <c r="N3064" s="12"/>
      <c r="O3064" s="12"/>
      <c r="P3064" s="13">
        <f>IFERROR(__xludf.DUMMYFUNCTION("VALUE(SUBSTITUTE((INDEX(SPLIT(A3064,"",""),1)),""."","","",1))"),46.344012)</f>
        <v>46.344012</v>
      </c>
      <c r="Q3064" s="13">
        <f>IFERROR(__xludf.DUMMYFUNCTION("VALUE(SUBSTITUTE((INDEX(SPLIT(A3064,"",""),2)),""."","","",1))"),48.041677)</f>
        <v>48.041677</v>
      </c>
      <c r="R3064" s="14" t="b">
        <f t="shared" si="1"/>
        <v>0</v>
      </c>
      <c r="S3064" s="14" t="str">
        <f t="shared" si="2"/>
        <v>46.344012,48.041677</v>
      </c>
      <c r="T3064" s="12"/>
    </row>
    <row r="3065">
      <c r="A3065" s="20" t="s">
        <v>19830</v>
      </c>
      <c r="B3065" s="16" t="s">
        <v>19831</v>
      </c>
      <c r="C3065" s="16" t="s">
        <v>19832</v>
      </c>
      <c r="D3065" s="16" t="s">
        <v>16</v>
      </c>
      <c r="E3065" s="21" t="s">
        <v>19833</v>
      </c>
      <c r="F3065" s="22" t="s">
        <v>17071</v>
      </c>
      <c r="G3065" s="16">
        <v>23.61</v>
      </c>
      <c r="H3065" s="16"/>
      <c r="I3065" s="22"/>
      <c r="J3065" s="22" t="s">
        <v>19834</v>
      </c>
      <c r="K3065" s="22" t="s">
        <v>19835</v>
      </c>
      <c r="L3065" s="23" t="s">
        <v>19836</v>
      </c>
      <c r="M3065" s="22"/>
      <c r="N3065" s="12"/>
      <c r="O3065" s="12"/>
      <c r="P3065" s="13">
        <f>IFERROR(__xludf.DUMMYFUNCTION("VALUE(SUBSTITUTE((INDEX(SPLIT(A3065,"",""),1)),""."","","",1))"),46.368444)</f>
        <v>46.368444</v>
      </c>
      <c r="Q3065" s="13">
        <f>IFERROR(__xludf.DUMMYFUNCTION("VALUE(SUBSTITUTE((INDEX(SPLIT(A3065,"",""),2)),""."","","",1))"),48.045108)</f>
        <v>48.045108</v>
      </c>
      <c r="R3065" s="14" t="b">
        <f t="shared" si="1"/>
        <v>0</v>
      </c>
      <c r="S3065" s="14" t="str">
        <f t="shared" si="2"/>
        <v>46.368444,48.045108</v>
      </c>
      <c r="T3065" s="12"/>
    </row>
    <row r="3066">
      <c r="A3066" s="18" t="s">
        <v>19837</v>
      </c>
      <c r="B3066" s="8" t="s">
        <v>19838</v>
      </c>
      <c r="C3066" s="8" t="s">
        <v>19839</v>
      </c>
      <c r="D3066" s="8" t="s">
        <v>16</v>
      </c>
      <c r="E3066" s="19" t="s">
        <v>19840</v>
      </c>
      <c r="F3066" s="8" t="s">
        <v>17071</v>
      </c>
      <c r="G3066" s="8">
        <v>23.61</v>
      </c>
      <c r="H3066" s="8"/>
      <c r="I3066" s="8"/>
      <c r="J3066" s="8" t="s">
        <v>19841</v>
      </c>
      <c r="K3066" s="8" t="s">
        <v>19842</v>
      </c>
      <c r="L3066" s="8"/>
      <c r="M3066" s="8"/>
      <c r="N3066" s="12"/>
      <c r="O3066" s="12"/>
      <c r="P3066" s="13">
        <f>IFERROR(__xludf.DUMMYFUNCTION("VALUE(SUBSTITUTE((INDEX(SPLIT(A3066,"",""),1)),""."","","",1))"),46.374177)</f>
        <v>46.374177</v>
      </c>
      <c r="Q3066" s="13">
        <f>IFERROR(__xludf.DUMMYFUNCTION("VALUE(SUBSTITUTE((INDEX(SPLIT(A3066,"",""),2)),""."","","",1))"),48.111314)</f>
        <v>48.111314</v>
      </c>
      <c r="R3066" s="14" t="b">
        <f t="shared" si="1"/>
        <v>0</v>
      </c>
      <c r="S3066" s="14" t="str">
        <f t="shared" si="2"/>
        <v>46.374177,48.111314</v>
      </c>
      <c r="T3066" s="12"/>
    </row>
    <row r="3067">
      <c r="A3067" s="20" t="s">
        <v>19843</v>
      </c>
      <c r="B3067" s="16" t="s">
        <v>19844</v>
      </c>
      <c r="C3067" s="16" t="s">
        <v>19845</v>
      </c>
      <c r="D3067" s="16" t="s">
        <v>16</v>
      </c>
      <c r="E3067" s="21" t="s">
        <v>19846</v>
      </c>
      <c r="F3067" s="22" t="s">
        <v>17071</v>
      </c>
      <c r="G3067" s="16">
        <v>23.61</v>
      </c>
      <c r="H3067" s="16"/>
      <c r="I3067" s="22"/>
      <c r="J3067" s="22" t="s">
        <v>19847</v>
      </c>
      <c r="K3067" s="22" t="s">
        <v>19848</v>
      </c>
      <c r="L3067" s="23" t="s">
        <v>19849</v>
      </c>
      <c r="M3067" s="22"/>
      <c r="N3067" s="12"/>
      <c r="O3067" s="12"/>
      <c r="P3067" s="13">
        <f>IFERROR(__xludf.DUMMYFUNCTION("VALUE(SUBSTITUTE((INDEX(SPLIT(A3067,"",""),1)),""."","","",1))"),46.363587)</f>
        <v>46.363587</v>
      </c>
      <c r="Q3067" s="13">
        <f>IFERROR(__xludf.DUMMYFUNCTION("VALUE(SUBSTITUTE((INDEX(SPLIT(A3067,"",""),2)),""."","","",1))"),48.150211)</f>
        <v>48.150211</v>
      </c>
      <c r="R3067" s="14" t="b">
        <f t="shared" si="1"/>
        <v>0</v>
      </c>
      <c r="S3067" s="14" t="str">
        <f t="shared" si="2"/>
        <v>46.363587,48.150211</v>
      </c>
      <c r="T3067" s="12"/>
    </row>
    <row r="3068">
      <c r="A3068" s="18" t="s">
        <v>19850</v>
      </c>
      <c r="B3068" s="8" t="s">
        <v>19851</v>
      </c>
      <c r="C3068" s="8" t="s">
        <v>19852</v>
      </c>
      <c r="D3068" s="8" t="s">
        <v>16</v>
      </c>
      <c r="E3068" s="19" t="s">
        <v>19853</v>
      </c>
      <c r="F3068" s="8" t="s">
        <v>17071</v>
      </c>
      <c r="G3068" s="8">
        <v>23.61</v>
      </c>
      <c r="H3068" s="8"/>
      <c r="I3068" s="8"/>
      <c r="J3068" s="8" t="s">
        <v>19854</v>
      </c>
      <c r="K3068" s="8" t="s">
        <v>19855</v>
      </c>
      <c r="L3068" s="8"/>
      <c r="M3068" s="8"/>
      <c r="N3068" s="12"/>
      <c r="O3068" s="12"/>
      <c r="P3068" s="13">
        <f>IFERROR(__xludf.DUMMYFUNCTION("VALUE(SUBSTITUTE((INDEX(SPLIT(A3068,"",""),1)),""."","","",1))"),42.114988)</f>
        <v>42.114988</v>
      </c>
      <c r="Q3068" s="13">
        <f>IFERROR(__xludf.DUMMYFUNCTION("VALUE(SUBSTITUTE((INDEX(SPLIT(A3068,"",""),2)),""."","","",1))"),48.187653)</f>
        <v>48.187653</v>
      </c>
      <c r="R3068" s="14" t="b">
        <f t="shared" si="1"/>
        <v>0</v>
      </c>
      <c r="S3068" s="14" t="str">
        <f t="shared" si="2"/>
        <v>42.114988,48.187653</v>
      </c>
      <c r="T3068" s="12"/>
    </row>
    <row r="3069">
      <c r="A3069" s="20" t="s">
        <v>19856</v>
      </c>
      <c r="B3069" s="16" t="s">
        <v>14737</v>
      </c>
      <c r="C3069" s="16" t="s">
        <v>14738</v>
      </c>
      <c r="D3069" s="16" t="s">
        <v>16</v>
      </c>
      <c r="E3069" s="21" t="s">
        <v>19857</v>
      </c>
      <c r="F3069" s="22" t="s">
        <v>17110</v>
      </c>
      <c r="G3069" s="16">
        <v>23.61</v>
      </c>
      <c r="H3069" s="16"/>
      <c r="I3069" s="22"/>
      <c r="J3069" s="22" t="s">
        <v>19858</v>
      </c>
      <c r="K3069" s="22" t="s">
        <v>19859</v>
      </c>
      <c r="L3069" s="23" t="s">
        <v>19860</v>
      </c>
      <c r="M3069" s="22"/>
      <c r="N3069" s="12"/>
      <c r="O3069" s="12"/>
      <c r="P3069" s="13">
        <f>IFERROR(__xludf.DUMMYFUNCTION("VALUE(SUBSTITUTE((INDEX(SPLIT(A3069,"",""),1)),""."","","",1))"),46.340497)</f>
        <v>46.340497</v>
      </c>
      <c r="Q3069" s="13">
        <f>IFERROR(__xludf.DUMMYFUNCTION("VALUE(SUBSTITUTE((INDEX(SPLIT(A3069,"",""),2)),""."","","",1))"),48.188327)</f>
        <v>48.188327</v>
      </c>
      <c r="R3069" s="14" t="b">
        <f t="shared" si="1"/>
        <v>0</v>
      </c>
      <c r="S3069" s="14" t="str">
        <f t="shared" si="2"/>
        <v>46.340497,48.188327</v>
      </c>
      <c r="T3069" s="12"/>
    </row>
    <row r="3070">
      <c r="A3070" s="18" t="s">
        <v>19861</v>
      </c>
      <c r="B3070" s="8" t="s">
        <v>19862</v>
      </c>
      <c r="C3070" s="8" t="s">
        <v>19863</v>
      </c>
      <c r="D3070" s="8" t="s">
        <v>16</v>
      </c>
      <c r="E3070" s="19" t="s">
        <v>19864</v>
      </c>
      <c r="F3070" s="8" t="s">
        <v>17071</v>
      </c>
      <c r="G3070" s="8">
        <v>23.61</v>
      </c>
      <c r="H3070" s="8"/>
      <c r="I3070" s="8"/>
      <c r="J3070" s="8" t="s">
        <v>19865</v>
      </c>
      <c r="K3070" s="8" t="s">
        <v>19866</v>
      </c>
      <c r="L3070" s="8"/>
      <c r="M3070" s="8"/>
      <c r="N3070" s="12"/>
      <c r="O3070" s="12"/>
      <c r="P3070" s="13">
        <f>IFERROR(__xludf.DUMMYFUNCTION("VALUE(SUBSTITUTE((INDEX(SPLIT(A3070,"",""),1)),""."","","",1))"),42.115189)</f>
        <v>42.115189</v>
      </c>
      <c r="Q3070" s="13">
        <f>IFERROR(__xludf.DUMMYFUNCTION("VALUE(SUBSTITUTE((INDEX(SPLIT(A3070,"",""),2)),""."","","",1))"),48.193923)</f>
        <v>48.193923</v>
      </c>
      <c r="R3070" s="14" t="b">
        <f t="shared" si="1"/>
        <v>0</v>
      </c>
      <c r="S3070" s="14" t="str">
        <f t="shared" si="2"/>
        <v>42.115189,48.193923</v>
      </c>
      <c r="T3070" s="12"/>
    </row>
    <row r="3071">
      <c r="A3071" s="15" t="s">
        <v>19867</v>
      </c>
      <c r="B3071" s="16" t="s">
        <v>19868</v>
      </c>
      <c r="C3071" s="16" t="s">
        <v>19869</v>
      </c>
      <c r="D3071" s="16" t="s">
        <v>16</v>
      </c>
      <c r="E3071" s="17" t="s">
        <v>19870</v>
      </c>
      <c r="F3071" s="16" t="s">
        <v>17071</v>
      </c>
      <c r="G3071" s="16">
        <v>23.61</v>
      </c>
      <c r="H3071" s="16"/>
      <c r="I3071" s="16"/>
      <c r="J3071" s="16" t="s">
        <v>19871</v>
      </c>
      <c r="K3071" s="16" t="s">
        <v>19872</v>
      </c>
      <c r="L3071" s="16"/>
      <c r="M3071" s="16"/>
      <c r="N3071" s="12"/>
      <c r="O3071" s="12"/>
      <c r="P3071" s="13">
        <f>IFERROR(__xludf.DUMMYFUNCTION("VALUE(SUBSTITUTE((INDEX(SPLIT(A3071,"",""),1)),""."","","",1))"),42.108607)</f>
        <v>42.108607</v>
      </c>
      <c r="Q3071" s="13">
        <f>IFERROR(__xludf.DUMMYFUNCTION("VALUE(SUBSTITUTE((INDEX(SPLIT(A3071,"",""),2)),""."","","",1))"),48.198612)</f>
        <v>48.198612</v>
      </c>
      <c r="R3071" s="14" t="b">
        <f t="shared" si="1"/>
        <v>0</v>
      </c>
      <c r="S3071" s="14" t="str">
        <f t="shared" si="2"/>
        <v>42.108607,48.198612</v>
      </c>
      <c r="T3071" s="12"/>
    </row>
    <row r="3072">
      <c r="A3072" s="7" t="s">
        <v>19867</v>
      </c>
      <c r="B3072" s="8" t="s">
        <v>19873</v>
      </c>
      <c r="C3072" s="8" t="s">
        <v>19874</v>
      </c>
      <c r="D3072" s="8" t="s">
        <v>16</v>
      </c>
      <c r="E3072" s="9" t="s">
        <v>19875</v>
      </c>
      <c r="F3072" s="10" t="s">
        <v>17780</v>
      </c>
      <c r="G3072" s="8">
        <v>23.61</v>
      </c>
      <c r="H3072" s="8"/>
      <c r="I3072" s="10"/>
      <c r="J3072" s="10" t="s">
        <v>19876</v>
      </c>
      <c r="K3072" s="10" t="s">
        <v>19877</v>
      </c>
      <c r="L3072" s="11" t="s">
        <v>19878</v>
      </c>
      <c r="M3072" s="10"/>
      <c r="N3072" s="12"/>
      <c r="O3072" s="12"/>
      <c r="P3072" s="13">
        <f>IFERROR(__xludf.DUMMYFUNCTION("VALUE(SUBSTITUTE((INDEX(SPLIT(A3072,"",""),1)),""."","","",1))"),42.108607)</f>
        <v>42.108607</v>
      </c>
      <c r="Q3072" s="13">
        <f>IFERROR(__xludf.DUMMYFUNCTION("VALUE(SUBSTITUTE((INDEX(SPLIT(A3072,"",""),2)),""."","","",1))"),48.198612)</f>
        <v>48.198612</v>
      </c>
      <c r="R3072" s="14" t="b">
        <f t="shared" si="1"/>
        <v>0</v>
      </c>
      <c r="S3072" s="14" t="str">
        <f t="shared" si="2"/>
        <v>42.108607,48.198612</v>
      </c>
      <c r="T3072" s="12"/>
    </row>
    <row r="3073">
      <c r="A3073" s="20" t="s">
        <v>19879</v>
      </c>
      <c r="B3073" s="16" t="s">
        <v>19880</v>
      </c>
      <c r="C3073" s="16" t="s">
        <v>19881</v>
      </c>
      <c r="D3073" s="16" t="s">
        <v>16</v>
      </c>
      <c r="E3073" s="21" t="s">
        <v>19882</v>
      </c>
      <c r="F3073" s="22" t="s">
        <v>17071</v>
      </c>
      <c r="G3073" s="16">
        <v>23.61</v>
      </c>
      <c r="H3073" s="16"/>
      <c r="I3073" s="22"/>
      <c r="J3073" s="22" t="s">
        <v>19883</v>
      </c>
      <c r="K3073" s="22" t="s">
        <v>19884</v>
      </c>
      <c r="L3073" s="23" t="s">
        <v>19885</v>
      </c>
      <c r="M3073" s="23" t="s">
        <v>19886</v>
      </c>
      <c r="N3073" s="12"/>
      <c r="O3073" s="12"/>
      <c r="P3073" s="13">
        <f>IFERROR(__xludf.DUMMYFUNCTION("VALUE(SUBSTITUTE((INDEX(SPLIT(A3073,"",""),1)),""."","","",1))"),56.715653)</f>
        <v>56.715653</v>
      </c>
      <c r="Q3073" s="13">
        <f>IFERROR(__xludf.DUMMYFUNCTION("VALUE(SUBSTITUTE((INDEX(SPLIT(A3073,"",""),2)),""."","","",1))"),48.219328)</f>
        <v>48.219328</v>
      </c>
      <c r="R3073" s="14" t="b">
        <f t="shared" si="1"/>
        <v>0</v>
      </c>
      <c r="S3073" s="14" t="str">
        <f t="shared" si="2"/>
        <v>56.715653,48.219328</v>
      </c>
      <c r="T3073" s="12"/>
    </row>
    <row r="3074">
      <c r="A3074" s="7" t="s">
        <v>19879</v>
      </c>
      <c r="B3074" s="8" t="s">
        <v>19887</v>
      </c>
      <c r="C3074" s="8" t="s">
        <v>19888</v>
      </c>
      <c r="D3074" s="8" t="s">
        <v>16</v>
      </c>
      <c r="E3074" s="9" t="s">
        <v>19889</v>
      </c>
      <c r="F3074" s="10" t="s">
        <v>17071</v>
      </c>
      <c r="G3074" s="8">
        <v>23.61</v>
      </c>
      <c r="H3074" s="8"/>
      <c r="I3074" s="10"/>
      <c r="J3074" s="10" t="s">
        <v>19890</v>
      </c>
      <c r="K3074" s="10" t="s">
        <v>19891</v>
      </c>
      <c r="L3074" s="11" t="s">
        <v>19892</v>
      </c>
      <c r="M3074" s="11" t="s">
        <v>19893</v>
      </c>
      <c r="N3074" s="12"/>
      <c r="O3074" s="12"/>
      <c r="P3074" s="13">
        <f>IFERROR(__xludf.DUMMYFUNCTION("VALUE(SUBSTITUTE((INDEX(SPLIT(A3074,"",""),1)),""."","","",1))"),56.715653)</f>
        <v>56.715653</v>
      </c>
      <c r="Q3074" s="13">
        <f>IFERROR(__xludf.DUMMYFUNCTION("VALUE(SUBSTITUTE((INDEX(SPLIT(A3074,"",""),2)),""."","","",1))"),48.219328)</f>
        <v>48.219328</v>
      </c>
      <c r="R3074" s="14" t="b">
        <f t="shared" si="1"/>
        <v>0</v>
      </c>
      <c r="S3074" s="14" t="str">
        <f t="shared" si="2"/>
        <v>56.715653,48.219328</v>
      </c>
      <c r="T3074" s="12"/>
    </row>
    <row r="3075">
      <c r="A3075" s="20" t="s">
        <v>19894</v>
      </c>
      <c r="B3075" s="16" t="s">
        <v>19895</v>
      </c>
      <c r="C3075" s="16" t="s">
        <v>19896</v>
      </c>
      <c r="D3075" s="16" t="s">
        <v>16</v>
      </c>
      <c r="E3075" s="21" t="s">
        <v>19897</v>
      </c>
      <c r="F3075" s="22" t="s">
        <v>17071</v>
      </c>
      <c r="G3075" s="16">
        <v>23.61</v>
      </c>
      <c r="H3075" s="16"/>
      <c r="I3075" s="22"/>
      <c r="J3075" s="22" t="s">
        <v>19898</v>
      </c>
      <c r="K3075" s="22" t="s">
        <v>19899</v>
      </c>
      <c r="L3075" s="23" t="s">
        <v>19900</v>
      </c>
      <c r="M3075" s="22"/>
      <c r="N3075" s="12"/>
      <c r="O3075" s="12"/>
      <c r="P3075" s="13">
        <f>IFERROR(__xludf.DUMMYFUNCTION("VALUE(SUBSTITUTE((INDEX(SPLIT(A3075,"",""),1)),""."","","",1))"),41.98329)</f>
        <v>41.98329</v>
      </c>
      <c r="Q3075" s="13">
        <f>IFERROR(__xludf.DUMMYFUNCTION("VALUE(SUBSTITUTE((INDEX(SPLIT(A3075,"",""),2)),""."","","",1))"),48.222624)</f>
        <v>48.222624</v>
      </c>
      <c r="R3075" s="14" t="b">
        <f t="shared" si="1"/>
        <v>0</v>
      </c>
      <c r="S3075" s="14" t="str">
        <f t="shared" si="2"/>
        <v>41.98329,48.222624</v>
      </c>
      <c r="T3075" s="12"/>
    </row>
    <row r="3076">
      <c r="A3076" s="18" t="s">
        <v>19901</v>
      </c>
      <c r="B3076" s="8" t="s">
        <v>19902</v>
      </c>
      <c r="C3076" s="8" t="s">
        <v>19903</v>
      </c>
      <c r="D3076" s="8" t="s">
        <v>16</v>
      </c>
      <c r="E3076" s="19" t="s">
        <v>19904</v>
      </c>
      <c r="F3076" s="8" t="s">
        <v>17071</v>
      </c>
      <c r="G3076" s="8">
        <v>23.61</v>
      </c>
      <c r="H3076" s="8"/>
      <c r="I3076" s="8"/>
      <c r="J3076" s="8" t="s">
        <v>19905</v>
      </c>
      <c r="K3076" s="8" t="s">
        <v>19906</v>
      </c>
      <c r="L3076" s="8"/>
      <c r="M3076" s="8"/>
      <c r="N3076" s="12"/>
      <c r="O3076" s="12"/>
      <c r="P3076" s="13">
        <f>IFERROR(__xludf.DUMMYFUNCTION("VALUE(SUBSTITUTE((INDEX(SPLIT(A3076,"",""),1)),""."","","",1))"),54.959258)</f>
        <v>54.959258</v>
      </c>
      <c r="Q3076" s="13">
        <f>IFERROR(__xludf.DUMMYFUNCTION("VALUE(SUBSTITUTE((INDEX(SPLIT(A3076,"",""),2)),""."","","",1))"),48.261153)</f>
        <v>48.261153</v>
      </c>
      <c r="R3076" s="14" t="b">
        <f t="shared" si="1"/>
        <v>0</v>
      </c>
      <c r="S3076" s="14" t="str">
        <f t="shared" si="2"/>
        <v>54.959258,48.261153</v>
      </c>
      <c r="T3076" s="12"/>
    </row>
    <row r="3077">
      <c r="A3077" s="20" t="s">
        <v>19907</v>
      </c>
      <c r="B3077" s="16" t="s">
        <v>19908</v>
      </c>
      <c r="C3077" s="16" t="s">
        <v>19909</v>
      </c>
      <c r="D3077" s="16" t="s">
        <v>16</v>
      </c>
      <c r="E3077" s="21" t="s">
        <v>19910</v>
      </c>
      <c r="F3077" s="22" t="s">
        <v>17071</v>
      </c>
      <c r="G3077" s="16">
        <v>23.61</v>
      </c>
      <c r="H3077" s="16"/>
      <c r="I3077" s="22"/>
      <c r="J3077" s="22" t="s">
        <v>19911</v>
      </c>
      <c r="K3077" s="22" t="s">
        <v>19912</v>
      </c>
      <c r="L3077" s="23" t="s">
        <v>19913</v>
      </c>
      <c r="M3077" s="22"/>
      <c r="N3077" s="12"/>
      <c r="O3077" s="12"/>
      <c r="P3077" s="13">
        <f>IFERROR(__xludf.DUMMYFUNCTION("VALUE(SUBSTITUTE((INDEX(SPLIT(A3077,"",""),1)),""."","","",1))"),54.256629)</f>
        <v>54.256629</v>
      </c>
      <c r="Q3077" s="13">
        <f>IFERROR(__xludf.DUMMYFUNCTION("VALUE(SUBSTITUTE((INDEX(SPLIT(A3077,"",""),2)),""."","","",1))"),48.270523)</f>
        <v>48.270523</v>
      </c>
      <c r="R3077" s="14" t="b">
        <f t="shared" si="1"/>
        <v>0</v>
      </c>
      <c r="S3077" s="14" t="str">
        <f t="shared" si="2"/>
        <v>54.256629,48.270523</v>
      </c>
      <c r="T3077" s="12"/>
    </row>
    <row r="3078">
      <c r="A3078" s="18" t="s">
        <v>19907</v>
      </c>
      <c r="B3078" s="8" t="s">
        <v>854</v>
      </c>
      <c r="C3078" s="8" t="s">
        <v>855</v>
      </c>
      <c r="D3078" s="8" t="s">
        <v>16</v>
      </c>
      <c r="E3078" s="19" t="s">
        <v>19914</v>
      </c>
      <c r="F3078" s="8" t="s">
        <v>18149</v>
      </c>
      <c r="G3078" s="8">
        <v>23.61</v>
      </c>
      <c r="H3078" s="8"/>
      <c r="I3078" s="8"/>
      <c r="J3078" s="8" t="s">
        <v>19915</v>
      </c>
      <c r="K3078" s="8" t="s">
        <v>19916</v>
      </c>
      <c r="L3078" s="8"/>
      <c r="M3078" s="8"/>
      <c r="N3078" s="12"/>
      <c r="O3078" s="12"/>
      <c r="P3078" s="13">
        <f>IFERROR(__xludf.DUMMYFUNCTION("VALUE(SUBSTITUTE((INDEX(SPLIT(A3078,"",""),1)),""."","","",1))"),54.256629)</f>
        <v>54.256629</v>
      </c>
      <c r="Q3078" s="13">
        <f>IFERROR(__xludf.DUMMYFUNCTION("VALUE(SUBSTITUTE((INDEX(SPLIT(A3078,"",""),2)),""."","","",1))"),48.270523)</f>
        <v>48.270523</v>
      </c>
      <c r="R3078" s="14" t="b">
        <f t="shared" si="1"/>
        <v>0</v>
      </c>
      <c r="S3078" s="14" t="str">
        <f t="shared" si="2"/>
        <v>54.256629,48.270523</v>
      </c>
      <c r="T3078" s="12"/>
    </row>
    <row r="3079">
      <c r="A3079" s="15" t="s">
        <v>19917</v>
      </c>
      <c r="B3079" s="16" t="s">
        <v>19918</v>
      </c>
      <c r="C3079" s="16" t="s">
        <v>19919</v>
      </c>
      <c r="D3079" s="16" t="s">
        <v>16</v>
      </c>
      <c r="E3079" s="17" t="s">
        <v>19920</v>
      </c>
      <c r="F3079" s="16" t="s">
        <v>17780</v>
      </c>
      <c r="G3079" s="16">
        <v>23.61</v>
      </c>
      <c r="H3079" s="16"/>
      <c r="I3079" s="16"/>
      <c r="J3079" s="16" t="s">
        <v>19921</v>
      </c>
      <c r="K3079" s="16" t="s">
        <v>19922</v>
      </c>
      <c r="L3079" s="16"/>
      <c r="M3079" s="16"/>
      <c r="N3079" s="12"/>
      <c r="O3079" s="12"/>
      <c r="P3079" s="13">
        <f>IFERROR(__xludf.DUMMYFUNCTION("VALUE(SUBSTITUTE((INDEX(SPLIT(A3079,"",""),1)),""."","","",1))"),54.257938)</f>
        <v>54.257938</v>
      </c>
      <c r="Q3079" s="13">
        <f>IFERROR(__xludf.DUMMYFUNCTION("VALUE(SUBSTITUTE((INDEX(SPLIT(A3079,"",""),2)),""."","","",1))"),48.273128)</f>
        <v>48.273128</v>
      </c>
      <c r="R3079" s="14" t="b">
        <f t="shared" si="1"/>
        <v>0</v>
      </c>
      <c r="S3079" s="14" t="str">
        <f t="shared" si="2"/>
        <v>54.257938,48.273128</v>
      </c>
      <c r="T3079" s="12"/>
    </row>
    <row r="3080">
      <c r="A3080" s="7" t="s">
        <v>19923</v>
      </c>
      <c r="B3080" s="8" t="s">
        <v>19924</v>
      </c>
      <c r="C3080" s="8" t="s">
        <v>19925</v>
      </c>
      <c r="D3080" s="8" t="s">
        <v>16</v>
      </c>
      <c r="E3080" s="9" t="s">
        <v>19926</v>
      </c>
      <c r="F3080" s="10" t="s">
        <v>19927</v>
      </c>
      <c r="G3080" s="8">
        <v>23.61</v>
      </c>
      <c r="H3080" s="8"/>
      <c r="I3080" s="10"/>
      <c r="J3080" s="10" t="s">
        <v>19928</v>
      </c>
      <c r="K3080" s="10" t="s">
        <v>19929</v>
      </c>
      <c r="L3080" s="11" t="s">
        <v>19930</v>
      </c>
      <c r="M3080" s="11" t="s">
        <v>19931</v>
      </c>
      <c r="N3080" s="12"/>
      <c r="O3080" s="12"/>
      <c r="P3080" s="13">
        <f>IFERROR(__xludf.DUMMYFUNCTION("VALUE(SUBSTITUTE((INDEX(SPLIT(A3080,"",""),1)),""."","","",1))"),54.305966)</f>
        <v>54.305966</v>
      </c>
      <c r="Q3080" s="13">
        <f>IFERROR(__xludf.DUMMYFUNCTION("VALUE(SUBSTITUTE((INDEX(SPLIT(A3080,"",""),2)),""."","","",1))"),48.276218)</f>
        <v>48.276218</v>
      </c>
      <c r="R3080" s="14" t="b">
        <f t="shared" si="1"/>
        <v>0</v>
      </c>
      <c r="S3080" s="14" t="str">
        <f t="shared" si="2"/>
        <v>54.305966,48.276218</v>
      </c>
      <c r="T3080" s="12"/>
    </row>
    <row r="3081">
      <c r="A3081" s="15" t="s">
        <v>19932</v>
      </c>
      <c r="B3081" s="16" t="s">
        <v>19933</v>
      </c>
      <c r="C3081" s="16" t="s">
        <v>19934</v>
      </c>
      <c r="D3081" s="16" t="s">
        <v>16</v>
      </c>
      <c r="E3081" s="17" t="s">
        <v>19935</v>
      </c>
      <c r="F3081" s="16" t="s">
        <v>19927</v>
      </c>
      <c r="G3081" s="16">
        <v>23.61</v>
      </c>
      <c r="H3081" s="16"/>
      <c r="I3081" s="16"/>
      <c r="J3081" s="16" t="s">
        <v>19936</v>
      </c>
      <c r="K3081" s="16" t="s">
        <v>19937</v>
      </c>
      <c r="L3081" s="16"/>
      <c r="M3081" s="16"/>
      <c r="N3081" s="12"/>
      <c r="O3081" s="12"/>
      <c r="P3081" s="13">
        <f>IFERROR(__xludf.DUMMYFUNCTION("VALUE(SUBSTITUTE((INDEX(SPLIT(A3081,"",""),1)),""."","","",1))"),54.29221)</f>
        <v>54.29221</v>
      </c>
      <c r="Q3081" s="13">
        <f>IFERROR(__xludf.DUMMYFUNCTION("VALUE(SUBSTITUTE((INDEX(SPLIT(A3081,"",""),2)),""."","","",1))"),48.277682)</f>
        <v>48.277682</v>
      </c>
      <c r="R3081" s="14" t="b">
        <f t="shared" si="1"/>
        <v>0</v>
      </c>
      <c r="S3081" s="14" t="str">
        <f t="shared" si="2"/>
        <v>54.29221,48.277682</v>
      </c>
      <c r="T3081" s="12"/>
    </row>
    <row r="3082">
      <c r="A3082" s="7" t="s">
        <v>19932</v>
      </c>
      <c r="B3082" s="8" t="s">
        <v>19938</v>
      </c>
      <c r="C3082" s="8" t="s">
        <v>19939</v>
      </c>
      <c r="D3082" s="8" t="s">
        <v>16</v>
      </c>
      <c r="E3082" s="9" t="s">
        <v>19940</v>
      </c>
      <c r="F3082" s="10" t="s">
        <v>19927</v>
      </c>
      <c r="G3082" s="8">
        <v>23.61</v>
      </c>
      <c r="H3082" s="8"/>
      <c r="I3082" s="10"/>
      <c r="J3082" s="10" t="s">
        <v>19941</v>
      </c>
      <c r="K3082" s="10" t="s">
        <v>19942</v>
      </c>
      <c r="L3082" s="11" t="s">
        <v>19943</v>
      </c>
      <c r="M3082" s="10"/>
      <c r="N3082" s="12"/>
      <c r="O3082" s="12"/>
      <c r="P3082" s="13">
        <f>IFERROR(__xludf.DUMMYFUNCTION("VALUE(SUBSTITUTE((INDEX(SPLIT(A3082,"",""),1)),""."","","",1))"),54.29221)</f>
        <v>54.29221</v>
      </c>
      <c r="Q3082" s="13">
        <f>IFERROR(__xludf.DUMMYFUNCTION("VALUE(SUBSTITUTE((INDEX(SPLIT(A3082,"",""),2)),""."","","",1))"),48.277682)</f>
        <v>48.277682</v>
      </c>
      <c r="R3082" s="14" t="b">
        <f t="shared" si="1"/>
        <v>0</v>
      </c>
      <c r="S3082" s="14" t="str">
        <f t="shared" si="2"/>
        <v>54.29221,48.277682</v>
      </c>
      <c r="T3082" s="12"/>
    </row>
    <row r="3083">
      <c r="A3083" s="20" t="s">
        <v>19944</v>
      </c>
      <c r="B3083" s="16" t="s">
        <v>19945</v>
      </c>
      <c r="C3083" s="16" t="s">
        <v>19946</v>
      </c>
      <c r="D3083" s="16" t="s">
        <v>16</v>
      </c>
      <c r="E3083" s="21" t="s">
        <v>19947</v>
      </c>
      <c r="F3083" s="22" t="s">
        <v>19948</v>
      </c>
      <c r="G3083" s="16">
        <v>23.61</v>
      </c>
      <c r="H3083" s="16"/>
      <c r="I3083" s="22"/>
      <c r="J3083" s="22" t="s">
        <v>19949</v>
      </c>
      <c r="K3083" s="22" t="s">
        <v>19950</v>
      </c>
      <c r="L3083" s="23" t="s">
        <v>19951</v>
      </c>
      <c r="M3083" s="22"/>
      <c r="N3083" s="12"/>
      <c r="O3083" s="12"/>
      <c r="P3083" s="13">
        <f>IFERROR(__xludf.DUMMYFUNCTION("VALUE(SUBSTITUTE((INDEX(SPLIT(A3083,"",""),1)),""."","","",1))"),54.296388)</f>
        <v>54.296388</v>
      </c>
      <c r="Q3083" s="13">
        <f>IFERROR(__xludf.DUMMYFUNCTION("VALUE(SUBSTITUTE((INDEX(SPLIT(A3083,"",""),2)),""."","","",1))"),48.278536)</f>
        <v>48.278536</v>
      </c>
      <c r="R3083" s="14" t="b">
        <f t="shared" si="1"/>
        <v>0</v>
      </c>
      <c r="S3083" s="14" t="str">
        <f t="shared" si="2"/>
        <v>54.296388,48.278536</v>
      </c>
      <c r="T3083" s="12"/>
    </row>
    <row r="3084">
      <c r="A3084" s="18" t="s">
        <v>19952</v>
      </c>
      <c r="B3084" s="8" t="s">
        <v>19953</v>
      </c>
      <c r="C3084" s="8" t="s">
        <v>19954</v>
      </c>
      <c r="D3084" s="8" t="s">
        <v>16</v>
      </c>
      <c r="E3084" s="19" t="s">
        <v>19955</v>
      </c>
      <c r="F3084" s="8" t="s">
        <v>16443</v>
      </c>
      <c r="G3084" s="8">
        <v>23.61</v>
      </c>
      <c r="H3084" s="8"/>
      <c r="I3084" s="8"/>
      <c r="J3084" s="8" t="s">
        <v>19956</v>
      </c>
      <c r="K3084" s="8" t="s">
        <v>19957</v>
      </c>
      <c r="L3084" s="8"/>
      <c r="M3084" s="8"/>
      <c r="N3084" s="12"/>
      <c r="O3084" s="12"/>
      <c r="P3084" s="13">
        <f>IFERROR(__xludf.DUMMYFUNCTION("VALUE(SUBSTITUTE((INDEX(SPLIT(A3084,"",""),1)),""."","","",1))"),54.294029)</f>
        <v>54.294029</v>
      </c>
      <c r="Q3084" s="13">
        <f>IFERROR(__xludf.DUMMYFUNCTION("VALUE(SUBSTITUTE((INDEX(SPLIT(A3084,"",""),2)),""."","","",1))"),48.285444)</f>
        <v>48.285444</v>
      </c>
      <c r="R3084" s="14" t="b">
        <f t="shared" si="1"/>
        <v>0</v>
      </c>
      <c r="S3084" s="14" t="str">
        <f t="shared" si="2"/>
        <v>54.294029,48.285444</v>
      </c>
      <c r="T3084" s="12"/>
    </row>
    <row r="3085">
      <c r="A3085" s="15" t="s">
        <v>19952</v>
      </c>
      <c r="B3085" s="16" t="s">
        <v>19958</v>
      </c>
      <c r="C3085" s="16" t="s">
        <v>19959</v>
      </c>
      <c r="D3085" s="16" t="s">
        <v>16</v>
      </c>
      <c r="E3085" s="17" t="s">
        <v>19960</v>
      </c>
      <c r="F3085" s="16" t="s">
        <v>19961</v>
      </c>
      <c r="G3085" s="16">
        <v>23.61</v>
      </c>
      <c r="H3085" s="16"/>
      <c r="I3085" s="16"/>
      <c r="J3085" s="16" t="s">
        <v>19962</v>
      </c>
      <c r="K3085" s="16" t="s">
        <v>19963</v>
      </c>
      <c r="L3085" s="16"/>
      <c r="M3085" s="16"/>
      <c r="N3085" s="12"/>
      <c r="O3085" s="12"/>
      <c r="P3085" s="13">
        <f>IFERROR(__xludf.DUMMYFUNCTION("VALUE(SUBSTITUTE((INDEX(SPLIT(A3085,"",""),1)),""."","","",1))"),54.294029)</f>
        <v>54.294029</v>
      </c>
      <c r="Q3085" s="13">
        <f>IFERROR(__xludf.DUMMYFUNCTION("VALUE(SUBSTITUTE((INDEX(SPLIT(A3085,"",""),2)),""."","","",1))"),48.285444)</f>
        <v>48.285444</v>
      </c>
      <c r="R3085" s="14" t="b">
        <f t="shared" si="1"/>
        <v>0</v>
      </c>
      <c r="S3085" s="14" t="str">
        <f t="shared" si="2"/>
        <v>54.294029,48.285444</v>
      </c>
      <c r="T3085" s="12"/>
    </row>
    <row r="3086">
      <c r="A3086" s="18" t="s">
        <v>19964</v>
      </c>
      <c r="B3086" s="8" t="s">
        <v>19965</v>
      </c>
      <c r="C3086" s="8" t="s">
        <v>19966</v>
      </c>
      <c r="D3086" s="8" t="s">
        <v>16</v>
      </c>
      <c r="E3086" s="19" t="s">
        <v>19967</v>
      </c>
      <c r="F3086" s="8" t="s">
        <v>16443</v>
      </c>
      <c r="G3086" s="8">
        <v>23.61</v>
      </c>
      <c r="H3086" s="8"/>
      <c r="I3086" s="8"/>
      <c r="J3086" s="8" t="s">
        <v>19968</v>
      </c>
      <c r="K3086" s="8" t="s">
        <v>19969</v>
      </c>
      <c r="L3086" s="8"/>
      <c r="M3086" s="8"/>
      <c r="N3086" s="12"/>
      <c r="O3086" s="12"/>
      <c r="P3086" s="13">
        <f>IFERROR(__xludf.DUMMYFUNCTION("VALUE(SUBSTITUTE((INDEX(SPLIT(A3086,"",""),1)),""."","","",1))"),54.302525)</f>
        <v>54.302525</v>
      </c>
      <c r="Q3086" s="13">
        <f>IFERROR(__xludf.DUMMYFUNCTION("VALUE(SUBSTITUTE((INDEX(SPLIT(A3086,"",""),2)),""."","","",1))"),48.286701)</f>
        <v>48.286701</v>
      </c>
      <c r="R3086" s="14" t="b">
        <f t="shared" si="1"/>
        <v>0</v>
      </c>
      <c r="S3086" s="14" t="str">
        <f t="shared" si="2"/>
        <v>54.302525,48.286701</v>
      </c>
      <c r="T3086" s="12"/>
    </row>
    <row r="3087">
      <c r="A3087" s="15" t="s">
        <v>19970</v>
      </c>
      <c r="B3087" s="16" t="s">
        <v>19971</v>
      </c>
      <c r="C3087" s="16" t="s">
        <v>19972</v>
      </c>
      <c r="D3087" s="16" t="s">
        <v>16</v>
      </c>
      <c r="E3087" s="17" t="s">
        <v>19973</v>
      </c>
      <c r="F3087" s="16" t="s">
        <v>17865</v>
      </c>
      <c r="G3087" s="16">
        <v>23.61</v>
      </c>
      <c r="H3087" s="16"/>
      <c r="I3087" s="16"/>
      <c r="J3087" s="16" t="s">
        <v>19974</v>
      </c>
      <c r="K3087" s="16" t="s">
        <v>19975</v>
      </c>
      <c r="L3087" s="16"/>
      <c r="M3087" s="16"/>
      <c r="N3087" s="12"/>
      <c r="O3087" s="12"/>
      <c r="P3087" s="13">
        <f>IFERROR(__xludf.DUMMYFUNCTION("VALUE(SUBSTITUTE((INDEX(SPLIT(A3087,"",""),1)),""."","","",1))"),54.270875)</f>
        <v>54.270875</v>
      </c>
      <c r="Q3087" s="13">
        <f>IFERROR(__xludf.DUMMYFUNCTION("VALUE(SUBSTITUTE((INDEX(SPLIT(A3087,"",""),2)),""."","","",1))"),48.287357)</f>
        <v>48.287357</v>
      </c>
      <c r="R3087" s="14" t="b">
        <f t="shared" si="1"/>
        <v>0</v>
      </c>
      <c r="S3087" s="14" t="str">
        <f t="shared" si="2"/>
        <v>54.270875,48.287357</v>
      </c>
      <c r="T3087" s="12"/>
    </row>
    <row r="3088">
      <c r="A3088" s="18" t="s">
        <v>19976</v>
      </c>
      <c r="B3088" s="8" t="s">
        <v>19977</v>
      </c>
      <c r="C3088" s="8" t="s">
        <v>19978</v>
      </c>
      <c r="D3088" s="8" t="s">
        <v>16</v>
      </c>
      <c r="E3088" s="19" t="s">
        <v>19979</v>
      </c>
      <c r="F3088" s="8" t="s">
        <v>16443</v>
      </c>
      <c r="G3088" s="8">
        <v>23.61</v>
      </c>
      <c r="H3088" s="8"/>
      <c r="I3088" s="8"/>
      <c r="J3088" s="8" t="s">
        <v>19980</v>
      </c>
      <c r="K3088" s="8" t="s">
        <v>19981</v>
      </c>
      <c r="L3088" s="8"/>
      <c r="M3088" s="8"/>
      <c r="N3088" s="12"/>
      <c r="O3088" s="12"/>
      <c r="P3088" s="13">
        <f>IFERROR(__xludf.DUMMYFUNCTION("VALUE(SUBSTITUTE((INDEX(SPLIT(A3088,"",""),1)),""."","","",1))"),54.303539)</f>
        <v>54.303539</v>
      </c>
      <c r="Q3088" s="13">
        <f>IFERROR(__xludf.DUMMYFUNCTION("VALUE(SUBSTITUTE((INDEX(SPLIT(A3088,"",""),2)),""."","","",1))"),48.300059)</f>
        <v>48.300059</v>
      </c>
      <c r="R3088" s="14" t="b">
        <f t="shared" si="1"/>
        <v>0</v>
      </c>
      <c r="S3088" s="14" t="str">
        <f t="shared" si="2"/>
        <v>54.303539,48.300059</v>
      </c>
      <c r="T3088" s="12"/>
    </row>
    <row r="3089">
      <c r="A3089" s="15" t="s">
        <v>19982</v>
      </c>
      <c r="B3089" s="16" t="s">
        <v>19983</v>
      </c>
      <c r="C3089" s="16" t="s">
        <v>19984</v>
      </c>
      <c r="D3089" s="16" t="s">
        <v>16</v>
      </c>
      <c r="E3089" s="17" t="s">
        <v>19985</v>
      </c>
      <c r="F3089" s="16" t="s">
        <v>16443</v>
      </c>
      <c r="G3089" s="16">
        <v>23.61</v>
      </c>
      <c r="H3089" s="16"/>
      <c r="I3089" s="16"/>
      <c r="J3089" s="16" t="s">
        <v>19986</v>
      </c>
      <c r="K3089" s="16" t="s">
        <v>19987</v>
      </c>
      <c r="L3089" s="16"/>
      <c r="M3089" s="16"/>
      <c r="N3089" s="12"/>
      <c r="O3089" s="12"/>
      <c r="P3089" s="13">
        <f>IFERROR(__xludf.DUMMYFUNCTION("VALUE(SUBSTITUTE((INDEX(SPLIT(A3089,"",""),1)),""."","","",1))"),54.304106)</f>
        <v>54.304106</v>
      </c>
      <c r="Q3089" s="13">
        <f>IFERROR(__xludf.DUMMYFUNCTION("VALUE(SUBSTITUTE((INDEX(SPLIT(A3089,"",""),2)),""."","","",1))"),48.30164)</f>
        <v>48.30164</v>
      </c>
      <c r="R3089" s="14" t="b">
        <f t="shared" si="1"/>
        <v>0</v>
      </c>
      <c r="S3089" s="14" t="str">
        <f t="shared" si="2"/>
        <v>54.304106,48.30164</v>
      </c>
      <c r="T3089" s="12"/>
    </row>
    <row r="3090">
      <c r="A3090" s="7" t="s">
        <v>19988</v>
      </c>
      <c r="B3090" s="8" t="s">
        <v>19989</v>
      </c>
      <c r="C3090" s="8" t="s">
        <v>19990</v>
      </c>
      <c r="D3090" s="8" t="s">
        <v>16</v>
      </c>
      <c r="E3090" s="9" t="s">
        <v>19991</v>
      </c>
      <c r="F3090" s="10" t="s">
        <v>13482</v>
      </c>
      <c r="G3090" s="8">
        <v>23.61</v>
      </c>
      <c r="H3090" s="8"/>
      <c r="I3090" s="10"/>
      <c r="J3090" s="10" t="s">
        <v>19992</v>
      </c>
      <c r="K3090" s="10" t="s">
        <v>19993</v>
      </c>
      <c r="L3090" s="11" t="s">
        <v>19994</v>
      </c>
      <c r="M3090" s="10"/>
      <c r="N3090" s="12"/>
      <c r="O3090" s="12"/>
      <c r="P3090" s="13">
        <f>IFERROR(__xludf.DUMMYFUNCTION("VALUE(SUBSTITUTE((INDEX(SPLIT(A3090,"",""),1)),""."","","",1))"),54.257312)</f>
        <v>54.257312</v>
      </c>
      <c r="Q3090" s="13">
        <f>IFERROR(__xludf.DUMMYFUNCTION("VALUE(SUBSTITUTE((INDEX(SPLIT(A3090,"",""),2)),""."","","",1))"),48.314199)</f>
        <v>48.314199</v>
      </c>
      <c r="R3090" s="14" t="b">
        <f t="shared" si="1"/>
        <v>0</v>
      </c>
      <c r="S3090" s="14" t="str">
        <f t="shared" si="2"/>
        <v>54.257312,48.314199</v>
      </c>
      <c r="T3090" s="12"/>
    </row>
    <row r="3091">
      <c r="A3091" s="15" t="s">
        <v>19995</v>
      </c>
      <c r="B3091" s="16" t="s">
        <v>19996</v>
      </c>
      <c r="C3091" s="16" t="s">
        <v>19997</v>
      </c>
      <c r="D3091" s="16" t="s">
        <v>16</v>
      </c>
      <c r="E3091" s="17" t="s">
        <v>19998</v>
      </c>
      <c r="F3091" s="16" t="s">
        <v>19927</v>
      </c>
      <c r="G3091" s="16">
        <v>23.61</v>
      </c>
      <c r="H3091" s="16"/>
      <c r="I3091" s="16"/>
      <c r="J3091" s="16" t="s">
        <v>19999</v>
      </c>
      <c r="K3091" s="16" t="s">
        <v>20000</v>
      </c>
      <c r="L3091" s="16"/>
      <c r="M3091" s="16"/>
      <c r="N3091" s="12"/>
      <c r="O3091" s="12"/>
      <c r="P3091" s="13">
        <f>IFERROR(__xludf.DUMMYFUNCTION("VALUE(SUBSTITUTE((INDEX(SPLIT(A3091,"",""),1)),""."","","",1))"),54.249654)</f>
        <v>54.249654</v>
      </c>
      <c r="Q3091" s="13">
        <f>IFERROR(__xludf.DUMMYFUNCTION("VALUE(SUBSTITUTE((INDEX(SPLIT(A3091,"",""),2)),""."","","",1))"),48.315528)</f>
        <v>48.315528</v>
      </c>
      <c r="R3091" s="14" t="b">
        <f t="shared" si="1"/>
        <v>0</v>
      </c>
      <c r="S3091" s="14" t="str">
        <f t="shared" si="2"/>
        <v>54.249654,48.315528</v>
      </c>
      <c r="T3091" s="12"/>
    </row>
    <row r="3092">
      <c r="A3092" s="18" t="s">
        <v>20001</v>
      </c>
      <c r="B3092" s="8" t="s">
        <v>20002</v>
      </c>
      <c r="C3092" s="8" t="s">
        <v>20003</v>
      </c>
      <c r="D3092" s="8" t="s">
        <v>16</v>
      </c>
      <c r="E3092" s="19" t="s">
        <v>20004</v>
      </c>
      <c r="F3092" s="8" t="s">
        <v>16443</v>
      </c>
      <c r="G3092" s="8">
        <v>23.61</v>
      </c>
      <c r="H3092" s="8"/>
      <c r="I3092" s="8"/>
      <c r="J3092" s="8" t="s">
        <v>20005</v>
      </c>
      <c r="K3092" s="8" t="s">
        <v>20006</v>
      </c>
      <c r="L3092" s="8"/>
      <c r="M3092" s="8"/>
      <c r="N3092" s="12"/>
      <c r="O3092" s="12"/>
      <c r="P3092" s="13">
        <f>IFERROR(__xludf.DUMMYFUNCTION("VALUE(SUBSTITUTE((INDEX(SPLIT(A3092,"",""),1)),""."","","",1))"),54.30792)</f>
        <v>54.30792</v>
      </c>
      <c r="Q3092" s="13">
        <f>IFERROR(__xludf.DUMMYFUNCTION("VALUE(SUBSTITUTE((INDEX(SPLIT(A3092,"",""),2)),""."","","",1))"),48.322948)</f>
        <v>48.322948</v>
      </c>
      <c r="R3092" s="14" t="b">
        <f t="shared" si="1"/>
        <v>0</v>
      </c>
      <c r="S3092" s="14" t="str">
        <f t="shared" si="2"/>
        <v>54.30792,48.322948</v>
      </c>
      <c r="T3092" s="12"/>
    </row>
    <row r="3093">
      <c r="A3093" s="15" t="s">
        <v>20007</v>
      </c>
      <c r="B3093" s="16" t="s">
        <v>20008</v>
      </c>
      <c r="C3093" s="16" t="s">
        <v>20009</v>
      </c>
      <c r="D3093" s="16" t="s">
        <v>16</v>
      </c>
      <c r="E3093" s="17" t="s">
        <v>20010</v>
      </c>
      <c r="F3093" s="16" t="s">
        <v>16443</v>
      </c>
      <c r="G3093" s="16">
        <v>23.61</v>
      </c>
      <c r="H3093" s="16"/>
      <c r="I3093" s="16"/>
      <c r="J3093" s="16" t="s">
        <v>20011</v>
      </c>
      <c r="K3093" s="16" t="s">
        <v>20012</v>
      </c>
      <c r="L3093" s="16"/>
      <c r="M3093" s="25" t="s">
        <v>20013</v>
      </c>
      <c r="N3093" s="12"/>
      <c r="O3093" s="12"/>
      <c r="P3093" s="13">
        <f>IFERROR(__xludf.DUMMYFUNCTION("VALUE(SUBSTITUTE((INDEX(SPLIT(A3093,"",""),1)),""."","","",1))"),55.859398)</f>
        <v>55.859398</v>
      </c>
      <c r="Q3093" s="13">
        <f>IFERROR(__xludf.DUMMYFUNCTION("VALUE(SUBSTITUTE((INDEX(SPLIT(A3093,"",""),2)),""."","","",1))"),48.344948)</f>
        <v>48.344948</v>
      </c>
      <c r="R3093" s="14" t="b">
        <f t="shared" si="1"/>
        <v>0</v>
      </c>
      <c r="S3093" s="14" t="str">
        <f t="shared" si="2"/>
        <v>55.859398,48.344948</v>
      </c>
      <c r="T3093" s="12"/>
    </row>
    <row r="3094">
      <c r="A3094" s="18" t="s">
        <v>20014</v>
      </c>
      <c r="B3094" s="8" t="s">
        <v>20015</v>
      </c>
      <c r="C3094" s="8" t="s">
        <v>20016</v>
      </c>
      <c r="D3094" s="8" t="s">
        <v>16</v>
      </c>
      <c r="E3094" s="19" t="s">
        <v>20017</v>
      </c>
      <c r="F3094" s="8" t="s">
        <v>17865</v>
      </c>
      <c r="G3094" s="8">
        <v>23.61</v>
      </c>
      <c r="H3094" s="8"/>
      <c r="I3094" s="8"/>
      <c r="J3094" s="8" t="s">
        <v>20018</v>
      </c>
      <c r="K3094" s="8" t="s">
        <v>20019</v>
      </c>
      <c r="L3094" s="8"/>
      <c r="M3094" s="8"/>
      <c r="N3094" s="12"/>
      <c r="O3094" s="12"/>
      <c r="P3094" s="13">
        <f>IFERROR(__xludf.DUMMYFUNCTION("VALUE(SUBSTITUTE((INDEX(SPLIT(A3094,"",""),1)),""."","","",1))"),55.862095)</f>
        <v>55.862095</v>
      </c>
      <c r="Q3094" s="13">
        <f>IFERROR(__xludf.DUMMYFUNCTION("VALUE(SUBSTITUTE((INDEX(SPLIT(A3094,"",""),2)),""."","","",1))"),48.351479)</f>
        <v>48.351479</v>
      </c>
      <c r="R3094" s="14" t="b">
        <f t="shared" si="1"/>
        <v>0</v>
      </c>
      <c r="S3094" s="14" t="str">
        <f t="shared" si="2"/>
        <v>55.862095,48.351479</v>
      </c>
      <c r="T3094" s="12"/>
    </row>
    <row r="3095">
      <c r="A3095" s="15" t="s">
        <v>20020</v>
      </c>
      <c r="B3095" s="16" t="s">
        <v>3587</v>
      </c>
      <c r="C3095" s="16" t="s">
        <v>3588</v>
      </c>
      <c r="D3095" s="16" t="s">
        <v>16</v>
      </c>
      <c r="E3095" s="17" t="s">
        <v>20021</v>
      </c>
      <c r="F3095" s="16" t="s">
        <v>16443</v>
      </c>
      <c r="G3095" s="16">
        <v>23.61</v>
      </c>
      <c r="H3095" s="16"/>
      <c r="I3095" s="16"/>
      <c r="J3095" s="16" t="s">
        <v>20022</v>
      </c>
      <c r="K3095" s="16" t="s">
        <v>20023</v>
      </c>
      <c r="L3095" s="16"/>
      <c r="M3095" s="25" t="s">
        <v>20024</v>
      </c>
      <c r="N3095" s="12"/>
      <c r="O3095" s="12"/>
      <c r="P3095" s="13">
        <f>IFERROR(__xludf.DUMMYFUNCTION("VALUE(SUBSTITUTE((INDEX(SPLIT(A3095,"",""),1)),""."","","",1))"),55.863353)</f>
        <v>55.863353</v>
      </c>
      <c r="Q3095" s="13">
        <f>IFERROR(__xludf.DUMMYFUNCTION("VALUE(SUBSTITUTE((INDEX(SPLIT(A3095,"",""),2)),""."","","",1))"),48.352368)</f>
        <v>48.352368</v>
      </c>
      <c r="R3095" s="14" t="b">
        <f t="shared" si="1"/>
        <v>0</v>
      </c>
      <c r="S3095" s="14" t="str">
        <f t="shared" si="2"/>
        <v>55.863353,48.352368</v>
      </c>
      <c r="T3095" s="12"/>
    </row>
    <row r="3096">
      <c r="A3096" s="18" t="s">
        <v>20025</v>
      </c>
      <c r="B3096" s="8" t="s">
        <v>20026</v>
      </c>
      <c r="C3096" s="8" t="s">
        <v>20027</v>
      </c>
      <c r="D3096" s="8" t="s">
        <v>16</v>
      </c>
      <c r="E3096" s="19" t="s">
        <v>20028</v>
      </c>
      <c r="F3096" s="8" t="s">
        <v>17865</v>
      </c>
      <c r="G3096" s="8">
        <v>23.61</v>
      </c>
      <c r="H3096" s="8"/>
      <c r="I3096" s="27" t="s">
        <v>20029</v>
      </c>
      <c r="J3096" s="8" t="s">
        <v>20030</v>
      </c>
      <c r="K3096" s="8" t="s">
        <v>20031</v>
      </c>
      <c r="L3096" s="8"/>
      <c r="M3096" s="24" t="s">
        <v>20032</v>
      </c>
      <c r="N3096" s="12"/>
      <c r="O3096" s="12"/>
      <c r="P3096" s="13">
        <f>IFERROR(__xludf.DUMMYFUNCTION("VALUE(SUBSTITUTE((INDEX(SPLIT(A3096,"",""),1)),""."","","",1))"),54.158293)</f>
        <v>54.158293</v>
      </c>
      <c r="Q3096" s="13">
        <f>IFERROR(__xludf.DUMMYFUNCTION("VALUE(SUBSTITUTE((INDEX(SPLIT(A3096,"",""),2)),""."","","",1))"),48.355584)</f>
        <v>48.355584</v>
      </c>
      <c r="R3096" s="14" t="b">
        <f t="shared" si="1"/>
        <v>0</v>
      </c>
      <c r="S3096" s="14" t="str">
        <f t="shared" si="2"/>
        <v>54.158293,48.355584</v>
      </c>
      <c r="T3096" s="12"/>
    </row>
    <row r="3097">
      <c r="A3097" s="20" t="s">
        <v>20033</v>
      </c>
      <c r="B3097" s="16" t="s">
        <v>516</v>
      </c>
      <c r="C3097" s="16" t="s">
        <v>517</v>
      </c>
      <c r="D3097" s="16" t="s">
        <v>16</v>
      </c>
      <c r="E3097" s="21" t="s">
        <v>20034</v>
      </c>
      <c r="F3097" s="22" t="s">
        <v>8566</v>
      </c>
      <c r="G3097" s="16">
        <v>23.61</v>
      </c>
      <c r="H3097" s="16"/>
      <c r="I3097" s="22"/>
      <c r="J3097" s="22" t="s">
        <v>20035</v>
      </c>
      <c r="K3097" s="22" t="s">
        <v>20036</v>
      </c>
      <c r="L3097" s="23" t="s">
        <v>20037</v>
      </c>
      <c r="M3097" s="23" t="s">
        <v>20038</v>
      </c>
      <c r="N3097" s="12"/>
      <c r="O3097" s="12"/>
      <c r="P3097" s="13">
        <f>IFERROR(__xludf.DUMMYFUNCTION("VALUE(SUBSTITUTE((INDEX(SPLIT(A3097,"",""),1)),""."","","",1))"),55.865682)</f>
        <v>55.865682</v>
      </c>
      <c r="Q3097" s="13">
        <f>IFERROR(__xludf.DUMMYFUNCTION("VALUE(SUBSTITUTE((INDEX(SPLIT(A3097,"",""),2)),""."","","",1))"),48.358881)</f>
        <v>48.358881</v>
      </c>
      <c r="R3097" s="14" t="b">
        <f t="shared" si="1"/>
        <v>0</v>
      </c>
      <c r="S3097" s="14" t="str">
        <f t="shared" si="2"/>
        <v>55.865682,48.358881</v>
      </c>
      <c r="T3097" s="12"/>
    </row>
    <row r="3098">
      <c r="A3098" s="18" t="s">
        <v>20039</v>
      </c>
      <c r="B3098" s="8" t="s">
        <v>20040</v>
      </c>
      <c r="C3098" s="8" t="s">
        <v>20041</v>
      </c>
      <c r="D3098" s="8" t="s">
        <v>16</v>
      </c>
      <c r="E3098" s="19" t="s">
        <v>20042</v>
      </c>
      <c r="F3098" s="8" t="s">
        <v>16443</v>
      </c>
      <c r="G3098" s="8">
        <v>23.61</v>
      </c>
      <c r="H3098" s="8"/>
      <c r="I3098" s="8"/>
      <c r="J3098" s="8" t="s">
        <v>20043</v>
      </c>
      <c r="K3098" s="8" t="s">
        <v>20044</v>
      </c>
      <c r="L3098" s="8"/>
      <c r="M3098" s="24" t="s">
        <v>20045</v>
      </c>
      <c r="N3098" s="12"/>
      <c r="O3098" s="12"/>
      <c r="P3098" s="13">
        <f>IFERROR(__xludf.DUMMYFUNCTION("VALUE(SUBSTITUTE((INDEX(SPLIT(A3098,"",""),1)),""."","","",1))"),54.335852)</f>
        <v>54.335852</v>
      </c>
      <c r="Q3098" s="13">
        <f>IFERROR(__xludf.DUMMYFUNCTION("VALUE(SUBSTITUTE((INDEX(SPLIT(A3098,"",""),2)),""."","","",1))"),48.361639)</f>
        <v>48.361639</v>
      </c>
      <c r="R3098" s="14" t="b">
        <f t="shared" si="1"/>
        <v>0</v>
      </c>
      <c r="S3098" s="14" t="str">
        <f t="shared" si="2"/>
        <v>54.335852,48.361639</v>
      </c>
      <c r="T3098" s="12"/>
    </row>
    <row r="3099">
      <c r="A3099" s="15" t="s">
        <v>20046</v>
      </c>
      <c r="B3099" s="16" t="s">
        <v>20047</v>
      </c>
      <c r="C3099" s="16" t="s">
        <v>20048</v>
      </c>
      <c r="D3099" s="16" t="s">
        <v>16</v>
      </c>
      <c r="E3099" s="17" t="s">
        <v>20049</v>
      </c>
      <c r="F3099" s="16" t="s">
        <v>8566</v>
      </c>
      <c r="G3099" s="16">
        <v>23.61</v>
      </c>
      <c r="H3099" s="16"/>
      <c r="I3099" s="16"/>
      <c r="J3099" s="16" t="s">
        <v>20050</v>
      </c>
      <c r="K3099" s="16" t="s">
        <v>20051</v>
      </c>
      <c r="L3099" s="16"/>
      <c r="M3099" s="25" t="s">
        <v>20052</v>
      </c>
      <c r="N3099" s="12"/>
      <c r="O3099" s="12"/>
      <c r="P3099" s="13">
        <f>IFERROR(__xludf.DUMMYFUNCTION("VALUE(SUBSTITUTE((INDEX(SPLIT(A3099,"",""),1)),""."","","",1))"),55.863121)</f>
        <v>55.863121</v>
      </c>
      <c r="Q3099" s="13">
        <f>IFERROR(__xludf.DUMMYFUNCTION("VALUE(SUBSTITUTE((INDEX(SPLIT(A3099,"",""),2)),""."","","",1))"),48.361989)</f>
        <v>48.361989</v>
      </c>
      <c r="R3099" s="14" t="b">
        <f t="shared" si="1"/>
        <v>0</v>
      </c>
      <c r="S3099" s="14" t="str">
        <f t="shared" si="2"/>
        <v>55.863121,48.361989</v>
      </c>
      <c r="T3099" s="12"/>
    </row>
    <row r="3100">
      <c r="A3100" s="18" t="s">
        <v>20053</v>
      </c>
      <c r="B3100" s="8" t="s">
        <v>20054</v>
      </c>
      <c r="C3100" s="8" t="s">
        <v>20055</v>
      </c>
      <c r="D3100" s="8" t="s">
        <v>16</v>
      </c>
      <c r="E3100" s="19" t="s">
        <v>20056</v>
      </c>
      <c r="F3100" s="8" t="s">
        <v>17071</v>
      </c>
      <c r="G3100" s="8">
        <v>23.61</v>
      </c>
      <c r="H3100" s="8"/>
      <c r="I3100" s="8"/>
      <c r="J3100" s="8" t="s">
        <v>20057</v>
      </c>
      <c r="K3100" s="8" t="s">
        <v>20058</v>
      </c>
      <c r="L3100" s="8"/>
      <c r="M3100" s="8"/>
      <c r="N3100" s="12"/>
      <c r="O3100" s="12"/>
      <c r="P3100" s="13">
        <f>IFERROR(__xludf.DUMMYFUNCTION("VALUE(SUBSTITUTE((INDEX(SPLIT(A3100,"",""),1)),""."","","",1))"),54.352032)</f>
        <v>54.352032</v>
      </c>
      <c r="Q3100" s="13">
        <f>IFERROR(__xludf.DUMMYFUNCTION("VALUE(SUBSTITUTE((INDEX(SPLIT(A3100,"",""),2)),""."","","",1))"),48.367523)</f>
        <v>48.367523</v>
      </c>
      <c r="R3100" s="14" t="b">
        <f t="shared" si="1"/>
        <v>0</v>
      </c>
      <c r="S3100" s="14" t="str">
        <f t="shared" si="2"/>
        <v>54.352032,48.367523</v>
      </c>
      <c r="T3100" s="12"/>
    </row>
    <row r="3101">
      <c r="A3101" s="15" t="s">
        <v>20059</v>
      </c>
      <c r="B3101" s="16" t="s">
        <v>20060</v>
      </c>
      <c r="C3101" s="16" t="s">
        <v>20061</v>
      </c>
      <c r="D3101" s="16" t="s">
        <v>16</v>
      </c>
      <c r="E3101" s="17" t="s">
        <v>20062</v>
      </c>
      <c r="F3101" s="16" t="s">
        <v>16443</v>
      </c>
      <c r="G3101" s="16">
        <v>23.61</v>
      </c>
      <c r="H3101" s="16"/>
      <c r="I3101" s="16"/>
      <c r="J3101" s="16" t="s">
        <v>20063</v>
      </c>
      <c r="K3101" s="16" t="s">
        <v>20064</v>
      </c>
      <c r="L3101" s="16"/>
      <c r="M3101" s="16"/>
      <c r="N3101" s="12"/>
      <c r="O3101" s="12"/>
      <c r="P3101" s="13">
        <f>IFERROR(__xludf.DUMMYFUNCTION("VALUE(SUBSTITUTE((INDEX(SPLIT(A3101,"",""),1)),""."","","",1))"),55.86405)</f>
        <v>55.86405</v>
      </c>
      <c r="Q3101" s="13">
        <f>IFERROR(__xludf.DUMMYFUNCTION("VALUE(SUBSTITUTE((INDEX(SPLIT(A3101,"",""),2)),""."","","",1))"),48.372778)</f>
        <v>48.372778</v>
      </c>
      <c r="R3101" s="14" t="b">
        <f t="shared" si="1"/>
        <v>0</v>
      </c>
      <c r="S3101" s="14" t="str">
        <f t="shared" si="2"/>
        <v>55.86405,48.372778</v>
      </c>
      <c r="T3101" s="12"/>
    </row>
    <row r="3102">
      <c r="A3102" s="18" t="s">
        <v>20065</v>
      </c>
      <c r="B3102" s="8" t="s">
        <v>20066</v>
      </c>
      <c r="C3102" s="8" t="s">
        <v>20066</v>
      </c>
      <c r="D3102" s="8" t="s">
        <v>16</v>
      </c>
      <c r="E3102" s="19" t="s">
        <v>20067</v>
      </c>
      <c r="F3102" s="8" t="s">
        <v>16443</v>
      </c>
      <c r="G3102" s="8">
        <v>23.61</v>
      </c>
      <c r="H3102" s="8"/>
      <c r="I3102" s="8"/>
      <c r="J3102" s="8" t="s">
        <v>20068</v>
      </c>
      <c r="K3102" s="8" t="s">
        <v>20069</v>
      </c>
      <c r="L3102" s="8"/>
      <c r="M3102" s="8"/>
      <c r="N3102" s="12"/>
      <c r="O3102" s="12"/>
      <c r="P3102" s="13">
        <f>IFERROR(__xludf.DUMMYFUNCTION("VALUE(SUBSTITUTE((INDEX(SPLIT(A3102,"",""),1)),""."","","",1))"),54.366203)</f>
        <v>54.366203</v>
      </c>
      <c r="Q3102" s="13">
        <f>IFERROR(__xludf.DUMMYFUNCTION("VALUE(SUBSTITUTE((INDEX(SPLIT(A3102,"",""),2)),""."","","",1))"),48.379246)</f>
        <v>48.379246</v>
      </c>
      <c r="R3102" s="14" t="b">
        <f t="shared" si="1"/>
        <v>0</v>
      </c>
      <c r="S3102" s="14" t="str">
        <f t="shared" si="2"/>
        <v>54.366203,48.379246</v>
      </c>
      <c r="T3102" s="12"/>
    </row>
    <row r="3103">
      <c r="A3103" s="15" t="s">
        <v>20070</v>
      </c>
      <c r="B3103" s="16" t="s">
        <v>20071</v>
      </c>
      <c r="C3103" s="16" t="s">
        <v>20072</v>
      </c>
      <c r="D3103" s="16" t="s">
        <v>16</v>
      </c>
      <c r="E3103" s="17" t="s">
        <v>20073</v>
      </c>
      <c r="F3103" s="16" t="s">
        <v>16443</v>
      </c>
      <c r="G3103" s="16">
        <v>23.61</v>
      </c>
      <c r="H3103" s="16"/>
      <c r="I3103" s="16"/>
      <c r="J3103" s="16" t="s">
        <v>20074</v>
      </c>
      <c r="K3103" s="16" t="s">
        <v>20075</v>
      </c>
      <c r="L3103" s="16"/>
      <c r="M3103" s="16"/>
      <c r="N3103" s="12"/>
      <c r="O3103" s="12"/>
      <c r="P3103" s="13">
        <f>IFERROR(__xludf.DUMMYFUNCTION("VALUE(SUBSTITUTE((INDEX(SPLIT(A3103,"",""),1)),""."","","",1))"),54.341253)</f>
        <v>54.341253</v>
      </c>
      <c r="Q3103" s="13">
        <f>IFERROR(__xludf.DUMMYFUNCTION("VALUE(SUBSTITUTE((INDEX(SPLIT(A3103,"",""),2)),""."","","",1))"),48.382022)</f>
        <v>48.382022</v>
      </c>
      <c r="R3103" s="14" t="b">
        <f t="shared" si="1"/>
        <v>0</v>
      </c>
      <c r="S3103" s="14" t="str">
        <f t="shared" si="2"/>
        <v>54.341253,48.382022</v>
      </c>
      <c r="T3103" s="12"/>
    </row>
    <row r="3104">
      <c r="A3104" s="18" t="s">
        <v>20076</v>
      </c>
      <c r="B3104" s="8" t="s">
        <v>20077</v>
      </c>
      <c r="C3104" s="8" t="s">
        <v>20078</v>
      </c>
      <c r="D3104" s="8" t="s">
        <v>16</v>
      </c>
      <c r="E3104" s="19" t="s">
        <v>20079</v>
      </c>
      <c r="F3104" s="8" t="s">
        <v>16443</v>
      </c>
      <c r="G3104" s="8">
        <v>23.61</v>
      </c>
      <c r="H3104" s="8"/>
      <c r="I3104" s="8"/>
      <c r="J3104" s="8" t="s">
        <v>20080</v>
      </c>
      <c r="K3104" s="8" t="s">
        <v>20081</v>
      </c>
      <c r="L3104" s="8"/>
      <c r="M3104" s="8"/>
      <c r="N3104" s="12"/>
      <c r="O3104" s="12"/>
      <c r="P3104" s="13">
        <f>IFERROR(__xludf.DUMMYFUNCTION("VALUE(SUBSTITUTE((INDEX(SPLIT(A3104,"",""),1)),""."","","",1))"),53.183943)</f>
        <v>53.183943</v>
      </c>
      <c r="Q3104" s="13">
        <f>IFERROR(__xludf.DUMMYFUNCTION("VALUE(SUBSTITUTE((INDEX(SPLIT(A3104,"",""),2)),""."","","",1))"),48.382731)</f>
        <v>48.382731</v>
      </c>
      <c r="R3104" s="14" t="b">
        <f t="shared" si="1"/>
        <v>0</v>
      </c>
      <c r="S3104" s="14" t="str">
        <f t="shared" si="2"/>
        <v>53.183943,48.382731</v>
      </c>
      <c r="T3104" s="12"/>
    </row>
    <row r="3105">
      <c r="A3105" s="15" t="s">
        <v>20082</v>
      </c>
      <c r="B3105" s="16" t="s">
        <v>20083</v>
      </c>
      <c r="C3105" s="16" t="s">
        <v>20084</v>
      </c>
      <c r="D3105" s="16" t="s">
        <v>16</v>
      </c>
      <c r="E3105" s="17" t="s">
        <v>20085</v>
      </c>
      <c r="F3105" s="16" t="s">
        <v>16443</v>
      </c>
      <c r="G3105" s="16">
        <v>23.61</v>
      </c>
      <c r="H3105" s="16"/>
      <c r="I3105" s="16"/>
      <c r="J3105" s="16" t="s">
        <v>20086</v>
      </c>
      <c r="K3105" s="16" t="s">
        <v>20087</v>
      </c>
      <c r="L3105" s="16"/>
      <c r="M3105" s="16"/>
      <c r="N3105" s="12"/>
      <c r="O3105" s="12"/>
      <c r="P3105" s="13">
        <f>IFERROR(__xludf.DUMMYFUNCTION("VALUE(SUBSTITUTE((INDEX(SPLIT(A3105,"",""),1)),""."","","",1))"),54.316035)</f>
        <v>54.316035</v>
      </c>
      <c r="Q3105" s="13">
        <f>IFERROR(__xludf.DUMMYFUNCTION("VALUE(SUBSTITUTE((INDEX(SPLIT(A3105,"",""),2)),""."","","",1))"),48.386756)</f>
        <v>48.386756</v>
      </c>
      <c r="R3105" s="14" t="b">
        <f t="shared" si="1"/>
        <v>0</v>
      </c>
      <c r="S3105" s="14" t="str">
        <f t="shared" si="2"/>
        <v>54.316035,48.386756</v>
      </c>
      <c r="T3105" s="12"/>
    </row>
    <row r="3106">
      <c r="A3106" s="7" t="s">
        <v>20088</v>
      </c>
      <c r="B3106" s="8" t="s">
        <v>20089</v>
      </c>
      <c r="C3106" s="8" t="s">
        <v>20090</v>
      </c>
      <c r="D3106" s="8" t="s">
        <v>16</v>
      </c>
      <c r="E3106" s="9" t="s">
        <v>20091</v>
      </c>
      <c r="F3106" s="10" t="s">
        <v>17780</v>
      </c>
      <c r="G3106" s="8">
        <v>23.61</v>
      </c>
      <c r="H3106" s="8"/>
      <c r="I3106" s="10"/>
      <c r="J3106" s="10" t="s">
        <v>20092</v>
      </c>
      <c r="K3106" s="10" t="s">
        <v>19384</v>
      </c>
      <c r="L3106" s="11" t="s">
        <v>20093</v>
      </c>
      <c r="M3106" s="10"/>
      <c r="N3106" s="12"/>
      <c r="O3106" s="12"/>
      <c r="P3106" s="13">
        <f>IFERROR(__xludf.DUMMYFUNCTION("VALUE(SUBSTITUTE((INDEX(SPLIT(A3106,"",""),1)),""."","","",1))"),54.331079)</f>
        <v>54.331079</v>
      </c>
      <c r="Q3106" s="13">
        <f>IFERROR(__xludf.DUMMYFUNCTION("VALUE(SUBSTITUTE((INDEX(SPLIT(A3106,"",""),2)),""."","","",1))"),48.392352)</f>
        <v>48.392352</v>
      </c>
      <c r="R3106" s="14" t="b">
        <f t="shared" si="1"/>
        <v>0</v>
      </c>
      <c r="S3106" s="14" t="str">
        <f t="shared" si="2"/>
        <v>54.331079,48.392352</v>
      </c>
      <c r="T3106" s="12"/>
    </row>
    <row r="3107">
      <c r="A3107" s="20" t="s">
        <v>20094</v>
      </c>
      <c r="B3107" s="16" t="s">
        <v>20095</v>
      </c>
      <c r="C3107" s="16" t="s">
        <v>20096</v>
      </c>
      <c r="D3107" s="16" t="s">
        <v>16</v>
      </c>
      <c r="E3107" s="21" t="s">
        <v>20097</v>
      </c>
      <c r="F3107" s="22" t="s">
        <v>12912</v>
      </c>
      <c r="G3107" s="16">
        <v>23.61</v>
      </c>
      <c r="H3107" s="16"/>
      <c r="I3107" s="22"/>
      <c r="J3107" s="22" t="s">
        <v>20098</v>
      </c>
      <c r="K3107" s="22" t="s">
        <v>20099</v>
      </c>
      <c r="L3107" s="23" t="s">
        <v>20100</v>
      </c>
      <c r="M3107" s="22"/>
      <c r="N3107" s="12"/>
      <c r="O3107" s="12"/>
      <c r="P3107" s="13">
        <f>IFERROR(__xludf.DUMMYFUNCTION("VALUE(SUBSTITUTE((INDEX(SPLIT(A3107,"",""),1)),""."","","",1))"),54.348921)</f>
        <v>54.348921</v>
      </c>
      <c r="Q3107" s="13">
        <f>IFERROR(__xludf.DUMMYFUNCTION("VALUE(SUBSTITUTE((INDEX(SPLIT(A3107,"",""),2)),""."","","",1))"),48.39237)</f>
        <v>48.39237</v>
      </c>
      <c r="R3107" s="14" t="b">
        <f t="shared" si="1"/>
        <v>0</v>
      </c>
      <c r="S3107" s="14" t="str">
        <f t="shared" si="2"/>
        <v>54.348921,48.39237</v>
      </c>
      <c r="T3107" s="12"/>
    </row>
    <row r="3108">
      <c r="A3108" s="18" t="s">
        <v>20101</v>
      </c>
      <c r="B3108" s="8" t="s">
        <v>20102</v>
      </c>
      <c r="C3108" s="8" t="s">
        <v>20103</v>
      </c>
      <c r="D3108" s="8" t="s">
        <v>16</v>
      </c>
      <c r="E3108" s="19" t="s">
        <v>20104</v>
      </c>
      <c r="F3108" s="8" t="s">
        <v>17071</v>
      </c>
      <c r="G3108" s="8">
        <v>23.61</v>
      </c>
      <c r="H3108" s="8"/>
      <c r="I3108" s="8"/>
      <c r="J3108" s="8" t="s">
        <v>20105</v>
      </c>
      <c r="K3108" s="8" t="s">
        <v>20106</v>
      </c>
      <c r="L3108" s="8"/>
      <c r="M3108" s="8"/>
      <c r="N3108" s="12"/>
      <c r="O3108" s="12"/>
      <c r="P3108" s="13">
        <f>IFERROR(__xludf.DUMMYFUNCTION("VALUE(SUBSTITUTE((INDEX(SPLIT(A3108,"",""),1)),""."","","",1))"),54.314192)</f>
        <v>54.314192</v>
      </c>
      <c r="Q3108" s="13">
        <f>IFERROR(__xludf.DUMMYFUNCTION("VALUE(SUBSTITUTE((INDEX(SPLIT(A3108,"",""),2)),""."","","",1))"),48.403132)</f>
        <v>48.403132</v>
      </c>
      <c r="R3108" s="14" t="b">
        <f t="shared" si="1"/>
        <v>0</v>
      </c>
      <c r="S3108" s="14" t="str">
        <f t="shared" si="2"/>
        <v>54.314192,48.403132</v>
      </c>
      <c r="T3108" s="12"/>
    </row>
    <row r="3109">
      <c r="A3109" s="15" t="s">
        <v>20101</v>
      </c>
      <c r="B3109" s="16" t="s">
        <v>20107</v>
      </c>
      <c r="C3109" s="16" t="s">
        <v>20108</v>
      </c>
      <c r="D3109" s="16" t="s">
        <v>16</v>
      </c>
      <c r="E3109" s="17" t="s">
        <v>20109</v>
      </c>
      <c r="F3109" s="16" t="s">
        <v>16443</v>
      </c>
      <c r="G3109" s="16">
        <v>23.61</v>
      </c>
      <c r="H3109" s="16"/>
      <c r="I3109" s="16"/>
      <c r="J3109" s="16" t="s">
        <v>20110</v>
      </c>
      <c r="K3109" s="16" t="s">
        <v>20111</v>
      </c>
      <c r="L3109" s="16"/>
      <c r="M3109" s="16"/>
      <c r="N3109" s="12"/>
      <c r="O3109" s="12"/>
      <c r="P3109" s="13">
        <f>IFERROR(__xludf.DUMMYFUNCTION("VALUE(SUBSTITUTE((INDEX(SPLIT(A3109,"",""),1)),""."","","",1))"),54.314192)</f>
        <v>54.314192</v>
      </c>
      <c r="Q3109" s="13">
        <f>IFERROR(__xludf.DUMMYFUNCTION("VALUE(SUBSTITUTE((INDEX(SPLIT(A3109,"",""),2)),""."","","",1))"),48.403132)</f>
        <v>48.403132</v>
      </c>
      <c r="R3109" s="14" t="b">
        <f t="shared" si="1"/>
        <v>0</v>
      </c>
      <c r="S3109" s="14" t="str">
        <f t="shared" si="2"/>
        <v>54.314192,48.403132</v>
      </c>
      <c r="T3109" s="12"/>
    </row>
    <row r="3110">
      <c r="A3110" s="18" t="s">
        <v>20112</v>
      </c>
      <c r="B3110" s="8" t="s">
        <v>20113</v>
      </c>
      <c r="C3110" s="8" t="s">
        <v>20114</v>
      </c>
      <c r="D3110" s="8" t="s">
        <v>16</v>
      </c>
      <c r="E3110" s="19" t="s">
        <v>20115</v>
      </c>
      <c r="F3110" s="8" t="s">
        <v>2330</v>
      </c>
      <c r="G3110" s="8">
        <v>23.61</v>
      </c>
      <c r="H3110" s="8"/>
      <c r="I3110" s="8"/>
      <c r="J3110" s="8" t="s">
        <v>20116</v>
      </c>
      <c r="K3110" s="8" t="s">
        <v>20117</v>
      </c>
      <c r="L3110" s="8"/>
      <c r="M3110" s="8"/>
      <c r="N3110" s="12"/>
      <c r="O3110" s="12"/>
      <c r="P3110" s="13">
        <f>IFERROR(__xludf.DUMMYFUNCTION("VALUE(SUBSTITUTE((INDEX(SPLIT(A3110,"",""),1)),""."","","",1))"),53.148978)</f>
        <v>53.148978</v>
      </c>
      <c r="Q3110" s="13">
        <f>IFERROR(__xludf.DUMMYFUNCTION("VALUE(SUBSTITUTE((INDEX(SPLIT(A3110,"",""),2)),""."","","",1))"),48.464631)</f>
        <v>48.464631</v>
      </c>
      <c r="R3110" s="14" t="b">
        <f t="shared" si="1"/>
        <v>0</v>
      </c>
      <c r="S3110" s="14" t="str">
        <f t="shared" si="2"/>
        <v>53.148978,48.464631</v>
      </c>
      <c r="T3110" s="12"/>
    </row>
    <row r="3111">
      <c r="A3111" s="15" t="s">
        <v>20118</v>
      </c>
      <c r="B3111" s="16" t="s">
        <v>20119</v>
      </c>
      <c r="C3111" s="16" t="s">
        <v>20120</v>
      </c>
      <c r="D3111" s="16" t="s">
        <v>16</v>
      </c>
      <c r="E3111" s="17" t="s">
        <v>20121</v>
      </c>
      <c r="F3111" s="16" t="s">
        <v>2330</v>
      </c>
      <c r="G3111" s="16">
        <v>23.61</v>
      </c>
      <c r="H3111" s="16"/>
      <c r="I3111" s="16"/>
      <c r="J3111" s="16" t="s">
        <v>20122</v>
      </c>
      <c r="K3111" s="16" t="s">
        <v>20123</v>
      </c>
      <c r="L3111" s="16"/>
      <c r="M3111" s="16"/>
      <c r="N3111" s="12"/>
      <c r="O3111" s="12"/>
      <c r="P3111" s="13">
        <f>IFERROR(__xludf.DUMMYFUNCTION("VALUE(SUBSTITUTE((INDEX(SPLIT(A3111,"",""),1)),""."","","",1))"),55.844369)</f>
        <v>55.844369</v>
      </c>
      <c r="Q3111" s="13">
        <f>IFERROR(__xludf.DUMMYFUNCTION("VALUE(SUBSTITUTE((INDEX(SPLIT(A3111,"",""),2)),""."","","",1))"),48.495847)</f>
        <v>48.495847</v>
      </c>
      <c r="R3111" s="14" t="b">
        <f t="shared" si="1"/>
        <v>0</v>
      </c>
      <c r="S3111" s="14" t="str">
        <f t="shared" si="2"/>
        <v>55.844369,48.495847</v>
      </c>
      <c r="T3111" s="12"/>
    </row>
    <row r="3112">
      <c r="A3112" s="18" t="s">
        <v>20124</v>
      </c>
      <c r="B3112" s="8" t="s">
        <v>20125</v>
      </c>
      <c r="C3112" s="8" t="s">
        <v>20126</v>
      </c>
      <c r="D3112" s="8" t="s">
        <v>16</v>
      </c>
      <c r="E3112" s="19" t="s">
        <v>20127</v>
      </c>
      <c r="F3112" s="8" t="s">
        <v>2330</v>
      </c>
      <c r="G3112" s="8">
        <v>23.61</v>
      </c>
      <c r="H3112" s="8"/>
      <c r="I3112" s="8"/>
      <c r="J3112" s="8" t="s">
        <v>20128</v>
      </c>
      <c r="K3112" s="8" t="s">
        <v>20129</v>
      </c>
      <c r="L3112" s="8"/>
      <c r="M3112" s="8"/>
      <c r="N3112" s="12"/>
      <c r="O3112" s="12"/>
      <c r="P3112" s="13">
        <f>IFERROR(__xludf.DUMMYFUNCTION("VALUE(SUBSTITUTE((INDEX(SPLIT(A3112,"",""),1)),""."","","",1))"),55.852213)</f>
        <v>55.852213</v>
      </c>
      <c r="Q3112" s="13">
        <f>IFERROR(__xludf.DUMMYFUNCTION("VALUE(SUBSTITUTE((INDEX(SPLIT(A3112,"",""),2)),""."","","",1))"),48.51234)</f>
        <v>48.51234</v>
      </c>
      <c r="R3112" s="14" t="b">
        <f t="shared" si="1"/>
        <v>0</v>
      </c>
      <c r="S3112" s="14" t="str">
        <f t="shared" si="2"/>
        <v>55.852213,48.51234</v>
      </c>
      <c r="T3112" s="12"/>
    </row>
    <row r="3113">
      <c r="A3113" s="15" t="s">
        <v>20130</v>
      </c>
      <c r="B3113" s="16" t="s">
        <v>20131</v>
      </c>
      <c r="C3113" s="16" t="s">
        <v>20132</v>
      </c>
      <c r="D3113" s="16" t="s">
        <v>16</v>
      </c>
      <c r="E3113" s="17" t="s">
        <v>20133</v>
      </c>
      <c r="F3113" s="16" t="s">
        <v>2330</v>
      </c>
      <c r="G3113" s="16">
        <v>23.61</v>
      </c>
      <c r="H3113" s="16"/>
      <c r="I3113" s="16"/>
      <c r="J3113" s="16" t="s">
        <v>20134</v>
      </c>
      <c r="K3113" s="16" t="s">
        <v>20135</v>
      </c>
      <c r="L3113" s="16"/>
      <c r="M3113" s="16"/>
      <c r="N3113" s="12"/>
      <c r="O3113" s="12"/>
      <c r="P3113" s="13">
        <f>IFERROR(__xludf.DUMMYFUNCTION("VALUE(SUBSTITUTE((INDEX(SPLIT(A3113,"",""),1)),""."","","",1))"),54.35432)</f>
        <v>54.35432</v>
      </c>
      <c r="Q3113" s="13">
        <f>IFERROR(__xludf.DUMMYFUNCTION("VALUE(SUBSTITUTE((INDEX(SPLIT(A3113,"",""),2)),""."","","",1))"),48.538796)</f>
        <v>48.538796</v>
      </c>
      <c r="R3113" s="14" t="b">
        <f t="shared" si="1"/>
        <v>0</v>
      </c>
      <c r="S3113" s="14" t="str">
        <f t="shared" si="2"/>
        <v>54.35432,48.538796</v>
      </c>
      <c r="T3113" s="12"/>
    </row>
    <row r="3114">
      <c r="A3114" s="18" t="s">
        <v>20136</v>
      </c>
      <c r="B3114" s="8" t="s">
        <v>20137</v>
      </c>
      <c r="C3114" s="8" t="s">
        <v>20138</v>
      </c>
      <c r="D3114" s="8" t="s">
        <v>16</v>
      </c>
      <c r="E3114" s="19" t="s">
        <v>20139</v>
      </c>
      <c r="F3114" s="8" t="s">
        <v>16443</v>
      </c>
      <c r="G3114" s="8">
        <v>23.61</v>
      </c>
      <c r="H3114" s="8"/>
      <c r="I3114" s="8"/>
      <c r="J3114" s="8" t="s">
        <v>20140</v>
      </c>
      <c r="K3114" s="8" t="s">
        <v>20141</v>
      </c>
      <c r="L3114" s="8"/>
      <c r="M3114" s="8"/>
      <c r="N3114" s="12"/>
      <c r="O3114" s="12"/>
      <c r="P3114" s="13">
        <f>IFERROR(__xludf.DUMMYFUNCTION("VALUE(SUBSTITUTE((INDEX(SPLIT(A3114,"",""),1)),""."","","",1))"),55.758377)</f>
        <v>55.758377</v>
      </c>
      <c r="Q3114" s="13">
        <f>IFERROR(__xludf.DUMMYFUNCTION("VALUE(SUBSTITUTE((INDEX(SPLIT(A3114,"",""),2)),""."","","",1))"),48.542901)</f>
        <v>48.542901</v>
      </c>
      <c r="R3114" s="14" t="b">
        <f t="shared" si="1"/>
        <v>0</v>
      </c>
      <c r="S3114" s="14" t="str">
        <f t="shared" si="2"/>
        <v>55.758377,48.542901</v>
      </c>
      <c r="T3114" s="12"/>
    </row>
    <row r="3115">
      <c r="A3115" s="20" t="s">
        <v>20142</v>
      </c>
      <c r="B3115" s="16" t="s">
        <v>20143</v>
      </c>
      <c r="C3115" s="16" t="s">
        <v>20144</v>
      </c>
      <c r="D3115" s="16" t="s">
        <v>16</v>
      </c>
      <c r="E3115" s="21" t="s">
        <v>20145</v>
      </c>
      <c r="F3115" s="22" t="s">
        <v>20146</v>
      </c>
      <c r="G3115" s="16">
        <v>23.61</v>
      </c>
      <c r="H3115" s="16"/>
      <c r="I3115" s="22"/>
      <c r="J3115" s="22" t="s">
        <v>20147</v>
      </c>
      <c r="K3115" s="22" t="s">
        <v>20148</v>
      </c>
      <c r="L3115" s="23" t="s">
        <v>20149</v>
      </c>
      <c r="M3115" s="22"/>
      <c r="N3115" s="12"/>
      <c r="O3115" s="12"/>
      <c r="P3115" s="13">
        <f>IFERROR(__xludf.DUMMYFUNCTION("VALUE(SUBSTITUTE((INDEX(SPLIT(A3115,"",""),1)),""."","","",1))"),55.865384)</f>
        <v>55.865384</v>
      </c>
      <c r="Q3115" s="13">
        <f>IFERROR(__xludf.DUMMYFUNCTION("VALUE(SUBSTITUTE((INDEX(SPLIT(A3115,"",""),2)),""."","","",1))"),48.546359)</f>
        <v>48.546359</v>
      </c>
      <c r="R3115" s="14" t="b">
        <f t="shared" si="1"/>
        <v>0</v>
      </c>
      <c r="S3115" s="14" t="str">
        <f t="shared" si="2"/>
        <v>55.865384,48.546359</v>
      </c>
      <c r="T3115" s="12"/>
    </row>
    <row r="3116">
      <c r="A3116" s="18" t="s">
        <v>20150</v>
      </c>
      <c r="B3116" s="8" t="s">
        <v>20151</v>
      </c>
      <c r="C3116" s="8" t="s">
        <v>20152</v>
      </c>
      <c r="D3116" s="8" t="s">
        <v>16</v>
      </c>
      <c r="E3116" s="19" t="s">
        <v>20153</v>
      </c>
      <c r="F3116" s="8" t="s">
        <v>12912</v>
      </c>
      <c r="G3116" s="8">
        <v>23.61</v>
      </c>
      <c r="H3116" s="8"/>
      <c r="I3116" s="8"/>
      <c r="J3116" s="8" t="s">
        <v>20154</v>
      </c>
      <c r="K3116" s="8" t="s">
        <v>20155</v>
      </c>
      <c r="L3116" s="8"/>
      <c r="M3116" s="8"/>
      <c r="N3116" s="12"/>
      <c r="O3116" s="12"/>
      <c r="P3116" s="13">
        <f>IFERROR(__xludf.DUMMYFUNCTION("VALUE(SUBSTITUTE((INDEX(SPLIT(A3116,"",""),1)),""."","","",1))"),53.179292)</f>
        <v>53.179292</v>
      </c>
      <c r="Q3116" s="13">
        <f>IFERROR(__xludf.DUMMYFUNCTION("VALUE(SUBSTITUTE((INDEX(SPLIT(A3116,"",""),2)),""."","","",1))"),48.547922)</f>
        <v>48.547922</v>
      </c>
      <c r="R3116" s="14" t="b">
        <f t="shared" si="1"/>
        <v>0</v>
      </c>
      <c r="S3116" s="14" t="str">
        <f t="shared" si="2"/>
        <v>53.179292,48.547922</v>
      </c>
      <c r="T3116" s="12"/>
    </row>
    <row r="3117">
      <c r="A3117" s="15" t="s">
        <v>20156</v>
      </c>
      <c r="B3117" s="16" t="s">
        <v>20157</v>
      </c>
      <c r="C3117" s="16" t="s">
        <v>20158</v>
      </c>
      <c r="D3117" s="16" t="s">
        <v>16</v>
      </c>
      <c r="E3117" s="17" t="s">
        <v>20159</v>
      </c>
      <c r="F3117" s="16" t="s">
        <v>20160</v>
      </c>
      <c r="G3117" s="16">
        <v>23.61</v>
      </c>
      <c r="H3117" s="16"/>
      <c r="I3117" s="16"/>
      <c r="J3117" s="16" t="s">
        <v>20161</v>
      </c>
      <c r="K3117" s="16" t="s">
        <v>20162</v>
      </c>
      <c r="L3117" s="16"/>
      <c r="M3117" s="16"/>
      <c r="N3117" s="12"/>
      <c r="O3117" s="12"/>
      <c r="P3117" s="13">
        <f>IFERROR(__xludf.DUMMYFUNCTION("VALUE(SUBSTITUTE((INDEX(SPLIT(A3117,"",""),1)),""."","","",1))"),53.174224)</f>
        <v>53.174224</v>
      </c>
      <c r="Q3117" s="13">
        <f>IFERROR(__xludf.DUMMYFUNCTION("VALUE(SUBSTITUTE((INDEX(SPLIT(A3117,"",""),2)),""."","","",1))"),48.559816)</f>
        <v>48.559816</v>
      </c>
      <c r="R3117" s="14" t="b">
        <f t="shared" si="1"/>
        <v>0</v>
      </c>
      <c r="S3117" s="14" t="str">
        <f t="shared" si="2"/>
        <v>53.174224,48.559816</v>
      </c>
      <c r="T3117" s="12"/>
    </row>
    <row r="3118">
      <c r="A3118" s="18" t="s">
        <v>20163</v>
      </c>
      <c r="B3118" s="8" t="s">
        <v>20164</v>
      </c>
      <c r="C3118" s="8" t="s">
        <v>20165</v>
      </c>
      <c r="D3118" s="8" t="s">
        <v>16</v>
      </c>
      <c r="E3118" s="19" t="s">
        <v>20166</v>
      </c>
      <c r="F3118" s="8" t="s">
        <v>16443</v>
      </c>
      <c r="G3118" s="8">
        <v>23.61</v>
      </c>
      <c r="H3118" s="8"/>
      <c r="I3118" s="8"/>
      <c r="J3118" s="8" t="s">
        <v>20167</v>
      </c>
      <c r="K3118" s="8" t="s">
        <v>20168</v>
      </c>
      <c r="L3118" s="8"/>
      <c r="M3118" s="8"/>
      <c r="N3118" s="12"/>
      <c r="O3118" s="12"/>
      <c r="P3118" s="13">
        <f>IFERROR(__xludf.DUMMYFUNCTION("VALUE(SUBSTITUTE((INDEX(SPLIT(A3118,"",""),1)),""."","","",1))"),54.343552)</f>
        <v>54.343552</v>
      </c>
      <c r="Q3118" s="13">
        <f>IFERROR(__xludf.DUMMYFUNCTION("VALUE(SUBSTITUTE((INDEX(SPLIT(A3118,"",""),2)),""."","","",1))"),48.573632)</f>
        <v>48.573632</v>
      </c>
      <c r="R3118" s="14" t="b">
        <f t="shared" si="1"/>
        <v>0</v>
      </c>
      <c r="S3118" s="14" t="str">
        <f t="shared" si="2"/>
        <v>54.343552,48.573632</v>
      </c>
      <c r="T3118" s="12"/>
    </row>
    <row r="3119">
      <c r="A3119" s="15" t="s">
        <v>20163</v>
      </c>
      <c r="B3119" s="16" t="s">
        <v>20169</v>
      </c>
      <c r="C3119" s="16" t="s">
        <v>20170</v>
      </c>
      <c r="D3119" s="16" t="s">
        <v>16</v>
      </c>
      <c r="E3119" s="17" t="s">
        <v>20171</v>
      </c>
      <c r="F3119" s="16" t="s">
        <v>14706</v>
      </c>
      <c r="G3119" s="16">
        <v>23.61</v>
      </c>
      <c r="H3119" s="16"/>
      <c r="I3119" s="16"/>
      <c r="J3119" s="16" t="s">
        <v>20172</v>
      </c>
      <c r="K3119" s="16" t="s">
        <v>20173</v>
      </c>
      <c r="L3119" s="16"/>
      <c r="M3119" s="16"/>
      <c r="N3119" s="12"/>
      <c r="O3119" s="12"/>
      <c r="P3119" s="13">
        <f>IFERROR(__xludf.DUMMYFUNCTION("VALUE(SUBSTITUTE((INDEX(SPLIT(A3119,"",""),1)),""."","","",1))"),54.343552)</f>
        <v>54.343552</v>
      </c>
      <c r="Q3119" s="13">
        <f>IFERROR(__xludf.DUMMYFUNCTION("VALUE(SUBSTITUTE((INDEX(SPLIT(A3119,"",""),2)),""."","","",1))"),48.573632)</f>
        <v>48.573632</v>
      </c>
      <c r="R3119" s="14" t="b">
        <f t="shared" si="1"/>
        <v>0</v>
      </c>
      <c r="S3119" s="14" t="str">
        <f t="shared" si="2"/>
        <v>54.343552,48.573632</v>
      </c>
      <c r="T3119" s="12"/>
    </row>
    <row r="3120">
      <c r="A3120" s="7" t="s">
        <v>20174</v>
      </c>
      <c r="B3120" s="8" t="s">
        <v>20175</v>
      </c>
      <c r="C3120" s="8" t="s">
        <v>20176</v>
      </c>
      <c r="D3120" s="8" t="s">
        <v>16</v>
      </c>
      <c r="E3120" s="9" t="s">
        <v>20177</v>
      </c>
      <c r="F3120" s="10" t="s">
        <v>14706</v>
      </c>
      <c r="G3120" s="8">
        <v>23.61</v>
      </c>
      <c r="H3120" s="8"/>
      <c r="I3120" s="10"/>
      <c r="J3120" s="10" t="s">
        <v>20178</v>
      </c>
      <c r="K3120" s="10" t="s">
        <v>20179</v>
      </c>
      <c r="L3120" s="11" t="s">
        <v>20180</v>
      </c>
      <c r="M3120" s="10"/>
      <c r="N3120" s="12"/>
      <c r="O3120" s="12"/>
      <c r="P3120" s="13">
        <f>IFERROR(__xludf.DUMMYFUNCTION("VALUE(SUBSTITUTE((INDEX(SPLIT(A3120,"",""),1)),""."","","",1))"),54.347351)</f>
        <v>54.347351</v>
      </c>
      <c r="Q3120" s="13">
        <f>IFERROR(__xludf.DUMMYFUNCTION("VALUE(SUBSTITUTE((INDEX(SPLIT(A3120,"",""),2)),""."","","",1))"),48.577504)</f>
        <v>48.577504</v>
      </c>
      <c r="R3120" s="14" t="b">
        <f t="shared" si="1"/>
        <v>0</v>
      </c>
      <c r="S3120" s="14" t="str">
        <f t="shared" si="2"/>
        <v>54.347351,48.577504</v>
      </c>
      <c r="T3120" s="12"/>
    </row>
    <row r="3121">
      <c r="A3121" s="20" t="s">
        <v>20181</v>
      </c>
      <c r="B3121" s="16" t="s">
        <v>20182</v>
      </c>
      <c r="C3121" s="16" t="s">
        <v>20183</v>
      </c>
      <c r="D3121" s="16" t="s">
        <v>16</v>
      </c>
      <c r="E3121" s="21" t="s">
        <v>20184</v>
      </c>
      <c r="F3121" s="22" t="s">
        <v>14706</v>
      </c>
      <c r="G3121" s="16">
        <v>23.61</v>
      </c>
      <c r="H3121" s="16"/>
      <c r="I3121" s="22"/>
      <c r="J3121" s="22" t="s">
        <v>20185</v>
      </c>
      <c r="K3121" s="22" t="s">
        <v>20186</v>
      </c>
      <c r="L3121" s="23" t="s">
        <v>20187</v>
      </c>
      <c r="M3121" s="22"/>
      <c r="N3121" s="12"/>
      <c r="O3121" s="12"/>
      <c r="P3121" s="13">
        <f>IFERROR(__xludf.DUMMYFUNCTION("VALUE(SUBSTITUTE((INDEX(SPLIT(A3121,"",""),1)),""."","","",1))"),54.365458)</f>
        <v>54.365458</v>
      </c>
      <c r="Q3121" s="13">
        <f>IFERROR(__xludf.DUMMYFUNCTION("VALUE(SUBSTITUTE((INDEX(SPLIT(A3121,"",""),2)),""."","","",1))"),48.57807)</f>
        <v>48.57807</v>
      </c>
      <c r="R3121" s="14" t="b">
        <f t="shared" si="1"/>
        <v>0</v>
      </c>
      <c r="S3121" s="14" t="str">
        <f t="shared" si="2"/>
        <v>54.365458,48.57807</v>
      </c>
      <c r="T3121" s="12"/>
    </row>
    <row r="3122">
      <c r="A3122" s="18" t="s">
        <v>20188</v>
      </c>
      <c r="B3122" s="8" t="s">
        <v>20189</v>
      </c>
      <c r="C3122" s="8" t="s">
        <v>20190</v>
      </c>
      <c r="D3122" s="8" t="s">
        <v>16</v>
      </c>
      <c r="E3122" s="19" t="s">
        <v>20191</v>
      </c>
      <c r="F3122" s="8" t="s">
        <v>13482</v>
      </c>
      <c r="G3122" s="8">
        <v>23.61</v>
      </c>
      <c r="H3122" s="8"/>
      <c r="I3122" s="8"/>
      <c r="J3122" s="8" t="s">
        <v>20192</v>
      </c>
      <c r="K3122" s="8" t="s">
        <v>20193</v>
      </c>
      <c r="L3122" s="8"/>
      <c r="M3122" s="24" t="s">
        <v>20194</v>
      </c>
      <c r="N3122" s="12"/>
      <c r="O3122" s="12"/>
      <c r="P3122" s="13">
        <f>IFERROR(__xludf.DUMMYFUNCTION("VALUE(SUBSTITUTE((INDEX(SPLIT(A3122,"",""),1)),""."","","",1))"),54.345683)</f>
        <v>54.345683</v>
      </c>
      <c r="Q3122" s="13">
        <f>IFERROR(__xludf.DUMMYFUNCTION("VALUE(SUBSTITUTE((INDEX(SPLIT(A3122,"",""),2)),""."","","",1))"),48.58646)</f>
        <v>48.58646</v>
      </c>
      <c r="R3122" s="14" t="b">
        <f t="shared" si="1"/>
        <v>0</v>
      </c>
      <c r="S3122" s="14" t="str">
        <f t="shared" si="2"/>
        <v>54.345683,48.58646</v>
      </c>
      <c r="T3122" s="12"/>
    </row>
    <row r="3123">
      <c r="A3123" s="15" t="s">
        <v>20195</v>
      </c>
      <c r="B3123" s="16" t="s">
        <v>20196</v>
      </c>
      <c r="C3123" s="16" t="s">
        <v>20197</v>
      </c>
      <c r="D3123" s="16" t="s">
        <v>16</v>
      </c>
      <c r="E3123" s="17" t="s">
        <v>20198</v>
      </c>
      <c r="F3123" s="16" t="s">
        <v>13482</v>
      </c>
      <c r="G3123" s="16">
        <v>23.61</v>
      </c>
      <c r="H3123" s="16"/>
      <c r="I3123" s="16"/>
      <c r="J3123" s="16" t="s">
        <v>20199</v>
      </c>
      <c r="K3123" s="16" t="s">
        <v>20200</v>
      </c>
      <c r="L3123" s="16"/>
      <c r="M3123" s="25" t="s">
        <v>20201</v>
      </c>
      <c r="N3123" s="12"/>
      <c r="O3123" s="12"/>
      <c r="P3123" s="13">
        <f>IFERROR(__xludf.DUMMYFUNCTION("VALUE(SUBSTITUTE((INDEX(SPLIT(A3123,"",""),1)),""."","","",1))"),54.361671)</f>
        <v>54.361671</v>
      </c>
      <c r="Q3123" s="13">
        <f>IFERROR(__xludf.DUMMYFUNCTION("VALUE(SUBSTITUTE((INDEX(SPLIT(A3123,"",""),2)),""."","","",1))"),48.589434)</f>
        <v>48.589434</v>
      </c>
      <c r="R3123" s="14" t="b">
        <f t="shared" si="1"/>
        <v>0</v>
      </c>
      <c r="S3123" s="14" t="str">
        <f t="shared" si="2"/>
        <v>54.361671,48.589434</v>
      </c>
      <c r="T3123" s="12"/>
    </row>
    <row r="3124">
      <c r="A3124" s="7" t="s">
        <v>20202</v>
      </c>
      <c r="B3124" s="8" t="s">
        <v>20203</v>
      </c>
      <c r="C3124" s="8" t="s">
        <v>20204</v>
      </c>
      <c r="D3124" s="8" t="s">
        <v>16</v>
      </c>
      <c r="E3124" s="9" t="s">
        <v>20205</v>
      </c>
      <c r="F3124" s="10" t="s">
        <v>12912</v>
      </c>
      <c r="G3124" s="8">
        <v>23.61</v>
      </c>
      <c r="H3124" s="8"/>
      <c r="I3124" s="31" t="s">
        <v>20206</v>
      </c>
      <c r="J3124" s="10" t="s">
        <v>20207</v>
      </c>
      <c r="K3124" s="10" t="s">
        <v>20208</v>
      </c>
      <c r="L3124" s="11" t="s">
        <v>20209</v>
      </c>
      <c r="M3124" s="10"/>
      <c r="N3124" s="12"/>
      <c r="O3124" s="12"/>
      <c r="P3124" s="13">
        <f>IFERROR(__xludf.DUMMYFUNCTION("VALUE(SUBSTITUTE((INDEX(SPLIT(A3124,"",""),1)),""."","","",1))"),54.377967)</f>
        <v>54.377967</v>
      </c>
      <c r="Q3124" s="13">
        <f>IFERROR(__xludf.DUMMYFUNCTION("VALUE(SUBSTITUTE((INDEX(SPLIT(A3124,"",""),2)),""."","","",1))"),48.591625)</f>
        <v>48.591625</v>
      </c>
      <c r="R3124" s="14" t="b">
        <f t="shared" si="1"/>
        <v>0</v>
      </c>
      <c r="S3124" s="14" t="str">
        <f t="shared" si="2"/>
        <v>54.377967,48.591625</v>
      </c>
      <c r="T3124" s="12"/>
    </row>
    <row r="3125">
      <c r="A3125" s="20" t="s">
        <v>20202</v>
      </c>
      <c r="B3125" s="16" t="s">
        <v>20210</v>
      </c>
      <c r="C3125" s="16" t="s">
        <v>20211</v>
      </c>
      <c r="D3125" s="16" t="s">
        <v>16</v>
      </c>
      <c r="E3125" s="21" t="s">
        <v>20212</v>
      </c>
      <c r="F3125" s="22" t="s">
        <v>13482</v>
      </c>
      <c r="G3125" s="16">
        <v>23.61</v>
      </c>
      <c r="H3125" s="16"/>
      <c r="I3125" s="22"/>
      <c r="J3125" s="22" t="s">
        <v>20213</v>
      </c>
      <c r="K3125" s="22" t="s">
        <v>20214</v>
      </c>
      <c r="L3125" s="23" t="s">
        <v>20215</v>
      </c>
      <c r="M3125" s="23" t="s">
        <v>20216</v>
      </c>
      <c r="N3125" s="12"/>
      <c r="O3125" s="12"/>
      <c r="P3125" s="13">
        <f>IFERROR(__xludf.DUMMYFUNCTION("VALUE(SUBSTITUTE((INDEX(SPLIT(A3125,"",""),1)),""."","","",1))"),54.377967)</f>
        <v>54.377967</v>
      </c>
      <c r="Q3125" s="13">
        <f>IFERROR(__xludf.DUMMYFUNCTION("VALUE(SUBSTITUTE((INDEX(SPLIT(A3125,"",""),2)),""."","","",1))"),48.591625)</f>
        <v>48.591625</v>
      </c>
      <c r="R3125" s="14" t="b">
        <f t="shared" si="1"/>
        <v>0</v>
      </c>
      <c r="S3125" s="14" t="str">
        <f t="shared" si="2"/>
        <v>54.377967,48.591625</v>
      </c>
      <c r="T3125" s="12"/>
    </row>
    <row r="3126">
      <c r="A3126" s="7" t="s">
        <v>20217</v>
      </c>
      <c r="B3126" s="8" t="s">
        <v>1840</v>
      </c>
      <c r="C3126" s="8" t="s">
        <v>1841</v>
      </c>
      <c r="D3126" s="8" t="s">
        <v>16</v>
      </c>
      <c r="E3126" s="9" t="s">
        <v>20218</v>
      </c>
      <c r="F3126" s="10" t="s">
        <v>12912</v>
      </c>
      <c r="G3126" s="8">
        <v>23.61</v>
      </c>
      <c r="H3126" s="8"/>
      <c r="I3126" s="10"/>
      <c r="J3126" s="10" t="s">
        <v>20219</v>
      </c>
      <c r="K3126" s="10" t="s">
        <v>20220</v>
      </c>
      <c r="L3126" s="11" t="s">
        <v>20221</v>
      </c>
      <c r="M3126" s="10"/>
      <c r="N3126" s="12"/>
      <c r="O3126" s="12"/>
      <c r="P3126" s="13">
        <f>IFERROR(__xludf.DUMMYFUNCTION("VALUE(SUBSTITUTE((INDEX(SPLIT(A3126,"",""),1)),""."","","",1))"),52.865245)</f>
        <v>52.865245</v>
      </c>
      <c r="Q3126" s="13">
        <f>IFERROR(__xludf.DUMMYFUNCTION("VALUE(SUBSTITUTE((INDEX(SPLIT(A3126,"",""),2)),""."","","",1))"),48.610041)</f>
        <v>48.610041</v>
      </c>
      <c r="R3126" s="14" t="b">
        <f t="shared" si="1"/>
        <v>0</v>
      </c>
      <c r="S3126" s="14" t="str">
        <f t="shared" si="2"/>
        <v>52.865245,48.610041</v>
      </c>
      <c r="T3126" s="12"/>
    </row>
    <row r="3127">
      <c r="A3127" s="20" t="s">
        <v>20222</v>
      </c>
      <c r="B3127" s="16" t="s">
        <v>13209</v>
      </c>
      <c r="C3127" s="16" t="s">
        <v>13210</v>
      </c>
      <c r="D3127" s="16" t="s">
        <v>16</v>
      </c>
      <c r="E3127" s="21" t="s">
        <v>20223</v>
      </c>
      <c r="F3127" s="22" t="s">
        <v>13482</v>
      </c>
      <c r="G3127" s="16">
        <v>23.61</v>
      </c>
      <c r="H3127" s="16"/>
      <c r="I3127" s="22"/>
      <c r="J3127" s="22" t="s">
        <v>20224</v>
      </c>
      <c r="K3127" s="22" t="s">
        <v>11941</v>
      </c>
      <c r="L3127" s="23" t="s">
        <v>20225</v>
      </c>
      <c r="M3127" s="23" t="s">
        <v>20226</v>
      </c>
      <c r="N3127" s="12"/>
      <c r="O3127" s="12"/>
      <c r="P3127" s="13">
        <f>IFERROR(__xludf.DUMMYFUNCTION("VALUE(SUBSTITUTE((INDEX(SPLIT(A3127,"",""),1)),""."","","",1))"),54.356508)</f>
        <v>54.356508</v>
      </c>
      <c r="Q3127" s="13">
        <f>IFERROR(__xludf.DUMMYFUNCTION("VALUE(SUBSTITUTE((INDEX(SPLIT(A3127,"",""),2)),""."","","",1))"),48.62118)</f>
        <v>48.62118</v>
      </c>
      <c r="R3127" s="14" t="b">
        <f t="shared" si="1"/>
        <v>0</v>
      </c>
      <c r="S3127" s="14" t="str">
        <f t="shared" si="2"/>
        <v>54.356508,48.62118</v>
      </c>
      <c r="T3127" s="12"/>
    </row>
    <row r="3128">
      <c r="A3128" s="18" t="s">
        <v>20227</v>
      </c>
      <c r="B3128" s="8" t="s">
        <v>20228</v>
      </c>
      <c r="C3128" s="8" t="s">
        <v>20229</v>
      </c>
      <c r="D3128" s="8" t="s">
        <v>16</v>
      </c>
      <c r="E3128" s="19" t="s">
        <v>20230</v>
      </c>
      <c r="F3128" s="8" t="s">
        <v>13482</v>
      </c>
      <c r="G3128" s="8">
        <v>23.61</v>
      </c>
      <c r="H3128" s="8"/>
      <c r="I3128" s="8"/>
      <c r="J3128" s="8" t="s">
        <v>20231</v>
      </c>
      <c r="K3128" s="8" t="s">
        <v>20232</v>
      </c>
      <c r="L3128" s="8"/>
      <c r="M3128" s="8"/>
      <c r="N3128" s="12"/>
      <c r="O3128" s="12"/>
      <c r="P3128" s="13">
        <f>IFERROR(__xludf.DUMMYFUNCTION("VALUE(SUBSTITUTE((INDEX(SPLIT(A3128,"",""),1)),""."","","",1))"),52.024531)</f>
        <v>52.024531</v>
      </c>
      <c r="Q3128" s="13">
        <f>IFERROR(__xludf.DUMMYFUNCTION("VALUE(SUBSTITUTE((INDEX(SPLIT(A3128,"",""),2)),""."","","",1))"),48.785006)</f>
        <v>48.785006</v>
      </c>
      <c r="R3128" s="14" t="b">
        <f t="shared" si="1"/>
        <v>0</v>
      </c>
      <c r="S3128" s="14" t="str">
        <f t="shared" si="2"/>
        <v>52.024531,48.785006</v>
      </c>
      <c r="T3128" s="12"/>
    </row>
    <row r="3129">
      <c r="A3129" s="20" t="s">
        <v>20233</v>
      </c>
      <c r="B3129" s="16" t="s">
        <v>20234</v>
      </c>
      <c r="C3129" s="16" t="s">
        <v>20235</v>
      </c>
      <c r="D3129" s="16" t="s">
        <v>16</v>
      </c>
      <c r="E3129" s="21" t="s">
        <v>20236</v>
      </c>
      <c r="F3129" s="22" t="s">
        <v>12912</v>
      </c>
      <c r="G3129" s="16">
        <v>23.61</v>
      </c>
      <c r="H3129" s="16"/>
      <c r="I3129" s="22"/>
      <c r="J3129" s="22" t="s">
        <v>20237</v>
      </c>
      <c r="K3129" s="22" t="s">
        <v>20238</v>
      </c>
      <c r="L3129" s="30" t="s">
        <v>20239</v>
      </c>
      <c r="M3129" s="22"/>
      <c r="N3129" s="12"/>
      <c r="O3129" s="12"/>
      <c r="P3129" s="13">
        <f>IFERROR(__xludf.DUMMYFUNCTION("VALUE(SUBSTITUTE((INDEX(SPLIT(A3129,"",""),1)),""."","","",1))"),55.857028)</f>
        <v>55.857028</v>
      </c>
      <c r="Q3129" s="13">
        <f>IFERROR(__xludf.DUMMYFUNCTION("VALUE(SUBSTITUTE((INDEX(SPLIT(A3129,"",""),2)),""."","","",1))"),48.832787)</f>
        <v>48.832787</v>
      </c>
      <c r="R3129" s="14" t="b">
        <f t="shared" si="1"/>
        <v>0</v>
      </c>
      <c r="S3129" s="14" t="str">
        <f t="shared" si="2"/>
        <v>55.857028,48.832787</v>
      </c>
      <c r="T3129" s="12"/>
    </row>
    <row r="3130">
      <c r="A3130" s="18" t="s">
        <v>20240</v>
      </c>
      <c r="B3130" s="8" t="s">
        <v>20241</v>
      </c>
      <c r="C3130" s="8" t="s">
        <v>20242</v>
      </c>
      <c r="D3130" s="8" t="s">
        <v>16</v>
      </c>
      <c r="E3130" s="19" t="s">
        <v>20243</v>
      </c>
      <c r="F3130" s="8" t="s">
        <v>13482</v>
      </c>
      <c r="G3130" s="8">
        <v>23.61</v>
      </c>
      <c r="H3130" s="8"/>
      <c r="I3130" s="8"/>
      <c r="J3130" s="8" t="s">
        <v>20244</v>
      </c>
      <c r="K3130" s="8" t="s">
        <v>20245</v>
      </c>
      <c r="L3130" s="8"/>
      <c r="M3130" s="8"/>
      <c r="N3130" s="12"/>
      <c r="O3130" s="12"/>
      <c r="P3130" s="13">
        <f>IFERROR(__xludf.DUMMYFUNCTION("VALUE(SUBSTITUTE((INDEX(SPLIT(A3130,"",""),1)),""."","","",1))"),55.877152)</f>
        <v>55.877152</v>
      </c>
      <c r="Q3130" s="13">
        <f>IFERROR(__xludf.DUMMYFUNCTION("VALUE(SUBSTITUTE((INDEX(SPLIT(A3130,"",""),2)),""."","","",1))"),48.889911)</f>
        <v>48.889911</v>
      </c>
      <c r="R3130" s="14" t="b">
        <f t="shared" si="1"/>
        <v>0</v>
      </c>
      <c r="S3130" s="14" t="str">
        <f t="shared" si="2"/>
        <v>55.877152,48.889911</v>
      </c>
      <c r="T3130" s="12"/>
    </row>
    <row r="3131">
      <c r="A3131" s="20" t="s">
        <v>20246</v>
      </c>
      <c r="B3131" s="16" t="s">
        <v>20247</v>
      </c>
      <c r="C3131" s="16" t="s">
        <v>20248</v>
      </c>
      <c r="D3131" s="16" t="s">
        <v>16</v>
      </c>
      <c r="E3131" s="21" t="s">
        <v>20249</v>
      </c>
      <c r="F3131" s="22" t="s">
        <v>12912</v>
      </c>
      <c r="G3131" s="16">
        <v>23.61</v>
      </c>
      <c r="H3131" s="16"/>
      <c r="I3131" s="28" t="s">
        <v>20250</v>
      </c>
      <c r="J3131" s="22" t="s">
        <v>20251</v>
      </c>
      <c r="K3131" s="22" t="s">
        <v>20252</v>
      </c>
      <c r="L3131" s="23" t="s">
        <v>20253</v>
      </c>
      <c r="M3131" s="22"/>
      <c r="N3131" s="12"/>
      <c r="O3131" s="12"/>
      <c r="P3131" s="13">
        <f>IFERROR(__xludf.DUMMYFUNCTION("VALUE(SUBSTITUTE((INDEX(SPLIT(A3131,"",""),1)),""."","","",1))"),55.811619)</f>
        <v>55.811619</v>
      </c>
      <c r="Q3131" s="13">
        <f>IFERROR(__xludf.DUMMYFUNCTION("VALUE(SUBSTITUTE((INDEX(SPLIT(A3131,"",""),2)),""."","","",1))"),48.924038)</f>
        <v>48.924038</v>
      </c>
      <c r="R3131" s="14" t="b">
        <f t="shared" si="1"/>
        <v>0</v>
      </c>
      <c r="S3131" s="14" t="str">
        <f t="shared" si="2"/>
        <v>55.811619,48.924038</v>
      </c>
      <c r="T3131" s="12"/>
    </row>
    <row r="3132">
      <c r="A3132" s="18" t="s">
        <v>20254</v>
      </c>
      <c r="B3132" s="8" t="s">
        <v>20255</v>
      </c>
      <c r="C3132" s="8" t="s">
        <v>20256</v>
      </c>
      <c r="D3132" s="8" t="s">
        <v>16</v>
      </c>
      <c r="E3132" s="19" t="s">
        <v>20257</v>
      </c>
      <c r="F3132" s="8" t="s">
        <v>13482</v>
      </c>
      <c r="G3132" s="8">
        <v>23.61</v>
      </c>
      <c r="H3132" s="8"/>
      <c r="I3132" s="8"/>
      <c r="J3132" s="8" t="s">
        <v>20258</v>
      </c>
      <c r="K3132" s="8" t="s">
        <v>20259</v>
      </c>
      <c r="L3132" s="8"/>
      <c r="M3132" s="24" t="s">
        <v>20260</v>
      </c>
      <c r="N3132" s="12"/>
      <c r="O3132" s="12"/>
      <c r="P3132" s="13">
        <f>IFERROR(__xludf.DUMMYFUNCTION("VALUE(SUBSTITUTE((INDEX(SPLIT(A3132,"",""),1)),""."","","",1))"),55.862075)</f>
        <v>55.862075</v>
      </c>
      <c r="Q3132" s="13">
        <f>IFERROR(__xludf.DUMMYFUNCTION("VALUE(SUBSTITUTE((INDEX(SPLIT(A3132,"",""),2)),""."","","",1))"),49.016816)</f>
        <v>49.016816</v>
      </c>
      <c r="R3132" s="14" t="b">
        <f t="shared" si="1"/>
        <v>0</v>
      </c>
      <c r="S3132" s="14" t="str">
        <f t="shared" si="2"/>
        <v>55.862075,49.016816</v>
      </c>
      <c r="T3132" s="12"/>
    </row>
    <row r="3133">
      <c r="A3133" s="15" t="s">
        <v>20261</v>
      </c>
      <c r="B3133" s="16" t="s">
        <v>20262</v>
      </c>
      <c r="C3133" s="16" t="s">
        <v>20263</v>
      </c>
      <c r="D3133" s="16" t="s">
        <v>16</v>
      </c>
      <c r="E3133" s="17" t="s">
        <v>20264</v>
      </c>
      <c r="F3133" s="16" t="s">
        <v>13482</v>
      </c>
      <c r="G3133" s="16">
        <v>23.61</v>
      </c>
      <c r="H3133" s="16"/>
      <c r="I3133" s="16"/>
      <c r="J3133" s="16" t="s">
        <v>20265</v>
      </c>
      <c r="K3133" s="16" t="s">
        <v>20266</v>
      </c>
      <c r="L3133" s="16"/>
      <c r="M3133" s="25" t="s">
        <v>20267</v>
      </c>
      <c r="N3133" s="12"/>
      <c r="O3133" s="12"/>
      <c r="P3133" s="13">
        <f>IFERROR(__xludf.DUMMYFUNCTION("VALUE(SUBSTITUTE((INDEX(SPLIT(A3133,"",""),1)),""."","","",1))"),55.864227)</f>
        <v>55.864227</v>
      </c>
      <c r="Q3133" s="13">
        <f>IFERROR(__xludf.DUMMYFUNCTION("VALUE(SUBSTITUTE((INDEX(SPLIT(A3133,"",""),2)),""."","","",1))"),49.030839)</f>
        <v>49.030839</v>
      </c>
      <c r="R3133" s="14" t="b">
        <f t="shared" si="1"/>
        <v>0</v>
      </c>
      <c r="S3133" s="14" t="str">
        <f t="shared" si="2"/>
        <v>55.864227,49.030839</v>
      </c>
      <c r="T3133" s="12"/>
    </row>
    <row r="3134">
      <c r="A3134" s="18" t="s">
        <v>20268</v>
      </c>
      <c r="B3134" s="8" t="s">
        <v>20269</v>
      </c>
      <c r="C3134" s="8" t="s">
        <v>20270</v>
      </c>
      <c r="D3134" s="8" t="s">
        <v>16</v>
      </c>
      <c r="E3134" s="19" t="s">
        <v>20271</v>
      </c>
      <c r="F3134" s="8" t="s">
        <v>13482</v>
      </c>
      <c r="G3134" s="8">
        <v>23.61</v>
      </c>
      <c r="H3134" s="8"/>
      <c r="I3134" s="8"/>
      <c r="J3134" s="8" t="s">
        <v>20272</v>
      </c>
      <c r="K3134" s="8" t="s">
        <v>20273</v>
      </c>
      <c r="L3134" s="8"/>
      <c r="M3134" s="8"/>
      <c r="N3134" s="12"/>
      <c r="O3134" s="12"/>
      <c r="P3134" s="13">
        <f>IFERROR(__xludf.DUMMYFUNCTION("VALUE(SUBSTITUTE((INDEX(SPLIT(A3134,"",""),1)),""."","","",1))"),55.798804)</f>
        <v>55.798804</v>
      </c>
      <c r="Q3134" s="13">
        <f>IFERROR(__xludf.DUMMYFUNCTION("VALUE(SUBSTITUTE((INDEX(SPLIT(A3134,"",""),2)),""."","","",1))"),49.030947)</f>
        <v>49.030947</v>
      </c>
      <c r="R3134" s="14" t="b">
        <f t="shared" si="1"/>
        <v>0</v>
      </c>
      <c r="S3134" s="14" t="str">
        <f t="shared" si="2"/>
        <v>55.798804,49.030947</v>
      </c>
      <c r="T3134" s="12"/>
    </row>
    <row r="3135">
      <c r="A3135" s="15" t="s">
        <v>20274</v>
      </c>
      <c r="B3135" s="16" t="s">
        <v>20275</v>
      </c>
      <c r="C3135" s="16" t="s">
        <v>20276</v>
      </c>
      <c r="D3135" s="16" t="s">
        <v>16</v>
      </c>
      <c r="E3135" s="17" t="s">
        <v>20277</v>
      </c>
      <c r="F3135" s="16" t="s">
        <v>13482</v>
      </c>
      <c r="G3135" s="16">
        <v>23.61</v>
      </c>
      <c r="H3135" s="16"/>
      <c r="I3135" s="16"/>
      <c r="J3135" s="16" t="s">
        <v>20278</v>
      </c>
      <c r="K3135" s="16" t="s">
        <v>20273</v>
      </c>
      <c r="L3135" s="16"/>
      <c r="M3135" s="16"/>
      <c r="N3135" s="12"/>
      <c r="O3135" s="12"/>
      <c r="P3135" s="13">
        <f>IFERROR(__xludf.DUMMYFUNCTION("VALUE(SUBSTITUTE((INDEX(SPLIT(A3135,"",""),1)),""."","","",1))"),55.803676)</f>
        <v>55.803676</v>
      </c>
      <c r="Q3135" s="13">
        <f>IFERROR(__xludf.DUMMYFUNCTION("VALUE(SUBSTITUTE((INDEX(SPLIT(A3135,"",""),2)),""."","","",1))"),49.043694)</f>
        <v>49.043694</v>
      </c>
      <c r="R3135" s="14" t="b">
        <f t="shared" si="1"/>
        <v>0</v>
      </c>
      <c r="S3135" s="14" t="str">
        <f t="shared" si="2"/>
        <v>55.803676,49.043694</v>
      </c>
      <c r="T3135" s="12"/>
    </row>
    <row r="3136">
      <c r="A3136" s="7" t="s">
        <v>20274</v>
      </c>
      <c r="B3136" s="8" t="s">
        <v>20279</v>
      </c>
      <c r="C3136" s="8" t="s">
        <v>20280</v>
      </c>
      <c r="D3136" s="8" t="s">
        <v>16</v>
      </c>
      <c r="E3136" s="9" t="s">
        <v>20281</v>
      </c>
      <c r="F3136" s="10" t="s">
        <v>13482</v>
      </c>
      <c r="G3136" s="8">
        <v>23.61</v>
      </c>
      <c r="H3136" s="8"/>
      <c r="I3136" s="10"/>
      <c r="J3136" s="10" t="s">
        <v>20282</v>
      </c>
      <c r="K3136" s="10" t="s">
        <v>20283</v>
      </c>
      <c r="L3136" s="11" t="s">
        <v>20284</v>
      </c>
      <c r="M3136" s="11" t="s">
        <v>20285</v>
      </c>
      <c r="N3136" s="12"/>
      <c r="O3136" s="12"/>
      <c r="P3136" s="13">
        <f>IFERROR(__xludf.DUMMYFUNCTION("VALUE(SUBSTITUTE((INDEX(SPLIT(A3136,"",""),1)),""."","","",1))"),55.803676)</f>
        <v>55.803676</v>
      </c>
      <c r="Q3136" s="13">
        <f>IFERROR(__xludf.DUMMYFUNCTION("VALUE(SUBSTITUTE((INDEX(SPLIT(A3136,"",""),2)),""."","","",1))"),49.043694)</f>
        <v>49.043694</v>
      </c>
      <c r="R3136" s="14" t="b">
        <f t="shared" si="1"/>
        <v>0</v>
      </c>
      <c r="S3136" s="14" t="str">
        <f t="shared" si="2"/>
        <v>55.803676,49.043694</v>
      </c>
      <c r="T3136" s="12"/>
    </row>
    <row r="3137">
      <c r="A3137" s="20" t="s">
        <v>20286</v>
      </c>
      <c r="B3137" s="16" t="s">
        <v>20287</v>
      </c>
      <c r="C3137" s="16" t="s">
        <v>20288</v>
      </c>
      <c r="D3137" s="16" t="s">
        <v>16</v>
      </c>
      <c r="E3137" s="21" t="s">
        <v>20289</v>
      </c>
      <c r="F3137" s="22" t="s">
        <v>13482</v>
      </c>
      <c r="G3137" s="16">
        <v>23.61</v>
      </c>
      <c r="H3137" s="16"/>
      <c r="I3137" s="22"/>
      <c r="J3137" s="22" t="s">
        <v>20290</v>
      </c>
      <c r="K3137" s="22" t="s">
        <v>20291</v>
      </c>
      <c r="L3137" s="23" t="s">
        <v>20292</v>
      </c>
      <c r="M3137" s="22"/>
      <c r="N3137" s="12"/>
      <c r="O3137" s="12"/>
      <c r="P3137" s="13">
        <f>IFERROR(__xludf.DUMMYFUNCTION("VALUE(SUBSTITUTE((INDEX(SPLIT(A3137,"",""),1)),""."","","",1))"),55.832945)</f>
        <v>55.832945</v>
      </c>
      <c r="Q3137" s="13">
        <f>IFERROR(__xludf.DUMMYFUNCTION("VALUE(SUBSTITUTE((INDEX(SPLIT(A3137,"",""),2)),""."","","",1))"),49.044852)</f>
        <v>49.044852</v>
      </c>
      <c r="R3137" s="14" t="b">
        <f t="shared" si="1"/>
        <v>0</v>
      </c>
      <c r="S3137" s="14" t="str">
        <f t="shared" si="2"/>
        <v>55.832945,49.044852</v>
      </c>
      <c r="T3137" s="12"/>
    </row>
    <row r="3138">
      <c r="A3138" s="18" t="s">
        <v>20293</v>
      </c>
      <c r="B3138" s="8" t="s">
        <v>20294</v>
      </c>
      <c r="C3138" s="8" t="s">
        <v>20295</v>
      </c>
      <c r="D3138" s="8" t="s">
        <v>16</v>
      </c>
      <c r="E3138" s="19" t="s">
        <v>20296</v>
      </c>
      <c r="F3138" s="8" t="s">
        <v>13482</v>
      </c>
      <c r="G3138" s="8">
        <v>23.61</v>
      </c>
      <c r="H3138" s="8"/>
      <c r="I3138" s="8"/>
      <c r="J3138" s="8" t="s">
        <v>20297</v>
      </c>
      <c r="K3138" s="8" t="s">
        <v>20298</v>
      </c>
      <c r="L3138" s="8"/>
      <c r="M3138" s="8"/>
      <c r="N3138" s="12"/>
      <c r="O3138" s="12"/>
      <c r="P3138" s="13">
        <f>IFERROR(__xludf.DUMMYFUNCTION("VALUE(SUBSTITUTE((INDEX(SPLIT(A3138,"",""),1)),""."","","",1))"),55.797159)</f>
        <v>55.797159</v>
      </c>
      <c r="Q3138" s="13">
        <f>IFERROR(__xludf.DUMMYFUNCTION("VALUE(SUBSTITUTE((INDEX(SPLIT(A3138,"",""),2)),""."","","",1))"),49.050943)</f>
        <v>49.050943</v>
      </c>
      <c r="R3138" s="14" t="b">
        <f t="shared" si="1"/>
        <v>0</v>
      </c>
      <c r="S3138" s="14" t="str">
        <f t="shared" si="2"/>
        <v>55.797159,49.050943</v>
      </c>
      <c r="T3138" s="12"/>
    </row>
    <row r="3139">
      <c r="A3139" s="20" t="s">
        <v>20299</v>
      </c>
      <c r="B3139" s="16" t="s">
        <v>20300</v>
      </c>
      <c r="C3139" s="16" t="s">
        <v>20301</v>
      </c>
      <c r="D3139" s="16" t="s">
        <v>16</v>
      </c>
      <c r="E3139" s="21" t="s">
        <v>20302</v>
      </c>
      <c r="F3139" s="22" t="s">
        <v>12912</v>
      </c>
      <c r="G3139" s="16">
        <v>23.61</v>
      </c>
      <c r="H3139" s="16"/>
      <c r="I3139" s="22"/>
      <c r="J3139" s="22" t="s">
        <v>20303</v>
      </c>
      <c r="K3139" s="22" t="s">
        <v>20304</v>
      </c>
      <c r="L3139" s="30" t="s">
        <v>20305</v>
      </c>
      <c r="M3139" s="22"/>
      <c r="N3139" s="12"/>
      <c r="O3139" s="12"/>
      <c r="P3139" s="13">
        <f>IFERROR(__xludf.DUMMYFUNCTION("VALUE(SUBSTITUTE((INDEX(SPLIT(A3139,"",""),1)),""."","","",1))"),55.847083)</f>
        <v>55.847083</v>
      </c>
      <c r="Q3139" s="13">
        <f>IFERROR(__xludf.DUMMYFUNCTION("VALUE(SUBSTITUTE((INDEX(SPLIT(A3139,"",""),2)),""."","","",1))"),49.051069)</f>
        <v>49.051069</v>
      </c>
      <c r="R3139" s="14" t="b">
        <f t="shared" si="1"/>
        <v>0</v>
      </c>
      <c r="S3139" s="14" t="str">
        <f t="shared" si="2"/>
        <v>55.847083,49.051069</v>
      </c>
      <c r="T3139" s="12"/>
    </row>
    <row r="3140">
      <c r="A3140" s="7" t="s">
        <v>20306</v>
      </c>
      <c r="B3140" s="8" t="s">
        <v>20307</v>
      </c>
      <c r="C3140" s="8" t="s">
        <v>20308</v>
      </c>
      <c r="D3140" s="8" t="s">
        <v>16</v>
      </c>
      <c r="E3140" s="9" t="s">
        <v>20309</v>
      </c>
      <c r="F3140" s="10" t="s">
        <v>13482</v>
      </c>
      <c r="G3140" s="8">
        <v>23.61</v>
      </c>
      <c r="H3140" s="8"/>
      <c r="I3140" s="10"/>
      <c r="J3140" s="10" t="s">
        <v>20310</v>
      </c>
      <c r="K3140" s="10" t="s">
        <v>20311</v>
      </c>
      <c r="L3140" s="11" t="s">
        <v>20312</v>
      </c>
      <c r="M3140" s="11" t="s">
        <v>20313</v>
      </c>
      <c r="N3140" s="12"/>
      <c r="O3140" s="12"/>
      <c r="P3140" s="13">
        <f>IFERROR(__xludf.DUMMYFUNCTION("VALUE(SUBSTITUTE((INDEX(SPLIT(A3140,"",""),1)),""."","","",1))"),55.884671)</f>
        <v>55.884671</v>
      </c>
      <c r="Q3140" s="13">
        <f>IFERROR(__xludf.DUMMYFUNCTION("VALUE(SUBSTITUTE((INDEX(SPLIT(A3140,"",""),2)),""."","","",1))"),49.054015)</f>
        <v>49.054015</v>
      </c>
      <c r="R3140" s="14" t="b">
        <f t="shared" si="1"/>
        <v>0</v>
      </c>
      <c r="S3140" s="14" t="str">
        <f t="shared" si="2"/>
        <v>55.884671,49.054015</v>
      </c>
      <c r="T3140" s="12"/>
    </row>
    <row r="3141">
      <c r="A3141" s="15" t="s">
        <v>20314</v>
      </c>
      <c r="B3141" s="16" t="s">
        <v>20315</v>
      </c>
      <c r="C3141" s="16" t="s">
        <v>20316</v>
      </c>
      <c r="D3141" s="16" t="s">
        <v>16</v>
      </c>
      <c r="E3141" s="17" t="s">
        <v>20317</v>
      </c>
      <c r="F3141" s="16" t="s">
        <v>13482</v>
      </c>
      <c r="G3141" s="16">
        <v>23.61</v>
      </c>
      <c r="H3141" s="16"/>
      <c r="I3141" s="16"/>
      <c r="J3141" s="16" t="s">
        <v>20318</v>
      </c>
      <c r="K3141" s="16" t="s">
        <v>20319</v>
      </c>
      <c r="L3141" s="16"/>
      <c r="M3141" s="25" t="s">
        <v>20320</v>
      </c>
      <c r="N3141" s="12"/>
      <c r="O3141" s="12"/>
      <c r="P3141" s="13">
        <f>IFERROR(__xludf.DUMMYFUNCTION("VALUE(SUBSTITUTE((INDEX(SPLIT(A3141,"",""),1)),""."","","",1))"),55.831393)</f>
        <v>55.831393</v>
      </c>
      <c r="Q3141" s="13">
        <f>IFERROR(__xludf.DUMMYFUNCTION("VALUE(SUBSTITUTE((INDEX(SPLIT(A3141,"",""),2)),""."","","",1))"),49.055417)</f>
        <v>49.055417</v>
      </c>
      <c r="R3141" s="14" t="b">
        <f t="shared" si="1"/>
        <v>0</v>
      </c>
      <c r="S3141" s="14" t="str">
        <f t="shared" si="2"/>
        <v>55.831393,49.055417</v>
      </c>
      <c r="T3141" s="12"/>
    </row>
    <row r="3142">
      <c r="A3142" s="18" t="s">
        <v>20321</v>
      </c>
      <c r="B3142" s="8" t="s">
        <v>20322</v>
      </c>
      <c r="C3142" s="8" t="s">
        <v>20323</v>
      </c>
      <c r="D3142" s="8" t="s">
        <v>16</v>
      </c>
      <c r="E3142" s="19" t="s">
        <v>20324</v>
      </c>
      <c r="F3142" s="8" t="s">
        <v>13482</v>
      </c>
      <c r="G3142" s="8">
        <v>23.61</v>
      </c>
      <c r="H3142" s="8"/>
      <c r="I3142" s="8"/>
      <c r="J3142" s="8" t="s">
        <v>20325</v>
      </c>
      <c r="K3142" s="8" t="s">
        <v>20326</v>
      </c>
      <c r="L3142" s="8"/>
      <c r="M3142" s="24" t="s">
        <v>20327</v>
      </c>
      <c r="N3142" s="12"/>
      <c r="O3142" s="12"/>
      <c r="P3142" s="13">
        <f>IFERROR(__xludf.DUMMYFUNCTION("VALUE(SUBSTITUTE((INDEX(SPLIT(A3142,"",""),1)),""."","","",1))"),55.797685)</f>
        <v>55.797685</v>
      </c>
      <c r="Q3142" s="13">
        <f>IFERROR(__xludf.DUMMYFUNCTION("VALUE(SUBSTITUTE((INDEX(SPLIT(A3142,"",""),2)),""."","","",1))"),49.05707)</f>
        <v>49.05707</v>
      </c>
      <c r="R3142" s="14" t="b">
        <f t="shared" si="1"/>
        <v>0</v>
      </c>
      <c r="S3142" s="14" t="str">
        <f t="shared" si="2"/>
        <v>55.797685,49.05707</v>
      </c>
      <c r="T3142" s="12"/>
    </row>
    <row r="3143">
      <c r="A3143" s="15" t="s">
        <v>20328</v>
      </c>
      <c r="B3143" s="16" t="s">
        <v>20329</v>
      </c>
      <c r="C3143" s="16" t="s">
        <v>20330</v>
      </c>
      <c r="D3143" s="16" t="s">
        <v>16</v>
      </c>
      <c r="E3143" s="17" t="s">
        <v>20331</v>
      </c>
      <c r="F3143" s="16" t="s">
        <v>13482</v>
      </c>
      <c r="G3143" s="16">
        <v>23.61</v>
      </c>
      <c r="H3143" s="16"/>
      <c r="I3143" s="16"/>
      <c r="J3143" s="16" t="s">
        <v>20332</v>
      </c>
      <c r="K3143" s="16" t="s">
        <v>20333</v>
      </c>
      <c r="L3143" s="16"/>
      <c r="M3143" s="16"/>
      <c r="N3143" s="12"/>
      <c r="O3143" s="12"/>
      <c r="P3143" s="13">
        <f>IFERROR(__xludf.DUMMYFUNCTION("VALUE(SUBSTITUTE((INDEX(SPLIT(A3143,"",""),1)),""."","","",1))"),55.805022)</f>
        <v>55.805022</v>
      </c>
      <c r="Q3143" s="13">
        <f>IFERROR(__xludf.DUMMYFUNCTION("VALUE(SUBSTITUTE((INDEX(SPLIT(A3143,"",""),2)),""."","","",1))"),49.059154)</f>
        <v>49.059154</v>
      </c>
      <c r="R3143" s="14" t="b">
        <f t="shared" si="1"/>
        <v>0</v>
      </c>
      <c r="S3143" s="14" t="str">
        <f t="shared" si="2"/>
        <v>55.805022,49.059154</v>
      </c>
      <c r="T3143" s="12"/>
    </row>
    <row r="3144">
      <c r="A3144" s="7" t="s">
        <v>20334</v>
      </c>
      <c r="B3144" s="8" t="s">
        <v>20335</v>
      </c>
      <c r="C3144" s="8" t="s">
        <v>20336</v>
      </c>
      <c r="D3144" s="8" t="s">
        <v>16</v>
      </c>
      <c r="E3144" s="9" t="s">
        <v>20337</v>
      </c>
      <c r="F3144" s="10" t="s">
        <v>12912</v>
      </c>
      <c r="G3144" s="8">
        <v>23.61</v>
      </c>
      <c r="H3144" s="8"/>
      <c r="I3144" s="10"/>
      <c r="J3144" s="10" t="s">
        <v>20338</v>
      </c>
      <c r="K3144" s="10" t="s">
        <v>20339</v>
      </c>
      <c r="L3144" s="11" t="s">
        <v>20340</v>
      </c>
      <c r="M3144" s="11" t="s">
        <v>20341</v>
      </c>
      <c r="N3144" s="12"/>
      <c r="O3144" s="12"/>
      <c r="P3144" s="13">
        <f>IFERROR(__xludf.DUMMYFUNCTION("VALUE(SUBSTITUTE((INDEX(SPLIT(A3144,"",""),1)),""."","","",1))"),55.799851)</f>
        <v>55.799851</v>
      </c>
      <c r="Q3144" s="13">
        <f>IFERROR(__xludf.DUMMYFUNCTION("VALUE(SUBSTITUTE((INDEX(SPLIT(A3144,"",""),2)),""."","","",1))"),49.064166)</f>
        <v>49.064166</v>
      </c>
      <c r="R3144" s="14" t="b">
        <f t="shared" si="1"/>
        <v>0</v>
      </c>
      <c r="S3144" s="14" t="str">
        <f t="shared" si="2"/>
        <v>55.799851,49.064166</v>
      </c>
      <c r="T3144" s="12"/>
    </row>
    <row r="3145">
      <c r="A3145" s="15" t="s">
        <v>20342</v>
      </c>
      <c r="B3145" s="16" t="s">
        <v>20343</v>
      </c>
      <c r="C3145" s="16" t="s">
        <v>20344</v>
      </c>
      <c r="D3145" s="16" t="s">
        <v>16</v>
      </c>
      <c r="E3145" s="17" t="s">
        <v>20345</v>
      </c>
      <c r="F3145" s="16" t="s">
        <v>16443</v>
      </c>
      <c r="G3145" s="16">
        <v>23.61</v>
      </c>
      <c r="H3145" s="16"/>
      <c r="I3145" s="16"/>
      <c r="J3145" s="16" t="s">
        <v>20346</v>
      </c>
      <c r="K3145" s="16" t="s">
        <v>20347</v>
      </c>
      <c r="L3145" s="16"/>
      <c r="M3145" s="16"/>
      <c r="N3145" s="12"/>
      <c r="O3145" s="12"/>
      <c r="P3145" s="13">
        <f>IFERROR(__xludf.DUMMYFUNCTION("VALUE(SUBSTITUTE((INDEX(SPLIT(A3145,"",""),1)),""."","","",1))"),55.809601)</f>
        <v>55.809601</v>
      </c>
      <c r="Q3145" s="13">
        <f>IFERROR(__xludf.DUMMYFUNCTION("VALUE(SUBSTITUTE((INDEX(SPLIT(A3145,"",""),2)),""."","","",1))"),49.067086)</f>
        <v>49.067086</v>
      </c>
      <c r="R3145" s="14" t="b">
        <f t="shared" si="1"/>
        <v>0</v>
      </c>
      <c r="S3145" s="14" t="str">
        <f t="shared" si="2"/>
        <v>55.809601,49.067086</v>
      </c>
      <c r="T3145" s="12"/>
    </row>
    <row r="3146">
      <c r="A3146" s="18" t="s">
        <v>20348</v>
      </c>
      <c r="B3146" s="8" t="s">
        <v>20349</v>
      </c>
      <c r="C3146" s="8" t="s">
        <v>20350</v>
      </c>
      <c r="D3146" s="8" t="s">
        <v>16</v>
      </c>
      <c r="E3146" s="19" t="s">
        <v>20351</v>
      </c>
      <c r="F3146" s="8" t="s">
        <v>13482</v>
      </c>
      <c r="G3146" s="8">
        <v>23.61</v>
      </c>
      <c r="H3146" s="8"/>
      <c r="I3146" s="8"/>
      <c r="J3146" s="8" t="s">
        <v>20352</v>
      </c>
      <c r="K3146" s="8" t="s">
        <v>20353</v>
      </c>
      <c r="L3146" s="8"/>
      <c r="M3146" s="8"/>
      <c r="N3146" s="12"/>
      <c r="O3146" s="12"/>
      <c r="P3146" s="13">
        <f>IFERROR(__xludf.DUMMYFUNCTION("VALUE(SUBSTITUTE((INDEX(SPLIT(A3146,"",""),1)),""."","","",1))"),55.823383)</f>
        <v>55.823383</v>
      </c>
      <c r="Q3146" s="13">
        <f>IFERROR(__xludf.DUMMYFUNCTION("VALUE(SUBSTITUTE((INDEX(SPLIT(A3146,"",""),2)),""."","","",1))"),49.069358)</f>
        <v>49.069358</v>
      </c>
      <c r="R3146" s="14" t="b">
        <f t="shared" si="1"/>
        <v>0</v>
      </c>
      <c r="S3146" s="14" t="str">
        <f t="shared" si="2"/>
        <v>55.823383,49.069358</v>
      </c>
      <c r="T3146" s="12"/>
    </row>
    <row r="3147">
      <c r="A3147" s="20" t="s">
        <v>20354</v>
      </c>
      <c r="B3147" s="16" t="s">
        <v>20355</v>
      </c>
      <c r="C3147" s="16" t="s">
        <v>20356</v>
      </c>
      <c r="D3147" s="16" t="s">
        <v>16</v>
      </c>
      <c r="E3147" s="21" t="s">
        <v>20357</v>
      </c>
      <c r="F3147" s="22" t="s">
        <v>13482</v>
      </c>
      <c r="G3147" s="16">
        <v>23.61</v>
      </c>
      <c r="H3147" s="16"/>
      <c r="I3147" s="22"/>
      <c r="J3147" s="22" t="s">
        <v>20358</v>
      </c>
      <c r="K3147" s="22" t="s">
        <v>20359</v>
      </c>
      <c r="L3147" s="23" t="s">
        <v>20360</v>
      </c>
      <c r="M3147" s="23" t="s">
        <v>20361</v>
      </c>
      <c r="N3147" s="12"/>
      <c r="O3147" s="12"/>
      <c r="P3147" s="13">
        <f>IFERROR(__xludf.DUMMYFUNCTION("VALUE(SUBSTITUTE((INDEX(SPLIT(A3147,"",""),1)),""."","","",1))"),55.845062)</f>
        <v>55.845062</v>
      </c>
      <c r="Q3147" s="13">
        <f>IFERROR(__xludf.DUMMYFUNCTION("VALUE(SUBSTITUTE((INDEX(SPLIT(A3147,"",""),2)),""."","","",1))"),49.082079)</f>
        <v>49.082079</v>
      </c>
      <c r="R3147" s="14" t="b">
        <f t="shared" si="1"/>
        <v>0</v>
      </c>
      <c r="S3147" s="14" t="str">
        <f t="shared" si="2"/>
        <v>55.845062,49.082079</v>
      </c>
      <c r="T3147" s="12"/>
    </row>
    <row r="3148">
      <c r="A3148" s="18" t="s">
        <v>20362</v>
      </c>
      <c r="B3148" s="8" t="s">
        <v>20363</v>
      </c>
      <c r="C3148" s="8" t="s">
        <v>20364</v>
      </c>
      <c r="D3148" s="8" t="s">
        <v>16</v>
      </c>
      <c r="E3148" s="19" t="s">
        <v>20365</v>
      </c>
      <c r="F3148" s="8" t="s">
        <v>16443</v>
      </c>
      <c r="G3148" s="8">
        <v>23.61</v>
      </c>
      <c r="H3148" s="8"/>
      <c r="I3148" s="8"/>
      <c r="J3148" s="8" t="s">
        <v>20366</v>
      </c>
      <c r="K3148" s="8" t="s">
        <v>20367</v>
      </c>
      <c r="L3148" s="8"/>
      <c r="M3148" s="8"/>
      <c r="N3148" s="12"/>
      <c r="O3148" s="12"/>
      <c r="P3148" s="13">
        <f>IFERROR(__xludf.DUMMYFUNCTION("VALUE(SUBSTITUTE((INDEX(SPLIT(A3148,"",""),1)),""."","","",1))"),55.858412)</f>
        <v>55.858412</v>
      </c>
      <c r="Q3148" s="13">
        <f>IFERROR(__xludf.DUMMYFUNCTION("VALUE(SUBSTITUTE((INDEX(SPLIT(A3148,"",""),2)),""."","","",1))"),49.082663)</f>
        <v>49.082663</v>
      </c>
      <c r="R3148" s="14" t="b">
        <f t="shared" si="1"/>
        <v>0</v>
      </c>
      <c r="S3148" s="14" t="str">
        <f t="shared" si="2"/>
        <v>55.858412,49.082663</v>
      </c>
      <c r="T3148" s="12"/>
    </row>
    <row r="3149">
      <c r="A3149" s="15" t="s">
        <v>20368</v>
      </c>
      <c r="B3149" s="16" t="s">
        <v>20369</v>
      </c>
      <c r="C3149" s="16" t="s">
        <v>20370</v>
      </c>
      <c r="D3149" s="16" t="s">
        <v>16</v>
      </c>
      <c r="E3149" s="17" t="s">
        <v>20371</v>
      </c>
      <c r="F3149" s="16" t="s">
        <v>16443</v>
      </c>
      <c r="G3149" s="16">
        <v>23.61</v>
      </c>
      <c r="H3149" s="16"/>
      <c r="I3149" s="16"/>
      <c r="J3149" s="16" t="s">
        <v>20372</v>
      </c>
      <c r="K3149" s="16" t="s">
        <v>20373</v>
      </c>
      <c r="L3149" s="16"/>
      <c r="M3149" s="16"/>
      <c r="N3149" s="12"/>
      <c r="O3149" s="12"/>
      <c r="P3149" s="13">
        <f>IFERROR(__xludf.DUMMYFUNCTION("VALUE(SUBSTITUTE((INDEX(SPLIT(A3149,"",""),1)),""."","","",1))"),55.869162)</f>
        <v>55.869162</v>
      </c>
      <c r="Q3149" s="13">
        <f>IFERROR(__xludf.DUMMYFUNCTION("VALUE(SUBSTITUTE((INDEX(SPLIT(A3149,"",""),2)),""."","","",1))"),49.082797)</f>
        <v>49.082797</v>
      </c>
      <c r="R3149" s="14" t="b">
        <f t="shared" si="1"/>
        <v>0</v>
      </c>
      <c r="S3149" s="14" t="str">
        <f t="shared" si="2"/>
        <v>55.869162,49.082797</v>
      </c>
      <c r="T3149" s="12"/>
    </row>
    <row r="3150">
      <c r="A3150" s="18" t="s">
        <v>20374</v>
      </c>
      <c r="B3150" s="8" t="s">
        <v>20375</v>
      </c>
      <c r="C3150" s="8" t="s">
        <v>20376</v>
      </c>
      <c r="D3150" s="8" t="s">
        <v>16</v>
      </c>
      <c r="E3150" s="19" t="s">
        <v>20377</v>
      </c>
      <c r="F3150" s="8" t="s">
        <v>16443</v>
      </c>
      <c r="G3150" s="8">
        <v>23.61</v>
      </c>
      <c r="H3150" s="8"/>
      <c r="I3150" s="8"/>
      <c r="J3150" s="8" t="s">
        <v>20378</v>
      </c>
      <c r="K3150" s="8" t="s">
        <v>20379</v>
      </c>
      <c r="L3150" s="8"/>
      <c r="M3150" s="8"/>
      <c r="N3150" s="12"/>
      <c r="O3150" s="12"/>
      <c r="P3150" s="13">
        <f>IFERROR(__xludf.DUMMYFUNCTION("VALUE(SUBSTITUTE((INDEX(SPLIT(A3150,"",""),1)),""."","","",1))"),55.814659)</f>
        <v>55.814659</v>
      </c>
      <c r="Q3150" s="13">
        <f>IFERROR(__xludf.DUMMYFUNCTION("VALUE(SUBSTITUTE((INDEX(SPLIT(A3150,"",""),2)),""."","","",1))"),49.087756)</f>
        <v>49.087756</v>
      </c>
      <c r="R3150" s="14" t="b">
        <f t="shared" si="1"/>
        <v>0</v>
      </c>
      <c r="S3150" s="14" t="str">
        <f t="shared" si="2"/>
        <v>55.814659,49.087756</v>
      </c>
      <c r="T3150" s="12"/>
    </row>
    <row r="3151">
      <c r="A3151" s="15" t="s">
        <v>20380</v>
      </c>
      <c r="B3151" s="16" t="s">
        <v>20381</v>
      </c>
      <c r="C3151" s="16" t="s">
        <v>20382</v>
      </c>
      <c r="D3151" s="16" t="s">
        <v>16</v>
      </c>
      <c r="E3151" s="17" t="s">
        <v>20383</v>
      </c>
      <c r="F3151" s="16" t="s">
        <v>17071</v>
      </c>
      <c r="G3151" s="16">
        <v>23.61</v>
      </c>
      <c r="H3151" s="16"/>
      <c r="I3151" s="16"/>
      <c r="J3151" s="16" t="s">
        <v>20384</v>
      </c>
      <c r="K3151" s="16" t="s">
        <v>20385</v>
      </c>
      <c r="L3151" s="16"/>
      <c r="M3151" s="25" t="s">
        <v>20386</v>
      </c>
      <c r="N3151" s="12"/>
      <c r="O3151" s="12"/>
      <c r="P3151" s="13">
        <f>IFERROR(__xludf.DUMMYFUNCTION("VALUE(SUBSTITUTE((INDEX(SPLIT(A3151,"",""),1)),""."","","",1))"),55.733077)</f>
        <v>55.733077</v>
      </c>
      <c r="Q3151" s="13">
        <f>IFERROR(__xludf.DUMMYFUNCTION("VALUE(SUBSTITUTE((INDEX(SPLIT(A3151,"",""),2)),""."","","",1))"),49.092526)</f>
        <v>49.092526</v>
      </c>
      <c r="R3151" s="14" t="b">
        <f t="shared" si="1"/>
        <v>0</v>
      </c>
      <c r="S3151" s="14" t="str">
        <f t="shared" si="2"/>
        <v>55.733077,49.092526</v>
      </c>
      <c r="T3151" s="12"/>
    </row>
    <row r="3152">
      <c r="A3152" s="7" t="s">
        <v>20387</v>
      </c>
      <c r="B3152" s="8" t="s">
        <v>20388</v>
      </c>
      <c r="C3152" s="8" t="s">
        <v>20389</v>
      </c>
      <c r="D3152" s="8" t="s">
        <v>16</v>
      </c>
      <c r="E3152" s="9" t="s">
        <v>20390</v>
      </c>
      <c r="F3152" s="10" t="s">
        <v>17071</v>
      </c>
      <c r="G3152" s="8">
        <v>23.61</v>
      </c>
      <c r="H3152" s="8"/>
      <c r="I3152" s="10"/>
      <c r="J3152" s="10" t="s">
        <v>20391</v>
      </c>
      <c r="K3152" s="10" t="s">
        <v>20392</v>
      </c>
      <c r="L3152" s="11" t="s">
        <v>20393</v>
      </c>
      <c r="M3152" s="11" t="s">
        <v>20394</v>
      </c>
      <c r="N3152" s="12"/>
      <c r="O3152" s="12"/>
      <c r="P3152" s="13">
        <f>IFERROR(__xludf.DUMMYFUNCTION("VALUE(SUBSTITUTE((INDEX(SPLIT(A3152,"",""),1)),""."","","",1))"),55.867086)</f>
        <v>55.867086</v>
      </c>
      <c r="Q3152" s="13">
        <f>IFERROR(__xludf.DUMMYFUNCTION("VALUE(SUBSTITUTE((INDEX(SPLIT(A3152,"",""),2)),""."","","",1))"),49.095481)</f>
        <v>49.095481</v>
      </c>
      <c r="R3152" s="14" t="b">
        <f t="shared" si="1"/>
        <v>0</v>
      </c>
      <c r="S3152" s="14" t="str">
        <f t="shared" si="2"/>
        <v>55.867086,49.095481</v>
      </c>
      <c r="T3152" s="12"/>
    </row>
    <row r="3153">
      <c r="A3153" s="20" t="s">
        <v>20395</v>
      </c>
      <c r="B3153" s="16" t="s">
        <v>20396</v>
      </c>
      <c r="C3153" s="16" t="s">
        <v>20397</v>
      </c>
      <c r="D3153" s="16" t="s">
        <v>16</v>
      </c>
      <c r="E3153" s="21" t="s">
        <v>20398</v>
      </c>
      <c r="F3153" s="22" t="s">
        <v>13482</v>
      </c>
      <c r="G3153" s="16">
        <v>23.61</v>
      </c>
      <c r="H3153" s="16"/>
      <c r="I3153" s="22"/>
      <c r="J3153" s="22" t="s">
        <v>20399</v>
      </c>
      <c r="K3153" s="22" t="s">
        <v>20400</v>
      </c>
      <c r="L3153" s="23" t="s">
        <v>20401</v>
      </c>
      <c r="M3153" s="23" t="s">
        <v>20402</v>
      </c>
      <c r="N3153" s="12"/>
      <c r="O3153" s="12"/>
      <c r="P3153" s="13">
        <f>IFERROR(__xludf.DUMMYFUNCTION("VALUE(SUBSTITUTE((INDEX(SPLIT(A3153,"",""),1)),""."","","",1))"),55.856508)</f>
        <v>55.856508</v>
      </c>
      <c r="Q3153" s="13">
        <f>IFERROR(__xludf.DUMMYFUNCTION("VALUE(SUBSTITUTE((INDEX(SPLIT(A3153,"",""),2)),""."","","",1))"),49.098958)</f>
        <v>49.098958</v>
      </c>
      <c r="R3153" s="14" t="b">
        <f t="shared" si="1"/>
        <v>0</v>
      </c>
      <c r="S3153" s="14" t="str">
        <f t="shared" si="2"/>
        <v>55.856508,49.098958</v>
      </c>
      <c r="T3153" s="12"/>
    </row>
    <row r="3154">
      <c r="A3154" s="7" t="s">
        <v>20395</v>
      </c>
      <c r="B3154" s="8" t="s">
        <v>20403</v>
      </c>
      <c r="C3154" s="8" t="s">
        <v>20404</v>
      </c>
      <c r="D3154" s="8" t="s">
        <v>16</v>
      </c>
      <c r="E3154" s="9" t="s">
        <v>20405</v>
      </c>
      <c r="F3154" s="10" t="s">
        <v>12912</v>
      </c>
      <c r="G3154" s="8">
        <v>23.61</v>
      </c>
      <c r="H3154" s="8"/>
      <c r="I3154" s="10"/>
      <c r="J3154" s="10" t="s">
        <v>20406</v>
      </c>
      <c r="K3154" s="10" t="s">
        <v>20407</v>
      </c>
      <c r="L3154" s="29" t="s">
        <v>20408</v>
      </c>
      <c r="M3154" s="10"/>
      <c r="N3154" s="12"/>
      <c r="O3154" s="12"/>
      <c r="P3154" s="13">
        <f>IFERROR(__xludf.DUMMYFUNCTION("VALUE(SUBSTITUTE((INDEX(SPLIT(A3154,"",""),1)),""."","","",1))"),55.856508)</f>
        <v>55.856508</v>
      </c>
      <c r="Q3154" s="13">
        <f>IFERROR(__xludf.DUMMYFUNCTION("VALUE(SUBSTITUTE((INDEX(SPLIT(A3154,"",""),2)),""."","","",1))"),49.098958)</f>
        <v>49.098958</v>
      </c>
      <c r="R3154" s="14" t="b">
        <f t="shared" si="1"/>
        <v>0</v>
      </c>
      <c r="S3154" s="14" t="str">
        <f t="shared" si="2"/>
        <v>55.856508,49.098958</v>
      </c>
      <c r="T3154" s="12"/>
    </row>
    <row r="3155">
      <c r="A3155" s="15" t="s">
        <v>20395</v>
      </c>
      <c r="B3155" s="16" t="s">
        <v>20409</v>
      </c>
      <c r="C3155" s="16" t="s">
        <v>20410</v>
      </c>
      <c r="D3155" s="16" t="s">
        <v>16</v>
      </c>
      <c r="E3155" s="17" t="s">
        <v>20411</v>
      </c>
      <c r="F3155" s="16" t="s">
        <v>13482</v>
      </c>
      <c r="G3155" s="16">
        <v>23.61</v>
      </c>
      <c r="H3155" s="16"/>
      <c r="I3155" s="16"/>
      <c r="J3155" s="16" t="s">
        <v>20412</v>
      </c>
      <c r="K3155" s="16" t="s">
        <v>20413</v>
      </c>
      <c r="L3155" s="16"/>
      <c r="M3155" s="25" t="s">
        <v>20414</v>
      </c>
      <c r="N3155" s="12"/>
      <c r="O3155" s="12"/>
      <c r="P3155" s="13">
        <f>IFERROR(__xludf.DUMMYFUNCTION("VALUE(SUBSTITUTE((INDEX(SPLIT(A3155,"",""),1)),""."","","",1))"),55.856508)</f>
        <v>55.856508</v>
      </c>
      <c r="Q3155" s="13">
        <f>IFERROR(__xludf.DUMMYFUNCTION("VALUE(SUBSTITUTE((INDEX(SPLIT(A3155,"",""),2)),""."","","",1))"),49.098958)</f>
        <v>49.098958</v>
      </c>
      <c r="R3155" s="14" t="b">
        <f t="shared" si="1"/>
        <v>0</v>
      </c>
      <c r="S3155" s="14" t="str">
        <f t="shared" si="2"/>
        <v>55.856508,49.098958</v>
      </c>
      <c r="T3155" s="12"/>
    </row>
    <row r="3156">
      <c r="A3156" s="18" t="s">
        <v>20395</v>
      </c>
      <c r="B3156" s="8" t="s">
        <v>20415</v>
      </c>
      <c r="C3156" s="8" t="s">
        <v>20416</v>
      </c>
      <c r="D3156" s="8" t="s">
        <v>16</v>
      </c>
      <c r="E3156" s="19" t="s">
        <v>20417</v>
      </c>
      <c r="F3156" s="8" t="s">
        <v>16443</v>
      </c>
      <c r="G3156" s="8">
        <v>23.61</v>
      </c>
      <c r="H3156" s="8"/>
      <c r="I3156" s="8"/>
      <c r="J3156" s="8" t="s">
        <v>20418</v>
      </c>
      <c r="K3156" s="8" t="s">
        <v>20419</v>
      </c>
      <c r="L3156" s="8"/>
      <c r="M3156" s="8"/>
      <c r="N3156" s="12"/>
      <c r="O3156" s="12"/>
      <c r="P3156" s="13">
        <f>IFERROR(__xludf.DUMMYFUNCTION("VALUE(SUBSTITUTE((INDEX(SPLIT(A3156,"",""),1)),""."","","",1))"),55.856508)</f>
        <v>55.856508</v>
      </c>
      <c r="Q3156" s="13">
        <f>IFERROR(__xludf.DUMMYFUNCTION("VALUE(SUBSTITUTE((INDEX(SPLIT(A3156,"",""),2)),""."","","",1))"),49.098958)</f>
        <v>49.098958</v>
      </c>
      <c r="R3156" s="14" t="b">
        <f t="shared" si="1"/>
        <v>0</v>
      </c>
      <c r="S3156" s="14" t="str">
        <f t="shared" si="2"/>
        <v>55.856508,49.098958</v>
      </c>
      <c r="T3156" s="12"/>
    </row>
    <row r="3157">
      <c r="A3157" s="20" t="s">
        <v>20420</v>
      </c>
      <c r="B3157" s="16" t="s">
        <v>20421</v>
      </c>
      <c r="C3157" s="16" t="s">
        <v>20422</v>
      </c>
      <c r="D3157" s="16" t="s">
        <v>16</v>
      </c>
      <c r="E3157" s="21" t="s">
        <v>20423</v>
      </c>
      <c r="F3157" s="22" t="s">
        <v>13482</v>
      </c>
      <c r="G3157" s="16">
        <v>23.61</v>
      </c>
      <c r="H3157" s="16"/>
      <c r="I3157" s="22"/>
      <c r="J3157" s="22" t="s">
        <v>20424</v>
      </c>
      <c r="K3157" s="22" t="s">
        <v>20425</v>
      </c>
      <c r="L3157" s="23" t="s">
        <v>20426</v>
      </c>
      <c r="M3157" s="23" t="s">
        <v>20427</v>
      </c>
      <c r="N3157" s="12"/>
      <c r="O3157" s="12"/>
      <c r="P3157" s="13">
        <f>IFERROR(__xludf.DUMMYFUNCTION("VALUE(SUBSTITUTE((INDEX(SPLIT(A3157,"",""),1)),""."","","",1))"),55.733523)</f>
        <v>55.733523</v>
      </c>
      <c r="Q3157" s="13">
        <f>IFERROR(__xludf.DUMMYFUNCTION("VALUE(SUBSTITUTE((INDEX(SPLIT(A3157,"",""),2)),""."","","",1))"),49.099578)</f>
        <v>49.099578</v>
      </c>
      <c r="R3157" s="14" t="b">
        <f t="shared" si="1"/>
        <v>0</v>
      </c>
      <c r="S3157" s="14" t="str">
        <f t="shared" si="2"/>
        <v>55.733523,49.099578</v>
      </c>
      <c r="T3157" s="12"/>
    </row>
    <row r="3158">
      <c r="A3158" s="7" t="s">
        <v>20428</v>
      </c>
      <c r="B3158" s="8" t="s">
        <v>20429</v>
      </c>
      <c r="C3158" s="8" t="s">
        <v>20430</v>
      </c>
      <c r="D3158" s="8" t="s">
        <v>16</v>
      </c>
      <c r="E3158" s="9" t="s">
        <v>20431</v>
      </c>
      <c r="F3158" s="10" t="s">
        <v>16443</v>
      </c>
      <c r="G3158" s="8">
        <v>23.61</v>
      </c>
      <c r="H3158" s="8"/>
      <c r="I3158" s="10"/>
      <c r="J3158" s="10" t="s">
        <v>20432</v>
      </c>
      <c r="K3158" s="10" t="s">
        <v>20433</v>
      </c>
      <c r="L3158" s="11" t="s">
        <v>20434</v>
      </c>
      <c r="M3158" s="10"/>
      <c r="N3158" s="12"/>
      <c r="O3158" s="12"/>
      <c r="P3158" s="13">
        <f>IFERROR(__xludf.DUMMYFUNCTION("VALUE(SUBSTITUTE((INDEX(SPLIT(A3158,"",""),1)),""."","","",1))"),55.840083)</f>
        <v>55.840083</v>
      </c>
      <c r="Q3158" s="13">
        <f>IFERROR(__xludf.DUMMYFUNCTION("VALUE(SUBSTITUTE((INDEX(SPLIT(A3158,"",""),2)),""."","","",1))"),49.10027)</f>
        <v>49.10027</v>
      </c>
      <c r="R3158" s="14" t="b">
        <f t="shared" si="1"/>
        <v>0</v>
      </c>
      <c r="S3158" s="14" t="str">
        <f t="shared" si="2"/>
        <v>55.840083,49.10027</v>
      </c>
      <c r="T3158" s="12"/>
    </row>
    <row r="3159">
      <c r="A3159" s="20" t="s">
        <v>20435</v>
      </c>
      <c r="B3159" s="16" t="s">
        <v>20436</v>
      </c>
      <c r="C3159" s="16" t="s">
        <v>20437</v>
      </c>
      <c r="D3159" s="16" t="s">
        <v>16</v>
      </c>
      <c r="E3159" s="21" t="s">
        <v>20438</v>
      </c>
      <c r="F3159" s="22" t="s">
        <v>16443</v>
      </c>
      <c r="G3159" s="16">
        <v>23.61</v>
      </c>
      <c r="H3159" s="16"/>
      <c r="I3159" s="22"/>
      <c r="J3159" s="22" t="s">
        <v>20439</v>
      </c>
      <c r="K3159" s="22" t="s">
        <v>20440</v>
      </c>
      <c r="L3159" s="23" t="s">
        <v>20441</v>
      </c>
      <c r="M3159" s="22"/>
      <c r="N3159" s="12"/>
      <c r="O3159" s="12"/>
      <c r="P3159" s="13">
        <f>IFERROR(__xludf.DUMMYFUNCTION("VALUE(SUBSTITUTE((INDEX(SPLIT(A3159,"",""),1)),""."","","",1))"),55.828809)</f>
        <v>55.828809</v>
      </c>
      <c r="Q3159" s="13">
        <f>IFERROR(__xludf.DUMMYFUNCTION("VALUE(SUBSTITUTE((INDEX(SPLIT(A3159,"",""),2)),""."","","",1))"),49.101788)</f>
        <v>49.101788</v>
      </c>
      <c r="R3159" s="14" t="b">
        <f t="shared" si="1"/>
        <v>0</v>
      </c>
      <c r="S3159" s="14" t="str">
        <f t="shared" si="2"/>
        <v>55.828809,49.101788</v>
      </c>
      <c r="T3159" s="12"/>
    </row>
    <row r="3160">
      <c r="A3160" s="7" t="s">
        <v>20442</v>
      </c>
      <c r="B3160" s="8" t="s">
        <v>20443</v>
      </c>
      <c r="C3160" s="8" t="s">
        <v>20444</v>
      </c>
      <c r="D3160" s="8" t="s">
        <v>16</v>
      </c>
      <c r="E3160" s="9" t="s">
        <v>20445</v>
      </c>
      <c r="F3160" s="10" t="s">
        <v>16443</v>
      </c>
      <c r="G3160" s="8">
        <v>23.61</v>
      </c>
      <c r="H3160" s="8"/>
      <c r="I3160" s="10"/>
      <c r="J3160" s="10" t="s">
        <v>20446</v>
      </c>
      <c r="K3160" s="10" t="s">
        <v>20447</v>
      </c>
      <c r="L3160" s="11" t="s">
        <v>20448</v>
      </c>
      <c r="M3160" s="10"/>
      <c r="N3160" s="12"/>
      <c r="O3160" s="12"/>
      <c r="P3160" s="13">
        <f>IFERROR(__xludf.DUMMYFUNCTION("VALUE(SUBSTITUTE((INDEX(SPLIT(A3160,"",""),1)),""."","","",1))"),55.768248)</f>
        <v>55.768248</v>
      </c>
      <c r="Q3160" s="13">
        <f>IFERROR(__xludf.DUMMYFUNCTION("VALUE(SUBSTITUTE((INDEX(SPLIT(A3160,"",""),2)),""."","","",1))"),49.103755)</f>
        <v>49.103755</v>
      </c>
      <c r="R3160" s="14" t="b">
        <f t="shared" si="1"/>
        <v>0</v>
      </c>
      <c r="S3160" s="14" t="str">
        <f t="shared" si="2"/>
        <v>55.768248,49.103755</v>
      </c>
      <c r="T3160" s="12"/>
    </row>
    <row r="3161">
      <c r="A3161" s="15" t="s">
        <v>20449</v>
      </c>
      <c r="B3161" s="16" t="s">
        <v>20450</v>
      </c>
      <c r="C3161" s="16" t="s">
        <v>20451</v>
      </c>
      <c r="D3161" s="16" t="s">
        <v>16</v>
      </c>
      <c r="E3161" s="17" t="s">
        <v>20452</v>
      </c>
      <c r="F3161" s="16" t="s">
        <v>13482</v>
      </c>
      <c r="G3161" s="16">
        <v>23.61</v>
      </c>
      <c r="H3161" s="16"/>
      <c r="I3161" s="16"/>
      <c r="J3161" s="16" t="s">
        <v>20453</v>
      </c>
      <c r="K3161" s="16" t="s">
        <v>20454</v>
      </c>
      <c r="L3161" s="16"/>
      <c r="M3161" s="16"/>
      <c r="N3161" s="12"/>
      <c r="O3161" s="12"/>
      <c r="P3161" s="13">
        <f>IFERROR(__xludf.DUMMYFUNCTION("VALUE(SUBSTITUTE((INDEX(SPLIT(A3161,"",""),1)),""."","","",1))"),55.749294)</f>
        <v>55.749294</v>
      </c>
      <c r="Q3161" s="13">
        <f>IFERROR(__xludf.DUMMYFUNCTION("VALUE(SUBSTITUTE((INDEX(SPLIT(A3161,"",""),2)),""."","","",1))"),49.104258)</f>
        <v>49.104258</v>
      </c>
      <c r="R3161" s="14" t="b">
        <f t="shared" si="1"/>
        <v>0</v>
      </c>
      <c r="S3161" s="14" t="str">
        <f t="shared" si="2"/>
        <v>55.749294,49.104258</v>
      </c>
      <c r="T3161" s="12"/>
    </row>
    <row r="3162">
      <c r="A3162" s="18" t="s">
        <v>20449</v>
      </c>
      <c r="B3162" s="8" t="s">
        <v>20455</v>
      </c>
      <c r="C3162" s="8" t="s">
        <v>20456</v>
      </c>
      <c r="D3162" s="8" t="s">
        <v>16</v>
      </c>
      <c r="E3162" s="19" t="s">
        <v>20457</v>
      </c>
      <c r="F3162" s="8" t="s">
        <v>16443</v>
      </c>
      <c r="G3162" s="8">
        <v>23.61</v>
      </c>
      <c r="H3162" s="8"/>
      <c r="I3162" s="8"/>
      <c r="J3162" s="8" t="s">
        <v>20458</v>
      </c>
      <c r="K3162" s="8" t="s">
        <v>20459</v>
      </c>
      <c r="L3162" s="8"/>
      <c r="M3162" s="8"/>
      <c r="N3162" s="12"/>
      <c r="O3162" s="12"/>
      <c r="P3162" s="13">
        <f>IFERROR(__xludf.DUMMYFUNCTION("VALUE(SUBSTITUTE((INDEX(SPLIT(A3162,"",""),1)),""."","","",1))"),55.749294)</f>
        <v>55.749294</v>
      </c>
      <c r="Q3162" s="13">
        <f>IFERROR(__xludf.DUMMYFUNCTION("VALUE(SUBSTITUTE((INDEX(SPLIT(A3162,"",""),2)),""."","","",1))"),49.104258)</f>
        <v>49.104258</v>
      </c>
      <c r="R3162" s="14" t="b">
        <f t="shared" si="1"/>
        <v>0</v>
      </c>
      <c r="S3162" s="14" t="str">
        <f t="shared" si="2"/>
        <v>55.749294,49.104258</v>
      </c>
      <c r="T3162" s="12"/>
    </row>
    <row r="3163">
      <c r="A3163" s="15" t="s">
        <v>20460</v>
      </c>
      <c r="B3163" s="16" t="s">
        <v>20461</v>
      </c>
      <c r="C3163" s="16" t="s">
        <v>20462</v>
      </c>
      <c r="D3163" s="16" t="s">
        <v>16</v>
      </c>
      <c r="E3163" s="17" t="s">
        <v>20463</v>
      </c>
      <c r="F3163" s="16" t="s">
        <v>13482</v>
      </c>
      <c r="G3163" s="16">
        <v>23.61</v>
      </c>
      <c r="H3163" s="16"/>
      <c r="I3163" s="16"/>
      <c r="J3163" s="16" t="s">
        <v>20464</v>
      </c>
      <c r="K3163" s="16" t="s">
        <v>20465</v>
      </c>
      <c r="L3163" s="16"/>
      <c r="M3163" s="25" t="s">
        <v>20466</v>
      </c>
      <c r="N3163" s="12"/>
      <c r="O3163" s="12"/>
      <c r="P3163" s="13">
        <f>IFERROR(__xludf.DUMMYFUNCTION("VALUE(SUBSTITUTE((INDEX(SPLIT(A3163,"",""),1)),""."","","",1))"),55.745002)</f>
        <v>55.745002</v>
      </c>
      <c r="Q3163" s="13">
        <f>IFERROR(__xludf.DUMMYFUNCTION("VALUE(SUBSTITUTE((INDEX(SPLIT(A3163,"",""),2)),""."","","",1))"),49.104429)</f>
        <v>49.104429</v>
      </c>
      <c r="R3163" s="14" t="b">
        <f t="shared" si="1"/>
        <v>0</v>
      </c>
      <c r="S3163" s="14" t="str">
        <f t="shared" si="2"/>
        <v>55.745002,49.104429</v>
      </c>
      <c r="T3163" s="12"/>
    </row>
    <row r="3164">
      <c r="A3164" s="7" t="s">
        <v>20467</v>
      </c>
      <c r="B3164" s="8" t="s">
        <v>20468</v>
      </c>
      <c r="C3164" s="8" t="s">
        <v>20469</v>
      </c>
      <c r="D3164" s="8" t="s">
        <v>16</v>
      </c>
      <c r="E3164" s="9" t="s">
        <v>20470</v>
      </c>
      <c r="F3164" s="10" t="s">
        <v>13482</v>
      </c>
      <c r="G3164" s="8">
        <v>23.61</v>
      </c>
      <c r="H3164" s="8"/>
      <c r="I3164" s="10"/>
      <c r="J3164" s="10" t="s">
        <v>20471</v>
      </c>
      <c r="K3164" s="10" t="s">
        <v>20472</v>
      </c>
      <c r="L3164" s="11" t="s">
        <v>20473</v>
      </c>
      <c r="M3164" s="10"/>
      <c r="N3164" s="12"/>
      <c r="O3164" s="12"/>
      <c r="P3164" s="13">
        <f>IFERROR(__xludf.DUMMYFUNCTION("VALUE(SUBSTITUTE((INDEX(SPLIT(A3164,"",""),1)),""."","","",1))"),55.763787)</f>
        <v>55.763787</v>
      </c>
      <c r="Q3164" s="13">
        <f>IFERROR(__xludf.DUMMYFUNCTION("VALUE(SUBSTITUTE((INDEX(SPLIT(A3164,"",""),2)),""."","","",1))"),49.10627)</f>
        <v>49.10627</v>
      </c>
      <c r="R3164" s="14" t="b">
        <f t="shared" si="1"/>
        <v>0</v>
      </c>
      <c r="S3164" s="14" t="str">
        <f t="shared" si="2"/>
        <v>55.763787,49.10627</v>
      </c>
      <c r="T3164" s="12"/>
    </row>
    <row r="3165">
      <c r="A3165" s="20" t="s">
        <v>20474</v>
      </c>
      <c r="B3165" s="16" t="s">
        <v>20475</v>
      </c>
      <c r="C3165" s="16" t="s">
        <v>20475</v>
      </c>
      <c r="D3165" s="16" t="s">
        <v>16</v>
      </c>
      <c r="E3165" s="21" t="s">
        <v>20476</v>
      </c>
      <c r="F3165" s="22" t="s">
        <v>13482</v>
      </c>
      <c r="G3165" s="16">
        <v>23.61</v>
      </c>
      <c r="H3165" s="16"/>
      <c r="I3165" s="22"/>
      <c r="J3165" s="22" t="s">
        <v>20477</v>
      </c>
      <c r="K3165" s="22" t="s">
        <v>20478</v>
      </c>
      <c r="L3165" s="23" t="s">
        <v>20479</v>
      </c>
      <c r="M3165" s="23" t="s">
        <v>20480</v>
      </c>
      <c r="N3165" s="12"/>
      <c r="O3165" s="12"/>
      <c r="P3165" s="13">
        <f>IFERROR(__xludf.DUMMYFUNCTION("VALUE(SUBSTITUTE((INDEX(SPLIT(A3165,"",""),1)),""."","","",1))"),55.796127)</f>
        <v>55.796127</v>
      </c>
      <c r="Q3165" s="13">
        <f>IFERROR(__xludf.DUMMYFUNCTION("VALUE(SUBSTITUTE((INDEX(SPLIT(A3165,"",""),2)),""."","","",1))"),49.106414)</f>
        <v>49.106414</v>
      </c>
      <c r="R3165" s="14" t="b">
        <f t="shared" si="1"/>
        <v>0</v>
      </c>
      <c r="S3165" s="14" t="str">
        <f t="shared" si="2"/>
        <v>55.796127,49.106414</v>
      </c>
      <c r="T3165" s="12"/>
    </row>
    <row r="3166">
      <c r="A3166" s="7" t="s">
        <v>20474</v>
      </c>
      <c r="B3166" s="8" t="s">
        <v>20450</v>
      </c>
      <c r="C3166" s="8" t="s">
        <v>20451</v>
      </c>
      <c r="D3166" s="8" t="s">
        <v>16</v>
      </c>
      <c r="E3166" s="9" t="s">
        <v>20481</v>
      </c>
      <c r="F3166" s="10" t="s">
        <v>13482</v>
      </c>
      <c r="G3166" s="8">
        <v>23.61</v>
      </c>
      <c r="H3166" s="8"/>
      <c r="I3166" s="10"/>
      <c r="J3166" s="10" t="s">
        <v>20482</v>
      </c>
      <c r="K3166" s="10" t="s">
        <v>20483</v>
      </c>
      <c r="L3166" s="11" t="s">
        <v>20484</v>
      </c>
      <c r="M3166" s="11" t="s">
        <v>20485</v>
      </c>
      <c r="N3166" s="12"/>
      <c r="O3166" s="12"/>
      <c r="P3166" s="13">
        <f>IFERROR(__xludf.DUMMYFUNCTION("VALUE(SUBSTITUTE((INDEX(SPLIT(A3166,"",""),1)),""."","","",1))"),55.796127)</f>
        <v>55.796127</v>
      </c>
      <c r="Q3166" s="13">
        <f>IFERROR(__xludf.DUMMYFUNCTION("VALUE(SUBSTITUTE((INDEX(SPLIT(A3166,"",""),2)),""."","","",1))"),49.106414)</f>
        <v>49.106414</v>
      </c>
      <c r="R3166" s="14" t="b">
        <f t="shared" si="1"/>
        <v>0</v>
      </c>
      <c r="S3166" s="14" t="str">
        <f t="shared" si="2"/>
        <v>55.796127,49.106414</v>
      </c>
      <c r="T3166" s="12"/>
    </row>
    <row r="3167">
      <c r="A3167" s="20" t="s">
        <v>20474</v>
      </c>
      <c r="B3167" s="16" t="s">
        <v>20486</v>
      </c>
      <c r="C3167" s="16" t="s">
        <v>20487</v>
      </c>
      <c r="D3167" s="16" t="s">
        <v>16</v>
      </c>
      <c r="E3167" s="21" t="s">
        <v>20488</v>
      </c>
      <c r="F3167" s="22" t="s">
        <v>13482</v>
      </c>
      <c r="G3167" s="16">
        <v>23.61</v>
      </c>
      <c r="H3167" s="16"/>
      <c r="I3167" s="22"/>
      <c r="J3167" s="22" t="s">
        <v>20489</v>
      </c>
      <c r="K3167" s="22" t="s">
        <v>20490</v>
      </c>
      <c r="L3167" s="23" t="s">
        <v>20491</v>
      </c>
      <c r="M3167" s="22"/>
      <c r="N3167" s="12"/>
      <c r="O3167" s="12"/>
      <c r="P3167" s="13">
        <f>IFERROR(__xludf.DUMMYFUNCTION("VALUE(SUBSTITUTE((INDEX(SPLIT(A3167,"",""),1)),""."","","",1))"),55.796127)</f>
        <v>55.796127</v>
      </c>
      <c r="Q3167" s="13">
        <f>IFERROR(__xludf.DUMMYFUNCTION("VALUE(SUBSTITUTE((INDEX(SPLIT(A3167,"",""),2)),""."","","",1))"),49.106414)</f>
        <v>49.106414</v>
      </c>
      <c r="R3167" s="14" t="b">
        <f t="shared" si="1"/>
        <v>0</v>
      </c>
      <c r="S3167" s="14" t="str">
        <f t="shared" si="2"/>
        <v>55.796127,49.106414</v>
      </c>
      <c r="T3167" s="12"/>
    </row>
    <row r="3168">
      <c r="A3168" s="18" t="s">
        <v>20474</v>
      </c>
      <c r="B3168" s="8" t="s">
        <v>20492</v>
      </c>
      <c r="C3168" s="8" t="s">
        <v>2624</v>
      </c>
      <c r="D3168" s="8" t="s">
        <v>16</v>
      </c>
      <c r="E3168" s="19" t="s">
        <v>20493</v>
      </c>
      <c r="F3168" s="8" t="s">
        <v>16443</v>
      </c>
      <c r="G3168" s="8">
        <v>23.61</v>
      </c>
      <c r="H3168" s="8"/>
      <c r="I3168" s="8"/>
      <c r="J3168" s="8" t="s">
        <v>20494</v>
      </c>
      <c r="K3168" s="8" t="s">
        <v>20495</v>
      </c>
      <c r="L3168" s="8"/>
      <c r="M3168" s="24" t="s">
        <v>20496</v>
      </c>
      <c r="N3168" s="12"/>
      <c r="O3168" s="12"/>
      <c r="P3168" s="13">
        <f>IFERROR(__xludf.DUMMYFUNCTION("VALUE(SUBSTITUTE((INDEX(SPLIT(A3168,"",""),1)),""."","","",1))"),55.796127)</f>
        <v>55.796127</v>
      </c>
      <c r="Q3168" s="13">
        <f>IFERROR(__xludf.DUMMYFUNCTION("VALUE(SUBSTITUTE((INDEX(SPLIT(A3168,"",""),2)),""."","","",1))"),49.106414)</f>
        <v>49.106414</v>
      </c>
      <c r="R3168" s="14" t="b">
        <f t="shared" si="1"/>
        <v>0</v>
      </c>
      <c r="S3168" s="14" t="str">
        <f t="shared" si="2"/>
        <v>55.796127,49.106414</v>
      </c>
      <c r="T3168" s="12"/>
    </row>
    <row r="3169">
      <c r="A3169" s="15" t="s">
        <v>20474</v>
      </c>
      <c r="B3169" s="16" t="s">
        <v>20497</v>
      </c>
      <c r="C3169" s="16" t="s">
        <v>20498</v>
      </c>
      <c r="D3169" s="16" t="s">
        <v>16</v>
      </c>
      <c r="E3169" s="17" t="s">
        <v>20499</v>
      </c>
      <c r="F3169" s="16" t="s">
        <v>16443</v>
      </c>
      <c r="G3169" s="16">
        <v>23.61</v>
      </c>
      <c r="H3169" s="16"/>
      <c r="I3169" s="16"/>
      <c r="J3169" s="16" t="s">
        <v>20500</v>
      </c>
      <c r="K3169" s="16" t="s">
        <v>20501</v>
      </c>
      <c r="L3169" s="16"/>
      <c r="M3169" s="16"/>
      <c r="N3169" s="12"/>
      <c r="O3169" s="12"/>
      <c r="P3169" s="13">
        <f>IFERROR(__xludf.DUMMYFUNCTION("VALUE(SUBSTITUTE((INDEX(SPLIT(A3169,"",""),1)),""."","","",1))"),55.796127)</f>
        <v>55.796127</v>
      </c>
      <c r="Q3169" s="13">
        <f>IFERROR(__xludf.DUMMYFUNCTION("VALUE(SUBSTITUTE((INDEX(SPLIT(A3169,"",""),2)),""."","","",1))"),49.106414)</f>
        <v>49.106414</v>
      </c>
      <c r="R3169" s="14" t="b">
        <f t="shared" si="1"/>
        <v>0</v>
      </c>
      <c r="S3169" s="14" t="str">
        <f t="shared" si="2"/>
        <v>55.796127,49.106414</v>
      </c>
      <c r="T3169" s="12"/>
    </row>
    <row r="3170">
      <c r="A3170" s="7" t="s">
        <v>20474</v>
      </c>
      <c r="B3170" s="8" t="s">
        <v>20502</v>
      </c>
      <c r="C3170" s="8" t="s">
        <v>20503</v>
      </c>
      <c r="D3170" s="8" t="s">
        <v>16</v>
      </c>
      <c r="E3170" s="9" t="s">
        <v>20504</v>
      </c>
      <c r="F3170" s="10" t="s">
        <v>13482</v>
      </c>
      <c r="G3170" s="8">
        <v>23.61</v>
      </c>
      <c r="H3170" s="8"/>
      <c r="I3170" s="10"/>
      <c r="J3170" s="10" t="s">
        <v>20505</v>
      </c>
      <c r="K3170" s="10" t="s">
        <v>20506</v>
      </c>
      <c r="L3170" s="11" t="s">
        <v>20507</v>
      </c>
      <c r="M3170" s="11" t="s">
        <v>20508</v>
      </c>
      <c r="N3170" s="12"/>
      <c r="O3170" s="12"/>
      <c r="P3170" s="13">
        <f>IFERROR(__xludf.DUMMYFUNCTION("VALUE(SUBSTITUTE((INDEX(SPLIT(A3170,"",""),1)),""."","","",1))"),55.796127)</f>
        <v>55.796127</v>
      </c>
      <c r="Q3170" s="13">
        <f>IFERROR(__xludf.DUMMYFUNCTION("VALUE(SUBSTITUTE((INDEX(SPLIT(A3170,"",""),2)),""."","","",1))"),49.106414)</f>
        <v>49.106414</v>
      </c>
      <c r="R3170" s="14" t="b">
        <f t="shared" si="1"/>
        <v>0</v>
      </c>
      <c r="S3170" s="14" t="str">
        <f t="shared" si="2"/>
        <v>55.796127,49.106414</v>
      </c>
      <c r="T3170" s="12"/>
    </row>
    <row r="3171">
      <c r="A3171" s="15" t="s">
        <v>20509</v>
      </c>
      <c r="B3171" s="16" t="s">
        <v>20510</v>
      </c>
      <c r="C3171" s="16" t="s">
        <v>20511</v>
      </c>
      <c r="D3171" s="16" t="s">
        <v>16</v>
      </c>
      <c r="E3171" s="17" t="s">
        <v>20512</v>
      </c>
      <c r="F3171" s="16" t="s">
        <v>13482</v>
      </c>
      <c r="G3171" s="16">
        <v>23.61</v>
      </c>
      <c r="H3171" s="16"/>
      <c r="I3171" s="16"/>
      <c r="J3171" s="16" t="s">
        <v>20513</v>
      </c>
      <c r="K3171" s="16" t="s">
        <v>20514</v>
      </c>
      <c r="L3171" s="16"/>
      <c r="M3171" s="16"/>
      <c r="N3171" s="12"/>
      <c r="O3171" s="12"/>
      <c r="P3171" s="13">
        <f>IFERROR(__xludf.DUMMYFUNCTION("VALUE(SUBSTITUTE((INDEX(SPLIT(A3171,"",""),1)),""."","","",1))"),55.744161)</f>
        <v>55.744161</v>
      </c>
      <c r="Q3171" s="13">
        <f>IFERROR(__xludf.DUMMYFUNCTION("VALUE(SUBSTITUTE((INDEX(SPLIT(A3171,"",""),2)),""."","","",1))"),49.108714)</f>
        <v>49.108714</v>
      </c>
      <c r="R3171" s="14" t="b">
        <f t="shared" si="1"/>
        <v>0</v>
      </c>
      <c r="S3171" s="14" t="str">
        <f t="shared" si="2"/>
        <v>55.744161,49.108714</v>
      </c>
      <c r="T3171" s="12"/>
    </row>
    <row r="3172">
      <c r="A3172" s="7" t="s">
        <v>20515</v>
      </c>
      <c r="B3172" s="8" t="s">
        <v>20516</v>
      </c>
      <c r="C3172" s="8" t="s">
        <v>20517</v>
      </c>
      <c r="D3172" s="8" t="s">
        <v>16</v>
      </c>
      <c r="E3172" s="9" t="s">
        <v>20518</v>
      </c>
      <c r="F3172" s="10" t="s">
        <v>12912</v>
      </c>
      <c r="G3172" s="8">
        <v>23.61</v>
      </c>
      <c r="H3172" s="8"/>
      <c r="I3172" s="10"/>
      <c r="J3172" s="10" t="s">
        <v>20519</v>
      </c>
      <c r="K3172" s="10" t="s">
        <v>20520</v>
      </c>
      <c r="L3172" s="11" t="s">
        <v>20521</v>
      </c>
      <c r="M3172" s="10"/>
      <c r="N3172" s="12"/>
      <c r="O3172" s="12"/>
      <c r="P3172" s="13">
        <f>IFERROR(__xludf.DUMMYFUNCTION("VALUE(SUBSTITUTE((INDEX(SPLIT(A3172,"",""),1)),""."","","",1))"),55.786273)</f>
        <v>55.786273</v>
      </c>
      <c r="Q3172" s="13">
        <f>IFERROR(__xludf.DUMMYFUNCTION("VALUE(SUBSTITUTE((INDEX(SPLIT(A3172,"",""),2)),""."","","",1))"),49.111463)</f>
        <v>49.111463</v>
      </c>
      <c r="R3172" s="14" t="b">
        <f t="shared" si="1"/>
        <v>0</v>
      </c>
      <c r="S3172" s="14" t="str">
        <f t="shared" si="2"/>
        <v>55.786273,49.111463</v>
      </c>
      <c r="T3172" s="12"/>
    </row>
    <row r="3173">
      <c r="A3173" s="15" t="s">
        <v>20522</v>
      </c>
      <c r="B3173" s="16" t="s">
        <v>20523</v>
      </c>
      <c r="C3173" s="16" t="s">
        <v>20524</v>
      </c>
      <c r="D3173" s="16" t="s">
        <v>16</v>
      </c>
      <c r="E3173" s="17" t="s">
        <v>20525</v>
      </c>
      <c r="F3173" s="16" t="s">
        <v>16443</v>
      </c>
      <c r="G3173" s="16">
        <v>23.61</v>
      </c>
      <c r="H3173" s="16"/>
      <c r="I3173" s="16"/>
      <c r="J3173" s="16" t="s">
        <v>20526</v>
      </c>
      <c r="K3173" s="16" t="s">
        <v>20527</v>
      </c>
      <c r="L3173" s="16"/>
      <c r="M3173" s="16"/>
      <c r="N3173" s="12"/>
      <c r="O3173" s="12"/>
      <c r="P3173" s="13">
        <f>IFERROR(__xludf.DUMMYFUNCTION("VALUE(SUBSTITUTE((INDEX(SPLIT(A3173,"",""),1)),""."","","",1))"),55.774102)</f>
        <v>55.774102</v>
      </c>
      <c r="Q3173" s="13">
        <f>IFERROR(__xludf.DUMMYFUNCTION("VALUE(SUBSTITUTE((INDEX(SPLIT(A3173,"",""),2)),""."","","",1))"),49.11449)</f>
        <v>49.11449</v>
      </c>
      <c r="R3173" s="14" t="b">
        <f t="shared" si="1"/>
        <v>0</v>
      </c>
      <c r="S3173" s="14" t="str">
        <f t="shared" si="2"/>
        <v>55.774102,49.11449</v>
      </c>
      <c r="T3173" s="12"/>
    </row>
    <row r="3174">
      <c r="A3174" s="7" t="s">
        <v>20528</v>
      </c>
      <c r="B3174" s="8" t="s">
        <v>20529</v>
      </c>
      <c r="C3174" s="8" t="s">
        <v>20530</v>
      </c>
      <c r="D3174" s="8" t="s">
        <v>16</v>
      </c>
      <c r="E3174" s="9" t="s">
        <v>20531</v>
      </c>
      <c r="F3174" s="10" t="s">
        <v>17071</v>
      </c>
      <c r="G3174" s="8">
        <v>23.61</v>
      </c>
      <c r="H3174" s="8"/>
      <c r="I3174" s="10"/>
      <c r="J3174" s="10" t="s">
        <v>20532</v>
      </c>
      <c r="K3174" s="10" t="s">
        <v>20533</v>
      </c>
      <c r="L3174" s="11" t="s">
        <v>20534</v>
      </c>
      <c r="M3174" s="10"/>
      <c r="N3174" s="12"/>
      <c r="O3174" s="12"/>
      <c r="P3174" s="13">
        <f>IFERROR(__xludf.DUMMYFUNCTION("VALUE(SUBSTITUTE((INDEX(SPLIT(A3174,"",""),1)),""."","","",1))"),55.77956)</f>
        <v>55.77956</v>
      </c>
      <c r="Q3174" s="13">
        <f>IFERROR(__xludf.DUMMYFUNCTION("VALUE(SUBSTITUTE((INDEX(SPLIT(A3174,"",""),2)),""."","","",1))"),49.11493)</f>
        <v>49.11493</v>
      </c>
      <c r="R3174" s="14" t="b">
        <f t="shared" si="1"/>
        <v>0</v>
      </c>
      <c r="S3174" s="14" t="str">
        <f t="shared" si="2"/>
        <v>55.77956,49.11493</v>
      </c>
      <c r="T3174" s="12"/>
    </row>
    <row r="3175">
      <c r="A3175" s="15" t="s">
        <v>20535</v>
      </c>
      <c r="B3175" s="16" t="s">
        <v>20536</v>
      </c>
      <c r="C3175" s="16" t="s">
        <v>20537</v>
      </c>
      <c r="D3175" s="16" t="s">
        <v>16</v>
      </c>
      <c r="E3175" s="17" t="s">
        <v>20538</v>
      </c>
      <c r="F3175" s="16" t="s">
        <v>13482</v>
      </c>
      <c r="G3175" s="16">
        <v>23.61</v>
      </c>
      <c r="H3175" s="16"/>
      <c r="I3175" s="16"/>
      <c r="J3175" s="16" t="s">
        <v>20539</v>
      </c>
      <c r="K3175" s="16" t="s">
        <v>20540</v>
      </c>
      <c r="L3175" s="16"/>
      <c r="M3175" s="25" t="s">
        <v>20541</v>
      </c>
      <c r="N3175" s="12"/>
      <c r="O3175" s="12"/>
      <c r="P3175" s="13">
        <f>IFERROR(__xludf.DUMMYFUNCTION("VALUE(SUBSTITUTE((INDEX(SPLIT(A3175,"",""),1)),""."","","",1))"),55.79061)</f>
        <v>55.79061</v>
      </c>
      <c r="Q3175" s="13">
        <f>IFERROR(__xludf.DUMMYFUNCTION("VALUE(SUBSTITUTE((INDEX(SPLIT(A3175,"",""),2)),""."","","",1))"),49.115541)</f>
        <v>49.115541</v>
      </c>
      <c r="R3175" s="14" t="b">
        <f t="shared" si="1"/>
        <v>0</v>
      </c>
      <c r="S3175" s="14" t="str">
        <f t="shared" si="2"/>
        <v>55.79061,49.115541</v>
      </c>
      <c r="T3175" s="12"/>
    </row>
    <row r="3176">
      <c r="A3176" s="7" t="s">
        <v>20542</v>
      </c>
      <c r="B3176" s="8" t="s">
        <v>20543</v>
      </c>
      <c r="C3176" s="8" t="s">
        <v>20544</v>
      </c>
      <c r="D3176" s="8" t="s">
        <v>16</v>
      </c>
      <c r="E3176" s="9" t="s">
        <v>20545</v>
      </c>
      <c r="F3176" s="10" t="s">
        <v>16443</v>
      </c>
      <c r="G3176" s="8">
        <v>23.61</v>
      </c>
      <c r="H3176" s="8"/>
      <c r="I3176" s="10"/>
      <c r="J3176" s="10" t="s">
        <v>20546</v>
      </c>
      <c r="K3176" s="10" t="s">
        <v>20547</v>
      </c>
      <c r="L3176" s="11" t="s">
        <v>20548</v>
      </c>
      <c r="M3176" s="10"/>
      <c r="N3176" s="12"/>
      <c r="O3176" s="12"/>
      <c r="P3176" s="13">
        <f>IFERROR(__xludf.DUMMYFUNCTION("VALUE(SUBSTITUTE((INDEX(SPLIT(A3176,"",""),1)),""."","","",1))"),55.785488)</f>
        <v>55.785488</v>
      </c>
      <c r="Q3176" s="13">
        <f>IFERROR(__xludf.DUMMYFUNCTION("VALUE(SUBSTITUTE((INDEX(SPLIT(A3176,"",""),2)),""."","","",1))"),49.115936)</f>
        <v>49.115936</v>
      </c>
      <c r="R3176" s="14" t="b">
        <f t="shared" si="1"/>
        <v>0</v>
      </c>
      <c r="S3176" s="14" t="str">
        <f t="shared" si="2"/>
        <v>55.785488,49.115936</v>
      </c>
      <c r="T3176" s="12"/>
    </row>
    <row r="3177">
      <c r="A3177" s="15" t="s">
        <v>20549</v>
      </c>
      <c r="B3177" s="16" t="s">
        <v>20550</v>
      </c>
      <c r="C3177" s="16" t="s">
        <v>20551</v>
      </c>
      <c r="D3177" s="16" t="s">
        <v>16</v>
      </c>
      <c r="E3177" s="17" t="s">
        <v>20552</v>
      </c>
      <c r="F3177" s="16" t="s">
        <v>16443</v>
      </c>
      <c r="G3177" s="16">
        <v>23.61</v>
      </c>
      <c r="H3177" s="16"/>
      <c r="I3177" s="16"/>
      <c r="J3177" s="16" t="s">
        <v>20553</v>
      </c>
      <c r="K3177" s="16" t="s">
        <v>20554</v>
      </c>
      <c r="L3177" s="16"/>
      <c r="M3177" s="16"/>
      <c r="N3177" s="12"/>
      <c r="O3177" s="12"/>
      <c r="P3177" s="13">
        <f>IFERROR(__xludf.DUMMYFUNCTION("VALUE(SUBSTITUTE((INDEX(SPLIT(A3177,"",""),1)),""."","","",1))"),55.81781)</f>
        <v>55.81781</v>
      </c>
      <c r="Q3177" s="13">
        <f>IFERROR(__xludf.DUMMYFUNCTION("VALUE(SUBSTITUTE((INDEX(SPLIT(A3177,"",""),2)),""."","","",1))"),49.11838)</f>
        <v>49.11838</v>
      </c>
      <c r="R3177" s="14" t="b">
        <f t="shared" si="1"/>
        <v>0</v>
      </c>
      <c r="S3177" s="14" t="str">
        <f t="shared" si="2"/>
        <v>55.81781,49.11838</v>
      </c>
      <c r="T3177" s="12"/>
    </row>
    <row r="3178">
      <c r="A3178" s="7" t="s">
        <v>20555</v>
      </c>
      <c r="B3178" s="8" t="s">
        <v>20556</v>
      </c>
      <c r="C3178" s="8" t="s">
        <v>20557</v>
      </c>
      <c r="D3178" s="8" t="s">
        <v>16</v>
      </c>
      <c r="E3178" s="9" t="s">
        <v>20558</v>
      </c>
      <c r="F3178" s="10" t="s">
        <v>13482</v>
      </c>
      <c r="G3178" s="8">
        <v>23.61</v>
      </c>
      <c r="H3178" s="8"/>
      <c r="I3178" s="10"/>
      <c r="J3178" s="10" t="s">
        <v>20559</v>
      </c>
      <c r="K3178" s="10" t="s">
        <v>20560</v>
      </c>
      <c r="L3178" s="11" t="s">
        <v>20561</v>
      </c>
      <c r="M3178" s="10"/>
      <c r="N3178" s="12"/>
      <c r="O3178" s="12"/>
      <c r="P3178" s="13">
        <f>IFERROR(__xludf.DUMMYFUNCTION("VALUE(SUBSTITUTE((INDEX(SPLIT(A3178,"",""),1)),""."","","",1))"),55.828359)</f>
        <v>55.828359</v>
      </c>
      <c r="Q3178" s="13">
        <f>IFERROR(__xludf.DUMMYFUNCTION("VALUE(SUBSTITUTE((INDEX(SPLIT(A3178,"",""),2)),""."","","",1))"),49.126006)</f>
        <v>49.126006</v>
      </c>
      <c r="R3178" s="14" t="b">
        <f t="shared" si="1"/>
        <v>0</v>
      </c>
      <c r="S3178" s="14" t="str">
        <f t="shared" si="2"/>
        <v>55.828359,49.126006</v>
      </c>
      <c r="T3178" s="12"/>
    </row>
    <row r="3179">
      <c r="A3179" s="15" t="s">
        <v>20562</v>
      </c>
      <c r="B3179" s="16" t="s">
        <v>20563</v>
      </c>
      <c r="C3179" s="16" t="s">
        <v>20564</v>
      </c>
      <c r="D3179" s="16" t="s">
        <v>16</v>
      </c>
      <c r="E3179" s="17" t="s">
        <v>20565</v>
      </c>
      <c r="F3179" s="16" t="s">
        <v>13482</v>
      </c>
      <c r="G3179" s="16">
        <v>23.61</v>
      </c>
      <c r="H3179" s="16"/>
      <c r="I3179" s="16"/>
      <c r="J3179" s="16" t="s">
        <v>20566</v>
      </c>
      <c r="K3179" s="16" t="s">
        <v>20567</v>
      </c>
      <c r="L3179" s="16"/>
      <c r="M3179" s="16"/>
      <c r="N3179" s="12"/>
      <c r="O3179" s="12"/>
      <c r="P3179" s="13">
        <f>IFERROR(__xludf.DUMMYFUNCTION("VALUE(SUBSTITUTE((INDEX(SPLIT(A3179,"",""),1)),""."","","",1))"),55.785655)</f>
        <v>55.785655</v>
      </c>
      <c r="Q3179" s="13">
        <f>IFERROR(__xludf.DUMMYFUNCTION("VALUE(SUBSTITUTE((INDEX(SPLIT(A3179,"",""),2)),""."","","",1))"),49.130785)</f>
        <v>49.130785</v>
      </c>
      <c r="R3179" s="14" t="b">
        <f t="shared" si="1"/>
        <v>0</v>
      </c>
      <c r="S3179" s="14" t="str">
        <f t="shared" si="2"/>
        <v>55.785655,49.130785</v>
      </c>
      <c r="T3179" s="12"/>
    </row>
    <row r="3180">
      <c r="A3180" s="7" t="s">
        <v>20568</v>
      </c>
      <c r="B3180" s="8" t="s">
        <v>20569</v>
      </c>
      <c r="C3180" s="8" t="s">
        <v>20570</v>
      </c>
      <c r="D3180" s="8" t="s">
        <v>16</v>
      </c>
      <c r="E3180" s="9" t="s">
        <v>20571</v>
      </c>
      <c r="F3180" s="10" t="s">
        <v>19961</v>
      </c>
      <c r="G3180" s="8">
        <v>23.61</v>
      </c>
      <c r="H3180" s="8"/>
      <c r="I3180" s="10"/>
      <c r="J3180" s="10" t="s">
        <v>20572</v>
      </c>
      <c r="K3180" s="10" t="s">
        <v>20573</v>
      </c>
      <c r="L3180" s="11" t="s">
        <v>20574</v>
      </c>
      <c r="M3180" s="10"/>
      <c r="N3180" s="12"/>
      <c r="O3180" s="12"/>
      <c r="P3180" s="13">
        <f>IFERROR(__xludf.DUMMYFUNCTION("VALUE(SUBSTITUTE((INDEX(SPLIT(A3180,"",""),1)),""."","","",1))"),55.796572)</f>
        <v>55.796572</v>
      </c>
      <c r="Q3180" s="13">
        <f>IFERROR(__xludf.DUMMYFUNCTION("VALUE(SUBSTITUTE((INDEX(SPLIT(A3180,"",""),2)),""."","","",1))"),49.131055)</f>
        <v>49.131055</v>
      </c>
      <c r="R3180" s="14" t="b">
        <f t="shared" si="1"/>
        <v>0</v>
      </c>
      <c r="S3180" s="14" t="str">
        <f t="shared" si="2"/>
        <v>55.796572,49.131055</v>
      </c>
      <c r="T3180" s="12"/>
    </row>
    <row r="3181">
      <c r="A3181" s="15" t="s">
        <v>20575</v>
      </c>
      <c r="B3181" s="16" t="s">
        <v>20576</v>
      </c>
      <c r="C3181" s="16" t="s">
        <v>20577</v>
      </c>
      <c r="D3181" s="16" t="s">
        <v>16</v>
      </c>
      <c r="E3181" s="17" t="s">
        <v>20578</v>
      </c>
      <c r="F3181" s="16" t="s">
        <v>16443</v>
      </c>
      <c r="G3181" s="16">
        <v>23.61</v>
      </c>
      <c r="H3181" s="16"/>
      <c r="I3181" s="16"/>
      <c r="J3181" s="16" t="s">
        <v>20579</v>
      </c>
      <c r="K3181" s="16" t="s">
        <v>20580</v>
      </c>
      <c r="L3181" s="16"/>
      <c r="M3181" s="25" t="s">
        <v>15329</v>
      </c>
      <c r="N3181" s="12"/>
      <c r="O3181" s="12"/>
      <c r="P3181" s="13">
        <f>IFERROR(__xludf.DUMMYFUNCTION("VALUE(SUBSTITUTE((INDEX(SPLIT(A3181,"",""),1)),""."","","",1))"),55.738039)</f>
        <v>55.738039</v>
      </c>
      <c r="Q3181" s="13">
        <f>IFERROR(__xludf.DUMMYFUNCTION("VALUE(SUBSTITUTE((INDEX(SPLIT(A3181,"",""),2)),""."","","",1))"),49.134585)</f>
        <v>49.134585</v>
      </c>
      <c r="R3181" s="14" t="b">
        <f t="shared" si="1"/>
        <v>0</v>
      </c>
      <c r="S3181" s="14" t="str">
        <f t="shared" si="2"/>
        <v>55.738039,49.134585</v>
      </c>
      <c r="T3181" s="12"/>
    </row>
    <row r="3182">
      <c r="A3182" s="18" t="s">
        <v>20581</v>
      </c>
      <c r="B3182" s="8" t="s">
        <v>20582</v>
      </c>
      <c r="C3182" s="8" t="s">
        <v>20583</v>
      </c>
      <c r="D3182" s="8" t="s">
        <v>16</v>
      </c>
      <c r="E3182" s="19" t="s">
        <v>20584</v>
      </c>
      <c r="F3182" s="8" t="s">
        <v>16443</v>
      </c>
      <c r="G3182" s="8">
        <v>23.61</v>
      </c>
      <c r="H3182" s="8"/>
      <c r="I3182" s="8"/>
      <c r="J3182" s="8" t="s">
        <v>20585</v>
      </c>
      <c r="K3182" s="8" t="s">
        <v>20586</v>
      </c>
      <c r="L3182" s="8"/>
      <c r="M3182" s="8"/>
      <c r="N3182" s="12"/>
      <c r="O3182" s="12"/>
      <c r="P3182" s="13">
        <f>IFERROR(__xludf.DUMMYFUNCTION("VALUE(SUBSTITUTE((INDEX(SPLIT(A3182,"",""),1)),""."","","",1))"),55.833531)</f>
        <v>55.833531</v>
      </c>
      <c r="Q3182" s="13">
        <f>IFERROR(__xludf.DUMMYFUNCTION("VALUE(SUBSTITUTE((INDEX(SPLIT(A3182,"",""),2)),""."","","",1))"),49.135061)</f>
        <v>49.135061</v>
      </c>
      <c r="R3182" s="14" t="b">
        <f t="shared" si="1"/>
        <v>0</v>
      </c>
      <c r="S3182" s="14" t="str">
        <f t="shared" si="2"/>
        <v>55.833531,49.135061</v>
      </c>
      <c r="T3182" s="12"/>
    </row>
    <row r="3183">
      <c r="A3183" s="15" t="s">
        <v>20587</v>
      </c>
      <c r="B3183" s="16" t="s">
        <v>20588</v>
      </c>
      <c r="C3183" s="16" t="s">
        <v>20589</v>
      </c>
      <c r="D3183" s="16" t="s">
        <v>16</v>
      </c>
      <c r="E3183" s="17" t="s">
        <v>20590</v>
      </c>
      <c r="F3183" s="16" t="s">
        <v>16443</v>
      </c>
      <c r="G3183" s="16">
        <v>23.61</v>
      </c>
      <c r="H3183" s="16"/>
      <c r="I3183" s="16"/>
      <c r="J3183" s="16" t="s">
        <v>20591</v>
      </c>
      <c r="K3183" s="16" t="s">
        <v>20592</v>
      </c>
      <c r="L3183" s="16"/>
      <c r="M3183" s="16"/>
      <c r="N3183" s="12"/>
      <c r="O3183" s="12"/>
      <c r="P3183" s="13">
        <f>IFERROR(__xludf.DUMMYFUNCTION("VALUE(SUBSTITUTE((INDEX(SPLIT(A3183,"",""),1)),""."","","",1))"),55.830108)</f>
        <v>55.830108</v>
      </c>
      <c r="Q3183" s="13">
        <f>IFERROR(__xludf.DUMMYFUNCTION("VALUE(SUBSTITUTE((INDEX(SPLIT(A3183,"",""),2)),""."","","",1))"),49.136346)</f>
        <v>49.136346</v>
      </c>
      <c r="R3183" s="14" t="b">
        <f t="shared" si="1"/>
        <v>0</v>
      </c>
      <c r="S3183" s="14" t="str">
        <f t="shared" si="2"/>
        <v>55.830108,49.136346</v>
      </c>
      <c r="T3183" s="12"/>
    </row>
    <row r="3184">
      <c r="A3184" s="18" t="s">
        <v>20593</v>
      </c>
      <c r="B3184" s="8" t="s">
        <v>20594</v>
      </c>
      <c r="C3184" s="8" t="s">
        <v>20595</v>
      </c>
      <c r="D3184" s="8" t="s">
        <v>16</v>
      </c>
      <c r="E3184" s="19" t="s">
        <v>20596</v>
      </c>
      <c r="F3184" s="8" t="s">
        <v>16443</v>
      </c>
      <c r="G3184" s="8">
        <v>23.61</v>
      </c>
      <c r="H3184" s="8"/>
      <c r="I3184" s="8"/>
      <c r="J3184" s="8" t="s">
        <v>20591</v>
      </c>
      <c r="K3184" s="8" t="s">
        <v>20597</v>
      </c>
      <c r="L3184" s="8"/>
      <c r="M3184" s="8"/>
      <c r="N3184" s="12"/>
      <c r="O3184" s="12"/>
      <c r="P3184" s="13">
        <f>IFERROR(__xludf.DUMMYFUNCTION("VALUE(SUBSTITUTE((INDEX(SPLIT(A3184,"",""),1)),""."","","",1))"),55.79014)</f>
        <v>55.79014</v>
      </c>
      <c r="Q3184" s="13">
        <f>IFERROR(__xludf.DUMMYFUNCTION("VALUE(SUBSTITUTE((INDEX(SPLIT(A3184,"",""),2)),""."","","",1))"),49.136633)</f>
        <v>49.136633</v>
      </c>
      <c r="R3184" s="14" t="b">
        <f t="shared" si="1"/>
        <v>0</v>
      </c>
      <c r="S3184" s="14" t="str">
        <f t="shared" si="2"/>
        <v>55.79014,49.136633</v>
      </c>
      <c r="T3184" s="12"/>
    </row>
    <row r="3185">
      <c r="A3185" s="15" t="s">
        <v>20598</v>
      </c>
      <c r="B3185" s="16" t="s">
        <v>20599</v>
      </c>
      <c r="C3185" s="16" t="s">
        <v>20600</v>
      </c>
      <c r="D3185" s="16" t="s">
        <v>16</v>
      </c>
      <c r="E3185" s="17" t="s">
        <v>20601</v>
      </c>
      <c r="F3185" s="16" t="s">
        <v>16443</v>
      </c>
      <c r="G3185" s="16">
        <v>23.61</v>
      </c>
      <c r="H3185" s="16"/>
      <c r="I3185" s="16"/>
      <c r="J3185" s="16" t="s">
        <v>20602</v>
      </c>
      <c r="K3185" s="16" t="s">
        <v>20603</v>
      </c>
      <c r="L3185" s="16"/>
      <c r="M3185" s="16"/>
      <c r="N3185" s="12"/>
      <c r="O3185" s="12"/>
      <c r="P3185" s="13">
        <f>IFERROR(__xludf.DUMMYFUNCTION("VALUE(SUBSTITUTE((INDEX(SPLIT(A3185,"",""),1)),""."","","",1))"),55.624845)</f>
        <v>55.624845</v>
      </c>
      <c r="Q3185" s="13">
        <f>IFERROR(__xludf.DUMMYFUNCTION("VALUE(SUBSTITUTE((INDEX(SPLIT(A3185,"",""),2)),""."","","",1))"),49.140451)</f>
        <v>49.140451</v>
      </c>
      <c r="R3185" s="14" t="b">
        <f t="shared" si="1"/>
        <v>0</v>
      </c>
      <c r="S3185" s="14" t="str">
        <f t="shared" si="2"/>
        <v>55.624845,49.140451</v>
      </c>
      <c r="T3185" s="12"/>
    </row>
    <row r="3186">
      <c r="A3186" s="18" t="s">
        <v>20604</v>
      </c>
      <c r="B3186" s="8" t="s">
        <v>20605</v>
      </c>
      <c r="C3186" s="8" t="s">
        <v>20606</v>
      </c>
      <c r="D3186" s="8" t="s">
        <v>16</v>
      </c>
      <c r="E3186" s="19" t="s">
        <v>20607</v>
      </c>
      <c r="F3186" s="8" t="s">
        <v>16443</v>
      </c>
      <c r="G3186" s="8">
        <v>23.61</v>
      </c>
      <c r="H3186" s="8"/>
      <c r="I3186" s="8"/>
      <c r="J3186" s="8" t="s">
        <v>20608</v>
      </c>
      <c r="K3186" s="8" t="s">
        <v>20609</v>
      </c>
      <c r="L3186" s="8"/>
      <c r="M3186" s="8"/>
      <c r="N3186" s="12"/>
      <c r="O3186" s="12"/>
      <c r="P3186" s="13">
        <f>IFERROR(__xludf.DUMMYFUNCTION("VALUE(SUBSTITUTE((INDEX(SPLIT(A3186,"",""),1)),""."","","",1))"),55.770471)</f>
        <v>55.770471</v>
      </c>
      <c r="Q3186" s="13">
        <f>IFERROR(__xludf.DUMMYFUNCTION("VALUE(SUBSTITUTE((INDEX(SPLIT(A3186,"",""),2)),""."","","",1))"),49.144377)</f>
        <v>49.144377</v>
      </c>
      <c r="R3186" s="14" t="b">
        <f t="shared" si="1"/>
        <v>0</v>
      </c>
      <c r="S3186" s="14" t="str">
        <f t="shared" si="2"/>
        <v>55.770471,49.144377</v>
      </c>
      <c r="T3186" s="12"/>
    </row>
    <row r="3187">
      <c r="A3187" s="15" t="s">
        <v>20610</v>
      </c>
      <c r="B3187" s="16" t="s">
        <v>20611</v>
      </c>
      <c r="C3187" s="16" t="s">
        <v>19595</v>
      </c>
      <c r="D3187" s="16" t="s">
        <v>16</v>
      </c>
      <c r="E3187" s="17" t="s">
        <v>20612</v>
      </c>
      <c r="F3187" s="16" t="s">
        <v>20160</v>
      </c>
      <c r="G3187" s="16">
        <v>23.61</v>
      </c>
      <c r="H3187" s="16"/>
      <c r="I3187" s="16"/>
      <c r="J3187" s="16" t="s">
        <v>20613</v>
      </c>
      <c r="K3187" s="16" t="s">
        <v>20614</v>
      </c>
      <c r="L3187" s="16"/>
      <c r="M3187" s="16"/>
      <c r="N3187" s="12"/>
      <c r="O3187" s="12"/>
      <c r="P3187" s="13">
        <f>IFERROR(__xludf.DUMMYFUNCTION("VALUE(SUBSTITUTE((INDEX(SPLIT(A3187,"",""),1)),""."","","",1))"),55.769904)</f>
        <v>55.769904</v>
      </c>
      <c r="Q3187" s="13">
        <f>IFERROR(__xludf.DUMMYFUNCTION("VALUE(SUBSTITUTE((INDEX(SPLIT(A3187,"",""),2)),""."","","",1))"),49.146039)</f>
        <v>49.146039</v>
      </c>
      <c r="R3187" s="14" t="b">
        <f t="shared" si="1"/>
        <v>0</v>
      </c>
      <c r="S3187" s="14" t="str">
        <f t="shared" si="2"/>
        <v>55.769904,49.146039</v>
      </c>
      <c r="T3187" s="12"/>
    </row>
    <row r="3188">
      <c r="A3188" s="7" t="s">
        <v>20615</v>
      </c>
      <c r="B3188" s="8" t="s">
        <v>20616</v>
      </c>
      <c r="C3188" s="8" t="s">
        <v>20617</v>
      </c>
      <c r="D3188" s="8" t="s">
        <v>16</v>
      </c>
      <c r="E3188" s="9" t="s">
        <v>20618</v>
      </c>
      <c r="F3188" s="10" t="s">
        <v>20160</v>
      </c>
      <c r="G3188" s="8">
        <v>23.61</v>
      </c>
      <c r="H3188" s="8"/>
      <c r="I3188" s="10"/>
      <c r="J3188" s="10" t="s">
        <v>20619</v>
      </c>
      <c r="K3188" s="10" t="s">
        <v>20614</v>
      </c>
      <c r="L3188" s="11" t="s">
        <v>20620</v>
      </c>
      <c r="M3188" s="10"/>
      <c r="N3188" s="12"/>
      <c r="O3188" s="12"/>
      <c r="P3188" s="13">
        <f>IFERROR(__xludf.DUMMYFUNCTION("VALUE(SUBSTITUTE((INDEX(SPLIT(A3188,"",""),1)),""."","","",1))"),55.783539)</f>
        <v>55.783539</v>
      </c>
      <c r="Q3188" s="13">
        <f>IFERROR(__xludf.DUMMYFUNCTION("VALUE(SUBSTITUTE((INDEX(SPLIT(A3188,"",""),2)),""."","","",1))"),49.148446)</f>
        <v>49.148446</v>
      </c>
      <c r="R3188" s="14" t="b">
        <f t="shared" si="1"/>
        <v>0</v>
      </c>
      <c r="S3188" s="14" t="str">
        <f t="shared" si="2"/>
        <v>55.783539,49.148446</v>
      </c>
      <c r="T3188" s="12"/>
    </row>
    <row r="3189">
      <c r="A3189" s="20" t="s">
        <v>20621</v>
      </c>
      <c r="B3189" s="16" t="s">
        <v>20622</v>
      </c>
      <c r="C3189" s="16" t="s">
        <v>20623</v>
      </c>
      <c r="D3189" s="16" t="s">
        <v>16</v>
      </c>
      <c r="E3189" s="21" t="s">
        <v>20624</v>
      </c>
      <c r="F3189" s="22" t="s">
        <v>20160</v>
      </c>
      <c r="G3189" s="16">
        <v>23.61</v>
      </c>
      <c r="H3189" s="16"/>
      <c r="I3189" s="22"/>
      <c r="J3189" s="22" t="s">
        <v>20625</v>
      </c>
      <c r="K3189" s="22" t="s">
        <v>20626</v>
      </c>
      <c r="L3189" s="23" t="s">
        <v>20627</v>
      </c>
      <c r="M3189" s="22"/>
      <c r="N3189" s="12"/>
      <c r="O3189" s="12"/>
      <c r="P3189" s="13">
        <f>IFERROR(__xludf.DUMMYFUNCTION("VALUE(SUBSTITUTE((INDEX(SPLIT(A3189,"",""),1)),""."","","",1))"),53.518465)</f>
        <v>53.518465</v>
      </c>
      <c r="Q3189" s="13">
        <f>IFERROR(__xludf.DUMMYFUNCTION("VALUE(SUBSTITUTE((INDEX(SPLIT(A3189,"",""),2)),""."","","",1))"),49.158876)</f>
        <v>49.158876</v>
      </c>
      <c r="R3189" s="14" t="b">
        <f t="shared" si="1"/>
        <v>0</v>
      </c>
      <c r="S3189" s="14" t="str">
        <f t="shared" si="2"/>
        <v>53.518465,49.158876</v>
      </c>
      <c r="T3189" s="12"/>
    </row>
    <row r="3190">
      <c r="A3190" s="18" t="s">
        <v>20628</v>
      </c>
      <c r="B3190" s="8" t="s">
        <v>16887</v>
      </c>
      <c r="C3190" s="8" t="s">
        <v>16888</v>
      </c>
      <c r="D3190" s="8" t="s">
        <v>16</v>
      </c>
      <c r="E3190" s="19" t="s">
        <v>20629</v>
      </c>
      <c r="F3190" s="8" t="s">
        <v>12912</v>
      </c>
      <c r="G3190" s="8">
        <v>23.61</v>
      </c>
      <c r="H3190" s="8"/>
      <c r="I3190" s="8"/>
      <c r="J3190" s="8" t="s">
        <v>20630</v>
      </c>
      <c r="K3190" s="8" t="s">
        <v>20631</v>
      </c>
      <c r="L3190" s="8"/>
      <c r="M3190" s="8"/>
      <c r="N3190" s="12"/>
      <c r="O3190" s="12"/>
      <c r="P3190" s="13">
        <f>IFERROR(__xludf.DUMMYFUNCTION("VALUE(SUBSTITUTE((INDEX(SPLIT(A3190,"",""),1)),""."","","",1))"),55.149841)</f>
        <v>55.149841</v>
      </c>
      <c r="Q3190" s="13">
        <f>IFERROR(__xludf.DUMMYFUNCTION("VALUE(SUBSTITUTE((INDEX(SPLIT(A3190,"",""),2)),""."","","",1))"),49.163592)</f>
        <v>49.163592</v>
      </c>
      <c r="R3190" s="14" t="b">
        <f t="shared" si="1"/>
        <v>0</v>
      </c>
      <c r="S3190" s="14" t="str">
        <f t="shared" si="2"/>
        <v>55.149841,49.163592</v>
      </c>
      <c r="T3190" s="12"/>
    </row>
    <row r="3191">
      <c r="A3191" s="15" t="s">
        <v>20632</v>
      </c>
      <c r="B3191" s="16" t="s">
        <v>20633</v>
      </c>
      <c r="C3191" s="16" t="s">
        <v>20634</v>
      </c>
      <c r="D3191" s="16" t="s">
        <v>16</v>
      </c>
      <c r="E3191" s="17" t="s">
        <v>20635</v>
      </c>
      <c r="F3191" s="16" t="s">
        <v>17071</v>
      </c>
      <c r="G3191" s="16">
        <v>23.61</v>
      </c>
      <c r="H3191" s="16"/>
      <c r="I3191" s="16"/>
      <c r="J3191" s="16" t="s">
        <v>20636</v>
      </c>
      <c r="K3191" s="16" t="s">
        <v>20637</v>
      </c>
      <c r="L3191" s="16"/>
      <c r="M3191" s="16"/>
      <c r="N3191" s="12"/>
      <c r="O3191" s="12"/>
      <c r="P3191" s="13">
        <f>IFERROR(__xludf.DUMMYFUNCTION("VALUE(SUBSTITUTE((INDEX(SPLIT(A3191,"",""),1)),""."","","",1))"),55.775282)</f>
        <v>55.775282</v>
      </c>
      <c r="Q3191" s="13">
        <f>IFERROR(__xludf.DUMMYFUNCTION("VALUE(SUBSTITUTE((INDEX(SPLIT(A3191,"",""),2)),""."","","",1))"),49.173168)</f>
        <v>49.173168</v>
      </c>
      <c r="R3191" s="14" t="b">
        <f t="shared" si="1"/>
        <v>0</v>
      </c>
      <c r="S3191" s="14" t="str">
        <f t="shared" si="2"/>
        <v>55.775282,49.173168</v>
      </c>
      <c r="T3191" s="12"/>
    </row>
    <row r="3192">
      <c r="A3192" s="18" t="s">
        <v>20638</v>
      </c>
      <c r="B3192" s="8" t="s">
        <v>20639</v>
      </c>
      <c r="C3192" s="8" t="s">
        <v>20640</v>
      </c>
      <c r="D3192" s="8" t="s">
        <v>16</v>
      </c>
      <c r="E3192" s="19" t="s">
        <v>20641</v>
      </c>
      <c r="F3192" s="8" t="s">
        <v>19961</v>
      </c>
      <c r="G3192" s="8">
        <v>23.61</v>
      </c>
      <c r="H3192" s="8"/>
      <c r="I3192" s="8"/>
      <c r="J3192" s="8" t="s">
        <v>20642</v>
      </c>
      <c r="K3192" s="8" t="s">
        <v>20643</v>
      </c>
      <c r="L3192" s="8"/>
      <c r="M3192" s="8"/>
      <c r="N3192" s="12"/>
      <c r="O3192" s="12"/>
      <c r="P3192" s="13">
        <f>IFERROR(__xludf.DUMMYFUNCTION("VALUE(SUBSTITUTE((INDEX(SPLIT(A3192,"",""),1)),""."","","",1))"),55.800732)</f>
        <v>55.800732</v>
      </c>
      <c r="Q3192" s="13">
        <f>IFERROR(__xludf.DUMMYFUNCTION("VALUE(SUBSTITUTE((INDEX(SPLIT(A3192,"",""),2)),""."","","",1))"),49.176312)</f>
        <v>49.176312</v>
      </c>
      <c r="R3192" s="14" t="b">
        <f t="shared" si="1"/>
        <v>0</v>
      </c>
      <c r="S3192" s="14" t="str">
        <f t="shared" si="2"/>
        <v>55.800732,49.176312</v>
      </c>
      <c r="T3192" s="12"/>
    </row>
    <row r="3193">
      <c r="A3193" s="20" t="s">
        <v>20644</v>
      </c>
      <c r="B3193" s="16" t="s">
        <v>20645</v>
      </c>
      <c r="C3193" s="16" t="s">
        <v>20646</v>
      </c>
      <c r="D3193" s="16" t="s">
        <v>16</v>
      </c>
      <c r="E3193" s="21" t="s">
        <v>20647</v>
      </c>
      <c r="F3193" s="22" t="s">
        <v>17071</v>
      </c>
      <c r="G3193" s="16">
        <v>23.61</v>
      </c>
      <c r="H3193" s="16"/>
      <c r="I3193" s="28" t="s">
        <v>20648</v>
      </c>
      <c r="J3193" s="22" t="s">
        <v>20649</v>
      </c>
      <c r="K3193" s="22" t="s">
        <v>20650</v>
      </c>
      <c r="L3193" s="23" t="s">
        <v>20651</v>
      </c>
      <c r="M3193" s="22"/>
      <c r="N3193" s="12"/>
      <c r="O3193" s="12"/>
      <c r="P3193" s="13">
        <f>IFERROR(__xludf.DUMMYFUNCTION("VALUE(SUBSTITUTE((INDEX(SPLIT(A3193,"",""),1)),""."","","",1))"),55.783595)</f>
        <v>55.783595</v>
      </c>
      <c r="Q3193" s="13">
        <f>IFERROR(__xludf.DUMMYFUNCTION("VALUE(SUBSTITUTE((INDEX(SPLIT(A3193,"",""),2)),""."","","",1))"),49.177785)</f>
        <v>49.177785</v>
      </c>
      <c r="R3193" s="14" t="b">
        <f t="shared" si="1"/>
        <v>0</v>
      </c>
      <c r="S3193" s="14" t="str">
        <f t="shared" si="2"/>
        <v>55.783595,49.177785</v>
      </c>
      <c r="T3193" s="12"/>
    </row>
    <row r="3194">
      <c r="A3194" s="7" t="s">
        <v>20652</v>
      </c>
      <c r="B3194" s="8" t="s">
        <v>20653</v>
      </c>
      <c r="C3194" s="8" t="s">
        <v>20654</v>
      </c>
      <c r="D3194" s="8" t="s">
        <v>16</v>
      </c>
      <c r="E3194" s="9" t="s">
        <v>20655</v>
      </c>
      <c r="F3194" s="10" t="s">
        <v>19961</v>
      </c>
      <c r="G3194" s="8">
        <v>23.61</v>
      </c>
      <c r="H3194" s="8"/>
      <c r="I3194" s="10"/>
      <c r="J3194" s="10" t="s">
        <v>20656</v>
      </c>
      <c r="K3194" s="10" t="s">
        <v>20657</v>
      </c>
      <c r="L3194" s="11" t="s">
        <v>20658</v>
      </c>
      <c r="M3194" s="11" t="s">
        <v>20659</v>
      </c>
      <c r="N3194" s="12"/>
      <c r="O3194" s="12"/>
      <c r="P3194" s="13">
        <f>IFERROR(__xludf.DUMMYFUNCTION("VALUE(SUBSTITUTE((INDEX(SPLIT(A3194,"",""),1)),""."","","",1))"),55.772406)</f>
        <v>55.772406</v>
      </c>
      <c r="Q3194" s="13">
        <f>IFERROR(__xludf.DUMMYFUNCTION("VALUE(SUBSTITUTE((INDEX(SPLIT(A3194,"",""),2)),""."","","",1))"),49.180372)</f>
        <v>49.180372</v>
      </c>
      <c r="R3194" s="14" t="b">
        <f t="shared" si="1"/>
        <v>0</v>
      </c>
      <c r="S3194" s="14" t="str">
        <f t="shared" si="2"/>
        <v>55.772406,49.180372</v>
      </c>
      <c r="T3194" s="12"/>
    </row>
    <row r="3195">
      <c r="A3195" s="20" t="s">
        <v>20660</v>
      </c>
      <c r="B3195" s="16" t="s">
        <v>20661</v>
      </c>
      <c r="C3195" s="16" t="s">
        <v>20662</v>
      </c>
      <c r="D3195" s="16" t="s">
        <v>16</v>
      </c>
      <c r="E3195" s="21" t="s">
        <v>20663</v>
      </c>
      <c r="F3195" s="22" t="s">
        <v>19961</v>
      </c>
      <c r="G3195" s="16">
        <v>23.61</v>
      </c>
      <c r="H3195" s="16"/>
      <c r="I3195" s="22"/>
      <c r="J3195" s="22" t="s">
        <v>20664</v>
      </c>
      <c r="K3195" s="22" t="s">
        <v>20665</v>
      </c>
      <c r="L3195" s="23" t="s">
        <v>20666</v>
      </c>
      <c r="M3195" s="22"/>
      <c r="N3195" s="12"/>
      <c r="O3195" s="12"/>
      <c r="P3195" s="13">
        <f>IFERROR(__xludf.DUMMYFUNCTION("VALUE(SUBSTITUTE((INDEX(SPLIT(A3195,"",""),1)),""."","","",1))"),55.807531)</f>
        <v>55.807531</v>
      </c>
      <c r="Q3195" s="13">
        <f>IFERROR(__xludf.DUMMYFUNCTION("VALUE(SUBSTITUTE((INDEX(SPLIT(A3195,"",""),2)),""."","","",1))"),49.181765)</f>
        <v>49.181765</v>
      </c>
      <c r="R3195" s="14" t="b">
        <f t="shared" si="1"/>
        <v>0</v>
      </c>
      <c r="S3195" s="14" t="str">
        <f t="shared" si="2"/>
        <v>55.807531,49.181765</v>
      </c>
      <c r="T3195" s="12"/>
    </row>
    <row r="3196">
      <c r="A3196" s="18" t="s">
        <v>20660</v>
      </c>
      <c r="B3196" s="8" t="s">
        <v>20667</v>
      </c>
      <c r="C3196" s="8" t="s">
        <v>20668</v>
      </c>
      <c r="D3196" s="8" t="s">
        <v>16</v>
      </c>
      <c r="E3196" s="19" t="s">
        <v>20669</v>
      </c>
      <c r="F3196" s="8" t="s">
        <v>19961</v>
      </c>
      <c r="G3196" s="8">
        <v>23.61</v>
      </c>
      <c r="H3196" s="8"/>
      <c r="I3196" s="8"/>
      <c r="J3196" s="8" t="s">
        <v>20670</v>
      </c>
      <c r="K3196" s="8" t="s">
        <v>20671</v>
      </c>
      <c r="L3196" s="8"/>
      <c r="M3196" s="8"/>
      <c r="N3196" s="12"/>
      <c r="O3196" s="12"/>
      <c r="P3196" s="13">
        <f>IFERROR(__xludf.DUMMYFUNCTION("VALUE(SUBSTITUTE((INDEX(SPLIT(A3196,"",""),1)),""."","","",1))"),55.807531)</f>
        <v>55.807531</v>
      </c>
      <c r="Q3196" s="13">
        <f>IFERROR(__xludf.DUMMYFUNCTION("VALUE(SUBSTITUTE((INDEX(SPLIT(A3196,"",""),2)),""."","","",1))"),49.181765)</f>
        <v>49.181765</v>
      </c>
      <c r="R3196" s="14" t="b">
        <f t="shared" si="1"/>
        <v>0</v>
      </c>
      <c r="S3196" s="14" t="str">
        <f t="shared" si="2"/>
        <v>55.807531,49.181765</v>
      </c>
      <c r="T3196" s="12"/>
    </row>
    <row r="3197">
      <c r="A3197" s="15" t="s">
        <v>20672</v>
      </c>
      <c r="B3197" s="16" t="s">
        <v>20673</v>
      </c>
      <c r="C3197" s="16" t="s">
        <v>20674</v>
      </c>
      <c r="D3197" s="16" t="s">
        <v>16</v>
      </c>
      <c r="E3197" s="17" t="s">
        <v>20675</v>
      </c>
      <c r="F3197" s="16" t="s">
        <v>19961</v>
      </c>
      <c r="G3197" s="16">
        <v>23.61</v>
      </c>
      <c r="H3197" s="16"/>
      <c r="I3197" s="16"/>
      <c r="J3197" s="16" t="s">
        <v>20676</v>
      </c>
      <c r="K3197" s="16" t="s">
        <v>20677</v>
      </c>
      <c r="L3197" s="16"/>
      <c r="M3197" s="25" t="s">
        <v>20678</v>
      </c>
      <c r="N3197" s="12"/>
      <c r="O3197" s="12"/>
      <c r="P3197" s="13">
        <f>IFERROR(__xludf.DUMMYFUNCTION("VALUE(SUBSTITUTE((INDEX(SPLIT(A3197,"",""),1)),""."","","",1))"),55.839876)</f>
        <v>55.839876</v>
      </c>
      <c r="Q3197" s="13">
        <f>IFERROR(__xludf.DUMMYFUNCTION("VALUE(SUBSTITUTE((INDEX(SPLIT(A3197,"",""),2)),""."","","",1))"),49.187235)</f>
        <v>49.187235</v>
      </c>
      <c r="R3197" s="14" t="b">
        <f t="shared" si="1"/>
        <v>0</v>
      </c>
      <c r="S3197" s="14" t="str">
        <f t="shared" si="2"/>
        <v>55.839876,49.187235</v>
      </c>
      <c r="T3197" s="12"/>
    </row>
    <row r="3198">
      <c r="A3198" s="18" t="s">
        <v>20679</v>
      </c>
      <c r="B3198" s="8" t="s">
        <v>20680</v>
      </c>
      <c r="C3198" s="8" t="s">
        <v>20681</v>
      </c>
      <c r="D3198" s="8" t="s">
        <v>16</v>
      </c>
      <c r="E3198" s="19" t="s">
        <v>20682</v>
      </c>
      <c r="F3198" s="8" t="s">
        <v>20146</v>
      </c>
      <c r="G3198" s="8">
        <v>23.61</v>
      </c>
      <c r="H3198" s="8"/>
      <c r="I3198" s="8"/>
      <c r="J3198" s="8" t="s">
        <v>20683</v>
      </c>
      <c r="K3198" s="8" t="s">
        <v>20684</v>
      </c>
      <c r="L3198" s="8"/>
      <c r="M3198" s="8"/>
      <c r="N3198" s="12"/>
      <c r="O3198" s="12"/>
      <c r="P3198" s="13">
        <f>IFERROR(__xludf.DUMMYFUNCTION("VALUE(SUBSTITUTE((INDEX(SPLIT(A3198,"",""),1)),""."","","",1))"),55.782086)</f>
        <v>55.782086</v>
      </c>
      <c r="Q3198" s="13">
        <f>IFERROR(__xludf.DUMMYFUNCTION("VALUE(SUBSTITUTE((INDEX(SPLIT(A3198,"",""),2)),""."","","",1))"),49.188242)</f>
        <v>49.188242</v>
      </c>
      <c r="R3198" s="14" t="b">
        <f t="shared" si="1"/>
        <v>0</v>
      </c>
      <c r="S3198" s="14" t="str">
        <f t="shared" si="2"/>
        <v>55.782086,49.188242</v>
      </c>
      <c r="T3198" s="12"/>
    </row>
    <row r="3199">
      <c r="A3199" s="15" t="s">
        <v>20685</v>
      </c>
      <c r="B3199" s="16" t="s">
        <v>20686</v>
      </c>
      <c r="C3199" s="16" t="s">
        <v>20687</v>
      </c>
      <c r="D3199" s="16" t="s">
        <v>16</v>
      </c>
      <c r="E3199" s="17" t="s">
        <v>20688</v>
      </c>
      <c r="F3199" s="16" t="s">
        <v>19961</v>
      </c>
      <c r="G3199" s="16">
        <v>23.61</v>
      </c>
      <c r="H3199" s="16"/>
      <c r="I3199" s="16"/>
      <c r="J3199" s="16" t="s">
        <v>20689</v>
      </c>
      <c r="K3199" s="16" t="s">
        <v>20690</v>
      </c>
      <c r="L3199" s="16"/>
      <c r="M3199" s="25" t="s">
        <v>20691</v>
      </c>
      <c r="N3199" s="12"/>
      <c r="O3199" s="12"/>
      <c r="P3199" s="13">
        <f>IFERROR(__xludf.DUMMYFUNCTION("VALUE(SUBSTITUTE((INDEX(SPLIT(A3199,"",""),1)),""."","","",1))"),55.828698)</f>
        <v>55.828698</v>
      </c>
      <c r="Q3199" s="13">
        <f>IFERROR(__xludf.DUMMYFUNCTION("VALUE(SUBSTITUTE((INDEX(SPLIT(A3199,"",""),2)),""."","","",1))"),49.190784)</f>
        <v>49.190784</v>
      </c>
      <c r="R3199" s="14" t="b">
        <f t="shared" si="1"/>
        <v>0</v>
      </c>
      <c r="S3199" s="14" t="str">
        <f t="shared" si="2"/>
        <v>55.828698,49.190784</v>
      </c>
      <c r="T3199" s="12"/>
    </row>
    <row r="3200">
      <c r="A3200" s="7" t="s">
        <v>20692</v>
      </c>
      <c r="B3200" s="8" t="s">
        <v>20693</v>
      </c>
      <c r="C3200" s="8" t="s">
        <v>20694</v>
      </c>
      <c r="D3200" s="8" t="s">
        <v>16</v>
      </c>
      <c r="E3200" s="9" t="s">
        <v>20695</v>
      </c>
      <c r="F3200" s="10" t="s">
        <v>19961</v>
      </c>
      <c r="G3200" s="8">
        <v>23.61</v>
      </c>
      <c r="H3200" s="8"/>
      <c r="I3200" s="10"/>
      <c r="J3200" s="10" t="s">
        <v>20696</v>
      </c>
      <c r="K3200" s="10" t="s">
        <v>20697</v>
      </c>
      <c r="L3200" s="11" t="s">
        <v>20698</v>
      </c>
      <c r="M3200" s="10"/>
      <c r="N3200" s="12"/>
      <c r="O3200" s="12"/>
      <c r="P3200" s="13">
        <f>IFERROR(__xludf.DUMMYFUNCTION("VALUE(SUBSTITUTE((INDEX(SPLIT(A3200,"",""),1)),""."","","",1))"),55.749152)</f>
        <v>55.749152</v>
      </c>
      <c r="Q3200" s="13">
        <f>IFERROR(__xludf.DUMMYFUNCTION("VALUE(SUBSTITUTE((INDEX(SPLIT(A3200,"",""),2)),""."","","",1))"),49.192553)</f>
        <v>49.192553</v>
      </c>
      <c r="R3200" s="14" t="b">
        <f t="shared" si="1"/>
        <v>0</v>
      </c>
      <c r="S3200" s="14" t="str">
        <f t="shared" si="2"/>
        <v>55.749152,49.192553</v>
      </c>
      <c r="T3200" s="12"/>
    </row>
    <row r="3201">
      <c r="A3201" s="15" t="s">
        <v>20699</v>
      </c>
      <c r="B3201" s="16" t="s">
        <v>20700</v>
      </c>
      <c r="C3201" s="16" t="s">
        <v>20701</v>
      </c>
      <c r="D3201" s="16" t="s">
        <v>16</v>
      </c>
      <c r="E3201" s="17" t="s">
        <v>20702</v>
      </c>
      <c r="F3201" s="16" t="s">
        <v>19961</v>
      </c>
      <c r="G3201" s="16">
        <v>23.61</v>
      </c>
      <c r="H3201" s="16"/>
      <c r="I3201" s="16"/>
      <c r="J3201" s="16" t="s">
        <v>20703</v>
      </c>
      <c r="K3201" s="16" t="s">
        <v>20704</v>
      </c>
      <c r="L3201" s="16"/>
      <c r="M3201" s="16"/>
      <c r="N3201" s="12"/>
      <c r="O3201" s="12"/>
      <c r="P3201" s="13">
        <f>IFERROR(__xludf.DUMMYFUNCTION("VALUE(SUBSTITUTE((INDEX(SPLIT(A3201,"",""),1)),""."","","",1))"),55.837338)</f>
        <v>55.837338</v>
      </c>
      <c r="Q3201" s="13">
        <f>IFERROR(__xludf.DUMMYFUNCTION("VALUE(SUBSTITUTE((INDEX(SPLIT(A3201,"",""),2)),""."","","",1))"),49.193542)</f>
        <v>49.193542</v>
      </c>
      <c r="R3201" s="14" t="b">
        <f t="shared" si="1"/>
        <v>0</v>
      </c>
      <c r="S3201" s="14" t="str">
        <f t="shared" si="2"/>
        <v>55.837338,49.193542</v>
      </c>
      <c r="T3201" s="12"/>
    </row>
    <row r="3202">
      <c r="A3202" s="7" t="s">
        <v>20705</v>
      </c>
      <c r="B3202" s="8" t="s">
        <v>20706</v>
      </c>
      <c r="C3202" s="8" t="s">
        <v>20707</v>
      </c>
      <c r="D3202" s="8" t="s">
        <v>16</v>
      </c>
      <c r="E3202" s="9" t="s">
        <v>20708</v>
      </c>
      <c r="F3202" s="10" t="s">
        <v>19961</v>
      </c>
      <c r="G3202" s="8">
        <v>23.61</v>
      </c>
      <c r="H3202" s="8"/>
      <c r="I3202" s="10"/>
      <c r="J3202" s="10" t="s">
        <v>20709</v>
      </c>
      <c r="K3202" s="10" t="s">
        <v>20710</v>
      </c>
      <c r="L3202" s="11" t="s">
        <v>20711</v>
      </c>
      <c r="M3202" s="10"/>
      <c r="N3202" s="12"/>
      <c r="O3202" s="12"/>
      <c r="P3202" s="13">
        <f>IFERROR(__xludf.DUMMYFUNCTION("VALUE(SUBSTITUTE((INDEX(SPLIT(A3202,"",""),1)),""."","","",1))"),55.800317)</f>
        <v>55.800317</v>
      </c>
      <c r="Q3202" s="13">
        <f>IFERROR(__xludf.DUMMYFUNCTION("VALUE(SUBSTITUTE((INDEX(SPLIT(A3202,"",""),2)),""."","","",1))"),49.193757)</f>
        <v>49.193757</v>
      </c>
      <c r="R3202" s="14" t="b">
        <f t="shared" si="1"/>
        <v>0</v>
      </c>
      <c r="S3202" s="14" t="str">
        <f t="shared" si="2"/>
        <v>55.800317,49.193757</v>
      </c>
      <c r="T3202" s="12"/>
    </row>
    <row r="3203">
      <c r="A3203" s="15" t="s">
        <v>20712</v>
      </c>
      <c r="B3203" s="16" t="s">
        <v>20713</v>
      </c>
      <c r="C3203" s="16" t="s">
        <v>20714</v>
      </c>
      <c r="D3203" s="16" t="s">
        <v>16</v>
      </c>
      <c r="E3203" s="17" t="s">
        <v>20715</v>
      </c>
      <c r="F3203" s="16" t="s">
        <v>17071</v>
      </c>
      <c r="G3203" s="16">
        <v>23.61</v>
      </c>
      <c r="H3203" s="16"/>
      <c r="I3203" s="16"/>
      <c r="J3203" s="16" t="s">
        <v>20716</v>
      </c>
      <c r="K3203" s="16" t="s">
        <v>20717</v>
      </c>
      <c r="L3203" s="16"/>
      <c r="M3203" s="16"/>
      <c r="N3203" s="12"/>
      <c r="O3203" s="12"/>
      <c r="P3203" s="13">
        <f>IFERROR(__xludf.DUMMYFUNCTION("VALUE(SUBSTITUTE((INDEX(SPLIT(A3203,"",""),1)),""."","","",1))"),55.831969)</f>
        <v>55.831969</v>
      </c>
      <c r="Q3203" s="13">
        <f>IFERROR(__xludf.DUMMYFUNCTION("VALUE(SUBSTITUTE((INDEX(SPLIT(A3203,"",""),2)),""."","","",1))"),49.195653)</f>
        <v>49.195653</v>
      </c>
      <c r="R3203" s="14" t="b">
        <f t="shared" si="1"/>
        <v>0</v>
      </c>
      <c r="S3203" s="14" t="str">
        <f t="shared" si="2"/>
        <v>55.831969,49.195653</v>
      </c>
      <c r="T3203" s="12"/>
    </row>
    <row r="3204">
      <c r="A3204" s="7" t="s">
        <v>20718</v>
      </c>
      <c r="B3204" s="8" t="s">
        <v>20719</v>
      </c>
      <c r="C3204" s="8" t="s">
        <v>20720</v>
      </c>
      <c r="D3204" s="8" t="s">
        <v>16</v>
      </c>
      <c r="E3204" s="9" t="s">
        <v>20721</v>
      </c>
      <c r="F3204" s="10" t="s">
        <v>19961</v>
      </c>
      <c r="G3204" s="8">
        <v>23.61</v>
      </c>
      <c r="H3204" s="8"/>
      <c r="I3204" s="10"/>
      <c r="J3204" s="10" t="s">
        <v>20722</v>
      </c>
      <c r="K3204" s="10" t="s">
        <v>20723</v>
      </c>
      <c r="L3204" s="11" t="s">
        <v>20724</v>
      </c>
      <c r="M3204" s="10"/>
      <c r="N3204" s="12"/>
      <c r="O3204" s="12"/>
      <c r="P3204" s="13">
        <f>IFERROR(__xludf.DUMMYFUNCTION("VALUE(SUBSTITUTE((INDEX(SPLIT(A3204,"",""),1)),""."","","",1))"),55.743198)</f>
        <v>55.743198</v>
      </c>
      <c r="Q3204" s="13">
        <f>IFERROR(__xludf.DUMMYFUNCTION("VALUE(SUBSTITUTE((INDEX(SPLIT(A3204,"",""),2)),""."","","",1))"),49.201608)</f>
        <v>49.201608</v>
      </c>
      <c r="R3204" s="14" t="b">
        <f t="shared" si="1"/>
        <v>0</v>
      </c>
      <c r="S3204" s="14" t="str">
        <f t="shared" si="2"/>
        <v>55.743198,49.201608</v>
      </c>
      <c r="T3204" s="12"/>
    </row>
    <row r="3205">
      <c r="A3205" s="15" t="s">
        <v>20725</v>
      </c>
      <c r="B3205" s="16" t="s">
        <v>20726</v>
      </c>
      <c r="C3205" s="16" t="s">
        <v>20727</v>
      </c>
      <c r="D3205" s="16" t="s">
        <v>16</v>
      </c>
      <c r="E3205" s="17" t="s">
        <v>20728</v>
      </c>
      <c r="F3205" s="16" t="s">
        <v>19927</v>
      </c>
      <c r="G3205" s="16">
        <v>23.61</v>
      </c>
      <c r="H3205" s="16"/>
      <c r="I3205" s="16"/>
      <c r="J3205" s="16" t="s">
        <v>20729</v>
      </c>
      <c r="K3205" s="16" t="s">
        <v>20730</v>
      </c>
      <c r="L3205" s="16"/>
      <c r="M3205" s="16"/>
      <c r="N3205" s="12"/>
      <c r="O3205" s="12"/>
      <c r="P3205" s="13">
        <f>IFERROR(__xludf.DUMMYFUNCTION("VALUE(SUBSTITUTE((INDEX(SPLIT(A3205,"",""),1)),""."","","",1))"),55.654569)</f>
        <v>55.654569</v>
      </c>
      <c r="Q3205" s="13">
        <f>IFERROR(__xludf.DUMMYFUNCTION("VALUE(SUBSTITUTE((INDEX(SPLIT(A3205,"",""),2)),""."","","",1))"),49.208175)</f>
        <v>49.208175</v>
      </c>
      <c r="R3205" s="14" t="b">
        <f t="shared" si="1"/>
        <v>0</v>
      </c>
      <c r="S3205" s="14" t="str">
        <f t="shared" si="2"/>
        <v>55.654569,49.208175</v>
      </c>
      <c r="T3205" s="12"/>
    </row>
    <row r="3206">
      <c r="A3206" s="18" t="s">
        <v>20731</v>
      </c>
      <c r="B3206" s="8" t="s">
        <v>20732</v>
      </c>
      <c r="C3206" s="8" t="s">
        <v>20733</v>
      </c>
      <c r="D3206" s="8" t="s">
        <v>16</v>
      </c>
      <c r="E3206" s="19" t="s">
        <v>20734</v>
      </c>
      <c r="F3206" s="8" t="s">
        <v>19961</v>
      </c>
      <c r="G3206" s="8">
        <v>23.61</v>
      </c>
      <c r="H3206" s="8"/>
      <c r="I3206" s="8"/>
      <c r="J3206" s="8" t="s">
        <v>20735</v>
      </c>
      <c r="K3206" s="8" t="s">
        <v>20736</v>
      </c>
      <c r="L3206" s="8"/>
      <c r="M3206" s="24" t="s">
        <v>20737</v>
      </c>
      <c r="N3206" s="12"/>
      <c r="O3206" s="12"/>
      <c r="P3206" s="13">
        <f>IFERROR(__xludf.DUMMYFUNCTION("VALUE(SUBSTITUTE((INDEX(SPLIT(A3206,"",""),1)),""."","","",1))"),55.76999)</f>
        <v>55.76999</v>
      </c>
      <c r="Q3206" s="13">
        <f>IFERROR(__xludf.DUMMYFUNCTION("VALUE(SUBSTITUTE((INDEX(SPLIT(A3206,"",""),2)),""."","","",1))"),49.209783)</f>
        <v>49.209783</v>
      </c>
      <c r="R3206" s="14" t="b">
        <f t="shared" si="1"/>
        <v>0</v>
      </c>
      <c r="S3206" s="14" t="str">
        <f t="shared" si="2"/>
        <v>55.76999,49.209783</v>
      </c>
      <c r="T3206" s="12"/>
    </row>
    <row r="3207">
      <c r="A3207" s="20" t="s">
        <v>20738</v>
      </c>
      <c r="B3207" s="16" t="s">
        <v>20739</v>
      </c>
      <c r="C3207" s="16" t="s">
        <v>20740</v>
      </c>
      <c r="D3207" s="16" t="s">
        <v>16</v>
      </c>
      <c r="E3207" s="21" t="s">
        <v>20741</v>
      </c>
      <c r="F3207" s="22" t="s">
        <v>19961</v>
      </c>
      <c r="G3207" s="16">
        <v>23.61</v>
      </c>
      <c r="H3207" s="16"/>
      <c r="I3207" s="22"/>
      <c r="J3207" s="22" t="s">
        <v>20742</v>
      </c>
      <c r="K3207" s="22" t="s">
        <v>20743</v>
      </c>
      <c r="L3207" s="23" t="s">
        <v>20744</v>
      </c>
      <c r="M3207" s="23" t="s">
        <v>20737</v>
      </c>
      <c r="N3207" s="12"/>
      <c r="O3207" s="12"/>
      <c r="P3207" s="13">
        <f>IFERROR(__xludf.DUMMYFUNCTION("VALUE(SUBSTITUTE((INDEX(SPLIT(A3207,"",""),1)),""."","","",1))"),55.68027)</f>
        <v>55.68027</v>
      </c>
      <c r="Q3207" s="13">
        <f>IFERROR(__xludf.DUMMYFUNCTION("VALUE(SUBSTITUTE((INDEX(SPLIT(A3207,"",""),2)),""."","","",1))"),49.212451)</f>
        <v>49.212451</v>
      </c>
      <c r="R3207" s="14" t="b">
        <f t="shared" si="1"/>
        <v>0</v>
      </c>
      <c r="S3207" s="14" t="str">
        <f t="shared" si="2"/>
        <v>55.68027,49.212451</v>
      </c>
      <c r="T3207" s="12"/>
    </row>
    <row r="3208">
      <c r="A3208" s="18" t="s">
        <v>20745</v>
      </c>
      <c r="B3208" s="8" t="s">
        <v>20746</v>
      </c>
      <c r="C3208" s="8" t="s">
        <v>20747</v>
      </c>
      <c r="D3208" s="8" t="s">
        <v>16</v>
      </c>
      <c r="E3208" s="19" t="s">
        <v>20748</v>
      </c>
      <c r="F3208" s="8" t="s">
        <v>19927</v>
      </c>
      <c r="G3208" s="8">
        <v>23.61</v>
      </c>
      <c r="H3208" s="8"/>
      <c r="I3208" s="8"/>
      <c r="J3208" s="8" t="s">
        <v>20749</v>
      </c>
      <c r="K3208" s="8" t="s">
        <v>20750</v>
      </c>
      <c r="L3208" s="8"/>
      <c r="M3208" s="8"/>
      <c r="N3208" s="12"/>
      <c r="O3208" s="12"/>
      <c r="P3208" s="13">
        <f>IFERROR(__xludf.DUMMYFUNCTION("VALUE(SUBSTITUTE((INDEX(SPLIT(A3208,"",""),1)),""."","","",1))"),55.779722)</f>
        <v>55.779722</v>
      </c>
      <c r="Q3208" s="13">
        <f>IFERROR(__xludf.DUMMYFUNCTION("VALUE(SUBSTITUTE((INDEX(SPLIT(A3208,"",""),2)),""."","","",1))"),49.22289)</f>
        <v>49.22289</v>
      </c>
      <c r="R3208" s="14" t="b">
        <f t="shared" si="1"/>
        <v>0</v>
      </c>
      <c r="S3208" s="14" t="str">
        <f t="shared" si="2"/>
        <v>55.779722,49.22289</v>
      </c>
      <c r="T3208" s="12"/>
    </row>
    <row r="3209">
      <c r="A3209" s="20" t="s">
        <v>20751</v>
      </c>
      <c r="B3209" s="16" t="s">
        <v>20752</v>
      </c>
      <c r="C3209" s="16" t="s">
        <v>20753</v>
      </c>
      <c r="D3209" s="16" t="s">
        <v>16</v>
      </c>
      <c r="E3209" s="21" t="s">
        <v>20754</v>
      </c>
      <c r="F3209" s="22" t="s">
        <v>19961</v>
      </c>
      <c r="G3209" s="16">
        <v>23.61</v>
      </c>
      <c r="H3209" s="16"/>
      <c r="I3209" s="22"/>
      <c r="J3209" s="22" t="s">
        <v>20755</v>
      </c>
      <c r="K3209" s="22" t="s">
        <v>20756</v>
      </c>
      <c r="L3209" s="23" t="s">
        <v>20757</v>
      </c>
      <c r="M3209" s="22"/>
      <c r="N3209" s="12"/>
      <c r="O3209" s="12"/>
      <c r="P3209" s="13">
        <f>IFERROR(__xludf.DUMMYFUNCTION("VALUE(SUBSTITUTE((INDEX(SPLIT(A3209,"",""),1)),""."","","",1))"),55.752516)</f>
        <v>55.752516</v>
      </c>
      <c r="Q3209" s="13">
        <f>IFERROR(__xludf.DUMMYFUNCTION("VALUE(SUBSTITUTE((INDEX(SPLIT(A3209,"",""),2)),""."","","",1))"),49.227246)</f>
        <v>49.227246</v>
      </c>
      <c r="R3209" s="14" t="b">
        <f t="shared" si="1"/>
        <v>0</v>
      </c>
      <c r="S3209" s="14" t="str">
        <f t="shared" si="2"/>
        <v>55.752516,49.227246</v>
      </c>
      <c r="T3209" s="12"/>
    </row>
    <row r="3210">
      <c r="A3210" s="7" t="s">
        <v>20758</v>
      </c>
      <c r="B3210" s="8" t="s">
        <v>20759</v>
      </c>
      <c r="C3210" s="8" t="s">
        <v>20760</v>
      </c>
      <c r="D3210" s="8" t="s">
        <v>16</v>
      </c>
      <c r="E3210" s="9" t="s">
        <v>20761</v>
      </c>
      <c r="F3210" s="10" t="s">
        <v>19927</v>
      </c>
      <c r="G3210" s="8">
        <v>23.61</v>
      </c>
      <c r="H3210" s="8"/>
      <c r="I3210" s="10"/>
      <c r="J3210" s="10" t="s">
        <v>20762</v>
      </c>
      <c r="K3210" s="10" t="s">
        <v>20763</v>
      </c>
      <c r="L3210" s="11" t="s">
        <v>20764</v>
      </c>
      <c r="M3210" s="10"/>
      <c r="N3210" s="12"/>
      <c r="O3210" s="12"/>
      <c r="P3210" s="13">
        <f>IFERROR(__xludf.DUMMYFUNCTION("VALUE(SUBSTITUTE((INDEX(SPLIT(A3210,"",""),1)),""."","","",1))"),55.640401)</f>
        <v>55.640401</v>
      </c>
      <c r="Q3210" s="13">
        <f>IFERROR(__xludf.DUMMYFUNCTION("VALUE(SUBSTITUTE((INDEX(SPLIT(A3210,"",""),2)),""."","","",1))"),49.22925)</f>
        <v>49.22925</v>
      </c>
      <c r="R3210" s="14" t="b">
        <f t="shared" si="1"/>
        <v>0</v>
      </c>
      <c r="S3210" s="14" t="str">
        <f t="shared" si="2"/>
        <v>55.640401,49.22925</v>
      </c>
      <c r="T3210" s="12"/>
    </row>
    <row r="3211">
      <c r="A3211" s="15" t="s">
        <v>20765</v>
      </c>
      <c r="B3211" s="16" t="s">
        <v>14670</v>
      </c>
      <c r="C3211" s="16" t="s">
        <v>14671</v>
      </c>
      <c r="D3211" s="16" t="s">
        <v>16</v>
      </c>
      <c r="E3211" s="17" t="s">
        <v>20766</v>
      </c>
      <c r="F3211" s="16" t="s">
        <v>19927</v>
      </c>
      <c r="G3211" s="16">
        <v>23.61</v>
      </c>
      <c r="H3211" s="16"/>
      <c r="I3211" s="32" t="s">
        <v>20767</v>
      </c>
      <c r="J3211" s="16" t="s">
        <v>20768</v>
      </c>
      <c r="K3211" s="16" t="s">
        <v>20769</v>
      </c>
      <c r="L3211" s="16"/>
      <c r="M3211" s="16"/>
      <c r="N3211" s="12"/>
      <c r="O3211" s="12"/>
      <c r="P3211" s="13">
        <f>IFERROR(__xludf.DUMMYFUNCTION("VALUE(SUBSTITUTE((INDEX(SPLIT(A3211,"",""),1)),""."","","",1))"),55.769545)</f>
        <v>55.769545</v>
      </c>
      <c r="Q3211" s="13">
        <f>IFERROR(__xludf.DUMMYFUNCTION("VALUE(SUBSTITUTE((INDEX(SPLIT(A3211,"",""),2)),""."","","",1))"),49.229986)</f>
        <v>49.229986</v>
      </c>
      <c r="R3211" s="14" t="b">
        <f t="shared" si="1"/>
        <v>0</v>
      </c>
      <c r="S3211" s="14" t="str">
        <f t="shared" si="2"/>
        <v>55.769545,49.229986</v>
      </c>
      <c r="T3211" s="12"/>
    </row>
    <row r="3212">
      <c r="A3212" s="7" t="s">
        <v>20770</v>
      </c>
      <c r="B3212" s="8" t="s">
        <v>20771</v>
      </c>
      <c r="C3212" s="8" t="s">
        <v>20772</v>
      </c>
      <c r="D3212" s="8" t="s">
        <v>16</v>
      </c>
      <c r="E3212" s="9" t="s">
        <v>20773</v>
      </c>
      <c r="F3212" s="10" t="s">
        <v>19927</v>
      </c>
      <c r="G3212" s="8">
        <v>23.61</v>
      </c>
      <c r="H3212" s="8"/>
      <c r="I3212" s="10"/>
      <c r="J3212" s="10" t="s">
        <v>20774</v>
      </c>
      <c r="K3212" s="10" t="s">
        <v>20775</v>
      </c>
      <c r="L3212" s="11" t="s">
        <v>20776</v>
      </c>
      <c r="M3212" s="10"/>
      <c r="N3212" s="12"/>
      <c r="O3212" s="12"/>
      <c r="P3212" s="13">
        <f>IFERROR(__xludf.DUMMYFUNCTION("VALUE(SUBSTITUTE((INDEX(SPLIT(A3212,"",""),1)),""."","","",1))"),55.880571)</f>
        <v>55.880571</v>
      </c>
      <c r="Q3212" s="13">
        <f>IFERROR(__xludf.DUMMYFUNCTION("VALUE(SUBSTITUTE((INDEX(SPLIT(A3212,"",""),2)),""."","","",1))"),49.230633)</f>
        <v>49.230633</v>
      </c>
      <c r="R3212" s="14" t="b">
        <f t="shared" si="1"/>
        <v>0</v>
      </c>
      <c r="S3212" s="14" t="str">
        <f t="shared" si="2"/>
        <v>55.880571,49.230633</v>
      </c>
      <c r="T3212" s="12"/>
    </row>
    <row r="3213">
      <c r="A3213" s="15" t="s">
        <v>20777</v>
      </c>
      <c r="B3213" s="16" t="s">
        <v>20778</v>
      </c>
      <c r="C3213" s="16" t="s">
        <v>20779</v>
      </c>
      <c r="D3213" s="16" t="s">
        <v>16</v>
      </c>
      <c r="E3213" s="17" t="s">
        <v>20780</v>
      </c>
      <c r="F3213" s="16" t="s">
        <v>19927</v>
      </c>
      <c r="G3213" s="16">
        <v>23.61</v>
      </c>
      <c r="H3213" s="16"/>
      <c r="I3213" s="16"/>
      <c r="J3213" s="16" t="s">
        <v>20781</v>
      </c>
      <c r="K3213" s="16" t="s">
        <v>20782</v>
      </c>
      <c r="L3213" s="16"/>
      <c r="M3213" s="16"/>
      <c r="N3213" s="12"/>
      <c r="O3213" s="12"/>
      <c r="P3213" s="13">
        <f>IFERROR(__xludf.DUMMYFUNCTION("VALUE(SUBSTITUTE((INDEX(SPLIT(A3213,"",""),1)),""."","","",1))"),55.760535)</f>
        <v>55.760535</v>
      </c>
      <c r="Q3213" s="13">
        <f>IFERROR(__xludf.DUMMYFUNCTION("VALUE(SUBSTITUTE((INDEX(SPLIT(A3213,"",""),2)),""."","","",1))"),49.232618)</f>
        <v>49.232618</v>
      </c>
      <c r="R3213" s="14" t="b">
        <f t="shared" si="1"/>
        <v>0</v>
      </c>
      <c r="S3213" s="14" t="str">
        <f t="shared" si="2"/>
        <v>55.760535,49.232618</v>
      </c>
      <c r="T3213" s="12"/>
    </row>
    <row r="3214">
      <c r="A3214" s="18" t="s">
        <v>20783</v>
      </c>
      <c r="B3214" s="8" t="s">
        <v>20784</v>
      </c>
      <c r="C3214" s="8" t="s">
        <v>20785</v>
      </c>
      <c r="D3214" s="8" t="s">
        <v>16</v>
      </c>
      <c r="E3214" s="19" t="s">
        <v>20786</v>
      </c>
      <c r="F3214" s="8" t="s">
        <v>19927</v>
      </c>
      <c r="G3214" s="8">
        <v>23.61</v>
      </c>
      <c r="H3214" s="8"/>
      <c r="I3214" s="8"/>
      <c r="J3214" s="8" t="s">
        <v>20787</v>
      </c>
      <c r="K3214" s="8" t="s">
        <v>19942</v>
      </c>
      <c r="L3214" s="8"/>
      <c r="M3214" s="8"/>
      <c r="N3214" s="12"/>
      <c r="O3214" s="12"/>
      <c r="P3214" s="13">
        <f>IFERROR(__xludf.DUMMYFUNCTION("VALUE(SUBSTITUTE((INDEX(SPLIT(A3214,"",""),1)),""."","","",1))"),55.754593)</f>
        <v>55.754593</v>
      </c>
      <c r="Q3214" s="13">
        <f>IFERROR(__xludf.DUMMYFUNCTION("VALUE(SUBSTITUTE((INDEX(SPLIT(A3214,"",""),2)),""."","","",1))"),49.233562)</f>
        <v>49.233562</v>
      </c>
      <c r="R3214" s="14" t="b">
        <f t="shared" si="1"/>
        <v>0</v>
      </c>
      <c r="S3214" s="14" t="str">
        <f t="shared" si="2"/>
        <v>55.754593,49.233562</v>
      </c>
      <c r="T3214" s="12"/>
    </row>
    <row r="3215">
      <c r="A3215" s="15" t="s">
        <v>20788</v>
      </c>
      <c r="B3215" s="16" t="s">
        <v>20789</v>
      </c>
      <c r="C3215" s="16" t="s">
        <v>20790</v>
      </c>
      <c r="D3215" s="16" t="s">
        <v>16</v>
      </c>
      <c r="E3215" s="17" t="s">
        <v>20791</v>
      </c>
      <c r="F3215" s="16" t="s">
        <v>19927</v>
      </c>
      <c r="G3215" s="16">
        <v>23.61</v>
      </c>
      <c r="H3215" s="16"/>
      <c r="I3215" s="16"/>
      <c r="J3215" s="16" t="s">
        <v>20792</v>
      </c>
      <c r="K3215" s="16" t="s">
        <v>20793</v>
      </c>
      <c r="L3215" s="16"/>
      <c r="M3215" s="16"/>
      <c r="N3215" s="12"/>
      <c r="O3215" s="12"/>
      <c r="P3215" s="13">
        <f>IFERROR(__xludf.DUMMYFUNCTION("VALUE(SUBSTITUTE((INDEX(SPLIT(A3215,"",""),1)),""."","","",1))"),55.769687)</f>
        <v>55.769687</v>
      </c>
      <c r="Q3215" s="13">
        <f>IFERROR(__xludf.DUMMYFUNCTION("VALUE(SUBSTITUTE((INDEX(SPLIT(A3215,"",""),2)),""."","","",1))"),49.233678)</f>
        <v>49.233678</v>
      </c>
      <c r="R3215" s="14" t="b">
        <f t="shared" si="1"/>
        <v>0</v>
      </c>
      <c r="S3215" s="14" t="str">
        <f t="shared" si="2"/>
        <v>55.769687,49.233678</v>
      </c>
      <c r="T3215" s="12"/>
    </row>
    <row r="3216">
      <c r="A3216" s="7" t="s">
        <v>20794</v>
      </c>
      <c r="B3216" s="8" t="s">
        <v>20795</v>
      </c>
      <c r="C3216" s="8" t="s">
        <v>20796</v>
      </c>
      <c r="D3216" s="8" t="s">
        <v>16</v>
      </c>
      <c r="E3216" s="9" t="s">
        <v>20797</v>
      </c>
      <c r="F3216" s="10" t="s">
        <v>19927</v>
      </c>
      <c r="G3216" s="8">
        <v>23.61</v>
      </c>
      <c r="H3216" s="8"/>
      <c r="I3216" s="31" t="s">
        <v>20798</v>
      </c>
      <c r="J3216" s="10" t="s">
        <v>20799</v>
      </c>
      <c r="K3216" s="10" t="s">
        <v>20800</v>
      </c>
      <c r="L3216" s="11" t="s">
        <v>20801</v>
      </c>
      <c r="M3216" s="10"/>
      <c r="N3216" s="12"/>
      <c r="O3216" s="12"/>
      <c r="P3216" s="13">
        <f>IFERROR(__xludf.DUMMYFUNCTION("VALUE(SUBSTITUTE((INDEX(SPLIT(A3216,"",""),1)),""."","","",1))"),55.763361)</f>
        <v>55.763361</v>
      </c>
      <c r="Q3216" s="13">
        <f>IFERROR(__xludf.DUMMYFUNCTION("VALUE(SUBSTITUTE((INDEX(SPLIT(A3216,"",""),2)),""."","","",1))"),49.234963)</f>
        <v>49.234963</v>
      </c>
      <c r="R3216" s="14" t="b">
        <f t="shared" si="1"/>
        <v>0</v>
      </c>
      <c r="S3216" s="14" t="str">
        <f t="shared" si="2"/>
        <v>55.763361,49.234963</v>
      </c>
      <c r="T3216" s="12"/>
    </row>
    <row r="3217">
      <c r="A3217" s="15" t="s">
        <v>20802</v>
      </c>
      <c r="B3217" s="16" t="s">
        <v>20803</v>
      </c>
      <c r="C3217" s="16" t="s">
        <v>20804</v>
      </c>
      <c r="D3217" s="16" t="s">
        <v>16</v>
      </c>
      <c r="E3217" s="17" t="s">
        <v>20805</v>
      </c>
      <c r="F3217" s="16" t="s">
        <v>19927</v>
      </c>
      <c r="G3217" s="16">
        <v>23.61</v>
      </c>
      <c r="H3217" s="16"/>
      <c r="I3217" s="16"/>
      <c r="J3217" s="16" t="s">
        <v>20806</v>
      </c>
      <c r="K3217" s="16" t="s">
        <v>20807</v>
      </c>
      <c r="L3217" s="16"/>
      <c r="M3217" s="16"/>
      <c r="N3217" s="12"/>
      <c r="O3217" s="12"/>
      <c r="P3217" s="13">
        <f>IFERROR(__xludf.DUMMYFUNCTION("VALUE(SUBSTITUTE((INDEX(SPLIT(A3217,"",""),1)),""."","","",1))"),53.51718)</f>
        <v>53.51718</v>
      </c>
      <c r="Q3217" s="13">
        <f>IFERROR(__xludf.DUMMYFUNCTION("VALUE(SUBSTITUTE((INDEX(SPLIT(A3217,"",""),2)),""."","","",1))"),49.263673)</f>
        <v>49.263673</v>
      </c>
      <c r="R3217" s="14" t="b">
        <f t="shared" si="1"/>
        <v>0</v>
      </c>
      <c r="S3217" s="14" t="str">
        <f t="shared" si="2"/>
        <v>53.51718,49.263673</v>
      </c>
      <c r="T3217" s="12"/>
    </row>
    <row r="3218">
      <c r="A3218" s="18" t="s">
        <v>20808</v>
      </c>
      <c r="B3218" s="8" t="s">
        <v>20809</v>
      </c>
      <c r="C3218" s="8" t="s">
        <v>20810</v>
      </c>
      <c r="D3218" s="8" t="s">
        <v>16</v>
      </c>
      <c r="E3218" s="19" t="s">
        <v>20811</v>
      </c>
      <c r="F3218" s="8" t="s">
        <v>16443</v>
      </c>
      <c r="G3218" s="8">
        <v>23.61</v>
      </c>
      <c r="H3218" s="8"/>
      <c r="I3218" s="8"/>
      <c r="J3218" s="8" t="s">
        <v>20812</v>
      </c>
      <c r="K3218" s="8" t="s">
        <v>20813</v>
      </c>
      <c r="L3218" s="8"/>
      <c r="M3218" s="8"/>
      <c r="N3218" s="12"/>
      <c r="O3218" s="12"/>
      <c r="P3218" s="13">
        <f>IFERROR(__xludf.DUMMYFUNCTION("VALUE(SUBSTITUTE((INDEX(SPLIT(A3218,"",""),1)),""."","","",1))"),53.515044)</f>
        <v>53.515044</v>
      </c>
      <c r="Q3218" s="13">
        <f>IFERROR(__xludf.DUMMYFUNCTION("VALUE(SUBSTITUTE((INDEX(SPLIT(A3218,"",""),2)),""."","","",1))"),49.270186)</f>
        <v>49.270186</v>
      </c>
      <c r="R3218" s="14" t="b">
        <f t="shared" si="1"/>
        <v>0</v>
      </c>
      <c r="S3218" s="14" t="str">
        <f t="shared" si="2"/>
        <v>53.515044,49.270186</v>
      </c>
      <c r="T3218" s="12"/>
    </row>
    <row r="3219">
      <c r="A3219" s="20" t="s">
        <v>20814</v>
      </c>
      <c r="B3219" s="16" t="s">
        <v>20815</v>
      </c>
      <c r="C3219" s="16" t="s">
        <v>20816</v>
      </c>
      <c r="D3219" s="16" t="s">
        <v>16</v>
      </c>
      <c r="E3219" s="21" t="s">
        <v>20817</v>
      </c>
      <c r="F3219" s="22" t="s">
        <v>19927</v>
      </c>
      <c r="G3219" s="16">
        <v>23.61</v>
      </c>
      <c r="H3219" s="16"/>
      <c r="I3219" s="22"/>
      <c r="J3219" s="22" t="s">
        <v>20818</v>
      </c>
      <c r="K3219" s="22" t="s">
        <v>20819</v>
      </c>
      <c r="L3219" s="23" t="s">
        <v>20820</v>
      </c>
      <c r="M3219" s="23" t="s">
        <v>20821</v>
      </c>
      <c r="N3219" s="12"/>
      <c r="O3219" s="12"/>
      <c r="P3219" s="13">
        <f>IFERROR(__xludf.DUMMYFUNCTION("VALUE(SUBSTITUTE((INDEX(SPLIT(A3219,"",""),1)),""."","","",1))"),53.521195)</f>
        <v>53.521195</v>
      </c>
      <c r="Q3219" s="13">
        <f>IFERROR(__xludf.DUMMYFUNCTION("VALUE(SUBSTITUTE((INDEX(SPLIT(A3219,"",""),2)),""."","","",1))"),49.273321)</f>
        <v>49.273321</v>
      </c>
      <c r="R3219" s="14" t="b">
        <f t="shared" si="1"/>
        <v>0</v>
      </c>
      <c r="S3219" s="14" t="str">
        <f t="shared" si="2"/>
        <v>53.521195,49.273321</v>
      </c>
      <c r="T3219" s="12"/>
    </row>
    <row r="3220">
      <c r="A3220" s="18" t="s">
        <v>20822</v>
      </c>
      <c r="B3220" s="8" t="s">
        <v>20823</v>
      </c>
      <c r="C3220" s="8" t="s">
        <v>20824</v>
      </c>
      <c r="D3220" s="8" t="s">
        <v>16</v>
      </c>
      <c r="E3220" s="19" t="s">
        <v>20825</v>
      </c>
      <c r="F3220" s="8" t="s">
        <v>16443</v>
      </c>
      <c r="G3220" s="8">
        <v>23.61</v>
      </c>
      <c r="H3220" s="8"/>
      <c r="I3220" s="8"/>
      <c r="J3220" s="8" t="s">
        <v>20826</v>
      </c>
      <c r="K3220" s="8" t="s">
        <v>20827</v>
      </c>
      <c r="L3220" s="8"/>
      <c r="M3220" s="8"/>
      <c r="N3220" s="12"/>
      <c r="O3220" s="12"/>
      <c r="P3220" s="13">
        <f>IFERROR(__xludf.DUMMYFUNCTION("VALUE(SUBSTITUTE((INDEX(SPLIT(A3220,"",""),1)),""."","","",1))"),55.964483)</f>
        <v>55.964483</v>
      </c>
      <c r="Q3220" s="13">
        <f>IFERROR(__xludf.DUMMYFUNCTION("VALUE(SUBSTITUTE((INDEX(SPLIT(A3220,"",""),2)),""."","","",1))"),49.275531)</f>
        <v>49.275531</v>
      </c>
      <c r="R3220" s="14" t="b">
        <f t="shared" si="1"/>
        <v>0</v>
      </c>
      <c r="S3220" s="14" t="str">
        <f t="shared" si="2"/>
        <v>55.964483,49.275531</v>
      </c>
      <c r="T3220" s="12"/>
    </row>
    <row r="3221">
      <c r="A3221" s="15" t="s">
        <v>20822</v>
      </c>
      <c r="B3221" s="16" t="s">
        <v>20828</v>
      </c>
      <c r="C3221" s="16" t="s">
        <v>20829</v>
      </c>
      <c r="D3221" s="16" t="s">
        <v>16</v>
      </c>
      <c r="E3221" s="17" t="s">
        <v>20830</v>
      </c>
      <c r="F3221" s="16" t="s">
        <v>16443</v>
      </c>
      <c r="G3221" s="16">
        <v>23.61</v>
      </c>
      <c r="H3221" s="16"/>
      <c r="I3221" s="16"/>
      <c r="J3221" s="16" t="s">
        <v>20831</v>
      </c>
      <c r="K3221" s="16" t="s">
        <v>20832</v>
      </c>
      <c r="L3221" s="16"/>
      <c r="M3221" s="16"/>
      <c r="N3221" s="12"/>
      <c r="O3221" s="12"/>
      <c r="P3221" s="13">
        <f>IFERROR(__xludf.DUMMYFUNCTION("VALUE(SUBSTITUTE((INDEX(SPLIT(A3221,"",""),1)),""."","","",1))"),55.964483)</f>
        <v>55.964483</v>
      </c>
      <c r="Q3221" s="13">
        <f>IFERROR(__xludf.DUMMYFUNCTION("VALUE(SUBSTITUTE((INDEX(SPLIT(A3221,"",""),2)),""."","","",1))"),49.275531)</f>
        <v>49.275531</v>
      </c>
      <c r="R3221" s="14" t="b">
        <f t="shared" si="1"/>
        <v>0</v>
      </c>
      <c r="S3221" s="14" t="str">
        <f t="shared" si="2"/>
        <v>55.964483,49.275531</v>
      </c>
      <c r="T3221" s="12"/>
    </row>
    <row r="3222">
      <c r="A3222" s="18" t="s">
        <v>20833</v>
      </c>
      <c r="B3222" s="8" t="s">
        <v>20834</v>
      </c>
      <c r="C3222" s="8" t="s">
        <v>20835</v>
      </c>
      <c r="D3222" s="8" t="s">
        <v>16</v>
      </c>
      <c r="E3222" s="19" t="s">
        <v>20836</v>
      </c>
      <c r="F3222" s="8" t="s">
        <v>16443</v>
      </c>
      <c r="G3222" s="8">
        <v>23.61</v>
      </c>
      <c r="H3222" s="8"/>
      <c r="I3222" s="8"/>
      <c r="J3222" s="8" t="s">
        <v>20831</v>
      </c>
      <c r="K3222" s="8" t="s">
        <v>20837</v>
      </c>
      <c r="L3222" s="8"/>
      <c r="M3222" s="8"/>
      <c r="N3222" s="12"/>
      <c r="O3222" s="12"/>
      <c r="P3222" s="13">
        <f>IFERROR(__xludf.DUMMYFUNCTION("VALUE(SUBSTITUTE((INDEX(SPLIT(A3222,"",""),1)),""."","","",1))"),53.535882)</f>
        <v>53.535882</v>
      </c>
      <c r="Q3222" s="13">
        <f>IFERROR(__xludf.DUMMYFUNCTION("VALUE(SUBSTITUTE((INDEX(SPLIT(A3222,"",""),2)),""."","","",1))"),49.283876)</f>
        <v>49.283876</v>
      </c>
      <c r="R3222" s="14" t="b">
        <f t="shared" si="1"/>
        <v>0</v>
      </c>
      <c r="S3222" s="14" t="str">
        <f t="shared" si="2"/>
        <v>53.535882,49.283876</v>
      </c>
      <c r="T3222" s="12"/>
    </row>
    <row r="3223">
      <c r="A3223" s="15" t="s">
        <v>20838</v>
      </c>
      <c r="B3223" s="16" t="s">
        <v>20839</v>
      </c>
      <c r="C3223" s="16" t="s">
        <v>20840</v>
      </c>
      <c r="D3223" s="16" t="s">
        <v>16</v>
      </c>
      <c r="E3223" s="17" t="s">
        <v>20841</v>
      </c>
      <c r="F3223" s="16" t="s">
        <v>12912</v>
      </c>
      <c r="G3223" s="16">
        <v>23.61</v>
      </c>
      <c r="H3223" s="16"/>
      <c r="I3223" s="16"/>
      <c r="J3223" s="16" t="s">
        <v>20842</v>
      </c>
      <c r="K3223" s="16" t="s">
        <v>20843</v>
      </c>
      <c r="L3223" s="16"/>
      <c r="M3223" s="16"/>
      <c r="N3223" s="12"/>
      <c r="O3223" s="12"/>
      <c r="P3223" s="13">
        <f>IFERROR(__xludf.DUMMYFUNCTION("VALUE(SUBSTITUTE((INDEX(SPLIT(A3223,"",""),1)),""."","","",1))"),53.522373)</f>
        <v>53.522373</v>
      </c>
      <c r="Q3223" s="13">
        <f>IFERROR(__xludf.DUMMYFUNCTION("VALUE(SUBSTITUTE((INDEX(SPLIT(A3223,"",""),2)),""."","","",1))"),49.289769)</f>
        <v>49.289769</v>
      </c>
      <c r="R3223" s="14" t="b">
        <f t="shared" si="1"/>
        <v>0</v>
      </c>
      <c r="S3223" s="14" t="str">
        <f t="shared" si="2"/>
        <v>53.522373,49.289769</v>
      </c>
      <c r="T3223" s="12"/>
    </row>
    <row r="3224">
      <c r="A3224" s="7" t="s">
        <v>20844</v>
      </c>
      <c r="B3224" s="8" t="s">
        <v>20845</v>
      </c>
      <c r="C3224" s="8" t="s">
        <v>20846</v>
      </c>
      <c r="D3224" s="8" t="s">
        <v>16</v>
      </c>
      <c r="E3224" s="9" t="s">
        <v>20847</v>
      </c>
      <c r="F3224" s="10" t="s">
        <v>2057</v>
      </c>
      <c r="G3224" s="8">
        <v>23.61</v>
      </c>
      <c r="H3224" s="8"/>
      <c r="I3224" s="10"/>
      <c r="J3224" s="10" t="s">
        <v>20848</v>
      </c>
      <c r="K3224" s="10" t="s">
        <v>2302</v>
      </c>
      <c r="L3224" s="11" t="s">
        <v>20849</v>
      </c>
      <c r="M3224" s="10"/>
      <c r="N3224" s="12"/>
      <c r="O3224" s="12"/>
      <c r="P3224" s="13">
        <f>IFERROR(__xludf.DUMMYFUNCTION("VALUE(SUBSTITUTE((INDEX(SPLIT(A3224,"",""),1)),""."","","",1))"),53.537135)</f>
        <v>53.537135</v>
      </c>
      <c r="Q3224" s="13">
        <f>IFERROR(__xludf.DUMMYFUNCTION("VALUE(SUBSTITUTE((INDEX(SPLIT(A3224,"",""),2)),""."","","",1))"),49.29241)</f>
        <v>49.29241</v>
      </c>
      <c r="R3224" s="14" t="b">
        <f t="shared" si="1"/>
        <v>0</v>
      </c>
      <c r="S3224" s="14" t="str">
        <f t="shared" si="2"/>
        <v>53.537135,49.29241</v>
      </c>
      <c r="T3224" s="12"/>
    </row>
    <row r="3225">
      <c r="A3225" s="20" t="s">
        <v>20850</v>
      </c>
      <c r="B3225" s="16" t="s">
        <v>20851</v>
      </c>
      <c r="C3225" s="16" t="s">
        <v>20852</v>
      </c>
      <c r="D3225" s="16" t="s">
        <v>16</v>
      </c>
      <c r="E3225" s="21" t="s">
        <v>20853</v>
      </c>
      <c r="F3225" s="22" t="s">
        <v>19961</v>
      </c>
      <c r="G3225" s="16">
        <v>23.61</v>
      </c>
      <c r="H3225" s="16"/>
      <c r="I3225" s="22"/>
      <c r="J3225" s="22" t="s">
        <v>20854</v>
      </c>
      <c r="K3225" s="22" t="s">
        <v>20855</v>
      </c>
      <c r="L3225" s="23" t="s">
        <v>20856</v>
      </c>
      <c r="M3225" s="23" t="s">
        <v>20857</v>
      </c>
      <c r="N3225" s="12"/>
      <c r="O3225" s="12"/>
      <c r="P3225" s="13">
        <f>IFERROR(__xludf.DUMMYFUNCTION("VALUE(SUBSTITUTE((INDEX(SPLIT(A3225,"",""),1)),""."","","",1))"),55.919044)</f>
        <v>55.919044</v>
      </c>
      <c r="Q3225" s="13">
        <f>IFERROR(__xludf.DUMMYFUNCTION("VALUE(SUBSTITUTE((INDEX(SPLIT(A3225,"",""),2)),""."","","",1))"),49.303415)</f>
        <v>49.303415</v>
      </c>
      <c r="R3225" s="14" t="b">
        <f t="shared" si="1"/>
        <v>0</v>
      </c>
      <c r="S3225" s="14" t="str">
        <f t="shared" si="2"/>
        <v>55.919044,49.303415</v>
      </c>
      <c r="T3225" s="12"/>
    </row>
    <row r="3226">
      <c r="A3226" s="7" t="s">
        <v>20850</v>
      </c>
      <c r="B3226" s="8" t="s">
        <v>20858</v>
      </c>
      <c r="C3226" s="8" t="s">
        <v>20859</v>
      </c>
      <c r="D3226" s="8" t="s">
        <v>16</v>
      </c>
      <c r="E3226" s="9" t="s">
        <v>20860</v>
      </c>
      <c r="F3226" s="10" t="s">
        <v>19961</v>
      </c>
      <c r="G3226" s="8">
        <v>23.61</v>
      </c>
      <c r="H3226" s="8"/>
      <c r="I3226" s="10"/>
      <c r="J3226" s="10" t="s">
        <v>20861</v>
      </c>
      <c r="K3226" s="10" t="s">
        <v>20862</v>
      </c>
      <c r="L3226" s="11" t="s">
        <v>20863</v>
      </c>
      <c r="M3226" s="11" t="s">
        <v>20864</v>
      </c>
      <c r="N3226" s="12"/>
      <c r="O3226" s="12"/>
      <c r="P3226" s="13">
        <f>IFERROR(__xludf.DUMMYFUNCTION("VALUE(SUBSTITUTE((INDEX(SPLIT(A3226,"",""),1)),""."","","",1))"),55.919044)</f>
        <v>55.919044</v>
      </c>
      <c r="Q3226" s="13">
        <f>IFERROR(__xludf.DUMMYFUNCTION("VALUE(SUBSTITUTE((INDEX(SPLIT(A3226,"",""),2)),""."","","",1))"),49.303415)</f>
        <v>49.303415</v>
      </c>
      <c r="R3226" s="14" t="b">
        <f t="shared" si="1"/>
        <v>0</v>
      </c>
      <c r="S3226" s="14" t="str">
        <f t="shared" si="2"/>
        <v>55.919044,49.303415</v>
      </c>
      <c r="T3226" s="12"/>
    </row>
    <row r="3227">
      <c r="A3227" s="15" t="s">
        <v>20850</v>
      </c>
      <c r="B3227" s="16" t="s">
        <v>20865</v>
      </c>
      <c r="C3227" s="16" t="s">
        <v>20866</v>
      </c>
      <c r="D3227" s="16" t="s">
        <v>16</v>
      </c>
      <c r="E3227" s="17" t="s">
        <v>20867</v>
      </c>
      <c r="F3227" s="16" t="s">
        <v>16443</v>
      </c>
      <c r="G3227" s="16">
        <v>23.61</v>
      </c>
      <c r="H3227" s="16"/>
      <c r="I3227" s="16"/>
      <c r="J3227" s="16" t="s">
        <v>20868</v>
      </c>
      <c r="K3227" s="16" t="s">
        <v>20869</v>
      </c>
      <c r="L3227" s="16"/>
      <c r="M3227" s="16"/>
      <c r="N3227" s="12"/>
      <c r="O3227" s="12"/>
      <c r="P3227" s="13">
        <f>IFERROR(__xludf.DUMMYFUNCTION("VALUE(SUBSTITUTE((INDEX(SPLIT(A3227,"",""),1)),""."","","",1))"),55.919044)</f>
        <v>55.919044</v>
      </c>
      <c r="Q3227" s="13">
        <f>IFERROR(__xludf.DUMMYFUNCTION("VALUE(SUBSTITUTE((INDEX(SPLIT(A3227,"",""),2)),""."","","",1))"),49.303415)</f>
        <v>49.303415</v>
      </c>
      <c r="R3227" s="14" t="b">
        <f t="shared" si="1"/>
        <v>0</v>
      </c>
      <c r="S3227" s="14" t="str">
        <f t="shared" si="2"/>
        <v>55.919044,49.303415</v>
      </c>
      <c r="T3227" s="12"/>
    </row>
    <row r="3228">
      <c r="A3228" s="18" t="s">
        <v>20850</v>
      </c>
      <c r="B3228" s="8" t="s">
        <v>20870</v>
      </c>
      <c r="C3228" s="8" t="s">
        <v>20871</v>
      </c>
      <c r="D3228" s="8" t="s">
        <v>16</v>
      </c>
      <c r="E3228" s="19" t="s">
        <v>20872</v>
      </c>
      <c r="F3228" s="8" t="s">
        <v>10183</v>
      </c>
      <c r="G3228" s="8">
        <v>23.61</v>
      </c>
      <c r="H3228" s="8"/>
      <c r="I3228" s="8"/>
      <c r="J3228" s="8" t="s">
        <v>20873</v>
      </c>
      <c r="K3228" s="8" t="s">
        <v>20874</v>
      </c>
      <c r="L3228" s="8"/>
      <c r="M3228" s="8"/>
      <c r="N3228" s="12"/>
      <c r="O3228" s="12"/>
      <c r="P3228" s="13">
        <f>IFERROR(__xludf.DUMMYFUNCTION("VALUE(SUBSTITUTE((INDEX(SPLIT(A3228,"",""),1)),""."","","",1))"),55.919044)</f>
        <v>55.919044</v>
      </c>
      <c r="Q3228" s="13">
        <f>IFERROR(__xludf.DUMMYFUNCTION("VALUE(SUBSTITUTE((INDEX(SPLIT(A3228,"",""),2)),""."","","",1))"),49.303415)</f>
        <v>49.303415</v>
      </c>
      <c r="R3228" s="14" t="b">
        <f t="shared" si="1"/>
        <v>0</v>
      </c>
      <c r="S3228" s="14" t="str">
        <f t="shared" si="2"/>
        <v>55.919044,49.303415</v>
      </c>
      <c r="T3228" s="12"/>
    </row>
    <row r="3229">
      <c r="A3229" s="20" t="s">
        <v>20875</v>
      </c>
      <c r="B3229" s="16" t="s">
        <v>20876</v>
      </c>
      <c r="C3229" s="16" t="s">
        <v>20877</v>
      </c>
      <c r="D3229" s="16" t="s">
        <v>16</v>
      </c>
      <c r="E3229" s="21" t="s">
        <v>20878</v>
      </c>
      <c r="F3229" s="22" t="s">
        <v>20160</v>
      </c>
      <c r="G3229" s="16">
        <v>23.61</v>
      </c>
      <c r="H3229" s="16"/>
      <c r="I3229" s="22"/>
      <c r="J3229" s="22" t="s">
        <v>20879</v>
      </c>
      <c r="K3229" s="22" t="s">
        <v>20880</v>
      </c>
      <c r="L3229" s="23" t="s">
        <v>20881</v>
      </c>
      <c r="M3229" s="23" t="s">
        <v>20882</v>
      </c>
      <c r="N3229" s="12"/>
      <c r="O3229" s="12"/>
      <c r="P3229" s="13">
        <f>IFERROR(__xludf.DUMMYFUNCTION("VALUE(SUBSTITUTE((INDEX(SPLIT(A3229,"",""),1)),""."","","",1))"),53.551041)</f>
        <v>53.551041</v>
      </c>
      <c r="Q3229" s="13">
        <f>IFERROR(__xludf.DUMMYFUNCTION("VALUE(SUBSTITUTE((INDEX(SPLIT(A3229,"",""),2)),""."","","",1))"),49.312074)</f>
        <v>49.312074</v>
      </c>
      <c r="R3229" s="14" t="b">
        <f t="shared" si="1"/>
        <v>0</v>
      </c>
      <c r="S3229" s="14" t="str">
        <f t="shared" si="2"/>
        <v>53.551041,49.312074</v>
      </c>
      <c r="T3229" s="12"/>
    </row>
    <row r="3230">
      <c r="A3230" s="18" t="s">
        <v>20875</v>
      </c>
      <c r="B3230" s="8" t="s">
        <v>20883</v>
      </c>
      <c r="C3230" s="8" t="s">
        <v>20884</v>
      </c>
      <c r="D3230" s="8" t="s">
        <v>16</v>
      </c>
      <c r="E3230" s="19" t="s">
        <v>20885</v>
      </c>
      <c r="F3230" s="8" t="s">
        <v>20160</v>
      </c>
      <c r="G3230" s="8">
        <v>23.61</v>
      </c>
      <c r="H3230" s="8"/>
      <c r="I3230" s="8"/>
      <c r="J3230" s="8" t="s">
        <v>20886</v>
      </c>
      <c r="K3230" s="8" t="s">
        <v>20880</v>
      </c>
      <c r="L3230" s="8"/>
      <c r="M3230" s="8"/>
      <c r="N3230" s="12"/>
      <c r="O3230" s="12"/>
      <c r="P3230" s="13">
        <f>IFERROR(__xludf.DUMMYFUNCTION("VALUE(SUBSTITUTE((INDEX(SPLIT(A3230,"",""),1)),""."","","",1))"),53.551041)</f>
        <v>53.551041</v>
      </c>
      <c r="Q3230" s="13">
        <f>IFERROR(__xludf.DUMMYFUNCTION("VALUE(SUBSTITUTE((INDEX(SPLIT(A3230,"",""),2)),""."","","",1))"),49.312074)</f>
        <v>49.312074</v>
      </c>
      <c r="R3230" s="14" t="b">
        <f t="shared" si="1"/>
        <v>0</v>
      </c>
      <c r="S3230" s="14" t="str">
        <f t="shared" si="2"/>
        <v>53.551041,49.312074</v>
      </c>
      <c r="T3230" s="12"/>
    </row>
    <row r="3231">
      <c r="A3231" s="15" t="s">
        <v>20887</v>
      </c>
      <c r="B3231" s="16" t="s">
        <v>20888</v>
      </c>
      <c r="C3231" s="16" t="s">
        <v>20889</v>
      </c>
      <c r="D3231" s="16" t="s">
        <v>16</v>
      </c>
      <c r="E3231" s="17" t="s">
        <v>20890</v>
      </c>
      <c r="F3231" s="16" t="s">
        <v>20160</v>
      </c>
      <c r="G3231" s="16">
        <v>23.61</v>
      </c>
      <c r="H3231" s="16"/>
      <c r="I3231" s="16"/>
      <c r="J3231" s="16" t="s">
        <v>20891</v>
      </c>
      <c r="K3231" s="16" t="s">
        <v>20892</v>
      </c>
      <c r="L3231" s="16"/>
      <c r="M3231" s="16"/>
      <c r="N3231" s="12"/>
      <c r="O3231" s="12"/>
      <c r="P3231" s="13">
        <f>IFERROR(__xludf.DUMMYFUNCTION("VALUE(SUBSTITUTE((INDEX(SPLIT(A3231,"",""),1)),""."","","",1))"),55.936832)</f>
        <v>55.936832</v>
      </c>
      <c r="Q3231" s="13">
        <f>IFERROR(__xludf.DUMMYFUNCTION("VALUE(SUBSTITUTE((INDEX(SPLIT(A3231,"",""),2)),""."","","",1))"),49.313116)</f>
        <v>49.313116</v>
      </c>
      <c r="R3231" s="14" t="b">
        <f t="shared" si="1"/>
        <v>0</v>
      </c>
      <c r="S3231" s="14" t="str">
        <f t="shared" si="2"/>
        <v>55.936832,49.313116</v>
      </c>
      <c r="T3231" s="12"/>
    </row>
    <row r="3232">
      <c r="A3232" s="7" t="s">
        <v>20893</v>
      </c>
      <c r="B3232" s="8" t="s">
        <v>5061</v>
      </c>
      <c r="C3232" s="8" t="s">
        <v>5062</v>
      </c>
      <c r="D3232" s="8" t="s">
        <v>16</v>
      </c>
      <c r="E3232" s="9" t="s">
        <v>20894</v>
      </c>
      <c r="F3232" s="10" t="s">
        <v>20160</v>
      </c>
      <c r="G3232" s="8">
        <v>23.61</v>
      </c>
      <c r="H3232" s="8"/>
      <c r="I3232" s="10"/>
      <c r="J3232" s="10" t="s">
        <v>20895</v>
      </c>
      <c r="K3232" s="10" t="s">
        <v>20896</v>
      </c>
      <c r="L3232" s="11" t="s">
        <v>20897</v>
      </c>
      <c r="M3232" s="10"/>
      <c r="N3232" s="12"/>
      <c r="O3232" s="12"/>
      <c r="P3232" s="13">
        <f>IFERROR(__xludf.DUMMYFUNCTION("VALUE(SUBSTITUTE((INDEX(SPLIT(A3232,"",""),1)),""."","","",1))"),53.521955)</f>
        <v>53.521955</v>
      </c>
      <c r="Q3232" s="13">
        <f>IFERROR(__xludf.DUMMYFUNCTION("VALUE(SUBSTITUTE((INDEX(SPLIT(A3232,"",""),2)),""."","","",1))"),49.318964)</f>
        <v>49.318964</v>
      </c>
      <c r="R3232" s="14" t="b">
        <f t="shared" si="1"/>
        <v>0</v>
      </c>
      <c r="S3232" s="14" t="str">
        <f t="shared" si="2"/>
        <v>53.521955,49.318964</v>
      </c>
      <c r="T3232" s="12"/>
    </row>
    <row r="3233">
      <c r="A3233" s="20" t="s">
        <v>20898</v>
      </c>
      <c r="B3233" s="16" t="s">
        <v>20899</v>
      </c>
      <c r="C3233" s="16" t="s">
        <v>20900</v>
      </c>
      <c r="D3233" s="16" t="s">
        <v>16</v>
      </c>
      <c r="E3233" s="21" t="s">
        <v>20901</v>
      </c>
      <c r="F3233" s="22" t="s">
        <v>20160</v>
      </c>
      <c r="G3233" s="16">
        <v>23.61</v>
      </c>
      <c r="H3233" s="16"/>
      <c r="I3233" s="28" t="s">
        <v>20902</v>
      </c>
      <c r="J3233" s="22" t="s">
        <v>20903</v>
      </c>
      <c r="K3233" s="22" t="s">
        <v>20904</v>
      </c>
      <c r="L3233" s="23" t="s">
        <v>20905</v>
      </c>
      <c r="M3233" s="23" t="s">
        <v>20906</v>
      </c>
      <c r="N3233" s="12"/>
      <c r="O3233" s="12"/>
      <c r="P3233" s="13">
        <f>IFERROR(__xludf.DUMMYFUNCTION("VALUE(SUBSTITUTE((INDEX(SPLIT(A3233,"",""),1)),""."","","",1))"),53.559193)</f>
        <v>53.559193</v>
      </c>
      <c r="Q3233" s="13">
        <f>IFERROR(__xludf.DUMMYFUNCTION("VALUE(SUBSTITUTE((INDEX(SPLIT(A3233,"",""),2)),""."","","",1))"),49.324543)</f>
        <v>49.324543</v>
      </c>
      <c r="R3233" s="14" t="b">
        <f t="shared" si="1"/>
        <v>0</v>
      </c>
      <c r="S3233" s="14" t="str">
        <f t="shared" si="2"/>
        <v>53.559193,49.324543</v>
      </c>
      <c r="T3233" s="12"/>
    </row>
    <row r="3234">
      <c r="A3234" s="7" t="s">
        <v>20907</v>
      </c>
      <c r="B3234" s="8" t="s">
        <v>20908</v>
      </c>
      <c r="C3234" s="8" t="s">
        <v>20909</v>
      </c>
      <c r="D3234" s="8" t="s">
        <v>16</v>
      </c>
      <c r="E3234" s="9" t="s">
        <v>20910</v>
      </c>
      <c r="F3234" s="10" t="s">
        <v>20160</v>
      </c>
      <c r="G3234" s="8">
        <v>23.61</v>
      </c>
      <c r="H3234" s="8"/>
      <c r="I3234" s="10"/>
      <c r="J3234" s="10" t="s">
        <v>20903</v>
      </c>
      <c r="K3234" s="10" t="s">
        <v>20911</v>
      </c>
      <c r="L3234" s="11" t="s">
        <v>20912</v>
      </c>
      <c r="M3234" s="10"/>
      <c r="N3234" s="12"/>
      <c r="O3234" s="12"/>
      <c r="P3234" s="13">
        <f>IFERROR(__xludf.DUMMYFUNCTION("VALUE(SUBSTITUTE((INDEX(SPLIT(A3234,"",""),1)),""."","","",1))"),53.546397)</f>
        <v>53.546397</v>
      </c>
      <c r="Q3234" s="13">
        <f>IFERROR(__xludf.DUMMYFUNCTION("VALUE(SUBSTITUTE((INDEX(SPLIT(A3234,"",""),2)),""."","","",1))"),49.345896)</f>
        <v>49.345896</v>
      </c>
      <c r="R3234" s="14" t="b">
        <f t="shared" si="1"/>
        <v>0</v>
      </c>
      <c r="S3234" s="14" t="str">
        <f t="shared" si="2"/>
        <v>53.546397,49.345896</v>
      </c>
      <c r="T3234" s="12"/>
    </row>
    <row r="3235">
      <c r="A3235" s="15" t="s">
        <v>20913</v>
      </c>
      <c r="B3235" s="16" t="s">
        <v>20914</v>
      </c>
      <c r="C3235" s="16" t="s">
        <v>20915</v>
      </c>
      <c r="D3235" s="16" t="s">
        <v>16</v>
      </c>
      <c r="E3235" s="17" t="s">
        <v>20916</v>
      </c>
      <c r="F3235" s="16" t="s">
        <v>20160</v>
      </c>
      <c r="G3235" s="16">
        <v>23.61</v>
      </c>
      <c r="H3235" s="16"/>
      <c r="I3235" s="16"/>
      <c r="J3235" s="16" t="s">
        <v>20917</v>
      </c>
      <c r="K3235" s="16" t="s">
        <v>20918</v>
      </c>
      <c r="L3235" s="16"/>
      <c r="M3235" s="25" t="s">
        <v>20919</v>
      </c>
      <c r="N3235" s="12"/>
      <c r="O3235" s="12"/>
      <c r="P3235" s="13">
        <f>IFERROR(__xludf.DUMMYFUNCTION("VALUE(SUBSTITUTE((INDEX(SPLIT(A3235,"",""),1)),""."","","",1))"),53.535716)</f>
        <v>53.535716</v>
      </c>
      <c r="Q3235" s="13">
        <f>IFERROR(__xludf.DUMMYFUNCTION("VALUE(SUBSTITUTE((INDEX(SPLIT(A3235,"",""),2)),""."","","",1))"),49.354035)</f>
        <v>49.354035</v>
      </c>
      <c r="R3235" s="14" t="b">
        <f t="shared" si="1"/>
        <v>0</v>
      </c>
      <c r="S3235" s="14" t="str">
        <f t="shared" si="2"/>
        <v>53.535716,49.354035</v>
      </c>
      <c r="T3235" s="12"/>
    </row>
    <row r="3236">
      <c r="A3236" s="7" t="s">
        <v>20920</v>
      </c>
      <c r="B3236" s="8" t="s">
        <v>20921</v>
      </c>
      <c r="C3236" s="8" t="s">
        <v>20922</v>
      </c>
      <c r="D3236" s="8" t="s">
        <v>16</v>
      </c>
      <c r="E3236" s="9" t="s">
        <v>20923</v>
      </c>
      <c r="F3236" s="10" t="s">
        <v>20160</v>
      </c>
      <c r="G3236" s="8">
        <v>23.61</v>
      </c>
      <c r="H3236" s="8"/>
      <c r="I3236" s="10"/>
      <c r="J3236" s="10" t="s">
        <v>20924</v>
      </c>
      <c r="K3236" s="10" t="s">
        <v>20925</v>
      </c>
      <c r="L3236" s="11" t="s">
        <v>20926</v>
      </c>
      <c r="M3236" s="11" t="s">
        <v>20927</v>
      </c>
      <c r="N3236" s="12"/>
      <c r="O3236" s="12"/>
      <c r="P3236" s="13">
        <f>IFERROR(__xludf.DUMMYFUNCTION("VALUE(SUBSTITUTE((INDEX(SPLIT(A3236,"",""),1)),""."","","",1))"),53.572776)</f>
        <v>53.572776</v>
      </c>
      <c r="Q3236" s="13">
        <f>IFERROR(__xludf.DUMMYFUNCTION("VALUE(SUBSTITUTE((INDEX(SPLIT(A3236,"",""),2)),""."","","",1))"),49.396516)</f>
        <v>49.396516</v>
      </c>
      <c r="R3236" s="14" t="b">
        <f t="shared" si="1"/>
        <v>0</v>
      </c>
      <c r="S3236" s="14" t="str">
        <f t="shared" si="2"/>
        <v>53.572776,49.396516</v>
      </c>
      <c r="T3236" s="12"/>
    </row>
    <row r="3237">
      <c r="A3237" s="15" t="s">
        <v>20920</v>
      </c>
      <c r="B3237" s="16" t="s">
        <v>20928</v>
      </c>
      <c r="C3237" s="16" t="s">
        <v>20929</v>
      </c>
      <c r="D3237" s="16" t="s">
        <v>16</v>
      </c>
      <c r="E3237" s="17" t="s">
        <v>20930</v>
      </c>
      <c r="F3237" s="16" t="s">
        <v>20160</v>
      </c>
      <c r="G3237" s="16">
        <v>23.61</v>
      </c>
      <c r="H3237" s="16"/>
      <c r="I3237" s="16"/>
      <c r="J3237" s="16" t="s">
        <v>20931</v>
      </c>
      <c r="K3237" s="16" t="s">
        <v>20932</v>
      </c>
      <c r="L3237" s="16"/>
      <c r="M3237" s="16"/>
      <c r="N3237" s="12"/>
      <c r="O3237" s="12"/>
      <c r="P3237" s="13">
        <f>IFERROR(__xludf.DUMMYFUNCTION("VALUE(SUBSTITUTE((INDEX(SPLIT(A3237,"",""),1)),""."","","",1))"),53.572776)</f>
        <v>53.572776</v>
      </c>
      <c r="Q3237" s="13">
        <f>IFERROR(__xludf.DUMMYFUNCTION("VALUE(SUBSTITUTE((INDEX(SPLIT(A3237,"",""),2)),""."","","",1))"),49.396516)</f>
        <v>49.396516</v>
      </c>
      <c r="R3237" s="14" t="b">
        <f t="shared" si="1"/>
        <v>0</v>
      </c>
      <c r="S3237" s="14" t="str">
        <f t="shared" si="2"/>
        <v>53.572776,49.396516</v>
      </c>
      <c r="T3237" s="12"/>
    </row>
    <row r="3238">
      <c r="A3238" s="18" t="s">
        <v>20933</v>
      </c>
      <c r="B3238" s="8" t="s">
        <v>20934</v>
      </c>
      <c r="C3238" s="8" t="s">
        <v>20935</v>
      </c>
      <c r="D3238" s="8" t="s">
        <v>16</v>
      </c>
      <c r="E3238" s="19" t="s">
        <v>20936</v>
      </c>
      <c r="F3238" s="8" t="s">
        <v>20160</v>
      </c>
      <c r="G3238" s="8">
        <v>23.61</v>
      </c>
      <c r="H3238" s="8"/>
      <c r="I3238" s="8"/>
      <c r="J3238" s="8" t="s">
        <v>20937</v>
      </c>
      <c r="K3238" s="8" t="s">
        <v>20938</v>
      </c>
      <c r="L3238" s="8"/>
      <c r="M3238" s="8"/>
      <c r="N3238" s="12"/>
      <c r="O3238" s="12"/>
      <c r="P3238" s="13">
        <f>IFERROR(__xludf.DUMMYFUNCTION("VALUE(SUBSTITUTE((INDEX(SPLIT(A3238,"",""),1)),""."","","",1))"),53.569177)</f>
        <v>53.569177</v>
      </c>
      <c r="Q3238" s="13">
        <f>IFERROR(__xludf.DUMMYFUNCTION("VALUE(SUBSTITUTE((INDEX(SPLIT(A3238,"",""),2)),""."","","",1))"),49.397019)</f>
        <v>49.397019</v>
      </c>
      <c r="R3238" s="14" t="b">
        <f t="shared" si="1"/>
        <v>0</v>
      </c>
      <c r="S3238" s="14" t="str">
        <f t="shared" si="2"/>
        <v>53.569177,49.397019</v>
      </c>
      <c r="T3238" s="12"/>
    </row>
    <row r="3239">
      <c r="A3239" s="20" t="s">
        <v>20939</v>
      </c>
      <c r="B3239" s="16" t="s">
        <v>20940</v>
      </c>
      <c r="C3239" s="16" t="s">
        <v>20941</v>
      </c>
      <c r="D3239" s="16" t="s">
        <v>16</v>
      </c>
      <c r="E3239" s="21" t="s">
        <v>20942</v>
      </c>
      <c r="F3239" s="22" t="s">
        <v>20160</v>
      </c>
      <c r="G3239" s="16">
        <v>23.61</v>
      </c>
      <c r="H3239" s="16"/>
      <c r="I3239" s="22"/>
      <c r="J3239" s="22" t="s">
        <v>20943</v>
      </c>
      <c r="K3239" s="22" t="s">
        <v>20944</v>
      </c>
      <c r="L3239" s="23" t="s">
        <v>20945</v>
      </c>
      <c r="M3239" s="22"/>
      <c r="N3239" s="12"/>
      <c r="O3239" s="12"/>
      <c r="P3239" s="13">
        <f>IFERROR(__xludf.DUMMYFUNCTION("VALUE(SUBSTITUTE((INDEX(SPLIT(A3239,"",""),1)),""."","","",1))"),53.528497)</f>
        <v>53.528497</v>
      </c>
      <c r="Q3239" s="13">
        <f>IFERROR(__xludf.DUMMYFUNCTION("VALUE(SUBSTITUTE((INDEX(SPLIT(A3239,"",""),2)),""."","","",1))"),49.398645)</f>
        <v>49.398645</v>
      </c>
      <c r="R3239" s="14" t="b">
        <f t="shared" si="1"/>
        <v>0</v>
      </c>
      <c r="S3239" s="14" t="str">
        <f t="shared" si="2"/>
        <v>53.528497,49.398645</v>
      </c>
      <c r="T3239" s="12"/>
    </row>
    <row r="3240">
      <c r="A3240" s="18" t="s">
        <v>20946</v>
      </c>
      <c r="B3240" s="8" t="s">
        <v>5592</v>
      </c>
      <c r="C3240" s="8" t="s">
        <v>5593</v>
      </c>
      <c r="D3240" s="8" t="s">
        <v>16</v>
      </c>
      <c r="E3240" s="19" t="s">
        <v>20947</v>
      </c>
      <c r="F3240" s="8" t="s">
        <v>20160</v>
      </c>
      <c r="G3240" s="8">
        <v>23.61</v>
      </c>
      <c r="H3240" s="8"/>
      <c r="I3240" s="8"/>
      <c r="J3240" s="8" t="s">
        <v>20948</v>
      </c>
      <c r="K3240" s="8" t="s">
        <v>20949</v>
      </c>
      <c r="L3240" s="8"/>
      <c r="M3240" s="24" t="s">
        <v>20950</v>
      </c>
      <c r="N3240" s="12"/>
      <c r="O3240" s="12"/>
      <c r="P3240" s="13">
        <f>IFERROR(__xludf.DUMMYFUNCTION("VALUE(SUBSTITUTE((INDEX(SPLIT(A3240,"",""),1)),""."","","",1))"),53.540474)</f>
        <v>53.540474</v>
      </c>
      <c r="Q3240" s="13">
        <f>IFERROR(__xludf.DUMMYFUNCTION("VALUE(SUBSTITUTE((INDEX(SPLIT(A3240,"",""),2)),""."","","",1))"),49.40046)</f>
        <v>49.40046</v>
      </c>
      <c r="R3240" s="14" t="b">
        <f t="shared" si="1"/>
        <v>0</v>
      </c>
      <c r="S3240" s="14" t="str">
        <f t="shared" si="2"/>
        <v>53.540474,49.40046</v>
      </c>
      <c r="T3240" s="12"/>
    </row>
    <row r="3241">
      <c r="A3241" s="15" t="s">
        <v>20951</v>
      </c>
      <c r="B3241" s="16" t="s">
        <v>2623</v>
      </c>
      <c r="C3241" s="16" t="s">
        <v>2624</v>
      </c>
      <c r="D3241" s="16" t="s">
        <v>16</v>
      </c>
      <c r="E3241" s="17" t="s">
        <v>20952</v>
      </c>
      <c r="F3241" s="16" t="s">
        <v>20160</v>
      </c>
      <c r="G3241" s="16">
        <v>23.61</v>
      </c>
      <c r="H3241" s="16"/>
      <c r="I3241" s="16"/>
      <c r="J3241" s="16" t="s">
        <v>20953</v>
      </c>
      <c r="K3241" s="16" t="s">
        <v>20954</v>
      </c>
      <c r="L3241" s="16"/>
      <c r="M3241" s="16"/>
      <c r="N3241" s="12"/>
      <c r="O3241" s="12"/>
      <c r="P3241" s="13">
        <f>IFERROR(__xludf.DUMMYFUNCTION("VALUE(SUBSTITUTE((INDEX(SPLIT(A3241,"",""),1)),""."","","",1))"),53.512104)</f>
        <v>53.512104</v>
      </c>
      <c r="Q3241" s="13">
        <f>IFERROR(__xludf.DUMMYFUNCTION("VALUE(SUBSTITUTE((INDEX(SPLIT(A3241,"",""),2)),""."","","",1))"),49.41848)</f>
        <v>49.41848</v>
      </c>
      <c r="R3241" s="14" t="b">
        <f t="shared" si="1"/>
        <v>0</v>
      </c>
      <c r="S3241" s="14" t="str">
        <f t="shared" si="2"/>
        <v>53.512104,49.41848</v>
      </c>
      <c r="T3241" s="12"/>
    </row>
    <row r="3242">
      <c r="A3242" s="18" t="s">
        <v>20955</v>
      </c>
      <c r="B3242" s="8" t="s">
        <v>20956</v>
      </c>
      <c r="C3242" s="8" t="s">
        <v>20957</v>
      </c>
      <c r="D3242" s="8" t="s">
        <v>16</v>
      </c>
      <c r="E3242" s="19" t="s">
        <v>20958</v>
      </c>
      <c r="F3242" s="8" t="s">
        <v>20160</v>
      </c>
      <c r="G3242" s="8">
        <v>23.61</v>
      </c>
      <c r="H3242" s="8"/>
      <c r="I3242" s="8"/>
      <c r="J3242" s="8" t="s">
        <v>20959</v>
      </c>
      <c r="K3242" s="8" t="s">
        <v>20960</v>
      </c>
      <c r="L3242" s="8"/>
      <c r="M3242" s="24" t="s">
        <v>20961</v>
      </c>
      <c r="N3242" s="12"/>
      <c r="O3242" s="12"/>
      <c r="P3242" s="13">
        <f>IFERROR(__xludf.DUMMYFUNCTION("VALUE(SUBSTITUTE((INDEX(SPLIT(A3242,"",""),1)),""."","","",1))"),53.507852)</f>
        <v>53.507852</v>
      </c>
      <c r="Q3242" s="13">
        <f>IFERROR(__xludf.DUMMYFUNCTION("VALUE(SUBSTITUTE((INDEX(SPLIT(A3242,"",""),2)),""."","","",1))"),49.420411)</f>
        <v>49.420411</v>
      </c>
      <c r="R3242" s="14" t="b">
        <f t="shared" si="1"/>
        <v>0</v>
      </c>
      <c r="S3242" s="14" t="str">
        <f t="shared" si="2"/>
        <v>53.507852,49.420411</v>
      </c>
      <c r="T3242" s="12"/>
    </row>
    <row r="3243">
      <c r="A3243" s="15" t="s">
        <v>20962</v>
      </c>
      <c r="B3243" s="16" t="s">
        <v>20963</v>
      </c>
      <c r="C3243" s="16" t="s">
        <v>20964</v>
      </c>
      <c r="D3243" s="16" t="s">
        <v>16</v>
      </c>
      <c r="E3243" s="17" t="s">
        <v>20965</v>
      </c>
      <c r="F3243" s="16" t="s">
        <v>20160</v>
      </c>
      <c r="G3243" s="16">
        <v>23.61</v>
      </c>
      <c r="H3243" s="16"/>
      <c r="I3243" s="16"/>
      <c r="J3243" s="16" t="s">
        <v>20966</v>
      </c>
      <c r="K3243" s="16" t="s">
        <v>20967</v>
      </c>
      <c r="L3243" s="16"/>
      <c r="M3243" s="16"/>
      <c r="N3243" s="12"/>
      <c r="O3243" s="12"/>
      <c r="P3243" s="13">
        <f>IFERROR(__xludf.DUMMYFUNCTION("VALUE(SUBSTITUTE((INDEX(SPLIT(A3243,"",""),1)),""."","","",1))"),53.684266)</f>
        <v>53.684266</v>
      </c>
      <c r="Q3243" s="13">
        <f>IFERROR(__xludf.DUMMYFUNCTION("VALUE(SUBSTITUTE((INDEX(SPLIT(A3243,"",""),2)),""."","","",1))"),49.424552)</f>
        <v>49.424552</v>
      </c>
      <c r="R3243" s="14" t="b">
        <f t="shared" si="1"/>
        <v>0</v>
      </c>
      <c r="S3243" s="14" t="str">
        <f t="shared" si="2"/>
        <v>53.684266,49.424552</v>
      </c>
      <c r="T3243" s="12"/>
    </row>
    <row r="3244">
      <c r="A3244" s="18" t="s">
        <v>20968</v>
      </c>
      <c r="B3244" s="8" t="s">
        <v>20969</v>
      </c>
      <c r="C3244" s="8" t="s">
        <v>20970</v>
      </c>
      <c r="D3244" s="8" t="s">
        <v>16</v>
      </c>
      <c r="E3244" s="19" t="s">
        <v>20971</v>
      </c>
      <c r="F3244" s="8" t="s">
        <v>20160</v>
      </c>
      <c r="G3244" s="8">
        <v>23.61</v>
      </c>
      <c r="H3244" s="8"/>
      <c r="I3244" s="8"/>
      <c r="J3244" s="8" t="s">
        <v>20972</v>
      </c>
      <c r="K3244" s="8" t="s">
        <v>20973</v>
      </c>
      <c r="L3244" s="8"/>
      <c r="M3244" s="24" t="s">
        <v>20974</v>
      </c>
      <c r="N3244" s="12"/>
      <c r="O3244" s="12"/>
      <c r="P3244" s="13">
        <f>IFERROR(__xludf.DUMMYFUNCTION("VALUE(SUBSTITUTE((INDEX(SPLIT(A3244,"",""),1)),""."","","",1))"),53.522903)</f>
        <v>53.522903</v>
      </c>
      <c r="Q3244" s="13">
        <f>IFERROR(__xludf.DUMMYFUNCTION("VALUE(SUBSTITUTE((INDEX(SPLIT(A3244,"",""),2)),""."","","",1))"),49.426439)</f>
        <v>49.426439</v>
      </c>
      <c r="R3244" s="14" t="b">
        <f t="shared" si="1"/>
        <v>0</v>
      </c>
      <c r="S3244" s="14" t="str">
        <f t="shared" si="2"/>
        <v>53.522903,49.426439</v>
      </c>
      <c r="T3244" s="12"/>
    </row>
    <row r="3245">
      <c r="A3245" s="15" t="s">
        <v>20975</v>
      </c>
      <c r="B3245" s="16" t="s">
        <v>20976</v>
      </c>
      <c r="C3245" s="16" t="s">
        <v>20977</v>
      </c>
      <c r="D3245" s="16" t="s">
        <v>16</v>
      </c>
      <c r="E3245" s="17" t="s">
        <v>20978</v>
      </c>
      <c r="F3245" s="16" t="s">
        <v>19961</v>
      </c>
      <c r="G3245" s="16">
        <v>23.61</v>
      </c>
      <c r="H3245" s="16"/>
      <c r="I3245" s="16"/>
      <c r="J3245" s="16" t="s">
        <v>20979</v>
      </c>
      <c r="K3245" s="16" t="s">
        <v>20980</v>
      </c>
      <c r="L3245" s="16"/>
      <c r="M3245" s="25" t="s">
        <v>20981</v>
      </c>
      <c r="N3245" s="12"/>
      <c r="O3245" s="12"/>
      <c r="P3245" s="13">
        <f>IFERROR(__xludf.DUMMYFUNCTION("VALUE(SUBSTITUTE((INDEX(SPLIT(A3245,"",""),1)),""."","","",1))"),53.518802)</f>
        <v>53.518802</v>
      </c>
      <c r="Q3245" s="13">
        <f>IFERROR(__xludf.DUMMYFUNCTION("VALUE(SUBSTITUTE((INDEX(SPLIT(A3245,"",""),2)),""."","","",1))"),49.430311)</f>
        <v>49.430311</v>
      </c>
      <c r="R3245" s="14" t="b">
        <f t="shared" si="1"/>
        <v>0</v>
      </c>
      <c r="S3245" s="14" t="str">
        <f t="shared" si="2"/>
        <v>53.518802,49.430311</v>
      </c>
      <c r="T3245" s="12"/>
    </row>
    <row r="3246">
      <c r="A3246" s="7" t="s">
        <v>20982</v>
      </c>
      <c r="B3246" s="8" t="s">
        <v>854</v>
      </c>
      <c r="C3246" s="8" t="s">
        <v>855</v>
      </c>
      <c r="D3246" s="8" t="s">
        <v>16</v>
      </c>
      <c r="E3246" s="9" t="s">
        <v>20983</v>
      </c>
      <c r="F3246" s="10" t="s">
        <v>19961</v>
      </c>
      <c r="G3246" s="8">
        <v>23.61</v>
      </c>
      <c r="H3246" s="8"/>
      <c r="I3246" s="10"/>
      <c r="J3246" s="10" t="s">
        <v>20984</v>
      </c>
      <c r="K3246" s="10" t="s">
        <v>20985</v>
      </c>
      <c r="L3246" s="11" t="s">
        <v>20986</v>
      </c>
      <c r="M3246" s="11" t="s">
        <v>20987</v>
      </c>
      <c r="N3246" s="12"/>
      <c r="O3246" s="12"/>
      <c r="P3246" s="13">
        <f>IFERROR(__xludf.DUMMYFUNCTION("VALUE(SUBSTITUTE((INDEX(SPLIT(A3246,"",""),1)),""."","","",1))"),52.984398)</f>
        <v>52.984398</v>
      </c>
      <c r="Q3246" s="13">
        <f>IFERROR(__xludf.DUMMYFUNCTION("VALUE(SUBSTITUTE((INDEX(SPLIT(A3246,"",""),2)),""."","","",1))"),49.433212)</f>
        <v>49.433212</v>
      </c>
      <c r="R3246" s="14" t="b">
        <f t="shared" si="1"/>
        <v>0</v>
      </c>
      <c r="S3246" s="14" t="str">
        <f t="shared" si="2"/>
        <v>52.984398,49.433212</v>
      </c>
      <c r="T3246" s="12"/>
    </row>
    <row r="3247">
      <c r="A3247" s="15" t="s">
        <v>20988</v>
      </c>
      <c r="B3247" s="16" t="s">
        <v>20989</v>
      </c>
      <c r="C3247" s="16" t="s">
        <v>20990</v>
      </c>
      <c r="D3247" s="16" t="s">
        <v>16</v>
      </c>
      <c r="E3247" s="17" t="s">
        <v>20991</v>
      </c>
      <c r="F3247" s="16" t="s">
        <v>19961</v>
      </c>
      <c r="G3247" s="16">
        <v>23.61</v>
      </c>
      <c r="H3247" s="16"/>
      <c r="I3247" s="16"/>
      <c r="J3247" s="16" t="s">
        <v>20992</v>
      </c>
      <c r="K3247" s="16" t="s">
        <v>20980</v>
      </c>
      <c r="L3247" s="16"/>
      <c r="M3247" s="16"/>
      <c r="N3247" s="12"/>
      <c r="O3247" s="12"/>
      <c r="P3247" s="13">
        <f>IFERROR(__xludf.DUMMYFUNCTION("VALUE(SUBSTITUTE((INDEX(SPLIT(A3247,"",""),1)),""."","","",1))"),53.566151)</f>
        <v>53.566151</v>
      </c>
      <c r="Q3247" s="13">
        <f>IFERROR(__xludf.DUMMYFUNCTION("VALUE(SUBSTITUTE((INDEX(SPLIT(A3247,"",""),2)),""."","","",1))"),49.456083)</f>
        <v>49.456083</v>
      </c>
      <c r="R3247" s="14" t="b">
        <f t="shared" si="1"/>
        <v>0</v>
      </c>
      <c r="S3247" s="14" t="str">
        <f t="shared" si="2"/>
        <v>53.566151,49.456083</v>
      </c>
      <c r="T3247" s="12"/>
    </row>
    <row r="3248">
      <c r="A3248" s="7" t="s">
        <v>20993</v>
      </c>
      <c r="B3248" s="8" t="s">
        <v>20994</v>
      </c>
      <c r="C3248" s="8" t="s">
        <v>20995</v>
      </c>
      <c r="D3248" s="8" t="s">
        <v>16</v>
      </c>
      <c r="E3248" s="9" t="s">
        <v>20996</v>
      </c>
      <c r="F3248" s="10" t="s">
        <v>20160</v>
      </c>
      <c r="G3248" s="8">
        <v>23.61</v>
      </c>
      <c r="H3248" s="8"/>
      <c r="I3248" s="10"/>
      <c r="J3248" s="10" t="s">
        <v>20997</v>
      </c>
      <c r="K3248" s="10" t="s">
        <v>20998</v>
      </c>
      <c r="L3248" s="11" t="s">
        <v>20999</v>
      </c>
      <c r="M3248" s="11" t="s">
        <v>21000</v>
      </c>
      <c r="N3248" s="12"/>
      <c r="O3248" s="12"/>
      <c r="P3248" s="13">
        <f>IFERROR(__xludf.DUMMYFUNCTION("VALUE(SUBSTITUTE((INDEX(SPLIT(A3248,"",""),1)),""."","","",1))"),53.533228)</f>
        <v>53.533228</v>
      </c>
      <c r="Q3248" s="13">
        <f>IFERROR(__xludf.DUMMYFUNCTION("VALUE(SUBSTITUTE((INDEX(SPLIT(A3248,"",""),2)),""."","","",1))"),49.461859)</f>
        <v>49.461859</v>
      </c>
      <c r="R3248" s="14" t="b">
        <f t="shared" si="1"/>
        <v>0</v>
      </c>
      <c r="S3248" s="14" t="str">
        <f t="shared" si="2"/>
        <v>53.533228,49.461859</v>
      </c>
      <c r="T3248" s="12"/>
    </row>
    <row r="3249">
      <c r="A3249" s="15" t="s">
        <v>20993</v>
      </c>
      <c r="B3249" s="16" t="s">
        <v>21001</v>
      </c>
      <c r="C3249" s="16" t="s">
        <v>21002</v>
      </c>
      <c r="D3249" s="16" t="s">
        <v>16</v>
      </c>
      <c r="E3249" s="17" t="s">
        <v>21003</v>
      </c>
      <c r="F3249" s="16" t="s">
        <v>19961</v>
      </c>
      <c r="G3249" s="16">
        <v>23.61</v>
      </c>
      <c r="H3249" s="16"/>
      <c r="I3249" s="16"/>
      <c r="J3249" s="16" t="s">
        <v>21004</v>
      </c>
      <c r="K3249" s="16" t="s">
        <v>21005</v>
      </c>
      <c r="L3249" s="16"/>
      <c r="M3249" s="16"/>
      <c r="N3249" s="12"/>
      <c r="O3249" s="12"/>
      <c r="P3249" s="13">
        <f>IFERROR(__xludf.DUMMYFUNCTION("VALUE(SUBSTITUTE((INDEX(SPLIT(A3249,"",""),1)),""."","","",1))"),53.533228)</f>
        <v>53.533228</v>
      </c>
      <c r="Q3249" s="13">
        <f>IFERROR(__xludf.DUMMYFUNCTION("VALUE(SUBSTITUTE((INDEX(SPLIT(A3249,"",""),2)),""."","","",1))"),49.461859)</f>
        <v>49.461859</v>
      </c>
      <c r="R3249" s="14" t="b">
        <f t="shared" si="1"/>
        <v>0</v>
      </c>
      <c r="S3249" s="14" t="str">
        <f t="shared" si="2"/>
        <v>53.533228,49.461859</v>
      </c>
      <c r="T3249" s="12"/>
    </row>
    <row r="3250">
      <c r="A3250" s="7" t="s">
        <v>21006</v>
      </c>
      <c r="B3250" s="8" t="s">
        <v>21007</v>
      </c>
      <c r="C3250" s="8" t="s">
        <v>21008</v>
      </c>
      <c r="D3250" s="8" t="s">
        <v>16</v>
      </c>
      <c r="E3250" s="9" t="s">
        <v>21009</v>
      </c>
      <c r="F3250" s="10" t="s">
        <v>20160</v>
      </c>
      <c r="G3250" s="8">
        <v>23.61</v>
      </c>
      <c r="H3250" s="8"/>
      <c r="I3250" s="10"/>
      <c r="J3250" s="10" t="s">
        <v>21010</v>
      </c>
      <c r="K3250" s="10" t="s">
        <v>21011</v>
      </c>
      <c r="L3250" s="11" t="s">
        <v>21012</v>
      </c>
      <c r="M3250" s="10"/>
      <c r="N3250" s="12"/>
      <c r="O3250" s="12"/>
      <c r="P3250" s="13">
        <f>IFERROR(__xludf.DUMMYFUNCTION("VALUE(SUBSTITUTE((INDEX(SPLIT(A3250,"",""),1)),""."","","",1))"),53.367508)</f>
        <v>53.367508</v>
      </c>
      <c r="Q3250" s="13">
        <f>IFERROR(__xludf.DUMMYFUNCTION("VALUE(SUBSTITUTE((INDEX(SPLIT(A3250,"",""),2)),""."","","",1))"),49.467088)</f>
        <v>49.467088</v>
      </c>
      <c r="R3250" s="14" t="b">
        <f t="shared" si="1"/>
        <v>0</v>
      </c>
      <c r="S3250" s="14" t="str">
        <f t="shared" si="2"/>
        <v>53.367508,49.467088</v>
      </c>
      <c r="T3250" s="12"/>
    </row>
    <row r="3251">
      <c r="A3251" s="20" t="s">
        <v>21013</v>
      </c>
      <c r="B3251" s="16" t="s">
        <v>21014</v>
      </c>
      <c r="C3251" s="16" t="s">
        <v>21015</v>
      </c>
      <c r="D3251" s="16" t="s">
        <v>16</v>
      </c>
      <c r="E3251" s="21" t="s">
        <v>21016</v>
      </c>
      <c r="F3251" s="22" t="s">
        <v>19961</v>
      </c>
      <c r="G3251" s="16">
        <v>23.61</v>
      </c>
      <c r="H3251" s="16"/>
      <c r="I3251" s="22"/>
      <c r="J3251" s="22" t="s">
        <v>21017</v>
      </c>
      <c r="K3251" s="22" t="s">
        <v>21005</v>
      </c>
      <c r="L3251" s="23" t="s">
        <v>21018</v>
      </c>
      <c r="M3251" s="23" t="s">
        <v>21019</v>
      </c>
      <c r="N3251" s="12"/>
      <c r="O3251" s="12"/>
      <c r="P3251" s="13">
        <f>IFERROR(__xludf.DUMMYFUNCTION("VALUE(SUBSTITUTE((INDEX(SPLIT(A3251,"",""),1)),""."","","",1))"),53.484942)</f>
        <v>53.484942</v>
      </c>
      <c r="Q3251" s="13">
        <f>IFERROR(__xludf.DUMMYFUNCTION("VALUE(SUBSTITUTE((INDEX(SPLIT(A3251,"",""),2)),""."","","",1))"),49.468453)</f>
        <v>49.468453</v>
      </c>
      <c r="R3251" s="14" t="b">
        <f t="shared" si="1"/>
        <v>0</v>
      </c>
      <c r="S3251" s="14" t="str">
        <f t="shared" si="2"/>
        <v>53.484942,49.468453</v>
      </c>
      <c r="T3251" s="12"/>
    </row>
    <row r="3252">
      <c r="A3252" s="18" t="s">
        <v>21020</v>
      </c>
      <c r="B3252" s="8" t="s">
        <v>21021</v>
      </c>
      <c r="C3252" s="8" t="s">
        <v>21022</v>
      </c>
      <c r="D3252" s="8" t="s">
        <v>16</v>
      </c>
      <c r="E3252" s="19" t="s">
        <v>21023</v>
      </c>
      <c r="F3252" s="8" t="s">
        <v>20160</v>
      </c>
      <c r="G3252" s="8">
        <v>23.61</v>
      </c>
      <c r="H3252" s="8"/>
      <c r="I3252" s="8"/>
      <c r="J3252" s="8" t="s">
        <v>21024</v>
      </c>
      <c r="K3252" s="8" t="s">
        <v>21025</v>
      </c>
      <c r="L3252" s="8"/>
      <c r="M3252" s="8"/>
      <c r="N3252" s="12"/>
      <c r="O3252" s="12"/>
      <c r="P3252" s="13">
        <f>IFERROR(__xludf.DUMMYFUNCTION("VALUE(SUBSTITUTE((INDEX(SPLIT(A3252,"",""),1)),""."","","",1))"),56.768931)</f>
        <v>56.768931</v>
      </c>
      <c r="Q3252" s="13">
        <f>IFERROR(__xludf.DUMMYFUNCTION("VALUE(SUBSTITUTE((INDEX(SPLIT(A3252,"",""),2)),""."","","",1))"),49.472495)</f>
        <v>49.472495</v>
      </c>
      <c r="R3252" s="14" t="b">
        <f t="shared" si="1"/>
        <v>0</v>
      </c>
      <c r="S3252" s="14" t="str">
        <f t="shared" si="2"/>
        <v>56.768931,49.472495</v>
      </c>
      <c r="T3252" s="12"/>
    </row>
    <row r="3253">
      <c r="A3253" s="15" t="s">
        <v>21026</v>
      </c>
      <c r="B3253" s="16" t="s">
        <v>21027</v>
      </c>
      <c r="C3253" s="16" t="s">
        <v>21028</v>
      </c>
      <c r="D3253" s="16" t="s">
        <v>16</v>
      </c>
      <c r="E3253" s="17" t="s">
        <v>21029</v>
      </c>
      <c r="F3253" s="16" t="s">
        <v>19961</v>
      </c>
      <c r="G3253" s="16">
        <v>23.61</v>
      </c>
      <c r="H3253" s="16"/>
      <c r="I3253" s="16"/>
      <c r="J3253" s="16" t="s">
        <v>21030</v>
      </c>
      <c r="K3253" s="16" t="s">
        <v>21031</v>
      </c>
      <c r="L3253" s="16"/>
      <c r="M3253" s="16"/>
      <c r="N3253" s="12"/>
      <c r="O3253" s="12"/>
      <c r="P3253" s="13">
        <f>IFERROR(__xludf.DUMMYFUNCTION("VALUE(SUBSTITUTE((INDEX(SPLIT(A3253,"",""),1)),""."","","",1))"),53.560669)</f>
        <v>53.560669</v>
      </c>
      <c r="Q3253" s="13">
        <f>IFERROR(__xludf.DUMMYFUNCTION("VALUE(SUBSTITUTE((INDEX(SPLIT(A3253,"",""),2)),""."","","",1))"),49.473061)</f>
        <v>49.473061</v>
      </c>
      <c r="R3253" s="14" t="b">
        <f t="shared" si="1"/>
        <v>0</v>
      </c>
      <c r="S3253" s="14" t="str">
        <f t="shared" si="2"/>
        <v>53.560669,49.473061</v>
      </c>
      <c r="T3253" s="12"/>
    </row>
    <row r="3254">
      <c r="A3254" s="7" t="s">
        <v>21032</v>
      </c>
      <c r="B3254" s="8" t="s">
        <v>21033</v>
      </c>
      <c r="C3254" s="8" t="s">
        <v>21034</v>
      </c>
      <c r="D3254" s="8" t="s">
        <v>16</v>
      </c>
      <c r="E3254" s="9" t="s">
        <v>21035</v>
      </c>
      <c r="F3254" s="10" t="s">
        <v>20160</v>
      </c>
      <c r="G3254" s="8">
        <v>23.61</v>
      </c>
      <c r="H3254" s="8"/>
      <c r="I3254" s="10"/>
      <c r="J3254" s="10" t="s">
        <v>21036</v>
      </c>
      <c r="K3254" s="10" t="s">
        <v>21037</v>
      </c>
      <c r="L3254" s="11" t="s">
        <v>21038</v>
      </c>
      <c r="M3254" s="10"/>
      <c r="N3254" s="12"/>
      <c r="O3254" s="12"/>
      <c r="P3254" s="13">
        <f>IFERROR(__xludf.DUMMYFUNCTION("VALUE(SUBSTITUTE((INDEX(SPLIT(A3254,"",""),1)),""."","","",1))"),53.524016)</f>
        <v>53.524016</v>
      </c>
      <c r="Q3254" s="13">
        <f>IFERROR(__xludf.DUMMYFUNCTION("VALUE(SUBSTITUTE((INDEX(SPLIT(A3254,"",""),2)),""."","","",1))"),49.473286)</f>
        <v>49.473286</v>
      </c>
      <c r="R3254" s="14" t="b">
        <f t="shared" si="1"/>
        <v>0</v>
      </c>
      <c r="S3254" s="14" t="str">
        <f t="shared" si="2"/>
        <v>53.524016,49.473286</v>
      </c>
      <c r="T3254" s="12"/>
    </row>
    <row r="3255">
      <c r="A3255" s="15" t="s">
        <v>21039</v>
      </c>
      <c r="B3255" s="16" t="s">
        <v>21040</v>
      </c>
      <c r="C3255" s="16" t="s">
        <v>21041</v>
      </c>
      <c r="D3255" s="16" t="s">
        <v>16</v>
      </c>
      <c r="E3255" s="17" t="s">
        <v>21042</v>
      </c>
      <c r="F3255" s="16" t="s">
        <v>20160</v>
      </c>
      <c r="G3255" s="16">
        <v>23.61</v>
      </c>
      <c r="H3255" s="16"/>
      <c r="I3255" s="16"/>
      <c r="J3255" s="16" t="s">
        <v>21043</v>
      </c>
      <c r="K3255" s="16" t="s">
        <v>21044</v>
      </c>
      <c r="L3255" s="16"/>
      <c r="M3255" s="16"/>
      <c r="N3255" s="12"/>
      <c r="O3255" s="12"/>
      <c r="P3255" s="13">
        <f>IFERROR(__xludf.DUMMYFUNCTION("VALUE(SUBSTITUTE((INDEX(SPLIT(A3255,"",""),1)),""."","","",1))"),53.384993)</f>
        <v>53.384993</v>
      </c>
      <c r="Q3255" s="13">
        <f>IFERROR(__xludf.DUMMYFUNCTION("VALUE(SUBSTITUTE((INDEX(SPLIT(A3255,"",""),2)),""."","","",1))"),49.480733)</f>
        <v>49.480733</v>
      </c>
      <c r="R3255" s="14" t="b">
        <f t="shared" si="1"/>
        <v>0</v>
      </c>
      <c r="S3255" s="14" t="str">
        <f t="shared" si="2"/>
        <v>53.384993,49.480733</v>
      </c>
      <c r="T3255" s="12"/>
    </row>
    <row r="3256">
      <c r="A3256" s="18" t="s">
        <v>21045</v>
      </c>
      <c r="B3256" s="8" t="s">
        <v>21046</v>
      </c>
      <c r="C3256" s="8" t="s">
        <v>21047</v>
      </c>
      <c r="D3256" s="8" t="s">
        <v>16</v>
      </c>
      <c r="E3256" s="19" t="s">
        <v>21048</v>
      </c>
      <c r="F3256" s="8" t="s">
        <v>21049</v>
      </c>
      <c r="G3256" s="8">
        <v>23.61</v>
      </c>
      <c r="H3256" s="8"/>
      <c r="I3256" s="8"/>
      <c r="J3256" s="8" t="s">
        <v>21050</v>
      </c>
      <c r="K3256" s="8" t="s">
        <v>21051</v>
      </c>
      <c r="L3256" s="8"/>
      <c r="M3256" s="24" t="s">
        <v>21052</v>
      </c>
      <c r="N3256" s="12"/>
      <c r="O3256" s="12"/>
      <c r="P3256" s="13">
        <f>IFERROR(__xludf.DUMMYFUNCTION("VALUE(SUBSTITUTE((INDEX(SPLIT(A3256,"",""),1)),""."","","",1))"),53.481904)</f>
        <v>53.481904</v>
      </c>
      <c r="Q3256" s="13">
        <f>IFERROR(__xludf.DUMMYFUNCTION("VALUE(SUBSTITUTE((INDEX(SPLIT(A3256,"",""),2)),""."","","",1))"),49.491082)</f>
        <v>49.491082</v>
      </c>
      <c r="R3256" s="14" t="b">
        <f t="shared" si="1"/>
        <v>0</v>
      </c>
      <c r="S3256" s="14" t="str">
        <f t="shared" si="2"/>
        <v>53.481904,49.491082</v>
      </c>
      <c r="T3256" s="12"/>
    </row>
    <row r="3257">
      <c r="A3257" s="20" t="s">
        <v>21045</v>
      </c>
      <c r="B3257" s="16" t="s">
        <v>21053</v>
      </c>
      <c r="C3257" s="16" t="s">
        <v>21054</v>
      </c>
      <c r="D3257" s="16" t="s">
        <v>16</v>
      </c>
      <c r="E3257" s="21" t="s">
        <v>21055</v>
      </c>
      <c r="F3257" s="22" t="s">
        <v>20160</v>
      </c>
      <c r="G3257" s="16">
        <v>23.61</v>
      </c>
      <c r="H3257" s="16"/>
      <c r="I3257" s="22"/>
      <c r="J3257" s="22" t="s">
        <v>21056</v>
      </c>
      <c r="K3257" s="22" t="s">
        <v>21057</v>
      </c>
      <c r="L3257" s="23" t="s">
        <v>21058</v>
      </c>
      <c r="M3257" s="23" t="s">
        <v>21059</v>
      </c>
      <c r="N3257" s="12"/>
      <c r="O3257" s="12"/>
      <c r="P3257" s="13">
        <f>IFERROR(__xludf.DUMMYFUNCTION("VALUE(SUBSTITUTE((INDEX(SPLIT(A3257,"",""),1)),""."","","",1))"),53.481904)</f>
        <v>53.481904</v>
      </c>
      <c r="Q3257" s="13">
        <f>IFERROR(__xludf.DUMMYFUNCTION("VALUE(SUBSTITUTE((INDEX(SPLIT(A3257,"",""),2)),""."","","",1))"),49.491082)</f>
        <v>49.491082</v>
      </c>
      <c r="R3257" s="14" t="b">
        <f t="shared" si="1"/>
        <v>0</v>
      </c>
      <c r="S3257" s="14" t="str">
        <f t="shared" si="2"/>
        <v>53.481904,49.491082</v>
      </c>
      <c r="T3257" s="12"/>
    </row>
    <row r="3258">
      <c r="A3258" s="7" t="s">
        <v>21060</v>
      </c>
      <c r="B3258" s="8" t="s">
        <v>21061</v>
      </c>
      <c r="C3258" s="8" t="s">
        <v>21062</v>
      </c>
      <c r="D3258" s="8" t="s">
        <v>16</v>
      </c>
      <c r="E3258" s="9" t="s">
        <v>21063</v>
      </c>
      <c r="F3258" s="10" t="s">
        <v>20160</v>
      </c>
      <c r="G3258" s="8">
        <v>23.61</v>
      </c>
      <c r="H3258" s="8"/>
      <c r="I3258" s="10"/>
      <c r="J3258" s="10" t="s">
        <v>21064</v>
      </c>
      <c r="K3258" s="10" t="s">
        <v>21065</v>
      </c>
      <c r="L3258" s="11" t="s">
        <v>21066</v>
      </c>
      <c r="M3258" s="10"/>
      <c r="N3258" s="12"/>
      <c r="O3258" s="12"/>
      <c r="P3258" s="13">
        <f>IFERROR(__xludf.DUMMYFUNCTION("VALUE(SUBSTITUTE((INDEX(SPLIT(A3258,"",""),1)),""."","","",1))"),58.555567)</f>
        <v>58.555567</v>
      </c>
      <c r="Q3258" s="13">
        <f>IFERROR(__xludf.DUMMYFUNCTION("VALUE(SUBSTITUTE((INDEX(SPLIT(A3258,"",""),2)),""."","","",1))"),49.511842)</f>
        <v>49.511842</v>
      </c>
      <c r="R3258" s="14" t="b">
        <f t="shared" si="1"/>
        <v>0</v>
      </c>
      <c r="S3258" s="14" t="str">
        <f t="shared" si="2"/>
        <v>58.555567,49.511842</v>
      </c>
      <c r="T3258" s="12"/>
    </row>
    <row r="3259">
      <c r="A3259" s="20" t="s">
        <v>21067</v>
      </c>
      <c r="B3259" s="16" t="s">
        <v>21068</v>
      </c>
      <c r="C3259" s="16" t="s">
        <v>21069</v>
      </c>
      <c r="D3259" s="16" t="s">
        <v>16</v>
      </c>
      <c r="E3259" s="21" t="s">
        <v>21070</v>
      </c>
      <c r="F3259" s="22" t="s">
        <v>20160</v>
      </c>
      <c r="G3259" s="16">
        <v>23.61</v>
      </c>
      <c r="H3259" s="16"/>
      <c r="I3259" s="22"/>
      <c r="J3259" s="22" t="s">
        <v>21071</v>
      </c>
      <c r="K3259" s="22" t="s">
        <v>21072</v>
      </c>
      <c r="L3259" s="23" t="s">
        <v>21073</v>
      </c>
      <c r="M3259" s="22"/>
      <c r="N3259" s="12"/>
      <c r="O3259" s="12"/>
      <c r="P3259" s="13">
        <f>IFERROR(__xludf.DUMMYFUNCTION("VALUE(SUBSTITUTE((INDEX(SPLIT(A3259,"",""),1)),""."","","",1))"),53.541993)</f>
        <v>53.541993</v>
      </c>
      <c r="Q3259" s="13">
        <f>IFERROR(__xludf.DUMMYFUNCTION("VALUE(SUBSTITUTE((INDEX(SPLIT(A3259,"",""),2)),""."","","",1))"),49.51769)</f>
        <v>49.51769</v>
      </c>
      <c r="R3259" s="14" t="b">
        <f t="shared" si="1"/>
        <v>0</v>
      </c>
      <c r="S3259" s="14" t="str">
        <f t="shared" si="2"/>
        <v>53.541993,49.51769</v>
      </c>
      <c r="T3259" s="12"/>
    </row>
    <row r="3260">
      <c r="A3260" s="18" t="s">
        <v>21074</v>
      </c>
      <c r="B3260" s="8" t="s">
        <v>21075</v>
      </c>
      <c r="C3260" s="8" t="s">
        <v>21076</v>
      </c>
      <c r="D3260" s="8" t="s">
        <v>16</v>
      </c>
      <c r="E3260" s="19" t="s">
        <v>21077</v>
      </c>
      <c r="F3260" s="8" t="s">
        <v>2057</v>
      </c>
      <c r="G3260" s="8">
        <v>23.61</v>
      </c>
      <c r="H3260" s="8"/>
      <c r="I3260" s="8"/>
      <c r="J3260" s="8" t="s">
        <v>21078</v>
      </c>
      <c r="K3260" s="8" t="s">
        <v>21079</v>
      </c>
      <c r="L3260" s="8"/>
      <c r="M3260" s="24" t="s">
        <v>21080</v>
      </c>
      <c r="N3260" s="12"/>
      <c r="O3260" s="12"/>
      <c r="P3260" s="13">
        <f>IFERROR(__xludf.DUMMYFUNCTION("VALUE(SUBSTITUTE((INDEX(SPLIT(A3260,"",""),1)),""."","","",1))"),53.406267)</f>
        <v>53.406267</v>
      </c>
      <c r="Q3260" s="13">
        <f>IFERROR(__xludf.DUMMYFUNCTION("VALUE(SUBSTITUTE((INDEX(SPLIT(A3260,"",""),2)),""."","","",1))"),49.527338)</f>
        <v>49.527338</v>
      </c>
      <c r="R3260" s="14" t="b">
        <f t="shared" si="1"/>
        <v>0</v>
      </c>
      <c r="S3260" s="14" t="str">
        <f t="shared" si="2"/>
        <v>53.406267,49.527338</v>
      </c>
      <c r="T3260" s="12"/>
    </row>
    <row r="3261">
      <c r="A3261" s="20" t="s">
        <v>21081</v>
      </c>
      <c r="B3261" s="16" t="s">
        <v>21082</v>
      </c>
      <c r="C3261" s="16" t="s">
        <v>21083</v>
      </c>
      <c r="D3261" s="16" t="s">
        <v>16</v>
      </c>
      <c r="E3261" s="21" t="s">
        <v>21084</v>
      </c>
      <c r="F3261" s="22" t="s">
        <v>20160</v>
      </c>
      <c r="G3261" s="16">
        <v>23.61</v>
      </c>
      <c r="H3261" s="16"/>
      <c r="I3261" s="22"/>
      <c r="J3261" s="22" t="s">
        <v>21085</v>
      </c>
      <c r="K3261" s="22" t="s">
        <v>21086</v>
      </c>
      <c r="L3261" s="23" t="s">
        <v>21087</v>
      </c>
      <c r="M3261" s="22"/>
      <c r="N3261" s="12"/>
      <c r="O3261" s="12"/>
      <c r="P3261" s="13">
        <f>IFERROR(__xludf.DUMMYFUNCTION("VALUE(SUBSTITUTE((INDEX(SPLIT(A3261,"",""),1)),""."","","",1))"),53.462577)</f>
        <v>53.462577</v>
      </c>
      <c r="Q3261" s="13">
        <f>IFERROR(__xludf.DUMMYFUNCTION("VALUE(SUBSTITUTE((INDEX(SPLIT(A3261,"",""),2)),""."","","",1))"),49.548646)</f>
        <v>49.548646</v>
      </c>
      <c r="R3261" s="14" t="b">
        <f t="shared" si="1"/>
        <v>0</v>
      </c>
      <c r="S3261" s="14" t="str">
        <f t="shared" si="2"/>
        <v>53.462577,49.548646</v>
      </c>
      <c r="T3261" s="12"/>
    </row>
    <row r="3262">
      <c r="A3262" s="18" t="s">
        <v>21088</v>
      </c>
      <c r="B3262" s="8" t="s">
        <v>21089</v>
      </c>
      <c r="C3262" s="8" t="s">
        <v>17825</v>
      </c>
      <c r="D3262" s="8" t="s">
        <v>16</v>
      </c>
      <c r="E3262" s="19" t="s">
        <v>21090</v>
      </c>
      <c r="F3262" s="8" t="s">
        <v>20160</v>
      </c>
      <c r="G3262" s="8">
        <v>23.61</v>
      </c>
      <c r="H3262" s="8"/>
      <c r="I3262" s="8"/>
      <c r="J3262" s="8" t="s">
        <v>21091</v>
      </c>
      <c r="K3262" s="8" t="s">
        <v>21092</v>
      </c>
      <c r="L3262" s="8"/>
      <c r="M3262" s="8"/>
      <c r="N3262" s="12"/>
      <c r="O3262" s="12"/>
      <c r="P3262" s="13">
        <f>IFERROR(__xludf.DUMMYFUNCTION("VALUE(SUBSTITUTE((INDEX(SPLIT(A3262,"",""),1)),""."","","",1))"),53.463724)</f>
        <v>53.463724</v>
      </c>
      <c r="Q3262" s="13">
        <f>IFERROR(__xludf.DUMMYFUNCTION("VALUE(SUBSTITUTE((INDEX(SPLIT(A3262,"",""),2)),""."","","",1))"),49.550029)</f>
        <v>49.550029</v>
      </c>
      <c r="R3262" s="14" t="b">
        <f t="shared" si="1"/>
        <v>0</v>
      </c>
      <c r="S3262" s="14" t="str">
        <f t="shared" si="2"/>
        <v>53.463724,49.550029</v>
      </c>
      <c r="T3262" s="12"/>
    </row>
    <row r="3263">
      <c r="A3263" s="15" t="s">
        <v>21088</v>
      </c>
      <c r="B3263" s="16" t="s">
        <v>21093</v>
      </c>
      <c r="C3263" s="16" t="s">
        <v>21094</v>
      </c>
      <c r="D3263" s="16" t="s">
        <v>16</v>
      </c>
      <c r="E3263" s="17" t="s">
        <v>21095</v>
      </c>
      <c r="F3263" s="16" t="s">
        <v>2057</v>
      </c>
      <c r="G3263" s="16">
        <v>23.61</v>
      </c>
      <c r="H3263" s="16"/>
      <c r="I3263" s="32" t="s">
        <v>21096</v>
      </c>
      <c r="J3263" s="16" t="s">
        <v>21097</v>
      </c>
      <c r="K3263" s="16" t="s">
        <v>21098</v>
      </c>
      <c r="L3263" s="16"/>
      <c r="M3263" s="25" t="s">
        <v>21099</v>
      </c>
      <c r="N3263" s="12"/>
      <c r="O3263" s="12"/>
      <c r="P3263" s="13">
        <f>IFERROR(__xludf.DUMMYFUNCTION("VALUE(SUBSTITUTE((INDEX(SPLIT(A3263,"",""),1)),""."","","",1))"),53.463724)</f>
        <v>53.463724</v>
      </c>
      <c r="Q3263" s="13">
        <f>IFERROR(__xludf.DUMMYFUNCTION("VALUE(SUBSTITUTE((INDEX(SPLIT(A3263,"",""),2)),""."","","",1))"),49.550029)</f>
        <v>49.550029</v>
      </c>
      <c r="R3263" s="14" t="b">
        <f t="shared" si="1"/>
        <v>0</v>
      </c>
      <c r="S3263" s="14" t="str">
        <f t="shared" si="2"/>
        <v>53.463724,49.550029</v>
      </c>
      <c r="T3263" s="12"/>
    </row>
    <row r="3264">
      <c r="A3264" s="7" t="s">
        <v>21100</v>
      </c>
      <c r="B3264" s="8" t="s">
        <v>21101</v>
      </c>
      <c r="C3264" s="8" t="s">
        <v>21102</v>
      </c>
      <c r="D3264" s="8" t="s">
        <v>16</v>
      </c>
      <c r="E3264" s="9" t="s">
        <v>21103</v>
      </c>
      <c r="F3264" s="10" t="s">
        <v>2057</v>
      </c>
      <c r="G3264" s="8">
        <v>23.61</v>
      </c>
      <c r="H3264" s="8"/>
      <c r="I3264" s="10"/>
      <c r="J3264" s="10" t="s">
        <v>21104</v>
      </c>
      <c r="K3264" s="10" t="s">
        <v>21105</v>
      </c>
      <c r="L3264" s="11" t="s">
        <v>21106</v>
      </c>
      <c r="M3264" s="10"/>
      <c r="N3264" s="12"/>
      <c r="O3264" s="12"/>
      <c r="P3264" s="13">
        <f>IFERROR(__xludf.DUMMYFUNCTION("VALUE(SUBSTITUTE((INDEX(SPLIT(A3264,"",""),1)),""."","","",1))"),54.230469)</f>
        <v>54.230469</v>
      </c>
      <c r="Q3264" s="13">
        <f>IFERROR(__xludf.DUMMYFUNCTION("VALUE(SUBSTITUTE((INDEX(SPLIT(A3264,"",""),2)),""."","","",1))"),49.557234)</f>
        <v>49.557234</v>
      </c>
      <c r="R3264" s="14" t="b">
        <f t="shared" si="1"/>
        <v>0</v>
      </c>
      <c r="S3264" s="14" t="str">
        <f t="shared" si="2"/>
        <v>54.230469,49.557234</v>
      </c>
      <c r="T3264" s="12"/>
    </row>
    <row r="3265">
      <c r="A3265" s="15" t="s">
        <v>21107</v>
      </c>
      <c r="B3265" s="16" t="s">
        <v>21108</v>
      </c>
      <c r="C3265" s="16" t="s">
        <v>21109</v>
      </c>
      <c r="D3265" s="16" t="s">
        <v>16</v>
      </c>
      <c r="E3265" s="17" t="s">
        <v>21110</v>
      </c>
      <c r="F3265" s="16" t="s">
        <v>2057</v>
      </c>
      <c r="G3265" s="16">
        <v>23.61</v>
      </c>
      <c r="H3265" s="16"/>
      <c r="I3265" s="16"/>
      <c r="J3265" s="16" t="s">
        <v>21111</v>
      </c>
      <c r="K3265" s="16" t="s">
        <v>21112</v>
      </c>
      <c r="L3265" s="16"/>
      <c r="M3265" s="16"/>
      <c r="N3265" s="12"/>
      <c r="O3265" s="12"/>
      <c r="P3265" s="13">
        <f>IFERROR(__xludf.DUMMYFUNCTION("VALUE(SUBSTITUTE((INDEX(SPLIT(A3265,"",""),1)),""."","","",1))"),54.190014)</f>
        <v>54.190014</v>
      </c>
      <c r="Q3265" s="13">
        <f>IFERROR(__xludf.DUMMYFUNCTION("VALUE(SUBSTITUTE((INDEX(SPLIT(A3265,"",""),2)),""."","","",1))"),49.564546)</f>
        <v>49.564546</v>
      </c>
      <c r="R3265" s="14" t="b">
        <f t="shared" si="1"/>
        <v>0</v>
      </c>
      <c r="S3265" s="14" t="str">
        <f t="shared" si="2"/>
        <v>54.190014,49.564546</v>
      </c>
      <c r="T3265" s="12"/>
    </row>
    <row r="3266">
      <c r="A3266" s="18" t="s">
        <v>21113</v>
      </c>
      <c r="B3266" s="8" t="s">
        <v>21114</v>
      </c>
      <c r="C3266" s="8" t="s">
        <v>21115</v>
      </c>
      <c r="D3266" s="8" t="s">
        <v>16</v>
      </c>
      <c r="E3266" s="19" t="s">
        <v>21116</v>
      </c>
      <c r="F3266" s="8" t="s">
        <v>21049</v>
      </c>
      <c r="G3266" s="8">
        <v>23.61</v>
      </c>
      <c r="H3266" s="8"/>
      <c r="I3266" s="8"/>
      <c r="J3266" s="8" t="s">
        <v>21117</v>
      </c>
      <c r="K3266" s="8" t="s">
        <v>21118</v>
      </c>
      <c r="L3266" s="8"/>
      <c r="M3266" s="8"/>
      <c r="N3266" s="12"/>
      <c r="O3266" s="12"/>
      <c r="P3266" s="13">
        <f>IFERROR(__xludf.DUMMYFUNCTION("VALUE(SUBSTITUTE((INDEX(SPLIT(A3266,"",""),1)),""."","","",1))"),56.015103)</f>
        <v>56.015103</v>
      </c>
      <c r="Q3266" s="13">
        <f>IFERROR(__xludf.DUMMYFUNCTION("VALUE(SUBSTITUTE((INDEX(SPLIT(A3266,"",""),2)),""."","","",1))"),49.566441)</f>
        <v>49.566441</v>
      </c>
      <c r="R3266" s="14" t="b">
        <f t="shared" si="1"/>
        <v>0</v>
      </c>
      <c r="S3266" s="14" t="str">
        <f t="shared" si="2"/>
        <v>56.015103,49.566441</v>
      </c>
      <c r="T3266" s="12"/>
    </row>
    <row r="3267">
      <c r="A3267" s="20" t="s">
        <v>21119</v>
      </c>
      <c r="B3267" s="16" t="s">
        <v>21120</v>
      </c>
      <c r="C3267" s="16" t="s">
        <v>21121</v>
      </c>
      <c r="D3267" s="16" t="s">
        <v>16</v>
      </c>
      <c r="E3267" s="21" t="s">
        <v>21122</v>
      </c>
      <c r="F3267" s="22" t="s">
        <v>2057</v>
      </c>
      <c r="G3267" s="16">
        <v>23.61</v>
      </c>
      <c r="H3267" s="16"/>
      <c r="I3267" s="22"/>
      <c r="J3267" s="22" t="s">
        <v>21123</v>
      </c>
      <c r="K3267" s="22" t="s">
        <v>21124</v>
      </c>
      <c r="L3267" s="23" t="s">
        <v>21125</v>
      </c>
      <c r="M3267" s="22"/>
      <c r="N3267" s="12"/>
      <c r="O3267" s="12"/>
      <c r="P3267" s="13">
        <f>IFERROR(__xludf.DUMMYFUNCTION("VALUE(SUBSTITUTE((INDEX(SPLIT(A3267,"",""),1)),""."","","",1))"),53.592437)</f>
        <v>53.592437</v>
      </c>
      <c r="Q3267" s="13">
        <f>IFERROR(__xludf.DUMMYFUNCTION("VALUE(SUBSTITUTE((INDEX(SPLIT(A3267,"",""),2)),""."","","",1))"),49.579745)</f>
        <v>49.579745</v>
      </c>
      <c r="R3267" s="14" t="b">
        <f t="shared" si="1"/>
        <v>0</v>
      </c>
      <c r="S3267" s="14" t="str">
        <f t="shared" si="2"/>
        <v>53.592437,49.579745</v>
      </c>
      <c r="T3267" s="12"/>
    </row>
    <row r="3268">
      <c r="A3268" s="7" t="s">
        <v>21126</v>
      </c>
      <c r="B3268" s="8" t="s">
        <v>21127</v>
      </c>
      <c r="C3268" s="8" t="s">
        <v>21128</v>
      </c>
      <c r="D3268" s="8" t="s">
        <v>16</v>
      </c>
      <c r="E3268" s="9" t="s">
        <v>21129</v>
      </c>
      <c r="F3268" s="10" t="s">
        <v>2057</v>
      </c>
      <c r="G3268" s="8">
        <v>23.61</v>
      </c>
      <c r="H3268" s="8"/>
      <c r="I3268" s="10"/>
      <c r="J3268" s="10" t="s">
        <v>21130</v>
      </c>
      <c r="K3268" s="10" t="s">
        <v>21131</v>
      </c>
      <c r="L3268" s="11" t="s">
        <v>21132</v>
      </c>
      <c r="M3268" s="10"/>
      <c r="N3268" s="12"/>
      <c r="O3268" s="12"/>
      <c r="P3268" s="13">
        <f>IFERROR(__xludf.DUMMYFUNCTION("VALUE(SUBSTITUTE((INDEX(SPLIT(A3268,"",""),1)),""."","","",1))"),54.216052)</f>
        <v>54.216052</v>
      </c>
      <c r="Q3268" s="13">
        <f>IFERROR(__xludf.DUMMYFUNCTION("VALUE(SUBSTITUTE((INDEX(SPLIT(A3268,"",""),2)),""."","","",1))"),49.590947)</f>
        <v>49.590947</v>
      </c>
      <c r="R3268" s="14" t="b">
        <f t="shared" si="1"/>
        <v>0</v>
      </c>
      <c r="S3268" s="14" t="str">
        <f t="shared" si="2"/>
        <v>54.216052,49.590947</v>
      </c>
      <c r="T3268" s="12"/>
    </row>
    <row r="3269">
      <c r="A3269" s="15" t="s">
        <v>21133</v>
      </c>
      <c r="B3269" s="16" t="s">
        <v>21134</v>
      </c>
      <c r="C3269" s="16" t="s">
        <v>21135</v>
      </c>
      <c r="D3269" s="16" t="s">
        <v>16</v>
      </c>
      <c r="E3269" s="17" t="s">
        <v>21136</v>
      </c>
      <c r="F3269" s="16" t="s">
        <v>13111</v>
      </c>
      <c r="G3269" s="16">
        <v>23.61</v>
      </c>
      <c r="H3269" s="16"/>
      <c r="I3269" s="16"/>
      <c r="J3269" s="16" t="s">
        <v>21137</v>
      </c>
      <c r="K3269" s="16" t="s">
        <v>21138</v>
      </c>
      <c r="L3269" s="16"/>
      <c r="M3269" s="16"/>
      <c r="N3269" s="12"/>
      <c r="O3269" s="12"/>
      <c r="P3269" s="13">
        <f>IFERROR(__xludf.DUMMYFUNCTION("VALUE(SUBSTITUTE((INDEX(SPLIT(A3269,"",""),1)),""."","","",1))"),54.252531)</f>
        <v>54.252531</v>
      </c>
      <c r="Q3269" s="13">
        <f>IFERROR(__xludf.DUMMYFUNCTION("VALUE(SUBSTITUTE((INDEX(SPLIT(A3269,"",""),2)),""."","","",1))"),49.592241)</f>
        <v>49.592241</v>
      </c>
      <c r="R3269" s="14" t="b">
        <f t="shared" si="1"/>
        <v>0</v>
      </c>
      <c r="S3269" s="14" t="str">
        <f t="shared" si="2"/>
        <v>54.252531,49.592241</v>
      </c>
      <c r="T3269" s="12"/>
    </row>
    <row r="3270">
      <c r="A3270" s="18" t="s">
        <v>21133</v>
      </c>
      <c r="B3270" s="8" t="s">
        <v>21139</v>
      </c>
      <c r="C3270" s="8" t="s">
        <v>21140</v>
      </c>
      <c r="D3270" s="8" t="s">
        <v>16</v>
      </c>
      <c r="E3270" s="19" t="s">
        <v>21141</v>
      </c>
      <c r="F3270" s="8" t="s">
        <v>13111</v>
      </c>
      <c r="G3270" s="8">
        <v>23.61</v>
      </c>
      <c r="H3270" s="8"/>
      <c r="I3270" s="8"/>
      <c r="J3270" s="8" t="s">
        <v>21142</v>
      </c>
      <c r="K3270" s="8" t="s">
        <v>18474</v>
      </c>
      <c r="L3270" s="8"/>
      <c r="M3270" s="24" t="s">
        <v>21143</v>
      </c>
      <c r="N3270" s="12"/>
      <c r="O3270" s="12"/>
      <c r="P3270" s="13">
        <f>IFERROR(__xludf.DUMMYFUNCTION("VALUE(SUBSTITUTE((INDEX(SPLIT(A3270,"",""),1)),""."","","",1))"),54.252531)</f>
        <v>54.252531</v>
      </c>
      <c r="Q3270" s="13">
        <f>IFERROR(__xludf.DUMMYFUNCTION("VALUE(SUBSTITUTE((INDEX(SPLIT(A3270,"",""),2)),""."","","",1))"),49.592241)</f>
        <v>49.592241</v>
      </c>
      <c r="R3270" s="14" t="b">
        <f t="shared" si="1"/>
        <v>0</v>
      </c>
      <c r="S3270" s="14" t="str">
        <f t="shared" si="2"/>
        <v>54.252531,49.592241</v>
      </c>
      <c r="T3270" s="12"/>
    </row>
    <row r="3271">
      <c r="A3271" s="15" t="s">
        <v>21144</v>
      </c>
      <c r="B3271" s="16" t="s">
        <v>21145</v>
      </c>
      <c r="C3271" s="16" t="s">
        <v>21140</v>
      </c>
      <c r="D3271" s="16" t="s">
        <v>16</v>
      </c>
      <c r="E3271" s="17" t="s">
        <v>21146</v>
      </c>
      <c r="F3271" s="16" t="s">
        <v>13111</v>
      </c>
      <c r="G3271" s="16">
        <v>23.61</v>
      </c>
      <c r="H3271" s="16"/>
      <c r="I3271" s="16"/>
      <c r="J3271" s="16" t="s">
        <v>21142</v>
      </c>
      <c r="K3271" s="16" t="s">
        <v>21147</v>
      </c>
      <c r="L3271" s="16"/>
      <c r="M3271" s="16"/>
      <c r="N3271" s="12"/>
      <c r="O3271" s="12"/>
      <c r="P3271" s="13">
        <f>IFERROR(__xludf.DUMMYFUNCTION("VALUE(SUBSTITUTE((INDEX(SPLIT(A3271,"",""),1)),""."","","",1))"),58.589086)</f>
        <v>58.589086</v>
      </c>
      <c r="Q3271" s="13">
        <f>IFERROR(__xludf.DUMMYFUNCTION("VALUE(SUBSTITUTE((INDEX(SPLIT(A3271,"",""),2)),""."","","",1))"),49.594424)</f>
        <v>49.594424</v>
      </c>
      <c r="R3271" s="14" t="b">
        <f t="shared" si="1"/>
        <v>0</v>
      </c>
      <c r="S3271" s="14" t="str">
        <f t="shared" si="2"/>
        <v>58.589086,49.594424</v>
      </c>
      <c r="T3271" s="12"/>
    </row>
    <row r="3272">
      <c r="A3272" s="18" t="s">
        <v>21148</v>
      </c>
      <c r="B3272" s="8" t="s">
        <v>21149</v>
      </c>
      <c r="C3272" s="8" t="s">
        <v>21150</v>
      </c>
      <c r="D3272" s="8" t="s">
        <v>16</v>
      </c>
      <c r="E3272" s="19" t="s">
        <v>21151</v>
      </c>
      <c r="F3272" s="8" t="s">
        <v>10183</v>
      </c>
      <c r="G3272" s="8">
        <v>23.61</v>
      </c>
      <c r="H3272" s="8"/>
      <c r="I3272" s="8"/>
      <c r="J3272" s="8" t="s">
        <v>21152</v>
      </c>
      <c r="K3272" s="8" t="s">
        <v>21153</v>
      </c>
      <c r="L3272" s="8"/>
      <c r="M3272" s="8"/>
      <c r="N3272" s="12"/>
      <c r="O3272" s="12"/>
      <c r="P3272" s="13">
        <f>IFERROR(__xludf.DUMMYFUNCTION("VALUE(SUBSTITUTE((INDEX(SPLIT(A3272,"",""),1)),""."","","",1))"),58.643218)</f>
        <v>58.643218</v>
      </c>
      <c r="Q3272" s="13">
        <f>IFERROR(__xludf.DUMMYFUNCTION("VALUE(SUBSTITUTE((INDEX(SPLIT(A3272,"",""),2)),""."","","",1))"),49.606147)</f>
        <v>49.606147</v>
      </c>
      <c r="R3272" s="14" t="b">
        <f t="shared" si="1"/>
        <v>0</v>
      </c>
      <c r="S3272" s="14" t="str">
        <f t="shared" si="2"/>
        <v>58.643218,49.606147</v>
      </c>
      <c r="T3272" s="12"/>
    </row>
    <row r="3273">
      <c r="A3273" s="20" t="s">
        <v>21154</v>
      </c>
      <c r="B3273" s="16" t="s">
        <v>21155</v>
      </c>
      <c r="C3273" s="16" t="s">
        <v>21156</v>
      </c>
      <c r="D3273" s="16" t="s">
        <v>16</v>
      </c>
      <c r="E3273" s="21" t="s">
        <v>21157</v>
      </c>
      <c r="F3273" s="22" t="s">
        <v>8566</v>
      </c>
      <c r="G3273" s="16">
        <v>23.61</v>
      </c>
      <c r="H3273" s="16"/>
      <c r="I3273" s="22"/>
      <c r="J3273" s="22" t="s">
        <v>21158</v>
      </c>
      <c r="K3273" s="22" t="s">
        <v>21159</v>
      </c>
      <c r="L3273" s="23" t="s">
        <v>21160</v>
      </c>
      <c r="M3273" s="22"/>
      <c r="N3273" s="12"/>
      <c r="O3273" s="12"/>
      <c r="P3273" s="13">
        <f>IFERROR(__xludf.DUMMYFUNCTION("VALUE(SUBSTITUTE((INDEX(SPLIT(A3273,"",""),1)),""."","","",1))"),58.582524)</f>
        <v>58.582524</v>
      </c>
      <c r="Q3273" s="13">
        <f>IFERROR(__xludf.DUMMYFUNCTION("VALUE(SUBSTITUTE((INDEX(SPLIT(A3273,"",""),2)),""."","","",1))"),49.607458)</f>
        <v>49.607458</v>
      </c>
      <c r="R3273" s="14" t="b">
        <f t="shared" si="1"/>
        <v>0</v>
      </c>
      <c r="S3273" s="14" t="str">
        <f t="shared" si="2"/>
        <v>58.582524,49.607458</v>
      </c>
      <c r="T3273" s="12"/>
    </row>
    <row r="3274">
      <c r="A3274" s="18" t="s">
        <v>21161</v>
      </c>
      <c r="B3274" s="8" t="s">
        <v>21162</v>
      </c>
      <c r="C3274" s="8" t="s">
        <v>21163</v>
      </c>
      <c r="D3274" s="8" t="s">
        <v>16</v>
      </c>
      <c r="E3274" s="19" t="s">
        <v>21164</v>
      </c>
      <c r="F3274" s="8" t="s">
        <v>10183</v>
      </c>
      <c r="G3274" s="8">
        <v>23.61</v>
      </c>
      <c r="H3274" s="8"/>
      <c r="I3274" s="8"/>
      <c r="J3274" s="8" t="s">
        <v>21165</v>
      </c>
      <c r="K3274" s="8" t="s">
        <v>21166</v>
      </c>
      <c r="L3274" s="8"/>
      <c r="M3274" s="8"/>
      <c r="N3274" s="12"/>
      <c r="O3274" s="12"/>
      <c r="P3274" s="13">
        <f>IFERROR(__xludf.DUMMYFUNCTION("VALUE(SUBSTITUTE((INDEX(SPLIT(A3274,"",""),1)),""."","","",1))"),58.579156)</f>
        <v>58.579156</v>
      </c>
      <c r="Q3274" s="13">
        <f>IFERROR(__xludf.DUMMYFUNCTION("VALUE(SUBSTITUTE((INDEX(SPLIT(A3274,"",""),2)),""."","","",1))"),49.607665)</f>
        <v>49.607665</v>
      </c>
      <c r="R3274" s="14" t="b">
        <f t="shared" si="1"/>
        <v>0</v>
      </c>
      <c r="S3274" s="14" t="str">
        <f t="shared" si="2"/>
        <v>58.579156,49.607665</v>
      </c>
      <c r="T3274" s="12"/>
    </row>
    <row r="3275">
      <c r="A3275" s="15" t="s">
        <v>21167</v>
      </c>
      <c r="B3275" s="16" t="s">
        <v>21168</v>
      </c>
      <c r="C3275" s="16" t="s">
        <v>21169</v>
      </c>
      <c r="D3275" s="16" t="s">
        <v>16</v>
      </c>
      <c r="E3275" s="17" t="s">
        <v>21170</v>
      </c>
      <c r="F3275" s="16" t="s">
        <v>2057</v>
      </c>
      <c r="G3275" s="16">
        <v>23.61</v>
      </c>
      <c r="H3275" s="16"/>
      <c r="I3275" s="16"/>
      <c r="J3275" s="16" t="s">
        <v>21171</v>
      </c>
      <c r="K3275" s="16" t="s">
        <v>21172</v>
      </c>
      <c r="L3275" s="16"/>
      <c r="M3275" s="16"/>
      <c r="N3275" s="12"/>
      <c r="O3275" s="12"/>
      <c r="P3275" s="13">
        <f>IFERROR(__xludf.DUMMYFUNCTION("VALUE(SUBSTITUTE((INDEX(SPLIT(A3275,"",""),1)),""."","","",1))"),58.574689)</f>
        <v>58.574689</v>
      </c>
      <c r="Q3275" s="13">
        <f>IFERROR(__xludf.DUMMYFUNCTION("VALUE(SUBSTITUTE((INDEX(SPLIT(A3275,"",""),2)),""."","","",1))"),49.609156)</f>
        <v>49.609156</v>
      </c>
      <c r="R3275" s="14" t="b">
        <f t="shared" si="1"/>
        <v>0</v>
      </c>
      <c r="S3275" s="14" t="str">
        <f t="shared" si="2"/>
        <v>58.574689,49.609156</v>
      </c>
      <c r="T3275" s="12"/>
    </row>
    <row r="3276">
      <c r="A3276" s="18" t="s">
        <v>21173</v>
      </c>
      <c r="B3276" s="8" t="s">
        <v>21174</v>
      </c>
      <c r="C3276" s="8" t="s">
        <v>21175</v>
      </c>
      <c r="D3276" s="8" t="s">
        <v>16</v>
      </c>
      <c r="E3276" s="19" t="s">
        <v>21176</v>
      </c>
      <c r="F3276" s="8" t="s">
        <v>20160</v>
      </c>
      <c r="G3276" s="8">
        <v>23.61</v>
      </c>
      <c r="H3276" s="8"/>
      <c r="I3276" s="8"/>
      <c r="J3276" s="8" t="s">
        <v>21177</v>
      </c>
      <c r="K3276" s="8" t="s">
        <v>21178</v>
      </c>
      <c r="L3276" s="8"/>
      <c r="M3276" s="8"/>
      <c r="N3276" s="12"/>
      <c r="O3276" s="12"/>
      <c r="P3276" s="13">
        <f>IFERROR(__xludf.DUMMYFUNCTION("VALUE(SUBSTITUTE((INDEX(SPLIT(A3276,"",""),1)),""."","","",1))"),58.64319)</f>
        <v>58.64319</v>
      </c>
      <c r="Q3276" s="13">
        <f>IFERROR(__xludf.DUMMYFUNCTION("VALUE(SUBSTITUTE((INDEX(SPLIT(A3276,"",""),2)),""."","","",1))"),49.624014)</f>
        <v>49.624014</v>
      </c>
      <c r="R3276" s="14" t="b">
        <f t="shared" si="1"/>
        <v>0</v>
      </c>
      <c r="S3276" s="14" t="str">
        <f t="shared" si="2"/>
        <v>58.64319,49.624014</v>
      </c>
      <c r="T3276" s="12"/>
    </row>
    <row r="3277">
      <c r="A3277" s="15" t="s">
        <v>21179</v>
      </c>
      <c r="B3277" s="16" t="s">
        <v>21180</v>
      </c>
      <c r="C3277" s="16" t="s">
        <v>21181</v>
      </c>
      <c r="D3277" s="16" t="s">
        <v>16</v>
      </c>
      <c r="E3277" s="17" t="s">
        <v>21182</v>
      </c>
      <c r="F3277" s="16" t="s">
        <v>10183</v>
      </c>
      <c r="G3277" s="16">
        <v>23.61</v>
      </c>
      <c r="H3277" s="16"/>
      <c r="I3277" s="16"/>
      <c r="J3277" s="16" t="s">
        <v>21183</v>
      </c>
      <c r="K3277" s="16" t="s">
        <v>21184</v>
      </c>
      <c r="L3277" s="16"/>
      <c r="M3277" s="16"/>
      <c r="N3277" s="12"/>
      <c r="O3277" s="12"/>
      <c r="P3277" s="13">
        <f>IFERROR(__xludf.DUMMYFUNCTION("VALUE(SUBSTITUTE((INDEX(SPLIT(A3277,"",""),1)),""."","","",1))"),58.632009)</f>
        <v>58.632009</v>
      </c>
      <c r="Q3277" s="13">
        <f>IFERROR(__xludf.DUMMYFUNCTION("VALUE(SUBSTITUTE((INDEX(SPLIT(A3277,"",""),2)),""."","","",1))"),49.630841)</f>
        <v>49.630841</v>
      </c>
      <c r="R3277" s="14" t="b">
        <f t="shared" si="1"/>
        <v>0</v>
      </c>
      <c r="S3277" s="14" t="str">
        <f t="shared" si="2"/>
        <v>58.632009,49.630841</v>
      </c>
      <c r="T3277" s="12"/>
    </row>
    <row r="3278">
      <c r="A3278" s="18" t="s">
        <v>21185</v>
      </c>
      <c r="B3278" s="8" t="s">
        <v>21186</v>
      </c>
      <c r="C3278" s="8" t="s">
        <v>21187</v>
      </c>
      <c r="D3278" s="8" t="s">
        <v>16</v>
      </c>
      <c r="E3278" s="19" t="s">
        <v>21188</v>
      </c>
      <c r="F3278" s="8" t="s">
        <v>10183</v>
      </c>
      <c r="G3278" s="8">
        <v>23.61</v>
      </c>
      <c r="H3278" s="8"/>
      <c r="I3278" s="8"/>
      <c r="J3278" s="8" t="s">
        <v>21189</v>
      </c>
      <c r="K3278" s="8" t="s">
        <v>21190</v>
      </c>
      <c r="L3278" s="8"/>
      <c r="M3278" s="8"/>
      <c r="N3278" s="12"/>
      <c r="O3278" s="12"/>
      <c r="P3278" s="13">
        <f>IFERROR(__xludf.DUMMYFUNCTION("VALUE(SUBSTITUTE((INDEX(SPLIT(A3278,"",""),1)),""."","","",1))"),58.588655)</f>
        <v>58.588655</v>
      </c>
      <c r="Q3278" s="13">
        <f>IFERROR(__xludf.DUMMYFUNCTION("VALUE(SUBSTITUTE((INDEX(SPLIT(A3278,"",""),2)),""."","","",1))"),49.634875)</f>
        <v>49.634875</v>
      </c>
      <c r="R3278" s="14" t="b">
        <f t="shared" si="1"/>
        <v>0</v>
      </c>
      <c r="S3278" s="14" t="str">
        <f t="shared" si="2"/>
        <v>58.588655,49.634875</v>
      </c>
      <c r="T3278" s="12"/>
    </row>
    <row r="3279">
      <c r="A3279" s="15" t="s">
        <v>21185</v>
      </c>
      <c r="B3279" s="16" t="s">
        <v>743</v>
      </c>
      <c r="C3279" s="16" t="s">
        <v>744</v>
      </c>
      <c r="D3279" s="16" t="s">
        <v>16</v>
      </c>
      <c r="E3279" s="17" t="s">
        <v>21191</v>
      </c>
      <c r="F3279" s="16" t="s">
        <v>21049</v>
      </c>
      <c r="G3279" s="16">
        <v>23.61</v>
      </c>
      <c r="H3279" s="16"/>
      <c r="I3279" s="16"/>
      <c r="J3279" s="16" t="s">
        <v>21192</v>
      </c>
      <c r="K3279" s="16" t="s">
        <v>21193</v>
      </c>
      <c r="L3279" s="16"/>
      <c r="M3279" s="16"/>
      <c r="N3279" s="12"/>
      <c r="O3279" s="12"/>
      <c r="P3279" s="13">
        <f>IFERROR(__xludf.DUMMYFUNCTION("VALUE(SUBSTITUTE((INDEX(SPLIT(A3279,"",""),1)),""."","","",1))"),58.588655)</f>
        <v>58.588655</v>
      </c>
      <c r="Q3279" s="13">
        <f>IFERROR(__xludf.DUMMYFUNCTION("VALUE(SUBSTITUTE((INDEX(SPLIT(A3279,"",""),2)),""."","","",1))"),49.634875)</f>
        <v>49.634875</v>
      </c>
      <c r="R3279" s="14" t="b">
        <f t="shared" si="1"/>
        <v>0</v>
      </c>
      <c r="S3279" s="14" t="str">
        <f t="shared" si="2"/>
        <v>58.588655,49.634875</v>
      </c>
      <c r="T3279" s="12"/>
    </row>
    <row r="3280">
      <c r="A3280" s="18" t="s">
        <v>21194</v>
      </c>
      <c r="B3280" s="8" t="s">
        <v>21195</v>
      </c>
      <c r="C3280" s="8" t="s">
        <v>21196</v>
      </c>
      <c r="D3280" s="8" t="s">
        <v>16</v>
      </c>
      <c r="E3280" s="19" t="s">
        <v>21197</v>
      </c>
      <c r="F3280" s="8" t="s">
        <v>13111</v>
      </c>
      <c r="G3280" s="8">
        <v>23.61</v>
      </c>
      <c r="H3280" s="8"/>
      <c r="I3280" s="8"/>
      <c r="J3280" s="8" t="s">
        <v>21198</v>
      </c>
      <c r="K3280" s="8" t="s">
        <v>21199</v>
      </c>
      <c r="L3280" s="8"/>
      <c r="M3280" s="8"/>
      <c r="N3280" s="12"/>
      <c r="O3280" s="12"/>
      <c r="P3280" s="13">
        <f>IFERROR(__xludf.DUMMYFUNCTION("VALUE(SUBSTITUTE((INDEX(SPLIT(A3280,"",""),1)),""."","","",1))"),58.616673)</f>
        <v>58.616673</v>
      </c>
      <c r="Q3280" s="13">
        <f>IFERROR(__xludf.DUMMYFUNCTION("VALUE(SUBSTITUTE((INDEX(SPLIT(A3280,"",""),2)),""."","","",1))"),49.635845)</f>
        <v>49.635845</v>
      </c>
      <c r="R3280" s="14" t="b">
        <f t="shared" si="1"/>
        <v>0</v>
      </c>
      <c r="S3280" s="14" t="str">
        <f t="shared" si="2"/>
        <v>58.616673,49.635845</v>
      </c>
      <c r="T3280" s="12"/>
    </row>
    <row r="3281">
      <c r="A3281" s="15" t="s">
        <v>21200</v>
      </c>
      <c r="B3281" s="16" t="s">
        <v>21201</v>
      </c>
      <c r="C3281" s="16" t="s">
        <v>21202</v>
      </c>
      <c r="D3281" s="16" t="s">
        <v>16</v>
      </c>
      <c r="E3281" s="17" t="s">
        <v>21203</v>
      </c>
      <c r="F3281" s="16" t="s">
        <v>2057</v>
      </c>
      <c r="G3281" s="16">
        <v>23.61</v>
      </c>
      <c r="H3281" s="16"/>
      <c r="I3281" s="32" t="s">
        <v>21204</v>
      </c>
      <c r="J3281" s="16" t="s">
        <v>21205</v>
      </c>
      <c r="K3281" s="16" t="s">
        <v>21206</v>
      </c>
      <c r="L3281" s="16"/>
      <c r="M3281" s="25" t="s">
        <v>21207</v>
      </c>
      <c r="N3281" s="12"/>
      <c r="O3281" s="12"/>
      <c r="P3281" s="13">
        <f>IFERROR(__xludf.DUMMYFUNCTION("VALUE(SUBSTITUTE((INDEX(SPLIT(A3281,"",""),1)),""."","","",1))"),58.612526)</f>
        <v>58.612526</v>
      </c>
      <c r="Q3281" s="13">
        <f>IFERROR(__xludf.DUMMYFUNCTION("VALUE(SUBSTITUTE((INDEX(SPLIT(A3281,"",""),2)),""."","","",1))"),49.636609)</f>
        <v>49.636609</v>
      </c>
      <c r="R3281" s="14" t="b">
        <f t="shared" si="1"/>
        <v>0</v>
      </c>
      <c r="S3281" s="14" t="str">
        <f t="shared" si="2"/>
        <v>58.612526,49.636609</v>
      </c>
      <c r="T3281" s="12"/>
    </row>
    <row r="3282">
      <c r="A3282" s="18" t="s">
        <v>21208</v>
      </c>
      <c r="B3282" s="8" t="s">
        <v>21209</v>
      </c>
      <c r="C3282" s="8" t="s">
        <v>21210</v>
      </c>
      <c r="D3282" s="8" t="s">
        <v>16</v>
      </c>
      <c r="E3282" s="19" t="s">
        <v>21211</v>
      </c>
      <c r="F3282" s="8" t="s">
        <v>21049</v>
      </c>
      <c r="G3282" s="8">
        <v>23.61</v>
      </c>
      <c r="H3282" s="8"/>
      <c r="I3282" s="8"/>
      <c r="J3282" s="8" t="s">
        <v>21212</v>
      </c>
      <c r="K3282" s="8" t="s">
        <v>21213</v>
      </c>
      <c r="L3282" s="8"/>
      <c r="M3282" s="8"/>
      <c r="N3282" s="12"/>
      <c r="O3282" s="12"/>
      <c r="P3282" s="13">
        <f>IFERROR(__xludf.DUMMYFUNCTION("VALUE(SUBSTITUTE((INDEX(SPLIT(A3282,"",""),1)),""."","","",1))"),58.586164)</f>
        <v>58.586164</v>
      </c>
      <c r="Q3282" s="13">
        <f>IFERROR(__xludf.DUMMYFUNCTION("VALUE(SUBSTITUTE((INDEX(SPLIT(A3282,"",""),2)),""."","","",1))"),49.643562)</f>
        <v>49.643562</v>
      </c>
      <c r="R3282" s="14" t="b">
        <f t="shared" si="1"/>
        <v>0</v>
      </c>
      <c r="S3282" s="14" t="str">
        <f t="shared" si="2"/>
        <v>58.586164,49.643562</v>
      </c>
      <c r="T3282" s="12"/>
    </row>
    <row r="3283">
      <c r="A3283" s="15" t="s">
        <v>21214</v>
      </c>
      <c r="B3283" s="16" t="s">
        <v>21215</v>
      </c>
      <c r="C3283" s="16" t="s">
        <v>21216</v>
      </c>
      <c r="D3283" s="16" t="s">
        <v>16</v>
      </c>
      <c r="E3283" s="17" t="s">
        <v>21217</v>
      </c>
      <c r="F3283" s="16" t="s">
        <v>20160</v>
      </c>
      <c r="G3283" s="16">
        <v>23.61</v>
      </c>
      <c r="H3283" s="16"/>
      <c r="I3283" s="16"/>
      <c r="J3283" s="16" t="s">
        <v>21218</v>
      </c>
      <c r="K3283" s="16" t="s">
        <v>21219</v>
      </c>
      <c r="L3283" s="16"/>
      <c r="M3283" s="16"/>
      <c r="N3283" s="12"/>
      <c r="O3283" s="12"/>
      <c r="P3283" s="13">
        <f>IFERROR(__xludf.DUMMYFUNCTION("VALUE(SUBSTITUTE((INDEX(SPLIT(A3283,"",""),1)),""."","","",1))"),58.622691)</f>
        <v>58.622691</v>
      </c>
      <c r="Q3283" s="13">
        <f>IFERROR(__xludf.DUMMYFUNCTION("VALUE(SUBSTITUTE((INDEX(SPLIT(A3283,"",""),2)),""."","","",1))"),49.647173)</f>
        <v>49.647173</v>
      </c>
      <c r="R3283" s="14" t="b">
        <f t="shared" si="1"/>
        <v>0</v>
      </c>
      <c r="S3283" s="14" t="str">
        <f t="shared" si="2"/>
        <v>58.622691,49.647173</v>
      </c>
      <c r="T3283" s="12"/>
    </row>
    <row r="3284">
      <c r="A3284" s="18" t="s">
        <v>21220</v>
      </c>
      <c r="B3284" s="8" t="s">
        <v>21221</v>
      </c>
      <c r="C3284" s="8" t="s">
        <v>21222</v>
      </c>
      <c r="D3284" s="8" t="s">
        <v>16</v>
      </c>
      <c r="E3284" s="19" t="s">
        <v>21223</v>
      </c>
      <c r="F3284" s="8" t="s">
        <v>20160</v>
      </c>
      <c r="G3284" s="8">
        <v>23.61</v>
      </c>
      <c r="H3284" s="8"/>
      <c r="I3284" s="8"/>
      <c r="J3284" s="8" t="s">
        <v>21224</v>
      </c>
      <c r="K3284" s="8" t="s">
        <v>21225</v>
      </c>
      <c r="L3284" s="8"/>
      <c r="M3284" s="8"/>
      <c r="N3284" s="12"/>
      <c r="O3284" s="12"/>
      <c r="P3284" s="13">
        <f>IFERROR(__xludf.DUMMYFUNCTION("VALUE(SUBSTITUTE((INDEX(SPLIT(A3284,"",""),1)),""."","","",1))"),58.601861)</f>
        <v>58.601861</v>
      </c>
      <c r="Q3284" s="13">
        <f>IFERROR(__xludf.DUMMYFUNCTION("VALUE(SUBSTITUTE((INDEX(SPLIT(A3284,"",""),2)),""."","","",1))"),49.647335)</f>
        <v>49.647335</v>
      </c>
      <c r="R3284" s="14" t="b">
        <f t="shared" si="1"/>
        <v>0</v>
      </c>
      <c r="S3284" s="14" t="str">
        <f t="shared" si="2"/>
        <v>58.601861,49.647335</v>
      </c>
      <c r="T3284" s="12"/>
    </row>
    <row r="3285">
      <c r="A3285" s="15" t="s">
        <v>21226</v>
      </c>
      <c r="B3285" s="16" t="s">
        <v>21227</v>
      </c>
      <c r="C3285" s="16" t="s">
        <v>21228</v>
      </c>
      <c r="D3285" s="16" t="s">
        <v>16</v>
      </c>
      <c r="E3285" s="17" t="s">
        <v>21229</v>
      </c>
      <c r="F3285" s="16" t="s">
        <v>20160</v>
      </c>
      <c r="G3285" s="16">
        <v>23.61</v>
      </c>
      <c r="H3285" s="16"/>
      <c r="I3285" s="16"/>
      <c r="J3285" s="16" t="s">
        <v>21230</v>
      </c>
      <c r="K3285" s="16" t="s">
        <v>21231</v>
      </c>
      <c r="L3285" s="16"/>
      <c r="M3285" s="16"/>
      <c r="N3285" s="12"/>
      <c r="O3285" s="12"/>
      <c r="P3285" s="13">
        <f>IFERROR(__xludf.DUMMYFUNCTION("VALUE(SUBSTITUTE((INDEX(SPLIT(A3285,"",""),1)),""."","","",1))"),58.630285)</f>
        <v>58.630285</v>
      </c>
      <c r="Q3285" s="13">
        <f>IFERROR(__xludf.DUMMYFUNCTION("VALUE(SUBSTITUTE((INDEX(SPLIT(A3285,"",""),2)),""."","","",1))"),49.649257)</f>
        <v>49.649257</v>
      </c>
      <c r="R3285" s="14" t="b">
        <f t="shared" si="1"/>
        <v>0</v>
      </c>
      <c r="S3285" s="14" t="str">
        <f t="shared" si="2"/>
        <v>58.630285,49.649257</v>
      </c>
      <c r="T3285" s="12"/>
    </row>
    <row r="3286">
      <c r="A3286" s="7" t="s">
        <v>21232</v>
      </c>
      <c r="B3286" s="8" t="s">
        <v>21233</v>
      </c>
      <c r="C3286" s="8" t="s">
        <v>21234</v>
      </c>
      <c r="D3286" s="8" t="s">
        <v>16</v>
      </c>
      <c r="E3286" s="9" t="s">
        <v>21235</v>
      </c>
      <c r="F3286" s="10" t="s">
        <v>20160</v>
      </c>
      <c r="G3286" s="8">
        <v>23.61</v>
      </c>
      <c r="H3286" s="8"/>
      <c r="I3286" s="10"/>
      <c r="J3286" s="10" t="s">
        <v>21236</v>
      </c>
      <c r="K3286" s="10" t="s">
        <v>21237</v>
      </c>
      <c r="L3286" s="11" t="s">
        <v>21238</v>
      </c>
      <c r="M3286" s="11" t="s">
        <v>21239</v>
      </c>
      <c r="N3286" s="12"/>
      <c r="O3286" s="12"/>
      <c r="P3286" s="13">
        <f>IFERROR(__xludf.DUMMYFUNCTION("VALUE(SUBSTITUTE((INDEX(SPLIT(A3286,"",""),1)),""."","","",1))"),58.497773)</f>
        <v>58.497773</v>
      </c>
      <c r="Q3286" s="13">
        <f>IFERROR(__xludf.DUMMYFUNCTION("VALUE(SUBSTITUTE((INDEX(SPLIT(A3286,"",""),2)),""."","","",1))"),49.656947)</f>
        <v>49.656947</v>
      </c>
      <c r="R3286" s="14" t="b">
        <f t="shared" si="1"/>
        <v>0</v>
      </c>
      <c r="S3286" s="14" t="str">
        <f t="shared" si="2"/>
        <v>58.497773,49.656947</v>
      </c>
      <c r="T3286" s="12"/>
    </row>
    <row r="3287">
      <c r="A3287" s="15" t="s">
        <v>21240</v>
      </c>
      <c r="B3287" s="16" t="s">
        <v>21241</v>
      </c>
      <c r="C3287" s="16" t="s">
        <v>21242</v>
      </c>
      <c r="D3287" s="16" t="s">
        <v>16</v>
      </c>
      <c r="E3287" s="17" t="s">
        <v>21243</v>
      </c>
      <c r="F3287" s="16" t="s">
        <v>20160</v>
      </c>
      <c r="G3287" s="16">
        <v>23.61</v>
      </c>
      <c r="H3287" s="16"/>
      <c r="I3287" s="16"/>
      <c r="J3287" s="16" t="s">
        <v>21244</v>
      </c>
      <c r="K3287" s="16" t="s">
        <v>21245</v>
      </c>
      <c r="L3287" s="16"/>
      <c r="M3287" s="25" t="s">
        <v>21246</v>
      </c>
      <c r="N3287" s="12"/>
      <c r="O3287" s="12"/>
      <c r="P3287" s="13">
        <f>IFERROR(__xludf.DUMMYFUNCTION("VALUE(SUBSTITUTE((INDEX(SPLIT(A3287,"",""),1)),""."","","",1))"),58.631358)</f>
        <v>58.631358</v>
      </c>
      <c r="Q3287" s="13">
        <f>IFERROR(__xludf.DUMMYFUNCTION("VALUE(SUBSTITUTE((INDEX(SPLIT(A3287,"",""),2)),""."","","",1))"),49.6601)</f>
        <v>49.6601</v>
      </c>
      <c r="R3287" s="14" t="b">
        <f t="shared" si="1"/>
        <v>0</v>
      </c>
      <c r="S3287" s="14" t="str">
        <f t="shared" si="2"/>
        <v>58.631358,49.6601</v>
      </c>
      <c r="T3287" s="12"/>
    </row>
    <row r="3288">
      <c r="A3288" s="7" t="s">
        <v>21247</v>
      </c>
      <c r="B3288" s="8" t="s">
        <v>21248</v>
      </c>
      <c r="C3288" s="8" t="s">
        <v>21249</v>
      </c>
      <c r="D3288" s="8" t="s">
        <v>16</v>
      </c>
      <c r="E3288" s="9" t="s">
        <v>21250</v>
      </c>
      <c r="F3288" s="10" t="s">
        <v>20160</v>
      </c>
      <c r="G3288" s="8">
        <v>23.61</v>
      </c>
      <c r="H3288" s="8"/>
      <c r="I3288" s="10"/>
      <c r="J3288" s="10" t="s">
        <v>21251</v>
      </c>
      <c r="K3288" s="10" t="s">
        <v>21252</v>
      </c>
      <c r="L3288" s="11" t="s">
        <v>21253</v>
      </c>
      <c r="M3288" s="11" t="s">
        <v>21254</v>
      </c>
      <c r="N3288" s="12"/>
      <c r="O3288" s="12"/>
      <c r="P3288" s="13">
        <f>IFERROR(__xludf.DUMMYFUNCTION("VALUE(SUBSTITUTE((INDEX(SPLIT(A3288,"",""),1)),""."","","",1))"),58.508794)</f>
        <v>58.508794</v>
      </c>
      <c r="Q3288" s="13">
        <f>IFERROR(__xludf.DUMMYFUNCTION("VALUE(SUBSTITUTE((INDEX(SPLIT(A3288,"",""),2)),""."","","",1))"),49.662435)</f>
        <v>49.662435</v>
      </c>
      <c r="R3288" s="14" t="b">
        <f t="shared" si="1"/>
        <v>0</v>
      </c>
      <c r="S3288" s="14" t="str">
        <f t="shared" si="2"/>
        <v>58.508794,49.662435</v>
      </c>
      <c r="T3288" s="12"/>
    </row>
    <row r="3289">
      <c r="A3289" s="20" t="s">
        <v>21255</v>
      </c>
      <c r="B3289" s="16" t="s">
        <v>21256</v>
      </c>
      <c r="C3289" s="16" t="s">
        <v>21257</v>
      </c>
      <c r="D3289" s="16" t="s">
        <v>16</v>
      </c>
      <c r="E3289" s="21" t="s">
        <v>21258</v>
      </c>
      <c r="F3289" s="22" t="s">
        <v>20160</v>
      </c>
      <c r="G3289" s="16">
        <v>23.61</v>
      </c>
      <c r="H3289" s="16"/>
      <c r="I3289" s="28" t="s">
        <v>21259</v>
      </c>
      <c r="J3289" s="22" t="s">
        <v>21260</v>
      </c>
      <c r="K3289" s="22" t="s">
        <v>21261</v>
      </c>
      <c r="L3289" s="23" t="s">
        <v>21262</v>
      </c>
      <c r="M3289" s="23" t="s">
        <v>21263</v>
      </c>
      <c r="N3289" s="12"/>
      <c r="O3289" s="12"/>
      <c r="P3289" s="13">
        <f>IFERROR(__xludf.DUMMYFUNCTION("VALUE(SUBSTITUTE((INDEX(SPLIT(A3289,"",""),1)),""."","","",1))"),58.603595)</f>
        <v>58.603595</v>
      </c>
      <c r="Q3289" s="13">
        <f>IFERROR(__xludf.DUMMYFUNCTION("VALUE(SUBSTITUTE((INDEX(SPLIT(A3289,"",""),2)),""."","","",1))"),49.668023)</f>
        <v>49.668023</v>
      </c>
      <c r="R3289" s="14" t="b">
        <f t="shared" si="1"/>
        <v>0</v>
      </c>
      <c r="S3289" s="14" t="str">
        <f t="shared" si="2"/>
        <v>58.603595,49.668023</v>
      </c>
      <c r="T3289" s="12"/>
    </row>
    <row r="3290">
      <c r="A3290" s="7" t="s">
        <v>21264</v>
      </c>
      <c r="B3290" s="8" t="s">
        <v>21265</v>
      </c>
      <c r="C3290" s="8" t="s">
        <v>21266</v>
      </c>
      <c r="D3290" s="8" t="s">
        <v>16</v>
      </c>
      <c r="E3290" s="9" t="s">
        <v>21267</v>
      </c>
      <c r="F3290" s="10" t="s">
        <v>20160</v>
      </c>
      <c r="G3290" s="8">
        <v>23.61</v>
      </c>
      <c r="H3290" s="8"/>
      <c r="I3290" s="10"/>
      <c r="J3290" s="10" t="s">
        <v>21268</v>
      </c>
      <c r="K3290" s="10" t="s">
        <v>21261</v>
      </c>
      <c r="L3290" s="11" t="s">
        <v>21262</v>
      </c>
      <c r="M3290" s="11" t="s">
        <v>21263</v>
      </c>
      <c r="N3290" s="12"/>
      <c r="O3290" s="12"/>
      <c r="P3290" s="13">
        <f>IFERROR(__xludf.DUMMYFUNCTION("VALUE(SUBSTITUTE((INDEX(SPLIT(A3290,"",""),1)),""."","","",1))"),58.591277)</f>
        <v>58.591277</v>
      </c>
      <c r="Q3290" s="13">
        <f>IFERROR(__xludf.DUMMYFUNCTION("VALUE(SUBSTITUTE((INDEX(SPLIT(A3290,"",""),2)),""."","","",1))"),49.669658)</f>
        <v>49.669658</v>
      </c>
      <c r="R3290" s="14" t="b">
        <f t="shared" si="1"/>
        <v>0</v>
      </c>
      <c r="S3290" s="14" t="str">
        <f t="shared" si="2"/>
        <v>58.591277,49.669658</v>
      </c>
      <c r="T3290" s="12"/>
    </row>
    <row r="3291">
      <c r="A3291" s="20" t="s">
        <v>21269</v>
      </c>
      <c r="B3291" s="16" t="s">
        <v>4707</v>
      </c>
      <c r="C3291" s="16" t="s">
        <v>4708</v>
      </c>
      <c r="D3291" s="16" t="s">
        <v>16</v>
      </c>
      <c r="E3291" s="21" t="s">
        <v>21270</v>
      </c>
      <c r="F3291" s="22" t="s">
        <v>21049</v>
      </c>
      <c r="G3291" s="16">
        <v>23.61</v>
      </c>
      <c r="H3291" s="16"/>
      <c r="I3291" s="22"/>
      <c r="J3291" s="22" t="s">
        <v>21271</v>
      </c>
      <c r="K3291" s="22" t="s">
        <v>21272</v>
      </c>
      <c r="L3291" s="23" t="s">
        <v>21273</v>
      </c>
      <c r="M3291" s="22"/>
      <c r="N3291" s="12"/>
      <c r="O3291" s="12"/>
      <c r="P3291" s="13">
        <f>IFERROR(__xludf.DUMMYFUNCTION("VALUE(SUBSTITUTE((INDEX(SPLIT(A3291,"",""),1)),""."","","",1))"),58.595868)</f>
        <v>58.595868</v>
      </c>
      <c r="Q3291" s="13">
        <f>IFERROR(__xludf.DUMMYFUNCTION("VALUE(SUBSTITUTE((INDEX(SPLIT(A3291,"",""),2)),""."","","",1))"),49.669963)</f>
        <v>49.669963</v>
      </c>
      <c r="R3291" s="14" t="b">
        <f t="shared" si="1"/>
        <v>0</v>
      </c>
      <c r="S3291" s="14" t="str">
        <f t="shared" si="2"/>
        <v>58.595868,49.669963</v>
      </c>
      <c r="T3291" s="12"/>
    </row>
    <row r="3292">
      <c r="A3292" s="18" t="s">
        <v>21274</v>
      </c>
      <c r="B3292" s="8" t="s">
        <v>13209</v>
      </c>
      <c r="C3292" s="8" t="s">
        <v>13210</v>
      </c>
      <c r="D3292" s="8" t="s">
        <v>16</v>
      </c>
      <c r="E3292" s="19" t="s">
        <v>21275</v>
      </c>
      <c r="F3292" s="8" t="s">
        <v>13111</v>
      </c>
      <c r="G3292" s="8">
        <v>23.61</v>
      </c>
      <c r="H3292" s="8"/>
      <c r="I3292" s="8"/>
      <c r="J3292" s="8" t="s">
        <v>21276</v>
      </c>
      <c r="K3292" s="8" t="s">
        <v>21277</v>
      </c>
      <c r="L3292" s="8"/>
      <c r="M3292" s="8"/>
      <c r="N3292" s="12"/>
      <c r="O3292" s="12"/>
      <c r="P3292" s="13">
        <f>IFERROR(__xludf.DUMMYFUNCTION("VALUE(SUBSTITUTE((INDEX(SPLIT(A3292,"",""),1)),""."","","",1))"),58.596243)</f>
        <v>58.596243</v>
      </c>
      <c r="Q3292" s="13">
        <f>IFERROR(__xludf.DUMMYFUNCTION("VALUE(SUBSTITUTE((INDEX(SPLIT(A3292,"",""),2)),""."","","",1))"),49.670852)</f>
        <v>49.670852</v>
      </c>
      <c r="R3292" s="14" t="b">
        <f t="shared" si="1"/>
        <v>0</v>
      </c>
      <c r="S3292" s="14" t="str">
        <f t="shared" si="2"/>
        <v>58.596243,49.670852</v>
      </c>
      <c r="T3292" s="12"/>
    </row>
    <row r="3293">
      <c r="A3293" s="15" t="s">
        <v>21278</v>
      </c>
      <c r="B3293" s="16" t="s">
        <v>21279</v>
      </c>
      <c r="C3293" s="16" t="s">
        <v>21280</v>
      </c>
      <c r="D3293" s="16" t="s">
        <v>16</v>
      </c>
      <c r="E3293" s="17" t="s">
        <v>21281</v>
      </c>
      <c r="F3293" s="16" t="s">
        <v>20160</v>
      </c>
      <c r="G3293" s="16">
        <v>23.61</v>
      </c>
      <c r="H3293" s="16"/>
      <c r="I3293" s="32" t="s">
        <v>21282</v>
      </c>
      <c r="J3293" s="16" t="s">
        <v>21283</v>
      </c>
      <c r="K3293" s="16" t="s">
        <v>21284</v>
      </c>
      <c r="L3293" s="16"/>
      <c r="M3293" s="16"/>
      <c r="N3293" s="12"/>
      <c r="O3293" s="12"/>
      <c r="P3293" s="13">
        <f>IFERROR(__xludf.DUMMYFUNCTION("VALUE(SUBSTITUTE((INDEX(SPLIT(A3293,"",""),1)),""."","","",1))"),58.608743)</f>
        <v>58.608743</v>
      </c>
      <c r="Q3293" s="13">
        <f>IFERROR(__xludf.DUMMYFUNCTION("VALUE(SUBSTITUTE((INDEX(SPLIT(A3293,"",""),2)),""."","","",1))"),49.675946)</f>
        <v>49.675946</v>
      </c>
      <c r="R3293" s="14" t="b">
        <f t="shared" si="1"/>
        <v>0</v>
      </c>
      <c r="S3293" s="14" t="str">
        <f t="shared" si="2"/>
        <v>58.608743,49.675946</v>
      </c>
      <c r="T3293" s="12"/>
    </row>
    <row r="3294">
      <c r="A3294" s="18" t="s">
        <v>21285</v>
      </c>
      <c r="B3294" s="8" t="s">
        <v>21286</v>
      </c>
      <c r="C3294" s="8" t="s">
        <v>21287</v>
      </c>
      <c r="D3294" s="8" t="s">
        <v>16</v>
      </c>
      <c r="E3294" s="19" t="s">
        <v>21288</v>
      </c>
      <c r="F3294" s="8" t="s">
        <v>13111</v>
      </c>
      <c r="G3294" s="8">
        <v>23.61</v>
      </c>
      <c r="H3294" s="8"/>
      <c r="I3294" s="27" t="s">
        <v>21289</v>
      </c>
      <c r="J3294" s="8" t="s">
        <v>21290</v>
      </c>
      <c r="K3294" s="8" t="s">
        <v>21291</v>
      </c>
      <c r="L3294" s="8"/>
      <c r="M3294" s="24" t="s">
        <v>21292</v>
      </c>
      <c r="N3294" s="12"/>
      <c r="O3294" s="12"/>
      <c r="P3294" s="13">
        <f>IFERROR(__xludf.DUMMYFUNCTION("VALUE(SUBSTITUTE((INDEX(SPLIT(A3294,"",""),1)),""."","","",1))"),58.608199)</f>
        <v>58.608199</v>
      </c>
      <c r="Q3294" s="13">
        <f>IFERROR(__xludf.DUMMYFUNCTION("VALUE(SUBSTITUTE((INDEX(SPLIT(A3294,"",""),2)),""."","","",1))"),49.680096)</f>
        <v>49.680096</v>
      </c>
      <c r="R3294" s="14" t="b">
        <f t="shared" si="1"/>
        <v>0</v>
      </c>
      <c r="S3294" s="14" t="str">
        <f t="shared" si="2"/>
        <v>58.608199,49.680096</v>
      </c>
      <c r="T3294" s="12"/>
    </row>
    <row r="3295">
      <c r="A3295" s="15" t="s">
        <v>21293</v>
      </c>
      <c r="B3295" s="16" t="s">
        <v>21294</v>
      </c>
      <c r="C3295" s="16" t="s">
        <v>21295</v>
      </c>
      <c r="D3295" s="16" t="s">
        <v>16</v>
      </c>
      <c r="E3295" s="17" t="s">
        <v>21296</v>
      </c>
      <c r="F3295" s="16" t="s">
        <v>13111</v>
      </c>
      <c r="G3295" s="16">
        <v>23.61</v>
      </c>
      <c r="H3295" s="16"/>
      <c r="I3295" s="16"/>
      <c r="J3295" s="16" t="s">
        <v>21297</v>
      </c>
      <c r="K3295" s="16" t="s">
        <v>21298</v>
      </c>
      <c r="L3295" s="16"/>
      <c r="M3295" s="16"/>
      <c r="N3295" s="12"/>
      <c r="O3295" s="12"/>
      <c r="P3295" s="13">
        <f>IFERROR(__xludf.DUMMYFUNCTION("VALUE(SUBSTITUTE((INDEX(SPLIT(A3295,"",""),1)),""."","","",1))"),58.598522)</f>
        <v>58.598522</v>
      </c>
      <c r="Q3295" s="13">
        <f>IFERROR(__xludf.DUMMYFUNCTION("VALUE(SUBSTITUTE((INDEX(SPLIT(A3295,"",""),2)),""."","","",1))"),49.680958)</f>
        <v>49.680958</v>
      </c>
      <c r="R3295" s="14" t="b">
        <f t="shared" si="1"/>
        <v>0</v>
      </c>
      <c r="S3295" s="14" t="str">
        <f t="shared" si="2"/>
        <v>58.598522,49.680958</v>
      </c>
      <c r="T3295" s="12"/>
    </row>
    <row r="3296">
      <c r="A3296" s="18" t="s">
        <v>21299</v>
      </c>
      <c r="B3296" s="8" t="s">
        <v>21300</v>
      </c>
      <c r="C3296" s="8" t="s">
        <v>21301</v>
      </c>
      <c r="D3296" s="8" t="s">
        <v>16</v>
      </c>
      <c r="E3296" s="19" t="s">
        <v>21302</v>
      </c>
      <c r="F3296" s="8" t="s">
        <v>13111</v>
      </c>
      <c r="G3296" s="8">
        <v>23.61</v>
      </c>
      <c r="H3296" s="8"/>
      <c r="I3296" s="8"/>
      <c r="J3296" s="8" t="s">
        <v>21303</v>
      </c>
      <c r="K3296" s="8" t="s">
        <v>18075</v>
      </c>
      <c r="L3296" s="8"/>
      <c r="M3296" s="8"/>
      <c r="N3296" s="12"/>
      <c r="O3296" s="12"/>
      <c r="P3296" s="13">
        <f>IFERROR(__xludf.DUMMYFUNCTION("VALUE(SUBSTITUTE((INDEX(SPLIT(A3296,"",""),1)),""."","","",1))"),58.615619)</f>
        <v>58.615619</v>
      </c>
      <c r="Q3296" s="13">
        <f>IFERROR(__xludf.DUMMYFUNCTION("VALUE(SUBSTITUTE((INDEX(SPLIT(A3296,"",""),2)),""."","","",1))"),49.68236)</f>
        <v>49.68236</v>
      </c>
      <c r="R3296" s="14" t="b">
        <f t="shared" si="1"/>
        <v>0</v>
      </c>
      <c r="S3296" s="14" t="str">
        <f t="shared" si="2"/>
        <v>58.615619,49.68236</v>
      </c>
      <c r="T3296" s="12"/>
    </row>
    <row r="3297">
      <c r="A3297" s="20" t="s">
        <v>21304</v>
      </c>
      <c r="B3297" s="16" t="s">
        <v>21305</v>
      </c>
      <c r="C3297" s="16" t="s">
        <v>21306</v>
      </c>
      <c r="D3297" s="16" t="s">
        <v>16</v>
      </c>
      <c r="E3297" s="21" t="s">
        <v>21307</v>
      </c>
      <c r="F3297" s="22" t="s">
        <v>13111</v>
      </c>
      <c r="G3297" s="16">
        <v>23.61</v>
      </c>
      <c r="H3297" s="16"/>
      <c r="I3297" s="22"/>
      <c r="J3297" s="22" t="s">
        <v>21308</v>
      </c>
      <c r="K3297" s="22" t="s">
        <v>21309</v>
      </c>
      <c r="L3297" s="30" t="s">
        <v>21310</v>
      </c>
      <c r="M3297" s="22"/>
      <c r="N3297" s="12"/>
      <c r="O3297" s="12"/>
      <c r="P3297" s="13">
        <f>IFERROR(__xludf.DUMMYFUNCTION("VALUE(SUBSTITUTE((INDEX(SPLIT(A3297,"",""),1)),""."","","",1))"),58.574848)</f>
        <v>58.574848</v>
      </c>
      <c r="Q3297" s="13">
        <f>IFERROR(__xludf.DUMMYFUNCTION("VALUE(SUBSTITUTE((INDEX(SPLIT(A3297,"",""),2)),""."","","",1))"),49.686618)</f>
        <v>49.686618</v>
      </c>
      <c r="R3297" s="14" t="b">
        <f t="shared" si="1"/>
        <v>0</v>
      </c>
      <c r="S3297" s="14" t="str">
        <f t="shared" si="2"/>
        <v>58.574848,49.686618</v>
      </c>
      <c r="T3297" s="12"/>
    </row>
    <row r="3298">
      <c r="A3298" s="7" t="s">
        <v>21311</v>
      </c>
      <c r="B3298" s="8" t="s">
        <v>21312</v>
      </c>
      <c r="C3298" s="8" t="s">
        <v>21313</v>
      </c>
      <c r="D3298" s="8" t="s">
        <v>16</v>
      </c>
      <c r="E3298" s="9" t="s">
        <v>21314</v>
      </c>
      <c r="F3298" s="10" t="s">
        <v>881</v>
      </c>
      <c r="G3298" s="8">
        <v>23.61</v>
      </c>
      <c r="H3298" s="8"/>
      <c r="I3298" s="10"/>
      <c r="J3298" s="10" t="s">
        <v>21315</v>
      </c>
      <c r="K3298" s="10" t="s">
        <v>21316</v>
      </c>
      <c r="L3298" s="11" t="s">
        <v>21317</v>
      </c>
      <c r="M3298" s="11" t="s">
        <v>21318</v>
      </c>
      <c r="N3298" s="12"/>
      <c r="O3298" s="12"/>
      <c r="P3298" s="13">
        <f>IFERROR(__xludf.DUMMYFUNCTION("VALUE(SUBSTITUTE((INDEX(SPLIT(A3298,"",""),1)),""."","","",1))"),52.95827)</f>
        <v>52.95827</v>
      </c>
      <c r="Q3298" s="13">
        <f>IFERROR(__xludf.DUMMYFUNCTION("VALUE(SUBSTITUTE((INDEX(SPLIT(A3298,"",""),2)),""."","","",1))"),49.695781)</f>
        <v>49.695781</v>
      </c>
      <c r="R3298" s="14" t="b">
        <f t="shared" si="1"/>
        <v>0</v>
      </c>
      <c r="S3298" s="14" t="str">
        <f t="shared" si="2"/>
        <v>52.95827,49.695781</v>
      </c>
      <c r="T3298" s="12"/>
    </row>
    <row r="3299">
      <c r="A3299" s="20" t="s">
        <v>21319</v>
      </c>
      <c r="B3299" s="16" t="s">
        <v>21320</v>
      </c>
      <c r="C3299" s="16" t="s">
        <v>21321</v>
      </c>
      <c r="D3299" s="16" t="s">
        <v>16</v>
      </c>
      <c r="E3299" s="21" t="s">
        <v>21322</v>
      </c>
      <c r="F3299" s="22" t="s">
        <v>17071</v>
      </c>
      <c r="G3299" s="16">
        <v>23.61</v>
      </c>
      <c r="H3299" s="16"/>
      <c r="I3299" s="22"/>
      <c r="J3299" s="22" t="s">
        <v>21323</v>
      </c>
      <c r="K3299" s="22" t="s">
        <v>21324</v>
      </c>
      <c r="L3299" s="23" t="s">
        <v>21325</v>
      </c>
      <c r="M3299" s="22"/>
      <c r="N3299" s="12"/>
      <c r="O3299" s="12"/>
      <c r="P3299" s="13">
        <f>IFERROR(__xludf.DUMMYFUNCTION("VALUE(SUBSTITUTE((INDEX(SPLIT(A3299,"",""),1)),""."","","",1))"),52.986762)</f>
        <v>52.986762</v>
      </c>
      <c r="Q3299" s="13">
        <f>IFERROR(__xludf.DUMMYFUNCTION("VALUE(SUBSTITUTE((INDEX(SPLIT(A3299,"",""),2)),""."","","",1))"),49.703686)</f>
        <v>49.703686</v>
      </c>
      <c r="R3299" s="14" t="b">
        <f t="shared" si="1"/>
        <v>0</v>
      </c>
      <c r="S3299" s="14" t="str">
        <f t="shared" si="2"/>
        <v>52.986762,49.703686</v>
      </c>
      <c r="T3299" s="12"/>
    </row>
    <row r="3300">
      <c r="A3300" s="18" t="s">
        <v>21326</v>
      </c>
      <c r="B3300" s="8" t="s">
        <v>21327</v>
      </c>
      <c r="C3300" s="8" t="s">
        <v>21328</v>
      </c>
      <c r="D3300" s="8" t="s">
        <v>16</v>
      </c>
      <c r="E3300" s="19" t="s">
        <v>21329</v>
      </c>
      <c r="F3300" s="8" t="s">
        <v>13111</v>
      </c>
      <c r="G3300" s="8">
        <v>23.61</v>
      </c>
      <c r="H3300" s="8"/>
      <c r="I3300" s="27" t="s">
        <v>21330</v>
      </c>
      <c r="J3300" s="8" t="s">
        <v>21331</v>
      </c>
      <c r="K3300" s="8" t="s">
        <v>21332</v>
      </c>
      <c r="L3300" s="8"/>
      <c r="M3300" s="24" t="s">
        <v>21333</v>
      </c>
      <c r="N3300" s="12"/>
      <c r="O3300" s="12"/>
      <c r="P3300" s="13">
        <f>IFERROR(__xludf.DUMMYFUNCTION("VALUE(SUBSTITUTE((INDEX(SPLIT(A3300,"",""),1)),""."","","",1))"),52.989282)</f>
        <v>52.989282</v>
      </c>
      <c r="Q3300" s="13">
        <f>IFERROR(__xludf.DUMMYFUNCTION("VALUE(SUBSTITUTE((INDEX(SPLIT(A3300,"",""),2)),""."","","",1))"),49.704566)</f>
        <v>49.704566</v>
      </c>
      <c r="R3300" s="14" t="b">
        <f t="shared" si="1"/>
        <v>0</v>
      </c>
      <c r="S3300" s="14" t="str">
        <f t="shared" si="2"/>
        <v>52.989282,49.704566</v>
      </c>
      <c r="T3300" s="12"/>
    </row>
    <row r="3301">
      <c r="A3301" s="15" t="s">
        <v>21334</v>
      </c>
      <c r="B3301" s="16" t="s">
        <v>21335</v>
      </c>
      <c r="C3301" s="16" t="s">
        <v>21336</v>
      </c>
      <c r="D3301" s="16" t="s">
        <v>16</v>
      </c>
      <c r="E3301" s="17" t="s">
        <v>21337</v>
      </c>
      <c r="F3301" s="16" t="s">
        <v>13111</v>
      </c>
      <c r="G3301" s="16">
        <v>23.61</v>
      </c>
      <c r="H3301" s="16"/>
      <c r="I3301" s="16"/>
      <c r="J3301" s="16" t="s">
        <v>21331</v>
      </c>
      <c r="K3301" s="16" t="s">
        <v>21338</v>
      </c>
      <c r="L3301" s="16"/>
      <c r="M3301" s="16"/>
      <c r="N3301" s="12"/>
      <c r="O3301" s="12"/>
      <c r="P3301" s="13">
        <f>IFERROR(__xludf.DUMMYFUNCTION("VALUE(SUBSTITUTE((INDEX(SPLIT(A3301,"",""),1)),""."","","",1))"),58.506528)</f>
        <v>58.506528</v>
      </c>
      <c r="Q3301" s="13">
        <f>IFERROR(__xludf.DUMMYFUNCTION("VALUE(SUBSTITUTE((INDEX(SPLIT(A3301,"",""),2)),""."","","",1))"),49.707818)</f>
        <v>49.707818</v>
      </c>
      <c r="R3301" s="14" t="b">
        <f t="shared" si="1"/>
        <v>0</v>
      </c>
      <c r="S3301" s="14" t="str">
        <f t="shared" si="2"/>
        <v>58.506528,49.707818</v>
      </c>
      <c r="T3301" s="12"/>
    </row>
    <row r="3302">
      <c r="A3302" s="18" t="s">
        <v>21339</v>
      </c>
      <c r="B3302" s="8" t="s">
        <v>21340</v>
      </c>
      <c r="C3302" s="8" t="s">
        <v>21341</v>
      </c>
      <c r="D3302" s="8" t="s">
        <v>16</v>
      </c>
      <c r="E3302" s="19" t="s">
        <v>21342</v>
      </c>
      <c r="F3302" s="8" t="s">
        <v>13111</v>
      </c>
      <c r="G3302" s="8">
        <v>23.61</v>
      </c>
      <c r="H3302" s="8"/>
      <c r="I3302" s="27" t="s">
        <v>21343</v>
      </c>
      <c r="J3302" s="8" t="s">
        <v>21344</v>
      </c>
      <c r="K3302" s="8" t="s">
        <v>21345</v>
      </c>
      <c r="L3302" s="8"/>
      <c r="M3302" s="24" t="s">
        <v>21346</v>
      </c>
      <c r="N3302" s="12"/>
      <c r="O3302" s="12"/>
      <c r="P3302" s="13">
        <f>IFERROR(__xludf.DUMMYFUNCTION("VALUE(SUBSTITUTE((INDEX(SPLIT(A3302,"",""),1)),""."","","",1))"),58.648111)</f>
        <v>58.648111</v>
      </c>
      <c r="Q3302" s="13">
        <f>IFERROR(__xludf.DUMMYFUNCTION("VALUE(SUBSTITUTE((INDEX(SPLIT(A3302,"",""),2)),""."","","",1))"),49.710477)</f>
        <v>49.710477</v>
      </c>
      <c r="R3302" s="14" t="b">
        <f t="shared" si="1"/>
        <v>0</v>
      </c>
      <c r="S3302" s="14" t="str">
        <f t="shared" si="2"/>
        <v>58.648111,49.710477</v>
      </c>
      <c r="T3302" s="12"/>
    </row>
    <row r="3303">
      <c r="A3303" s="15" t="s">
        <v>21347</v>
      </c>
      <c r="B3303" s="16" t="s">
        <v>21348</v>
      </c>
      <c r="C3303" s="16" t="s">
        <v>21349</v>
      </c>
      <c r="D3303" s="16" t="s">
        <v>16</v>
      </c>
      <c r="E3303" s="17" t="s">
        <v>21350</v>
      </c>
      <c r="F3303" s="16" t="s">
        <v>13111</v>
      </c>
      <c r="G3303" s="16">
        <v>23.61</v>
      </c>
      <c r="H3303" s="16"/>
      <c r="I3303" s="16"/>
      <c r="J3303" s="16" t="s">
        <v>21351</v>
      </c>
      <c r="K3303" s="16" t="s">
        <v>21352</v>
      </c>
      <c r="L3303" s="16"/>
      <c r="M3303" s="16"/>
      <c r="N3303" s="12"/>
      <c r="O3303" s="12"/>
      <c r="P3303" s="13">
        <f>IFERROR(__xludf.DUMMYFUNCTION("VALUE(SUBSTITUTE((INDEX(SPLIT(A3303,"",""),1)),""."","","",1))"),51.20828)</f>
        <v>51.20828</v>
      </c>
      <c r="Q3303" s="13">
        <f>IFERROR(__xludf.DUMMYFUNCTION("VALUE(SUBSTITUTE((INDEX(SPLIT(A3303,"",""),2)),""."","","",1))"),49.716613)</f>
        <v>49.716613</v>
      </c>
      <c r="R3303" s="14" t="b">
        <f t="shared" si="1"/>
        <v>0</v>
      </c>
      <c r="S3303" s="14" t="str">
        <f t="shared" si="2"/>
        <v>51.20828,49.716613</v>
      </c>
      <c r="T3303" s="12"/>
    </row>
    <row r="3304">
      <c r="A3304" s="18" t="s">
        <v>21353</v>
      </c>
      <c r="B3304" s="8" t="s">
        <v>21354</v>
      </c>
      <c r="C3304" s="8" t="s">
        <v>21355</v>
      </c>
      <c r="D3304" s="8" t="s">
        <v>16</v>
      </c>
      <c r="E3304" s="19" t="s">
        <v>21356</v>
      </c>
      <c r="F3304" s="8" t="s">
        <v>10183</v>
      </c>
      <c r="G3304" s="8">
        <v>23.61</v>
      </c>
      <c r="H3304" s="8"/>
      <c r="I3304" s="8"/>
      <c r="J3304" s="8" t="s">
        <v>21357</v>
      </c>
      <c r="K3304" s="8" t="s">
        <v>21358</v>
      </c>
      <c r="L3304" s="8"/>
      <c r="M3304" s="8"/>
      <c r="N3304" s="12"/>
      <c r="O3304" s="12"/>
      <c r="P3304" s="13">
        <f>IFERROR(__xludf.DUMMYFUNCTION("VALUE(SUBSTITUTE((INDEX(SPLIT(A3304,"",""),1)),""."","","",1))"),54.147626)</f>
        <v>54.147626</v>
      </c>
      <c r="Q3304" s="13">
        <f>IFERROR(__xludf.DUMMYFUNCTION("VALUE(SUBSTITUTE((INDEX(SPLIT(A3304,"",""),2)),""."","","",1))"),49.776485)</f>
        <v>49.776485</v>
      </c>
      <c r="R3304" s="14" t="b">
        <f t="shared" si="1"/>
        <v>0</v>
      </c>
      <c r="S3304" s="14" t="str">
        <f t="shared" si="2"/>
        <v>54.147626,49.776485</v>
      </c>
      <c r="T3304" s="12"/>
    </row>
    <row r="3305">
      <c r="A3305" s="15" t="s">
        <v>21359</v>
      </c>
      <c r="B3305" s="16" t="s">
        <v>7203</v>
      </c>
      <c r="C3305" s="16" t="s">
        <v>7204</v>
      </c>
      <c r="D3305" s="16" t="s">
        <v>16</v>
      </c>
      <c r="E3305" s="17" t="s">
        <v>21360</v>
      </c>
      <c r="F3305" s="16" t="s">
        <v>10183</v>
      </c>
      <c r="G3305" s="16">
        <v>23.61</v>
      </c>
      <c r="H3305" s="16"/>
      <c r="I3305" s="16"/>
      <c r="J3305" s="16" t="s">
        <v>21361</v>
      </c>
      <c r="K3305" s="16" t="s">
        <v>21362</v>
      </c>
      <c r="L3305" s="16"/>
      <c r="M3305" s="16"/>
      <c r="N3305" s="12"/>
      <c r="O3305" s="12"/>
      <c r="P3305" s="13">
        <f>IFERROR(__xludf.DUMMYFUNCTION("VALUE(SUBSTITUTE((INDEX(SPLIT(A3305,"",""),1)),""."","","",1))"),56.038539)</f>
        <v>56.038539</v>
      </c>
      <c r="Q3305" s="13">
        <f>IFERROR(__xludf.DUMMYFUNCTION("VALUE(SUBSTITUTE((INDEX(SPLIT(A3305,"",""),2)),""."","","",1))"),49.800578)</f>
        <v>49.800578</v>
      </c>
      <c r="R3305" s="14" t="b">
        <f t="shared" si="1"/>
        <v>0</v>
      </c>
      <c r="S3305" s="14" t="str">
        <f t="shared" si="2"/>
        <v>56.038539,49.800578</v>
      </c>
      <c r="T3305" s="12"/>
    </row>
    <row r="3306">
      <c r="A3306" s="18" t="s">
        <v>21363</v>
      </c>
      <c r="B3306" s="8" t="s">
        <v>21364</v>
      </c>
      <c r="C3306" s="8" t="s">
        <v>21365</v>
      </c>
      <c r="D3306" s="8" t="s">
        <v>16</v>
      </c>
      <c r="E3306" s="19" t="s">
        <v>21366</v>
      </c>
      <c r="F3306" s="8" t="s">
        <v>10183</v>
      </c>
      <c r="G3306" s="8">
        <v>23.61</v>
      </c>
      <c r="H3306" s="8"/>
      <c r="I3306" s="8"/>
      <c r="J3306" s="8" t="s">
        <v>21367</v>
      </c>
      <c r="K3306" s="8" t="s">
        <v>21368</v>
      </c>
      <c r="L3306" s="8"/>
      <c r="M3306" s="24" t="s">
        <v>21369</v>
      </c>
      <c r="N3306" s="12"/>
      <c r="O3306" s="12"/>
      <c r="P3306" s="13">
        <f>IFERROR(__xludf.DUMMYFUNCTION("VALUE(SUBSTITUTE((INDEX(SPLIT(A3306,"",""),1)),""."","","",1))"),54.895398)</f>
        <v>54.895398</v>
      </c>
      <c r="Q3306" s="13">
        <f>IFERROR(__xludf.DUMMYFUNCTION("VALUE(SUBSTITUTE((INDEX(SPLIT(A3306,"",""),2)),""."","","",1))"),49.929603)</f>
        <v>49.929603</v>
      </c>
      <c r="R3306" s="14" t="b">
        <f t="shared" si="1"/>
        <v>0</v>
      </c>
      <c r="S3306" s="14" t="str">
        <f t="shared" si="2"/>
        <v>54.895398,49.929603</v>
      </c>
      <c r="T3306" s="12"/>
    </row>
    <row r="3307">
      <c r="A3307" s="15" t="s">
        <v>21370</v>
      </c>
      <c r="B3307" s="16" t="s">
        <v>21371</v>
      </c>
      <c r="C3307" s="16" t="s">
        <v>21372</v>
      </c>
      <c r="D3307" s="16" t="s">
        <v>16</v>
      </c>
      <c r="E3307" s="17" t="s">
        <v>21373</v>
      </c>
      <c r="F3307" s="16" t="s">
        <v>10183</v>
      </c>
      <c r="G3307" s="16">
        <v>23.61</v>
      </c>
      <c r="H3307" s="16"/>
      <c r="I3307" s="16"/>
      <c r="J3307" s="16" t="s">
        <v>21374</v>
      </c>
      <c r="K3307" s="16" t="s">
        <v>21375</v>
      </c>
      <c r="L3307" s="16"/>
      <c r="M3307" s="16"/>
      <c r="N3307" s="12"/>
      <c r="O3307" s="12"/>
      <c r="P3307" s="13">
        <f>IFERROR(__xludf.DUMMYFUNCTION("VALUE(SUBSTITUTE((INDEX(SPLIT(A3307,"",""),1)),""."","","",1))"),59.1227)</f>
        <v>59.1227</v>
      </c>
      <c r="Q3307" s="13">
        <f>IFERROR(__xludf.DUMMYFUNCTION("VALUE(SUBSTITUTE((INDEX(SPLIT(A3307,"",""),2)),""."","","",1))"),49.965428)</f>
        <v>49.965428</v>
      </c>
      <c r="R3307" s="14" t="b">
        <f t="shared" si="1"/>
        <v>0</v>
      </c>
      <c r="S3307" s="14" t="str">
        <f t="shared" si="2"/>
        <v>59.1227,49.965428</v>
      </c>
      <c r="T3307" s="12"/>
    </row>
    <row r="3308">
      <c r="A3308" s="7" t="s">
        <v>21376</v>
      </c>
      <c r="B3308" s="8" t="s">
        <v>21377</v>
      </c>
      <c r="C3308" s="8" t="s">
        <v>21378</v>
      </c>
      <c r="D3308" s="8" t="s">
        <v>16</v>
      </c>
      <c r="E3308" s="9" t="s">
        <v>21379</v>
      </c>
      <c r="F3308" s="10" t="s">
        <v>10183</v>
      </c>
      <c r="G3308" s="8">
        <v>23.61</v>
      </c>
      <c r="H3308" s="8"/>
      <c r="I3308" s="10"/>
      <c r="J3308" s="10" t="s">
        <v>21380</v>
      </c>
      <c r="K3308" s="10" t="s">
        <v>21381</v>
      </c>
      <c r="L3308" s="11" t="s">
        <v>21382</v>
      </c>
      <c r="M3308" s="11" t="s">
        <v>21383</v>
      </c>
      <c r="N3308" s="12"/>
      <c r="O3308" s="12"/>
      <c r="P3308" s="13">
        <f>IFERROR(__xludf.DUMMYFUNCTION("VALUE(SUBSTITUTE((INDEX(SPLIT(A3308,"",""),1)),""."","","",1))"),58.53427)</f>
        <v>58.53427</v>
      </c>
      <c r="Q3308" s="13">
        <f>IFERROR(__xludf.DUMMYFUNCTION("VALUE(SUBSTITUTE((INDEX(SPLIT(A3308,"",""),2)),""."","","",1))"),49.973351)</f>
        <v>49.973351</v>
      </c>
      <c r="R3308" s="14" t="b">
        <f t="shared" si="1"/>
        <v>0</v>
      </c>
      <c r="S3308" s="14" t="str">
        <f t="shared" si="2"/>
        <v>58.53427,49.973351</v>
      </c>
      <c r="T3308" s="12"/>
    </row>
    <row r="3309">
      <c r="A3309" s="15" t="s">
        <v>21384</v>
      </c>
      <c r="B3309" s="16" t="s">
        <v>21385</v>
      </c>
      <c r="C3309" s="16" t="s">
        <v>21386</v>
      </c>
      <c r="D3309" s="16" t="s">
        <v>16</v>
      </c>
      <c r="E3309" s="17" t="s">
        <v>21387</v>
      </c>
      <c r="F3309" s="16" t="s">
        <v>10183</v>
      </c>
      <c r="G3309" s="16">
        <v>23.61</v>
      </c>
      <c r="H3309" s="16"/>
      <c r="I3309" s="16"/>
      <c r="J3309" s="16" t="s">
        <v>21388</v>
      </c>
      <c r="K3309" s="16" t="s">
        <v>21389</v>
      </c>
      <c r="L3309" s="16"/>
      <c r="M3309" s="16"/>
      <c r="N3309" s="12"/>
      <c r="O3309" s="12"/>
      <c r="P3309" s="13">
        <f>IFERROR(__xludf.DUMMYFUNCTION("VALUE(SUBSTITUTE((INDEX(SPLIT(A3309,"",""),1)),""."","","",1))"),58.557943)</f>
        <v>58.557943</v>
      </c>
      <c r="Q3309" s="13">
        <f>IFERROR(__xludf.DUMMYFUNCTION("VALUE(SUBSTITUTE((INDEX(SPLIT(A3309,"",""),2)),""."","","",1))"),49.989736)</f>
        <v>49.989736</v>
      </c>
      <c r="R3309" s="14" t="b">
        <f t="shared" si="1"/>
        <v>0</v>
      </c>
      <c r="S3309" s="14" t="str">
        <f t="shared" si="2"/>
        <v>58.557943,49.989736</v>
      </c>
      <c r="T3309" s="12"/>
    </row>
    <row r="3310">
      <c r="A3310" s="7" t="s">
        <v>21390</v>
      </c>
      <c r="B3310" s="8" t="s">
        <v>21391</v>
      </c>
      <c r="C3310" s="8" t="s">
        <v>21392</v>
      </c>
      <c r="D3310" s="8" t="s">
        <v>16</v>
      </c>
      <c r="E3310" s="9" t="s">
        <v>21393</v>
      </c>
      <c r="F3310" s="10" t="s">
        <v>10183</v>
      </c>
      <c r="G3310" s="8">
        <v>23.61</v>
      </c>
      <c r="H3310" s="8"/>
      <c r="I3310" s="10"/>
      <c r="J3310" s="10" t="s">
        <v>21394</v>
      </c>
      <c r="K3310" s="10" t="s">
        <v>21395</v>
      </c>
      <c r="L3310" s="11" t="s">
        <v>21396</v>
      </c>
      <c r="M3310" s="10"/>
      <c r="N3310" s="12"/>
      <c r="O3310" s="12"/>
      <c r="P3310" s="13">
        <f>IFERROR(__xludf.DUMMYFUNCTION("VALUE(SUBSTITUTE((INDEX(SPLIT(A3310,"",""),1)),""."","","",1))"),53.125922)</f>
        <v>53.125922</v>
      </c>
      <c r="Q3310" s="13">
        <f>IFERROR(__xludf.DUMMYFUNCTION("VALUE(SUBSTITUTE((INDEX(SPLIT(A3310,"",""),2)),""."","","",1))"),50.052852)</f>
        <v>50.052852</v>
      </c>
      <c r="R3310" s="14" t="b">
        <f t="shared" si="1"/>
        <v>0</v>
      </c>
      <c r="S3310" s="14" t="str">
        <f t="shared" si="2"/>
        <v>53.125922,50.052852</v>
      </c>
      <c r="T3310" s="12"/>
    </row>
    <row r="3311">
      <c r="A3311" s="20" t="s">
        <v>21397</v>
      </c>
      <c r="B3311" s="16" t="s">
        <v>21398</v>
      </c>
      <c r="C3311" s="16" t="s">
        <v>21399</v>
      </c>
      <c r="D3311" s="16" t="s">
        <v>16</v>
      </c>
      <c r="E3311" s="21" t="s">
        <v>21400</v>
      </c>
      <c r="F3311" s="22" t="s">
        <v>10183</v>
      </c>
      <c r="G3311" s="16">
        <v>23.61</v>
      </c>
      <c r="H3311" s="16"/>
      <c r="I3311" s="22"/>
      <c r="J3311" s="22" t="s">
        <v>21401</v>
      </c>
      <c r="K3311" s="22" t="s">
        <v>21402</v>
      </c>
      <c r="L3311" s="23" t="s">
        <v>21403</v>
      </c>
      <c r="M3311" s="22"/>
      <c r="N3311" s="12"/>
      <c r="O3311" s="12"/>
      <c r="P3311" s="13">
        <f>IFERROR(__xludf.DUMMYFUNCTION("VALUE(SUBSTITUTE((INDEX(SPLIT(A3311,"",""),1)),""."","","",1))"),53.130218)</f>
        <v>53.130218</v>
      </c>
      <c r="Q3311" s="13">
        <f>IFERROR(__xludf.DUMMYFUNCTION("VALUE(SUBSTITUTE((INDEX(SPLIT(A3311,"",""),2)),""."","","",1))"),50.055691)</f>
        <v>50.055691</v>
      </c>
      <c r="R3311" s="14" t="b">
        <f t="shared" si="1"/>
        <v>0</v>
      </c>
      <c r="S3311" s="14" t="str">
        <f t="shared" si="2"/>
        <v>53.130218,50.055691</v>
      </c>
      <c r="T3311" s="12"/>
    </row>
    <row r="3312">
      <c r="A3312" s="18" t="s">
        <v>21404</v>
      </c>
      <c r="B3312" s="8" t="s">
        <v>21405</v>
      </c>
      <c r="C3312" s="8" t="s">
        <v>21406</v>
      </c>
      <c r="D3312" s="8" t="s">
        <v>16</v>
      </c>
      <c r="E3312" s="19" t="s">
        <v>21407</v>
      </c>
      <c r="F3312" s="8" t="s">
        <v>10183</v>
      </c>
      <c r="G3312" s="8">
        <v>23.61</v>
      </c>
      <c r="H3312" s="8"/>
      <c r="I3312" s="8"/>
      <c r="J3312" s="8" t="s">
        <v>21408</v>
      </c>
      <c r="K3312" s="8" t="s">
        <v>21409</v>
      </c>
      <c r="L3312" s="8"/>
      <c r="M3312" s="8"/>
      <c r="N3312" s="12"/>
      <c r="O3312" s="12"/>
      <c r="P3312" s="13">
        <f>IFERROR(__xludf.DUMMYFUNCTION("VALUE(SUBSTITUTE((INDEX(SPLIT(A3312,"",""),1)),""."","","",1))"),53.12891)</f>
        <v>53.12891</v>
      </c>
      <c r="Q3312" s="13">
        <f>IFERROR(__xludf.DUMMYFUNCTION("VALUE(SUBSTITUTE((INDEX(SPLIT(A3312,"",""),2)),""."","","",1))"),50.05923)</f>
        <v>50.05923</v>
      </c>
      <c r="R3312" s="14" t="b">
        <f t="shared" si="1"/>
        <v>0</v>
      </c>
      <c r="S3312" s="14" t="str">
        <f t="shared" si="2"/>
        <v>53.12891,50.05923</v>
      </c>
      <c r="T3312" s="12"/>
    </row>
    <row r="3313">
      <c r="A3313" s="15" t="s">
        <v>21404</v>
      </c>
      <c r="B3313" s="16" t="s">
        <v>15800</v>
      </c>
      <c r="C3313" s="16" t="s">
        <v>15801</v>
      </c>
      <c r="D3313" s="16" t="s">
        <v>16</v>
      </c>
      <c r="E3313" s="17" t="s">
        <v>21410</v>
      </c>
      <c r="F3313" s="16" t="s">
        <v>10183</v>
      </c>
      <c r="G3313" s="16">
        <v>23.61</v>
      </c>
      <c r="H3313" s="16"/>
      <c r="I3313" s="16"/>
      <c r="J3313" s="16" t="s">
        <v>21411</v>
      </c>
      <c r="K3313" s="16" t="s">
        <v>21412</v>
      </c>
      <c r="L3313" s="16"/>
      <c r="M3313" s="16"/>
      <c r="N3313" s="12"/>
      <c r="O3313" s="12"/>
      <c r="P3313" s="13">
        <f>IFERROR(__xludf.DUMMYFUNCTION("VALUE(SUBSTITUTE((INDEX(SPLIT(A3313,"",""),1)),""."","","",1))"),53.12891)</f>
        <v>53.12891</v>
      </c>
      <c r="Q3313" s="13">
        <f>IFERROR(__xludf.DUMMYFUNCTION("VALUE(SUBSTITUTE((INDEX(SPLIT(A3313,"",""),2)),""."","","",1))"),50.05923)</f>
        <v>50.05923</v>
      </c>
      <c r="R3313" s="14" t="b">
        <f t="shared" si="1"/>
        <v>0</v>
      </c>
      <c r="S3313" s="14" t="str">
        <f t="shared" si="2"/>
        <v>53.12891,50.05923</v>
      </c>
      <c r="T3313" s="12"/>
    </row>
    <row r="3314">
      <c r="A3314" s="18" t="s">
        <v>21413</v>
      </c>
      <c r="B3314" s="8" t="s">
        <v>21414</v>
      </c>
      <c r="C3314" s="8" t="s">
        <v>21415</v>
      </c>
      <c r="D3314" s="8" t="s">
        <v>16</v>
      </c>
      <c r="E3314" s="19" t="s">
        <v>21416</v>
      </c>
      <c r="F3314" s="8" t="s">
        <v>10183</v>
      </c>
      <c r="G3314" s="8">
        <v>23.61</v>
      </c>
      <c r="H3314" s="8"/>
      <c r="I3314" s="8"/>
      <c r="J3314" s="8" t="s">
        <v>21417</v>
      </c>
      <c r="K3314" s="8" t="s">
        <v>21418</v>
      </c>
      <c r="L3314" s="8"/>
      <c r="M3314" s="8"/>
      <c r="N3314" s="12"/>
      <c r="O3314" s="12"/>
      <c r="P3314" s="13">
        <f>IFERROR(__xludf.DUMMYFUNCTION("VALUE(SUBSTITUTE((INDEX(SPLIT(A3314,"",""),1)),""."","","",1))"),53.116768)</f>
        <v>53.116768</v>
      </c>
      <c r="Q3314" s="13">
        <f>IFERROR(__xludf.DUMMYFUNCTION("VALUE(SUBSTITUTE((INDEX(SPLIT(A3314,"",""),2)),""."","","",1))"),50.062329)</f>
        <v>50.062329</v>
      </c>
      <c r="R3314" s="14" t="b">
        <f t="shared" si="1"/>
        <v>0</v>
      </c>
      <c r="S3314" s="14" t="str">
        <f t="shared" si="2"/>
        <v>53.116768,50.062329</v>
      </c>
      <c r="T3314" s="12"/>
    </row>
    <row r="3315">
      <c r="A3315" s="15" t="s">
        <v>21419</v>
      </c>
      <c r="B3315" s="16" t="s">
        <v>21420</v>
      </c>
      <c r="C3315" s="16" t="s">
        <v>21421</v>
      </c>
      <c r="D3315" s="16" t="s">
        <v>16</v>
      </c>
      <c r="E3315" s="17" t="s">
        <v>21422</v>
      </c>
      <c r="F3315" s="16" t="s">
        <v>10183</v>
      </c>
      <c r="G3315" s="16">
        <v>23.61</v>
      </c>
      <c r="H3315" s="16"/>
      <c r="I3315" s="16"/>
      <c r="J3315" s="16" t="s">
        <v>21423</v>
      </c>
      <c r="K3315" s="16" t="s">
        <v>21424</v>
      </c>
      <c r="L3315" s="16"/>
      <c r="M3315" s="25" t="s">
        <v>21425</v>
      </c>
      <c r="N3315" s="12"/>
      <c r="O3315" s="12"/>
      <c r="P3315" s="13">
        <f>IFERROR(__xludf.DUMMYFUNCTION("VALUE(SUBSTITUTE((INDEX(SPLIT(A3315,"",""),1)),""."","","",1))"),53.180813)</f>
        <v>53.180813</v>
      </c>
      <c r="Q3315" s="13">
        <f>IFERROR(__xludf.DUMMYFUNCTION("VALUE(SUBSTITUTE((INDEX(SPLIT(A3315,"",""),2)),""."","","",1))"),50.077322)</f>
        <v>50.077322</v>
      </c>
      <c r="R3315" s="14" t="b">
        <f t="shared" si="1"/>
        <v>0</v>
      </c>
      <c r="S3315" s="14" t="str">
        <f t="shared" si="2"/>
        <v>53.180813,50.077322</v>
      </c>
      <c r="T3315" s="12"/>
    </row>
    <row r="3316">
      <c r="A3316" s="7" t="s">
        <v>21426</v>
      </c>
      <c r="B3316" s="8" t="s">
        <v>21427</v>
      </c>
      <c r="C3316" s="8" t="s">
        <v>21428</v>
      </c>
      <c r="D3316" s="8" t="s">
        <v>16</v>
      </c>
      <c r="E3316" s="9" t="s">
        <v>21429</v>
      </c>
      <c r="F3316" s="10" t="s">
        <v>10183</v>
      </c>
      <c r="G3316" s="8">
        <v>23.61</v>
      </c>
      <c r="H3316" s="8"/>
      <c r="I3316" s="10"/>
      <c r="J3316" s="10" t="s">
        <v>21430</v>
      </c>
      <c r="K3316" s="10" t="s">
        <v>21431</v>
      </c>
      <c r="L3316" s="11" t="s">
        <v>21432</v>
      </c>
      <c r="M3316" s="10"/>
      <c r="N3316" s="12"/>
      <c r="O3316" s="12"/>
      <c r="P3316" s="13">
        <f>IFERROR(__xludf.DUMMYFUNCTION("VALUE(SUBSTITUTE((INDEX(SPLIT(A3316,"",""),1)),""."","","",1))"),53.15717)</f>
        <v>53.15717</v>
      </c>
      <c r="Q3316" s="13">
        <f>IFERROR(__xludf.DUMMYFUNCTION("VALUE(SUBSTITUTE((INDEX(SPLIT(A3316,"",""),2)),""."","","",1))"),50.078391)</f>
        <v>50.078391</v>
      </c>
      <c r="R3316" s="14" t="b">
        <f t="shared" si="1"/>
        <v>0</v>
      </c>
      <c r="S3316" s="14" t="str">
        <f t="shared" si="2"/>
        <v>53.15717,50.078391</v>
      </c>
      <c r="T3316" s="12"/>
    </row>
    <row r="3317">
      <c r="A3317" s="15" t="s">
        <v>21433</v>
      </c>
      <c r="B3317" s="16" t="s">
        <v>21434</v>
      </c>
      <c r="C3317" s="16" t="s">
        <v>21435</v>
      </c>
      <c r="D3317" s="16" t="s">
        <v>16</v>
      </c>
      <c r="E3317" s="17" t="s">
        <v>21436</v>
      </c>
      <c r="F3317" s="16" t="s">
        <v>10183</v>
      </c>
      <c r="G3317" s="16">
        <v>23.61</v>
      </c>
      <c r="H3317" s="16"/>
      <c r="I3317" s="16"/>
      <c r="J3317" s="16" t="s">
        <v>21437</v>
      </c>
      <c r="K3317" s="16" t="s">
        <v>21438</v>
      </c>
      <c r="L3317" s="16"/>
      <c r="M3317" s="16"/>
      <c r="N3317" s="12"/>
      <c r="O3317" s="12"/>
      <c r="P3317" s="13">
        <f>IFERROR(__xludf.DUMMYFUNCTION("VALUE(SUBSTITUTE((INDEX(SPLIT(A3317,"",""),1)),""."","","",1))"),53.180986)</f>
        <v>53.180986</v>
      </c>
      <c r="Q3317" s="13">
        <f>IFERROR(__xludf.DUMMYFUNCTION("VALUE(SUBSTITUTE((INDEX(SPLIT(A3317,"",""),2)),""."","","",1))"),50.083934)</f>
        <v>50.083934</v>
      </c>
      <c r="R3317" s="14" t="b">
        <f t="shared" si="1"/>
        <v>0</v>
      </c>
      <c r="S3317" s="14" t="str">
        <f t="shared" si="2"/>
        <v>53.180986,50.083934</v>
      </c>
      <c r="T3317" s="12"/>
    </row>
    <row r="3318">
      <c r="A3318" s="18" t="s">
        <v>21439</v>
      </c>
      <c r="B3318" s="8" t="s">
        <v>21440</v>
      </c>
      <c r="C3318" s="8" t="s">
        <v>21441</v>
      </c>
      <c r="D3318" s="8" t="s">
        <v>16</v>
      </c>
      <c r="E3318" s="19" t="s">
        <v>21442</v>
      </c>
      <c r="F3318" s="8" t="s">
        <v>10183</v>
      </c>
      <c r="G3318" s="8">
        <v>23.61</v>
      </c>
      <c r="H3318" s="8"/>
      <c r="I3318" s="8"/>
      <c r="J3318" s="8" t="s">
        <v>21443</v>
      </c>
      <c r="K3318" s="8" t="s">
        <v>21444</v>
      </c>
      <c r="L3318" s="8"/>
      <c r="M3318" s="8"/>
      <c r="N3318" s="12"/>
      <c r="O3318" s="12"/>
      <c r="P3318" s="13">
        <f>IFERROR(__xludf.DUMMYFUNCTION("VALUE(SUBSTITUTE((INDEX(SPLIT(A3318,"",""),1)),""."","","",1))"),53.179605)</f>
        <v>53.179605</v>
      </c>
      <c r="Q3318" s="13">
        <f>IFERROR(__xludf.DUMMYFUNCTION("VALUE(SUBSTITUTE((INDEX(SPLIT(A3318,"",""),2)),""."","","",1))"),50.084212)</f>
        <v>50.084212</v>
      </c>
      <c r="R3318" s="14" t="b">
        <f t="shared" si="1"/>
        <v>0</v>
      </c>
      <c r="S3318" s="14" t="str">
        <f t="shared" si="2"/>
        <v>53.179605,50.084212</v>
      </c>
      <c r="T3318" s="12"/>
    </row>
    <row r="3319">
      <c r="A3319" s="15" t="s">
        <v>21445</v>
      </c>
      <c r="B3319" s="16" t="s">
        <v>21446</v>
      </c>
      <c r="C3319" s="16" t="s">
        <v>21447</v>
      </c>
      <c r="D3319" s="16" t="s">
        <v>16</v>
      </c>
      <c r="E3319" s="17" t="s">
        <v>21448</v>
      </c>
      <c r="F3319" s="16" t="s">
        <v>10183</v>
      </c>
      <c r="G3319" s="16">
        <v>23.61</v>
      </c>
      <c r="H3319" s="16"/>
      <c r="I3319" s="16"/>
      <c r="J3319" s="16" t="s">
        <v>21449</v>
      </c>
      <c r="K3319" s="16" t="s">
        <v>21450</v>
      </c>
      <c r="L3319" s="16"/>
      <c r="M3319" s="16"/>
      <c r="N3319" s="12"/>
      <c r="O3319" s="12"/>
      <c r="P3319" s="13">
        <f>IFERROR(__xludf.DUMMYFUNCTION("VALUE(SUBSTITUTE((INDEX(SPLIT(A3319,"",""),1)),""."","","",1))"),53.172977)</f>
        <v>53.172977</v>
      </c>
      <c r="Q3319" s="13">
        <f>IFERROR(__xludf.DUMMYFUNCTION("VALUE(SUBSTITUTE((INDEX(SPLIT(A3319,"",""),2)),""."","","",1))"),50.09421)</f>
        <v>50.09421</v>
      </c>
      <c r="R3319" s="14" t="b">
        <f t="shared" si="1"/>
        <v>0</v>
      </c>
      <c r="S3319" s="14" t="str">
        <f t="shared" si="2"/>
        <v>53.172977,50.09421</v>
      </c>
      <c r="T3319" s="12"/>
    </row>
    <row r="3320">
      <c r="A3320" s="18" t="s">
        <v>21451</v>
      </c>
      <c r="B3320" s="8" t="s">
        <v>21452</v>
      </c>
      <c r="C3320" s="8" t="s">
        <v>21453</v>
      </c>
      <c r="D3320" s="8" t="s">
        <v>16</v>
      </c>
      <c r="E3320" s="19" t="s">
        <v>21454</v>
      </c>
      <c r="F3320" s="8" t="s">
        <v>10183</v>
      </c>
      <c r="G3320" s="8">
        <v>23.61</v>
      </c>
      <c r="H3320" s="8"/>
      <c r="I3320" s="8"/>
      <c r="J3320" s="8" t="s">
        <v>21455</v>
      </c>
      <c r="K3320" s="8" t="s">
        <v>21456</v>
      </c>
      <c r="L3320" s="8"/>
      <c r="M3320" s="8"/>
      <c r="N3320" s="12"/>
      <c r="O3320" s="12"/>
      <c r="P3320" s="13">
        <f>IFERROR(__xludf.DUMMYFUNCTION("VALUE(SUBSTITUTE((INDEX(SPLIT(A3320,"",""),1)),""."","","",1))"),53.125004)</f>
        <v>53.125004</v>
      </c>
      <c r="Q3320" s="13">
        <f>IFERROR(__xludf.DUMMYFUNCTION("VALUE(SUBSTITUTE((INDEX(SPLIT(A3320,"",""),2)),""."","","",1))"),50.098702)</f>
        <v>50.098702</v>
      </c>
      <c r="R3320" s="14" t="b">
        <f t="shared" si="1"/>
        <v>0</v>
      </c>
      <c r="S3320" s="14" t="str">
        <f t="shared" si="2"/>
        <v>53.125004,50.098702</v>
      </c>
      <c r="T3320" s="12"/>
    </row>
    <row r="3321">
      <c r="A3321" s="15" t="s">
        <v>21457</v>
      </c>
      <c r="B3321" s="16" t="s">
        <v>17469</v>
      </c>
      <c r="C3321" s="16" t="s">
        <v>17470</v>
      </c>
      <c r="D3321" s="16" t="s">
        <v>16</v>
      </c>
      <c r="E3321" s="17" t="s">
        <v>21458</v>
      </c>
      <c r="F3321" s="16" t="s">
        <v>10183</v>
      </c>
      <c r="G3321" s="16">
        <v>23.61</v>
      </c>
      <c r="H3321" s="16"/>
      <c r="I3321" s="16"/>
      <c r="J3321" s="16" t="s">
        <v>21459</v>
      </c>
      <c r="K3321" s="16" t="s">
        <v>21460</v>
      </c>
      <c r="L3321" s="16"/>
      <c r="M3321" s="25" t="s">
        <v>21461</v>
      </c>
      <c r="N3321" s="12"/>
      <c r="O3321" s="12"/>
      <c r="P3321" s="13">
        <f>IFERROR(__xludf.DUMMYFUNCTION("VALUE(SUBSTITUTE((INDEX(SPLIT(A3321,"",""),1)),""."","","",1))"),53.195878)</f>
        <v>53.195878</v>
      </c>
      <c r="Q3321" s="13">
        <f>IFERROR(__xludf.DUMMYFUNCTION("VALUE(SUBSTITUTE((INDEX(SPLIT(A3321,"",""),2)),""."","","",1))"),50.100202)</f>
        <v>50.100202</v>
      </c>
      <c r="R3321" s="14" t="b">
        <f t="shared" si="1"/>
        <v>0</v>
      </c>
      <c r="S3321" s="14" t="str">
        <f t="shared" si="2"/>
        <v>53.195878,50.100202</v>
      </c>
      <c r="T3321" s="12"/>
    </row>
    <row r="3322">
      <c r="A3322" s="18" t="s">
        <v>21462</v>
      </c>
      <c r="B3322" s="8" t="s">
        <v>21463</v>
      </c>
      <c r="C3322" s="8" t="s">
        <v>21464</v>
      </c>
      <c r="D3322" s="8" t="s">
        <v>16</v>
      </c>
      <c r="E3322" s="19" t="s">
        <v>21465</v>
      </c>
      <c r="F3322" s="8" t="s">
        <v>10183</v>
      </c>
      <c r="G3322" s="8">
        <v>23.61</v>
      </c>
      <c r="H3322" s="8"/>
      <c r="I3322" s="8"/>
      <c r="J3322" s="8" t="s">
        <v>21466</v>
      </c>
      <c r="K3322" s="8" t="s">
        <v>21467</v>
      </c>
      <c r="L3322" s="8"/>
      <c r="M3322" s="8"/>
      <c r="N3322" s="12"/>
      <c r="O3322" s="12"/>
      <c r="P3322" s="13">
        <f>IFERROR(__xludf.DUMMYFUNCTION("VALUE(SUBSTITUTE((INDEX(SPLIT(A3322,"",""),1)),""."","","",1))"),53.201677)</f>
        <v>53.201677</v>
      </c>
      <c r="Q3322" s="13">
        <f>IFERROR(__xludf.DUMMYFUNCTION("VALUE(SUBSTITUTE((INDEX(SPLIT(A3322,"",""),2)),""."","","",1))"),50.100355)</f>
        <v>50.100355</v>
      </c>
      <c r="R3322" s="14" t="b">
        <f t="shared" si="1"/>
        <v>0</v>
      </c>
      <c r="S3322" s="14" t="str">
        <f t="shared" si="2"/>
        <v>53.201677,50.100355</v>
      </c>
      <c r="T3322" s="12"/>
    </row>
    <row r="3323">
      <c r="A3323" s="15" t="s">
        <v>21468</v>
      </c>
      <c r="B3323" s="16" t="s">
        <v>21469</v>
      </c>
      <c r="C3323" s="16" t="s">
        <v>21470</v>
      </c>
      <c r="D3323" s="16" t="s">
        <v>16</v>
      </c>
      <c r="E3323" s="17" t="s">
        <v>21471</v>
      </c>
      <c r="F3323" s="16" t="s">
        <v>10183</v>
      </c>
      <c r="G3323" s="16">
        <v>23.61</v>
      </c>
      <c r="H3323" s="16"/>
      <c r="I3323" s="16"/>
      <c r="J3323" s="16" t="s">
        <v>21472</v>
      </c>
      <c r="K3323" s="16" t="s">
        <v>21473</v>
      </c>
      <c r="L3323" s="16"/>
      <c r="M3323" s="16"/>
      <c r="N3323" s="12"/>
      <c r="O3323" s="12"/>
      <c r="P3323" s="13">
        <f>IFERROR(__xludf.DUMMYFUNCTION("VALUE(SUBSTITUTE((INDEX(SPLIT(A3323,"",""),1)),""."","","",1))"),55.31369)</f>
        <v>55.31369</v>
      </c>
      <c r="Q3323" s="13">
        <f>IFERROR(__xludf.DUMMYFUNCTION("VALUE(SUBSTITUTE((INDEX(SPLIT(A3323,"",""),2)),""."","","",1))"),50.103562)</f>
        <v>50.103562</v>
      </c>
      <c r="R3323" s="14" t="b">
        <f t="shared" si="1"/>
        <v>0</v>
      </c>
      <c r="S3323" s="14" t="str">
        <f t="shared" si="2"/>
        <v>55.31369,50.103562</v>
      </c>
      <c r="T3323" s="12"/>
    </row>
    <row r="3324">
      <c r="A3324" s="18" t="s">
        <v>21474</v>
      </c>
      <c r="B3324" s="8" t="s">
        <v>20870</v>
      </c>
      <c r="C3324" s="8" t="s">
        <v>20871</v>
      </c>
      <c r="D3324" s="8" t="s">
        <v>16</v>
      </c>
      <c r="E3324" s="19" t="s">
        <v>21475</v>
      </c>
      <c r="F3324" s="8" t="s">
        <v>10183</v>
      </c>
      <c r="G3324" s="8">
        <v>23.61</v>
      </c>
      <c r="H3324" s="8"/>
      <c r="I3324" s="8"/>
      <c r="J3324" s="8" t="s">
        <v>21476</v>
      </c>
      <c r="K3324" s="8" t="s">
        <v>21477</v>
      </c>
      <c r="L3324" s="8"/>
      <c r="M3324" s="8"/>
      <c r="N3324" s="12"/>
      <c r="O3324" s="12"/>
      <c r="P3324" s="13">
        <f>IFERROR(__xludf.DUMMYFUNCTION("VALUE(SUBSTITUTE((INDEX(SPLIT(A3324,"",""),1)),""."","","",1))"),53.198915)</f>
        <v>53.198915</v>
      </c>
      <c r="Q3324" s="13">
        <f>IFERROR(__xludf.DUMMYFUNCTION("VALUE(SUBSTITUTE((INDEX(SPLIT(A3324,"",""),2)),""."","","",1))"),50.103957)</f>
        <v>50.103957</v>
      </c>
      <c r="R3324" s="14" t="b">
        <f t="shared" si="1"/>
        <v>0</v>
      </c>
      <c r="S3324" s="14" t="str">
        <f t="shared" si="2"/>
        <v>53.198915,50.103957</v>
      </c>
      <c r="T3324" s="12"/>
    </row>
    <row r="3325">
      <c r="A3325" s="15" t="s">
        <v>21478</v>
      </c>
      <c r="B3325" s="16" t="s">
        <v>21479</v>
      </c>
      <c r="C3325" s="16" t="s">
        <v>21480</v>
      </c>
      <c r="D3325" s="16" t="s">
        <v>16</v>
      </c>
      <c r="E3325" s="17" t="s">
        <v>21481</v>
      </c>
      <c r="F3325" s="16" t="s">
        <v>10183</v>
      </c>
      <c r="G3325" s="16">
        <v>23.61</v>
      </c>
      <c r="H3325" s="16"/>
      <c r="I3325" s="16"/>
      <c r="J3325" s="16" t="s">
        <v>21482</v>
      </c>
      <c r="K3325" s="16" t="s">
        <v>21483</v>
      </c>
      <c r="L3325" s="16"/>
      <c r="M3325" s="16"/>
      <c r="N3325" s="12"/>
      <c r="O3325" s="12"/>
      <c r="P3325" s="13">
        <f>IFERROR(__xludf.DUMMYFUNCTION("VALUE(SUBSTITUTE((INDEX(SPLIT(A3325,"",""),1)),""."","","",1))"),53.124312)</f>
        <v>53.124312</v>
      </c>
      <c r="Q3325" s="13">
        <f>IFERROR(__xludf.DUMMYFUNCTION("VALUE(SUBSTITUTE((INDEX(SPLIT(A3325,"",""),2)),""."","","",1))"),50.10649)</f>
        <v>50.10649</v>
      </c>
      <c r="R3325" s="14" t="b">
        <f t="shared" si="1"/>
        <v>0</v>
      </c>
      <c r="S3325" s="14" t="str">
        <f t="shared" si="2"/>
        <v>53.124312,50.10649</v>
      </c>
      <c r="T3325" s="12"/>
    </row>
    <row r="3326">
      <c r="A3326" s="18" t="s">
        <v>21478</v>
      </c>
      <c r="B3326" s="8" t="s">
        <v>21484</v>
      </c>
      <c r="C3326" s="8" t="s">
        <v>21485</v>
      </c>
      <c r="D3326" s="8" t="s">
        <v>16</v>
      </c>
      <c r="E3326" s="19" t="s">
        <v>21486</v>
      </c>
      <c r="F3326" s="8" t="s">
        <v>10183</v>
      </c>
      <c r="G3326" s="8">
        <v>23.61</v>
      </c>
      <c r="H3326" s="8"/>
      <c r="I3326" s="8"/>
      <c r="J3326" s="8" t="s">
        <v>21487</v>
      </c>
      <c r="K3326" s="8" t="s">
        <v>21488</v>
      </c>
      <c r="L3326" s="8"/>
      <c r="M3326" s="8"/>
      <c r="N3326" s="12"/>
      <c r="O3326" s="12"/>
      <c r="P3326" s="13">
        <f>IFERROR(__xludf.DUMMYFUNCTION("VALUE(SUBSTITUTE((INDEX(SPLIT(A3326,"",""),1)),""."","","",1))"),53.124312)</f>
        <v>53.124312</v>
      </c>
      <c r="Q3326" s="13">
        <f>IFERROR(__xludf.DUMMYFUNCTION("VALUE(SUBSTITUTE((INDEX(SPLIT(A3326,"",""),2)),""."","","",1))"),50.10649)</f>
        <v>50.10649</v>
      </c>
      <c r="R3326" s="14" t="b">
        <f t="shared" si="1"/>
        <v>0</v>
      </c>
      <c r="S3326" s="14" t="str">
        <f t="shared" si="2"/>
        <v>53.124312,50.10649</v>
      </c>
      <c r="T3326" s="12"/>
    </row>
    <row r="3327">
      <c r="A3327" s="15" t="s">
        <v>21489</v>
      </c>
      <c r="B3327" s="16" t="s">
        <v>21490</v>
      </c>
      <c r="C3327" s="16" t="s">
        <v>21491</v>
      </c>
      <c r="D3327" s="16" t="s">
        <v>16</v>
      </c>
      <c r="E3327" s="17" t="s">
        <v>21492</v>
      </c>
      <c r="F3327" s="16" t="s">
        <v>10183</v>
      </c>
      <c r="G3327" s="16">
        <v>23.61</v>
      </c>
      <c r="H3327" s="16"/>
      <c r="I3327" s="16"/>
      <c r="J3327" s="16" t="s">
        <v>21493</v>
      </c>
      <c r="K3327" s="16" t="s">
        <v>21494</v>
      </c>
      <c r="L3327" s="16"/>
      <c r="M3327" s="16"/>
      <c r="N3327" s="12"/>
      <c r="O3327" s="12"/>
      <c r="P3327" s="13">
        <f>IFERROR(__xludf.DUMMYFUNCTION("VALUE(SUBSTITUTE((INDEX(SPLIT(A3327,"",""),1)),""."","","",1))"),53.194421)</f>
        <v>53.194421</v>
      </c>
      <c r="Q3327" s="13">
        <f>IFERROR(__xludf.DUMMYFUNCTION("VALUE(SUBSTITUTE((INDEX(SPLIT(A3327,"",""),2)),""."","","",1))"),50.108449)</f>
        <v>50.108449</v>
      </c>
      <c r="R3327" s="14" t="b">
        <f t="shared" si="1"/>
        <v>0</v>
      </c>
      <c r="S3327" s="14" t="str">
        <f t="shared" si="2"/>
        <v>53.194421,50.108449</v>
      </c>
      <c r="T3327" s="12"/>
    </row>
    <row r="3328">
      <c r="A3328" s="18" t="s">
        <v>21495</v>
      </c>
      <c r="B3328" s="8" t="s">
        <v>21496</v>
      </c>
      <c r="C3328" s="8" t="s">
        <v>21497</v>
      </c>
      <c r="D3328" s="8" t="s">
        <v>16</v>
      </c>
      <c r="E3328" s="19" t="s">
        <v>21498</v>
      </c>
      <c r="F3328" s="8" t="s">
        <v>10183</v>
      </c>
      <c r="G3328" s="8">
        <v>23.61</v>
      </c>
      <c r="H3328" s="8"/>
      <c r="I3328" s="8"/>
      <c r="J3328" s="8" t="s">
        <v>21499</v>
      </c>
      <c r="K3328" s="8" t="s">
        <v>21500</v>
      </c>
      <c r="L3328" s="8"/>
      <c r="M3328" s="24" t="s">
        <v>21501</v>
      </c>
      <c r="N3328" s="12"/>
      <c r="O3328" s="12"/>
      <c r="P3328" s="13">
        <f>IFERROR(__xludf.DUMMYFUNCTION("VALUE(SUBSTITUTE((INDEX(SPLIT(A3328,"",""),1)),""."","","",1))"),53.19536)</f>
        <v>53.19536</v>
      </c>
      <c r="Q3328" s="13">
        <f>IFERROR(__xludf.DUMMYFUNCTION("VALUE(SUBSTITUTE((INDEX(SPLIT(A3328,"",""),2)),""."","","",1))"),50.114342)</f>
        <v>50.114342</v>
      </c>
      <c r="R3328" s="14" t="b">
        <f t="shared" si="1"/>
        <v>0</v>
      </c>
      <c r="S3328" s="14" t="str">
        <f t="shared" si="2"/>
        <v>53.19536,50.114342</v>
      </c>
      <c r="T3328" s="12"/>
    </row>
    <row r="3329">
      <c r="A3329" s="20" t="s">
        <v>21502</v>
      </c>
      <c r="B3329" s="16" t="s">
        <v>21503</v>
      </c>
      <c r="C3329" s="16" t="s">
        <v>21504</v>
      </c>
      <c r="D3329" s="16" t="s">
        <v>16</v>
      </c>
      <c r="E3329" s="21" t="s">
        <v>21505</v>
      </c>
      <c r="F3329" s="22" t="s">
        <v>10183</v>
      </c>
      <c r="G3329" s="16">
        <v>23.61</v>
      </c>
      <c r="H3329" s="16"/>
      <c r="I3329" s="22"/>
      <c r="J3329" s="22" t="s">
        <v>21506</v>
      </c>
      <c r="K3329" s="22" t="s">
        <v>21507</v>
      </c>
      <c r="L3329" s="23" t="s">
        <v>21508</v>
      </c>
      <c r="M3329" s="22"/>
      <c r="N3329" s="12"/>
      <c r="O3329" s="12"/>
      <c r="P3329" s="13">
        <f>IFERROR(__xludf.DUMMYFUNCTION("VALUE(SUBSTITUTE((INDEX(SPLIT(A3329,"",""),1)),""."","","",1))"),53.196034)</f>
        <v>53.196034</v>
      </c>
      <c r="Q3329" s="13">
        <f>IFERROR(__xludf.DUMMYFUNCTION("VALUE(SUBSTITUTE((INDEX(SPLIT(A3329,"",""),2)),""."","","",1))"),50.114827)</f>
        <v>50.114827</v>
      </c>
      <c r="R3329" s="14" t="b">
        <f t="shared" si="1"/>
        <v>0</v>
      </c>
      <c r="S3329" s="14" t="str">
        <f t="shared" si="2"/>
        <v>53.196034,50.114827</v>
      </c>
      <c r="T3329" s="12"/>
    </row>
    <row r="3330">
      <c r="A3330" s="7" t="s">
        <v>21509</v>
      </c>
      <c r="B3330" s="8" t="s">
        <v>21510</v>
      </c>
      <c r="C3330" s="8" t="s">
        <v>21511</v>
      </c>
      <c r="D3330" s="8" t="s">
        <v>16</v>
      </c>
      <c r="E3330" s="9" t="s">
        <v>21512</v>
      </c>
      <c r="F3330" s="10" t="s">
        <v>10183</v>
      </c>
      <c r="G3330" s="8">
        <v>23.61</v>
      </c>
      <c r="H3330" s="8"/>
      <c r="I3330" s="10"/>
      <c r="J3330" s="10" t="s">
        <v>21513</v>
      </c>
      <c r="K3330" s="10" t="s">
        <v>21514</v>
      </c>
      <c r="L3330" s="11" t="s">
        <v>21515</v>
      </c>
      <c r="M3330" s="10"/>
      <c r="N3330" s="12"/>
      <c r="O3330" s="12"/>
      <c r="P3330" s="13">
        <f>IFERROR(__xludf.DUMMYFUNCTION("VALUE(SUBSTITUTE((INDEX(SPLIT(A3330,"",""),1)),""."","","",1))"),53.198813)</f>
        <v>53.198813</v>
      </c>
      <c r="Q3330" s="13">
        <f>IFERROR(__xludf.DUMMYFUNCTION("VALUE(SUBSTITUTE((INDEX(SPLIT(A3330,"",""),2)),""."","","",1))"),50.123208)</f>
        <v>50.123208</v>
      </c>
      <c r="R3330" s="14" t="b">
        <f t="shared" si="1"/>
        <v>0</v>
      </c>
      <c r="S3330" s="14" t="str">
        <f t="shared" si="2"/>
        <v>53.198813,50.123208</v>
      </c>
      <c r="T3330" s="12"/>
    </row>
    <row r="3331">
      <c r="A3331" s="15" t="s">
        <v>21516</v>
      </c>
      <c r="B3331" s="16" t="s">
        <v>21517</v>
      </c>
      <c r="C3331" s="16" t="s">
        <v>21518</v>
      </c>
      <c r="D3331" s="16" t="s">
        <v>16</v>
      </c>
      <c r="E3331" s="17" t="s">
        <v>21519</v>
      </c>
      <c r="F3331" s="16" t="s">
        <v>10183</v>
      </c>
      <c r="G3331" s="16">
        <v>23.61</v>
      </c>
      <c r="H3331" s="16"/>
      <c r="I3331" s="16"/>
      <c r="J3331" s="16" t="s">
        <v>21520</v>
      </c>
      <c r="K3331" s="16" t="s">
        <v>21521</v>
      </c>
      <c r="L3331" s="16"/>
      <c r="M3331" s="16"/>
      <c r="N3331" s="12"/>
      <c r="O3331" s="12"/>
      <c r="P3331" s="13">
        <f>IFERROR(__xludf.DUMMYFUNCTION("VALUE(SUBSTITUTE((INDEX(SPLIT(A3331,"",""),1)),""."","","",1))"),53.192932)</f>
        <v>53.192932</v>
      </c>
      <c r="Q3331" s="13">
        <f>IFERROR(__xludf.DUMMYFUNCTION("VALUE(SUBSTITUTE((INDEX(SPLIT(A3331,"",""),2)),""."","","",1))"),50.123981)</f>
        <v>50.123981</v>
      </c>
      <c r="R3331" s="14" t="b">
        <f t="shared" si="1"/>
        <v>0</v>
      </c>
      <c r="S3331" s="14" t="str">
        <f t="shared" si="2"/>
        <v>53.192932,50.123981</v>
      </c>
      <c r="T3331" s="12"/>
    </row>
    <row r="3332">
      <c r="A3332" s="18" t="s">
        <v>21516</v>
      </c>
      <c r="B3332" s="8" t="s">
        <v>21522</v>
      </c>
      <c r="C3332" s="8" t="s">
        <v>21523</v>
      </c>
      <c r="D3332" s="8" t="s">
        <v>16</v>
      </c>
      <c r="E3332" s="19" t="s">
        <v>21524</v>
      </c>
      <c r="F3332" s="8" t="s">
        <v>10183</v>
      </c>
      <c r="G3332" s="8">
        <v>23.61</v>
      </c>
      <c r="H3332" s="8"/>
      <c r="I3332" s="8"/>
      <c r="J3332" s="8" t="s">
        <v>21525</v>
      </c>
      <c r="K3332" s="8" t="s">
        <v>21526</v>
      </c>
      <c r="L3332" s="8"/>
      <c r="M3332" s="8"/>
      <c r="N3332" s="12"/>
      <c r="O3332" s="12"/>
      <c r="P3332" s="13">
        <f>IFERROR(__xludf.DUMMYFUNCTION("VALUE(SUBSTITUTE((INDEX(SPLIT(A3332,"",""),1)),""."","","",1))"),53.192932)</f>
        <v>53.192932</v>
      </c>
      <c r="Q3332" s="13">
        <f>IFERROR(__xludf.DUMMYFUNCTION("VALUE(SUBSTITUTE((INDEX(SPLIT(A3332,"",""),2)),""."","","",1))"),50.123981)</f>
        <v>50.123981</v>
      </c>
      <c r="R3332" s="14" t="b">
        <f t="shared" si="1"/>
        <v>0</v>
      </c>
      <c r="S3332" s="14" t="str">
        <f t="shared" si="2"/>
        <v>53.192932,50.123981</v>
      </c>
      <c r="T3332" s="12"/>
    </row>
    <row r="3333">
      <c r="A3333" s="20" t="s">
        <v>21527</v>
      </c>
      <c r="B3333" s="16" t="s">
        <v>21528</v>
      </c>
      <c r="C3333" s="16" t="s">
        <v>21529</v>
      </c>
      <c r="D3333" s="16" t="s">
        <v>16</v>
      </c>
      <c r="E3333" s="21" t="s">
        <v>21530</v>
      </c>
      <c r="F3333" s="22" t="s">
        <v>10183</v>
      </c>
      <c r="G3333" s="16">
        <v>23.61</v>
      </c>
      <c r="H3333" s="16"/>
      <c r="I3333" s="22"/>
      <c r="J3333" s="22" t="s">
        <v>21531</v>
      </c>
      <c r="K3333" s="22" t="s">
        <v>21532</v>
      </c>
      <c r="L3333" s="23" t="s">
        <v>21533</v>
      </c>
      <c r="M3333" s="22"/>
      <c r="N3333" s="12"/>
      <c r="O3333" s="12"/>
      <c r="P3333" s="13">
        <f>IFERROR(__xludf.DUMMYFUNCTION("VALUE(SUBSTITUTE((INDEX(SPLIT(A3333,"",""),1)),""."","","",1))"),53.192263)</f>
        <v>53.192263</v>
      </c>
      <c r="Q3333" s="13">
        <f>IFERROR(__xludf.DUMMYFUNCTION("VALUE(SUBSTITUTE((INDEX(SPLIT(A3333,"",""),2)),""."","","",1))"),50.125418)</f>
        <v>50.125418</v>
      </c>
      <c r="R3333" s="14" t="b">
        <f t="shared" si="1"/>
        <v>0</v>
      </c>
      <c r="S3333" s="14" t="str">
        <f t="shared" si="2"/>
        <v>53.192263,50.125418</v>
      </c>
      <c r="T3333" s="12"/>
    </row>
    <row r="3334">
      <c r="A3334" s="18" t="s">
        <v>21534</v>
      </c>
      <c r="B3334" s="8" t="s">
        <v>21535</v>
      </c>
      <c r="C3334" s="8" t="s">
        <v>21536</v>
      </c>
      <c r="D3334" s="8" t="s">
        <v>16</v>
      </c>
      <c r="E3334" s="19" t="s">
        <v>21537</v>
      </c>
      <c r="F3334" s="8" t="s">
        <v>10183</v>
      </c>
      <c r="G3334" s="8">
        <v>23.61</v>
      </c>
      <c r="H3334" s="8"/>
      <c r="I3334" s="8"/>
      <c r="J3334" s="8" t="s">
        <v>21538</v>
      </c>
      <c r="K3334" s="8" t="s">
        <v>21539</v>
      </c>
      <c r="L3334" s="8"/>
      <c r="M3334" s="8"/>
      <c r="N3334" s="12"/>
      <c r="O3334" s="12"/>
      <c r="P3334" s="13">
        <f>IFERROR(__xludf.DUMMYFUNCTION("VALUE(SUBSTITUTE((INDEX(SPLIT(A3334,"",""),1)),""."","","",1))"),53.186345)</f>
        <v>53.186345</v>
      </c>
      <c r="Q3334" s="13">
        <f>IFERROR(__xludf.DUMMYFUNCTION("VALUE(SUBSTITUTE((INDEX(SPLIT(A3334,"",""),2)),""."","","",1))"),50.134877)</f>
        <v>50.134877</v>
      </c>
      <c r="R3334" s="14" t="b">
        <f t="shared" si="1"/>
        <v>0</v>
      </c>
      <c r="S3334" s="14" t="str">
        <f t="shared" si="2"/>
        <v>53.186345,50.134877</v>
      </c>
      <c r="T3334" s="12"/>
    </row>
    <row r="3335">
      <c r="A3335" s="15" t="s">
        <v>21540</v>
      </c>
      <c r="B3335" s="16" t="s">
        <v>21541</v>
      </c>
      <c r="C3335" s="16" t="s">
        <v>21542</v>
      </c>
      <c r="D3335" s="16" t="s">
        <v>16</v>
      </c>
      <c r="E3335" s="17" t="s">
        <v>21543</v>
      </c>
      <c r="F3335" s="16" t="s">
        <v>10183</v>
      </c>
      <c r="G3335" s="16">
        <v>23.61</v>
      </c>
      <c r="H3335" s="16"/>
      <c r="I3335" s="16"/>
      <c r="J3335" s="16" t="s">
        <v>21544</v>
      </c>
      <c r="K3335" s="16" t="s">
        <v>21545</v>
      </c>
      <c r="L3335" s="16"/>
      <c r="M3335" s="16"/>
      <c r="N3335" s="12"/>
      <c r="O3335" s="12"/>
      <c r="P3335" s="13">
        <f>IFERROR(__xludf.DUMMYFUNCTION("VALUE(SUBSTITUTE((INDEX(SPLIT(A3335,"",""),1)),""."","","",1))"),53.209762)</f>
        <v>53.209762</v>
      </c>
      <c r="Q3335" s="13">
        <f>IFERROR(__xludf.DUMMYFUNCTION("VALUE(SUBSTITUTE((INDEX(SPLIT(A3335,"",""),2)),""."","","",1))"),50.142971)</f>
        <v>50.142971</v>
      </c>
      <c r="R3335" s="14" t="b">
        <f t="shared" si="1"/>
        <v>0</v>
      </c>
      <c r="S3335" s="14" t="str">
        <f t="shared" si="2"/>
        <v>53.209762,50.142971</v>
      </c>
      <c r="T3335" s="12"/>
    </row>
    <row r="3336">
      <c r="A3336" s="7" t="s">
        <v>21546</v>
      </c>
      <c r="B3336" s="8" t="s">
        <v>21547</v>
      </c>
      <c r="C3336" s="8" t="s">
        <v>21548</v>
      </c>
      <c r="D3336" s="8" t="s">
        <v>16</v>
      </c>
      <c r="E3336" s="9" t="s">
        <v>21549</v>
      </c>
      <c r="F3336" s="10" t="s">
        <v>10183</v>
      </c>
      <c r="G3336" s="8">
        <v>23.61</v>
      </c>
      <c r="H3336" s="8"/>
      <c r="I3336" s="10"/>
      <c r="J3336" s="10" t="s">
        <v>21550</v>
      </c>
      <c r="K3336" s="10" t="s">
        <v>21551</v>
      </c>
      <c r="L3336" s="11" t="s">
        <v>21552</v>
      </c>
      <c r="M3336" s="10"/>
      <c r="N3336" s="12"/>
      <c r="O3336" s="12"/>
      <c r="P3336" s="13">
        <f>IFERROR(__xludf.DUMMYFUNCTION("VALUE(SUBSTITUTE((INDEX(SPLIT(A3336,"",""),1)),""."","","",1))"),53.181828)</f>
        <v>53.181828</v>
      </c>
      <c r="Q3336" s="13">
        <f>IFERROR(__xludf.DUMMYFUNCTION("VALUE(SUBSTITUTE((INDEX(SPLIT(A3336,"",""),2)),""."","","",1))"),50.149681)</f>
        <v>50.149681</v>
      </c>
      <c r="R3336" s="14" t="b">
        <f t="shared" si="1"/>
        <v>0</v>
      </c>
      <c r="S3336" s="14" t="str">
        <f t="shared" si="2"/>
        <v>53.181828,50.149681</v>
      </c>
      <c r="T3336" s="12"/>
    </row>
    <row r="3337">
      <c r="A3337" s="15" t="s">
        <v>21553</v>
      </c>
      <c r="B3337" s="16" t="s">
        <v>21554</v>
      </c>
      <c r="C3337" s="16" t="s">
        <v>21555</v>
      </c>
      <c r="D3337" s="16" t="s">
        <v>16</v>
      </c>
      <c r="E3337" s="17" t="s">
        <v>21556</v>
      </c>
      <c r="F3337" s="16" t="s">
        <v>10183</v>
      </c>
      <c r="G3337" s="16">
        <v>23.61</v>
      </c>
      <c r="H3337" s="16"/>
      <c r="I3337" s="16"/>
      <c r="J3337" s="16" t="s">
        <v>21557</v>
      </c>
      <c r="K3337" s="16" t="s">
        <v>21558</v>
      </c>
      <c r="L3337" s="16"/>
      <c r="M3337" s="16"/>
      <c r="N3337" s="12"/>
      <c r="O3337" s="12"/>
      <c r="P3337" s="13">
        <f>IFERROR(__xludf.DUMMYFUNCTION("VALUE(SUBSTITUTE((INDEX(SPLIT(A3337,"",""),1)),""."","","",1))"),53.217219)</f>
        <v>53.217219</v>
      </c>
      <c r="Q3337" s="13">
        <f>IFERROR(__xludf.DUMMYFUNCTION("VALUE(SUBSTITUTE((INDEX(SPLIT(A3337,"",""),2)),""."","","",1))"),50.158054)</f>
        <v>50.158054</v>
      </c>
      <c r="R3337" s="14" t="b">
        <f t="shared" si="1"/>
        <v>0</v>
      </c>
      <c r="S3337" s="14" t="str">
        <f t="shared" si="2"/>
        <v>53.217219,50.158054</v>
      </c>
      <c r="T3337" s="12"/>
    </row>
    <row r="3338">
      <c r="A3338" s="18" t="s">
        <v>21559</v>
      </c>
      <c r="B3338" s="8" t="s">
        <v>21560</v>
      </c>
      <c r="C3338" s="8" t="s">
        <v>21561</v>
      </c>
      <c r="D3338" s="8" t="s">
        <v>16</v>
      </c>
      <c r="E3338" s="19" t="s">
        <v>21562</v>
      </c>
      <c r="F3338" s="8" t="s">
        <v>10183</v>
      </c>
      <c r="G3338" s="8">
        <v>23.61</v>
      </c>
      <c r="H3338" s="8"/>
      <c r="I3338" s="8"/>
      <c r="J3338" s="8" t="s">
        <v>21563</v>
      </c>
      <c r="K3338" s="8" t="s">
        <v>21564</v>
      </c>
      <c r="L3338" s="8"/>
      <c r="M3338" s="8"/>
      <c r="N3338" s="12"/>
      <c r="O3338" s="12"/>
      <c r="P3338" s="13">
        <f>IFERROR(__xludf.DUMMYFUNCTION("VALUE(SUBSTITUTE((INDEX(SPLIT(A3338,"",""),1)),""."","","",1))"),53.200237)</f>
        <v>53.200237</v>
      </c>
      <c r="Q3338" s="13">
        <f>IFERROR(__xludf.DUMMYFUNCTION("VALUE(SUBSTITUTE((INDEX(SPLIT(A3338,"",""),2)),""."","","",1))"),50.165618)</f>
        <v>50.165618</v>
      </c>
      <c r="R3338" s="14" t="b">
        <f t="shared" si="1"/>
        <v>0</v>
      </c>
      <c r="S3338" s="14" t="str">
        <f t="shared" si="2"/>
        <v>53.200237,50.165618</v>
      </c>
      <c r="T3338" s="12"/>
    </row>
    <row r="3339">
      <c r="A3339" s="15" t="s">
        <v>21565</v>
      </c>
      <c r="B3339" s="16" t="s">
        <v>21566</v>
      </c>
      <c r="C3339" s="16" t="s">
        <v>21567</v>
      </c>
      <c r="D3339" s="16" t="s">
        <v>16</v>
      </c>
      <c r="E3339" s="17" t="s">
        <v>21568</v>
      </c>
      <c r="F3339" s="16" t="s">
        <v>10183</v>
      </c>
      <c r="G3339" s="16">
        <v>23.61</v>
      </c>
      <c r="H3339" s="16"/>
      <c r="I3339" s="16"/>
      <c r="J3339" s="16" t="s">
        <v>21569</v>
      </c>
      <c r="K3339" s="16" t="s">
        <v>21570</v>
      </c>
      <c r="L3339" s="16"/>
      <c r="M3339" s="16"/>
      <c r="N3339" s="12"/>
      <c r="O3339" s="12"/>
      <c r="P3339" s="13">
        <f>IFERROR(__xludf.DUMMYFUNCTION("VALUE(SUBSTITUTE((INDEX(SPLIT(A3339,"",""),1)),""."","","",1))"),53.191681)</f>
        <v>53.191681</v>
      </c>
      <c r="Q3339" s="13">
        <f>IFERROR(__xludf.DUMMYFUNCTION("VALUE(SUBSTITUTE((INDEX(SPLIT(A3339,"",""),2)),""."","","",1))"),50.170271)</f>
        <v>50.170271</v>
      </c>
      <c r="R3339" s="14" t="b">
        <f t="shared" si="1"/>
        <v>0</v>
      </c>
      <c r="S3339" s="14" t="str">
        <f t="shared" si="2"/>
        <v>53.191681,50.170271</v>
      </c>
      <c r="T3339" s="12"/>
    </row>
    <row r="3340">
      <c r="A3340" s="7" t="s">
        <v>21565</v>
      </c>
      <c r="B3340" s="8" t="s">
        <v>21571</v>
      </c>
      <c r="C3340" s="8" t="s">
        <v>21572</v>
      </c>
      <c r="D3340" s="8" t="s">
        <v>16</v>
      </c>
      <c r="E3340" s="9" t="s">
        <v>21573</v>
      </c>
      <c r="F3340" s="10" t="s">
        <v>10183</v>
      </c>
      <c r="G3340" s="8">
        <v>23.61</v>
      </c>
      <c r="H3340" s="8"/>
      <c r="I3340" s="10"/>
      <c r="J3340" s="10" t="s">
        <v>21574</v>
      </c>
      <c r="K3340" s="10" t="s">
        <v>21575</v>
      </c>
      <c r="L3340" s="11" t="s">
        <v>21576</v>
      </c>
      <c r="M3340" s="10"/>
      <c r="N3340" s="12"/>
      <c r="O3340" s="12"/>
      <c r="P3340" s="13">
        <f>IFERROR(__xludf.DUMMYFUNCTION("VALUE(SUBSTITUTE((INDEX(SPLIT(A3340,"",""),1)),""."","","",1))"),53.191681)</f>
        <v>53.191681</v>
      </c>
      <c r="Q3340" s="13">
        <f>IFERROR(__xludf.DUMMYFUNCTION("VALUE(SUBSTITUTE((INDEX(SPLIT(A3340,"",""),2)),""."","","",1))"),50.170271)</f>
        <v>50.170271</v>
      </c>
      <c r="R3340" s="14" t="b">
        <f t="shared" si="1"/>
        <v>0</v>
      </c>
      <c r="S3340" s="14" t="str">
        <f t="shared" si="2"/>
        <v>53.191681,50.170271</v>
      </c>
      <c r="T3340" s="12"/>
    </row>
    <row r="3341">
      <c r="A3341" s="15" t="s">
        <v>21577</v>
      </c>
      <c r="B3341" s="16" t="s">
        <v>21578</v>
      </c>
      <c r="C3341" s="16" t="s">
        <v>21579</v>
      </c>
      <c r="D3341" s="16" t="s">
        <v>16</v>
      </c>
      <c r="E3341" s="17" t="s">
        <v>21580</v>
      </c>
      <c r="F3341" s="16" t="s">
        <v>10183</v>
      </c>
      <c r="G3341" s="16">
        <v>23.61</v>
      </c>
      <c r="H3341" s="16"/>
      <c r="I3341" s="16"/>
      <c r="J3341" s="16" t="s">
        <v>21581</v>
      </c>
      <c r="K3341" s="16" t="s">
        <v>21582</v>
      </c>
      <c r="L3341" s="16"/>
      <c r="M3341" s="16"/>
      <c r="N3341" s="12"/>
      <c r="O3341" s="12"/>
      <c r="P3341" s="13">
        <f>IFERROR(__xludf.DUMMYFUNCTION("VALUE(SUBSTITUTE((INDEX(SPLIT(A3341,"",""),1)),""."","","",1))"),53.207777)</f>
        <v>53.207777</v>
      </c>
      <c r="Q3341" s="13">
        <f>IFERROR(__xludf.DUMMYFUNCTION("VALUE(SUBSTITUTE((INDEX(SPLIT(A3341,"",""),2)),""."","","",1))"),50.177376)</f>
        <v>50.177376</v>
      </c>
      <c r="R3341" s="14" t="b">
        <f t="shared" si="1"/>
        <v>0</v>
      </c>
      <c r="S3341" s="14" t="str">
        <f t="shared" si="2"/>
        <v>53.207777,50.177376</v>
      </c>
      <c r="T3341" s="12"/>
    </row>
    <row r="3342">
      <c r="A3342" s="7" t="s">
        <v>21583</v>
      </c>
      <c r="B3342" s="8" t="s">
        <v>21584</v>
      </c>
      <c r="C3342" s="8" t="s">
        <v>21585</v>
      </c>
      <c r="D3342" s="8" t="s">
        <v>16</v>
      </c>
      <c r="E3342" s="9" t="s">
        <v>21586</v>
      </c>
      <c r="F3342" s="10" t="s">
        <v>10183</v>
      </c>
      <c r="G3342" s="8">
        <v>23.61</v>
      </c>
      <c r="H3342" s="8"/>
      <c r="I3342" s="10"/>
      <c r="J3342" s="10" t="s">
        <v>21587</v>
      </c>
      <c r="K3342" s="10" t="s">
        <v>21588</v>
      </c>
      <c r="L3342" s="11" t="s">
        <v>21589</v>
      </c>
      <c r="M3342" s="10"/>
      <c r="N3342" s="12"/>
      <c r="O3342" s="12"/>
      <c r="P3342" s="13">
        <f>IFERROR(__xludf.DUMMYFUNCTION("VALUE(SUBSTITUTE((INDEX(SPLIT(A3342,"",""),1)),""."","","",1))"),53.183485)</f>
        <v>53.183485</v>
      </c>
      <c r="Q3342" s="13">
        <f>IFERROR(__xludf.DUMMYFUNCTION("VALUE(SUBSTITUTE((INDEX(SPLIT(A3342,"",""),2)),""."","","",1))"),50.177421)</f>
        <v>50.177421</v>
      </c>
      <c r="R3342" s="14" t="b">
        <f t="shared" si="1"/>
        <v>0</v>
      </c>
      <c r="S3342" s="14" t="str">
        <f t="shared" si="2"/>
        <v>53.183485,50.177421</v>
      </c>
      <c r="T3342" s="12"/>
    </row>
    <row r="3343">
      <c r="A3343" s="15" t="s">
        <v>21590</v>
      </c>
      <c r="B3343" s="16" t="s">
        <v>21591</v>
      </c>
      <c r="C3343" s="16" t="s">
        <v>21592</v>
      </c>
      <c r="D3343" s="16" t="s">
        <v>16</v>
      </c>
      <c r="E3343" s="17" t="s">
        <v>21593</v>
      </c>
      <c r="F3343" s="16" t="s">
        <v>10183</v>
      </c>
      <c r="G3343" s="16">
        <v>23.61</v>
      </c>
      <c r="H3343" s="16"/>
      <c r="I3343" s="16"/>
      <c r="J3343" s="16" t="s">
        <v>21594</v>
      </c>
      <c r="K3343" s="16" t="s">
        <v>21595</v>
      </c>
      <c r="L3343" s="16"/>
      <c r="M3343" s="16"/>
      <c r="N3343" s="12"/>
      <c r="O3343" s="12"/>
      <c r="P3343" s="13">
        <f>IFERROR(__xludf.DUMMYFUNCTION("VALUE(SUBSTITUTE((INDEX(SPLIT(A3343,"",""),1)),""."","","",1))"),53.213278)</f>
        <v>53.213278</v>
      </c>
      <c r="Q3343" s="13">
        <f>IFERROR(__xludf.DUMMYFUNCTION("VALUE(SUBSTITUTE((INDEX(SPLIT(A3343,"",""),2)),""."","","",1))"),50.184329)</f>
        <v>50.184329</v>
      </c>
      <c r="R3343" s="14" t="b">
        <f t="shared" si="1"/>
        <v>0</v>
      </c>
      <c r="S3343" s="14" t="str">
        <f t="shared" si="2"/>
        <v>53.213278,50.184329</v>
      </c>
      <c r="T3343" s="12"/>
    </row>
    <row r="3344">
      <c r="A3344" s="18" t="s">
        <v>21596</v>
      </c>
      <c r="B3344" s="8" t="s">
        <v>21597</v>
      </c>
      <c r="C3344" s="8" t="s">
        <v>21598</v>
      </c>
      <c r="D3344" s="8" t="s">
        <v>16</v>
      </c>
      <c r="E3344" s="19" t="s">
        <v>21599</v>
      </c>
      <c r="F3344" s="8" t="s">
        <v>10183</v>
      </c>
      <c r="G3344" s="8">
        <v>23.61</v>
      </c>
      <c r="H3344" s="8"/>
      <c r="I3344" s="8"/>
      <c r="J3344" s="8" t="s">
        <v>21600</v>
      </c>
      <c r="K3344" s="8" t="s">
        <v>21601</v>
      </c>
      <c r="L3344" s="8"/>
      <c r="M3344" s="8"/>
      <c r="N3344" s="12"/>
      <c r="O3344" s="12"/>
      <c r="P3344" s="13">
        <f>IFERROR(__xludf.DUMMYFUNCTION("VALUE(SUBSTITUTE((INDEX(SPLIT(A3344,"",""),1)),""."","","",1))"),53.239763)</f>
        <v>53.239763</v>
      </c>
      <c r="Q3344" s="13">
        <f>IFERROR(__xludf.DUMMYFUNCTION("VALUE(SUBSTITUTE((INDEX(SPLIT(A3344,"",""),2)),""."","","",1))"),50.184635)</f>
        <v>50.184635</v>
      </c>
      <c r="R3344" s="14" t="b">
        <f t="shared" si="1"/>
        <v>0</v>
      </c>
      <c r="S3344" s="14" t="str">
        <f t="shared" si="2"/>
        <v>53.239763,50.184635</v>
      </c>
      <c r="T3344" s="12"/>
    </row>
    <row r="3345">
      <c r="A3345" s="20" t="s">
        <v>21602</v>
      </c>
      <c r="B3345" s="16" t="s">
        <v>21603</v>
      </c>
      <c r="C3345" s="16" t="s">
        <v>21604</v>
      </c>
      <c r="D3345" s="16" t="s">
        <v>16</v>
      </c>
      <c r="E3345" s="21" t="s">
        <v>21605</v>
      </c>
      <c r="F3345" s="22" t="s">
        <v>10183</v>
      </c>
      <c r="G3345" s="16">
        <v>23.61</v>
      </c>
      <c r="H3345" s="16"/>
      <c r="I3345" s="22"/>
      <c r="J3345" s="22" t="s">
        <v>21606</v>
      </c>
      <c r="K3345" s="22" t="s">
        <v>21607</v>
      </c>
      <c r="L3345" s="23" t="s">
        <v>21608</v>
      </c>
      <c r="M3345" s="23" t="s">
        <v>21609</v>
      </c>
      <c r="N3345" s="12"/>
      <c r="O3345" s="12"/>
      <c r="P3345" s="13">
        <f>IFERROR(__xludf.DUMMYFUNCTION("VALUE(SUBSTITUTE((INDEX(SPLIT(A3345,"",""),1)),""."","","",1))"),53.217861)</f>
        <v>53.217861</v>
      </c>
      <c r="Q3345" s="13">
        <f>IFERROR(__xludf.DUMMYFUNCTION("VALUE(SUBSTITUTE((INDEX(SPLIT(A3345,"",""),2)),""."","","",1))"),50.189971)</f>
        <v>50.189971</v>
      </c>
      <c r="R3345" s="14" t="b">
        <f t="shared" si="1"/>
        <v>0</v>
      </c>
      <c r="S3345" s="14" t="str">
        <f t="shared" si="2"/>
        <v>53.217861,50.189971</v>
      </c>
      <c r="T3345" s="12"/>
    </row>
    <row r="3346">
      <c r="A3346" s="7" t="s">
        <v>21610</v>
      </c>
      <c r="B3346" s="8" t="s">
        <v>15817</v>
      </c>
      <c r="C3346" s="8" t="s">
        <v>15818</v>
      </c>
      <c r="D3346" s="8" t="s">
        <v>16</v>
      </c>
      <c r="E3346" s="9" t="s">
        <v>21611</v>
      </c>
      <c r="F3346" s="10" t="s">
        <v>10183</v>
      </c>
      <c r="G3346" s="8">
        <v>23.61</v>
      </c>
      <c r="H3346" s="8"/>
      <c r="I3346" s="10"/>
      <c r="J3346" s="10" t="s">
        <v>21612</v>
      </c>
      <c r="K3346" s="10" t="s">
        <v>21613</v>
      </c>
      <c r="L3346" s="11" t="s">
        <v>21614</v>
      </c>
      <c r="M3346" s="10"/>
      <c r="N3346" s="12"/>
      <c r="O3346" s="12"/>
      <c r="P3346" s="13">
        <f>IFERROR(__xludf.DUMMYFUNCTION("VALUE(SUBSTITUTE((INDEX(SPLIT(A3346,"",""),1)),""."","","",1))"),53.197658)</f>
        <v>53.197658</v>
      </c>
      <c r="Q3346" s="13">
        <f>IFERROR(__xludf.DUMMYFUNCTION("VALUE(SUBSTITUTE((INDEX(SPLIT(A3346,"",""),2)),""."","","",1))"),50.191112)</f>
        <v>50.191112</v>
      </c>
      <c r="R3346" s="14" t="b">
        <f t="shared" si="1"/>
        <v>0</v>
      </c>
      <c r="S3346" s="14" t="str">
        <f t="shared" si="2"/>
        <v>53.197658,50.191112</v>
      </c>
      <c r="T3346" s="12"/>
    </row>
    <row r="3347">
      <c r="A3347" s="20" t="s">
        <v>21615</v>
      </c>
      <c r="B3347" s="16" t="s">
        <v>21616</v>
      </c>
      <c r="C3347" s="16" t="s">
        <v>21617</v>
      </c>
      <c r="D3347" s="16" t="s">
        <v>16</v>
      </c>
      <c r="E3347" s="21" t="s">
        <v>21618</v>
      </c>
      <c r="F3347" s="22" t="s">
        <v>10183</v>
      </c>
      <c r="G3347" s="16">
        <v>23.61</v>
      </c>
      <c r="H3347" s="16"/>
      <c r="I3347" s="22"/>
      <c r="J3347" s="22" t="s">
        <v>21619</v>
      </c>
      <c r="K3347" s="22" t="s">
        <v>21620</v>
      </c>
      <c r="L3347" s="23" t="s">
        <v>21621</v>
      </c>
      <c r="M3347" s="22"/>
      <c r="N3347" s="12"/>
      <c r="O3347" s="12"/>
      <c r="P3347" s="13">
        <f>IFERROR(__xludf.DUMMYFUNCTION("VALUE(SUBSTITUTE((INDEX(SPLIT(A3347,"",""),1)),""."","","",1))"),53.213634)</f>
        <v>53.213634</v>
      </c>
      <c r="Q3347" s="13">
        <f>IFERROR(__xludf.DUMMYFUNCTION("VALUE(SUBSTITUTE((INDEX(SPLIT(A3347,"",""),2)),""."","","",1))"),50.192935)</f>
        <v>50.192935</v>
      </c>
      <c r="R3347" s="14" t="b">
        <f t="shared" si="1"/>
        <v>0</v>
      </c>
      <c r="S3347" s="14" t="str">
        <f t="shared" si="2"/>
        <v>53.213634,50.192935</v>
      </c>
      <c r="T3347" s="12"/>
    </row>
    <row r="3348">
      <c r="A3348" s="7" t="s">
        <v>21622</v>
      </c>
      <c r="B3348" s="8" t="s">
        <v>21623</v>
      </c>
      <c r="C3348" s="8" t="s">
        <v>21624</v>
      </c>
      <c r="D3348" s="8" t="s">
        <v>16</v>
      </c>
      <c r="E3348" s="9" t="s">
        <v>21625</v>
      </c>
      <c r="F3348" s="10" t="s">
        <v>19961</v>
      </c>
      <c r="G3348" s="8">
        <v>23.61</v>
      </c>
      <c r="H3348" s="8"/>
      <c r="I3348" s="31" t="s">
        <v>21626</v>
      </c>
      <c r="J3348" s="10" t="s">
        <v>21627</v>
      </c>
      <c r="K3348" s="10" t="s">
        <v>21628</v>
      </c>
      <c r="L3348" s="11" t="s">
        <v>21629</v>
      </c>
      <c r="M3348" s="10"/>
      <c r="N3348" s="12"/>
      <c r="O3348" s="12"/>
      <c r="P3348" s="13">
        <f>IFERROR(__xludf.DUMMYFUNCTION("VALUE(SUBSTITUTE((INDEX(SPLIT(A3348,"",""),1)),""."","","",1))"),53.201742)</f>
        <v>53.201742</v>
      </c>
      <c r="Q3348" s="13">
        <f>IFERROR(__xludf.DUMMYFUNCTION("VALUE(SUBSTITUTE((INDEX(SPLIT(A3348,"",""),2)),""."","","",1))"),50.19599)</f>
        <v>50.19599</v>
      </c>
      <c r="R3348" s="14" t="b">
        <f t="shared" si="1"/>
        <v>0</v>
      </c>
      <c r="S3348" s="14" t="str">
        <f t="shared" si="2"/>
        <v>53.201742,50.19599</v>
      </c>
      <c r="T3348" s="12"/>
    </row>
    <row r="3349">
      <c r="A3349" s="20" t="s">
        <v>21630</v>
      </c>
      <c r="B3349" s="16" t="s">
        <v>21631</v>
      </c>
      <c r="C3349" s="16" t="s">
        <v>21632</v>
      </c>
      <c r="D3349" s="16" t="s">
        <v>16</v>
      </c>
      <c r="E3349" s="21" t="s">
        <v>21633</v>
      </c>
      <c r="F3349" s="22" t="s">
        <v>10183</v>
      </c>
      <c r="G3349" s="16">
        <v>23.61</v>
      </c>
      <c r="H3349" s="16"/>
      <c r="I3349" s="22"/>
      <c r="J3349" s="22" t="s">
        <v>21634</v>
      </c>
      <c r="K3349" s="22" t="s">
        <v>21635</v>
      </c>
      <c r="L3349" s="23" t="s">
        <v>21636</v>
      </c>
      <c r="M3349" s="22"/>
      <c r="N3349" s="12"/>
      <c r="O3349" s="12"/>
      <c r="P3349" s="13">
        <f>IFERROR(__xludf.DUMMYFUNCTION("VALUE(SUBSTITUTE((INDEX(SPLIT(A3349,"",""),1)),""."","","",1))"),53.179119)</f>
        <v>53.179119</v>
      </c>
      <c r="Q3349" s="13">
        <f>IFERROR(__xludf.DUMMYFUNCTION("VALUE(SUBSTITUTE((INDEX(SPLIT(A3349,"",""),2)),""."","","",1))"),50.206958)</f>
        <v>50.206958</v>
      </c>
      <c r="R3349" s="14" t="b">
        <f t="shared" si="1"/>
        <v>0</v>
      </c>
      <c r="S3349" s="14" t="str">
        <f t="shared" si="2"/>
        <v>53.179119,50.206958</v>
      </c>
      <c r="T3349" s="12"/>
    </row>
    <row r="3350">
      <c r="A3350" s="18" t="s">
        <v>21637</v>
      </c>
      <c r="B3350" s="8" t="s">
        <v>21638</v>
      </c>
      <c r="C3350" s="8" t="s">
        <v>21639</v>
      </c>
      <c r="D3350" s="8" t="s">
        <v>16</v>
      </c>
      <c r="E3350" s="19" t="s">
        <v>21640</v>
      </c>
      <c r="F3350" s="8" t="s">
        <v>10183</v>
      </c>
      <c r="G3350" s="8">
        <v>23.61</v>
      </c>
      <c r="H3350" s="8"/>
      <c r="I3350" s="8"/>
      <c r="J3350" s="8" t="s">
        <v>21641</v>
      </c>
      <c r="K3350" s="8" t="s">
        <v>21642</v>
      </c>
      <c r="L3350" s="8"/>
      <c r="M3350" s="8"/>
      <c r="N3350" s="12"/>
      <c r="O3350" s="12"/>
      <c r="P3350" s="13">
        <f>IFERROR(__xludf.DUMMYFUNCTION("VALUE(SUBSTITUTE((INDEX(SPLIT(A3350,"",""),1)),""."","","",1))"),53.235419)</f>
        <v>53.235419</v>
      </c>
      <c r="Q3350" s="13">
        <f>IFERROR(__xludf.DUMMYFUNCTION("VALUE(SUBSTITUTE((INDEX(SPLIT(A3350,"",""),2)),""."","","",1))"),50.20765)</f>
        <v>50.20765</v>
      </c>
      <c r="R3350" s="14" t="b">
        <f t="shared" si="1"/>
        <v>0</v>
      </c>
      <c r="S3350" s="14" t="str">
        <f t="shared" si="2"/>
        <v>53.235419,50.20765</v>
      </c>
      <c r="T3350" s="12"/>
    </row>
    <row r="3351">
      <c r="A3351" s="15" t="s">
        <v>21643</v>
      </c>
      <c r="B3351" s="16" t="s">
        <v>2685</v>
      </c>
      <c r="C3351" s="16" t="s">
        <v>2686</v>
      </c>
      <c r="D3351" s="16" t="s">
        <v>16</v>
      </c>
      <c r="E3351" s="17" t="s">
        <v>21644</v>
      </c>
      <c r="F3351" s="16" t="s">
        <v>10183</v>
      </c>
      <c r="G3351" s="16">
        <v>23.61</v>
      </c>
      <c r="H3351" s="16"/>
      <c r="I3351" s="16"/>
      <c r="J3351" s="16" t="s">
        <v>21645</v>
      </c>
      <c r="K3351" s="16" t="s">
        <v>21646</v>
      </c>
      <c r="L3351" s="16"/>
      <c r="M3351" s="16"/>
      <c r="N3351" s="12"/>
      <c r="O3351" s="12"/>
      <c r="P3351" s="13">
        <f>IFERROR(__xludf.DUMMYFUNCTION("VALUE(SUBSTITUTE((INDEX(SPLIT(A3351,"",""),1)),""."","","",1))"),53.179308)</f>
        <v>53.179308</v>
      </c>
      <c r="Q3351" s="13">
        <f>IFERROR(__xludf.DUMMYFUNCTION("VALUE(SUBSTITUTE((INDEX(SPLIT(A3351,"",""),2)),""."","","",1))"),50.208755)</f>
        <v>50.208755</v>
      </c>
      <c r="R3351" s="14" t="b">
        <f t="shared" si="1"/>
        <v>0</v>
      </c>
      <c r="S3351" s="14" t="str">
        <f t="shared" si="2"/>
        <v>53.179308,50.208755</v>
      </c>
      <c r="T3351" s="12"/>
    </row>
    <row r="3352">
      <c r="A3352" s="18" t="s">
        <v>21647</v>
      </c>
      <c r="B3352" s="8" t="s">
        <v>21648</v>
      </c>
      <c r="C3352" s="8" t="s">
        <v>21649</v>
      </c>
      <c r="D3352" s="8" t="s">
        <v>16</v>
      </c>
      <c r="E3352" s="19" t="s">
        <v>21650</v>
      </c>
      <c r="F3352" s="8" t="s">
        <v>10183</v>
      </c>
      <c r="G3352" s="8">
        <v>23.61</v>
      </c>
      <c r="H3352" s="8"/>
      <c r="I3352" s="8"/>
      <c r="J3352" s="8" t="s">
        <v>21651</v>
      </c>
      <c r="K3352" s="8" t="s">
        <v>21652</v>
      </c>
      <c r="L3352" s="8"/>
      <c r="M3352" s="8"/>
      <c r="N3352" s="12"/>
      <c r="O3352" s="12"/>
      <c r="P3352" s="13">
        <f>IFERROR(__xludf.DUMMYFUNCTION("VALUE(SUBSTITUTE((INDEX(SPLIT(A3352,"",""),1)),""."","","",1))"),53.262461)</f>
        <v>53.262461</v>
      </c>
      <c r="Q3352" s="13">
        <f>IFERROR(__xludf.DUMMYFUNCTION("VALUE(SUBSTITUTE((INDEX(SPLIT(A3352,"",""),2)),""."","","",1))"),50.211575)</f>
        <v>50.211575</v>
      </c>
      <c r="R3352" s="14" t="b">
        <f t="shared" si="1"/>
        <v>0</v>
      </c>
      <c r="S3352" s="14" t="str">
        <f t="shared" si="2"/>
        <v>53.262461,50.211575</v>
      </c>
      <c r="T3352" s="12"/>
    </row>
    <row r="3353">
      <c r="A3353" s="15" t="s">
        <v>21653</v>
      </c>
      <c r="B3353" s="16" t="s">
        <v>21654</v>
      </c>
      <c r="C3353" s="16" t="s">
        <v>21655</v>
      </c>
      <c r="D3353" s="16" t="s">
        <v>16</v>
      </c>
      <c r="E3353" s="17" t="s">
        <v>21656</v>
      </c>
      <c r="F3353" s="16" t="s">
        <v>10183</v>
      </c>
      <c r="G3353" s="16">
        <v>23.61</v>
      </c>
      <c r="H3353" s="16"/>
      <c r="I3353" s="16"/>
      <c r="J3353" s="16" t="s">
        <v>21657</v>
      </c>
      <c r="K3353" s="16" t="s">
        <v>21658</v>
      </c>
      <c r="L3353" s="16"/>
      <c r="M3353" s="16"/>
      <c r="N3353" s="12"/>
      <c r="O3353" s="12"/>
      <c r="P3353" s="13">
        <f>IFERROR(__xludf.DUMMYFUNCTION("VALUE(SUBSTITUTE((INDEX(SPLIT(A3353,"",""),1)),""."","","",1))"),53.267804)</f>
        <v>53.267804</v>
      </c>
      <c r="Q3353" s="13">
        <f>IFERROR(__xludf.DUMMYFUNCTION("VALUE(SUBSTITUTE((INDEX(SPLIT(A3353,"",""),2)),""."","","",1))"),50.218861)</f>
        <v>50.218861</v>
      </c>
      <c r="R3353" s="14" t="b">
        <f t="shared" si="1"/>
        <v>0</v>
      </c>
      <c r="S3353" s="14" t="str">
        <f t="shared" si="2"/>
        <v>53.267804,50.218861</v>
      </c>
      <c r="T3353" s="12"/>
    </row>
    <row r="3354">
      <c r="A3354" s="18" t="s">
        <v>21659</v>
      </c>
      <c r="B3354" s="8" t="s">
        <v>17056</v>
      </c>
      <c r="C3354" s="8" t="s">
        <v>17057</v>
      </c>
      <c r="D3354" s="8" t="s">
        <v>16</v>
      </c>
      <c r="E3354" s="19" t="s">
        <v>21660</v>
      </c>
      <c r="F3354" s="8" t="s">
        <v>10183</v>
      </c>
      <c r="G3354" s="8">
        <v>23.61</v>
      </c>
      <c r="H3354" s="8"/>
      <c r="I3354" s="8"/>
      <c r="J3354" s="8" t="s">
        <v>21661</v>
      </c>
      <c r="K3354" s="8" t="s">
        <v>21662</v>
      </c>
      <c r="L3354" s="8"/>
      <c r="M3354" s="8"/>
      <c r="N3354" s="12"/>
      <c r="O3354" s="12"/>
      <c r="P3354" s="13">
        <f>IFERROR(__xludf.DUMMYFUNCTION("VALUE(SUBSTITUTE((INDEX(SPLIT(A3354,"",""),1)),""."","","",1))"),53.259509)</f>
        <v>53.259509</v>
      </c>
      <c r="Q3354" s="13">
        <f>IFERROR(__xludf.DUMMYFUNCTION("VALUE(SUBSTITUTE((INDEX(SPLIT(A3354,"",""),2)),""."","","",1))"),50.220451)</f>
        <v>50.220451</v>
      </c>
      <c r="R3354" s="14" t="b">
        <f t="shared" si="1"/>
        <v>0</v>
      </c>
      <c r="S3354" s="14" t="str">
        <f t="shared" si="2"/>
        <v>53.259509,50.220451</v>
      </c>
      <c r="T3354" s="12"/>
    </row>
    <row r="3355">
      <c r="A3355" s="15" t="s">
        <v>21663</v>
      </c>
      <c r="B3355" s="16" t="s">
        <v>21664</v>
      </c>
      <c r="C3355" s="16" t="s">
        <v>21665</v>
      </c>
      <c r="D3355" s="16" t="s">
        <v>16</v>
      </c>
      <c r="E3355" s="17" t="s">
        <v>21666</v>
      </c>
      <c r="F3355" s="16" t="s">
        <v>10183</v>
      </c>
      <c r="G3355" s="16">
        <v>23.61</v>
      </c>
      <c r="H3355" s="16"/>
      <c r="I3355" s="16"/>
      <c r="J3355" s="16" t="s">
        <v>21667</v>
      </c>
      <c r="K3355" s="16" t="s">
        <v>21668</v>
      </c>
      <c r="L3355" s="16"/>
      <c r="M3355" s="16"/>
      <c r="N3355" s="12"/>
      <c r="O3355" s="12"/>
      <c r="P3355" s="13">
        <f>IFERROR(__xludf.DUMMYFUNCTION("VALUE(SUBSTITUTE((INDEX(SPLIT(A3355,"",""),1)),""."","","",1))"),56.342141)</f>
        <v>56.342141</v>
      </c>
      <c r="Q3355" s="13">
        <f>IFERROR(__xludf.DUMMYFUNCTION("VALUE(SUBSTITUTE((INDEX(SPLIT(A3355,"",""),2)),""."","","",1))"),50.224628)</f>
        <v>50.224628</v>
      </c>
      <c r="R3355" s="14" t="b">
        <f t="shared" si="1"/>
        <v>0</v>
      </c>
      <c r="S3355" s="14" t="str">
        <f t="shared" si="2"/>
        <v>56.342141,50.224628</v>
      </c>
      <c r="T3355" s="12"/>
    </row>
    <row r="3356">
      <c r="A3356" s="7" t="s">
        <v>21669</v>
      </c>
      <c r="B3356" s="8" t="s">
        <v>21670</v>
      </c>
      <c r="C3356" s="8" t="s">
        <v>21671</v>
      </c>
      <c r="D3356" s="8" t="s">
        <v>16</v>
      </c>
      <c r="E3356" s="9" t="s">
        <v>21672</v>
      </c>
      <c r="F3356" s="10" t="s">
        <v>10183</v>
      </c>
      <c r="G3356" s="8">
        <v>23.61</v>
      </c>
      <c r="H3356" s="8"/>
      <c r="I3356" s="10"/>
      <c r="J3356" s="10" t="s">
        <v>21673</v>
      </c>
      <c r="K3356" s="10" t="s">
        <v>21674</v>
      </c>
      <c r="L3356" s="11" t="s">
        <v>21675</v>
      </c>
      <c r="M3356" s="10"/>
      <c r="N3356" s="12"/>
      <c r="O3356" s="12"/>
      <c r="P3356" s="13">
        <f>IFERROR(__xludf.DUMMYFUNCTION("VALUE(SUBSTITUTE((INDEX(SPLIT(A3356,"",""),1)),""."","","",1))"),53.21847)</f>
        <v>53.21847</v>
      </c>
      <c r="Q3356" s="13">
        <f>IFERROR(__xludf.DUMMYFUNCTION("VALUE(SUBSTITUTE((INDEX(SPLIT(A3356,"",""),2)),""."","","",1))"),50.225625)</f>
        <v>50.225625</v>
      </c>
      <c r="R3356" s="14" t="b">
        <f t="shared" si="1"/>
        <v>0</v>
      </c>
      <c r="S3356" s="14" t="str">
        <f t="shared" si="2"/>
        <v>53.21847,50.225625</v>
      </c>
      <c r="T3356" s="12"/>
    </row>
    <row r="3357">
      <c r="A3357" s="15" t="s">
        <v>21676</v>
      </c>
      <c r="B3357" s="16" t="s">
        <v>21677</v>
      </c>
      <c r="C3357" s="16" t="s">
        <v>21678</v>
      </c>
      <c r="D3357" s="16" t="s">
        <v>16</v>
      </c>
      <c r="E3357" s="17" t="s">
        <v>21679</v>
      </c>
      <c r="F3357" s="16" t="s">
        <v>10183</v>
      </c>
      <c r="G3357" s="16">
        <v>23.61</v>
      </c>
      <c r="H3357" s="16"/>
      <c r="I3357" s="16"/>
      <c r="J3357" s="16" t="s">
        <v>21680</v>
      </c>
      <c r="K3357" s="16" t="s">
        <v>21681</v>
      </c>
      <c r="L3357" s="16"/>
      <c r="M3357" s="16"/>
      <c r="N3357" s="12"/>
      <c r="O3357" s="12"/>
      <c r="P3357" s="13">
        <f>IFERROR(__xludf.DUMMYFUNCTION("VALUE(SUBSTITUTE((INDEX(SPLIT(A3357,"",""),1)),""."","","",1))"),53.261313)</f>
        <v>53.261313</v>
      </c>
      <c r="Q3357" s="13">
        <f>IFERROR(__xludf.DUMMYFUNCTION("VALUE(SUBSTITUTE((INDEX(SPLIT(A3357,"",""),2)),""."","","",1))"),50.225832)</f>
        <v>50.225832</v>
      </c>
      <c r="R3357" s="14" t="b">
        <f t="shared" si="1"/>
        <v>0</v>
      </c>
      <c r="S3357" s="14" t="str">
        <f t="shared" si="2"/>
        <v>53.261313,50.225832</v>
      </c>
      <c r="T3357" s="12"/>
    </row>
    <row r="3358">
      <c r="A3358" s="18" t="s">
        <v>21682</v>
      </c>
      <c r="B3358" s="8" t="s">
        <v>21683</v>
      </c>
      <c r="C3358" s="8" t="s">
        <v>21684</v>
      </c>
      <c r="D3358" s="8" t="s">
        <v>16</v>
      </c>
      <c r="E3358" s="19" t="s">
        <v>21685</v>
      </c>
      <c r="F3358" s="8" t="s">
        <v>10183</v>
      </c>
      <c r="G3358" s="8">
        <v>23.61</v>
      </c>
      <c r="H3358" s="8"/>
      <c r="I3358" s="8"/>
      <c r="J3358" s="8" t="s">
        <v>21686</v>
      </c>
      <c r="K3358" s="8" t="s">
        <v>21687</v>
      </c>
      <c r="L3358" s="8"/>
      <c r="M3358" s="8"/>
      <c r="N3358" s="12"/>
      <c r="O3358" s="12"/>
      <c r="P3358" s="13">
        <f>IFERROR(__xludf.DUMMYFUNCTION("VALUE(SUBSTITUTE((INDEX(SPLIT(A3358,"",""),1)),""."","","",1))"),53.256686)</f>
        <v>53.256686</v>
      </c>
      <c r="Q3358" s="13">
        <f>IFERROR(__xludf.DUMMYFUNCTION("VALUE(SUBSTITUTE((INDEX(SPLIT(A3358,"",""),2)),""."","","",1))"),50.226703)</f>
        <v>50.226703</v>
      </c>
      <c r="R3358" s="14" t="b">
        <f t="shared" si="1"/>
        <v>0</v>
      </c>
      <c r="S3358" s="14" t="str">
        <f t="shared" si="2"/>
        <v>53.256686,50.226703</v>
      </c>
      <c r="T3358" s="12"/>
    </row>
    <row r="3359">
      <c r="A3359" s="20" t="s">
        <v>21688</v>
      </c>
      <c r="B3359" s="16" t="s">
        <v>21689</v>
      </c>
      <c r="C3359" s="16" t="s">
        <v>21690</v>
      </c>
      <c r="D3359" s="16" t="s">
        <v>16</v>
      </c>
      <c r="E3359" s="21" t="s">
        <v>21691</v>
      </c>
      <c r="F3359" s="22" t="s">
        <v>10183</v>
      </c>
      <c r="G3359" s="16">
        <v>23.61</v>
      </c>
      <c r="H3359" s="16"/>
      <c r="I3359" s="22"/>
      <c r="J3359" s="22" t="s">
        <v>21692</v>
      </c>
      <c r="K3359" s="22" t="s">
        <v>21693</v>
      </c>
      <c r="L3359" s="23" t="s">
        <v>21694</v>
      </c>
      <c r="M3359" s="22"/>
      <c r="N3359" s="12"/>
      <c r="O3359" s="12"/>
      <c r="P3359" s="13">
        <f>IFERROR(__xludf.DUMMYFUNCTION("VALUE(SUBSTITUTE((INDEX(SPLIT(A3359,"",""),1)),""."","","",1))"),53.131833)</f>
        <v>53.131833</v>
      </c>
      <c r="Q3359" s="13">
        <f>IFERROR(__xludf.DUMMYFUNCTION("VALUE(SUBSTITUTE((INDEX(SPLIT(A3359,"",""),2)),""."","","",1))"),50.240753)</f>
        <v>50.240753</v>
      </c>
      <c r="R3359" s="14" t="b">
        <f t="shared" si="1"/>
        <v>0</v>
      </c>
      <c r="S3359" s="14" t="str">
        <f t="shared" si="2"/>
        <v>53.131833,50.240753</v>
      </c>
      <c r="T3359" s="12"/>
    </row>
    <row r="3360">
      <c r="A3360" s="18" t="s">
        <v>21695</v>
      </c>
      <c r="B3360" s="8" t="s">
        <v>6378</v>
      </c>
      <c r="C3360" s="8" t="s">
        <v>6379</v>
      </c>
      <c r="D3360" s="8" t="s">
        <v>16</v>
      </c>
      <c r="E3360" s="19" t="s">
        <v>21696</v>
      </c>
      <c r="F3360" s="8" t="s">
        <v>10183</v>
      </c>
      <c r="G3360" s="8">
        <v>23.61</v>
      </c>
      <c r="H3360" s="8"/>
      <c r="I3360" s="8"/>
      <c r="J3360" s="8" t="s">
        <v>21697</v>
      </c>
      <c r="K3360" s="8" t="s">
        <v>21698</v>
      </c>
      <c r="L3360" s="8"/>
      <c r="M3360" s="24" t="s">
        <v>21699</v>
      </c>
      <c r="N3360" s="12"/>
      <c r="O3360" s="12"/>
      <c r="P3360" s="13">
        <f>IFERROR(__xludf.DUMMYFUNCTION("VALUE(SUBSTITUTE((INDEX(SPLIT(A3360,"",""),1)),""."","","",1))"),53.238173)</f>
        <v>53.238173</v>
      </c>
      <c r="Q3360" s="13">
        <f>IFERROR(__xludf.DUMMYFUNCTION("VALUE(SUBSTITUTE((INDEX(SPLIT(A3360,"",""),2)),""."","","",1))"),50.245523)</f>
        <v>50.245523</v>
      </c>
      <c r="R3360" s="14" t="b">
        <f t="shared" si="1"/>
        <v>0</v>
      </c>
      <c r="S3360" s="14" t="str">
        <f t="shared" si="2"/>
        <v>53.238173,50.245523</v>
      </c>
      <c r="T3360" s="12"/>
    </row>
    <row r="3361">
      <c r="A3361" s="15" t="s">
        <v>21700</v>
      </c>
      <c r="B3361" s="16" t="s">
        <v>21701</v>
      </c>
      <c r="C3361" s="16" t="s">
        <v>21702</v>
      </c>
      <c r="D3361" s="16" t="s">
        <v>16</v>
      </c>
      <c r="E3361" s="17" t="s">
        <v>21703</v>
      </c>
      <c r="F3361" s="16" t="s">
        <v>10183</v>
      </c>
      <c r="G3361" s="16">
        <v>23.61</v>
      </c>
      <c r="H3361" s="16"/>
      <c r="I3361" s="16"/>
      <c r="J3361" s="16" t="s">
        <v>21704</v>
      </c>
      <c r="K3361" s="16" t="s">
        <v>21705</v>
      </c>
      <c r="L3361" s="16"/>
      <c r="M3361" s="16"/>
      <c r="N3361" s="12"/>
      <c r="O3361" s="12"/>
      <c r="P3361" s="13">
        <f>IFERROR(__xludf.DUMMYFUNCTION("VALUE(SUBSTITUTE((INDEX(SPLIT(A3361,"",""),1)),""."","","",1))"),53.235715)</f>
        <v>53.235715</v>
      </c>
      <c r="Q3361" s="13">
        <f>IFERROR(__xludf.DUMMYFUNCTION("VALUE(SUBSTITUTE((INDEX(SPLIT(A3361,"",""),2)),""."","","",1))"),50.250724)</f>
        <v>50.250724</v>
      </c>
      <c r="R3361" s="14" t="b">
        <f t="shared" si="1"/>
        <v>0</v>
      </c>
      <c r="S3361" s="14" t="str">
        <f t="shared" si="2"/>
        <v>53.235715,50.250724</v>
      </c>
      <c r="T3361" s="12"/>
    </row>
    <row r="3362">
      <c r="A3362" s="18" t="s">
        <v>21706</v>
      </c>
      <c r="B3362" s="8" t="s">
        <v>743</v>
      </c>
      <c r="C3362" s="8" t="s">
        <v>744</v>
      </c>
      <c r="D3362" s="8" t="s">
        <v>16</v>
      </c>
      <c r="E3362" s="19" t="s">
        <v>21707</v>
      </c>
      <c r="F3362" s="8" t="s">
        <v>10183</v>
      </c>
      <c r="G3362" s="8">
        <v>23.61</v>
      </c>
      <c r="H3362" s="8"/>
      <c r="I3362" s="8"/>
      <c r="J3362" s="8" t="s">
        <v>21708</v>
      </c>
      <c r="K3362" s="8" t="s">
        <v>21709</v>
      </c>
      <c r="L3362" s="8"/>
      <c r="M3362" s="8"/>
      <c r="N3362" s="12"/>
      <c r="O3362" s="12"/>
      <c r="P3362" s="13">
        <f>IFERROR(__xludf.DUMMYFUNCTION("VALUE(SUBSTITUTE((INDEX(SPLIT(A3362,"",""),1)),""."","","",1))"),53.186453)</f>
        <v>53.186453</v>
      </c>
      <c r="Q3362" s="13">
        <f>IFERROR(__xludf.DUMMYFUNCTION("VALUE(SUBSTITUTE((INDEX(SPLIT(A3362,"",""),2)),""."","","",1))"),50.257488)</f>
        <v>50.257488</v>
      </c>
      <c r="R3362" s="14" t="b">
        <f t="shared" si="1"/>
        <v>0</v>
      </c>
      <c r="S3362" s="14" t="str">
        <f t="shared" si="2"/>
        <v>53.186453,50.257488</v>
      </c>
      <c r="T3362" s="12"/>
    </row>
    <row r="3363">
      <c r="A3363" s="15" t="s">
        <v>21710</v>
      </c>
      <c r="B3363" s="16" t="s">
        <v>21711</v>
      </c>
      <c r="C3363" s="16" t="s">
        <v>21712</v>
      </c>
      <c r="D3363" s="16" t="s">
        <v>16</v>
      </c>
      <c r="E3363" s="17" t="s">
        <v>21713</v>
      </c>
      <c r="F3363" s="16" t="s">
        <v>10183</v>
      </c>
      <c r="G3363" s="16">
        <v>23.61</v>
      </c>
      <c r="H3363" s="16"/>
      <c r="I3363" s="16"/>
      <c r="J3363" s="16" t="s">
        <v>21714</v>
      </c>
      <c r="K3363" s="16" t="s">
        <v>21715</v>
      </c>
      <c r="L3363" s="16"/>
      <c r="M3363" s="16"/>
      <c r="N3363" s="12"/>
      <c r="O3363" s="12"/>
      <c r="P3363" s="13">
        <f>IFERROR(__xludf.DUMMYFUNCTION("VALUE(SUBSTITUTE((INDEX(SPLIT(A3363,"",""),1)),""."","","",1))"),53.185918)</f>
        <v>53.185918</v>
      </c>
      <c r="Q3363" s="13">
        <f>IFERROR(__xludf.DUMMYFUNCTION("VALUE(SUBSTITUTE((INDEX(SPLIT(A3363,"",""),2)),""."","","",1))"),50.258099)</f>
        <v>50.258099</v>
      </c>
      <c r="R3363" s="14" t="b">
        <f t="shared" si="1"/>
        <v>0</v>
      </c>
      <c r="S3363" s="14" t="str">
        <f t="shared" si="2"/>
        <v>53.185918,50.258099</v>
      </c>
      <c r="T3363" s="12"/>
    </row>
    <row r="3364">
      <c r="A3364" s="7" t="s">
        <v>21716</v>
      </c>
      <c r="B3364" s="8" t="s">
        <v>21717</v>
      </c>
      <c r="C3364" s="8" t="s">
        <v>21718</v>
      </c>
      <c r="D3364" s="8" t="s">
        <v>16</v>
      </c>
      <c r="E3364" s="9" t="s">
        <v>21719</v>
      </c>
      <c r="F3364" s="10" t="s">
        <v>21049</v>
      </c>
      <c r="G3364" s="8">
        <v>23.61</v>
      </c>
      <c r="H3364" s="8"/>
      <c r="I3364" s="10"/>
      <c r="J3364" s="10" t="s">
        <v>21720</v>
      </c>
      <c r="K3364" s="10" t="s">
        <v>21721</v>
      </c>
      <c r="L3364" s="11" t="s">
        <v>21722</v>
      </c>
      <c r="M3364" s="11" t="s">
        <v>21723</v>
      </c>
      <c r="N3364" s="12"/>
      <c r="O3364" s="12"/>
      <c r="P3364" s="13">
        <f>IFERROR(__xludf.DUMMYFUNCTION("VALUE(SUBSTITUTE((INDEX(SPLIT(A3364,"",""),1)),""."","","",1))"),53.19967)</f>
        <v>53.19967</v>
      </c>
      <c r="Q3364" s="13">
        <f>IFERROR(__xludf.DUMMYFUNCTION("VALUE(SUBSTITUTE((INDEX(SPLIT(A3364,"",""),2)),""."","","",1))"),50.261782)</f>
        <v>50.261782</v>
      </c>
      <c r="R3364" s="14" t="b">
        <f t="shared" si="1"/>
        <v>0</v>
      </c>
      <c r="S3364" s="14" t="str">
        <f t="shared" si="2"/>
        <v>53.19967,50.261782</v>
      </c>
      <c r="T3364" s="12"/>
    </row>
    <row r="3365">
      <c r="A3365" s="15" t="s">
        <v>21724</v>
      </c>
      <c r="B3365" s="16" t="s">
        <v>21725</v>
      </c>
      <c r="C3365" s="16" t="s">
        <v>21726</v>
      </c>
      <c r="D3365" s="16" t="s">
        <v>16</v>
      </c>
      <c r="E3365" s="17" t="s">
        <v>21727</v>
      </c>
      <c r="F3365" s="16" t="s">
        <v>10183</v>
      </c>
      <c r="G3365" s="16">
        <v>23.61</v>
      </c>
      <c r="H3365" s="16"/>
      <c r="I3365" s="16"/>
      <c r="J3365" s="16" t="s">
        <v>21728</v>
      </c>
      <c r="K3365" s="16" t="s">
        <v>21729</v>
      </c>
      <c r="L3365" s="16"/>
      <c r="M3365" s="16"/>
      <c r="N3365" s="12"/>
      <c r="O3365" s="12"/>
      <c r="P3365" s="13">
        <f>IFERROR(__xludf.DUMMYFUNCTION("VALUE(SUBSTITUTE((INDEX(SPLIT(A3365,"",""),1)),""."","","",1))"),53.195209)</f>
        <v>53.195209</v>
      </c>
      <c r="Q3365" s="13">
        <f>IFERROR(__xludf.DUMMYFUNCTION("VALUE(SUBSTITUTE((INDEX(SPLIT(A3365,"",""),2)),""."","","",1))"),50.264567)</f>
        <v>50.264567</v>
      </c>
      <c r="R3365" s="14" t="b">
        <f t="shared" si="1"/>
        <v>0</v>
      </c>
      <c r="S3365" s="14" t="str">
        <f t="shared" si="2"/>
        <v>53.195209,50.264567</v>
      </c>
      <c r="T3365" s="12"/>
    </row>
    <row r="3366">
      <c r="A3366" s="18" t="s">
        <v>21730</v>
      </c>
      <c r="B3366" s="8" t="s">
        <v>21731</v>
      </c>
      <c r="C3366" s="8" t="s">
        <v>21732</v>
      </c>
      <c r="D3366" s="8" t="s">
        <v>16</v>
      </c>
      <c r="E3366" s="19" t="s">
        <v>21733</v>
      </c>
      <c r="F3366" s="8" t="s">
        <v>10183</v>
      </c>
      <c r="G3366" s="8">
        <v>23.61</v>
      </c>
      <c r="H3366" s="8"/>
      <c r="I3366" s="8"/>
      <c r="J3366" s="8" t="s">
        <v>21734</v>
      </c>
      <c r="K3366" s="8" t="s">
        <v>21735</v>
      </c>
      <c r="L3366" s="8"/>
      <c r="M3366" s="24" t="s">
        <v>21736</v>
      </c>
      <c r="N3366" s="12"/>
      <c r="O3366" s="12"/>
      <c r="P3366" s="13">
        <f>IFERROR(__xludf.DUMMYFUNCTION("VALUE(SUBSTITUTE((INDEX(SPLIT(A3366,"",""),1)),""."","","",1))"),53.230444)</f>
        <v>53.230444</v>
      </c>
      <c r="Q3366" s="13">
        <f>IFERROR(__xludf.DUMMYFUNCTION("VALUE(SUBSTITUTE((INDEX(SPLIT(A3366,"",""),2)),""."","","",1))"),50.266624)</f>
        <v>50.266624</v>
      </c>
      <c r="R3366" s="14" t="b">
        <f t="shared" si="1"/>
        <v>0</v>
      </c>
      <c r="S3366" s="14" t="str">
        <f t="shared" si="2"/>
        <v>53.230444,50.266624</v>
      </c>
      <c r="T3366" s="12"/>
    </row>
    <row r="3367">
      <c r="A3367" s="20" t="s">
        <v>21737</v>
      </c>
      <c r="B3367" s="16" t="s">
        <v>21738</v>
      </c>
      <c r="C3367" s="16" t="s">
        <v>21739</v>
      </c>
      <c r="D3367" s="16" t="s">
        <v>16</v>
      </c>
      <c r="E3367" s="21" t="s">
        <v>21740</v>
      </c>
      <c r="F3367" s="22" t="s">
        <v>10183</v>
      </c>
      <c r="G3367" s="16">
        <v>23.61</v>
      </c>
      <c r="H3367" s="16"/>
      <c r="I3367" s="22"/>
      <c r="J3367" s="22" t="s">
        <v>21741</v>
      </c>
      <c r="K3367" s="22" t="s">
        <v>21742</v>
      </c>
      <c r="L3367" s="23" t="s">
        <v>21743</v>
      </c>
      <c r="M3367" s="22"/>
      <c r="N3367" s="12"/>
      <c r="O3367" s="12"/>
      <c r="P3367" s="13">
        <f>IFERROR(__xludf.DUMMYFUNCTION("VALUE(SUBSTITUTE((INDEX(SPLIT(A3367,"",""),1)),""."","","",1))"),53.221306)</f>
        <v>53.221306</v>
      </c>
      <c r="Q3367" s="13">
        <f>IFERROR(__xludf.DUMMYFUNCTION("VALUE(SUBSTITUTE((INDEX(SPLIT(A3367,"",""),2)),""."","","",1))"),50.268798)</f>
        <v>50.268798</v>
      </c>
      <c r="R3367" s="14" t="b">
        <f t="shared" si="1"/>
        <v>0</v>
      </c>
      <c r="S3367" s="14" t="str">
        <f t="shared" si="2"/>
        <v>53.221306,50.268798</v>
      </c>
      <c r="T3367" s="12"/>
    </row>
    <row r="3368">
      <c r="A3368" s="18" t="s">
        <v>21744</v>
      </c>
      <c r="B3368" s="8" t="s">
        <v>21745</v>
      </c>
      <c r="C3368" s="8" t="s">
        <v>21746</v>
      </c>
      <c r="D3368" s="8" t="s">
        <v>16</v>
      </c>
      <c r="E3368" s="19" t="s">
        <v>21747</v>
      </c>
      <c r="F3368" s="8" t="s">
        <v>10183</v>
      </c>
      <c r="G3368" s="8">
        <v>23.61</v>
      </c>
      <c r="H3368" s="8"/>
      <c r="I3368" s="8"/>
      <c r="J3368" s="8" t="s">
        <v>21748</v>
      </c>
      <c r="K3368" s="8" t="s">
        <v>21749</v>
      </c>
      <c r="L3368" s="8"/>
      <c r="M3368" s="8"/>
      <c r="N3368" s="12"/>
      <c r="O3368" s="12"/>
      <c r="P3368" s="13">
        <f>IFERROR(__xludf.DUMMYFUNCTION("VALUE(SUBSTITUTE((INDEX(SPLIT(A3368,"",""),1)),""."","","",1))"),53.233575)</f>
        <v>53.233575</v>
      </c>
      <c r="Q3368" s="13">
        <f>IFERROR(__xludf.DUMMYFUNCTION("VALUE(SUBSTITUTE((INDEX(SPLIT(A3368,"",""),2)),""."","","",1))"),50.274889)</f>
        <v>50.274889</v>
      </c>
      <c r="R3368" s="14" t="b">
        <f t="shared" si="1"/>
        <v>0</v>
      </c>
      <c r="S3368" s="14" t="str">
        <f t="shared" si="2"/>
        <v>53.233575,50.274889</v>
      </c>
      <c r="T3368" s="12"/>
    </row>
    <row r="3369">
      <c r="A3369" s="20" t="s">
        <v>21750</v>
      </c>
      <c r="B3369" s="16" t="s">
        <v>21751</v>
      </c>
      <c r="C3369" s="16" t="s">
        <v>21752</v>
      </c>
      <c r="D3369" s="16" t="s">
        <v>16</v>
      </c>
      <c r="E3369" s="21" t="s">
        <v>21753</v>
      </c>
      <c r="F3369" s="22" t="s">
        <v>10183</v>
      </c>
      <c r="G3369" s="16">
        <v>23.61</v>
      </c>
      <c r="H3369" s="16"/>
      <c r="I3369" s="22"/>
      <c r="J3369" s="22" t="s">
        <v>21754</v>
      </c>
      <c r="K3369" s="22" t="s">
        <v>21755</v>
      </c>
      <c r="L3369" s="23" t="s">
        <v>21756</v>
      </c>
      <c r="M3369" s="22"/>
      <c r="N3369" s="12"/>
      <c r="O3369" s="12"/>
      <c r="P3369" s="13">
        <f>IFERROR(__xludf.DUMMYFUNCTION("VALUE(SUBSTITUTE((INDEX(SPLIT(A3369,"",""),1)),""."","","",1))"),55.866404)</f>
        <v>55.866404</v>
      </c>
      <c r="Q3369" s="13">
        <f>IFERROR(__xludf.DUMMYFUNCTION("VALUE(SUBSTITUTE((INDEX(SPLIT(A3369,"",""),2)),""."","","",1))"),50.284626)</f>
        <v>50.284626</v>
      </c>
      <c r="R3369" s="14" t="b">
        <f t="shared" si="1"/>
        <v>0</v>
      </c>
      <c r="S3369" s="14" t="str">
        <f t="shared" si="2"/>
        <v>55.866404,50.284626</v>
      </c>
      <c r="T3369" s="12"/>
    </row>
    <row r="3370">
      <c r="A3370" s="18" t="s">
        <v>21757</v>
      </c>
      <c r="B3370" s="8" t="s">
        <v>18307</v>
      </c>
      <c r="C3370" s="8" t="s">
        <v>18308</v>
      </c>
      <c r="D3370" s="8" t="s">
        <v>16</v>
      </c>
      <c r="E3370" s="19" t="s">
        <v>21758</v>
      </c>
      <c r="F3370" s="8" t="s">
        <v>10183</v>
      </c>
      <c r="G3370" s="8">
        <v>23.61</v>
      </c>
      <c r="H3370" s="8"/>
      <c r="I3370" s="8"/>
      <c r="J3370" s="8" t="s">
        <v>21759</v>
      </c>
      <c r="K3370" s="8" t="s">
        <v>21760</v>
      </c>
      <c r="L3370" s="8"/>
      <c r="M3370" s="8"/>
      <c r="N3370" s="12"/>
      <c r="O3370" s="12"/>
      <c r="P3370" s="13">
        <f>IFERROR(__xludf.DUMMYFUNCTION("VALUE(SUBSTITUTE((INDEX(SPLIT(A3370,"",""),1)),""."","","",1))"),53.204438)</f>
        <v>53.204438</v>
      </c>
      <c r="Q3370" s="13">
        <f>IFERROR(__xludf.DUMMYFUNCTION("VALUE(SUBSTITUTE((INDEX(SPLIT(A3370,"",""),2)),""."","","",1))"),50.286782)</f>
        <v>50.286782</v>
      </c>
      <c r="R3370" s="14" t="b">
        <f t="shared" si="1"/>
        <v>0</v>
      </c>
      <c r="S3370" s="14" t="str">
        <f t="shared" si="2"/>
        <v>53.204438,50.286782</v>
      </c>
      <c r="T3370" s="12"/>
    </row>
    <row r="3371">
      <c r="A3371" s="15" t="s">
        <v>21761</v>
      </c>
      <c r="B3371" s="16" t="s">
        <v>21762</v>
      </c>
      <c r="C3371" s="16" t="s">
        <v>21763</v>
      </c>
      <c r="D3371" s="16" t="s">
        <v>16</v>
      </c>
      <c r="E3371" s="17" t="s">
        <v>21764</v>
      </c>
      <c r="F3371" s="16" t="s">
        <v>10183</v>
      </c>
      <c r="G3371" s="16">
        <v>23.61</v>
      </c>
      <c r="H3371" s="16"/>
      <c r="I3371" s="16"/>
      <c r="J3371" s="16" t="s">
        <v>21765</v>
      </c>
      <c r="K3371" s="16" t="s">
        <v>21760</v>
      </c>
      <c r="L3371" s="16"/>
      <c r="M3371" s="25" t="s">
        <v>21766</v>
      </c>
      <c r="N3371" s="12"/>
      <c r="O3371" s="12"/>
      <c r="P3371" s="13">
        <f>IFERROR(__xludf.DUMMYFUNCTION("VALUE(SUBSTITUTE((INDEX(SPLIT(A3371,"",""),1)),""."","","",1))"),53.298076)</f>
        <v>53.298076</v>
      </c>
      <c r="Q3371" s="13">
        <f>IFERROR(__xludf.DUMMYFUNCTION("VALUE(SUBSTITUTE((INDEX(SPLIT(A3371,"",""),2)),""."","","",1))"),50.287357)</f>
        <v>50.287357</v>
      </c>
      <c r="R3371" s="14" t="b">
        <f t="shared" si="1"/>
        <v>0</v>
      </c>
      <c r="S3371" s="14" t="str">
        <f t="shared" si="2"/>
        <v>53.298076,50.287357</v>
      </c>
      <c r="T3371" s="12"/>
    </row>
    <row r="3372">
      <c r="A3372" s="18" t="s">
        <v>21767</v>
      </c>
      <c r="B3372" s="8" t="s">
        <v>21768</v>
      </c>
      <c r="C3372" s="8" t="s">
        <v>21769</v>
      </c>
      <c r="D3372" s="8" t="s">
        <v>16</v>
      </c>
      <c r="E3372" s="19" t="s">
        <v>21770</v>
      </c>
      <c r="F3372" s="8" t="s">
        <v>10183</v>
      </c>
      <c r="G3372" s="8">
        <v>23.61</v>
      </c>
      <c r="H3372" s="8"/>
      <c r="I3372" s="8"/>
      <c r="J3372" s="8" t="s">
        <v>21771</v>
      </c>
      <c r="K3372" s="8" t="s">
        <v>21772</v>
      </c>
      <c r="L3372" s="8"/>
      <c r="M3372" s="24" t="s">
        <v>21773</v>
      </c>
      <c r="N3372" s="12"/>
      <c r="O3372" s="12"/>
      <c r="P3372" s="13">
        <f>IFERROR(__xludf.DUMMYFUNCTION("VALUE(SUBSTITUTE((INDEX(SPLIT(A3372,"",""),1)),""."","","",1))"),53.250135)</f>
        <v>53.250135</v>
      </c>
      <c r="Q3372" s="13">
        <f>IFERROR(__xludf.DUMMYFUNCTION("VALUE(SUBSTITUTE((INDEX(SPLIT(A3372,"",""),2)),""."","","",1))"),50.295739)</f>
        <v>50.295739</v>
      </c>
      <c r="R3372" s="14" t="b">
        <f t="shared" si="1"/>
        <v>0</v>
      </c>
      <c r="S3372" s="14" t="str">
        <f t="shared" si="2"/>
        <v>53.250135,50.295739</v>
      </c>
      <c r="T3372" s="12"/>
    </row>
    <row r="3373">
      <c r="A3373" s="15" t="s">
        <v>21774</v>
      </c>
      <c r="B3373" s="16" t="s">
        <v>12040</v>
      </c>
      <c r="C3373" s="16" t="s">
        <v>12041</v>
      </c>
      <c r="D3373" s="16" t="s">
        <v>16</v>
      </c>
      <c r="E3373" s="17" t="s">
        <v>21775</v>
      </c>
      <c r="F3373" s="16" t="s">
        <v>10183</v>
      </c>
      <c r="G3373" s="16">
        <v>23.61</v>
      </c>
      <c r="H3373" s="16"/>
      <c r="I3373" s="16"/>
      <c r="J3373" s="16" t="s">
        <v>21776</v>
      </c>
      <c r="K3373" s="16" t="s">
        <v>21777</v>
      </c>
      <c r="L3373" s="16"/>
      <c r="M3373" s="16"/>
      <c r="N3373" s="12"/>
      <c r="O3373" s="12"/>
      <c r="P3373" s="13">
        <f>IFERROR(__xludf.DUMMYFUNCTION("VALUE(SUBSTITUTE((INDEX(SPLIT(A3373,"",""),1)),""."","","",1))"),53.188174)</f>
        <v>53.188174</v>
      </c>
      <c r="Q3373" s="13">
        <f>IFERROR(__xludf.DUMMYFUNCTION("VALUE(SUBSTITUTE((INDEX(SPLIT(A3373,"",""),2)),""."","","",1))"),50.298245)</f>
        <v>50.298245</v>
      </c>
      <c r="R3373" s="14" t="b">
        <f t="shared" si="1"/>
        <v>0</v>
      </c>
      <c r="S3373" s="14" t="str">
        <f t="shared" si="2"/>
        <v>53.188174,50.298245</v>
      </c>
      <c r="T3373" s="12"/>
    </row>
    <row r="3374">
      <c r="A3374" s="7" t="s">
        <v>21778</v>
      </c>
      <c r="B3374" s="8" t="s">
        <v>21779</v>
      </c>
      <c r="C3374" s="8" t="s">
        <v>21780</v>
      </c>
      <c r="D3374" s="8" t="s">
        <v>16</v>
      </c>
      <c r="E3374" s="9" t="s">
        <v>21781</v>
      </c>
      <c r="F3374" s="10" t="s">
        <v>10183</v>
      </c>
      <c r="G3374" s="8">
        <v>23.61</v>
      </c>
      <c r="H3374" s="8"/>
      <c r="I3374" s="10"/>
      <c r="J3374" s="10" t="s">
        <v>21782</v>
      </c>
      <c r="K3374" s="10" t="s">
        <v>21783</v>
      </c>
      <c r="L3374" s="11" t="s">
        <v>21784</v>
      </c>
      <c r="M3374" s="10"/>
      <c r="N3374" s="12"/>
      <c r="O3374" s="12"/>
      <c r="P3374" s="13">
        <f>IFERROR(__xludf.DUMMYFUNCTION("VALUE(SUBSTITUTE((INDEX(SPLIT(A3374,"",""),1)),""."","","",1))"),53.236427)</f>
        <v>53.236427</v>
      </c>
      <c r="Q3374" s="13">
        <f>IFERROR(__xludf.DUMMYFUNCTION("VALUE(SUBSTITUTE((INDEX(SPLIT(A3374,"",""),2)),""."","","",1))"),50.29997)</f>
        <v>50.29997</v>
      </c>
      <c r="R3374" s="14" t="b">
        <f t="shared" si="1"/>
        <v>0</v>
      </c>
      <c r="S3374" s="14" t="str">
        <f t="shared" si="2"/>
        <v>53.236427,50.29997</v>
      </c>
      <c r="T3374" s="12"/>
    </row>
    <row r="3375">
      <c r="A3375" s="15" t="s">
        <v>21785</v>
      </c>
      <c r="B3375" s="16" t="s">
        <v>21786</v>
      </c>
      <c r="C3375" s="16" t="s">
        <v>21787</v>
      </c>
      <c r="D3375" s="16" t="s">
        <v>16</v>
      </c>
      <c r="E3375" s="17" t="s">
        <v>21788</v>
      </c>
      <c r="F3375" s="16" t="s">
        <v>10183</v>
      </c>
      <c r="G3375" s="16">
        <v>23.61</v>
      </c>
      <c r="H3375" s="16"/>
      <c r="I3375" s="16"/>
      <c r="J3375" s="16" t="s">
        <v>21789</v>
      </c>
      <c r="K3375" s="16" t="s">
        <v>21790</v>
      </c>
      <c r="L3375" s="16"/>
      <c r="M3375" s="16"/>
      <c r="N3375" s="12"/>
      <c r="O3375" s="12"/>
      <c r="P3375" s="13">
        <f>IFERROR(__xludf.DUMMYFUNCTION("VALUE(SUBSTITUTE((INDEX(SPLIT(A3375,"",""),1)),""."","","",1))"),53.24347)</f>
        <v>53.24347</v>
      </c>
      <c r="Q3375" s="13">
        <f>IFERROR(__xludf.DUMMYFUNCTION("VALUE(SUBSTITUTE((INDEX(SPLIT(A3375,"",""),2)),""."","","",1))"),50.308009)</f>
        <v>50.308009</v>
      </c>
      <c r="R3375" s="14" t="b">
        <f t="shared" si="1"/>
        <v>0</v>
      </c>
      <c r="S3375" s="14" t="str">
        <f t="shared" si="2"/>
        <v>53.24347,50.308009</v>
      </c>
      <c r="T3375" s="12"/>
    </row>
    <row r="3376">
      <c r="A3376" s="18" t="s">
        <v>21785</v>
      </c>
      <c r="B3376" s="8" t="s">
        <v>21791</v>
      </c>
      <c r="C3376" s="8" t="s">
        <v>21792</v>
      </c>
      <c r="D3376" s="8" t="s">
        <v>16</v>
      </c>
      <c r="E3376" s="19" t="s">
        <v>21793</v>
      </c>
      <c r="F3376" s="8" t="s">
        <v>10183</v>
      </c>
      <c r="G3376" s="8">
        <v>23.61</v>
      </c>
      <c r="H3376" s="8"/>
      <c r="I3376" s="8"/>
      <c r="J3376" s="8" t="s">
        <v>21794</v>
      </c>
      <c r="K3376" s="8" t="s">
        <v>21795</v>
      </c>
      <c r="L3376" s="8"/>
      <c r="M3376" s="8"/>
      <c r="N3376" s="12"/>
      <c r="O3376" s="12"/>
      <c r="P3376" s="13">
        <f>IFERROR(__xludf.DUMMYFUNCTION("VALUE(SUBSTITUTE((INDEX(SPLIT(A3376,"",""),1)),""."","","",1))"),53.24347)</f>
        <v>53.24347</v>
      </c>
      <c r="Q3376" s="13">
        <f>IFERROR(__xludf.DUMMYFUNCTION("VALUE(SUBSTITUTE((INDEX(SPLIT(A3376,"",""),2)),""."","","",1))"),50.308009)</f>
        <v>50.308009</v>
      </c>
      <c r="R3376" s="14" t="b">
        <f t="shared" si="1"/>
        <v>0</v>
      </c>
      <c r="S3376" s="14" t="str">
        <f t="shared" si="2"/>
        <v>53.24347,50.308009</v>
      </c>
      <c r="T3376" s="12"/>
    </row>
    <row r="3377">
      <c r="A3377" s="20" t="s">
        <v>21796</v>
      </c>
      <c r="B3377" s="16" t="s">
        <v>21797</v>
      </c>
      <c r="C3377" s="16" t="s">
        <v>21798</v>
      </c>
      <c r="D3377" s="16" t="s">
        <v>16</v>
      </c>
      <c r="E3377" s="21" t="s">
        <v>21799</v>
      </c>
      <c r="F3377" s="22" t="s">
        <v>10183</v>
      </c>
      <c r="G3377" s="16">
        <v>23.61</v>
      </c>
      <c r="H3377" s="16"/>
      <c r="I3377" s="22"/>
      <c r="J3377" s="22" t="s">
        <v>21800</v>
      </c>
      <c r="K3377" s="22" t="s">
        <v>21801</v>
      </c>
      <c r="L3377" s="23" t="s">
        <v>21802</v>
      </c>
      <c r="M3377" s="22"/>
      <c r="N3377" s="12"/>
      <c r="O3377" s="12"/>
      <c r="P3377" s="13">
        <f>IFERROR(__xludf.DUMMYFUNCTION("VALUE(SUBSTITUTE((INDEX(SPLIT(A3377,"",""),1)),""."","","",1))"),53.315278)</f>
        <v>53.315278</v>
      </c>
      <c r="Q3377" s="13">
        <f>IFERROR(__xludf.DUMMYFUNCTION("VALUE(SUBSTITUTE((INDEX(SPLIT(A3377,"",""),2)),""."","","",1))"),50.308728)</f>
        <v>50.308728</v>
      </c>
      <c r="R3377" s="14" t="b">
        <f t="shared" si="1"/>
        <v>0</v>
      </c>
      <c r="S3377" s="14" t="str">
        <f t="shared" si="2"/>
        <v>53.315278,50.308728</v>
      </c>
      <c r="T3377" s="12"/>
    </row>
    <row r="3378">
      <c r="A3378" s="18" t="s">
        <v>21803</v>
      </c>
      <c r="B3378" s="8" t="s">
        <v>21804</v>
      </c>
      <c r="C3378" s="8" t="s">
        <v>21805</v>
      </c>
      <c r="D3378" s="8" t="s">
        <v>16</v>
      </c>
      <c r="E3378" s="19" t="s">
        <v>21806</v>
      </c>
      <c r="F3378" s="8" t="s">
        <v>10183</v>
      </c>
      <c r="G3378" s="8">
        <v>23.61</v>
      </c>
      <c r="H3378" s="8"/>
      <c r="I3378" s="8"/>
      <c r="J3378" s="8" t="s">
        <v>21807</v>
      </c>
      <c r="K3378" s="8" t="s">
        <v>21808</v>
      </c>
      <c r="L3378" s="8"/>
      <c r="M3378" s="8"/>
      <c r="N3378" s="12"/>
      <c r="O3378" s="12"/>
      <c r="P3378" s="13">
        <f>IFERROR(__xludf.DUMMYFUNCTION("VALUE(SUBSTITUTE((INDEX(SPLIT(A3378,"",""),1)),""."","","",1))"),53.241751)</f>
        <v>53.241751</v>
      </c>
      <c r="Q3378" s="13">
        <f>IFERROR(__xludf.DUMMYFUNCTION("VALUE(SUBSTITUTE((INDEX(SPLIT(A3378,"",""),2)),""."","","",1))"),50.310228)</f>
        <v>50.310228</v>
      </c>
      <c r="R3378" s="14" t="b">
        <f t="shared" si="1"/>
        <v>0</v>
      </c>
      <c r="S3378" s="14" t="str">
        <f t="shared" si="2"/>
        <v>53.241751,50.310228</v>
      </c>
      <c r="T3378" s="12"/>
    </row>
    <row r="3379">
      <c r="A3379" s="15" t="s">
        <v>21809</v>
      </c>
      <c r="B3379" s="16" t="s">
        <v>21810</v>
      </c>
      <c r="C3379" s="16" t="s">
        <v>21811</v>
      </c>
      <c r="D3379" s="16" t="s">
        <v>16</v>
      </c>
      <c r="E3379" s="17" t="s">
        <v>21812</v>
      </c>
      <c r="F3379" s="16" t="s">
        <v>10183</v>
      </c>
      <c r="G3379" s="16">
        <v>23.61</v>
      </c>
      <c r="H3379" s="16"/>
      <c r="I3379" s="16"/>
      <c r="J3379" s="16" t="s">
        <v>21813</v>
      </c>
      <c r="K3379" s="16" t="s">
        <v>21814</v>
      </c>
      <c r="L3379" s="16"/>
      <c r="M3379" s="16"/>
      <c r="N3379" s="12"/>
      <c r="O3379" s="12"/>
      <c r="P3379" s="13">
        <f>IFERROR(__xludf.DUMMYFUNCTION("VALUE(SUBSTITUTE((INDEX(SPLIT(A3379,"",""),1)),""."","","",1))"),53.261728)</f>
        <v>53.261728</v>
      </c>
      <c r="Q3379" s="13">
        <f>IFERROR(__xludf.DUMMYFUNCTION("VALUE(SUBSTITUTE((INDEX(SPLIT(A3379,"",""),2)),""."","","",1))"),50.350491)</f>
        <v>50.350491</v>
      </c>
      <c r="R3379" s="14" t="b">
        <f t="shared" si="1"/>
        <v>0</v>
      </c>
      <c r="S3379" s="14" t="str">
        <f t="shared" si="2"/>
        <v>53.261728,50.350491</v>
      </c>
      <c r="T3379" s="12"/>
    </row>
    <row r="3380">
      <c r="A3380" s="18" t="s">
        <v>21815</v>
      </c>
      <c r="B3380" s="8" t="s">
        <v>21816</v>
      </c>
      <c r="C3380" s="8" t="s">
        <v>21817</v>
      </c>
      <c r="D3380" s="8" t="s">
        <v>16</v>
      </c>
      <c r="E3380" s="19" t="s">
        <v>21818</v>
      </c>
      <c r="F3380" s="8" t="s">
        <v>10183</v>
      </c>
      <c r="G3380" s="8">
        <v>23.61</v>
      </c>
      <c r="H3380" s="8"/>
      <c r="I3380" s="8"/>
      <c r="J3380" s="8" t="s">
        <v>21819</v>
      </c>
      <c r="K3380" s="8" t="s">
        <v>21820</v>
      </c>
      <c r="L3380" s="8"/>
      <c r="M3380" s="8"/>
      <c r="N3380" s="12"/>
      <c r="O3380" s="12"/>
      <c r="P3380" s="13">
        <f>IFERROR(__xludf.DUMMYFUNCTION("VALUE(SUBSTITUTE((INDEX(SPLIT(A3380,"",""),1)),""."","","",1))"),53.371956)</f>
        <v>53.371956</v>
      </c>
      <c r="Q3380" s="13">
        <f>IFERROR(__xludf.DUMMYFUNCTION("VALUE(SUBSTITUTE((INDEX(SPLIT(A3380,"",""),2)),""."","","",1))"),50.356177)</f>
        <v>50.356177</v>
      </c>
      <c r="R3380" s="14" t="b">
        <f t="shared" si="1"/>
        <v>0</v>
      </c>
      <c r="S3380" s="14" t="str">
        <f t="shared" si="2"/>
        <v>53.371956,50.356177</v>
      </c>
      <c r="T3380" s="12"/>
    </row>
    <row r="3381">
      <c r="A3381" s="15" t="s">
        <v>21821</v>
      </c>
      <c r="B3381" s="16" t="s">
        <v>21822</v>
      </c>
      <c r="C3381" s="16" t="s">
        <v>21823</v>
      </c>
      <c r="D3381" s="16" t="s">
        <v>16</v>
      </c>
      <c r="E3381" s="17" t="s">
        <v>21824</v>
      </c>
      <c r="F3381" s="16" t="s">
        <v>10183</v>
      </c>
      <c r="G3381" s="16">
        <v>23.61</v>
      </c>
      <c r="H3381" s="16"/>
      <c r="I3381" s="16"/>
      <c r="J3381" s="16" t="s">
        <v>21825</v>
      </c>
      <c r="K3381" s="16" t="s">
        <v>21582</v>
      </c>
      <c r="L3381" s="16"/>
      <c r="M3381" s="16"/>
      <c r="N3381" s="12"/>
      <c r="O3381" s="12"/>
      <c r="P3381" s="13">
        <f>IFERROR(__xludf.DUMMYFUNCTION("VALUE(SUBSTITUTE((INDEX(SPLIT(A3381,"",""),1)),""."","","",1))"),52.912646)</f>
        <v>52.912646</v>
      </c>
      <c r="Q3381" s="13">
        <f>IFERROR(__xludf.DUMMYFUNCTION("VALUE(SUBSTITUTE((INDEX(SPLIT(A3381,"",""),2)),""."","","",1))"),50.373937)</f>
        <v>50.373937</v>
      </c>
      <c r="R3381" s="14" t="b">
        <f t="shared" si="1"/>
        <v>0</v>
      </c>
      <c r="S3381" s="14" t="str">
        <f t="shared" si="2"/>
        <v>52.912646,50.373937</v>
      </c>
      <c r="T3381" s="12"/>
    </row>
    <row r="3382">
      <c r="A3382" s="18" t="s">
        <v>21826</v>
      </c>
      <c r="B3382" s="8" t="s">
        <v>21827</v>
      </c>
      <c r="C3382" s="8" t="s">
        <v>21828</v>
      </c>
      <c r="D3382" s="8" t="s">
        <v>16</v>
      </c>
      <c r="E3382" s="19" t="s">
        <v>21829</v>
      </c>
      <c r="F3382" s="8" t="s">
        <v>10183</v>
      </c>
      <c r="G3382" s="8">
        <v>23.61</v>
      </c>
      <c r="H3382" s="8"/>
      <c r="I3382" s="8"/>
      <c r="J3382" s="8" t="s">
        <v>21830</v>
      </c>
      <c r="K3382" s="8" t="s">
        <v>21831</v>
      </c>
      <c r="L3382" s="8"/>
      <c r="M3382" s="8"/>
      <c r="N3382" s="12"/>
      <c r="O3382" s="12"/>
      <c r="P3382" s="13">
        <f>IFERROR(__xludf.DUMMYFUNCTION("VALUE(SUBSTITUTE((INDEX(SPLIT(A3382,"",""),1)),""."","","",1))"),56.098928)</f>
        <v>56.098928</v>
      </c>
      <c r="Q3382" s="13">
        <f>IFERROR(__xludf.DUMMYFUNCTION("VALUE(SUBSTITUTE((INDEX(SPLIT(A3382,"",""),2)),""."","","",1))"),50.411046)</f>
        <v>50.411046</v>
      </c>
      <c r="R3382" s="14" t="b">
        <f t="shared" si="1"/>
        <v>0</v>
      </c>
      <c r="S3382" s="14" t="str">
        <f t="shared" si="2"/>
        <v>56.098928,50.411046</v>
      </c>
      <c r="T3382" s="12"/>
    </row>
    <row r="3383">
      <c r="A3383" s="15" t="s">
        <v>21832</v>
      </c>
      <c r="B3383" s="16" t="s">
        <v>21833</v>
      </c>
      <c r="C3383" s="16" t="s">
        <v>21834</v>
      </c>
      <c r="D3383" s="16" t="s">
        <v>16</v>
      </c>
      <c r="E3383" s="17" t="s">
        <v>21835</v>
      </c>
      <c r="F3383" s="16" t="s">
        <v>10183</v>
      </c>
      <c r="G3383" s="16">
        <v>23.61</v>
      </c>
      <c r="H3383" s="16"/>
      <c r="I3383" s="16"/>
      <c r="J3383" s="16" t="s">
        <v>21836</v>
      </c>
      <c r="K3383" s="16" t="s">
        <v>21837</v>
      </c>
      <c r="L3383" s="16"/>
      <c r="M3383" s="16"/>
      <c r="N3383" s="12"/>
      <c r="O3383" s="12"/>
      <c r="P3383" s="13">
        <f>IFERROR(__xludf.DUMMYFUNCTION("VALUE(SUBSTITUTE((INDEX(SPLIT(A3383,"",""),1)),""."","","",1))"),53.497221)</f>
        <v>53.497221</v>
      </c>
      <c r="Q3383" s="13">
        <f>IFERROR(__xludf.DUMMYFUNCTION("VALUE(SUBSTITUTE((INDEX(SPLIT(A3383,"",""),2)),""."","","",1))"),50.417272)</f>
        <v>50.417272</v>
      </c>
      <c r="R3383" s="14" t="b">
        <f t="shared" si="1"/>
        <v>0</v>
      </c>
      <c r="S3383" s="14" t="str">
        <f t="shared" si="2"/>
        <v>53.497221,50.417272</v>
      </c>
      <c r="T3383" s="12"/>
    </row>
    <row r="3384">
      <c r="A3384" s="7" t="s">
        <v>21838</v>
      </c>
      <c r="B3384" s="8" t="s">
        <v>21839</v>
      </c>
      <c r="C3384" s="8" t="s">
        <v>21840</v>
      </c>
      <c r="D3384" s="8" t="s">
        <v>16</v>
      </c>
      <c r="E3384" s="9" t="s">
        <v>21841</v>
      </c>
      <c r="F3384" s="10" t="s">
        <v>10183</v>
      </c>
      <c r="G3384" s="8">
        <v>23.61</v>
      </c>
      <c r="H3384" s="8"/>
      <c r="I3384" s="10"/>
      <c r="J3384" s="10" t="s">
        <v>21842</v>
      </c>
      <c r="K3384" s="10" t="s">
        <v>21607</v>
      </c>
      <c r="L3384" s="11" t="s">
        <v>21843</v>
      </c>
      <c r="M3384" s="10"/>
      <c r="N3384" s="12"/>
      <c r="O3384" s="12"/>
      <c r="P3384" s="13">
        <f>IFERROR(__xludf.DUMMYFUNCTION("VALUE(SUBSTITUTE((INDEX(SPLIT(A3384,"",""),1)),""."","","",1))"),56.008269)</f>
        <v>56.008269</v>
      </c>
      <c r="Q3384" s="13">
        <f>IFERROR(__xludf.DUMMYFUNCTION("VALUE(SUBSTITUTE((INDEX(SPLIT(A3384,"",""),2)),""."","","",1))"),50.443484)</f>
        <v>50.443484</v>
      </c>
      <c r="R3384" s="14" t="b">
        <f t="shared" si="1"/>
        <v>0</v>
      </c>
      <c r="S3384" s="14" t="str">
        <f t="shared" si="2"/>
        <v>56.008269,50.443484</v>
      </c>
      <c r="T3384" s="12"/>
    </row>
    <row r="3385">
      <c r="A3385" s="15" t="s">
        <v>21844</v>
      </c>
      <c r="B3385" s="16" t="s">
        <v>21845</v>
      </c>
      <c r="C3385" s="16" t="s">
        <v>21846</v>
      </c>
      <c r="D3385" s="16" t="s">
        <v>16</v>
      </c>
      <c r="E3385" s="17" t="s">
        <v>21847</v>
      </c>
      <c r="F3385" s="16" t="s">
        <v>10183</v>
      </c>
      <c r="G3385" s="16">
        <v>23.61</v>
      </c>
      <c r="H3385" s="16"/>
      <c r="I3385" s="16"/>
      <c r="J3385" s="16" t="s">
        <v>21848</v>
      </c>
      <c r="K3385" s="16" t="s">
        <v>21849</v>
      </c>
      <c r="L3385" s="16"/>
      <c r="M3385" s="16"/>
      <c r="N3385" s="12"/>
      <c r="O3385" s="12"/>
      <c r="P3385" s="13">
        <f>IFERROR(__xludf.DUMMYFUNCTION("VALUE(SUBSTITUTE((INDEX(SPLIT(A3385,"",""),1)),""."","","",1))"),53.051884)</f>
        <v>53.051884</v>
      </c>
      <c r="Q3385" s="13">
        <f>IFERROR(__xludf.DUMMYFUNCTION("VALUE(SUBSTITUTE((INDEX(SPLIT(A3385,"",""),2)),""."","","",1))"),50.498677)</f>
        <v>50.498677</v>
      </c>
      <c r="R3385" s="14" t="b">
        <f t="shared" si="1"/>
        <v>0</v>
      </c>
      <c r="S3385" s="14" t="str">
        <f t="shared" si="2"/>
        <v>53.051884,50.498677</v>
      </c>
      <c r="T3385" s="12"/>
    </row>
    <row r="3386">
      <c r="A3386" s="18" t="s">
        <v>21850</v>
      </c>
      <c r="B3386" s="8" t="s">
        <v>21851</v>
      </c>
      <c r="C3386" s="8" t="s">
        <v>21852</v>
      </c>
      <c r="D3386" s="8" t="s">
        <v>16</v>
      </c>
      <c r="E3386" s="19" t="s">
        <v>21853</v>
      </c>
      <c r="F3386" s="8" t="s">
        <v>10183</v>
      </c>
      <c r="G3386" s="8">
        <v>23.61</v>
      </c>
      <c r="H3386" s="8"/>
      <c r="I3386" s="8"/>
      <c r="J3386" s="8" t="s">
        <v>21854</v>
      </c>
      <c r="K3386" s="8" t="s">
        <v>21855</v>
      </c>
      <c r="L3386" s="8"/>
      <c r="M3386" s="8"/>
      <c r="N3386" s="12"/>
      <c r="O3386" s="12"/>
      <c r="P3386" s="13">
        <f>IFERROR(__xludf.DUMMYFUNCTION("VALUE(SUBSTITUTE((INDEX(SPLIT(A3386,"",""),1)),""."","","",1))"),53.262525)</f>
        <v>53.262525</v>
      </c>
      <c r="Q3386" s="13">
        <f>IFERROR(__xludf.DUMMYFUNCTION("VALUE(SUBSTITUTE((INDEX(SPLIT(A3386,"",""),2)),""."","","",1))"),50.518305)</f>
        <v>50.518305</v>
      </c>
      <c r="R3386" s="14" t="b">
        <f t="shared" si="1"/>
        <v>0</v>
      </c>
      <c r="S3386" s="14" t="str">
        <f t="shared" si="2"/>
        <v>53.262525,50.518305</v>
      </c>
      <c r="T3386" s="12"/>
    </row>
    <row r="3387">
      <c r="A3387" s="20" t="s">
        <v>21856</v>
      </c>
      <c r="B3387" s="16" t="s">
        <v>21857</v>
      </c>
      <c r="C3387" s="16" t="s">
        <v>21858</v>
      </c>
      <c r="D3387" s="16" t="s">
        <v>16</v>
      </c>
      <c r="E3387" s="21" t="s">
        <v>21859</v>
      </c>
      <c r="F3387" s="22" t="s">
        <v>10183</v>
      </c>
      <c r="G3387" s="16">
        <v>23.61</v>
      </c>
      <c r="H3387" s="16"/>
      <c r="I3387" s="22"/>
      <c r="J3387" s="22" t="s">
        <v>21860</v>
      </c>
      <c r="K3387" s="22" t="s">
        <v>21861</v>
      </c>
      <c r="L3387" s="23" t="s">
        <v>21862</v>
      </c>
      <c r="M3387" s="22"/>
      <c r="N3387" s="12"/>
      <c r="O3387" s="12"/>
      <c r="P3387" s="13">
        <f>IFERROR(__xludf.DUMMYFUNCTION("VALUE(SUBSTITUTE((INDEX(SPLIT(A3387,"",""),1)),""."","","",1))"),53.399067)</f>
        <v>53.399067</v>
      </c>
      <c r="Q3387" s="13">
        <f>IFERROR(__xludf.DUMMYFUNCTION("VALUE(SUBSTITUTE((INDEX(SPLIT(A3387,"",""),2)),""."","","",1))"),50.568063)</f>
        <v>50.568063</v>
      </c>
      <c r="R3387" s="14" t="b">
        <f t="shared" si="1"/>
        <v>0</v>
      </c>
      <c r="S3387" s="14" t="str">
        <f t="shared" si="2"/>
        <v>53.399067,50.568063</v>
      </c>
      <c r="T3387" s="12"/>
    </row>
    <row r="3388">
      <c r="A3388" s="7" t="s">
        <v>21863</v>
      </c>
      <c r="B3388" s="8" t="s">
        <v>21864</v>
      </c>
      <c r="C3388" s="8" t="s">
        <v>21865</v>
      </c>
      <c r="D3388" s="8" t="s">
        <v>16</v>
      </c>
      <c r="E3388" s="9" t="s">
        <v>21866</v>
      </c>
      <c r="F3388" s="10" t="s">
        <v>10183</v>
      </c>
      <c r="G3388" s="8">
        <v>23.61</v>
      </c>
      <c r="H3388" s="8"/>
      <c r="I3388" s="10"/>
      <c r="J3388" s="10" t="s">
        <v>21867</v>
      </c>
      <c r="K3388" s="10" t="s">
        <v>21868</v>
      </c>
      <c r="L3388" s="11" t="s">
        <v>21869</v>
      </c>
      <c r="M3388" s="10"/>
      <c r="N3388" s="12"/>
      <c r="O3388" s="12"/>
      <c r="P3388" s="13">
        <f>IFERROR(__xludf.DUMMYFUNCTION("VALUE(SUBSTITUTE((INDEX(SPLIT(A3388,"",""),1)),""."","","",1))"),53.238501)</f>
        <v>53.238501</v>
      </c>
      <c r="Q3388" s="13">
        <f>IFERROR(__xludf.DUMMYFUNCTION("VALUE(SUBSTITUTE((INDEX(SPLIT(A3388,"",""),2)),""."","","",1))"),50.614622)</f>
        <v>50.614622</v>
      </c>
      <c r="R3388" s="14" t="b">
        <f t="shared" si="1"/>
        <v>0</v>
      </c>
      <c r="S3388" s="14" t="str">
        <f t="shared" si="2"/>
        <v>53.238501,50.614622</v>
      </c>
      <c r="T3388" s="12"/>
    </row>
    <row r="3389">
      <c r="A3389" s="20" t="s">
        <v>21870</v>
      </c>
      <c r="B3389" s="16" t="s">
        <v>21871</v>
      </c>
      <c r="C3389" s="16" t="s">
        <v>21872</v>
      </c>
      <c r="D3389" s="16" t="s">
        <v>16</v>
      </c>
      <c r="E3389" s="21" t="s">
        <v>21873</v>
      </c>
      <c r="F3389" s="22" t="s">
        <v>10183</v>
      </c>
      <c r="G3389" s="16">
        <v>23.61</v>
      </c>
      <c r="H3389" s="16"/>
      <c r="I3389" s="22"/>
      <c r="J3389" s="22" t="s">
        <v>21874</v>
      </c>
      <c r="K3389" s="22" t="s">
        <v>21875</v>
      </c>
      <c r="L3389" s="23" t="s">
        <v>21876</v>
      </c>
      <c r="M3389" s="22"/>
      <c r="N3389" s="12"/>
      <c r="O3389" s="12"/>
      <c r="P3389" s="13">
        <f>IFERROR(__xludf.DUMMYFUNCTION("VALUE(SUBSTITUTE((INDEX(SPLIT(A3389,"",""),1)),""."","","",1))"),53.221047)</f>
        <v>53.221047</v>
      </c>
      <c r="Q3389" s="13">
        <f>IFERROR(__xludf.DUMMYFUNCTION("VALUE(SUBSTITUTE((INDEX(SPLIT(A3389,"",""),2)),""."","","",1))"),50.635733)</f>
        <v>50.635733</v>
      </c>
      <c r="R3389" s="14" t="b">
        <f t="shared" si="1"/>
        <v>0</v>
      </c>
      <c r="S3389" s="14" t="str">
        <f t="shared" si="2"/>
        <v>53.221047,50.635733</v>
      </c>
      <c r="T3389" s="12"/>
    </row>
    <row r="3390">
      <c r="A3390" s="7" t="s">
        <v>21877</v>
      </c>
      <c r="B3390" s="8" t="s">
        <v>21878</v>
      </c>
      <c r="C3390" s="8" t="s">
        <v>21879</v>
      </c>
      <c r="D3390" s="8" t="s">
        <v>16</v>
      </c>
      <c r="E3390" s="9" t="s">
        <v>21880</v>
      </c>
      <c r="F3390" s="10" t="s">
        <v>10183</v>
      </c>
      <c r="G3390" s="8">
        <v>23.61</v>
      </c>
      <c r="H3390" s="8"/>
      <c r="I3390" s="10"/>
      <c r="J3390" s="10" t="s">
        <v>21881</v>
      </c>
      <c r="K3390" s="10" t="s">
        <v>12644</v>
      </c>
      <c r="L3390" s="11" t="s">
        <v>21882</v>
      </c>
      <c r="M3390" s="11" t="s">
        <v>21883</v>
      </c>
      <c r="N3390" s="12"/>
      <c r="O3390" s="12"/>
      <c r="P3390" s="13">
        <f>IFERROR(__xludf.DUMMYFUNCTION("VALUE(SUBSTITUTE((INDEX(SPLIT(A3390,"",""),1)),""."","","",1))"),55.37105)</f>
        <v>55.37105</v>
      </c>
      <c r="Q3390" s="13">
        <f>IFERROR(__xludf.DUMMYFUNCTION("VALUE(SUBSTITUTE((INDEX(SPLIT(A3390,"",""),2)),""."","","",1))"),50.638967)</f>
        <v>50.638967</v>
      </c>
      <c r="R3390" s="14" t="b">
        <f t="shared" si="1"/>
        <v>0</v>
      </c>
      <c r="S3390" s="14" t="str">
        <f t="shared" si="2"/>
        <v>55.37105,50.638967</v>
      </c>
      <c r="T3390" s="12"/>
    </row>
    <row r="3391">
      <c r="A3391" s="20" t="s">
        <v>21884</v>
      </c>
      <c r="B3391" s="16" t="s">
        <v>4047</v>
      </c>
      <c r="C3391" s="16" t="s">
        <v>4048</v>
      </c>
      <c r="D3391" s="16" t="s">
        <v>16</v>
      </c>
      <c r="E3391" s="21" t="s">
        <v>21885</v>
      </c>
      <c r="F3391" s="22" t="s">
        <v>10183</v>
      </c>
      <c r="G3391" s="16">
        <v>23.61</v>
      </c>
      <c r="H3391" s="16"/>
      <c r="I3391" s="22"/>
      <c r="J3391" s="22" t="s">
        <v>21886</v>
      </c>
      <c r="K3391" s="22" t="s">
        <v>21887</v>
      </c>
      <c r="L3391" s="23" t="s">
        <v>21888</v>
      </c>
      <c r="M3391" s="23" t="s">
        <v>21889</v>
      </c>
      <c r="N3391" s="12"/>
      <c r="O3391" s="12"/>
      <c r="P3391" s="13">
        <f>IFERROR(__xludf.DUMMYFUNCTION("VALUE(SUBSTITUTE((INDEX(SPLIT(A3391,"",""),1)),""."","","",1))"),53.216378)</f>
        <v>53.216378</v>
      </c>
      <c r="Q3391" s="13">
        <f>IFERROR(__xludf.DUMMYFUNCTION("VALUE(SUBSTITUTE((INDEX(SPLIT(A3391,"",""),2)),""."","","",1))"),50.640665)</f>
        <v>50.640665</v>
      </c>
      <c r="R3391" s="14" t="b">
        <f t="shared" si="1"/>
        <v>0</v>
      </c>
      <c r="S3391" s="14" t="str">
        <f t="shared" si="2"/>
        <v>53.216378,50.640665</v>
      </c>
      <c r="T3391" s="12"/>
    </row>
    <row r="3392">
      <c r="A3392" s="18" t="s">
        <v>21890</v>
      </c>
      <c r="B3392" s="8" t="s">
        <v>21891</v>
      </c>
      <c r="C3392" s="8" t="s">
        <v>21892</v>
      </c>
      <c r="D3392" s="8" t="s">
        <v>16</v>
      </c>
      <c r="E3392" s="19" t="s">
        <v>21893</v>
      </c>
      <c r="F3392" s="8" t="s">
        <v>21049</v>
      </c>
      <c r="G3392" s="8">
        <v>23.61</v>
      </c>
      <c r="H3392" s="8"/>
      <c r="I3392" s="8"/>
      <c r="J3392" s="8" t="s">
        <v>21894</v>
      </c>
      <c r="K3392" s="8" t="s">
        <v>21895</v>
      </c>
      <c r="L3392" s="8"/>
      <c r="M3392" s="8"/>
      <c r="N3392" s="12"/>
      <c r="O3392" s="12"/>
      <c r="P3392" s="13">
        <f>IFERROR(__xludf.DUMMYFUNCTION("VALUE(SUBSTITUTE((INDEX(SPLIT(A3392,"",""),1)),""."","","",1))"),55.376861)</f>
        <v>55.376861</v>
      </c>
      <c r="Q3392" s="13">
        <f>IFERROR(__xludf.DUMMYFUNCTION("VALUE(SUBSTITUTE((INDEX(SPLIT(A3392,"",""),2)),""."","","",1))"),50.648651)</f>
        <v>50.648651</v>
      </c>
      <c r="R3392" s="14" t="b">
        <f t="shared" si="1"/>
        <v>0</v>
      </c>
      <c r="S3392" s="14" t="str">
        <f t="shared" si="2"/>
        <v>55.376861,50.648651</v>
      </c>
      <c r="T3392" s="12"/>
    </row>
    <row r="3393">
      <c r="A3393" s="20" t="s">
        <v>21896</v>
      </c>
      <c r="B3393" s="16" t="s">
        <v>3493</v>
      </c>
      <c r="C3393" s="16" t="s">
        <v>3494</v>
      </c>
      <c r="D3393" s="16" t="s">
        <v>16</v>
      </c>
      <c r="E3393" s="21" t="s">
        <v>21897</v>
      </c>
      <c r="F3393" s="22" t="s">
        <v>21049</v>
      </c>
      <c r="G3393" s="16">
        <v>23.61</v>
      </c>
      <c r="H3393" s="16"/>
      <c r="I3393" s="22"/>
      <c r="J3393" s="22" t="s">
        <v>21898</v>
      </c>
      <c r="K3393" s="22" t="s">
        <v>21899</v>
      </c>
      <c r="L3393" s="23" t="s">
        <v>21900</v>
      </c>
      <c r="M3393" s="22"/>
      <c r="N3393" s="12"/>
      <c r="O3393" s="12"/>
      <c r="P3393" s="13">
        <f>IFERROR(__xludf.DUMMYFUNCTION("VALUE(SUBSTITUTE((INDEX(SPLIT(A3393,"",""),1)),""."","","",1))"),56.522734)</f>
        <v>56.522734</v>
      </c>
      <c r="Q3393" s="13">
        <f>IFERROR(__xludf.DUMMYFUNCTION("VALUE(SUBSTITUTE((INDEX(SPLIT(A3393,"",""),2)),""."","","",1))"),50.715683)</f>
        <v>50.715683</v>
      </c>
      <c r="R3393" s="14" t="b">
        <f t="shared" si="1"/>
        <v>0</v>
      </c>
      <c r="S3393" s="14" t="str">
        <f t="shared" si="2"/>
        <v>56.522734,50.715683</v>
      </c>
      <c r="T3393" s="12"/>
    </row>
    <row r="3394">
      <c r="A3394" s="18" t="s">
        <v>21901</v>
      </c>
      <c r="B3394" s="8" t="s">
        <v>21902</v>
      </c>
      <c r="C3394" s="8" t="s">
        <v>21903</v>
      </c>
      <c r="D3394" s="8" t="s">
        <v>16</v>
      </c>
      <c r="E3394" s="19" t="s">
        <v>21904</v>
      </c>
      <c r="F3394" s="8" t="s">
        <v>21049</v>
      </c>
      <c r="G3394" s="8">
        <v>23.61</v>
      </c>
      <c r="H3394" s="8"/>
      <c r="I3394" s="8"/>
      <c r="J3394" s="8" t="s">
        <v>21905</v>
      </c>
      <c r="K3394" s="8" t="s">
        <v>21906</v>
      </c>
      <c r="L3394" s="8"/>
      <c r="M3394" s="8"/>
      <c r="N3394" s="12"/>
      <c r="O3394" s="12"/>
      <c r="P3394" s="13">
        <f>IFERROR(__xludf.DUMMYFUNCTION("VALUE(SUBSTITUTE((INDEX(SPLIT(A3394,"",""),1)),""."","","",1))"),61.76945)</f>
        <v>61.76945</v>
      </c>
      <c r="Q3394" s="13">
        <f>IFERROR(__xludf.DUMMYFUNCTION("VALUE(SUBSTITUTE((INDEX(SPLIT(A3394,"",""),2)),""."","","",1))"),50.746935)</f>
        <v>50.746935</v>
      </c>
      <c r="R3394" s="14" t="b">
        <f t="shared" si="1"/>
        <v>0</v>
      </c>
      <c r="S3394" s="14" t="str">
        <f t="shared" si="2"/>
        <v>61.76945,50.746935</v>
      </c>
      <c r="T3394" s="12"/>
    </row>
    <row r="3395">
      <c r="A3395" s="15" t="s">
        <v>21907</v>
      </c>
      <c r="B3395" s="16" t="s">
        <v>21908</v>
      </c>
      <c r="C3395" s="16" t="s">
        <v>21909</v>
      </c>
      <c r="D3395" s="16" t="s">
        <v>16</v>
      </c>
      <c r="E3395" s="17" t="s">
        <v>21910</v>
      </c>
      <c r="F3395" s="16" t="s">
        <v>10183</v>
      </c>
      <c r="G3395" s="16">
        <v>23.61</v>
      </c>
      <c r="H3395" s="16"/>
      <c r="I3395" s="16"/>
      <c r="J3395" s="16" t="s">
        <v>21911</v>
      </c>
      <c r="K3395" s="16" t="s">
        <v>21912</v>
      </c>
      <c r="L3395" s="16"/>
      <c r="M3395" s="25" t="s">
        <v>21913</v>
      </c>
      <c r="N3395" s="12"/>
      <c r="O3395" s="12"/>
      <c r="P3395" s="13">
        <f>IFERROR(__xludf.DUMMYFUNCTION("VALUE(SUBSTITUTE((INDEX(SPLIT(A3395,"",""),1)),""."","","",1))"),61.722538)</f>
        <v>61.722538</v>
      </c>
      <c r="Q3395" s="13">
        <f>IFERROR(__xludf.DUMMYFUNCTION("VALUE(SUBSTITUTE((INDEX(SPLIT(A3395,"",""),2)),""."","","",1))"),50.776122)</f>
        <v>50.776122</v>
      </c>
      <c r="R3395" s="14" t="b">
        <f t="shared" si="1"/>
        <v>0</v>
      </c>
      <c r="S3395" s="14" t="str">
        <f t="shared" si="2"/>
        <v>61.722538,50.776122</v>
      </c>
      <c r="T3395" s="12"/>
    </row>
    <row r="3396">
      <c r="A3396" s="18" t="s">
        <v>21914</v>
      </c>
      <c r="B3396" s="8" t="s">
        <v>21915</v>
      </c>
      <c r="C3396" s="8" t="s">
        <v>21916</v>
      </c>
      <c r="D3396" s="8" t="s">
        <v>16</v>
      </c>
      <c r="E3396" s="19" t="s">
        <v>21917</v>
      </c>
      <c r="F3396" s="8" t="s">
        <v>10183</v>
      </c>
      <c r="G3396" s="8">
        <v>23.61</v>
      </c>
      <c r="H3396" s="8"/>
      <c r="I3396" s="8"/>
      <c r="J3396" s="8" t="s">
        <v>21918</v>
      </c>
      <c r="K3396" s="8" t="s">
        <v>21919</v>
      </c>
      <c r="L3396" s="8"/>
      <c r="M3396" s="8"/>
      <c r="N3396" s="12"/>
      <c r="O3396" s="12"/>
      <c r="P3396" s="13">
        <f>IFERROR(__xludf.DUMMYFUNCTION("VALUE(SUBSTITUTE((INDEX(SPLIT(A3396,"",""),1)),""."","","",1))"),61.660099)</f>
        <v>61.660099</v>
      </c>
      <c r="Q3396" s="13">
        <f>IFERROR(__xludf.DUMMYFUNCTION("VALUE(SUBSTITUTE((INDEX(SPLIT(A3396,"",""),2)),""."","","",1))"),50.801553)</f>
        <v>50.801553</v>
      </c>
      <c r="R3396" s="14" t="b">
        <f t="shared" si="1"/>
        <v>0</v>
      </c>
      <c r="S3396" s="14" t="str">
        <f t="shared" si="2"/>
        <v>61.660099,50.801553</v>
      </c>
      <c r="T3396" s="12"/>
    </row>
    <row r="3397">
      <c r="A3397" s="15" t="s">
        <v>21920</v>
      </c>
      <c r="B3397" s="16" t="s">
        <v>21921</v>
      </c>
      <c r="C3397" s="16" t="s">
        <v>21922</v>
      </c>
      <c r="D3397" s="16" t="s">
        <v>16</v>
      </c>
      <c r="E3397" s="17" t="s">
        <v>21923</v>
      </c>
      <c r="F3397" s="16" t="s">
        <v>21049</v>
      </c>
      <c r="G3397" s="16">
        <v>23.61</v>
      </c>
      <c r="H3397" s="16"/>
      <c r="I3397" s="16"/>
      <c r="J3397" s="16" t="s">
        <v>21924</v>
      </c>
      <c r="K3397" s="16" t="s">
        <v>21925</v>
      </c>
      <c r="L3397" s="16"/>
      <c r="M3397" s="16"/>
      <c r="N3397" s="12"/>
      <c r="O3397" s="12"/>
      <c r="P3397" s="13">
        <f>IFERROR(__xludf.DUMMYFUNCTION("VALUE(SUBSTITUTE((INDEX(SPLIT(A3397,"",""),1)),""."","","",1))"),61.656746)</f>
        <v>61.656746</v>
      </c>
      <c r="Q3397" s="13">
        <f>IFERROR(__xludf.DUMMYFUNCTION("VALUE(SUBSTITUTE((INDEX(SPLIT(A3397,"",""),2)),""."","","",1))"),50.821316)</f>
        <v>50.821316</v>
      </c>
      <c r="R3397" s="14" t="b">
        <f t="shared" si="1"/>
        <v>0</v>
      </c>
      <c r="S3397" s="14" t="str">
        <f t="shared" si="2"/>
        <v>61.656746,50.821316</v>
      </c>
      <c r="T3397" s="12"/>
    </row>
    <row r="3398">
      <c r="A3398" s="18" t="s">
        <v>21926</v>
      </c>
      <c r="B3398" s="8" t="s">
        <v>21927</v>
      </c>
      <c r="C3398" s="8" t="s">
        <v>21928</v>
      </c>
      <c r="D3398" s="8" t="s">
        <v>16</v>
      </c>
      <c r="E3398" s="19" t="s">
        <v>21929</v>
      </c>
      <c r="F3398" s="8" t="s">
        <v>21049</v>
      </c>
      <c r="G3398" s="8">
        <v>23.61</v>
      </c>
      <c r="H3398" s="8"/>
      <c r="I3398" s="8"/>
      <c r="J3398" s="8" t="s">
        <v>21930</v>
      </c>
      <c r="K3398" s="8" t="s">
        <v>21931</v>
      </c>
      <c r="L3398" s="8"/>
      <c r="M3398" s="8"/>
      <c r="N3398" s="12"/>
      <c r="O3398" s="12"/>
      <c r="P3398" s="13">
        <f>IFERROR(__xludf.DUMMYFUNCTION("VALUE(SUBSTITUTE((INDEX(SPLIT(A3398,"",""),1)),""."","","",1))"),61.666564)</f>
        <v>61.666564</v>
      </c>
      <c r="Q3398" s="13">
        <f>IFERROR(__xludf.DUMMYFUNCTION("VALUE(SUBSTITUTE((INDEX(SPLIT(A3398,"",""),2)),""."","","",1))"),50.852703)</f>
        <v>50.852703</v>
      </c>
      <c r="R3398" s="14" t="b">
        <f t="shared" si="1"/>
        <v>0</v>
      </c>
      <c r="S3398" s="14" t="str">
        <f t="shared" si="2"/>
        <v>61.666564,50.852703</v>
      </c>
      <c r="T3398" s="12"/>
    </row>
    <row r="3399">
      <c r="A3399" s="15" t="s">
        <v>21932</v>
      </c>
      <c r="B3399" s="16" t="s">
        <v>21933</v>
      </c>
      <c r="C3399" s="16" t="s">
        <v>21934</v>
      </c>
      <c r="D3399" s="16" t="s">
        <v>16</v>
      </c>
      <c r="E3399" s="17" t="s">
        <v>21935</v>
      </c>
      <c r="F3399" s="16" t="s">
        <v>21049</v>
      </c>
      <c r="G3399" s="16">
        <v>23.61</v>
      </c>
      <c r="H3399" s="16"/>
      <c r="I3399" s="16"/>
      <c r="J3399" s="16" t="s">
        <v>21936</v>
      </c>
      <c r="K3399" s="16" t="s">
        <v>21937</v>
      </c>
      <c r="L3399" s="16"/>
      <c r="M3399" s="16"/>
      <c r="N3399" s="12"/>
      <c r="O3399" s="12"/>
      <c r="P3399" s="13">
        <f>IFERROR(__xludf.DUMMYFUNCTION("VALUE(SUBSTITUTE((INDEX(SPLIT(A3399,"",""),1)),""."","","",1))"),56.18672)</f>
        <v>56.18672</v>
      </c>
      <c r="Q3399" s="13">
        <f>IFERROR(__xludf.DUMMYFUNCTION("VALUE(SUBSTITUTE((INDEX(SPLIT(A3399,"",""),2)),""."","","",1))"),50.89222)</f>
        <v>50.89222</v>
      </c>
      <c r="R3399" s="14" t="b">
        <f t="shared" si="1"/>
        <v>0</v>
      </c>
      <c r="S3399" s="14" t="str">
        <f t="shared" si="2"/>
        <v>56.18672,50.89222</v>
      </c>
      <c r="T3399" s="12"/>
    </row>
    <row r="3400">
      <c r="A3400" s="7" t="s">
        <v>21938</v>
      </c>
      <c r="B3400" s="8" t="s">
        <v>21939</v>
      </c>
      <c r="C3400" s="8" t="s">
        <v>21940</v>
      </c>
      <c r="D3400" s="8" t="s">
        <v>16</v>
      </c>
      <c r="E3400" s="9" t="s">
        <v>21941</v>
      </c>
      <c r="F3400" s="10" t="s">
        <v>10183</v>
      </c>
      <c r="G3400" s="8">
        <v>23.61</v>
      </c>
      <c r="H3400" s="8"/>
      <c r="I3400" s="10"/>
      <c r="J3400" s="10" t="s">
        <v>21942</v>
      </c>
      <c r="K3400" s="10" t="s">
        <v>21943</v>
      </c>
      <c r="L3400" s="11" t="s">
        <v>21944</v>
      </c>
      <c r="M3400" s="11" t="s">
        <v>21945</v>
      </c>
      <c r="N3400" s="12"/>
      <c r="O3400" s="12"/>
      <c r="P3400" s="13">
        <f>IFERROR(__xludf.DUMMYFUNCTION("VALUE(SUBSTITUTE((INDEX(SPLIT(A3400,"",""),1)),""."","","",1))"),56.167473)</f>
        <v>56.167473</v>
      </c>
      <c r="Q3400" s="13">
        <f>IFERROR(__xludf.DUMMYFUNCTION("VALUE(SUBSTITUTE((INDEX(SPLIT(A3400,"",""),2)),""."","","",1))"),50.896604)</f>
        <v>50.896604</v>
      </c>
      <c r="R3400" s="14" t="b">
        <f t="shared" si="1"/>
        <v>0</v>
      </c>
      <c r="S3400" s="14" t="str">
        <f t="shared" si="2"/>
        <v>56.167473,50.896604</v>
      </c>
      <c r="T3400" s="12"/>
    </row>
    <row r="3401">
      <c r="A3401" s="20" t="s">
        <v>21946</v>
      </c>
      <c r="B3401" s="16" t="s">
        <v>21947</v>
      </c>
      <c r="C3401" s="16" t="s">
        <v>21948</v>
      </c>
      <c r="D3401" s="16" t="s">
        <v>16</v>
      </c>
      <c r="E3401" s="21" t="s">
        <v>21949</v>
      </c>
      <c r="F3401" s="22" t="s">
        <v>10183</v>
      </c>
      <c r="G3401" s="16">
        <v>23.61</v>
      </c>
      <c r="H3401" s="16"/>
      <c r="I3401" s="22"/>
      <c r="J3401" s="22" t="s">
        <v>21950</v>
      </c>
      <c r="K3401" s="22" t="s">
        <v>21951</v>
      </c>
      <c r="L3401" s="23" t="s">
        <v>21952</v>
      </c>
      <c r="M3401" s="23" t="s">
        <v>21953</v>
      </c>
      <c r="N3401" s="12"/>
      <c r="O3401" s="12"/>
      <c r="P3401" s="13">
        <f>IFERROR(__xludf.DUMMYFUNCTION("VALUE(SUBSTITUTE((INDEX(SPLIT(A3401,"",""),1)),""."","","",1))"),56.190592)</f>
        <v>56.190592</v>
      </c>
      <c r="Q3401" s="13">
        <f>IFERROR(__xludf.DUMMYFUNCTION("VALUE(SUBSTITUTE((INDEX(SPLIT(A3401,"",""),2)),""."","","",1))"),50.914768)</f>
        <v>50.914768</v>
      </c>
      <c r="R3401" s="14" t="b">
        <f t="shared" si="1"/>
        <v>0</v>
      </c>
      <c r="S3401" s="14" t="str">
        <f t="shared" si="2"/>
        <v>56.190592,50.914768</v>
      </c>
      <c r="T3401" s="12"/>
    </row>
    <row r="3402">
      <c r="A3402" s="7" t="s">
        <v>21954</v>
      </c>
      <c r="B3402" s="8" t="s">
        <v>21955</v>
      </c>
      <c r="C3402" s="8" t="s">
        <v>21956</v>
      </c>
      <c r="D3402" s="8" t="s">
        <v>16</v>
      </c>
      <c r="E3402" s="9" t="s">
        <v>21957</v>
      </c>
      <c r="F3402" s="10" t="s">
        <v>10183</v>
      </c>
      <c r="G3402" s="8">
        <v>23.61</v>
      </c>
      <c r="H3402" s="8"/>
      <c r="I3402" s="10"/>
      <c r="J3402" s="10" t="s">
        <v>21958</v>
      </c>
      <c r="K3402" s="10" t="s">
        <v>21959</v>
      </c>
      <c r="L3402" s="11" t="s">
        <v>21960</v>
      </c>
      <c r="M3402" s="11" t="s">
        <v>21961</v>
      </c>
      <c r="N3402" s="12"/>
      <c r="O3402" s="12"/>
      <c r="P3402" s="13">
        <f>IFERROR(__xludf.DUMMYFUNCTION("VALUE(SUBSTITUTE((INDEX(SPLIT(A3402,"",""),1)),""."","","",1))"),56.217115)</f>
        <v>56.217115</v>
      </c>
      <c r="Q3402" s="13">
        <f>IFERROR(__xludf.DUMMYFUNCTION("VALUE(SUBSTITUTE((INDEX(SPLIT(A3402,"",""),2)),""."","","",1))"),51.033794)</f>
        <v>51.033794</v>
      </c>
      <c r="R3402" s="14" t="b">
        <f t="shared" si="1"/>
        <v>0</v>
      </c>
      <c r="S3402" s="14" t="str">
        <f t="shared" si="2"/>
        <v>56.217115,51.033794</v>
      </c>
      <c r="T3402" s="12"/>
    </row>
    <row r="3403">
      <c r="A3403" s="15" t="s">
        <v>21962</v>
      </c>
      <c r="B3403" s="16" t="s">
        <v>21963</v>
      </c>
      <c r="C3403" s="16" t="s">
        <v>21964</v>
      </c>
      <c r="D3403" s="16" t="s">
        <v>16</v>
      </c>
      <c r="E3403" s="17" t="s">
        <v>21965</v>
      </c>
      <c r="F3403" s="16" t="s">
        <v>10183</v>
      </c>
      <c r="G3403" s="16">
        <v>23.61</v>
      </c>
      <c r="H3403" s="16"/>
      <c r="I3403" s="16"/>
      <c r="J3403" s="16" t="s">
        <v>21966</v>
      </c>
      <c r="K3403" s="16" t="s">
        <v>21951</v>
      </c>
      <c r="L3403" s="16"/>
      <c r="M3403" s="16"/>
      <c r="N3403" s="12"/>
      <c r="O3403" s="12"/>
      <c r="P3403" s="13">
        <f>IFERROR(__xludf.DUMMYFUNCTION("VALUE(SUBSTITUTE((INDEX(SPLIT(A3403,"",""),1)),""."","","",1))"),53.377978)</f>
        <v>53.377978</v>
      </c>
      <c r="Q3403" s="13">
        <f>IFERROR(__xludf.DUMMYFUNCTION("VALUE(SUBSTITUTE((INDEX(SPLIT(A3403,"",""),2)),""."","","",1))"),51.353828)</f>
        <v>51.353828</v>
      </c>
      <c r="R3403" s="14" t="b">
        <f t="shared" si="1"/>
        <v>0</v>
      </c>
      <c r="S3403" s="14" t="str">
        <f t="shared" si="2"/>
        <v>53.377978,51.353828</v>
      </c>
      <c r="T3403" s="12"/>
    </row>
    <row r="3404">
      <c r="A3404" s="18" t="s">
        <v>21967</v>
      </c>
      <c r="B3404" s="8" t="s">
        <v>21968</v>
      </c>
      <c r="C3404" s="8" t="s">
        <v>21969</v>
      </c>
      <c r="D3404" s="8" t="s">
        <v>16</v>
      </c>
      <c r="E3404" s="19" t="s">
        <v>21970</v>
      </c>
      <c r="F3404" s="8" t="s">
        <v>21049</v>
      </c>
      <c r="G3404" s="8">
        <v>23.61</v>
      </c>
      <c r="H3404" s="8"/>
      <c r="I3404" s="8"/>
      <c r="J3404" s="8" t="s">
        <v>21971</v>
      </c>
      <c r="K3404" s="8" t="s">
        <v>21972</v>
      </c>
      <c r="L3404" s="8"/>
      <c r="M3404" s="8"/>
      <c r="N3404" s="12"/>
      <c r="O3404" s="12"/>
      <c r="P3404" s="13">
        <f>IFERROR(__xludf.DUMMYFUNCTION("VALUE(SUBSTITUTE((INDEX(SPLIT(A3404,"",""),1)),""."","","",1))"),55.683889)</f>
        <v>55.683889</v>
      </c>
      <c r="Q3404" s="13">
        <f>IFERROR(__xludf.DUMMYFUNCTION("VALUE(SUBSTITUTE((INDEX(SPLIT(A3404,"",""),2)),""."","","",1))"),51.387856)</f>
        <v>51.387856</v>
      </c>
      <c r="R3404" s="14" t="b">
        <f t="shared" si="1"/>
        <v>0</v>
      </c>
      <c r="S3404" s="14" t="str">
        <f t="shared" si="2"/>
        <v>55.683889,51.387856</v>
      </c>
      <c r="T3404" s="12"/>
    </row>
    <row r="3405">
      <c r="A3405" s="20" t="s">
        <v>21973</v>
      </c>
      <c r="B3405" s="16" t="s">
        <v>21974</v>
      </c>
      <c r="C3405" s="16" t="s">
        <v>21975</v>
      </c>
      <c r="D3405" s="16" t="s">
        <v>16</v>
      </c>
      <c r="E3405" s="21" t="s">
        <v>21976</v>
      </c>
      <c r="F3405" s="22" t="s">
        <v>21049</v>
      </c>
      <c r="G3405" s="16">
        <v>23.61</v>
      </c>
      <c r="H3405" s="16"/>
      <c r="I3405" s="22"/>
      <c r="J3405" s="22" t="s">
        <v>21977</v>
      </c>
      <c r="K3405" s="22" t="s">
        <v>21972</v>
      </c>
      <c r="L3405" s="23" t="s">
        <v>21978</v>
      </c>
      <c r="M3405" s="22"/>
      <c r="N3405" s="12"/>
      <c r="O3405" s="12"/>
      <c r="P3405" s="13">
        <f>IFERROR(__xludf.DUMMYFUNCTION("VALUE(SUBSTITUTE((INDEX(SPLIT(A3405,"",""),1)),""."","","",1))"),55.696844)</f>
        <v>55.696844</v>
      </c>
      <c r="Q3405" s="13">
        <f>IFERROR(__xludf.DUMMYFUNCTION("VALUE(SUBSTITUTE((INDEX(SPLIT(A3405,"",""),2)),""."","","",1))"),51.393228)</f>
        <v>51.393228</v>
      </c>
      <c r="R3405" s="14" t="b">
        <f t="shared" si="1"/>
        <v>0</v>
      </c>
      <c r="S3405" s="14" t="str">
        <f t="shared" si="2"/>
        <v>55.696844,51.393228</v>
      </c>
      <c r="T3405" s="12"/>
    </row>
    <row r="3406">
      <c r="A3406" s="7" t="s">
        <v>21979</v>
      </c>
      <c r="B3406" s="8" t="s">
        <v>21980</v>
      </c>
      <c r="C3406" s="8" t="s">
        <v>21981</v>
      </c>
      <c r="D3406" s="8" t="s">
        <v>16</v>
      </c>
      <c r="E3406" s="9" t="s">
        <v>21982</v>
      </c>
      <c r="F3406" s="10" t="s">
        <v>10183</v>
      </c>
      <c r="G3406" s="8">
        <v>23.61</v>
      </c>
      <c r="H3406" s="8"/>
      <c r="I3406" s="10"/>
      <c r="J3406" s="10" t="s">
        <v>21983</v>
      </c>
      <c r="K3406" s="10" t="s">
        <v>21984</v>
      </c>
      <c r="L3406" s="11" t="s">
        <v>21985</v>
      </c>
      <c r="M3406" s="10"/>
      <c r="N3406" s="12"/>
      <c r="O3406" s="12"/>
      <c r="P3406" s="13">
        <f>IFERROR(__xludf.DUMMYFUNCTION("VALUE(SUBSTITUTE((INDEX(SPLIT(A3406,"",""),1)),""."","","",1))"),55.727328)</f>
        <v>55.727328</v>
      </c>
      <c r="Q3406" s="13">
        <f>IFERROR(__xludf.DUMMYFUNCTION("VALUE(SUBSTITUTE((INDEX(SPLIT(A3406,"",""),2)),""."","","",1))"),51.399777)</f>
        <v>51.399777</v>
      </c>
      <c r="R3406" s="14" t="b">
        <f t="shared" si="1"/>
        <v>0</v>
      </c>
      <c r="S3406" s="14" t="str">
        <f t="shared" si="2"/>
        <v>55.727328,51.399777</v>
      </c>
      <c r="T3406" s="12"/>
    </row>
    <row r="3407">
      <c r="A3407" s="15" t="s">
        <v>21986</v>
      </c>
      <c r="B3407" s="16" t="s">
        <v>21987</v>
      </c>
      <c r="C3407" s="16" t="s">
        <v>21988</v>
      </c>
      <c r="D3407" s="16" t="s">
        <v>16</v>
      </c>
      <c r="E3407" s="17" t="s">
        <v>21989</v>
      </c>
      <c r="F3407" s="16" t="s">
        <v>21049</v>
      </c>
      <c r="G3407" s="16">
        <v>23.61</v>
      </c>
      <c r="H3407" s="16"/>
      <c r="I3407" s="16"/>
      <c r="J3407" s="16" t="s">
        <v>21990</v>
      </c>
      <c r="K3407" s="16" t="s">
        <v>21991</v>
      </c>
      <c r="L3407" s="16"/>
      <c r="M3407" s="16"/>
      <c r="N3407" s="12"/>
      <c r="O3407" s="12"/>
      <c r="P3407" s="13">
        <f>IFERROR(__xludf.DUMMYFUNCTION("VALUE(SUBSTITUTE((INDEX(SPLIT(A3407,"",""),1)),""."","","",1))"),61.843977)</f>
        <v>61.843977</v>
      </c>
      <c r="Q3407" s="13">
        <f>IFERROR(__xludf.DUMMYFUNCTION("VALUE(SUBSTITUTE((INDEX(SPLIT(A3407,"",""),2)),""."","","",1))"),51.684067)</f>
        <v>51.684067</v>
      </c>
      <c r="R3407" s="14" t="b">
        <f t="shared" si="1"/>
        <v>0</v>
      </c>
      <c r="S3407" s="14" t="str">
        <f t="shared" si="2"/>
        <v>61.843977,51.684067</v>
      </c>
      <c r="T3407" s="12"/>
    </row>
    <row r="3408">
      <c r="A3408" s="18" t="s">
        <v>21992</v>
      </c>
      <c r="B3408" s="8" t="s">
        <v>21993</v>
      </c>
      <c r="C3408" s="8" t="s">
        <v>21994</v>
      </c>
      <c r="D3408" s="8" t="s">
        <v>16</v>
      </c>
      <c r="E3408" s="19" t="s">
        <v>21995</v>
      </c>
      <c r="F3408" s="8" t="s">
        <v>21049</v>
      </c>
      <c r="G3408" s="8">
        <v>23.61</v>
      </c>
      <c r="H3408" s="8"/>
      <c r="I3408" s="8"/>
      <c r="J3408" s="8" t="s">
        <v>21996</v>
      </c>
      <c r="K3408" s="8" t="s">
        <v>21997</v>
      </c>
      <c r="L3408" s="8"/>
      <c r="M3408" s="24" t="s">
        <v>21998</v>
      </c>
      <c r="N3408" s="12"/>
      <c r="O3408" s="12"/>
      <c r="P3408" s="13">
        <f>IFERROR(__xludf.DUMMYFUNCTION("VALUE(SUBSTITUTE((INDEX(SPLIT(A3408,"",""),1)),""."","","",1))"),55.597876)</f>
        <v>55.597876</v>
      </c>
      <c r="Q3408" s="13">
        <f>IFERROR(__xludf.DUMMYFUNCTION("VALUE(SUBSTITUTE((INDEX(SPLIT(A3408,"",""),2)),""."","","",1))"),51.777707)</f>
        <v>51.777707</v>
      </c>
      <c r="R3408" s="14" t="b">
        <f t="shared" si="1"/>
        <v>0</v>
      </c>
      <c r="S3408" s="14" t="str">
        <f t="shared" si="2"/>
        <v>55.597876,51.777707</v>
      </c>
      <c r="T3408" s="12"/>
    </row>
    <row r="3409">
      <c r="A3409" s="15" t="s">
        <v>21999</v>
      </c>
      <c r="B3409" s="16" t="s">
        <v>22000</v>
      </c>
      <c r="C3409" s="16" t="s">
        <v>22001</v>
      </c>
      <c r="D3409" s="16" t="s">
        <v>16</v>
      </c>
      <c r="E3409" s="17" t="s">
        <v>22002</v>
      </c>
      <c r="F3409" s="16" t="s">
        <v>21049</v>
      </c>
      <c r="G3409" s="16">
        <v>23.61</v>
      </c>
      <c r="H3409" s="16"/>
      <c r="I3409" s="16"/>
      <c r="J3409" s="16" t="s">
        <v>22003</v>
      </c>
      <c r="K3409" s="16" t="s">
        <v>22004</v>
      </c>
      <c r="L3409" s="16"/>
      <c r="M3409" s="25" t="s">
        <v>22005</v>
      </c>
      <c r="N3409" s="12"/>
      <c r="O3409" s="12"/>
      <c r="P3409" s="13">
        <f>IFERROR(__xludf.DUMMYFUNCTION("VALUE(SUBSTITUTE((INDEX(SPLIT(A3409,"",""),1)),""."","","",1))"),55.633922)</f>
        <v>55.633922</v>
      </c>
      <c r="Q3409" s="13">
        <f>IFERROR(__xludf.DUMMYFUNCTION("VALUE(SUBSTITUTE((INDEX(SPLIT(A3409,"",""),2)),""."","","",1))"),51.807316)</f>
        <v>51.807316</v>
      </c>
      <c r="R3409" s="14" t="b">
        <f t="shared" si="1"/>
        <v>0</v>
      </c>
      <c r="S3409" s="14" t="str">
        <f t="shared" si="2"/>
        <v>55.633922,51.807316</v>
      </c>
      <c r="T3409" s="12"/>
    </row>
    <row r="3410">
      <c r="A3410" s="18" t="s">
        <v>22006</v>
      </c>
      <c r="B3410" s="8" t="s">
        <v>22007</v>
      </c>
      <c r="C3410" s="8" t="s">
        <v>22008</v>
      </c>
      <c r="D3410" s="8" t="s">
        <v>16</v>
      </c>
      <c r="E3410" s="19" t="s">
        <v>22009</v>
      </c>
      <c r="F3410" s="8" t="s">
        <v>21049</v>
      </c>
      <c r="G3410" s="8">
        <v>23.61</v>
      </c>
      <c r="H3410" s="8"/>
      <c r="I3410" s="8"/>
      <c r="J3410" s="8" t="s">
        <v>22010</v>
      </c>
      <c r="K3410" s="8" t="s">
        <v>22011</v>
      </c>
      <c r="L3410" s="8"/>
      <c r="M3410" s="8"/>
      <c r="N3410" s="12"/>
      <c r="O3410" s="12"/>
      <c r="P3410" s="13">
        <f>IFERROR(__xludf.DUMMYFUNCTION("VALUE(SUBSTITUTE((INDEX(SPLIT(A3410,"",""),1)),""."","","",1))"),55.628083)</f>
        <v>55.628083</v>
      </c>
      <c r="Q3410" s="13">
        <f>IFERROR(__xludf.DUMMYFUNCTION("VALUE(SUBSTITUTE((INDEX(SPLIT(A3410,"",""),2)),""."","","",1))"),51.826441)</f>
        <v>51.826441</v>
      </c>
      <c r="R3410" s="14" t="b">
        <f t="shared" si="1"/>
        <v>0</v>
      </c>
      <c r="S3410" s="14" t="str">
        <f t="shared" si="2"/>
        <v>55.628083,51.826441</v>
      </c>
      <c r="T3410" s="12"/>
    </row>
    <row r="3411">
      <c r="A3411" s="15" t="s">
        <v>22012</v>
      </c>
      <c r="B3411" s="16" t="s">
        <v>22013</v>
      </c>
      <c r="C3411" s="16" t="s">
        <v>22014</v>
      </c>
      <c r="D3411" s="16" t="s">
        <v>16</v>
      </c>
      <c r="E3411" s="17" t="s">
        <v>22015</v>
      </c>
      <c r="F3411" s="16" t="s">
        <v>21049</v>
      </c>
      <c r="G3411" s="16">
        <v>23.61</v>
      </c>
      <c r="H3411" s="16"/>
      <c r="I3411" s="16"/>
      <c r="J3411" s="16" t="s">
        <v>22016</v>
      </c>
      <c r="K3411" s="16" t="s">
        <v>22017</v>
      </c>
      <c r="L3411" s="16"/>
      <c r="M3411" s="16"/>
      <c r="N3411" s="12"/>
      <c r="O3411" s="12"/>
      <c r="P3411" s="13">
        <f>IFERROR(__xludf.DUMMYFUNCTION("VALUE(SUBSTITUTE((INDEX(SPLIT(A3411,"",""),1)),""."","","",1))"),55.597958)</f>
        <v>55.597958</v>
      </c>
      <c r="Q3411" s="13">
        <f>IFERROR(__xludf.DUMMYFUNCTION("VALUE(SUBSTITUTE((INDEX(SPLIT(A3411,"",""),2)),""."","","",1))"),51.842952)</f>
        <v>51.842952</v>
      </c>
      <c r="R3411" s="14" t="b">
        <f t="shared" si="1"/>
        <v>0</v>
      </c>
      <c r="S3411" s="14" t="str">
        <f t="shared" si="2"/>
        <v>55.597958,51.842952</v>
      </c>
      <c r="T3411" s="12"/>
    </row>
    <row r="3412">
      <c r="A3412" s="18" t="s">
        <v>22018</v>
      </c>
      <c r="B3412" s="8" t="s">
        <v>22019</v>
      </c>
      <c r="C3412" s="8" t="s">
        <v>22020</v>
      </c>
      <c r="D3412" s="8" t="s">
        <v>16</v>
      </c>
      <c r="E3412" s="19" t="s">
        <v>22021</v>
      </c>
      <c r="F3412" s="8" t="s">
        <v>21049</v>
      </c>
      <c r="G3412" s="8">
        <v>23.61</v>
      </c>
      <c r="H3412" s="8"/>
      <c r="I3412" s="8"/>
      <c r="J3412" s="8" t="s">
        <v>22022</v>
      </c>
      <c r="K3412" s="8" t="s">
        <v>22017</v>
      </c>
      <c r="L3412" s="8"/>
      <c r="M3412" s="24" t="s">
        <v>22023</v>
      </c>
      <c r="N3412" s="12"/>
      <c r="O3412" s="12"/>
      <c r="P3412" s="13">
        <f>IFERROR(__xludf.DUMMYFUNCTION("VALUE(SUBSTITUTE((INDEX(SPLIT(A3412,"",""),1)),""."","","",1))"),55.599087)</f>
        <v>55.599087</v>
      </c>
      <c r="Q3412" s="13">
        <f>IFERROR(__xludf.DUMMYFUNCTION("VALUE(SUBSTITUTE((INDEX(SPLIT(A3412,"",""),2)),""."","","",1))"),51.846231)</f>
        <v>51.846231</v>
      </c>
      <c r="R3412" s="14" t="b">
        <f t="shared" si="1"/>
        <v>0</v>
      </c>
      <c r="S3412" s="14" t="str">
        <f t="shared" si="2"/>
        <v>55.599087,51.846231</v>
      </c>
      <c r="T3412" s="12"/>
    </row>
    <row r="3413">
      <c r="A3413" s="15" t="s">
        <v>22024</v>
      </c>
      <c r="B3413" s="16" t="s">
        <v>22025</v>
      </c>
      <c r="C3413" s="16" t="s">
        <v>22026</v>
      </c>
      <c r="D3413" s="16" t="s">
        <v>16</v>
      </c>
      <c r="E3413" s="17" t="s">
        <v>22027</v>
      </c>
      <c r="F3413" s="16" t="s">
        <v>21049</v>
      </c>
      <c r="G3413" s="16">
        <v>23.61</v>
      </c>
      <c r="H3413" s="16"/>
      <c r="I3413" s="16"/>
      <c r="J3413" s="16" t="s">
        <v>22028</v>
      </c>
      <c r="K3413" s="16" t="s">
        <v>22029</v>
      </c>
      <c r="L3413" s="16"/>
      <c r="M3413" s="25" t="s">
        <v>22030</v>
      </c>
      <c r="N3413" s="12"/>
      <c r="O3413" s="12"/>
      <c r="P3413" s="13">
        <f>IFERROR(__xludf.DUMMYFUNCTION("VALUE(SUBSTITUTE((INDEX(SPLIT(A3413,"",""),1)),""."","","",1))"),54.060398)</f>
        <v>54.060398</v>
      </c>
      <c r="Q3413" s="13">
        <f>IFERROR(__xludf.DUMMYFUNCTION("VALUE(SUBSTITUTE((INDEX(SPLIT(A3413,"",""),2)),""."","","",1))"),51.861421)</f>
        <v>51.861421</v>
      </c>
      <c r="R3413" s="14" t="b">
        <f t="shared" si="1"/>
        <v>0</v>
      </c>
      <c r="S3413" s="14" t="str">
        <f t="shared" si="2"/>
        <v>54.060398,51.861421</v>
      </c>
      <c r="T3413" s="12"/>
    </row>
    <row r="3414">
      <c r="A3414" s="18" t="s">
        <v>22031</v>
      </c>
      <c r="B3414" s="8" t="s">
        <v>22032</v>
      </c>
      <c r="C3414" s="8" t="s">
        <v>22033</v>
      </c>
      <c r="D3414" s="8" t="s">
        <v>16</v>
      </c>
      <c r="E3414" s="19" t="s">
        <v>22034</v>
      </c>
      <c r="F3414" s="8" t="s">
        <v>21049</v>
      </c>
      <c r="G3414" s="8">
        <v>23.61</v>
      </c>
      <c r="H3414" s="8"/>
      <c r="I3414" s="8"/>
      <c r="J3414" s="8" t="s">
        <v>22035</v>
      </c>
      <c r="K3414" s="8" t="s">
        <v>22036</v>
      </c>
      <c r="L3414" s="8"/>
      <c r="M3414" s="8"/>
      <c r="N3414" s="12"/>
      <c r="O3414" s="12"/>
      <c r="P3414" s="13">
        <f>IFERROR(__xludf.DUMMYFUNCTION("VALUE(SUBSTITUTE((INDEX(SPLIT(A3414,"",""),1)),""."","","",1))"),55.761821)</f>
        <v>55.761821</v>
      </c>
      <c r="Q3414" s="13">
        <f>IFERROR(__xludf.DUMMYFUNCTION("VALUE(SUBSTITUTE((INDEX(SPLIT(A3414,"",""),2)),""."","","",1))"),51.994156)</f>
        <v>51.994156</v>
      </c>
      <c r="R3414" s="14" t="b">
        <f t="shared" si="1"/>
        <v>0</v>
      </c>
      <c r="S3414" s="14" t="str">
        <f t="shared" si="2"/>
        <v>55.761821,51.994156</v>
      </c>
      <c r="T3414" s="12"/>
    </row>
    <row r="3415">
      <c r="A3415" s="15" t="s">
        <v>22037</v>
      </c>
      <c r="B3415" s="16" t="s">
        <v>22038</v>
      </c>
      <c r="C3415" s="16" t="s">
        <v>22039</v>
      </c>
      <c r="D3415" s="16" t="s">
        <v>16</v>
      </c>
      <c r="E3415" s="17" t="s">
        <v>22040</v>
      </c>
      <c r="F3415" s="16" t="s">
        <v>21049</v>
      </c>
      <c r="G3415" s="16">
        <v>23.61</v>
      </c>
      <c r="H3415" s="16"/>
      <c r="I3415" s="16"/>
      <c r="J3415" s="16" t="s">
        <v>22041</v>
      </c>
      <c r="K3415" s="16" t="s">
        <v>22042</v>
      </c>
      <c r="L3415" s="16"/>
      <c r="M3415" s="25" t="s">
        <v>22043</v>
      </c>
      <c r="N3415" s="12"/>
      <c r="O3415" s="12"/>
      <c r="P3415" s="13">
        <f>IFERROR(__xludf.DUMMYFUNCTION("VALUE(SUBSTITUTE((INDEX(SPLIT(A3415,"",""),1)),""."","","",1))"),55.328192)</f>
        <v>55.328192</v>
      </c>
      <c r="Q3415" s="13">
        <f>IFERROR(__xludf.DUMMYFUNCTION("VALUE(SUBSTITUTE((INDEX(SPLIT(A3415,"",""),2)),""."","","",1))"),51.996519)</f>
        <v>51.996519</v>
      </c>
      <c r="R3415" s="14" t="b">
        <f t="shared" si="1"/>
        <v>0</v>
      </c>
      <c r="S3415" s="14" t="str">
        <f t="shared" si="2"/>
        <v>55.328192,51.996519</v>
      </c>
      <c r="T3415" s="12"/>
    </row>
    <row r="3416">
      <c r="A3416" s="18" t="s">
        <v>22044</v>
      </c>
      <c r="B3416" s="8" t="s">
        <v>22045</v>
      </c>
      <c r="C3416" s="8" t="s">
        <v>22046</v>
      </c>
      <c r="D3416" s="8" t="s">
        <v>16</v>
      </c>
      <c r="E3416" s="19" t="s">
        <v>22047</v>
      </c>
      <c r="F3416" s="8" t="s">
        <v>21049</v>
      </c>
      <c r="G3416" s="8">
        <v>23.61</v>
      </c>
      <c r="H3416" s="8"/>
      <c r="I3416" s="8"/>
      <c r="J3416" s="8" t="s">
        <v>22048</v>
      </c>
      <c r="K3416" s="8" t="s">
        <v>22004</v>
      </c>
      <c r="L3416" s="8"/>
      <c r="M3416" s="24" t="s">
        <v>22049</v>
      </c>
      <c r="N3416" s="12"/>
      <c r="O3416" s="12"/>
      <c r="P3416" s="13">
        <f>IFERROR(__xludf.DUMMYFUNCTION("VALUE(SUBSTITUTE((INDEX(SPLIT(A3416,"",""),1)),""."","","",1))"),55.278231)</f>
        <v>55.278231</v>
      </c>
      <c r="Q3416" s="13">
        <f>IFERROR(__xludf.DUMMYFUNCTION("VALUE(SUBSTITUTE((INDEX(SPLIT(A3416,"",""),2)),""."","","",1))"),51.999609)</f>
        <v>51.999609</v>
      </c>
      <c r="R3416" s="14" t="b">
        <f t="shared" si="1"/>
        <v>0</v>
      </c>
      <c r="S3416" s="14" t="str">
        <f t="shared" si="2"/>
        <v>55.278231,51.999609</v>
      </c>
      <c r="T3416" s="12"/>
    </row>
    <row r="3417">
      <c r="A3417" s="15" t="s">
        <v>22050</v>
      </c>
      <c r="B3417" s="16" t="s">
        <v>22051</v>
      </c>
      <c r="C3417" s="16" t="s">
        <v>22052</v>
      </c>
      <c r="D3417" s="16" t="s">
        <v>16</v>
      </c>
      <c r="E3417" s="17" t="s">
        <v>22053</v>
      </c>
      <c r="F3417" s="16" t="s">
        <v>21049</v>
      </c>
      <c r="G3417" s="16">
        <v>23.61</v>
      </c>
      <c r="H3417" s="16"/>
      <c r="I3417" s="16"/>
      <c r="J3417" s="16" t="s">
        <v>22054</v>
      </c>
      <c r="K3417" s="16" t="s">
        <v>22055</v>
      </c>
      <c r="L3417" s="16"/>
      <c r="M3417" s="16"/>
      <c r="N3417" s="12"/>
      <c r="O3417" s="12"/>
      <c r="P3417" s="13">
        <f>IFERROR(__xludf.DUMMYFUNCTION("VALUE(SUBSTITUTE((INDEX(SPLIT(A3417,"",""),1)),""."","","",1))"),55.767367)</f>
        <v>55.767367</v>
      </c>
      <c r="Q3417" s="13">
        <f>IFERROR(__xludf.DUMMYFUNCTION("VALUE(SUBSTITUTE((INDEX(SPLIT(A3417,"",""),2)),""."","","",1))"),52.006481)</f>
        <v>52.006481</v>
      </c>
      <c r="R3417" s="14" t="b">
        <f t="shared" si="1"/>
        <v>0</v>
      </c>
      <c r="S3417" s="14" t="str">
        <f t="shared" si="2"/>
        <v>55.767367,52.006481</v>
      </c>
      <c r="T3417" s="12"/>
    </row>
    <row r="3418">
      <c r="A3418" s="18" t="s">
        <v>22056</v>
      </c>
      <c r="B3418" s="8" t="s">
        <v>22057</v>
      </c>
      <c r="C3418" s="8" t="s">
        <v>22058</v>
      </c>
      <c r="D3418" s="8" t="s">
        <v>16</v>
      </c>
      <c r="E3418" s="19" t="s">
        <v>22059</v>
      </c>
      <c r="F3418" s="8" t="s">
        <v>21049</v>
      </c>
      <c r="G3418" s="8">
        <v>23.61</v>
      </c>
      <c r="H3418" s="8"/>
      <c r="I3418" s="8"/>
      <c r="J3418" s="8" t="s">
        <v>22060</v>
      </c>
      <c r="K3418" s="8" t="s">
        <v>22061</v>
      </c>
      <c r="L3418" s="8"/>
      <c r="M3418" s="8"/>
      <c r="N3418" s="12"/>
      <c r="O3418" s="12"/>
      <c r="P3418" s="13">
        <f>IFERROR(__xludf.DUMMYFUNCTION("VALUE(SUBSTITUTE((INDEX(SPLIT(A3418,"",""),1)),""."","","",1))"),55.751477)</f>
        <v>55.751477</v>
      </c>
      <c r="Q3418" s="13">
        <f>IFERROR(__xludf.DUMMYFUNCTION("VALUE(SUBSTITUTE((INDEX(SPLIT(A3418,"",""),2)),""."","","",1))"),52.0079)</f>
        <v>52.0079</v>
      </c>
      <c r="R3418" s="14" t="b">
        <f t="shared" si="1"/>
        <v>0</v>
      </c>
      <c r="S3418" s="14" t="str">
        <f t="shared" si="2"/>
        <v>55.751477,52.0079</v>
      </c>
      <c r="T3418" s="12"/>
    </row>
    <row r="3419">
      <c r="A3419" s="15" t="s">
        <v>22062</v>
      </c>
      <c r="B3419" s="16" t="s">
        <v>22063</v>
      </c>
      <c r="C3419" s="16" t="s">
        <v>22064</v>
      </c>
      <c r="D3419" s="16" t="s">
        <v>16</v>
      </c>
      <c r="E3419" s="17" t="s">
        <v>22065</v>
      </c>
      <c r="F3419" s="16" t="s">
        <v>21049</v>
      </c>
      <c r="G3419" s="16">
        <v>23.61</v>
      </c>
      <c r="H3419" s="16"/>
      <c r="I3419" s="16"/>
      <c r="J3419" s="16" t="s">
        <v>22066</v>
      </c>
      <c r="K3419" s="16" t="s">
        <v>22067</v>
      </c>
      <c r="L3419" s="16"/>
      <c r="M3419" s="16"/>
      <c r="N3419" s="12"/>
      <c r="O3419" s="12"/>
      <c r="P3419" s="13">
        <f>IFERROR(__xludf.DUMMYFUNCTION("VALUE(SUBSTITUTE((INDEX(SPLIT(A3419,"",""),1)),""."","","",1))"),55.76019)</f>
        <v>55.76019</v>
      </c>
      <c r="Q3419" s="13">
        <f>IFERROR(__xludf.DUMMYFUNCTION("VALUE(SUBSTITUTE((INDEX(SPLIT(A3419,"",""),2)),""."","","",1))"),52.013928)</f>
        <v>52.013928</v>
      </c>
      <c r="R3419" s="14" t="b">
        <f t="shared" si="1"/>
        <v>0</v>
      </c>
      <c r="S3419" s="14" t="str">
        <f t="shared" si="2"/>
        <v>55.76019,52.013928</v>
      </c>
      <c r="T3419" s="12"/>
    </row>
    <row r="3420">
      <c r="A3420" s="7" t="s">
        <v>22068</v>
      </c>
      <c r="B3420" s="8" t="s">
        <v>20739</v>
      </c>
      <c r="C3420" s="8" t="s">
        <v>20740</v>
      </c>
      <c r="D3420" s="8" t="s">
        <v>16</v>
      </c>
      <c r="E3420" s="9" t="s">
        <v>22069</v>
      </c>
      <c r="F3420" s="10" t="s">
        <v>21049</v>
      </c>
      <c r="G3420" s="8">
        <v>23.61</v>
      </c>
      <c r="H3420" s="8"/>
      <c r="I3420" s="10"/>
      <c r="J3420" s="10" t="s">
        <v>22070</v>
      </c>
      <c r="K3420" s="10" t="s">
        <v>22071</v>
      </c>
      <c r="L3420" s="11" t="s">
        <v>22072</v>
      </c>
      <c r="M3420" s="10"/>
      <c r="N3420" s="12"/>
      <c r="O3420" s="12"/>
      <c r="P3420" s="13">
        <f>IFERROR(__xludf.DUMMYFUNCTION("VALUE(SUBSTITUTE((INDEX(SPLIT(A3420,"",""),1)),""."","","",1))"),55.754269)</f>
        <v>55.754269</v>
      </c>
      <c r="Q3420" s="13">
        <f>IFERROR(__xludf.DUMMYFUNCTION("VALUE(SUBSTITUTE((INDEX(SPLIT(A3420,"",""),2)),""."","","",1))"),52.013955)</f>
        <v>52.013955</v>
      </c>
      <c r="R3420" s="14" t="b">
        <f t="shared" si="1"/>
        <v>0</v>
      </c>
      <c r="S3420" s="14" t="str">
        <f t="shared" si="2"/>
        <v>55.754269,52.013955</v>
      </c>
      <c r="T3420" s="12"/>
    </row>
    <row r="3421">
      <c r="A3421" s="15" t="s">
        <v>22073</v>
      </c>
      <c r="B3421" s="16" t="s">
        <v>6155</v>
      </c>
      <c r="C3421" s="16" t="s">
        <v>6156</v>
      </c>
      <c r="D3421" s="16" t="s">
        <v>16</v>
      </c>
      <c r="E3421" s="17" t="s">
        <v>22074</v>
      </c>
      <c r="F3421" s="16" t="s">
        <v>21049</v>
      </c>
      <c r="G3421" s="16">
        <v>23.61</v>
      </c>
      <c r="H3421" s="16"/>
      <c r="I3421" s="16"/>
      <c r="J3421" s="16" t="s">
        <v>22075</v>
      </c>
      <c r="K3421" s="16" t="s">
        <v>5911</v>
      </c>
      <c r="L3421" s="16"/>
      <c r="M3421" s="16"/>
      <c r="N3421" s="12"/>
      <c r="O3421" s="12"/>
      <c r="P3421" s="13">
        <f>IFERROR(__xludf.DUMMYFUNCTION("VALUE(SUBSTITUTE((INDEX(SPLIT(A3421,"",""),1)),""."","","",1))"),55.757496)</f>
        <v>55.757496</v>
      </c>
      <c r="Q3421" s="13">
        <f>IFERROR(__xludf.DUMMYFUNCTION("VALUE(SUBSTITUTE((INDEX(SPLIT(A3421,"",""),2)),""."","","",1))"),52.053939)</f>
        <v>52.053939</v>
      </c>
      <c r="R3421" s="14" t="b">
        <f t="shared" si="1"/>
        <v>0</v>
      </c>
      <c r="S3421" s="14" t="str">
        <f t="shared" si="2"/>
        <v>55.757496,52.053939</v>
      </c>
      <c r="T3421" s="12"/>
    </row>
    <row r="3422">
      <c r="A3422" s="7" t="s">
        <v>22076</v>
      </c>
      <c r="B3422" s="8" t="s">
        <v>22077</v>
      </c>
      <c r="C3422" s="8" t="s">
        <v>22078</v>
      </c>
      <c r="D3422" s="8" t="s">
        <v>16</v>
      </c>
      <c r="E3422" s="9" t="s">
        <v>22079</v>
      </c>
      <c r="F3422" s="10" t="s">
        <v>21049</v>
      </c>
      <c r="G3422" s="8">
        <v>23.61</v>
      </c>
      <c r="H3422" s="8"/>
      <c r="I3422" s="10"/>
      <c r="J3422" s="10" t="s">
        <v>22080</v>
      </c>
      <c r="K3422" s="10" t="s">
        <v>22081</v>
      </c>
      <c r="L3422" s="11" t="s">
        <v>22082</v>
      </c>
      <c r="M3422" s="10"/>
      <c r="N3422" s="12"/>
      <c r="O3422" s="12"/>
      <c r="P3422" s="13">
        <f>IFERROR(__xludf.DUMMYFUNCTION("VALUE(SUBSTITUTE((INDEX(SPLIT(A3422,"",""),1)),""."","","",1))"),55.766253)</f>
        <v>55.766253</v>
      </c>
      <c r="Q3422" s="13">
        <f>IFERROR(__xludf.DUMMYFUNCTION("VALUE(SUBSTITUTE((INDEX(SPLIT(A3422,"",""),2)),""."","","",1))"),52.098612)</f>
        <v>52.098612</v>
      </c>
      <c r="R3422" s="14" t="b">
        <f t="shared" si="1"/>
        <v>0</v>
      </c>
      <c r="S3422" s="14" t="str">
        <f t="shared" si="2"/>
        <v>55.766253,52.098612</v>
      </c>
      <c r="T3422" s="12"/>
    </row>
    <row r="3423">
      <c r="A3423" s="15" t="s">
        <v>22083</v>
      </c>
      <c r="B3423" s="16" t="s">
        <v>22084</v>
      </c>
      <c r="C3423" s="16" t="s">
        <v>22085</v>
      </c>
      <c r="D3423" s="16" t="s">
        <v>16</v>
      </c>
      <c r="E3423" s="17" t="s">
        <v>22086</v>
      </c>
      <c r="F3423" s="16" t="s">
        <v>21049</v>
      </c>
      <c r="G3423" s="16">
        <v>23.61</v>
      </c>
      <c r="H3423" s="16"/>
      <c r="I3423" s="16"/>
      <c r="J3423" s="16" t="s">
        <v>22087</v>
      </c>
      <c r="K3423" s="16" t="s">
        <v>22088</v>
      </c>
      <c r="L3423" s="16"/>
      <c r="M3423" s="25" t="s">
        <v>22089</v>
      </c>
      <c r="N3423" s="12"/>
      <c r="O3423" s="12"/>
      <c r="P3423" s="13">
        <f>IFERROR(__xludf.DUMMYFUNCTION("VALUE(SUBSTITUTE((INDEX(SPLIT(A3423,"",""),1)),""."","","",1))"),58.241535)</f>
        <v>58.241535</v>
      </c>
      <c r="Q3423" s="13">
        <f>IFERROR(__xludf.DUMMYFUNCTION("VALUE(SUBSTITUTE((INDEX(SPLIT(A3423,"",""),2)),""."","","",1))"),52.111512)</f>
        <v>52.111512</v>
      </c>
      <c r="R3423" s="14" t="b">
        <f t="shared" si="1"/>
        <v>0</v>
      </c>
      <c r="S3423" s="14" t="str">
        <f t="shared" si="2"/>
        <v>58.241535,52.111512</v>
      </c>
      <c r="T3423" s="12"/>
    </row>
    <row r="3424">
      <c r="A3424" s="18" t="s">
        <v>22090</v>
      </c>
      <c r="B3424" s="8" t="s">
        <v>22091</v>
      </c>
      <c r="C3424" s="8" t="s">
        <v>22092</v>
      </c>
      <c r="D3424" s="8" t="s">
        <v>16</v>
      </c>
      <c r="E3424" s="19" t="s">
        <v>22093</v>
      </c>
      <c r="F3424" s="8" t="s">
        <v>21049</v>
      </c>
      <c r="G3424" s="8">
        <v>23.61</v>
      </c>
      <c r="H3424" s="8"/>
      <c r="I3424" s="8"/>
      <c r="J3424" s="8" t="s">
        <v>22094</v>
      </c>
      <c r="K3424" s="8" t="s">
        <v>22095</v>
      </c>
      <c r="L3424" s="8"/>
      <c r="M3424" s="8"/>
      <c r="N3424" s="12"/>
      <c r="O3424" s="12"/>
      <c r="P3424" s="13">
        <f>IFERROR(__xludf.DUMMYFUNCTION("VALUE(SUBSTITUTE((INDEX(SPLIT(A3424,"",""),1)),""."","","",1))"),55.673727)</f>
        <v>55.673727</v>
      </c>
      <c r="Q3424" s="13">
        <f>IFERROR(__xludf.DUMMYFUNCTION("VALUE(SUBSTITUTE((INDEX(SPLIT(A3424,"",""),2)),""."","","",1))"),52.12116)</f>
        <v>52.12116</v>
      </c>
      <c r="R3424" s="14" t="b">
        <f t="shared" si="1"/>
        <v>0</v>
      </c>
      <c r="S3424" s="14" t="str">
        <f t="shared" si="2"/>
        <v>55.673727,52.12116</v>
      </c>
      <c r="T3424" s="12"/>
    </row>
    <row r="3425">
      <c r="A3425" s="15" t="s">
        <v>22096</v>
      </c>
      <c r="B3425" s="16" t="s">
        <v>22097</v>
      </c>
      <c r="C3425" s="16" t="s">
        <v>22098</v>
      </c>
      <c r="D3425" s="16" t="s">
        <v>16</v>
      </c>
      <c r="E3425" s="17" t="s">
        <v>22099</v>
      </c>
      <c r="F3425" s="16" t="s">
        <v>21049</v>
      </c>
      <c r="G3425" s="16">
        <v>23.61</v>
      </c>
      <c r="H3425" s="16"/>
      <c r="I3425" s="16"/>
      <c r="J3425" s="16" t="s">
        <v>22100</v>
      </c>
      <c r="K3425" s="16" t="s">
        <v>22101</v>
      </c>
      <c r="L3425" s="16"/>
      <c r="M3425" s="16"/>
      <c r="N3425" s="12"/>
      <c r="O3425" s="12"/>
      <c r="P3425" s="13">
        <f>IFERROR(__xludf.DUMMYFUNCTION("VALUE(SUBSTITUTE((INDEX(SPLIT(A3425,"",""),1)),""."","","",1))"),52.808028)</f>
        <v>52.808028</v>
      </c>
      <c r="Q3425" s="13">
        <f>IFERROR(__xludf.DUMMYFUNCTION("VALUE(SUBSTITUTE((INDEX(SPLIT(A3425,"",""),2)),""."","","",1))"),52.203877)</f>
        <v>52.203877</v>
      </c>
      <c r="R3425" s="14" t="b">
        <f t="shared" si="1"/>
        <v>0</v>
      </c>
      <c r="S3425" s="14" t="str">
        <f t="shared" si="2"/>
        <v>52.808028,52.203877</v>
      </c>
      <c r="T3425" s="12"/>
    </row>
    <row r="3426">
      <c r="A3426" s="18" t="s">
        <v>22102</v>
      </c>
      <c r="B3426" s="8" t="s">
        <v>22103</v>
      </c>
      <c r="C3426" s="8" t="s">
        <v>22104</v>
      </c>
      <c r="D3426" s="8" t="s">
        <v>16</v>
      </c>
      <c r="E3426" s="19" t="s">
        <v>22105</v>
      </c>
      <c r="F3426" s="8" t="s">
        <v>21049</v>
      </c>
      <c r="G3426" s="8">
        <v>23.61</v>
      </c>
      <c r="H3426" s="8"/>
      <c r="I3426" s="8"/>
      <c r="J3426" s="8" t="s">
        <v>22106</v>
      </c>
      <c r="K3426" s="8" t="s">
        <v>22107</v>
      </c>
      <c r="L3426" s="8"/>
      <c r="M3426" s="24" t="s">
        <v>22108</v>
      </c>
      <c r="N3426" s="12"/>
      <c r="O3426" s="12"/>
      <c r="P3426" s="13">
        <f>IFERROR(__xludf.DUMMYFUNCTION("VALUE(SUBSTITUTE((INDEX(SPLIT(A3426,"",""),1)),""."","","",1))"),52.783454)</f>
        <v>52.783454</v>
      </c>
      <c r="Q3426" s="13">
        <f>IFERROR(__xludf.DUMMYFUNCTION("VALUE(SUBSTITUTE((INDEX(SPLIT(A3426,"",""),2)),""."","","",1))"),52.226541)</f>
        <v>52.226541</v>
      </c>
      <c r="R3426" s="14" t="b">
        <f t="shared" si="1"/>
        <v>0</v>
      </c>
      <c r="S3426" s="14" t="str">
        <f t="shared" si="2"/>
        <v>52.783454,52.226541</v>
      </c>
      <c r="T3426" s="12"/>
    </row>
    <row r="3427">
      <c r="A3427" s="20" t="s">
        <v>22109</v>
      </c>
      <c r="B3427" s="16" t="s">
        <v>22110</v>
      </c>
      <c r="C3427" s="16" t="s">
        <v>22111</v>
      </c>
      <c r="D3427" s="16" t="s">
        <v>16</v>
      </c>
      <c r="E3427" s="21" t="s">
        <v>22112</v>
      </c>
      <c r="F3427" s="22" t="s">
        <v>19961</v>
      </c>
      <c r="G3427" s="16">
        <v>23.61</v>
      </c>
      <c r="H3427" s="16"/>
      <c r="I3427" s="22"/>
      <c r="J3427" s="22" t="s">
        <v>22113</v>
      </c>
      <c r="K3427" s="22" t="s">
        <v>22114</v>
      </c>
      <c r="L3427" s="23" t="s">
        <v>20744</v>
      </c>
      <c r="M3427" s="23" t="s">
        <v>20737</v>
      </c>
      <c r="N3427" s="12"/>
      <c r="O3427" s="12"/>
      <c r="P3427" s="13">
        <f>IFERROR(__xludf.DUMMYFUNCTION("VALUE(SUBSTITUTE((INDEX(SPLIT(A3427,"",""),1)),""."","","",1))"),56.438069)</f>
        <v>56.438069</v>
      </c>
      <c r="Q3427" s="13">
        <f>IFERROR(__xludf.DUMMYFUNCTION("VALUE(SUBSTITUTE((INDEX(SPLIT(A3427,"",""),2)),""."","","",1))"),52.243277)</f>
        <v>52.243277</v>
      </c>
      <c r="R3427" s="14" t="b">
        <f t="shared" si="1"/>
        <v>0</v>
      </c>
      <c r="S3427" s="14" t="str">
        <f t="shared" si="2"/>
        <v>56.438069,52.243277</v>
      </c>
      <c r="T3427" s="12"/>
    </row>
    <row r="3428">
      <c r="A3428" s="18" t="s">
        <v>22115</v>
      </c>
      <c r="B3428" s="8" t="s">
        <v>22116</v>
      </c>
      <c r="C3428" s="8" t="s">
        <v>22117</v>
      </c>
      <c r="D3428" s="8" t="s">
        <v>16</v>
      </c>
      <c r="E3428" s="19" t="s">
        <v>22118</v>
      </c>
      <c r="F3428" s="8" t="s">
        <v>21049</v>
      </c>
      <c r="G3428" s="8">
        <v>23.61</v>
      </c>
      <c r="H3428" s="8"/>
      <c r="I3428" s="8"/>
      <c r="J3428" s="8" t="s">
        <v>22119</v>
      </c>
      <c r="K3428" s="8" t="s">
        <v>22120</v>
      </c>
      <c r="L3428" s="8"/>
      <c r="M3428" s="24" t="s">
        <v>22121</v>
      </c>
      <c r="N3428" s="12"/>
      <c r="O3428" s="12"/>
      <c r="P3428" s="13">
        <f>IFERROR(__xludf.DUMMYFUNCTION("VALUE(SUBSTITUTE((INDEX(SPLIT(A3428,"",""),1)),""."","","",1))"),52.770489)</f>
        <v>52.770489</v>
      </c>
      <c r="Q3428" s="13">
        <f>IFERROR(__xludf.DUMMYFUNCTION("VALUE(SUBSTITUTE((INDEX(SPLIT(A3428,"",""),2)),""."","","",1))"),52.248577)</f>
        <v>52.248577</v>
      </c>
      <c r="R3428" s="14" t="b">
        <f t="shared" si="1"/>
        <v>0</v>
      </c>
      <c r="S3428" s="14" t="str">
        <f t="shared" si="2"/>
        <v>52.770489,52.248577</v>
      </c>
      <c r="T3428" s="12"/>
    </row>
    <row r="3429">
      <c r="A3429" s="15" t="s">
        <v>22122</v>
      </c>
      <c r="B3429" s="16" t="s">
        <v>22123</v>
      </c>
      <c r="C3429" s="16" t="s">
        <v>22124</v>
      </c>
      <c r="D3429" s="16" t="s">
        <v>16</v>
      </c>
      <c r="E3429" s="17" t="s">
        <v>22125</v>
      </c>
      <c r="F3429" s="16" t="s">
        <v>21049</v>
      </c>
      <c r="G3429" s="16">
        <v>23.61</v>
      </c>
      <c r="H3429" s="16"/>
      <c r="I3429" s="16"/>
      <c r="J3429" s="16" t="s">
        <v>22126</v>
      </c>
      <c r="K3429" s="16" t="s">
        <v>22127</v>
      </c>
      <c r="L3429" s="16"/>
      <c r="M3429" s="16"/>
      <c r="N3429" s="12"/>
      <c r="O3429" s="12"/>
      <c r="P3429" s="13">
        <f>IFERROR(__xludf.DUMMYFUNCTION("VALUE(SUBSTITUTE((INDEX(SPLIT(A3429,"",""),1)),""."","","",1))"),52.772717)</f>
        <v>52.772717</v>
      </c>
      <c r="Q3429" s="13">
        <f>IFERROR(__xludf.DUMMYFUNCTION("VALUE(SUBSTITUTE((INDEX(SPLIT(A3429,"",""),2)),""."","","",1))"),52.249089)</f>
        <v>52.249089</v>
      </c>
      <c r="R3429" s="14" t="b">
        <f t="shared" si="1"/>
        <v>0</v>
      </c>
      <c r="S3429" s="14" t="str">
        <f t="shared" si="2"/>
        <v>52.772717,52.249089</v>
      </c>
      <c r="T3429" s="12"/>
    </row>
    <row r="3430">
      <c r="A3430" s="7" t="s">
        <v>22128</v>
      </c>
      <c r="B3430" s="8" t="s">
        <v>89</v>
      </c>
      <c r="C3430" s="8" t="s">
        <v>90</v>
      </c>
      <c r="D3430" s="8" t="s">
        <v>16</v>
      </c>
      <c r="E3430" s="9" t="s">
        <v>22129</v>
      </c>
      <c r="F3430" s="10" t="s">
        <v>21049</v>
      </c>
      <c r="G3430" s="8">
        <v>23.61</v>
      </c>
      <c r="H3430" s="8"/>
      <c r="I3430" s="10"/>
      <c r="J3430" s="10" t="s">
        <v>22130</v>
      </c>
      <c r="K3430" s="10" t="s">
        <v>22131</v>
      </c>
      <c r="L3430" s="11" t="s">
        <v>22132</v>
      </c>
      <c r="M3430" s="10"/>
      <c r="N3430" s="12"/>
      <c r="O3430" s="12"/>
      <c r="P3430" s="13">
        <f>IFERROR(__xludf.DUMMYFUNCTION("VALUE(SUBSTITUTE((INDEX(SPLIT(A3430,"",""),1)),""."","","",1))"),54.890427)</f>
        <v>54.890427</v>
      </c>
      <c r="Q3430" s="13">
        <f>IFERROR(__xludf.DUMMYFUNCTION("VALUE(SUBSTITUTE((INDEX(SPLIT(A3430,"",""),2)),""."","","",1))"),52.266759)</f>
        <v>52.266759</v>
      </c>
      <c r="R3430" s="14" t="b">
        <f t="shared" si="1"/>
        <v>0</v>
      </c>
      <c r="S3430" s="14" t="str">
        <f t="shared" si="2"/>
        <v>54.890427,52.266759</v>
      </c>
      <c r="T3430" s="12"/>
    </row>
    <row r="3431">
      <c r="A3431" s="20" t="s">
        <v>22133</v>
      </c>
      <c r="B3431" s="16" t="s">
        <v>22134</v>
      </c>
      <c r="C3431" s="16" t="s">
        <v>22135</v>
      </c>
      <c r="D3431" s="16" t="s">
        <v>16</v>
      </c>
      <c r="E3431" s="21" t="s">
        <v>22136</v>
      </c>
      <c r="F3431" s="22" t="s">
        <v>21049</v>
      </c>
      <c r="G3431" s="16">
        <v>23.61</v>
      </c>
      <c r="H3431" s="16"/>
      <c r="I3431" s="22"/>
      <c r="J3431" s="22" t="s">
        <v>22137</v>
      </c>
      <c r="K3431" s="22" t="s">
        <v>22138</v>
      </c>
      <c r="L3431" s="23" t="s">
        <v>22139</v>
      </c>
      <c r="M3431" s="22"/>
      <c r="N3431" s="12"/>
      <c r="O3431" s="12"/>
      <c r="P3431" s="13">
        <f>IFERROR(__xludf.DUMMYFUNCTION("VALUE(SUBSTITUTE((INDEX(SPLIT(A3431,"",""),1)),""."","","",1))"),54.939672)</f>
        <v>54.939672</v>
      </c>
      <c r="Q3431" s="13">
        <f>IFERROR(__xludf.DUMMYFUNCTION("VALUE(SUBSTITUTE((INDEX(SPLIT(A3431,"",""),2)),""."","","",1))"),52.268717)</f>
        <v>52.268717</v>
      </c>
      <c r="R3431" s="14" t="b">
        <f t="shared" si="1"/>
        <v>0</v>
      </c>
      <c r="S3431" s="14" t="str">
        <f t="shared" si="2"/>
        <v>54.939672,52.268717</v>
      </c>
      <c r="T3431" s="12"/>
    </row>
    <row r="3432">
      <c r="A3432" s="18" t="s">
        <v>22140</v>
      </c>
      <c r="B3432" s="8" t="s">
        <v>22141</v>
      </c>
      <c r="C3432" s="8" t="s">
        <v>22142</v>
      </c>
      <c r="D3432" s="8" t="s">
        <v>16</v>
      </c>
      <c r="E3432" s="19" t="s">
        <v>22143</v>
      </c>
      <c r="F3432" s="8" t="s">
        <v>21049</v>
      </c>
      <c r="G3432" s="8">
        <v>23.61</v>
      </c>
      <c r="H3432" s="8"/>
      <c r="I3432" s="8"/>
      <c r="J3432" s="8" t="s">
        <v>22144</v>
      </c>
      <c r="K3432" s="8" t="s">
        <v>22145</v>
      </c>
      <c r="L3432" s="8"/>
      <c r="M3432" s="24" t="s">
        <v>22146</v>
      </c>
      <c r="N3432" s="12"/>
      <c r="O3432" s="12"/>
      <c r="P3432" s="13">
        <f>IFERROR(__xludf.DUMMYFUNCTION("VALUE(SUBSTITUTE((INDEX(SPLIT(A3432,"",""),1)),""."","","",1))"),54.902485)</f>
        <v>54.902485</v>
      </c>
      <c r="Q3432" s="13">
        <f>IFERROR(__xludf.DUMMYFUNCTION("VALUE(SUBSTITUTE((INDEX(SPLIT(A3432,"",""),2)),""."","","",1))"),52.281581)</f>
        <v>52.281581</v>
      </c>
      <c r="R3432" s="14" t="b">
        <f t="shared" si="1"/>
        <v>0</v>
      </c>
      <c r="S3432" s="14" t="str">
        <f t="shared" si="2"/>
        <v>54.902485,52.281581</v>
      </c>
      <c r="T3432" s="12"/>
    </row>
    <row r="3433">
      <c r="A3433" s="15" t="s">
        <v>22147</v>
      </c>
      <c r="B3433" s="16" t="s">
        <v>22148</v>
      </c>
      <c r="C3433" s="16" t="s">
        <v>22149</v>
      </c>
      <c r="D3433" s="16" t="s">
        <v>16</v>
      </c>
      <c r="E3433" s="17" t="s">
        <v>22150</v>
      </c>
      <c r="F3433" s="16" t="s">
        <v>20146</v>
      </c>
      <c r="G3433" s="16">
        <v>23.61</v>
      </c>
      <c r="H3433" s="16"/>
      <c r="I3433" s="16"/>
      <c r="J3433" s="16" t="s">
        <v>22151</v>
      </c>
      <c r="K3433" s="16" t="s">
        <v>22152</v>
      </c>
      <c r="L3433" s="16"/>
      <c r="M3433" s="25" t="s">
        <v>22153</v>
      </c>
      <c r="N3433" s="12"/>
      <c r="O3433" s="12"/>
      <c r="P3433" s="13">
        <f>IFERROR(__xludf.DUMMYFUNCTION("VALUE(SUBSTITUTE((INDEX(SPLIT(A3433,"",""),1)),""."","","",1))"),55.68463)</f>
        <v>55.68463</v>
      </c>
      <c r="Q3433" s="13">
        <f>IFERROR(__xludf.DUMMYFUNCTION("VALUE(SUBSTITUTE((INDEX(SPLIT(A3433,"",""),2)),""."","","",1))"),52.289334)</f>
        <v>52.289334</v>
      </c>
      <c r="R3433" s="14" t="b">
        <f t="shared" si="1"/>
        <v>0</v>
      </c>
      <c r="S3433" s="14" t="str">
        <f t="shared" si="2"/>
        <v>55.68463,52.289334</v>
      </c>
      <c r="T3433" s="12"/>
    </row>
    <row r="3434">
      <c r="A3434" s="18" t="s">
        <v>22154</v>
      </c>
      <c r="B3434" s="8" t="s">
        <v>22155</v>
      </c>
      <c r="C3434" s="8" t="s">
        <v>22156</v>
      </c>
      <c r="D3434" s="8" t="s">
        <v>16</v>
      </c>
      <c r="E3434" s="19" t="s">
        <v>22157</v>
      </c>
      <c r="F3434" s="8" t="s">
        <v>21049</v>
      </c>
      <c r="G3434" s="8">
        <v>23.61</v>
      </c>
      <c r="H3434" s="8"/>
      <c r="I3434" s="8"/>
      <c r="J3434" s="8" t="s">
        <v>22158</v>
      </c>
      <c r="K3434" s="8" t="s">
        <v>22159</v>
      </c>
      <c r="L3434" s="8"/>
      <c r="M3434" s="8"/>
      <c r="N3434" s="12"/>
      <c r="O3434" s="12"/>
      <c r="P3434" s="13">
        <f>IFERROR(__xludf.DUMMYFUNCTION("VALUE(SUBSTITUTE((INDEX(SPLIT(A3434,"",""),1)),""."","","",1))"),55.652959)</f>
        <v>55.652959</v>
      </c>
      <c r="Q3434" s="13">
        <f>IFERROR(__xludf.DUMMYFUNCTION("VALUE(SUBSTITUTE((INDEX(SPLIT(A3434,"",""),2)),""."","","",1))"),52.300706)</f>
        <v>52.300706</v>
      </c>
      <c r="R3434" s="14" t="b">
        <f t="shared" si="1"/>
        <v>0</v>
      </c>
      <c r="S3434" s="14" t="str">
        <f t="shared" si="2"/>
        <v>55.652959,52.300706</v>
      </c>
      <c r="T3434" s="12"/>
    </row>
    <row r="3435">
      <c r="A3435" s="15" t="s">
        <v>22160</v>
      </c>
      <c r="B3435" s="16" t="s">
        <v>22161</v>
      </c>
      <c r="C3435" s="16" t="s">
        <v>22162</v>
      </c>
      <c r="D3435" s="16" t="s">
        <v>16</v>
      </c>
      <c r="E3435" s="17" t="s">
        <v>22163</v>
      </c>
      <c r="F3435" s="16" t="s">
        <v>21049</v>
      </c>
      <c r="G3435" s="16">
        <v>23.61</v>
      </c>
      <c r="H3435" s="16"/>
      <c r="I3435" s="16"/>
      <c r="J3435" s="16" t="s">
        <v>22164</v>
      </c>
      <c r="K3435" s="16" t="s">
        <v>22165</v>
      </c>
      <c r="L3435" s="16"/>
      <c r="M3435" s="16"/>
      <c r="N3435" s="12"/>
      <c r="O3435" s="12"/>
      <c r="P3435" s="13">
        <f>IFERROR(__xludf.DUMMYFUNCTION("VALUE(SUBSTITUTE((INDEX(SPLIT(A3435,"",""),1)),""."","","",1))"),54.890003)</f>
        <v>54.890003</v>
      </c>
      <c r="Q3435" s="13">
        <f>IFERROR(__xludf.DUMMYFUNCTION("VALUE(SUBSTITUTE((INDEX(SPLIT(A3435,"",""),2)),""."","","",1))"),52.301829)</f>
        <v>52.301829</v>
      </c>
      <c r="R3435" s="14" t="b">
        <f t="shared" si="1"/>
        <v>0</v>
      </c>
      <c r="S3435" s="14" t="str">
        <f t="shared" si="2"/>
        <v>54.890003,52.301829</v>
      </c>
      <c r="T3435" s="12"/>
    </row>
    <row r="3436">
      <c r="A3436" s="7" t="s">
        <v>22166</v>
      </c>
      <c r="B3436" s="8" t="s">
        <v>22167</v>
      </c>
      <c r="C3436" s="8" t="s">
        <v>22168</v>
      </c>
      <c r="D3436" s="8" t="s">
        <v>16</v>
      </c>
      <c r="E3436" s="9" t="s">
        <v>22169</v>
      </c>
      <c r="F3436" s="10" t="s">
        <v>8566</v>
      </c>
      <c r="G3436" s="8">
        <v>23.61</v>
      </c>
      <c r="H3436" s="8"/>
      <c r="I3436" s="10"/>
      <c r="J3436" s="10" t="s">
        <v>22170</v>
      </c>
      <c r="K3436" s="10" t="s">
        <v>22171</v>
      </c>
      <c r="L3436" s="11" t="s">
        <v>22172</v>
      </c>
      <c r="M3436" s="11" t="s">
        <v>22173</v>
      </c>
      <c r="N3436" s="12"/>
      <c r="O3436" s="12"/>
      <c r="P3436" s="13">
        <f>IFERROR(__xludf.DUMMYFUNCTION("VALUE(SUBSTITUTE((INDEX(SPLIT(A3436,"",""),1)),""."","","",1))"),55.686645)</f>
        <v>55.686645</v>
      </c>
      <c r="Q3436" s="13">
        <f>IFERROR(__xludf.DUMMYFUNCTION("VALUE(SUBSTITUTE((INDEX(SPLIT(A3436,"",""),2)),""."","","",1))"),52.304551)</f>
        <v>52.304551</v>
      </c>
      <c r="R3436" s="14" t="b">
        <f t="shared" si="1"/>
        <v>0</v>
      </c>
      <c r="S3436" s="14" t="str">
        <f t="shared" si="2"/>
        <v>55.686645,52.304551</v>
      </c>
      <c r="T3436" s="12"/>
    </row>
    <row r="3437">
      <c r="A3437" s="20" t="s">
        <v>22174</v>
      </c>
      <c r="B3437" s="16" t="s">
        <v>5061</v>
      </c>
      <c r="C3437" s="16" t="s">
        <v>5062</v>
      </c>
      <c r="D3437" s="16" t="s">
        <v>16</v>
      </c>
      <c r="E3437" s="21" t="s">
        <v>22175</v>
      </c>
      <c r="F3437" s="22" t="s">
        <v>21049</v>
      </c>
      <c r="G3437" s="16">
        <v>23.61</v>
      </c>
      <c r="H3437" s="16"/>
      <c r="I3437" s="22"/>
      <c r="J3437" s="22" t="s">
        <v>22176</v>
      </c>
      <c r="K3437" s="22" t="s">
        <v>22177</v>
      </c>
      <c r="L3437" s="23" t="s">
        <v>22178</v>
      </c>
      <c r="M3437" s="22"/>
      <c r="N3437" s="12"/>
      <c r="O3437" s="12"/>
      <c r="P3437" s="13">
        <f>IFERROR(__xludf.DUMMYFUNCTION("VALUE(SUBSTITUTE((INDEX(SPLIT(A3437,"",""),1)),""."","","",1))"),55.881657)</f>
        <v>55.881657</v>
      </c>
      <c r="Q3437" s="13">
        <f>IFERROR(__xludf.DUMMYFUNCTION("VALUE(SUBSTITUTE((INDEX(SPLIT(A3437,"",""),2)),""."","","",1))"),52.306123)</f>
        <v>52.306123</v>
      </c>
      <c r="R3437" s="14" t="b">
        <f t="shared" si="1"/>
        <v>0</v>
      </c>
      <c r="S3437" s="14" t="str">
        <f t="shared" si="2"/>
        <v>55.881657,52.306123</v>
      </c>
      <c r="T3437" s="12"/>
    </row>
    <row r="3438">
      <c r="A3438" s="7" t="s">
        <v>22179</v>
      </c>
      <c r="B3438" s="8" t="s">
        <v>22180</v>
      </c>
      <c r="C3438" s="8" t="s">
        <v>22181</v>
      </c>
      <c r="D3438" s="8" t="s">
        <v>16</v>
      </c>
      <c r="E3438" s="9" t="s">
        <v>22182</v>
      </c>
      <c r="F3438" s="10" t="s">
        <v>21049</v>
      </c>
      <c r="G3438" s="8">
        <v>23.61</v>
      </c>
      <c r="H3438" s="8"/>
      <c r="I3438" s="10"/>
      <c r="J3438" s="10" t="s">
        <v>22183</v>
      </c>
      <c r="K3438" s="10" t="s">
        <v>22184</v>
      </c>
      <c r="L3438" s="11" t="s">
        <v>22185</v>
      </c>
      <c r="M3438" s="10"/>
      <c r="N3438" s="12"/>
      <c r="O3438" s="12"/>
      <c r="P3438" s="13">
        <f>IFERROR(__xludf.DUMMYFUNCTION("VALUE(SUBSTITUTE((INDEX(SPLIT(A3438,"",""),1)),""."","","",1))"),55.894768)</f>
        <v>55.894768</v>
      </c>
      <c r="Q3438" s="13">
        <f>IFERROR(__xludf.DUMMYFUNCTION("VALUE(SUBSTITUTE((INDEX(SPLIT(A3438,"",""),2)),""."","","",1))"),52.307767)</f>
        <v>52.307767</v>
      </c>
      <c r="R3438" s="14" t="b">
        <f t="shared" si="1"/>
        <v>0</v>
      </c>
      <c r="S3438" s="14" t="str">
        <f t="shared" si="2"/>
        <v>55.894768,52.307767</v>
      </c>
      <c r="T3438" s="12"/>
    </row>
    <row r="3439">
      <c r="A3439" s="15" t="s">
        <v>22186</v>
      </c>
      <c r="B3439" s="16" t="s">
        <v>89</v>
      </c>
      <c r="C3439" s="16" t="s">
        <v>90</v>
      </c>
      <c r="D3439" s="16" t="s">
        <v>16</v>
      </c>
      <c r="E3439" s="17" t="s">
        <v>22187</v>
      </c>
      <c r="F3439" s="16" t="s">
        <v>20160</v>
      </c>
      <c r="G3439" s="16">
        <v>23.61</v>
      </c>
      <c r="H3439" s="16"/>
      <c r="I3439" s="16"/>
      <c r="J3439" s="16" t="s">
        <v>22188</v>
      </c>
      <c r="K3439" s="16" t="s">
        <v>22189</v>
      </c>
      <c r="L3439" s="16"/>
      <c r="M3439" s="25" t="s">
        <v>22190</v>
      </c>
      <c r="N3439" s="12"/>
      <c r="O3439" s="12"/>
      <c r="P3439" s="13">
        <f>IFERROR(__xludf.DUMMYFUNCTION("VALUE(SUBSTITUTE((INDEX(SPLIT(A3439,"",""),1)),""."","","",1))"),54.910959)</f>
        <v>54.910959</v>
      </c>
      <c r="Q3439" s="13">
        <f>IFERROR(__xludf.DUMMYFUNCTION("VALUE(SUBSTITUTE((INDEX(SPLIT(A3439,"",""),2)),""."","","",1))"),52.308315)</f>
        <v>52.308315</v>
      </c>
      <c r="R3439" s="14" t="b">
        <f t="shared" si="1"/>
        <v>0</v>
      </c>
      <c r="S3439" s="14" t="str">
        <f t="shared" si="2"/>
        <v>54.910959,52.308315</v>
      </c>
      <c r="T3439" s="12"/>
    </row>
    <row r="3440">
      <c r="A3440" s="7" t="s">
        <v>22191</v>
      </c>
      <c r="B3440" s="8" t="s">
        <v>22192</v>
      </c>
      <c r="C3440" s="8" t="s">
        <v>22193</v>
      </c>
      <c r="D3440" s="8" t="s">
        <v>16</v>
      </c>
      <c r="E3440" s="9" t="s">
        <v>22194</v>
      </c>
      <c r="F3440" s="10" t="s">
        <v>20160</v>
      </c>
      <c r="G3440" s="8">
        <v>23.61</v>
      </c>
      <c r="H3440" s="8"/>
      <c r="I3440" s="10"/>
      <c r="J3440" s="10" t="s">
        <v>22195</v>
      </c>
      <c r="K3440" s="10" t="s">
        <v>22196</v>
      </c>
      <c r="L3440" s="11" t="s">
        <v>22197</v>
      </c>
      <c r="M3440" s="10"/>
      <c r="N3440" s="12"/>
      <c r="O3440" s="12"/>
      <c r="P3440" s="13">
        <f>IFERROR(__xludf.DUMMYFUNCTION("VALUE(SUBSTITUTE((INDEX(SPLIT(A3440,"",""),1)),""."","","",1))"),54.900182)</f>
        <v>54.900182</v>
      </c>
      <c r="Q3440" s="13">
        <f>IFERROR(__xludf.DUMMYFUNCTION("VALUE(SUBSTITUTE((INDEX(SPLIT(A3440,"",""),2)),""."","","",1))"),52.3088)</f>
        <v>52.3088</v>
      </c>
      <c r="R3440" s="14" t="b">
        <f t="shared" si="1"/>
        <v>0</v>
      </c>
      <c r="S3440" s="14" t="str">
        <f t="shared" si="2"/>
        <v>54.900182,52.3088</v>
      </c>
      <c r="T3440" s="12"/>
    </row>
    <row r="3441">
      <c r="A3441" s="20" t="s">
        <v>22198</v>
      </c>
      <c r="B3441" s="16" t="s">
        <v>22199</v>
      </c>
      <c r="C3441" s="16" t="s">
        <v>22200</v>
      </c>
      <c r="D3441" s="16" t="s">
        <v>16</v>
      </c>
      <c r="E3441" s="21" t="s">
        <v>22201</v>
      </c>
      <c r="F3441" s="22" t="s">
        <v>10183</v>
      </c>
      <c r="G3441" s="16">
        <v>23.61</v>
      </c>
      <c r="H3441" s="16"/>
      <c r="I3441" s="22"/>
      <c r="J3441" s="22" t="s">
        <v>22202</v>
      </c>
      <c r="K3441" s="22" t="s">
        <v>22203</v>
      </c>
      <c r="L3441" s="23" t="s">
        <v>22204</v>
      </c>
      <c r="M3441" s="22"/>
      <c r="N3441" s="12"/>
      <c r="O3441" s="12"/>
      <c r="P3441" s="13">
        <f>IFERROR(__xludf.DUMMYFUNCTION("VALUE(SUBSTITUTE((INDEX(SPLIT(A3441,"",""),1)),""."","","",1))"),55.689136)</f>
        <v>55.689136</v>
      </c>
      <c r="Q3441" s="13">
        <f>IFERROR(__xludf.DUMMYFUNCTION("VALUE(SUBSTITUTE((INDEX(SPLIT(A3441,"",""),2)),""."","","",1))"),52.313247)</f>
        <v>52.313247</v>
      </c>
      <c r="R3441" s="14" t="b">
        <f t="shared" si="1"/>
        <v>0</v>
      </c>
      <c r="S3441" s="14" t="str">
        <f t="shared" si="2"/>
        <v>55.689136,52.313247</v>
      </c>
      <c r="T3441" s="12"/>
    </row>
    <row r="3442">
      <c r="A3442" s="18" t="s">
        <v>22205</v>
      </c>
      <c r="B3442" s="8" t="s">
        <v>10970</v>
      </c>
      <c r="C3442" s="8" t="s">
        <v>10971</v>
      </c>
      <c r="D3442" s="8" t="s">
        <v>16</v>
      </c>
      <c r="E3442" s="19" t="s">
        <v>22206</v>
      </c>
      <c r="F3442" s="8" t="s">
        <v>21049</v>
      </c>
      <c r="G3442" s="8">
        <v>23.61</v>
      </c>
      <c r="H3442" s="8"/>
      <c r="I3442" s="8"/>
      <c r="J3442" s="8" t="s">
        <v>22207</v>
      </c>
      <c r="K3442" s="8" t="s">
        <v>22208</v>
      </c>
      <c r="L3442" s="8"/>
      <c r="M3442" s="8"/>
      <c r="N3442" s="12"/>
      <c r="O3442" s="12"/>
      <c r="P3442" s="13">
        <f>IFERROR(__xludf.DUMMYFUNCTION("VALUE(SUBSTITUTE((INDEX(SPLIT(A3442,"",""),1)),""."","","",1))"),55.893869)</f>
        <v>55.893869</v>
      </c>
      <c r="Q3442" s="13">
        <f>IFERROR(__xludf.DUMMYFUNCTION("VALUE(SUBSTITUTE((INDEX(SPLIT(A3442,"",""),2)),""."","","",1))"),52.318349)</f>
        <v>52.318349</v>
      </c>
      <c r="R3442" s="14" t="b">
        <f t="shared" si="1"/>
        <v>0</v>
      </c>
      <c r="S3442" s="14" t="str">
        <f t="shared" si="2"/>
        <v>55.893869,52.318349</v>
      </c>
      <c r="T3442" s="12"/>
    </row>
    <row r="3443">
      <c r="A3443" s="15" t="s">
        <v>22209</v>
      </c>
      <c r="B3443" s="16" t="s">
        <v>22210</v>
      </c>
      <c r="C3443" s="16" t="s">
        <v>22211</v>
      </c>
      <c r="D3443" s="16" t="s">
        <v>16</v>
      </c>
      <c r="E3443" s="17" t="s">
        <v>22212</v>
      </c>
      <c r="F3443" s="16" t="s">
        <v>20160</v>
      </c>
      <c r="G3443" s="16">
        <v>23.61</v>
      </c>
      <c r="H3443" s="16"/>
      <c r="I3443" s="16"/>
      <c r="J3443" s="16" t="s">
        <v>22213</v>
      </c>
      <c r="K3443" s="16" t="s">
        <v>22214</v>
      </c>
      <c r="L3443" s="16"/>
      <c r="M3443" s="16"/>
      <c r="N3443" s="12"/>
      <c r="O3443" s="12"/>
      <c r="P3443" s="13">
        <f>IFERROR(__xludf.DUMMYFUNCTION("VALUE(SUBSTITUTE((INDEX(SPLIT(A3443,"",""),1)),""."","","",1))"),55.894202)</f>
        <v>55.894202</v>
      </c>
      <c r="Q3443" s="13">
        <f>IFERROR(__xludf.DUMMYFUNCTION("VALUE(SUBSTITUTE((INDEX(SPLIT(A3443,"",""),2)),""."","","",1))"),52.321341)</f>
        <v>52.321341</v>
      </c>
      <c r="R3443" s="14" t="b">
        <f t="shared" si="1"/>
        <v>0</v>
      </c>
      <c r="S3443" s="14" t="str">
        <f t="shared" si="2"/>
        <v>55.894202,52.321341</v>
      </c>
      <c r="T3443" s="12"/>
    </row>
    <row r="3444">
      <c r="A3444" s="7" t="s">
        <v>22215</v>
      </c>
      <c r="B3444" s="8" t="s">
        <v>22216</v>
      </c>
      <c r="C3444" s="8" t="s">
        <v>22217</v>
      </c>
      <c r="D3444" s="8" t="s">
        <v>16</v>
      </c>
      <c r="E3444" s="9" t="s">
        <v>22218</v>
      </c>
      <c r="F3444" s="10" t="s">
        <v>20160</v>
      </c>
      <c r="G3444" s="8">
        <v>23.61</v>
      </c>
      <c r="H3444" s="8"/>
      <c r="I3444" s="10"/>
      <c r="J3444" s="10" t="s">
        <v>22219</v>
      </c>
      <c r="K3444" s="10" t="s">
        <v>22220</v>
      </c>
      <c r="L3444" s="11" t="s">
        <v>22221</v>
      </c>
      <c r="M3444" s="10"/>
      <c r="N3444" s="12"/>
      <c r="O3444" s="12"/>
      <c r="P3444" s="13">
        <f>IFERROR(__xludf.DUMMYFUNCTION("VALUE(SUBSTITUTE((INDEX(SPLIT(A3444,"",""),1)),""."","","",1))"),55.647341)</f>
        <v>55.647341</v>
      </c>
      <c r="Q3444" s="13">
        <f>IFERROR(__xludf.DUMMYFUNCTION("VALUE(SUBSTITUTE((INDEX(SPLIT(A3444,"",""),2)),""."","","",1))"),52.324107)</f>
        <v>52.324107</v>
      </c>
      <c r="R3444" s="14" t="b">
        <f t="shared" si="1"/>
        <v>0</v>
      </c>
      <c r="S3444" s="14" t="str">
        <f t="shared" si="2"/>
        <v>55.647341,52.324107</v>
      </c>
      <c r="T3444" s="12"/>
    </row>
    <row r="3445">
      <c r="A3445" s="15" t="s">
        <v>22222</v>
      </c>
      <c r="B3445" s="16" t="s">
        <v>22223</v>
      </c>
      <c r="C3445" s="16" t="s">
        <v>22224</v>
      </c>
      <c r="D3445" s="16" t="s">
        <v>16</v>
      </c>
      <c r="E3445" s="17" t="s">
        <v>22225</v>
      </c>
      <c r="F3445" s="16" t="s">
        <v>20160</v>
      </c>
      <c r="G3445" s="16">
        <v>23.61</v>
      </c>
      <c r="H3445" s="16"/>
      <c r="I3445" s="16"/>
      <c r="J3445" s="16" t="s">
        <v>22226</v>
      </c>
      <c r="K3445" s="16" t="s">
        <v>22227</v>
      </c>
      <c r="L3445" s="16"/>
      <c r="M3445" s="25" t="s">
        <v>22228</v>
      </c>
      <c r="N3445" s="12"/>
      <c r="O3445" s="12"/>
      <c r="P3445" s="13">
        <f>IFERROR(__xludf.DUMMYFUNCTION("VALUE(SUBSTITUTE((INDEX(SPLIT(A3445,"",""),1)),""."","","",1))"),55.679991)</f>
        <v>55.679991</v>
      </c>
      <c r="Q3445" s="13">
        <f>IFERROR(__xludf.DUMMYFUNCTION("VALUE(SUBSTITUTE((INDEX(SPLIT(A3445,"",""),2)),""."","","",1))"),52.325141)</f>
        <v>52.325141</v>
      </c>
      <c r="R3445" s="14" t="b">
        <f t="shared" si="1"/>
        <v>0</v>
      </c>
      <c r="S3445" s="14" t="str">
        <f t="shared" si="2"/>
        <v>55.679991,52.325141</v>
      </c>
      <c r="T3445" s="12"/>
    </row>
    <row r="3446">
      <c r="A3446" s="7" t="s">
        <v>22229</v>
      </c>
      <c r="B3446" s="8" t="s">
        <v>7057</v>
      </c>
      <c r="C3446" s="8" t="s">
        <v>7058</v>
      </c>
      <c r="D3446" s="8" t="s">
        <v>16</v>
      </c>
      <c r="E3446" s="9" t="s">
        <v>22230</v>
      </c>
      <c r="F3446" s="10" t="s">
        <v>20146</v>
      </c>
      <c r="G3446" s="8">
        <v>23.61</v>
      </c>
      <c r="H3446" s="8"/>
      <c r="I3446" s="10"/>
      <c r="J3446" s="10" t="s">
        <v>22231</v>
      </c>
      <c r="K3446" s="10" t="s">
        <v>22232</v>
      </c>
      <c r="L3446" s="11" t="s">
        <v>22233</v>
      </c>
      <c r="M3446" s="11" t="s">
        <v>22234</v>
      </c>
      <c r="N3446" s="12"/>
      <c r="O3446" s="12"/>
      <c r="P3446" s="13">
        <f>IFERROR(__xludf.DUMMYFUNCTION("VALUE(SUBSTITUTE((INDEX(SPLIT(A3446,"",""),1)),""."","","",1))"),55.686152)</f>
        <v>55.686152</v>
      </c>
      <c r="Q3446" s="13">
        <f>IFERROR(__xludf.DUMMYFUNCTION("VALUE(SUBSTITUTE((INDEX(SPLIT(A3446,"",""),2)),""."","","",1))"),52.32992)</f>
        <v>52.32992</v>
      </c>
      <c r="R3446" s="14" t="b">
        <f t="shared" si="1"/>
        <v>0</v>
      </c>
      <c r="S3446" s="14" t="str">
        <f t="shared" si="2"/>
        <v>55.686152,52.32992</v>
      </c>
      <c r="T3446" s="12"/>
    </row>
    <row r="3447">
      <c r="A3447" s="15" t="s">
        <v>22235</v>
      </c>
      <c r="B3447" s="16" t="s">
        <v>22236</v>
      </c>
      <c r="C3447" s="16" t="s">
        <v>22237</v>
      </c>
      <c r="D3447" s="16" t="s">
        <v>16</v>
      </c>
      <c r="E3447" s="17" t="s">
        <v>22238</v>
      </c>
      <c r="F3447" s="16" t="s">
        <v>20146</v>
      </c>
      <c r="G3447" s="16">
        <v>23.61</v>
      </c>
      <c r="H3447" s="16"/>
      <c r="I3447" s="16"/>
      <c r="J3447" s="16" t="s">
        <v>22239</v>
      </c>
      <c r="K3447" s="16" t="s">
        <v>22240</v>
      </c>
      <c r="L3447" s="16"/>
      <c r="M3447" s="16"/>
      <c r="N3447" s="12"/>
      <c r="O3447" s="12"/>
      <c r="P3447" s="13">
        <f>IFERROR(__xludf.DUMMYFUNCTION("VALUE(SUBSTITUTE((INDEX(SPLIT(A3447,"",""),1)),""."","","",1))"),55.704707)</f>
        <v>55.704707</v>
      </c>
      <c r="Q3447" s="13">
        <f>IFERROR(__xludf.DUMMYFUNCTION("VALUE(SUBSTITUTE((INDEX(SPLIT(A3447,"",""),2)),""."","","",1))"),52.331734)</f>
        <v>52.331734</v>
      </c>
      <c r="R3447" s="14" t="b">
        <f t="shared" si="1"/>
        <v>0</v>
      </c>
      <c r="S3447" s="14" t="str">
        <f t="shared" si="2"/>
        <v>55.704707,52.331734</v>
      </c>
      <c r="T3447" s="12"/>
    </row>
    <row r="3448">
      <c r="A3448" s="18" t="s">
        <v>22241</v>
      </c>
      <c r="B3448" s="8" t="s">
        <v>22242</v>
      </c>
      <c r="C3448" s="8" t="s">
        <v>22243</v>
      </c>
      <c r="D3448" s="8" t="s">
        <v>16</v>
      </c>
      <c r="E3448" s="19" t="s">
        <v>22244</v>
      </c>
      <c r="F3448" s="8" t="s">
        <v>20146</v>
      </c>
      <c r="G3448" s="8">
        <v>23.61</v>
      </c>
      <c r="H3448" s="8"/>
      <c r="I3448" s="8"/>
      <c r="J3448" s="8" t="s">
        <v>22245</v>
      </c>
      <c r="K3448" s="8" t="s">
        <v>22246</v>
      </c>
      <c r="L3448" s="8"/>
      <c r="M3448" s="8"/>
      <c r="N3448" s="12"/>
      <c r="O3448" s="12"/>
      <c r="P3448" s="13">
        <f>IFERROR(__xludf.DUMMYFUNCTION("VALUE(SUBSTITUTE((INDEX(SPLIT(A3448,"",""),1)),""."","","",1))"),55.717132)</f>
        <v>55.717132</v>
      </c>
      <c r="Q3448" s="13">
        <f>IFERROR(__xludf.DUMMYFUNCTION("VALUE(SUBSTITUTE((INDEX(SPLIT(A3448,"",""),2)),""."","","",1))"),52.336163)</f>
        <v>52.336163</v>
      </c>
      <c r="R3448" s="14" t="b">
        <f t="shared" si="1"/>
        <v>0</v>
      </c>
      <c r="S3448" s="14" t="str">
        <f t="shared" si="2"/>
        <v>55.717132,52.336163</v>
      </c>
      <c r="T3448" s="12"/>
    </row>
    <row r="3449">
      <c r="A3449" s="15" t="s">
        <v>22247</v>
      </c>
      <c r="B3449" s="16" t="s">
        <v>22248</v>
      </c>
      <c r="C3449" s="16" t="s">
        <v>22249</v>
      </c>
      <c r="D3449" s="16" t="s">
        <v>16</v>
      </c>
      <c r="E3449" s="17" t="s">
        <v>22250</v>
      </c>
      <c r="F3449" s="16" t="s">
        <v>20146</v>
      </c>
      <c r="G3449" s="16">
        <v>23.61</v>
      </c>
      <c r="H3449" s="16"/>
      <c r="I3449" s="16"/>
      <c r="J3449" s="16" t="s">
        <v>22251</v>
      </c>
      <c r="K3449" s="16" t="s">
        <v>22252</v>
      </c>
      <c r="L3449" s="16"/>
      <c r="M3449" s="16"/>
      <c r="N3449" s="12"/>
      <c r="O3449" s="12"/>
      <c r="P3449" s="13">
        <f>IFERROR(__xludf.DUMMYFUNCTION("VALUE(SUBSTITUTE((INDEX(SPLIT(A3449,"",""),1)),""."","","",1))"),55.695144)</f>
        <v>55.695144</v>
      </c>
      <c r="Q3449" s="13">
        <f>IFERROR(__xludf.DUMMYFUNCTION("VALUE(SUBSTITUTE((INDEX(SPLIT(A3449,"",""),2)),""."","","",1))"),52.340304)</f>
        <v>52.340304</v>
      </c>
      <c r="R3449" s="14" t="b">
        <f t="shared" si="1"/>
        <v>0</v>
      </c>
      <c r="S3449" s="14" t="str">
        <f t="shared" si="2"/>
        <v>55.695144,52.340304</v>
      </c>
      <c r="T3449" s="12"/>
    </row>
    <row r="3450">
      <c r="A3450" s="18" t="s">
        <v>22253</v>
      </c>
      <c r="B3450" s="8" t="s">
        <v>22254</v>
      </c>
      <c r="C3450" s="8" t="s">
        <v>22255</v>
      </c>
      <c r="D3450" s="8" t="s">
        <v>16</v>
      </c>
      <c r="E3450" s="19" t="s">
        <v>22256</v>
      </c>
      <c r="F3450" s="8" t="s">
        <v>20146</v>
      </c>
      <c r="G3450" s="8">
        <v>23.61</v>
      </c>
      <c r="H3450" s="8"/>
      <c r="I3450" s="8"/>
      <c r="J3450" s="8" t="s">
        <v>22257</v>
      </c>
      <c r="K3450" s="8" t="s">
        <v>22258</v>
      </c>
      <c r="L3450" s="8"/>
      <c r="M3450" s="8"/>
      <c r="N3450" s="12"/>
      <c r="O3450" s="12"/>
      <c r="P3450" s="13">
        <f>IFERROR(__xludf.DUMMYFUNCTION("VALUE(SUBSTITUTE((INDEX(SPLIT(A3450,"",""),1)),""."","","",1))"),55.695905)</f>
        <v>55.695905</v>
      </c>
      <c r="Q3450" s="13">
        <f>IFERROR(__xludf.DUMMYFUNCTION("VALUE(SUBSTITUTE((INDEX(SPLIT(A3450,"",""),2)),""."","","",1))"),52.351506)</f>
        <v>52.351506</v>
      </c>
      <c r="R3450" s="14" t="b">
        <f t="shared" si="1"/>
        <v>0</v>
      </c>
      <c r="S3450" s="14" t="str">
        <f t="shared" si="2"/>
        <v>55.695905,52.351506</v>
      </c>
      <c r="T3450" s="12"/>
    </row>
    <row r="3451">
      <c r="A3451" s="15" t="s">
        <v>22259</v>
      </c>
      <c r="B3451" s="16" t="s">
        <v>22260</v>
      </c>
      <c r="C3451" s="16" t="s">
        <v>22261</v>
      </c>
      <c r="D3451" s="16" t="s">
        <v>16</v>
      </c>
      <c r="E3451" s="17" t="s">
        <v>22262</v>
      </c>
      <c r="F3451" s="16" t="s">
        <v>22263</v>
      </c>
      <c r="G3451" s="16">
        <v>23.61</v>
      </c>
      <c r="H3451" s="16"/>
      <c r="I3451" s="16"/>
      <c r="J3451" s="16" t="s">
        <v>22264</v>
      </c>
      <c r="K3451" s="16" t="s">
        <v>22265</v>
      </c>
      <c r="L3451" s="16"/>
      <c r="M3451" s="16"/>
      <c r="N3451" s="12"/>
      <c r="O3451" s="12"/>
      <c r="P3451" s="13">
        <f>IFERROR(__xludf.DUMMYFUNCTION("VALUE(SUBSTITUTE((INDEX(SPLIT(A3451,"",""),1)),""."","","",1))"),54.909375)</f>
        <v>54.909375</v>
      </c>
      <c r="Q3451" s="13">
        <f>IFERROR(__xludf.DUMMYFUNCTION("VALUE(SUBSTITUTE((INDEX(SPLIT(A3451,"",""),2)),""."","","",1))"),52.354057)</f>
        <v>52.354057</v>
      </c>
      <c r="R3451" s="14" t="b">
        <f t="shared" si="1"/>
        <v>0</v>
      </c>
      <c r="S3451" s="14" t="str">
        <f t="shared" si="2"/>
        <v>54.909375,52.354057</v>
      </c>
      <c r="T3451" s="12"/>
    </row>
    <row r="3452">
      <c r="A3452" s="7" t="s">
        <v>22266</v>
      </c>
      <c r="B3452" s="8" t="s">
        <v>22267</v>
      </c>
      <c r="C3452" s="8" t="s">
        <v>22268</v>
      </c>
      <c r="D3452" s="8" t="s">
        <v>16</v>
      </c>
      <c r="E3452" s="9" t="s">
        <v>22269</v>
      </c>
      <c r="F3452" s="10" t="s">
        <v>12912</v>
      </c>
      <c r="G3452" s="8">
        <v>23.61</v>
      </c>
      <c r="H3452" s="8"/>
      <c r="I3452" s="10"/>
      <c r="J3452" s="10" t="s">
        <v>22270</v>
      </c>
      <c r="K3452" s="10" t="s">
        <v>22271</v>
      </c>
      <c r="L3452" s="11" t="s">
        <v>22272</v>
      </c>
      <c r="M3452" s="10"/>
      <c r="N3452" s="12"/>
      <c r="O3452" s="12"/>
      <c r="P3452" s="13">
        <f>IFERROR(__xludf.DUMMYFUNCTION("VALUE(SUBSTITUTE((INDEX(SPLIT(A3452,"",""),1)),""."","","",1))"),55.713867)</f>
        <v>55.713867</v>
      </c>
      <c r="Q3452" s="13">
        <f>IFERROR(__xludf.DUMMYFUNCTION("VALUE(SUBSTITUTE((INDEX(SPLIT(A3452,"",""),2)),""."","","",1))"),52.356357)</f>
        <v>52.356357</v>
      </c>
      <c r="R3452" s="14" t="b">
        <f t="shared" si="1"/>
        <v>0</v>
      </c>
      <c r="S3452" s="14" t="str">
        <f t="shared" si="2"/>
        <v>55.713867,52.356357</v>
      </c>
      <c r="T3452" s="12"/>
    </row>
    <row r="3453">
      <c r="A3453" s="15" t="s">
        <v>22266</v>
      </c>
      <c r="B3453" s="16" t="s">
        <v>22273</v>
      </c>
      <c r="C3453" s="16" t="s">
        <v>22274</v>
      </c>
      <c r="D3453" s="16" t="s">
        <v>16</v>
      </c>
      <c r="E3453" s="17" t="s">
        <v>22275</v>
      </c>
      <c r="F3453" s="16" t="s">
        <v>20146</v>
      </c>
      <c r="G3453" s="16">
        <v>23.61</v>
      </c>
      <c r="H3453" s="16"/>
      <c r="I3453" s="16"/>
      <c r="J3453" s="16" t="s">
        <v>22276</v>
      </c>
      <c r="K3453" s="16" t="s">
        <v>22277</v>
      </c>
      <c r="L3453" s="16"/>
      <c r="M3453" s="25" t="s">
        <v>22278</v>
      </c>
      <c r="N3453" s="12"/>
      <c r="O3453" s="12"/>
      <c r="P3453" s="13">
        <f>IFERROR(__xludf.DUMMYFUNCTION("VALUE(SUBSTITUTE((INDEX(SPLIT(A3453,"",""),1)),""."","","",1))"),55.713867)</f>
        <v>55.713867</v>
      </c>
      <c r="Q3453" s="13">
        <f>IFERROR(__xludf.DUMMYFUNCTION("VALUE(SUBSTITUTE((INDEX(SPLIT(A3453,"",""),2)),""."","","",1))"),52.356357)</f>
        <v>52.356357</v>
      </c>
      <c r="R3453" s="14" t="b">
        <f t="shared" si="1"/>
        <v>0</v>
      </c>
      <c r="S3453" s="14" t="str">
        <f t="shared" si="2"/>
        <v>55.713867,52.356357</v>
      </c>
      <c r="T3453" s="12"/>
    </row>
    <row r="3454">
      <c r="A3454" s="18" t="s">
        <v>22279</v>
      </c>
      <c r="B3454" s="8" t="s">
        <v>22280</v>
      </c>
      <c r="C3454" s="8" t="s">
        <v>22281</v>
      </c>
      <c r="D3454" s="8" t="s">
        <v>16</v>
      </c>
      <c r="E3454" s="19" t="s">
        <v>22282</v>
      </c>
      <c r="F3454" s="8" t="s">
        <v>20146</v>
      </c>
      <c r="G3454" s="8">
        <v>23.61</v>
      </c>
      <c r="H3454" s="8"/>
      <c r="I3454" s="8"/>
      <c r="J3454" s="8" t="s">
        <v>22283</v>
      </c>
      <c r="K3454" s="8" t="s">
        <v>22252</v>
      </c>
      <c r="L3454" s="8"/>
      <c r="M3454" s="24" t="s">
        <v>22284</v>
      </c>
      <c r="N3454" s="12"/>
      <c r="O3454" s="12"/>
      <c r="P3454" s="13">
        <f>IFERROR(__xludf.DUMMYFUNCTION("VALUE(SUBSTITUTE((INDEX(SPLIT(A3454,"",""),1)),""."","","",1))"),55.713704)</f>
        <v>55.713704</v>
      </c>
      <c r="Q3454" s="13">
        <f>IFERROR(__xludf.DUMMYFUNCTION("VALUE(SUBSTITUTE((INDEX(SPLIT(A3454,"",""),2)),""."","","",1))"),52.3641)</f>
        <v>52.3641</v>
      </c>
      <c r="R3454" s="14" t="b">
        <f t="shared" si="1"/>
        <v>0</v>
      </c>
      <c r="S3454" s="14" t="str">
        <f t="shared" si="2"/>
        <v>55.713704,52.3641</v>
      </c>
      <c r="T3454" s="12"/>
    </row>
    <row r="3455">
      <c r="A3455" s="15" t="s">
        <v>22285</v>
      </c>
      <c r="B3455" s="16" t="s">
        <v>22280</v>
      </c>
      <c r="C3455" s="16" t="s">
        <v>22281</v>
      </c>
      <c r="D3455" s="16" t="s">
        <v>16</v>
      </c>
      <c r="E3455" s="17" t="s">
        <v>22286</v>
      </c>
      <c r="F3455" s="16" t="s">
        <v>20146</v>
      </c>
      <c r="G3455" s="16">
        <v>23.61</v>
      </c>
      <c r="H3455" s="16"/>
      <c r="I3455" s="16"/>
      <c r="J3455" s="16" t="s">
        <v>22287</v>
      </c>
      <c r="K3455" s="16" t="s">
        <v>22252</v>
      </c>
      <c r="L3455" s="16"/>
      <c r="M3455" s="16"/>
      <c r="N3455" s="12"/>
      <c r="O3455" s="12"/>
      <c r="P3455" s="13">
        <f>IFERROR(__xludf.DUMMYFUNCTION("VALUE(SUBSTITUTE((INDEX(SPLIT(A3455,"",""),1)),""."","","",1))"),55.730203)</f>
        <v>55.730203</v>
      </c>
      <c r="Q3455" s="13">
        <f>IFERROR(__xludf.DUMMYFUNCTION("VALUE(SUBSTITUTE((INDEX(SPLIT(A3455,"",""),2)),""."","","",1))"),52.364999)</f>
        <v>52.364999</v>
      </c>
      <c r="R3455" s="14" t="b">
        <f t="shared" si="1"/>
        <v>0</v>
      </c>
      <c r="S3455" s="14" t="str">
        <f t="shared" si="2"/>
        <v>55.730203,52.364999</v>
      </c>
      <c r="T3455" s="12"/>
    </row>
    <row r="3456">
      <c r="A3456" s="18" t="s">
        <v>22288</v>
      </c>
      <c r="B3456" s="8" t="s">
        <v>22289</v>
      </c>
      <c r="C3456" s="8" t="s">
        <v>22290</v>
      </c>
      <c r="D3456" s="8" t="s">
        <v>16</v>
      </c>
      <c r="E3456" s="19" t="s">
        <v>22291</v>
      </c>
      <c r="F3456" s="8" t="s">
        <v>20146</v>
      </c>
      <c r="G3456" s="8">
        <v>23.61</v>
      </c>
      <c r="H3456" s="8"/>
      <c r="I3456" s="8"/>
      <c r="J3456" s="8" t="s">
        <v>22292</v>
      </c>
      <c r="K3456" s="8" t="s">
        <v>22293</v>
      </c>
      <c r="L3456" s="8"/>
      <c r="M3456" s="24" t="s">
        <v>22294</v>
      </c>
      <c r="N3456" s="12"/>
      <c r="O3456" s="12"/>
      <c r="P3456" s="13">
        <f>IFERROR(__xludf.DUMMYFUNCTION("VALUE(SUBSTITUTE((INDEX(SPLIT(A3456,"",""),1)),""."","","",1))"),55.725235)</f>
        <v>55.725235</v>
      </c>
      <c r="Q3456" s="13">
        <f>IFERROR(__xludf.DUMMYFUNCTION("VALUE(SUBSTITUTE((INDEX(SPLIT(A3456,"",""),2)),""."","","",1))"),52.367811)</f>
        <v>52.367811</v>
      </c>
      <c r="R3456" s="14" t="b">
        <f t="shared" si="1"/>
        <v>0</v>
      </c>
      <c r="S3456" s="14" t="str">
        <f t="shared" si="2"/>
        <v>55.725235,52.367811</v>
      </c>
      <c r="T3456" s="12"/>
    </row>
    <row r="3457">
      <c r="A3457" s="15" t="s">
        <v>22295</v>
      </c>
      <c r="B3457" s="16" t="s">
        <v>22296</v>
      </c>
      <c r="C3457" s="16" t="s">
        <v>22297</v>
      </c>
      <c r="D3457" s="16" t="s">
        <v>16</v>
      </c>
      <c r="E3457" s="17" t="s">
        <v>22298</v>
      </c>
      <c r="F3457" s="16" t="s">
        <v>20146</v>
      </c>
      <c r="G3457" s="16">
        <v>23.61</v>
      </c>
      <c r="H3457" s="16"/>
      <c r="I3457" s="16"/>
      <c r="J3457" s="16" t="s">
        <v>22299</v>
      </c>
      <c r="K3457" s="16" t="s">
        <v>22300</v>
      </c>
      <c r="L3457" s="16"/>
      <c r="M3457" s="16"/>
      <c r="N3457" s="12"/>
      <c r="O3457" s="12"/>
      <c r="P3457" s="13">
        <f>IFERROR(__xludf.DUMMYFUNCTION("VALUE(SUBSTITUTE((INDEX(SPLIT(A3457,"",""),1)),""."","","",1))"),55.720722)</f>
        <v>55.720722</v>
      </c>
      <c r="Q3457" s="13">
        <f>IFERROR(__xludf.DUMMYFUNCTION("VALUE(SUBSTITUTE((INDEX(SPLIT(A3457,"",""),2)),""."","","",1))"),52.368502)</f>
        <v>52.368502</v>
      </c>
      <c r="R3457" s="14" t="b">
        <f t="shared" si="1"/>
        <v>0</v>
      </c>
      <c r="S3457" s="14" t="str">
        <f t="shared" si="2"/>
        <v>55.720722,52.368502</v>
      </c>
      <c r="T3457" s="12"/>
    </row>
    <row r="3458">
      <c r="A3458" s="18" t="s">
        <v>22301</v>
      </c>
      <c r="B3458" s="8" t="s">
        <v>22302</v>
      </c>
      <c r="C3458" s="8" t="s">
        <v>22303</v>
      </c>
      <c r="D3458" s="8" t="s">
        <v>16</v>
      </c>
      <c r="E3458" s="19" t="s">
        <v>22304</v>
      </c>
      <c r="F3458" s="8" t="s">
        <v>20146</v>
      </c>
      <c r="G3458" s="8">
        <v>23.61</v>
      </c>
      <c r="H3458" s="8"/>
      <c r="I3458" s="8"/>
      <c r="J3458" s="8" t="s">
        <v>22305</v>
      </c>
      <c r="K3458" s="8" t="s">
        <v>22306</v>
      </c>
      <c r="L3458" s="8"/>
      <c r="M3458" s="8"/>
      <c r="N3458" s="12"/>
      <c r="O3458" s="12"/>
      <c r="P3458" s="13">
        <f>IFERROR(__xludf.DUMMYFUNCTION("VALUE(SUBSTITUTE((INDEX(SPLIT(A3458,"",""),1)),""."","","",1))"),55.731308)</f>
        <v>55.731308</v>
      </c>
      <c r="Q3458" s="13">
        <f>IFERROR(__xludf.DUMMYFUNCTION("VALUE(SUBSTITUTE((INDEX(SPLIT(A3458,"",""),2)),""."","","",1))"),52.371871)</f>
        <v>52.371871</v>
      </c>
      <c r="R3458" s="14" t="b">
        <f t="shared" si="1"/>
        <v>0</v>
      </c>
      <c r="S3458" s="14" t="str">
        <f t="shared" si="2"/>
        <v>55.731308,52.371871</v>
      </c>
      <c r="T3458" s="12"/>
    </row>
    <row r="3459">
      <c r="A3459" s="20" t="s">
        <v>22307</v>
      </c>
      <c r="B3459" s="16" t="s">
        <v>22308</v>
      </c>
      <c r="C3459" s="16" t="s">
        <v>22309</v>
      </c>
      <c r="D3459" s="16" t="s">
        <v>16</v>
      </c>
      <c r="E3459" s="21" t="s">
        <v>22310</v>
      </c>
      <c r="F3459" s="22" t="s">
        <v>20146</v>
      </c>
      <c r="G3459" s="16">
        <v>23.61</v>
      </c>
      <c r="H3459" s="16"/>
      <c r="I3459" s="28" t="s">
        <v>22311</v>
      </c>
      <c r="J3459" s="22" t="s">
        <v>22312</v>
      </c>
      <c r="K3459" s="22" t="s">
        <v>22313</v>
      </c>
      <c r="L3459" s="23" t="s">
        <v>22314</v>
      </c>
      <c r="M3459" s="22"/>
      <c r="N3459" s="12"/>
      <c r="O3459" s="12"/>
      <c r="P3459" s="13">
        <f>IFERROR(__xludf.DUMMYFUNCTION("VALUE(SUBSTITUTE((INDEX(SPLIT(A3459,"",""),1)),""."","","",1))"),55.73333)</f>
        <v>55.73333</v>
      </c>
      <c r="Q3459" s="13">
        <f>IFERROR(__xludf.DUMMYFUNCTION("VALUE(SUBSTITUTE((INDEX(SPLIT(A3459,"",""),2)),""."","","",1))"),52.378941)</f>
        <v>52.378941</v>
      </c>
      <c r="R3459" s="14" t="b">
        <f t="shared" si="1"/>
        <v>0</v>
      </c>
      <c r="S3459" s="14" t="str">
        <f t="shared" si="2"/>
        <v>55.73333,52.378941</v>
      </c>
      <c r="T3459" s="12"/>
    </row>
    <row r="3460">
      <c r="A3460" s="7" t="s">
        <v>22315</v>
      </c>
      <c r="B3460" s="8" t="s">
        <v>22316</v>
      </c>
      <c r="C3460" s="8" t="s">
        <v>22317</v>
      </c>
      <c r="D3460" s="8" t="s">
        <v>16</v>
      </c>
      <c r="E3460" s="9" t="s">
        <v>22318</v>
      </c>
      <c r="F3460" s="10" t="s">
        <v>20146</v>
      </c>
      <c r="G3460" s="8">
        <v>23.61</v>
      </c>
      <c r="H3460" s="8"/>
      <c r="I3460" s="10"/>
      <c r="J3460" s="10" t="s">
        <v>22319</v>
      </c>
      <c r="K3460" s="10" t="s">
        <v>22320</v>
      </c>
      <c r="L3460" s="11" t="s">
        <v>22321</v>
      </c>
      <c r="M3460" s="10"/>
      <c r="N3460" s="12"/>
      <c r="O3460" s="12"/>
      <c r="P3460" s="13">
        <f>IFERROR(__xludf.DUMMYFUNCTION("VALUE(SUBSTITUTE((INDEX(SPLIT(A3460,"",""),1)),""."","","",1))"),55.741272)</f>
        <v>55.741272</v>
      </c>
      <c r="Q3460" s="13">
        <f>IFERROR(__xludf.DUMMYFUNCTION("VALUE(SUBSTITUTE((INDEX(SPLIT(A3460,"",""),2)),""."","","",1))"),52.382381)</f>
        <v>52.382381</v>
      </c>
      <c r="R3460" s="14" t="b">
        <f t="shared" si="1"/>
        <v>0</v>
      </c>
      <c r="S3460" s="14" t="str">
        <f t="shared" si="2"/>
        <v>55.741272,52.382381</v>
      </c>
      <c r="T3460" s="12"/>
    </row>
    <row r="3461">
      <c r="A3461" s="15" t="s">
        <v>22322</v>
      </c>
      <c r="B3461" s="16" t="s">
        <v>22323</v>
      </c>
      <c r="C3461" s="16" t="s">
        <v>22324</v>
      </c>
      <c r="D3461" s="16" t="s">
        <v>16</v>
      </c>
      <c r="E3461" s="17" t="s">
        <v>22325</v>
      </c>
      <c r="F3461" s="16" t="s">
        <v>20146</v>
      </c>
      <c r="G3461" s="16">
        <v>23.61</v>
      </c>
      <c r="H3461" s="16"/>
      <c r="I3461" s="16"/>
      <c r="J3461" s="16" t="s">
        <v>22326</v>
      </c>
      <c r="K3461" s="16" t="s">
        <v>22327</v>
      </c>
      <c r="L3461" s="16"/>
      <c r="M3461" s="16"/>
      <c r="N3461" s="12"/>
      <c r="O3461" s="12"/>
      <c r="P3461" s="13">
        <f>IFERROR(__xludf.DUMMYFUNCTION("VALUE(SUBSTITUTE((INDEX(SPLIT(A3461,"",""),1)),""."","","",1))"),55.723166)</f>
        <v>55.723166</v>
      </c>
      <c r="Q3461" s="13">
        <f>IFERROR(__xludf.DUMMYFUNCTION("VALUE(SUBSTITUTE((INDEX(SPLIT(A3461,"",""),2)),""."","","",1))"),52.382705)</f>
        <v>52.382705</v>
      </c>
      <c r="R3461" s="14" t="b">
        <f t="shared" si="1"/>
        <v>0</v>
      </c>
      <c r="S3461" s="14" t="str">
        <f t="shared" si="2"/>
        <v>55.723166,52.382705</v>
      </c>
      <c r="T3461" s="12"/>
    </row>
    <row r="3462">
      <c r="A3462" s="18" t="s">
        <v>22322</v>
      </c>
      <c r="B3462" s="8" t="s">
        <v>22328</v>
      </c>
      <c r="C3462" s="8" t="s">
        <v>22329</v>
      </c>
      <c r="D3462" s="8" t="s">
        <v>16</v>
      </c>
      <c r="E3462" s="19" t="s">
        <v>22330</v>
      </c>
      <c r="F3462" s="8" t="s">
        <v>20146</v>
      </c>
      <c r="G3462" s="8">
        <v>23.61</v>
      </c>
      <c r="H3462" s="8"/>
      <c r="I3462" s="8"/>
      <c r="J3462" s="8" t="s">
        <v>22331</v>
      </c>
      <c r="K3462" s="8" t="s">
        <v>22332</v>
      </c>
      <c r="L3462" s="8"/>
      <c r="M3462" s="8"/>
      <c r="N3462" s="12"/>
      <c r="O3462" s="12"/>
      <c r="P3462" s="13">
        <f>IFERROR(__xludf.DUMMYFUNCTION("VALUE(SUBSTITUTE((INDEX(SPLIT(A3462,"",""),1)),""."","","",1))"),55.723166)</f>
        <v>55.723166</v>
      </c>
      <c r="Q3462" s="13">
        <f>IFERROR(__xludf.DUMMYFUNCTION("VALUE(SUBSTITUTE((INDEX(SPLIT(A3462,"",""),2)),""."","","",1))"),52.382705)</f>
        <v>52.382705</v>
      </c>
      <c r="R3462" s="14" t="b">
        <f t="shared" si="1"/>
        <v>0</v>
      </c>
      <c r="S3462" s="14" t="str">
        <f t="shared" si="2"/>
        <v>55.723166,52.382705</v>
      </c>
      <c r="T3462" s="12"/>
    </row>
    <row r="3463">
      <c r="A3463" s="15" t="s">
        <v>22333</v>
      </c>
      <c r="B3463" s="16" t="s">
        <v>516</v>
      </c>
      <c r="C3463" s="16" t="s">
        <v>517</v>
      </c>
      <c r="D3463" s="16" t="s">
        <v>16</v>
      </c>
      <c r="E3463" s="17" t="s">
        <v>22334</v>
      </c>
      <c r="F3463" s="16" t="s">
        <v>20146</v>
      </c>
      <c r="G3463" s="16">
        <v>23.61</v>
      </c>
      <c r="H3463" s="16"/>
      <c r="I3463" s="16"/>
      <c r="J3463" s="16" t="s">
        <v>22335</v>
      </c>
      <c r="K3463" s="16" t="s">
        <v>22336</v>
      </c>
      <c r="L3463" s="16"/>
      <c r="M3463" s="16"/>
      <c r="N3463" s="12"/>
      <c r="O3463" s="12"/>
      <c r="P3463" s="13">
        <f>IFERROR(__xludf.DUMMYFUNCTION("VALUE(SUBSTITUTE((INDEX(SPLIT(A3463,"",""),1)),""."","","",1))"),55.733619)</f>
        <v>55.733619</v>
      </c>
      <c r="Q3463" s="13">
        <f>IFERROR(__xludf.DUMMYFUNCTION("VALUE(SUBSTITUTE((INDEX(SPLIT(A3463,"",""),2)),""."","","",1))"),52.383953)</f>
        <v>52.383953</v>
      </c>
      <c r="R3463" s="14" t="b">
        <f t="shared" si="1"/>
        <v>0</v>
      </c>
      <c r="S3463" s="14" t="str">
        <f t="shared" si="2"/>
        <v>55.733619,52.383953</v>
      </c>
      <c r="T3463" s="12"/>
    </row>
    <row r="3464">
      <c r="A3464" s="18" t="s">
        <v>22337</v>
      </c>
      <c r="B3464" s="8" t="s">
        <v>22338</v>
      </c>
      <c r="C3464" s="8" t="s">
        <v>22339</v>
      </c>
      <c r="D3464" s="8" t="s">
        <v>16</v>
      </c>
      <c r="E3464" s="19" t="s">
        <v>22340</v>
      </c>
      <c r="F3464" s="8" t="s">
        <v>20146</v>
      </c>
      <c r="G3464" s="8">
        <v>23.61</v>
      </c>
      <c r="H3464" s="8"/>
      <c r="I3464" s="8"/>
      <c r="J3464" s="8" t="s">
        <v>22341</v>
      </c>
      <c r="K3464" s="8" t="s">
        <v>22342</v>
      </c>
      <c r="L3464" s="8"/>
      <c r="M3464" s="8"/>
      <c r="N3464" s="12"/>
      <c r="O3464" s="12"/>
      <c r="P3464" s="13">
        <f>IFERROR(__xludf.DUMMYFUNCTION("VALUE(SUBSTITUTE((INDEX(SPLIT(A3464,"",""),1)),""."","","",1))"),55.733371)</f>
        <v>55.733371</v>
      </c>
      <c r="Q3464" s="13">
        <f>IFERROR(__xludf.DUMMYFUNCTION("VALUE(SUBSTITUTE((INDEX(SPLIT(A3464,"",""),2)),""."","","",1))"),52.38531)</f>
        <v>52.38531</v>
      </c>
      <c r="R3464" s="14" t="b">
        <f t="shared" si="1"/>
        <v>0</v>
      </c>
      <c r="S3464" s="14" t="str">
        <f t="shared" si="2"/>
        <v>55.733371,52.38531</v>
      </c>
      <c r="T3464" s="12"/>
    </row>
    <row r="3465">
      <c r="A3465" s="15" t="s">
        <v>22343</v>
      </c>
      <c r="B3465" s="16" t="s">
        <v>22344</v>
      </c>
      <c r="C3465" s="16" t="s">
        <v>22345</v>
      </c>
      <c r="D3465" s="16" t="s">
        <v>16</v>
      </c>
      <c r="E3465" s="17" t="s">
        <v>22346</v>
      </c>
      <c r="F3465" s="16" t="s">
        <v>20146</v>
      </c>
      <c r="G3465" s="16">
        <v>23.61</v>
      </c>
      <c r="H3465" s="16"/>
      <c r="I3465" s="16"/>
      <c r="J3465" s="16" t="s">
        <v>22347</v>
      </c>
      <c r="K3465" s="16" t="s">
        <v>22348</v>
      </c>
      <c r="L3465" s="16"/>
      <c r="M3465" s="25" t="s">
        <v>22349</v>
      </c>
      <c r="N3465" s="12"/>
      <c r="O3465" s="12"/>
      <c r="P3465" s="13">
        <f>IFERROR(__xludf.DUMMYFUNCTION("VALUE(SUBSTITUTE((INDEX(SPLIT(A3465,"",""),1)),""."","","",1))"),55.733026)</f>
        <v>55.733026</v>
      </c>
      <c r="Q3465" s="13">
        <f>IFERROR(__xludf.DUMMYFUNCTION("VALUE(SUBSTITUTE((INDEX(SPLIT(A3465,"",""),2)),""."","","",1))"),52.392011)</f>
        <v>52.392011</v>
      </c>
      <c r="R3465" s="14" t="b">
        <f t="shared" si="1"/>
        <v>0</v>
      </c>
      <c r="S3465" s="14" t="str">
        <f t="shared" si="2"/>
        <v>55.733026,52.392011</v>
      </c>
      <c r="T3465" s="12"/>
    </row>
    <row r="3466">
      <c r="A3466" s="18" t="s">
        <v>22350</v>
      </c>
      <c r="B3466" s="8" t="s">
        <v>22351</v>
      </c>
      <c r="C3466" s="8" t="s">
        <v>22352</v>
      </c>
      <c r="D3466" s="8" t="s">
        <v>16</v>
      </c>
      <c r="E3466" s="19" t="s">
        <v>22353</v>
      </c>
      <c r="F3466" s="8" t="s">
        <v>20146</v>
      </c>
      <c r="G3466" s="8">
        <v>23.61</v>
      </c>
      <c r="H3466" s="8"/>
      <c r="I3466" s="8"/>
      <c r="J3466" s="8" t="s">
        <v>22354</v>
      </c>
      <c r="K3466" s="8" t="s">
        <v>22355</v>
      </c>
      <c r="L3466" s="8"/>
      <c r="M3466" s="24" t="s">
        <v>22356</v>
      </c>
      <c r="N3466" s="12"/>
      <c r="O3466" s="12"/>
      <c r="P3466" s="13">
        <f>IFERROR(__xludf.DUMMYFUNCTION("VALUE(SUBSTITUTE((INDEX(SPLIT(A3466,"",""),1)),""."","","",1))"),55.751335)</f>
        <v>55.751335</v>
      </c>
      <c r="Q3466" s="13">
        <f>IFERROR(__xludf.DUMMYFUNCTION("VALUE(SUBSTITUTE((INDEX(SPLIT(A3466,"",""),2)),""."","","",1))"),52.3975)</f>
        <v>52.3975</v>
      </c>
      <c r="R3466" s="14" t="b">
        <f t="shared" si="1"/>
        <v>0</v>
      </c>
      <c r="S3466" s="14" t="str">
        <f t="shared" si="2"/>
        <v>55.751335,52.3975</v>
      </c>
      <c r="T3466" s="12"/>
    </row>
    <row r="3467">
      <c r="A3467" s="15" t="s">
        <v>22357</v>
      </c>
      <c r="B3467" s="16" t="s">
        <v>22254</v>
      </c>
      <c r="C3467" s="16" t="s">
        <v>22255</v>
      </c>
      <c r="D3467" s="16" t="s">
        <v>16</v>
      </c>
      <c r="E3467" s="17" t="s">
        <v>22358</v>
      </c>
      <c r="F3467" s="16" t="s">
        <v>20146</v>
      </c>
      <c r="G3467" s="16">
        <v>23.61</v>
      </c>
      <c r="H3467" s="16"/>
      <c r="I3467" s="16"/>
      <c r="J3467" s="16" t="s">
        <v>22359</v>
      </c>
      <c r="K3467" s="16" t="s">
        <v>22360</v>
      </c>
      <c r="L3467" s="16"/>
      <c r="M3467" s="16"/>
      <c r="N3467" s="12"/>
      <c r="O3467" s="12"/>
      <c r="P3467" s="13">
        <f>IFERROR(__xludf.DUMMYFUNCTION("VALUE(SUBSTITUTE((INDEX(SPLIT(A3467,"",""),1)),""."","","",1))"),55.745407)</f>
        <v>55.745407</v>
      </c>
      <c r="Q3467" s="13">
        <f>IFERROR(__xludf.DUMMYFUNCTION("VALUE(SUBSTITUTE((INDEX(SPLIT(A3467,"",""),2)),""."","","",1))"),52.398919)</f>
        <v>52.398919</v>
      </c>
      <c r="R3467" s="14" t="b">
        <f t="shared" si="1"/>
        <v>0</v>
      </c>
      <c r="S3467" s="14" t="str">
        <f t="shared" si="2"/>
        <v>55.745407,52.398919</v>
      </c>
      <c r="T3467" s="12"/>
    </row>
    <row r="3468">
      <c r="A3468" s="18" t="s">
        <v>22361</v>
      </c>
      <c r="B3468" s="8" t="s">
        <v>22362</v>
      </c>
      <c r="C3468" s="8" t="s">
        <v>22363</v>
      </c>
      <c r="D3468" s="8" t="s">
        <v>16</v>
      </c>
      <c r="E3468" s="19" t="s">
        <v>22364</v>
      </c>
      <c r="F3468" s="8" t="s">
        <v>20146</v>
      </c>
      <c r="G3468" s="8">
        <v>23.61</v>
      </c>
      <c r="H3468" s="8"/>
      <c r="I3468" s="8"/>
      <c r="J3468" s="8" t="s">
        <v>22365</v>
      </c>
      <c r="K3468" s="8" t="s">
        <v>22366</v>
      </c>
      <c r="L3468" s="8"/>
      <c r="M3468" s="8"/>
      <c r="N3468" s="12"/>
      <c r="O3468" s="12"/>
      <c r="P3468" s="13">
        <f>IFERROR(__xludf.DUMMYFUNCTION("VALUE(SUBSTITUTE((INDEX(SPLIT(A3468,"",""),1)),""."","","",1))"),55.748346)</f>
        <v>55.748346</v>
      </c>
      <c r="Q3468" s="13">
        <f>IFERROR(__xludf.DUMMYFUNCTION("VALUE(SUBSTITUTE((INDEX(SPLIT(A3468,"",""),2)),""."","","",1))"),52.39944)</f>
        <v>52.39944</v>
      </c>
      <c r="R3468" s="14" t="b">
        <f t="shared" si="1"/>
        <v>0</v>
      </c>
      <c r="S3468" s="14" t="str">
        <f t="shared" si="2"/>
        <v>55.748346,52.39944</v>
      </c>
      <c r="T3468" s="12"/>
    </row>
    <row r="3469">
      <c r="A3469" s="15" t="s">
        <v>22367</v>
      </c>
      <c r="B3469" s="16" t="s">
        <v>22368</v>
      </c>
      <c r="C3469" s="16" t="s">
        <v>22369</v>
      </c>
      <c r="D3469" s="16" t="s">
        <v>16</v>
      </c>
      <c r="E3469" s="17" t="s">
        <v>22370</v>
      </c>
      <c r="F3469" s="16" t="s">
        <v>20146</v>
      </c>
      <c r="G3469" s="16">
        <v>23.61</v>
      </c>
      <c r="H3469" s="16"/>
      <c r="I3469" s="16"/>
      <c r="J3469" s="16" t="s">
        <v>22371</v>
      </c>
      <c r="K3469" s="16" t="s">
        <v>22372</v>
      </c>
      <c r="L3469" s="16"/>
      <c r="M3469" s="16"/>
      <c r="N3469" s="12"/>
      <c r="O3469" s="12"/>
      <c r="P3469" s="13">
        <f>IFERROR(__xludf.DUMMYFUNCTION("VALUE(SUBSTITUTE((INDEX(SPLIT(A3469,"",""),1)),""."","","",1))"),55.713623)</f>
        <v>55.713623</v>
      </c>
      <c r="Q3469" s="13">
        <f>IFERROR(__xludf.DUMMYFUNCTION("VALUE(SUBSTITUTE((INDEX(SPLIT(A3469,"",""),2)),""."","","",1))"),52.403096)</f>
        <v>52.403096</v>
      </c>
      <c r="R3469" s="14" t="b">
        <f t="shared" si="1"/>
        <v>0</v>
      </c>
      <c r="S3469" s="14" t="str">
        <f t="shared" si="2"/>
        <v>55.713623,52.403096</v>
      </c>
      <c r="T3469" s="12"/>
    </row>
    <row r="3470">
      <c r="A3470" s="7" t="s">
        <v>22373</v>
      </c>
      <c r="B3470" s="8" t="s">
        <v>22374</v>
      </c>
      <c r="C3470" s="8" t="s">
        <v>22375</v>
      </c>
      <c r="D3470" s="8" t="s">
        <v>16</v>
      </c>
      <c r="E3470" s="9" t="s">
        <v>22376</v>
      </c>
      <c r="F3470" s="10" t="s">
        <v>20146</v>
      </c>
      <c r="G3470" s="8">
        <v>23.61</v>
      </c>
      <c r="H3470" s="8"/>
      <c r="I3470" s="10"/>
      <c r="J3470" s="10" t="s">
        <v>22377</v>
      </c>
      <c r="K3470" s="10" t="s">
        <v>22378</v>
      </c>
      <c r="L3470" s="11" t="s">
        <v>22379</v>
      </c>
      <c r="M3470" s="10"/>
      <c r="N3470" s="12"/>
      <c r="O3470" s="12"/>
      <c r="P3470" s="13">
        <f>IFERROR(__xludf.DUMMYFUNCTION("VALUE(SUBSTITUTE((INDEX(SPLIT(A3470,"",""),1)),""."","","",1))"),55.736371)</f>
        <v>55.736371</v>
      </c>
      <c r="Q3470" s="13">
        <f>IFERROR(__xludf.DUMMYFUNCTION("VALUE(SUBSTITUTE((INDEX(SPLIT(A3470,"",""),2)),""."","","",1))"),52.403159)</f>
        <v>52.403159</v>
      </c>
      <c r="R3470" s="14" t="b">
        <f t="shared" si="1"/>
        <v>0</v>
      </c>
      <c r="S3470" s="14" t="str">
        <f t="shared" si="2"/>
        <v>55.736371,52.403159</v>
      </c>
      <c r="T3470" s="12"/>
    </row>
    <row r="3471">
      <c r="A3471" s="15" t="s">
        <v>22380</v>
      </c>
      <c r="B3471" s="16" t="s">
        <v>22381</v>
      </c>
      <c r="C3471" s="16" t="s">
        <v>22382</v>
      </c>
      <c r="D3471" s="16" t="s">
        <v>16</v>
      </c>
      <c r="E3471" s="17" t="s">
        <v>22383</v>
      </c>
      <c r="F3471" s="16" t="s">
        <v>20146</v>
      </c>
      <c r="G3471" s="16">
        <v>23.61</v>
      </c>
      <c r="H3471" s="16"/>
      <c r="I3471" s="16"/>
      <c r="J3471" s="16" t="s">
        <v>22384</v>
      </c>
      <c r="K3471" s="16" t="s">
        <v>22385</v>
      </c>
      <c r="L3471" s="16"/>
      <c r="M3471" s="25" t="s">
        <v>22386</v>
      </c>
      <c r="N3471" s="12"/>
      <c r="O3471" s="12"/>
      <c r="P3471" s="13">
        <f>IFERROR(__xludf.DUMMYFUNCTION("VALUE(SUBSTITUTE((INDEX(SPLIT(A3471,"",""),1)),""."","","",1))"),55.741272)</f>
        <v>55.741272</v>
      </c>
      <c r="Q3471" s="13">
        <f>IFERROR(__xludf.DUMMYFUNCTION("VALUE(SUBSTITUTE((INDEX(SPLIT(A3471,"",""),2)),""."","","",1))"),52.403662)</f>
        <v>52.403662</v>
      </c>
      <c r="R3471" s="14" t="b">
        <f t="shared" si="1"/>
        <v>0</v>
      </c>
      <c r="S3471" s="14" t="str">
        <f t="shared" si="2"/>
        <v>55.741272,52.403662</v>
      </c>
      <c r="T3471" s="12"/>
    </row>
    <row r="3472">
      <c r="A3472" s="18" t="s">
        <v>22387</v>
      </c>
      <c r="B3472" s="8" t="s">
        <v>22388</v>
      </c>
      <c r="C3472" s="8" t="s">
        <v>22389</v>
      </c>
      <c r="D3472" s="8" t="s">
        <v>16</v>
      </c>
      <c r="E3472" s="19" t="s">
        <v>22390</v>
      </c>
      <c r="F3472" s="8" t="s">
        <v>20146</v>
      </c>
      <c r="G3472" s="8">
        <v>23.61</v>
      </c>
      <c r="H3472" s="8"/>
      <c r="I3472" s="8"/>
      <c r="J3472" s="8" t="s">
        <v>22391</v>
      </c>
      <c r="K3472" s="8" t="s">
        <v>22392</v>
      </c>
      <c r="L3472" s="8"/>
      <c r="M3472" s="24" t="s">
        <v>22393</v>
      </c>
      <c r="N3472" s="12"/>
      <c r="O3472" s="12"/>
      <c r="P3472" s="13">
        <f>IFERROR(__xludf.DUMMYFUNCTION("VALUE(SUBSTITUTE((INDEX(SPLIT(A3472,"",""),1)),""."","","",1))"),55.757911)</f>
        <v>55.757911</v>
      </c>
      <c r="Q3472" s="13">
        <f>IFERROR(__xludf.DUMMYFUNCTION("VALUE(SUBSTITUTE((INDEX(SPLIT(A3472,"",""),2)),""."","","",1))"),52.405288)</f>
        <v>52.405288</v>
      </c>
      <c r="R3472" s="14" t="b">
        <f t="shared" si="1"/>
        <v>0</v>
      </c>
      <c r="S3472" s="14" t="str">
        <f t="shared" si="2"/>
        <v>55.757911,52.405288</v>
      </c>
      <c r="T3472" s="12"/>
    </row>
    <row r="3473">
      <c r="A3473" s="15" t="s">
        <v>22394</v>
      </c>
      <c r="B3473" s="16" t="s">
        <v>13209</v>
      </c>
      <c r="C3473" s="16" t="s">
        <v>13210</v>
      </c>
      <c r="D3473" s="16" t="s">
        <v>16</v>
      </c>
      <c r="E3473" s="17" t="s">
        <v>22395</v>
      </c>
      <c r="F3473" s="16" t="s">
        <v>20146</v>
      </c>
      <c r="G3473" s="16">
        <v>23.61</v>
      </c>
      <c r="H3473" s="16"/>
      <c r="I3473" s="16"/>
      <c r="J3473" s="16" t="s">
        <v>22396</v>
      </c>
      <c r="K3473" s="16" t="s">
        <v>22397</v>
      </c>
      <c r="L3473" s="16"/>
      <c r="M3473" s="25" t="s">
        <v>22398</v>
      </c>
      <c r="N3473" s="12"/>
      <c r="O3473" s="12"/>
      <c r="P3473" s="13">
        <f>IFERROR(__xludf.DUMMYFUNCTION("VALUE(SUBSTITUTE((INDEX(SPLIT(A3473,"",""),1)),""."","","",1))"),55.74861)</f>
        <v>55.74861</v>
      </c>
      <c r="Q3473" s="13">
        <f>IFERROR(__xludf.DUMMYFUNCTION("VALUE(SUBSTITUTE((INDEX(SPLIT(A3473,"",""),2)),""."","","",1))"),52.408199)</f>
        <v>52.408199</v>
      </c>
      <c r="R3473" s="14" t="b">
        <f t="shared" si="1"/>
        <v>0</v>
      </c>
      <c r="S3473" s="14" t="str">
        <f t="shared" si="2"/>
        <v>55.74861,52.408199</v>
      </c>
      <c r="T3473" s="12"/>
    </row>
    <row r="3474">
      <c r="A3474" s="7" t="s">
        <v>22394</v>
      </c>
      <c r="B3474" s="8" t="s">
        <v>13607</v>
      </c>
      <c r="C3474" s="8" t="s">
        <v>13608</v>
      </c>
      <c r="D3474" s="8" t="s">
        <v>16</v>
      </c>
      <c r="E3474" s="9" t="s">
        <v>22399</v>
      </c>
      <c r="F3474" s="10" t="s">
        <v>21049</v>
      </c>
      <c r="G3474" s="8">
        <v>23.61</v>
      </c>
      <c r="H3474" s="8"/>
      <c r="I3474" s="10"/>
      <c r="J3474" s="10" t="s">
        <v>22400</v>
      </c>
      <c r="K3474" s="10" t="s">
        <v>22401</v>
      </c>
      <c r="L3474" s="11" t="s">
        <v>22402</v>
      </c>
      <c r="M3474" s="10"/>
      <c r="N3474" s="12"/>
      <c r="O3474" s="12"/>
      <c r="P3474" s="13">
        <f>IFERROR(__xludf.DUMMYFUNCTION("VALUE(SUBSTITUTE((INDEX(SPLIT(A3474,"",""),1)),""."","","",1))"),55.74861)</f>
        <v>55.74861</v>
      </c>
      <c r="Q3474" s="13">
        <f>IFERROR(__xludf.DUMMYFUNCTION("VALUE(SUBSTITUTE((INDEX(SPLIT(A3474,"",""),2)),""."","","",1))"),52.408199)</f>
        <v>52.408199</v>
      </c>
      <c r="R3474" s="14" t="b">
        <f t="shared" si="1"/>
        <v>0</v>
      </c>
      <c r="S3474" s="14" t="str">
        <f t="shared" si="2"/>
        <v>55.74861,52.408199</v>
      </c>
      <c r="T3474" s="12"/>
    </row>
    <row r="3475">
      <c r="A3475" s="15" t="s">
        <v>22403</v>
      </c>
      <c r="B3475" s="16" t="s">
        <v>22404</v>
      </c>
      <c r="C3475" s="16" t="s">
        <v>22405</v>
      </c>
      <c r="D3475" s="16" t="s">
        <v>16</v>
      </c>
      <c r="E3475" s="17" t="s">
        <v>22406</v>
      </c>
      <c r="F3475" s="16" t="s">
        <v>21049</v>
      </c>
      <c r="G3475" s="16">
        <v>23.61</v>
      </c>
      <c r="H3475" s="16"/>
      <c r="I3475" s="16"/>
      <c r="J3475" s="16" t="s">
        <v>22407</v>
      </c>
      <c r="K3475" s="16" t="s">
        <v>22408</v>
      </c>
      <c r="L3475" s="16"/>
      <c r="M3475" s="25" t="s">
        <v>22409</v>
      </c>
      <c r="N3475" s="12"/>
      <c r="O3475" s="12"/>
      <c r="P3475" s="13">
        <f>IFERROR(__xludf.DUMMYFUNCTION("VALUE(SUBSTITUTE((INDEX(SPLIT(A3475,"",""),1)),""."","","",1))"),53.586291)</f>
        <v>53.586291</v>
      </c>
      <c r="Q3475" s="13">
        <f>IFERROR(__xludf.DUMMYFUNCTION("VALUE(SUBSTITUTE((INDEX(SPLIT(A3475,"",""),2)),""."","","",1))"),52.416095)</f>
        <v>52.416095</v>
      </c>
      <c r="R3475" s="14" t="b">
        <f t="shared" si="1"/>
        <v>0</v>
      </c>
      <c r="S3475" s="14" t="str">
        <f t="shared" si="2"/>
        <v>53.586291,52.416095</v>
      </c>
      <c r="T3475" s="12"/>
    </row>
    <row r="3476">
      <c r="A3476" s="7" t="s">
        <v>22410</v>
      </c>
      <c r="B3476" s="8" t="s">
        <v>22411</v>
      </c>
      <c r="C3476" s="8" t="s">
        <v>22412</v>
      </c>
      <c r="D3476" s="8" t="s">
        <v>16</v>
      </c>
      <c r="E3476" s="9" t="s">
        <v>22413</v>
      </c>
      <c r="F3476" s="10" t="s">
        <v>21049</v>
      </c>
      <c r="G3476" s="8">
        <v>23.61</v>
      </c>
      <c r="H3476" s="8"/>
      <c r="I3476" s="10"/>
      <c r="J3476" s="10" t="s">
        <v>22414</v>
      </c>
      <c r="K3476" s="10" t="s">
        <v>22415</v>
      </c>
      <c r="L3476" s="11" t="s">
        <v>22416</v>
      </c>
      <c r="M3476" s="10"/>
      <c r="N3476" s="12"/>
      <c r="O3476" s="12"/>
      <c r="P3476" s="13">
        <f>IFERROR(__xludf.DUMMYFUNCTION("VALUE(SUBSTITUTE((INDEX(SPLIT(A3476,"",""),1)),""."","","",1))"),55.759897)</f>
        <v>55.759897</v>
      </c>
      <c r="Q3476" s="13">
        <f>IFERROR(__xludf.DUMMYFUNCTION("VALUE(SUBSTITUTE((INDEX(SPLIT(A3476,"",""),2)),""."","","",1))"),52.417406)</f>
        <v>52.417406</v>
      </c>
      <c r="R3476" s="14" t="b">
        <f t="shared" si="1"/>
        <v>0</v>
      </c>
      <c r="S3476" s="14" t="str">
        <f t="shared" si="2"/>
        <v>55.759897,52.417406</v>
      </c>
      <c r="T3476" s="12"/>
    </row>
    <row r="3477">
      <c r="A3477" s="20" t="s">
        <v>22417</v>
      </c>
      <c r="B3477" s="16" t="s">
        <v>22418</v>
      </c>
      <c r="C3477" s="16" t="s">
        <v>22419</v>
      </c>
      <c r="D3477" s="16" t="s">
        <v>16</v>
      </c>
      <c r="E3477" s="21" t="s">
        <v>22420</v>
      </c>
      <c r="F3477" s="22" t="s">
        <v>20146</v>
      </c>
      <c r="G3477" s="16">
        <v>23.61</v>
      </c>
      <c r="H3477" s="16"/>
      <c r="I3477" s="22"/>
      <c r="J3477" s="22" t="s">
        <v>22421</v>
      </c>
      <c r="K3477" s="22" t="s">
        <v>22422</v>
      </c>
      <c r="L3477" s="23" t="s">
        <v>22423</v>
      </c>
      <c r="M3477" s="22"/>
      <c r="N3477" s="12"/>
      <c r="O3477" s="12"/>
      <c r="P3477" s="13">
        <f>IFERROR(__xludf.DUMMYFUNCTION("VALUE(SUBSTITUTE((INDEX(SPLIT(A3477,"",""),1)),""."","","",1))"),55.748777)</f>
        <v>55.748777</v>
      </c>
      <c r="Q3477" s="13">
        <f>IFERROR(__xludf.DUMMYFUNCTION("VALUE(SUBSTITUTE((INDEX(SPLIT(A3477,"",""),2)),""."","","",1))"),52.418197)</f>
        <v>52.418197</v>
      </c>
      <c r="R3477" s="14" t="b">
        <f t="shared" si="1"/>
        <v>0</v>
      </c>
      <c r="S3477" s="14" t="str">
        <f t="shared" si="2"/>
        <v>55.748777,52.418197</v>
      </c>
      <c r="T3477" s="12"/>
    </row>
    <row r="3478">
      <c r="A3478" s="18" t="s">
        <v>22424</v>
      </c>
      <c r="B3478" s="8" t="s">
        <v>89</v>
      </c>
      <c r="C3478" s="8" t="s">
        <v>90</v>
      </c>
      <c r="D3478" s="8" t="s">
        <v>16</v>
      </c>
      <c r="E3478" s="19" t="s">
        <v>22425</v>
      </c>
      <c r="F3478" s="8" t="s">
        <v>20146</v>
      </c>
      <c r="G3478" s="8">
        <v>23.61</v>
      </c>
      <c r="H3478" s="8"/>
      <c r="I3478" s="8"/>
      <c r="J3478" s="8" t="s">
        <v>22426</v>
      </c>
      <c r="K3478" s="8" t="s">
        <v>22427</v>
      </c>
      <c r="L3478" s="8"/>
      <c r="M3478" s="8"/>
      <c r="N3478" s="12"/>
      <c r="O3478" s="12"/>
      <c r="P3478" s="13">
        <f>IFERROR(__xludf.DUMMYFUNCTION("VALUE(SUBSTITUTE((INDEX(SPLIT(A3478,"",""),1)),""."","","",1))"),55.756528)</f>
        <v>55.756528</v>
      </c>
      <c r="Q3478" s="13">
        <f>IFERROR(__xludf.DUMMYFUNCTION("VALUE(SUBSTITUTE((INDEX(SPLIT(A3478,"",""),2)),""."","","",1))"),52.423443)</f>
        <v>52.423443</v>
      </c>
      <c r="R3478" s="14" t="b">
        <f t="shared" si="1"/>
        <v>0</v>
      </c>
      <c r="S3478" s="14" t="str">
        <f t="shared" si="2"/>
        <v>55.756528,52.423443</v>
      </c>
      <c r="T3478" s="12"/>
    </row>
    <row r="3479">
      <c r="A3479" s="20" t="s">
        <v>22428</v>
      </c>
      <c r="B3479" s="16" t="s">
        <v>22429</v>
      </c>
      <c r="C3479" s="16" t="s">
        <v>22430</v>
      </c>
      <c r="D3479" s="16" t="s">
        <v>16</v>
      </c>
      <c r="E3479" s="21" t="s">
        <v>22431</v>
      </c>
      <c r="F3479" s="22" t="s">
        <v>17071</v>
      </c>
      <c r="G3479" s="16">
        <v>23.61</v>
      </c>
      <c r="H3479" s="16"/>
      <c r="I3479" s="22"/>
      <c r="J3479" s="22" t="s">
        <v>22432</v>
      </c>
      <c r="K3479" s="22" t="s">
        <v>22433</v>
      </c>
      <c r="L3479" s="23" t="s">
        <v>22434</v>
      </c>
      <c r="M3479" s="22"/>
      <c r="N3479" s="12"/>
      <c r="O3479" s="12"/>
      <c r="P3479" s="13">
        <f>IFERROR(__xludf.DUMMYFUNCTION("VALUE(SUBSTITUTE((INDEX(SPLIT(A3479,"",""),1)),""."","","",1))"),53.664135)</f>
        <v>53.664135</v>
      </c>
      <c r="Q3479" s="13">
        <f>IFERROR(__xludf.DUMMYFUNCTION("VALUE(SUBSTITUTE((INDEX(SPLIT(A3479,"",""),2)),""."","","",1))"),52.424836)</f>
        <v>52.424836</v>
      </c>
      <c r="R3479" s="14" t="b">
        <f t="shared" si="1"/>
        <v>0</v>
      </c>
      <c r="S3479" s="14" t="str">
        <f t="shared" si="2"/>
        <v>53.664135,52.424836</v>
      </c>
      <c r="T3479" s="12"/>
    </row>
    <row r="3480">
      <c r="A3480" s="7" t="s">
        <v>22435</v>
      </c>
      <c r="B3480" s="8" t="s">
        <v>22436</v>
      </c>
      <c r="C3480" s="8" t="s">
        <v>22437</v>
      </c>
      <c r="D3480" s="8" t="s">
        <v>16</v>
      </c>
      <c r="E3480" s="9" t="s">
        <v>22438</v>
      </c>
      <c r="F3480" s="10" t="s">
        <v>20160</v>
      </c>
      <c r="G3480" s="8">
        <v>23.61</v>
      </c>
      <c r="H3480" s="8"/>
      <c r="I3480" s="10"/>
      <c r="J3480" s="10" t="s">
        <v>22439</v>
      </c>
      <c r="K3480" s="10" t="s">
        <v>22440</v>
      </c>
      <c r="L3480" s="11" t="s">
        <v>22441</v>
      </c>
      <c r="M3480" s="11" t="s">
        <v>22442</v>
      </c>
      <c r="N3480" s="12"/>
      <c r="O3480" s="12"/>
      <c r="P3480" s="13">
        <f>IFERROR(__xludf.DUMMYFUNCTION("VALUE(SUBSTITUTE((INDEX(SPLIT(A3480,"",""),1)),""."","","",1))"),55.747236)</f>
        <v>55.747236</v>
      </c>
      <c r="Q3480" s="13">
        <f>IFERROR(__xludf.DUMMYFUNCTION("VALUE(SUBSTITUTE((INDEX(SPLIT(A3480,"",""),2)),""."","","",1))"),52.428025)</f>
        <v>52.428025</v>
      </c>
      <c r="R3480" s="14" t="b">
        <f t="shared" si="1"/>
        <v>0</v>
      </c>
      <c r="S3480" s="14" t="str">
        <f t="shared" si="2"/>
        <v>55.747236,52.428025</v>
      </c>
      <c r="T3480" s="12"/>
    </row>
    <row r="3481">
      <c r="A3481" s="15" t="s">
        <v>22443</v>
      </c>
      <c r="B3481" s="16" t="s">
        <v>22444</v>
      </c>
      <c r="C3481" s="16" t="s">
        <v>22445</v>
      </c>
      <c r="D3481" s="16" t="s">
        <v>16</v>
      </c>
      <c r="E3481" s="17" t="s">
        <v>22446</v>
      </c>
      <c r="F3481" s="16" t="s">
        <v>10183</v>
      </c>
      <c r="G3481" s="16">
        <v>23.61</v>
      </c>
      <c r="H3481" s="16"/>
      <c r="I3481" s="16"/>
      <c r="J3481" s="16" t="s">
        <v>22447</v>
      </c>
      <c r="K3481" s="16" t="s">
        <v>22448</v>
      </c>
      <c r="L3481" s="16"/>
      <c r="M3481" s="16"/>
      <c r="N3481" s="12"/>
      <c r="O3481" s="12"/>
      <c r="P3481" s="13">
        <f>IFERROR(__xludf.DUMMYFUNCTION("VALUE(SUBSTITUTE((INDEX(SPLIT(A3481,"",""),1)),""."","","",1))"),53.602948)</f>
        <v>53.602948</v>
      </c>
      <c r="Q3481" s="13">
        <f>IFERROR(__xludf.DUMMYFUNCTION("VALUE(SUBSTITUTE((INDEX(SPLIT(A3481,"",""),2)),""."","","",1))"),52.428878)</f>
        <v>52.428878</v>
      </c>
      <c r="R3481" s="14" t="b">
        <f t="shared" si="1"/>
        <v>0</v>
      </c>
      <c r="S3481" s="14" t="str">
        <f t="shared" si="2"/>
        <v>53.602948,52.428878</v>
      </c>
      <c r="T3481" s="12"/>
    </row>
    <row r="3482">
      <c r="A3482" s="18" t="s">
        <v>22449</v>
      </c>
      <c r="B3482" s="8" t="s">
        <v>22450</v>
      </c>
      <c r="C3482" s="8" t="s">
        <v>22451</v>
      </c>
      <c r="D3482" s="8" t="s">
        <v>16</v>
      </c>
      <c r="E3482" s="19" t="s">
        <v>22452</v>
      </c>
      <c r="F3482" s="8" t="s">
        <v>10183</v>
      </c>
      <c r="G3482" s="8">
        <v>23.61</v>
      </c>
      <c r="H3482" s="8"/>
      <c r="I3482" s="8"/>
      <c r="J3482" s="8" t="s">
        <v>22453</v>
      </c>
      <c r="K3482" s="8" t="s">
        <v>22454</v>
      </c>
      <c r="L3482" s="8"/>
      <c r="M3482" s="8"/>
      <c r="N3482" s="12"/>
      <c r="O3482" s="12"/>
      <c r="P3482" s="13">
        <f>IFERROR(__xludf.DUMMYFUNCTION("VALUE(SUBSTITUTE((INDEX(SPLIT(A3482,"",""),1)),""."","","",1))"),55.679275)</f>
        <v>55.679275</v>
      </c>
      <c r="Q3482" s="13">
        <f>IFERROR(__xludf.DUMMYFUNCTION("VALUE(SUBSTITUTE((INDEX(SPLIT(A3482,"",""),2)),""."","","",1))"),52.443206)</f>
        <v>52.443206</v>
      </c>
      <c r="R3482" s="14" t="b">
        <f t="shared" si="1"/>
        <v>0</v>
      </c>
      <c r="S3482" s="14" t="str">
        <f t="shared" si="2"/>
        <v>55.679275,52.443206</v>
      </c>
      <c r="T3482" s="12"/>
    </row>
    <row r="3483">
      <c r="A3483" s="20" t="s">
        <v>22455</v>
      </c>
      <c r="B3483" s="16" t="s">
        <v>13209</v>
      </c>
      <c r="C3483" s="16" t="s">
        <v>13210</v>
      </c>
      <c r="D3483" s="16" t="s">
        <v>16</v>
      </c>
      <c r="E3483" s="21" t="s">
        <v>22456</v>
      </c>
      <c r="F3483" s="22" t="s">
        <v>4881</v>
      </c>
      <c r="G3483" s="16">
        <v>23.61</v>
      </c>
      <c r="H3483" s="16"/>
      <c r="I3483" s="22"/>
      <c r="J3483" s="22" t="s">
        <v>22457</v>
      </c>
      <c r="K3483" s="22" t="s">
        <v>22458</v>
      </c>
      <c r="L3483" s="23" t="s">
        <v>22459</v>
      </c>
      <c r="M3483" s="22"/>
      <c r="N3483" s="12"/>
      <c r="O3483" s="12"/>
      <c r="P3483" s="13">
        <f>IFERROR(__xludf.DUMMYFUNCTION("VALUE(SUBSTITUTE((INDEX(SPLIT(A3483,"",""),1)),""."","","",1))"),55.693723)</f>
        <v>55.693723</v>
      </c>
      <c r="Q3483" s="13">
        <f>IFERROR(__xludf.DUMMYFUNCTION("VALUE(SUBSTITUTE((INDEX(SPLIT(A3483,"",""),2)),""."","","",1))"),52.45519)</f>
        <v>52.45519</v>
      </c>
      <c r="R3483" s="14" t="b">
        <f t="shared" si="1"/>
        <v>0</v>
      </c>
      <c r="S3483" s="14" t="str">
        <f t="shared" si="2"/>
        <v>55.693723,52.45519</v>
      </c>
      <c r="T3483" s="12"/>
    </row>
    <row r="3484">
      <c r="A3484" s="18" t="s">
        <v>22455</v>
      </c>
      <c r="B3484" s="8" t="s">
        <v>22460</v>
      </c>
      <c r="C3484" s="8" t="s">
        <v>22461</v>
      </c>
      <c r="D3484" s="8" t="s">
        <v>16</v>
      </c>
      <c r="E3484" s="19" t="s">
        <v>22462</v>
      </c>
      <c r="F3484" s="8" t="s">
        <v>20146</v>
      </c>
      <c r="G3484" s="8">
        <v>23.61</v>
      </c>
      <c r="H3484" s="8"/>
      <c r="I3484" s="8"/>
      <c r="J3484" s="8" t="s">
        <v>22463</v>
      </c>
      <c r="K3484" s="8" t="s">
        <v>22464</v>
      </c>
      <c r="L3484" s="8"/>
      <c r="M3484" s="8"/>
      <c r="N3484" s="12"/>
      <c r="O3484" s="12"/>
      <c r="P3484" s="13">
        <f>IFERROR(__xludf.DUMMYFUNCTION("VALUE(SUBSTITUTE((INDEX(SPLIT(A3484,"",""),1)),""."","","",1))"),55.693723)</f>
        <v>55.693723</v>
      </c>
      <c r="Q3484" s="13">
        <f>IFERROR(__xludf.DUMMYFUNCTION("VALUE(SUBSTITUTE((INDEX(SPLIT(A3484,"",""),2)),""."","","",1))"),52.45519)</f>
        <v>52.45519</v>
      </c>
      <c r="R3484" s="14" t="b">
        <f t="shared" si="1"/>
        <v>0</v>
      </c>
      <c r="S3484" s="14" t="str">
        <f t="shared" si="2"/>
        <v>55.693723,52.45519</v>
      </c>
      <c r="T3484" s="12"/>
    </row>
    <row r="3485">
      <c r="A3485" s="20" t="s">
        <v>22455</v>
      </c>
      <c r="B3485" s="16" t="s">
        <v>22465</v>
      </c>
      <c r="C3485" s="16" t="s">
        <v>22466</v>
      </c>
      <c r="D3485" s="16" t="s">
        <v>16</v>
      </c>
      <c r="E3485" s="21" t="s">
        <v>22467</v>
      </c>
      <c r="F3485" s="22" t="s">
        <v>20146</v>
      </c>
      <c r="G3485" s="16">
        <v>23.61</v>
      </c>
      <c r="H3485" s="16"/>
      <c r="I3485" s="28" t="s">
        <v>22468</v>
      </c>
      <c r="J3485" s="22" t="s">
        <v>22469</v>
      </c>
      <c r="K3485" s="22" t="s">
        <v>22470</v>
      </c>
      <c r="L3485" s="23" t="s">
        <v>22471</v>
      </c>
      <c r="M3485" s="23" t="s">
        <v>22472</v>
      </c>
      <c r="N3485" s="12"/>
      <c r="O3485" s="12"/>
      <c r="P3485" s="13">
        <f>IFERROR(__xludf.DUMMYFUNCTION("VALUE(SUBSTITUTE((INDEX(SPLIT(A3485,"",""),1)),""."","","",1))"),55.693723)</f>
        <v>55.693723</v>
      </c>
      <c r="Q3485" s="13">
        <f>IFERROR(__xludf.DUMMYFUNCTION("VALUE(SUBSTITUTE((INDEX(SPLIT(A3485,"",""),2)),""."","","",1))"),52.45519)</f>
        <v>52.45519</v>
      </c>
      <c r="R3485" s="14" t="b">
        <f t="shared" si="1"/>
        <v>0</v>
      </c>
      <c r="S3485" s="14" t="str">
        <f t="shared" si="2"/>
        <v>55.693723,52.45519</v>
      </c>
      <c r="T3485" s="12"/>
    </row>
    <row r="3486">
      <c r="A3486" s="18" t="s">
        <v>22473</v>
      </c>
      <c r="B3486" s="8" t="s">
        <v>22474</v>
      </c>
      <c r="C3486" s="8" t="s">
        <v>22475</v>
      </c>
      <c r="D3486" s="8" t="s">
        <v>16</v>
      </c>
      <c r="E3486" s="19" t="s">
        <v>22476</v>
      </c>
      <c r="F3486" s="8" t="s">
        <v>21049</v>
      </c>
      <c r="G3486" s="8">
        <v>23.61</v>
      </c>
      <c r="H3486" s="8"/>
      <c r="I3486" s="8"/>
      <c r="J3486" s="8" t="s">
        <v>22477</v>
      </c>
      <c r="K3486" s="8" t="s">
        <v>22478</v>
      </c>
      <c r="L3486" s="8"/>
      <c r="M3486" s="24" t="s">
        <v>22479</v>
      </c>
      <c r="N3486" s="12"/>
      <c r="O3486" s="12"/>
      <c r="P3486" s="13">
        <f>IFERROR(__xludf.DUMMYFUNCTION("VALUE(SUBSTITUTE((INDEX(SPLIT(A3486,"",""),1)),""."","","",1))"),55.688872)</f>
        <v>55.688872</v>
      </c>
      <c r="Q3486" s="13">
        <f>IFERROR(__xludf.DUMMYFUNCTION("VALUE(SUBSTITUTE((INDEX(SPLIT(A3486,"",""),2)),""."","","",1))"),52.455513)</f>
        <v>52.455513</v>
      </c>
      <c r="R3486" s="14" t="b">
        <f t="shared" si="1"/>
        <v>0</v>
      </c>
      <c r="S3486" s="14" t="str">
        <f t="shared" si="2"/>
        <v>55.688872,52.455513</v>
      </c>
      <c r="T3486" s="12"/>
    </row>
    <row r="3487">
      <c r="A3487" s="20" t="s">
        <v>22480</v>
      </c>
      <c r="B3487" s="16" t="s">
        <v>17371</v>
      </c>
      <c r="C3487" s="16" t="s">
        <v>17372</v>
      </c>
      <c r="D3487" s="16" t="s">
        <v>16</v>
      </c>
      <c r="E3487" s="21" t="s">
        <v>22481</v>
      </c>
      <c r="F3487" s="22" t="s">
        <v>21049</v>
      </c>
      <c r="G3487" s="16">
        <v>23.61</v>
      </c>
      <c r="H3487" s="16"/>
      <c r="I3487" s="28" t="s">
        <v>22482</v>
      </c>
      <c r="J3487" s="22" t="s">
        <v>22483</v>
      </c>
      <c r="K3487" s="22" t="s">
        <v>22484</v>
      </c>
      <c r="L3487" s="23" t="s">
        <v>22485</v>
      </c>
      <c r="M3487" s="22"/>
      <c r="N3487" s="12"/>
      <c r="O3487" s="12"/>
      <c r="P3487" s="13">
        <f>IFERROR(__xludf.DUMMYFUNCTION("VALUE(SUBSTITUTE((INDEX(SPLIT(A3487,"",""),1)),""."","","",1))"),53.673668)</f>
        <v>53.673668</v>
      </c>
      <c r="Q3487" s="13">
        <f>IFERROR(__xludf.DUMMYFUNCTION("VALUE(SUBSTITUTE((INDEX(SPLIT(A3487,"",""),2)),""."","","",1))"),52.460247)</f>
        <v>52.460247</v>
      </c>
      <c r="R3487" s="14" t="b">
        <f t="shared" si="1"/>
        <v>0</v>
      </c>
      <c r="S3487" s="14" t="str">
        <f t="shared" si="2"/>
        <v>53.673668,52.460247</v>
      </c>
      <c r="T3487" s="12"/>
    </row>
    <row r="3488">
      <c r="A3488" s="7" t="s">
        <v>22486</v>
      </c>
      <c r="B3488" s="8" t="s">
        <v>22487</v>
      </c>
      <c r="C3488" s="8" t="s">
        <v>22488</v>
      </c>
      <c r="D3488" s="8" t="s">
        <v>16</v>
      </c>
      <c r="E3488" s="9" t="s">
        <v>22489</v>
      </c>
      <c r="F3488" s="10" t="s">
        <v>21049</v>
      </c>
      <c r="G3488" s="8">
        <v>23.61</v>
      </c>
      <c r="H3488" s="8"/>
      <c r="I3488" s="10"/>
      <c r="J3488" s="10" t="s">
        <v>22490</v>
      </c>
      <c r="K3488" s="10" t="s">
        <v>22491</v>
      </c>
      <c r="L3488" s="11" t="s">
        <v>22492</v>
      </c>
      <c r="M3488" s="10"/>
      <c r="N3488" s="12"/>
      <c r="O3488" s="12"/>
      <c r="P3488" s="13">
        <f>IFERROR(__xludf.DUMMYFUNCTION("VALUE(SUBSTITUTE((INDEX(SPLIT(A3488,"",""),1)),""."","","",1))"),55.813799)</f>
        <v>55.813799</v>
      </c>
      <c r="Q3488" s="13">
        <f>IFERROR(__xludf.DUMMYFUNCTION("VALUE(SUBSTITUTE((INDEX(SPLIT(A3488,"",""),2)),""."","","",1))"),52.541446)</f>
        <v>52.541446</v>
      </c>
      <c r="R3488" s="14" t="b">
        <f t="shared" si="1"/>
        <v>0</v>
      </c>
      <c r="S3488" s="14" t="str">
        <f t="shared" si="2"/>
        <v>55.813799,52.541446</v>
      </c>
      <c r="T3488" s="12"/>
    </row>
    <row r="3489">
      <c r="A3489" s="15" t="s">
        <v>22493</v>
      </c>
      <c r="B3489" s="16" t="s">
        <v>22494</v>
      </c>
      <c r="C3489" s="16" t="s">
        <v>22495</v>
      </c>
      <c r="D3489" s="16" t="s">
        <v>16</v>
      </c>
      <c r="E3489" s="17" t="s">
        <v>22496</v>
      </c>
      <c r="F3489" s="16" t="s">
        <v>21049</v>
      </c>
      <c r="G3489" s="16">
        <v>23.61</v>
      </c>
      <c r="H3489" s="16"/>
      <c r="I3489" s="16"/>
      <c r="J3489" s="16" t="s">
        <v>22497</v>
      </c>
      <c r="K3489" s="16" t="s">
        <v>22498</v>
      </c>
      <c r="L3489" s="16"/>
      <c r="M3489" s="16"/>
      <c r="N3489" s="12"/>
      <c r="O3489" s="12"/>
      <c r="P3489" s="13">
        <f>IFERROR(__xludf.DUMMYFUNCTION("VALUE(SUBSTITUTE((INDEX(SPLIT(A3489,"",""),1)),""."","","",1))"),58.110846)</f>
        <v>58.110846</v>
      </c>
      <c r="Q3489" s="13">
        <f>IFERROR(__xludf.DUMMYFUNCTION("VALUE(SUBSTITUTE((INDEX(SPLIT(A3489,"",""),2)),""."","","",1))"),52.656242)</f>
        <v>52.656242</v>
      </c>
      <c r="R3489" s="14" t="b">
        <f t="shared" si="1"/>
        <v>0</v>
      </c>
      <c r="S3489" s="14" t="str">
        <f t="shared" si="2"/>
        <v>58.110846,52.656242</v>
      </c>
      <c r="T3489" s="12"/>
    </row>
    <row r="3490">
      <c r="A3490" s="18" t="s">
        <v>22499</v>
      </c>
      <c r="B3490" s="8" t="s">
        <v>7991</v>
      </c>
      <c r="C3490" s="8" t="s">
        <v>7992</v>
      </c>
      <c r="D3490" s="8" t="s">
        <v>16</v>
      </c>
      <c r="E3490" s="19" t="s">
        <v>22500</v>
      </c>
      <c r="F3490" s="8" t="s">
        <v>21049</v>
      </c>
      <c r="G3490" s="8">
        <v>23.61</v>
      </c>
      <c r="H3490" s="8"/>
      <c r="I3490" s="8"/>
      <c r="J3490" s="8" t="s">
        <v>22501</v>
      </c>
      <c r="K3490" s="8" t="s">
        <v>22502</v>
      </c>
      <c r="L3490" s="8"/>
      <c r="M3490" s="8"/>
      <c r="N3490" s="12"/>
      <c r="O3490" s="12"/>
      <c r="P3490" s="13">
        <f>IFERROR(__xludf.DUMMYFUNCTION("VALUE(SUBSTITUTE((INDEX(SPLIT(A3490,"",""),1)),""."","","",1))"),58.135926)</f>
        <v>58.135926</v>
      </c>
      <c r="Q3490" s="13">
        <f>IFERROR(__xludf.DUMMYFUNCTION("VALUE(SUBSTITUTE((INDEX(SPLIT(A3490,"",""),2)),""."","","",1))"),52.670974)</f>
        <v>52.670974</v>
      </c>
      <c r="R3490" s="14" t="b">
        <f t="shared" si="1"/>
        <v>0</v>
      </c>
      <c r="S3490" s="14" t="str">
        <f t="shared" si="2"/>
        <v>58.135926,52.670974</v>
      </c>
      <c r="T3490" s="12"/>
    </row>
    <row r="3491">
      <c r="A3491" s="15" t="s">
        <v>22503</v>
      </c>
      <c r="B3491" s="16" t="s">
        <v>22504</v>
      </c>
      <c r="C3491" s="16" t="s">
        <v>22505</v>
      </c>
      <c r="D3491" s="16" t="s">
        <v>16</v>
      </c>
      <c r="E3491" s="17" t="s">
        <v>22506</v>
      </c>
      <c r="F3491" s="16" t="s">
        <v>21049</v>
      </c>
      <c r="G3491" s="16">
        <v>23.61</v>
      </c>
      <c r="H3491" s="16"/>
      <c r="I3491" s="16"/>
      <c r="J3491" s="16" t="s">
        <v>22507</v>
      </c>
      <c r="K3491" s="16" t="s">
        <v>22508</v>
      </c>
      <c r="L3491" s="16"/>
      <c r="M3491" s="16"/>
      <c r="N3491" s="12"/>
      <c r="O3491" s="12"/>
      <c r="P3491" s="13">
        <f>IFERROR(__xludf.DUMMYFUNCTION("VALUE(SUBSTITUTE((INDEX(SPLIT(A3491,"",""),1)),""."","","",1))"),52.514368)</f>
        <v>52.514368</v>
      </c>
      <c r="Q3491" s="13">
        <f>IFERROR(__xludf.DUMMYFUNCTION("VALUE(SUBSTITUTE((INDEX(SPLIT(A3491,"",""),2)),""."","","",1))"),52.771558)</f>
        <v>52.771558</v>
      </c>
      <c r="R3491" s="14" t="b">
        <f t="shared" si="1"/>
        <v>0</v>
      </c>
      <c r="S3491" s="14" t="str">
        <f t="shared" si="2"/>
        <v>52.514368,52.771558</v>
      </c>
      <c r="T3491" s="12"/>
    </row>
    <row r="3492">
      <c r="A3492" s="15" t="s">
        <v>22509</v>
      </c>
      <c r="B3492" s="16" t="s">
        <v>22510</v>
      </c>
      <c r="C3492" s="16" t="s">
        <v>22511</v>
      </c>
      <c r="D3492" s="16" t="s">
        <v>16</v>
      </c>
      <c r="E3492" s="17" t="s">
        <v>22512</v>
      </c>
      <c r="F3492" s="16" t="s">
        <v>21049</v>
      </c>
      <c r="G3492" s="16">
        <v>23.61</v>
      </c>
      <c r="H3492" s="16"/>
      <c r="I3492" s="16"/>
      <c r="J3492" s="16" t="s">
        <v>22513</v>
      </c>
      <c r="K3492" s="16" t="s">
        <v>22514</v>
      </c>
      <c r="L3492" s="16"/>
      <c r="M3492" s="16"/>
      <c r="N3492" s="12"/>
      <c r="O3492" s="12"/>
      <c r="P3492" s="13">
        <f>IFERROR(__xludf.DUMMYFUNCTION("VALUE(SUBSTITUTE((INDEX(SPLIT(A3492,"",""),1)),""."","","",1))"),56.532266)</f>
        <v>56.532266</v>
      </c>
      <c r="Q3492" s="13">
        <f>IFERROR(__xludf.DUMMYFUNCTION("VALUE(SUBSTITUTE((INDEX(SPLIT(A3492,"",""),2)),""."","","",1))"),52.997547)</f>
        <v>52.997547</v>
      </c>
      <c r="R3492" s="14" t="b">
        <f t="shared" si="1"/>
        <v>0</v>
      </c>
      <c r="S3492" s="14" t="str">
        <f t="shared" si="2"/>
        <v>56.532266,52.997547</v>
      </c>
      <c r="T3492" s="12"/>
    </row>
    <row r="3493">
      <c r="A3493" s="7" t="s">
        <v>22515</v>
      </c>
      <c r="B3493" s="8" t="s">
        <v>22516</v>
      </c>
      <c r="C3493" s="8" t="s">
        <v>22517</v>
      </c>
      <c r="D3493" s="8" t="s">
        <v>16</v>
      </c>
      <c r="E3493" s="9" t="s">
        <v>22518</v>
      </c>
      <c r="F3493" s="10" t="s">
        <v>21049</v>
      </c>
      <c r="G3493" s="8">
        <v>23.61</v>
      </c>
      <c r="H3493" s="8"/>
      <c r="I3493" s="31" t="s">
        <v>22519</v>
      </c>
      <c r="J3493" s="10" t="s">
        <v>22520</v>
      </c>
      <c r="K3493" s="10" t="s">
        <v>22521</v>
      </c>
      <c r="L3493" s="11" t="s">
        <v>22522</v>
      </c>
      <c r="M3493" s="10"/>
      <c r="N3493" s="12"/>
      <c r="O3493" s="12"/>
      <c r="P3493" s="13">
        <f>IFERROR(__xludf.DUMMYFUNCTION("VALUE(SUBSTITUTE((INDEX(SPLIT(A3493,"",""),1)),""."","","",1))"),55.714561)</f>
        <v>55.714561</v>
      </c>
      <c r="Q3493" s="13">
        <f>IFERROR(__xludf.DUMMYFUNCTION("VALUE(SUBSTITUTE((INDEX(SPLIT(A3493,"",""),2)),""."","","",1))"),53.075818)</f>
        <v>53.075818</v>
      </c>
      <c r="R3493" s="14" t="b">
        <f t="shared" si="1"/>
        <v>0</v>
      </c>
      <c r="S3493" s="14" t="str">
        <f t="shared" si="2"/>
        <v>55.714561,53.075818</v>
      </c>
      <c r="T3493" s="12"/>
    </row>
    <row r="3494">
      <c r="A3494" s="20" t="s">
        <v>22515</v>
      </c>
      <c r="B3494" s="16" t="s">
        <v>22523</v>
      </c>
      <c r="C3494" s="16" t="s">
        <v>22524</v>
      </c>
      <c r="D3494" s="16" t="s">
        <v>16</v>
      </c>
      <c r="E3494" s="21" t="s">
        <v>22525</v>
      </c>
      <c r="F3494" s="22" t="s">
        <v>13111</v>
      </c>
      <c r="G3494" s="16">
        <v>23.61</v>
      </c>
      <c r="H3494" s="16"/>
      <c r="I3494" s="22"/>
      <c r="J3494" s="22" t="s">
        <v>22526</v>
      </c>
      <c r="K3494" s="22" t="s">
        <v>22527</v>
      </c>
      <c r="L3494" s="23" t="s">
        <v>22528</v>
      </c>
      <c r="M3494" s="23" t="s">
        <v>22529</v>
      </c>
      <c r="N3494" s="12"/>
      <c r="O3494" s="12"/>
      <c r="P3494" s="13">
        <f>IFERROR(__xludf.DUMMYFUNCTION("VALUE(SUBSTITUTE((INDEX(SPLIT(A3494,"",""),1)),""."","","",1))"),55.714561)</f>
        <v>55.714561</v>
      </c>
      <c r="Q3494" s="13">
        <f>IFERROR(__xludf.DUMMYFUNCTION("VALUE(SUBSTITUTE((INDEX(SPLIT(A3494,"",""),2)),""."","","",1))"),53.075818)</f>
        <v>53.075818</v>
      </c>
      <c r="R3494" s="14" t="b">
        <f t="shared" si="1"/>
        <v>0</v>
      </c>
      <c r="S3494" s="14" t="str">
        <f t="shared" si="2"/>
        <v>55.714561,53.075818</v>
      </c>
      <c r="T3494" s="12"/>
    </row>
    <row r="3495">
      <c r="A3495" s="18" t="s">
        <v>22530</v>
      </c>
      <c r="B3495" s="8" t="s">
        <v>9706</v>
      </c>
      <c r="C3495" s="8" t="s">
        <v>9707</v>
      </c>
      <c r="D3495" s="8" t="s">
        <v>16</v>
      </c>
      <c r="E3495" s="19" t="s">
        <v>22531</v>
      </c>
      <c r="F3495" s="8" t="s">
        <v>21049</v>
      </c>
      <c r="G3495" s="8">
        <v>23.61</v>
      </c>
      <c r="H3495" s="8"/>
      <c r="I3495" s="8"/>
      <c r="J3495" s="8" t="s">
        <v>22532</v>
      </c>
      <c r="K3495" s="8" t="s">
        <v>22533</v>
      </c>
      <c r="L3495" s="8"/>
      <c r="M3495" s="8"/>
      <c r="N3495" s="12"/>
      <c r="O3495" s="12"/>
      <c r="P3495" s="13">
        <f>IFERROR(__xludf.DUMMYFUNCTION("VALUE(SUBSTITUTE((INDEX(SPLIT(A3495,"",""),1)),""."","","",1))"),56.836037)</f>
        <v>56.836037</v>
      </c>
      <c r="Q3495" s="13">
        <f>IFERROR(__xludf.DUMMYFUNCTION("VALUE(SUBSTITUTE((INDEX(SPLIT(A3495,"",""),2)),""."","","",1))"),53.136355)</f>
        <v>53.136355</v>
      </c>
      <c r="R3495" s="14" t="b">
        <f t="shared" si="1"/>
        <v>0</v>
      </c>
      <c r="S3495" s="14" t="str">
        <f t="shared" si="2"/>
        <v>56.836037,53.136355</v>
      </c>
      <c r="T3495" s="12"/>
    </row>
    <row r="3496">
      <c r="A3496" s="15" t="s">
        <v>22534</v>
      </c>
      <c r="B3496" s="16" t="s">
        <v>22535</v>
      </c>
      <c r="C3496" s="16" t="s">
        <v>22536</v>
      </c>
      <c r="D3496" s="16" t="s">
        <v>16</v>
      </c>
      <c r="E3496" s="17" t="s">
        <v>22537</v>
      </c>
      <c r="F3496" s="16" t="s">
        <v>13111</v>
      </c>
      <c r="G3496" s="16">
        <v>23.61</v>
      </c>
      <c r="H3496" s="16"/>
      <c r="I3496" s="16"/>
      <c r="J3496" s="16" t="s">
        <v>22538</v>
      </c>
      <c r="K3496" s="16" t="s">
        <v>22539</v>
      </c>
      <c r="L3496" s="16"/>
      <c r="M3496" s="16"/>
      <c r="N3496" s="12"/>
      <c r="O3496" s="12"/>
      <c r="P3496" s="13">
        <f>IFERROR(__xludf.DUMMYFUNCTION("VALUE(SUBSTITUTE((INDEX(SPLIT(A3496,"",""),1)),""."","","",1))"),56.840276)</f>
        <v>56.840276</v>
      </c>
      <c r="Q3496" s="13">
        <f>IFERROR(__xludf.DUMMYFUNCTION("VALUE(SUBSTITUTE((INDEX(SPLIT(A3496,"",""),2)),""."","","",1))"),53.143712)</f>
        <v>53.143712</v>
      </c>
      <c r="R3496" s="14" t="b">
        <f t="shared" si="1"/>
        <v>0</v>
      </c>
      <c r="S3496" s="14" t="str">
        <f t="shared" si="2"/>
        <v>56.840276,53.143712</v>
      </c>
      <c r="T3496" s="12"/>
    </row>
    <row r="3497">
      <c r="A3497" s="18" t="s">
        <v>22540</v>
      </c>
      <c r="B3497" s="8" t="s">
        <v>14630</v>
      </c>
      <c r="C3497" s="8" t="s">
        <v>14631</v>
      </c>
      <c r="D3497" s="8" t="s">
        <v>16</v>
      </c>
      <c r="E3497" s="19" t="s">
        <v>22541</v>
      </c>
      <c r="F3497" s="8" t="s">
        <v>21049</v>
      </c>
      <c r="G3497" s="8">
        <v>23.61</v>
      </c>
      <c r="H3497" s="8"/>
      <c r="I3497" s="8"/>
      <c r="J3497" s="8" t="s">
        <v>22542</v>
      </c>
      <c r="K3497" s="8" t="s">
        <v>22543</v>
      </c>
      <c r="L3497" s="8"/>
      <c r="M3497" s="24" t="s">
        <v>22544</v>
      </c>
      <c r="N3497" s="12"/>
      <c r="O3497" s="12"/>
      <c r="P3497" s="13">
        <f>IFERROR(__xludf.DUMMYFUNCTION("VALUE(SUBSTITUTE((INDEX(SPLIT(A3497,"",""),1)),""."","","",1))"),56.776685)</f>
        <v>56.776685</v>
      </c>
      <c r="Q3497" s="13">
        <f>IFERROR(__xludf.DUMMYFUNCTION("VALUE(SUBSTITUTE((INDEX(SPLIT(A3497,"",""),2)),""."","","",1))"),53.165155)</f>
        <v>53.165155</v>
      </c>
      <c r="R3497" s="14" t="b">
        <f t="shared" si="1"/>
        <v>0</v>
      </c>
      <c r="S3497" s="14" t="str">
        <f t="shared" si="2"/>
        <v>56.776685,53.165155</v>
      </c>
      <c r="T3497" s="12"/>
    </row>
    <row r="3498">
      <c r="A3498" s="15" t="s">
        <v>22545</v>
      </c>
      <c r="B3498" s="16" t="s">
        <v>22546</v>
      </c>
      <c r="C3498" s="16" t="s">
        <v>22547</v>
      </c>
      <c r="D3498" s="16" t="s">
        <v>16</v>
      </c>
      <c r="E3498" s="17" t="s">
        <v>22548</v>
      </c>
      <c r="F3498" s="16" t="s">
        <v>21049</v>
      </c>
      <c r="G3498" s="16">
        <v>23.61</v>
      </c>
      <c r="H3498" s="16"/>
      <c r="I3498" s="16"/>
      <c r="J3498" s="16" t="s">
        <v>22549</v>
      </c>
      <c r="K3498" s="16" t="s">
        <v>22550</v>
      </c>
      <c r="L3498" s="16"/>
      <c r="M3498" s="16"/>
      <c r="N3498" s="12"/>
      <c r="O3498" s="12"/>
      <c r="P3498" s="13">
        <f>IFERROR(__xludf.DUMMYFUNCTION("VALUE(SUBSTITUTE((INDEX(SPLIT(A3498,"",""),1)),""."","","",1))"),56.864812)</f>
        <v>56.864812</v>
      </c>
      <c r="Q3498" s="13">
        <f>IFERROR(__xludf.DUMMYFUNCTION("VALUE(SUBSTITUTE((INDEX(SPLIT(A3498,"",""),2)),""."","","",1))"),53.180319)</f>
        <v>53.180319</v>
      </c>
      <c r="R3498" s="14" t="b">
        <f t="shared" si="1"/>
        <v>0</v>
      </c>
      <c r="S3498" s="14" t="str">
        <f t="shared" si="2"/>
        <v>56.864812,53.180319</v>
      </c>
      <c r="T3498" s="12"/>
    </row>
    <row r="3499">
      <c r="A3499" s="18" t="s">
        <v>22551</v>
      </c>
      <c r="B3499" s="8" t="s">
        <v>22552</v>
      </c>
      <c r="C3499" s="8" t="s">
        <v>22553</v>
      </c>
      <c r="D3499" s="8" t="s">
        <v>16</v>
      </c>
      <c r="E3499" s="19" t="s">
        <v>22554</v>
      </c>
      <c r="F3499" s="8" t="s">
        <v>21049</v>
      </c>
      <c r="G3499" s="8">
        <v>23.61</v>
      </c>
      <c r="H3499" s="8"/>
      <c r="I3499" s="8"/>
      <c r="J3499" s="8" t="s">
        <v>22555</v>
      </c>
      <c r="K3499" s="8" t="s">
        <v>6277</v>
      </c>
      <c r="L3499" s="8"/>
      <c r="M3499" s="8"/>
      <c r="N3499" s="12"/>
      <c r="O3499" s="12"/>
      <c r="P3499" s="13">
        <f>IFERROR(__xludf.DUMMYFUNCTION("VALUE(SUBSTITUTE((INDEX(SPLIT(A3499,"",""),1)),""."","","",1))"),55.30976)</f>
        <v>55.30976</v>
      </c>
      <c r="Q3499" s="13">
        <f>IFERROR(__xludf.DUMMYFUNCTION("VALUE(SUBSTITUTE((INDEX(SPLIT(A3499,"",""),2)),""."","","",1))"),53.183364)</f>
        <v>53.183364</v>
      </c>
      <c r="R3499" s="14" t="b">
        <f t="shared" si="1"/>
        <v>0</v>
      </c>
      <c r="S3499" s="14" t="str">
        <f t="shared" si="2"/>
        <v>55.30976,53.183364</v>
      </c>
      <c r="T3499" s="12"/>
    </row>
    <row r="3500">
      <c r="A3500" s="15" t="s">
        <v>22556</v>
      </c>
      <c r="B3500" s="16" t="s">
        <v>22557</v>
      </c>
      <c r="C3500" s="16" t="s">
        <v>22558</v>
      </c>
      <c r="D3500" s="16" t="s">
        <v>16</v>
      </c>
      <c r="E3500" s="17" t="s">
        <v>22559</v>
      </c>
      <c r="F3500" s="16" t="s">
        <v>10183</v>
      </c>
      <c r="G3500" s="16">
        <v>23.61</v>
      </c>
      <c r="H3500" s="16"/>
      <c r="I3500" s="16"/>
      <c r="J3500" s="16" t="s">
        <v>22560</v>
      </c>
      <c r="K3500" s="16" t="s">
        <v>22561</v>
      </c>
      <c r="L3500" s="16"/>
      <c r="M3500" s="16"/>
      <c r="N3500" s="12"/>
      <c r="O3500" s="12"/>
      <c r="P3500" s="13">
        <f>IFERROR(__xludf.DUMMYFUNCTION("VALUE(SUBSTITUTE((INDEX(SPLIT(A3500,"",""),1)),""."","","",1))"),56.786444)</f>
        <v>56.786444</v>
      </c>
      <c r="Q3500" s="13">
        <f>IFERROR(__xludf.DUMMYFUNCTION("VALUE(SUBSTITUTE((INDEX(SPLIT(A3500,"",""),2)),""."","","",1))"),53.196075)</f>
        <v>53.196075</v>
      </c>
      <c r="R3500" s="14" t="b">
        <f t="shared" si="1"/>
        <v>0</v>
      </c>
      <c r="S3500" s="14" t="str">
        <f t="shared" si="2"/>
        <v>56.786444,53.196075</v>
      </c>
      <c r="T3500" s="12"/>
    </row>
    <row r="3501">
      <c r="A3501" s="18" t="s">
        <v>22562</v>
      </c>
      <c r="B3501" s="8" t="s">
        <v>22563</v>
      </c>
      <c r="C3501" s="8" t="s">
        <v>22564</v>
      </c>
      <c r="D3501" s="8" t="s">
        <v>16</v>
      </c>
      <c r="E3501" s="19" t="s">
        <v>22565</v>
      </c>
      <c r="F3501" s="8" t="s">
        <v>21049</v>
      </c>
      <c r="G3501" s="8">
        <v>23.61</v>
      </c>
      <c r="H3501" s="8"/>
      <c r="I3501" s="8"/>
      <c r="J3501" s="8" t="s">
        <v>22566</v>
      </c>
      <c r="K3501" s="8" t="s">
        <v>22567</v>
      </c>
      <c r="L3501" s="8"/>
      <c r="M3501" s="8"/>
      <c r="N3501" s="12"/>
      <c r="O3501" s="12"/>
      <c r="P3501" s="13">
        <f>IFERROR(__xludf.DUMMYFUNCTION("VALUE(SUBSTITUTE((INDEX(SPLIT(A3501,"",""),1)),""."","","",1))"),56.861978)</f>
        <v>56.861978</v>
      </c>
      <c r="Q3501" s="13">
        <f>IFERROR(__xludf.DUMMYFUNCTION("VALUE(SUBSTITUTE((INDEX(SPLIT(A3501,"",""),2)),""."","","",1))"),53.199839)</f>
        <v>53.199839</v>
      </c>
      <c r="R3501" s="14" t="b">
        <f t="shared" si="1"/>
        <v>0</v>
      </c>
      <c r="S3501" s="14" t="str">
        <f t="shared" si="2"/>
        <v>56.861978,53.199839</v>
      </c>
      <c r="T3501" s="12"/>
    </row>
    <row r="3502">
      <c r="A3502" s="20" t="s">
        <v>22568</v>
      </c>
      <c r="B3502" s="16" t="s">
        <v>22569</v>
      </c>
      <c r="C3502" s="16" t="s">
        <v>22570</v>
      </c>
      <c r="D3502" s="16" t="s">
        <v>16</v>
      </c>
      <c r="E3502" s="21" t="s">
        <v>22571</v>
      </c>
      <c r="F3502" s="22" t="s">
        <v>21049</v>
      </c>
      <c r="G3502" s="16">
        <v>23.61</v>
      </c>
      <c r="H3502" s="16"/>
      <c r="I3502" s="22"/>
      <c r="J3502" s="22" t="s">
        <v>22572</v>
      </c>
      <c r="K3502" s="22" t="s">
        <v>22573</v>
      </c>
      <c r="L3502" s="23" t="s">
        <v>22574</v>
      </c>
      <c r="M3502" s="22"/>
      <c r="N3502" s="12"/>
      <c r="O3502" s="12"/>
      <c r="P3502" s="13">
        <f>IFERROR(__xludf.DUMMYFUNCTION("VALUE(SUBSTITUTE((INDEX(SPLIT(A3502,"",""),1)),""."","","",1))"),56.852676)</f>
        <v>56.852676</v>
      </c>
      <c r="Q3502" s="13">
        <f>IFERROR(__xludf.DUMMYFUNCTION("VALUE(SUBSTITUTE((INDEX(SPLIT(A3502,"",""),2)),""."","","",1))"),53.2069)</f>
        <v>53.2069</v>
      </c>
      <c r="R3502" s="14" t="b">
        <f t="shared" si="1"/>
        <v>0</v>
      </c>
      <c r="S3502" s="14" t="str">
        <f t="shared" si="2"/>
        <v>56.852676,53.2069</v>
      </c>
      <c r="T3502" s="12"/>
    </row>
    <row r="3503">
      <c r="A3503" s="18" t="s">
        <v>22568</v>
      </c>
      <c r="B3503" s="8" t="s">
        <v>22575</v>
      </c>
      <c r="C3503" s="8" t="s">
        <v>22576</v>
      </c>
      <c r="D3503" s="8" t="s">
        <v>16</v>
      </c>
      <c r="E3503" s="19" t="s">
        <v>22577</v>
      </c>
      <c r="F3503" s="8" t="s">
        <v>21049</v>
      </c>
      <c r="G3503" s="8">
        <v>23.61</v>
      </c>
      <c r="H3503" s="8"/>
      <c r="I3503" s="8"/>
      <c r="J3503" s="8" t="s">
        <v>22578</v>
      </c>
      <c r="K3503" s="8" t="s">
        <v>22579</v>
      </c>
      <c r="L3503" s="8"/>
      <c r="M3503" s="24" t="s">
        <v>22580</v>
      </c>
      <c r="N3503" s="12"/>
      <c r="O3503" s="12"/>
      <c r="P3503" s="13">
        <f>IFERROR(__xludf.DUMMYFUNCTION("VALUE(SUBSTITUTE((INDEX(SPLIT(A3503,"",""),1)),""."","","",1))"),56.852676)</f>
        <v>56.852676</v>
      </c>
      <c r="Q3503" s="13">
        <f>IFERROR(__xludf.DUMMYFUNCTION("VALUE(SUBSTITUTE((INDEX(SPLIT(A3503,"",""),2)),""."","","",1))"),53.2069)</f>
        <v>53.2069</v>
      </c>
      <c r="R3503" s="14" t="b">
        <f t="shared" si="1"/>
        <v>0</v>
      </c>
      <c r="S3503" s="14" t="str">
        <f t="shared" si="2"/>
        <v>56.852676,53.2069</v>
      </c>
      <c r="T3503" s="12"/>
    </row>
    <row r="3504">
      <c r="A3504" s="15" t="s">
        <v>22581</v>
      </c>
      <c r="B3504" s="16" t="s">
        <v>22582</v>
      </c>
      <c r="C3504" s="16" t="s">
        <v>22583</v>
      </c>
      <c r="D3504" s="16" t="s">
        <v>16</v>
      </c>
      <c r="E3504" s="17" t="s">
        <v>22584</v>
      </c>
      <c r="F3504" s="16" t="s">
        <v>21049</v>
      </c>
      <c r="G3504" s="16">
        <v>23.61</v>
      </c>
      <c r="H3504" s="16"/>
      <c r="I3504" s="16"/>
      <c r="J3504" s="16" t="s">
        <v>22585</v>
      </c>
      <c r="K3504" s="16" t="s">
        <v>22586</v>
      </c>
      <c r="L3504" s="16"/>
      <c r="M3504" s="25" t="s">
        <v>22587</v>
      </c>
      <c r="N3504" s="12"/>
      <c r="O3504" s="12"/>
      <c r="P3504" s="13">
        <f>IFERROR(__xludf.DUMMYFUNCTION("VALUE(SUBSTITUTE((INDEX(SPLIT(A3504,"",""),1)),""."","","",1))"),56.817774)</f>
        <v>56.817774</v>
      </c>
      <c r="Q3504" s="13">
        <f>IFERROR(__xludf.DUMMYFUNCTION("VALUE(SUBSTITUTE((INDEX(SPLIT(A3504,"",""),2)),""."","","",1))"),53.209406)</f>
        <v>53.209406</v>
      </c>
      <c r="R3504" s="14" t="b">
        <f t="shared" si="1"/>
        <v>0</v>
      </c>
      <c r="S3504" s="14" t="str">
        <f t="shared" si="2"/>
        <v>56.817774,53.209406</v>
      </c>
      <c r="T3504" s="12"/>
    </row>
    <row r="3505">
      <c r="A3505" s="18" t="s">
        <v>22588</v>
      </c>
      <c r="B3505" s="8" t="s">
        <v>22589</v>
      </c>
      <c r="C3505" s="8" t="s">
        <v>22590</v>
      </c>
      <c r="D3505" s="8" t="s">
        <v>16</v>
      </c>
      <c r="E3505" s="19" t="s">
        <v>22591</v>
      </c>
      <c r="F3505" s="8" t="s">
        <v>21049</v>
      </c>
      <c r="G3505" s="8">
        <v>23.61</v>
      </c>
      <c r="H3505" s="8"/>
      <c r="I3505" s="8"/>
      <c r="J3505" s="8" t="s">
        <v>22592</v>
      </c>
      <c r="K3505" s="8" t="s">
        <v>22593</v>
      </c>
      <c r="L3505" s="8"/>
      <c r="M3505" s="8"/>
      <c r="N3505" s="12"/>
      <c r="O3505" s="12"/>
      <c r="P3505" s="13">
        <f>IFERROR(__xludf.DUMMYFUNCTION("VALUE(SUBSTITUTE((INDEX(SPLIT(A3505,"",""),1)),""."","","",1))"),56.876166)</f>
        <v>56.876166</v>
      </c>
      <c r="Q3505" s="13">
        <f>IFERROR(__xludf.DUMMYFUNCTION("VALUE(SUBSTITUTE((INDEX(SPLIT(A3505,"",""),2)),""."","","",1))"),53.210349)</f>
        <v>53.210349</v>
      </c>
      <c r="R3505" s="14" t="b">
        <f t="shared" si="1"/>
        <v>0</v>
      </c>
      <c r="S3505" s="14" t="str">
        <f t="shared" si="2"/>
        <v>56.876166,53.210349</v>
      </c>
      <c r="T3505" s="12"/>
    </row>
    <row r="3506">
      <c r="A3506" s="15" t="s">
        <v>22588</v>
      </c>
      <c r="B3506" s="16" t="s">
        <v>22594</v>
      </c>
      <c r="C3506" s="16" t="s">
        <v>22595</v>
      </c>
      <c r="D3506" s="16" t="s">
        <v>16</v>
      </c>
      <c r="E3506" s="17" t="s">
        <v>22596</v>
      </c>
      <c r="F3506" s="16" t="s">
        <v>21049</v>
      </c>
      <c r="G3506" s="16">
        <v>23.61</v>
      </c>
      <c r="H3506" s="16"/>
      <c r="I3506" s="16"/>
      <c r="J3506" s="16" t="s">
        <v>22597</v>
      </c>
      <c r="K3506" s="16" t="s">
        <v>22598</v>
      </c>
      <c r="L3506" s="16"/>
      <c r="M3506" s="16"/>
      <c r="N3506" s="12"/>
      <c r="O3506" s="12"/>
      <c r="P3506" s="13">
        <f>IFERROR(__xludf.DUMMYFUNCTION("VALUE(SUBSTITUTE((INDEX(SPLIT(A3506,"",""),1)),""."","","",1))"),56.876166)</f>
        <v>56.876166</v>
      </c>
      <c r="Q3506" s="13">
        <f>IFERROR(__xludf.DUMMYFUNCTION("VALUE(SUBSTITUTE((INDEX(SPLIT(A3506,"",""),2)),""."","","",1))"),53.210349)</f>
        <v>53.210349</v>
      </c>
      <c r="R3506" s="14" t="b">
        <f t="shared" si="1"/>
        <v>0</v>
      </c>
      <c r="S3506" s="14" t="str">
        <f t="shared" si="2"/>
        <v>56.876166,53.210349</v>
      </c>
      <c r="T3506" s="12"/>
    </row>
    <row r="3507">
      <c r="A3507" s="7" t="s">
        <v>22599</v>
      </c>
      <c r="B3507" s="8" t="s">
        <v>22600</v>
      </c>
      <c r="C3507" s="8" t="s">
        <v>22601</v>
      </c>
      <c r="D3507" s="8" t="s">
        <v>16</v>
      </c>
      <c r="E3507" s="9" t="s">
        <v>22602</v>
      </c>
      <c r="F3507" s="10" t="s">
        <v>21049</v>
      </c>
      <c r="G3507" s="8">
        <v>23.61</v>
      </c>
      <c r="H3507" s="8"/>
      <c r="I3507" s="10"/>
      <c r="J3507" s="10" t="s">
        <v>22603</v>
      </c>
      <c r="K3507" s="10" t="s">
        <v>22604</v>
      </c>
      <c r="L3507" s="11" t="s">
        <v>22605</v>
      </c>
      <c r="M3507" s="10"/>
      <c r="N3507" s="12"/>
      <c r="O3507" s="12"/>
      <c r="P3507" s="13">
        <f>IFERROR(__xludf.DUMMYFUNCTION("VALUE(SUBSTITUTE((INDEX(SPLIT(A3507,"",""),1)),""."","","",1))"),56.845598)</f>
        <v>56.845598</v>
      </c>
      <c r="Q3507" s="13">
        <f>IFERROR(__xludf.DUMMYFUNCTION("VALUE(SUBSTITUTE((INDEX(SPLIT(A3507,"",""),2)),""."","","",1))"),53.21043)</f>
        <v>53.21043</v>
      </c>
      <c r="R3507" s="14" t="b">
        <f t="shared" si="1"/>
        <v>0</v>
      </c>
      <c r="S3507" s="14" t="str">
        <f t="shared" si="2"/>
        <v>56.845598,53.21043</v>
      </c>
      <c r="T3507" s="12"/>
    </row>
    <row r="3508">
      <c r="A3508" s="15" t="s">
        <v>22606</v>
      </c>
      <c r="B3508" s="16" t="s">
        <v>15788</v>
      </c>
      <c r="C3508" s="16" t="s">
        <v>15789</v>
      </c>
      <c r="D3508" s="16" t="s">
        <v>16</v>
      </c>
      <c r="E3508" s="17" t="s">
        <v>22607</v>
      </c>
      <c r="F3508" s="16" t="s">
        <v>21049</v>
      </c>
      <c r="G3508" s="16">
        <v>23.61</v>
      </c>
      <c r="H3508" s="16"/>
      <c r="I3508" s="16"/>
      <c r="J3508" s="16" t="s">
        <v>22608</v>
      </c>
      <c r="K3508" s="16" t="s">
        <v>22609</v>
      </c>
      <c r="L3508" s="16"/>
      <c r="M3508" s="25" t="s">
        <v>22610</v>
      </c>
      <c r="N3508" s="12"/>
      <c r="O3508" s="12"/>
      <c r="P3508" s="13">
        <f>IFERROR(__xludf.DUMMYFUNCTION("VALUE(SUBSTITUTE((INDEX(SPLIT(A3508,"",""),1)),""."","","",1))"),56.843506)</f>
        <v>56.843506</v>
      </c>
      <c r="Q3508" s="13">
        <f>IFERROR(__xludf.DUMMYFUNCTION("VALUE(SUBSTITUTE((INDEX(SPLIT(A3508,"",""),2)),""."","","",1))"),53.213404)</f>
        <v>53.213404</v>
      </c>
      <c r="R3508" s="14" t="b">
        <f t="shared" si="1"/>
        <v>0</v>
      </c>
      <c r="S3508" s="14" t="str">
        <f t="shared" si="2"/>
        <v>56.843506,53.213404</v>
      </c>
      <c r="T3508" s="12"/>
    </row>
    <row r="3509">
      <c r="A3509" s="7" t="s">
        <v>22611</v>
      </c>
      <c r="B3509" s="8" t="s">
        <v>22612</v>
      </c>
      <c r="C3509" s="8" t="s">
        <v>18456</v>
      </c>
      <c r="D3509" s="8" t="s">
        <v>16</v>
      </c>
      <c r="E3509" s="9" t="s">
        <v>22613</v>
      </c>
      <c r="F3509" s="10" t="s">
        <v>21049</v>
      </c>
      <c r="G3509" s="8">
        <v>23.61</v>
      </c>
      <c r="H3509" s="8"/>
      <c r="I3509" s="10"/>
      <c r="J3509" s="10" t="s">
        <v>22614</v>
      </c>
      <c r="K3509" s="10" t="s">
        <v>22615</v>
      </c>
      <c r="L3509" s="11" t="s">
        <v>22616</v>
      </c>
      <c r="M3509" s="10"/>
      <c r="N3509" s="12"/>
      <c r="O3509" s="12"/>
      <c r="P3509" s="13">
        <f>IFERROR(__xludf.DUMMYFUNCTION("VALUE(SUBSTITUTE((INDEX(SPLIT(A3509,"",""),1)),""."","","",1))"),56.831152)</f>
        <v>56.831152</v>
      </c>
      <c r="Q3509" s="13">
        <f>IFERROR(__xludf.DUMMYFUNCTION("VALUE(SUBSTITUTE((INDEX(SPLIT(A3509,"",""),2)),""."","","",1))"),53.214895)</f>
        <v>53.214895</v>
      </c>
      <c r="R3509" s="14" t="b">
        <f t="shared" si="1"/>
        <v>0</v>
      </c>
      <c r="S3509" s="14" t="str">
        <f t="shared" si="2"/>
        <v>56.831152,53.214895</v>
      </c>
      <c r="T3509" s="12"/>
    </row>
    <row r="3510">
      <c r="A3510" s="15" t="s">
        <v>22617</v>
      </c>
      <c r="B3510" s="16" t="s">
        <v>22618</v>
      </c>
      <c r="C3510" s="16" t="s">
        <v>22619</v>
      </c>
      <c r="D3510" s="16" t="s">
        <v>16</v>
      </c>
      <c r="E3510" s="17" t="s">
        <v>22620</v>
      </c>
      <c r="F3510" s="16" t="s">
        <v>21049</v>
      </c>
      <c r="G3510" s="16">
        <v>23.61</v>
      </c>
      <c r="H3510" s="16"/>
      <c r="I3510" s="16"/>
      <c r="J3510" s="16" t="s">
        <v>22621</v>
      </c>
      <c r="K3510" s="16" t="s">
        <v>22622</v>
      </c>
      <c r="L3510" s="16"/>
      <c r="M3510" s="25" t="s">
        <v>22623</v>
      </c>
      <c r="N3510" s="12"/>
      <c r="O3510" s="12"/>
      <c r="P3510" s="13">
        <f>IFERROR(__xludf.DUMMYFUNCTION("VALUE(SUBSTITUTE((INDEX(SPLIT(A3510,"",""),1)),""."","","",1))"),56.873431)</f>
        <v>56.873431</v>
      </c>
      <c r="Q3510" s="13">
        <f>IFERROR(__xludf.DUMMYFUNCTION("VALUE(SUBSTITUTE((INDEX(SPLIT(A3510,"",""),2)),""."","","",1))"),53.215128)</f>
        <v>53.215128</v>
      </c>
      <c r="R3510" s="14" t="b">
        <f t="shared" si="1"/>
        <v>0</v>
      </c>
      <c r="S3510" s="14" t="str">
        <f t="shared" si="2"/>
        <v>56.873431,53.215128</v>
      </c>
      <c r="T3510" s="12"/>
    </row>
    <row r="3511">
      <c r="A3511" s="18" t="s">
        <v>22624</v>
      </c>
      <c r="B3511" s="8" t="s">
        <v>22625</v>
      </c>
      <c r="C3511" s="8" t="s">
        <v>22626</v>
      </c>
      <c r="D3511" s="8" t="s">
        <v>16</v>
      </c>
      <c r="E3511" s="19" t="s">
        <v>22627</v>
      </c>
      <c r="F3511" s="8" t="s">
        <v>21049</v>
      </c>
      <c r="G3511" s="8">
        <v>23.61</v>
      </c>
      <c r="H3511" s="8"/>
      <c r="I3511" s="8"/>
      <c r="J3511" s="8" t="s">
        <v>22628</v>
      </c>
      <c r="K3511" s="8" t="s">
        <v>22629</v>
      </c>
      <c r="L3511" s="8"/>
      <c r="M3511" s="8"/>
      <c r="N3511" s="12"/>
      <c r="O3511" s="12"/>
      <c r="P3511" s="13">
        <f>IFERROR(__xludf.DUMMYFUNCTION("VALUE(SUBSTITUTE((INDEX(SPLIT(A3511,"",""),1)),""."","","",1))"),56.873136)</f>
        <v>56.873136</v>
      </c>
      <c r="Q3511" s="13">
        <f>IFERROR(__xludf.DUMMYFUNCTION("VALUE(SUBSTITUTE((INDEX(SPLIT(A3511,"",""),2)),""."","","",1))"),53.217868)</f>
        <v>53.217868</v>
      </c>
      <c r="R3511" s="14" t="b">
        <f t="shared" si="1"/>
        <v>0</v>
      </c>
      <c r="S3511" s="14" t="str">
        <f t="shared" si="2"/>
        <v>56.873136,53.217868</v>
      </c>
      <c r="T3511" s="12"/>
    </row>
    <row r="3512">
      <c r="A3512" s="20" t="s">
        <v>22630</v>
      </c>
      <c r="B3512" s="16" t="s">
        <v>22631</v>
      </c>
      <c r="C3512" s="16" t="s">
        <v>22632</v>
      </c>
      <c r="D3512" s="16" t="s">
        <v>16</v>
      </c>
      <c r="E3512" s="21" t="s">
        <v>22633</v>
      </c>
      <c r="F3512" s="22" t="s">
        <v>21049</v>
      </c>
      <c r="G3512" s="16">
        <v>23.61</v>
      </c>
      <c r="H3512" s="16"/>
      <c r="I3512" s="22"/>
      <c r="J3512" s="22" t="s">
        <v>22634</v>
      </c>
      <c r="K3512" s="22" t="s">
        <v>22635</v>
      </c>
      <c r="L3512" s="23" t="s">
        <v>22636</v>
      </c>
      <c r="M3512" s="22"/>
      <c r="N3512" s="12"/>
      <c r="O3512" s="12"/>
      <c r="P3512" s="13">
        <f>IFERROR(__xludf.DUMMYFUNCTION("VALUE(SUBSTITUTE((INDEX(SPLIT(A3512,"",""),1)),""."","","",1))"),56.845918)</f>
        <v>56.845918</v>
      </c>
      <c r="Q3512" s="13">
        <f>IFERROR(__xludf.DUMMYFUNCTION("VALUE(SUBSTITUTE((INDEX(SPLIT(A3512,"",""),2)),""."","","",1))"),53.219126)</f>
        <v>53.219126</v>
      </c>
      <c r="R3512" s="14" t="b">
        <f t="shared" si="1"/>
        <v>0</v>
      </c>
      <c r="S3512" s="14" t="str">
        <f t="shared" si="2"/>
        <v>56.845918,53.219126</v>
      </c>
      <c r="T3512" s="12"/>
    </row>
    <row r="3513">
      <c r="A3513" s="18" t="s">
        <v>22637</v>
      </c>
      <c r="B3513" s="8" t="s">
        <v>22638</v>
      </c>
      <c r="C3513" s="8" t="s">
        <v>22639</v>
      </c>
      <c r="D3513" s="8" t="s">
        <v>16</v>
      </c>
      <c r="E3513" s="19" t="s">
        <v>22640</v>
      </c>
      <c r="F3513" s="8" t="s">
        <v>21049</v>
      </c>
      <c r="G3513" s="8">
        <v>23.61</v>
      </c>
      <c r="H3513" s="8"/>
      <c r="I3513" s="8"/>
      <c r="J3513" s="8" t="s">
        <v>22641</v>
      </c>
      <c r="K3513" s="8" t="s">
        <v>22642</v>
      </c>
      <c r="L3513" s="8"/>
      <c r="M3513" s="24" t="s">
        <v>22643</v>
      </c>
      <c r="N3513" s="12"/>
      <c r="O3513" s="12"/>
      <c r="P3513" s="13">
        <f>IFERROR(__xludf.DUMMYFUNCTION("VALUE(SUBSTITUTE((INDEX(SPLIT(A3513,"",""),1)),""."","","",1))"),56.849728)</f>
        <v>56.849728</v>
      </c>
      <c r="Q3513" s="13">
        <f>IFERROR(__xludf.DUMMYFUNCTION("VALUE(SUBSTITUTE((INDEX(SPLIT(A3513,"",""),2)),""."","","",1))"),53.222423)</f>
        <v>53.222423</v>
      </c>
      <c r="R3513" s="14" t="b">
        <f t="shared" si="1"/>
        <v>0</v>
      </c>
      <c r="S3513" s="14" t="str">
        <f t="shared" si="2"/>
        <v>56.849728,53.222423</v>
      </c>
      <c r="T3513" s="12"/>
    </row>
    <row r="3514">
      <c r="A3514" s="20" t="s">
        <v>22644</v>
      </c>
      <c r="B3514" s="16" t="s">
        <v>22645</v>
      </c>
      <c r="C3514" s="16" t="s">
        <v>22646</v>
      </c>
      <c r="D3514" s="16" t="s">
        <v>16</v>
      </c>
      <c r="E3514" s="21" t="s">
        <v>22647</v>
      </c>
      <c r="F3514" s="22" t="s">
        <v>21049</v>
      </c>
      <c r="G3514" s="16">
        <v>23.61</v>
      </c>
      <c r="H3514" s="16"/>
      <c r="I3514" s="22"/>
      <c r="J3514" s="22" t="s">
        <v>22648</v>
      </c>
      <c r="K3514" s="22" t="s">
        <v>22649</v>
      </c>
      <c r="L3514" s="30" t="s">
        <v>22650</v>
      </c>
      <c r="M3514" s="22"/>
      <c r="N3514" s="12"/>
      <c r="O3514" s="12"/>
      <c r="P3514" s="13">
        <f>IFERROR(__xludf.DUMMYFUNCTION("VALUE(SUBSTITUTE((INDEX(SPLIT(A3514,"",""),1)),""."","","",1))"),56.853676)</f>
        <v>56.853676</v>
      </c>
      <c r="Q3514" s="13">
        <f>IFERROR(__xludf.DUMMYFUNCTION("VALUE(SUBSTITUTE((INDEX(SPLIT(A3514,"",""),2)),""."","","",1))"),53.223052)</f>
        <v>53.223052</v>
      </c>
      <c r="R3514" s="14" t="b">
        <f t="shared" si="1"/>
        <v>0</v>
      </c>
      <c r="S3514" s="14" t="str">
        <f t="shared" si="2"/>
        <v>56.853676,53.223052</v>
      </c>
      <c r="T3514" s="12"/>
    </row>
    <row r="3515">
      <c r="A3515" s="18" t="s">
        <v>22651</v>
      </c>
      <c r="B3515" s="8" t="s">
        <v>22652</v>
      </c>
      <c r="C3515" s="8" t="s">
        <v>22653</v>
      </c>
      <c r="D3515" s="8" t="s">
        <v>16</v>
      </c>
      <c r="E3515" s="19" t="s">
        <v>22654</v>
      </c>
      <c r="F3515" s="8" t="s">
        <v>21049</v>
      </c>
      <c r="G3515" s="8">
        <v>23.61</v>
      </c>
      <c r="H3515" s="8"/>
      <c r="I3515" s="8"/>
      <c r="J3515" s="8" t="s">
        <v>22655</v>
      </c>
      <c r="K3515" s="8" t="s">
        <v>22656</v>
      </c>
      <c r="L3515" s="8"/>
      <c r="M3515" s="8"/>
      <c r="N3515" s="12"/>
      <c r="O3515" s="12"/>
      <c r="P3515" s="13">
        <f>IFERROR(__xludf.DUMMYFUNCTION("VALUE(SUBSTITUTE((INDEX(SPLIT(A3515,"",""),1)),""."","","",1))"),56.836283)</f>
        <v>56.836283</v>
      </c>
      <c r="Q3515" s="13">
        <f>IFERROR(__xludf.DUMMYFUNCTION("VALUE(SUBSTITUTE((INDEX(SPLIT(A3515,"",""),2)),""."","","",1))"),53.227328)</f>
        <v>53.227328</v>
      </c>
      <c r="R3515" s="14" t="b">
        <f t="shared" si="1"/>
        <v>0</v>
      </c>
      <c r="S3515" s="14" t="str">
        <f t="shared" si="2"/>
        <v>56.836283,53.227328</v>
      </c>
      <c r="T3515" s="12"/>
    </row>
    <row r="3516">
      <c r="A3516" s="15" t="s">
        <v>22657</v>
      </c>
      <c r="B3516" s="16" t="s">
        <v>22658</v>
      </c>
      <c r="C3516" s="16" t="s">
        <v>22659</v>
      </c>
      <c r="D3516" s="16" t="s">
        <v>16</v>
      </c>
      <c r="E3516" s="17" t="s">
        <v>22660</v>
      </c>
      <c r="F3516" s="16" t="s">
        <v>21049</v>
      </c>
      <c r="G3516" s="16">
        <v>23.61</v>
      </c>
      <c r="H3516" s="16"/>
      <c r="I3516" s="16"/>
      <c r="J3516" s="16" t="s">
        <v>22661</v>
      </c>
      <c r="K3516" s="16" t="s">
        <v>22662</v>
      </c>
      <c r="L3516" s="16"/>
      <c r="M3516" s="16"/>
      <c r="N3516" s="12"/>
      <c r="O3516" s="12"/>
      <c r="P3516" s="13">
        <f>IFERROR(__xludf.DUMMYFUNCTION("VALUE(SUBSTITUTE((INDEX(SPLIT(A3516,"",""),1)),""."","","",1))"),56.88404)</f>
        <v>56.88404</v>
      </c>
      <c r="Q3516" s="13">
        <f>IFERROR(__xludf.DUMMYFUNCTION("VALUE(SUBSTITUTE((INDEX(SPLIT(A3516,"",""),2)),""."","","",1))"),53.227813)</f>
        <v>53.227813</v>
      </c>
      <c r="R3516" s="14" t="b">
        <f t="shared" si="1"/>
        <v>0</v>
      </c>
      <c r="S3516" s="14" t="str">
        <f t="shared" si="2"/>
        <v>56.88404,53.227813</v>
      </c>
      <c r="T3516" s="12"/>
    </row>
    <row r="3517">
      <c r="A3517" s="18" t="s">
        <v>22663</v>
      </c>
      <c r="B3517" s="8" t="s">
        <v>22664</v>
      </c>
      <c r="C3517" s="8" t="s">
        <v>22665</v>
      </c>
      <c r="D3517" s="8" t="s">
        <v>16</v>
      </c>
      <c r="E3517" s="19" t="s">
        <v>22666</v>
      </c>
      <c r="F3517" s="8" t="s">
        <v>21049</v>
      </c>
      <c r="G3517" s="8">
        <v>23.61</v>
      </c>
      <c r="H3517" s="8"/>
      <c r="I3517" s="8"/>
      <c r="J3517" s="8" t="s">
        <v>22667</v>
      </c>
      <c r="K3517" s="8" t="s">
        <v>22668</v>
      </c>
      <c r="L3517" s="8"/>
      <c r="M3517" s="8"/>
      <c r="N3517" s="12"/>
      <c r="O3517" s="12"/>
      <c r="P3517" s="13">
        <f>IFERROR(__xludf.DUMMYFUNCTION("VALUE(SUBSTITUTE((INDEX(SPLIT(A3517,"",""),1)),""."","","",1))"),56.84387)</f>
        <v>56.84387</v>
      </c>
      <c r="Q3517" s="13">
        <f>IFERROR(__xludf.DUMMYFUNCTION("VALUE(SUBSTITUTE((INDEX(SPLIT(A3517,"",""),2)),""."","","",1))"),53.228271)</f>
        <v>53.228271</v>
      </c>
      <c r="R3517" s="14" t="b">
        <f t="shared" si="1"/>
        <v>0</v>
      </c>
      <c r="S3517" s="14" t="str">
        <f t="shared" si="2"/>
        <v>56.84387,53.228271</v>
      </c>
      <c r="T3517" s="12"/>
    </row>
    <row r="3518">
      <c r="A3518" s="20" t="s">
        <v>22669</v>
      </c>
      <c r="B3518" s="16" t="s">
        <v>22670</v>
      </c>
      <c r="C3518" s="16" t="s">
        <v>22671</v>
      </c>
      <c r="D3518" s="16" t="s">
        <v>16</v>
      </c>
      <c r="E3518" s="21" t="s">
        <v>22672</v>
      </c>
      <c r="F3518" s="22" t="s">
        <v>21049</v>
      </c>
      <c r="G3518" s="16">
        <v>23.61</v>
      </c>
      <c r="H3518" s="16"/>
      <c r="I3518" s="22"/>
      <c r="J3518" s="22" t="s">
        <v>22673</v>
      </c>
      <c r="K3518" s="22" t="s">
        <v>588</v>
      </c>
      <c r="L3518" s="23" t="s">
        <v>22674</v>
      </c>
      <c r="M3518" s="23" t="s">
        <v>22675</v>
      </c>
      <c r="N3518" s="12"/>
      <c r="O3518" s="12"/>
      <c r="P3518" s="13">
        <f>IFERROR(__xludf.DUMMYFUNCTION("VALUE(SUBSTITUTE((INDEX(SPLIT(A3518,"",""),1)),""."","","",1))"),56.848355)</f>
        <v>56.848355</v>
      </c>
      <c r="Q3518" s="13">
        <f>IFERROR(__xludf.DUMMYFUNCTION("VALUE(SUBSTITUTE((INDEX(SPLIT(A3518,"",""),2)),""."","","",1))"),53.237676)</f>
        <v>53.237676</v>
      </c>
      <c r="R3518" s="14" t="b">
        <f t="shared" si="1"/>
        <v>0</v>
      </c>
      <c r="S3518" s="14" t="str">
        <f t="shared" si="2"/>
        <v>56.848355,53.237676</v>
      </c>
      <c r="T3518" s="12"/>
    </row>
    <row r="3519">
      <c r="A3519" s="18" t="s">
        <v>22676</v>
      </c>
      <c r="B3519" s="8" t="s">
        <v>22677</v>
      </c>
      <c r="C3519" s="8" t="s">
        <v>22678</v>
      </c>
      <c r="D3519" s="8" t="s">
        <v>16</v>
      </c>
      <c r="E3519" s="19" t="s">
        <v>22679</v>
      </c>
      <c r="F3519" s="8" t="s">
        <v>21049</v>
      </c>
      <c r="G3519" s="8">
        <v>23.61</v>
      </c>
      <c r="H3519" s="8"/>
      <c r="I3519" s="8"/>
      <c r="J3519" s="8" t="s">
        <v>22680</v>
      </c>
      <c r="K3519" s="8" t="s">
        <v>22681</v>
      </c>
      <c r="L3519" s="8"/>
      <c r="M3519" s="8"/>
      <c r="N3519" s="12"/>
      <c r="O3519" s="12"/>
      <c r="P3519" s="13">
        <f>IFERROR(__xludf.DUMMYFUNCTION("VALUE(SUBSTITUTE((INDEX(SPLIT(A3519,"",""),1)),""."","","",1))"),56.836047)</f>
        <v>56.836047</v>
      </c>
      <c r="Q3519" s="13">
        <f>IFERROR(__xludf.DUMMYFUNCTION("VALUE(SUBSTITUTE((INDEX(SPLIT(A3519,"",""),2)),""."","","",1))"),53.247378)</f>
        <v>53.247378</v>
      </c>
      <c r="R3519" s="14" t="b">
        <f t="shared" si="1"/>
        <v>0</v>
      </c>
      <c r="S3519" s="14" t="str">
        <f t="shared" si="2"/>
        <v>56.836047,53.247378</v>
      </c>
      <c r="T3519" s="12"/>
    </row>
    <row r="3520">
      <c r="A3520" s="15" t="s">
        <v>22682</v>
      </c>
      <c r="B3520" s="16" t="s">
        <v>22683</v>
      </c>
      <c r="C3520" s="16" t="s">
        <v>22684</v>
      </c>
      <c r="D3520" s="16" t="s">
        <v>16</v>
      </c>
      <c r="E3520" s="17" t="s">
        <v>22685</v>
      </c>
      <c r="F3520" s="16" t="s">
        <v>21049</v>
      </c>
      <c r="G3520" s="16">
        <v>23.61</v>
      </c>
      <c r="H3520" s="16"/>
      <c r="I3520" s="16"/>
      <c r="J3520" s="16" t="s">
        <v>22686</v>
      </c>
      <c r="K3520" s="16" t="s">
        <v>22687</v>
      </c>
      <c r="L3520" s="16"/>
      <c r="M3520" s="16"/>
      <c r="N3520" s="12"/>
      <c r="O3520" s="12"/>
      <c r="P3520" s="13">
        <f>IFERROR(__xludf.DUMMYFUNCTION("VALUE(SUBSTITUTE((INDEX(SPLIT(A3520,"",""),1)),""."","","",1))"),56.835584)</f>
        <v>56.835584</v>
      </c>
      <c r="Q3520" s="13">
        <f>IFERROR(__xludf.DUMMYFUNCTION("VALUE(SUBSTITUTE((INDEX(SPLIT(A3520,"",""),2)),""."","","",1))"),53.250971)</f>
        <v>53.250971</v>
      </c>
      <c r="R3520" s="14" t="b">
        <f t="shared" si="1"/>
        <v>0</v>
      </c>
      <c r="S3520" s="14" t="str">
        <f t="shared" si="2"/>
        <v>56.835584,53.250971</v>
      </c>
      <c r="T3520" s="12"/>
    </row>
    <row r="3521">
      <c r="A3521" s="7" t="s">
        <v>22688</v>
      </c>
      <c r="B3521" s="8" t="s">
        <v>22689</v>
      </c>
      <c r="C3521" s="8" t="s">
        <v>17183</v>
      </c>
      <c r="D3521" s="8" t="s">
        <v>16</v>
      </c>
      <c r="E3521" s="9" t="s">
        <v>22690</v>
      </c>
      <c r="F3521" s="10" t="s">
        <v>21049</v>
      </c>
      <c r="G3521" s="8">
        <v>23.61</v>
      </c>
      <c r="H3521" s="8"/>
      <c r="I3521" s="10"/>
      <c r="J3521" s="10" t="s">
        <v>22691</v>
      </c>
      <c r="K3521" s="10" t="s">
        <v>22692</v>
      </c>
      <c r="L3521" s="11" t="s">
        <v>22693</v>
      </c>
      <c r="M3521" s="10"/>
      <c r="N3521" s="12"/>
      <c r="O3521" s="12"/>
      <c r="P3521" s="13">
        <f>IFERROR(__xludf.DUMMYFUNCTION("VALUE(SUBSTITUTE((INDEX(SPLIT(A3521,"",""),1)),""."","","",1))"),56.833796)</f>
        <v>56.833796</v>
      </c>
      <c r="Q3521" s="13">
        <f>IFERROR(__xludf.DUMMYFUNCTION("VALUE(SUBSTITUTE((INDEX(SPLIT(A3521,"",""),2)),""."","","",1))"),53.25549)</f>
        <v>53.25549</v>
      </c>
      <c r="R3521" s="14" t="b">
        <f t="shared" si="1"/>
        <v>0</v>
      </c>
      <c r="S3521" s="14" t="str">
        <f t="shared" si="2"/>
        <v>56.833796,53.25549</v>
      </c>
      <c r="T3521" s="12"/>
    </row>
    <row r="3522">
      <c r="A3522" s="15" t="s">
        <v>22694</v>
      </c>
      <c r="B3522" s="16" t="s">
        <v>22695</v>
      </c>
      <c r="C3522" s="16" t="s">
        <v>22696</v>
      </c>
      <c r="D3522" s="16" t="s">
        <v>16</v>
      </c>
      <c r="E3522" s="17" t="s">
        <v>22697</v>
      </c>
      <c r="F3522" s="16" t="s">
        <v>21049</v>
      </c>
      <c r="G3522" s="16">
        <v>23.61</v>
      </c>
      <c r="H3522" s="16"/>
      <c r="I3522" s="16"/>
      <c r="J3522" s="16" t="s">
        <v>22698</v>
      </c>
      <c r="K3522" s="16" t="s">
        <v>22699</v>
      </c>
      <c r="L3522" s="16"/>
      <c r="M3522" s="16"/>
      <c r="N3522" s="12"/>
      <c r="O3522" s="12"/>
      <c r="P3522" s="13">
        <f>IFERROR(__xludf.DUMMYFUNCTION("VALUE(SUBSTITUTE((INDEX(SPLIT(A3522,"",""),1)),""."","","",1))"),56.746292)</f>
        <v>56.746292</v>
      </c>
      <c r="Q3522" s="13">
        <f>IFERROR(__xludf.DUMMYFUNCTION("VALUE(SUBSTITUTE((INDEX(SPLIT(A3522,"",""),2)),""."","","",1))"),53.260664)</f>
        <v>53.260664</v>
      </c>
      <c r="R3522" s="14" t="b">
        <f t="shared" si="1"/>
        <v>0</v>
      </c>
      <c r="S3522" s="14" t="str">
        <f t="shared" si="2"/>
        <v>56.746292,53.260664</v>
      </c>
      <c r="T3522" s="12"/>
    </row>
    <row r="3523">
      <c r="A3523" s="18" t="s">
        <v>22700</v>
      </c>
      <c r="B3523" s="8" t="s">
        <v>22701</v>
      </c>
      <c r="C3523" s="8" t="s">
        <v>22702</v>
      </c>
      <c r="D3523" s="8" t="s">
        <v>16</v>
      </c>
      <c r="E3523" s="19" t="s">
        <v>22703</v>
      </c>
      <c r="F3523" s="8" t="s">
        <v>21049</v>
      </c>
      <c r="G3523" s="8">
        <v>23.61</v>
      </c>
      <c r="H3523" s="8"/>
      <c r="I3523" s="8"/>
      <c r="J3523" s="8" t="s">
        <v>22704</v>
      </c>
      <c r="K3523" s="8" t="s">
        <v>22705</v>
      </c>
      <c r="L3523" s="8"/>
      <c r="M3523" s="24" t="s">
        <v>22706</v>
      </c>
      <c r="N3523" s="12"/>
      <c r="O3523" s="12"/>
      <c r="P3523" s="13">
        <f>IFERROR(__xludf.DUMMYFUNCTION("VALUE(SUBSTITUTE((INDEX(SPLIT(A3523,"",""),1)),""."","","",1))"),56.919907)</f>
        <v>56.919907</v>
      </c>
      <c r="Q3523" s="13">
        <f>IFERROR(__xludf.DUMMYFUNCTION("VALUE(SUBSTITUTE((INDEX(SPLIT(A3523,"",""),2)),""."","","",1))"),53.261473)</f>
        <v>53.261473</v>
      </c>
      <c r="R3523" s="14" t="b">
        <f t="shared" si="1"/>
        <v>0</v>
      </c>
      <c r="S3523" s="14" t="str">
        <f t="shared" si="2"/>
        <v>56.919907,53.261473</v>
      </c>
      <c r="T3523" s="12"/>
    </row>
    <row r="3524">
      <c r="A3524" s="20" t="s">
        <v>22707</v>
      </c>
      <c r="B3524" s="16" t="s">
        <v>22708</v>
      </c>
      <c r="C3524" s="16" t="s">
        <v>22709</v>
      </c>
      <c r="D3524" s="16" t="s">
        <v>16</v>
      </c>
      <c r="E3524" s="21" t="s">
        <v>22710</v>
      </c>
      <c r="F3524" s="22" t="s">
        <v>21049</v>
      </c>
      <c r="G3524" s="16">
        <v>23.61</v>
      </c>
      <c r="H3524" s="16"/>
      <c r="I3524" s="22"/>
      <c r="J3524" s="22" t="s">
        <v>22711</v>
      </c>
      <c r="K3524" s="22" t="s">
        <v>22712</v>
      </c>
      <c r="L3524" s="23" t="s">
        <v>22713</v>
      </c>
      <c r="M3524" s="22"/>
      <c r="N3524" s="12"/>
      <c r="O3524" s="12"/>
      <c r="P3524" s="13">
        <f>IFERROR(__xludf.DUMMYFUNCTION("VALUE(SUBSTITUTE((INDEX(SPLIT(A3524,"",""),1)),""."","","",1))"),54.459808)</f>
        <v>54.459808</v>
      </c>
      <c r="Q3524" s="13">
        <f>IFERROR(__xludf.DUMMYFUNCTION("VALUE(SUBSTITUTE((INDEX(SPLIT(A3524,"",""),2)),""."","","",1))"),53.273034)</f>
        <v>53.273034</v>
      </c>
      <c r="R3524" s="14" t="b">
        <f t="shared" si="1"/>
        <v>0</v>
      </c>
      <c r="S3524" s="14" t="str">
        <f t="shared" si="2"/>
        <v>54.459808,53.273034</v>
      </c>
      <c r="T3524" s="12"/>
    </row>
    <row r="3525">
      <c r="A3525" s="18" t="s">
        <v>22714</v>
      </c>
      <c r="B3525" s="8" t="s">
        <v>9706</v>
      </c>
      <c r="C3525" s="8" t="s">
        <v>9707</v>
      </c>
      <c r="D3525" s="8" t="s">
        <v>16</v>
      </c>
      <c r="E3525" s="19" t="s">
        <v>22715</v>
      </c>
      <c r="F3525" s="8" t="s">
        <v>21049</v>
      </c>
      <c r="G3525" s="8">
        <v>23.61</v>
      </c>
      <c r="H3525" s="8"/>
      <c r="I3525" s="8"/>
      <c r="J3525" s="8" t="s">
        <v>22716</v>
      </c>
      <c r="K3525" s="8" t="s">
        <v>22717</v>
      </c>
      <c r="L3525" s="8"/>
      <c r="M3525" s="24" t="s">
        <v>22718</v>
      </c>
      <c r="N3525" s="12"/>
      <c r="O3525" s="12"/>
      <c r="P3525" s="13">
        <f>IFERROR(__xludf.DUMMYFUNCTION("VALUE(SUBSTITUTE((INDEX(SPLIT(A3525,"",""),1)),""."","","",1))"),56.876609)</f>
        <v>56.876609</v>
      </c>
      <c r="Q3525" s="13">
        <f>IFERROR(__xludf.DUMMYFUNCTION("VALUE(SUBSTITUTE((INDEX(SPLIT(A3525,"",""),2)),""."","","",1))"),53.274534)</f>
        <v>53.274534</v>
      </c>
      <c r="R3525" s="14" t="b">
        <f t="shared" si="1"/>
        <v>0</v>
      </c>
      <c r="S3525" s="14" t="str">
        <f t="shared" si="2"/>
        <v>56.876609,53.274534</v>
      </c>
      <c r="T3525" s="12"/>
    </row>
    <row r="3526">
      <c r="A3526" s="20" t="s">
        <v>22719</v>
      </c>
      <c r="B3526" s="16" t="s">
        <v>22720</v>
      </c>
      <c r="C3526" s="16" t="s">
        <v>22721</v>
      </c>
      <c r="D3526" s="16" t="s">
        <v>16</v>
      </c>
      <c r="E3526" s="21" t="s">
        <v>22722</v>
      </c>
      <c r="F3526" s="22" t="s">
        <v>21049</v>
      </c>
      <c r="G3526" s="16">
        <v>23.61</v>
      </c>
      <c r="H3526" s="16"/>
      <c r="I3526" s="22"/>
      <c r="J3526" s="22" t="s">
        <v>22723</v>
      </c>
      <c r="K3526" s="22" t="s">
        <v>22724</v>
      </c>
      <c r="L3526" s="23" t="s">
        <v>22725</v>
      </c>
      <c r="M3526" s="23" t="s">
        <v>22726</v>
      </c>
      <c r="N3526" s="12"/>
      <c r="O3526" s="12"/>
      <c r="P3526" s="13">
        <f>IFERROR(__xludf.DUMMYFUNCTION("VALUE(SUBSTITUTE((INDEX(SPLIT(A3526,"",""),1)),""."","","",1))"),56.870366)</f>
        <v>56.870366</v>
      </c>
      <c r="Q3526" s="13">
        <f>IFERROR(__xludf.DUMMYFUNCTION("VALUE(SUBSTITUTE((INDEX(SPLIT(A3526,"",""),2)),""."","","",1))"),53.296417)</f>
        <v>53.296417</v>
      </c>
      <c r="R3526" s="14" t="b">
        <f t="shared" si="1"/>
        <v>0</v>
      </c>
      <c r="S3526" s="14" t="str">
        <f t="shared" si="2"/>
        <v>56.870366,53.296417</v>
      </c>
      <c r="T3526" s="12"/>
    </row>
    <row r="3527">
      <c r="A3527" s="18" t="s">
        <v>22727</v>
      </c>
      <c r="B3527" s="8" t="s">
        <v>22728</v>
      </c>
      <c r="C3527" s="8" t="s">
        <v>22729</v>
      </c>
      <c r="D3527" s="8" t="s">
        <v>16</v>
      </c>
      <c r="E3527" s="19" t="s">
        <v>22730</v>
      </c>
      <c r="F3527" s="8" t="s">
        <v>21049</v>
      </c>
      <c r="G3527" s="8">
        <v>23.61</v>
      </c>
      <c r="H3527" s="8"/>
      <c r="I3527" s="8"/>
      <c r="J3527" s="8" t="s">
        <v>22731</v>
      </c>
      <c r="K3527" s="8" t="s">
        <v>22732</v>
      </c>
      <c r="L3527" s="8"/>
      <c r="M3527" s="8"/>
      <c r="N3527" s="12"/>
      <c r="O3527" s="12"/>
      <c r="P3527" s="13">
        <f>IFERROR(__xludf.DUMMYFUNCTION("VALUE(SUBSTITUTE((INDEX(SPLIT(A3527,"",""),1)),""."","","",1))"),56.859758)</f>
        <v>56.859758</v>
      </c>
      <c r="Q3527" s="13">
        <f>IFERROR(__xludf.DUMMYFUNCTION("VALUE(SUBSTITUTE((INDEX(SPLIT(A3527,"",""),2)),""."","","",1))"),53.303774)</f>
        <v>53.303774</v>
      </c>
      <c r="R3527" s="14" t="b">
        <f t="shared" si="1"/>
        <v>0</v>
      </c>
      <c r="S3527" s="14" t="str">
        <f t="shared" si="2"/>
        <v>56.859758,53.303774</v>
      </c>
      <c r="T3527" s="12"/>
    </row>
    <row r="3528">
      <c r="A3528" s="20" t="s">
        <v>22733</v>
      </c>
      <c r="B3528" s="16" t="s">
        <v>22734</v>
      </c>
      <c r="C3528" s="16" t="s">
        <v>22735</v>
      </c>
      <c r="D3528" s="16" t="s">
        <v>16</v>
      </c>
      <c r="E3528" s="21" t="s">
        <v>22736</v>
      </c>
      <c r="F3528" s="22" t="s">
        <v>21049</v>
      </c>
      <c r="G3528" s="16">
        <v>23.61</v>
      </c>
      <c r="H3528" s="16"/>
      <c r="I3528" s="22"/>
      <c r="J3528" s="22" t="s">
        <v>22737</v>
      </c>
      <c r="K3528" s="22" t="s">
        <v>22738</v>
      </c>
      <c r="L3528" s="23" t="s">
        <v>22739</v>
      </c>
      <c r="M3528" s="22"/>
      <c r="N3528" s="12"/>
      <c r="O3528" s="12"/>
      <c r="P3528" s="13">
        <f>IFERROR(__xludf.DUMMYFUNCTION("VALUE(SUBSTITUTE((INDEX(SPLIT(A3528,"",""),1)),""."","","",1))"),56.904492)</f>
        <v>56.904492</v>
      </c>
      <c r="Q3528" s="13">
        <f>IFERROR(__xludf.DUMMYFUNCTION("VALUE(SUBSTITUTE((INDEX(SPLIT(A3528,"",""),2)),""."","","",1))"),53.312605)</f>
        <v>53.312605</v>
      </c>
      <c r="R3528" s="14" t="b">
        <f t="shared" si="1"/>
        <v>0</v>
      </c>
      <c r="S3528" s="14" t="str">
        <f t="shared" si="2"/>
        <v>56.904492,53.312605</v>
      </c>
      <c r="T3528" s="12"/>
    </row>
    <row r="3529">
      <c r="A3529" s="7" t="s">
        <v>22740</v>
      </c>
      <c r="B3529" s="8" t="s">
        <v>22741</v>
      </c>
      <c r="C3529" s="8" t="s">
        <v>22742</v>
      </c>
      <c r="D3529" s="8" t="s">
        <v>16</v>
      </c>
      <c r="E3529" s="9" t="s">
        <v>22743</v>
      </c>
      <c r="F3529" s="10" t="s">
        <v>21049</v>
      </c>
      <c r="G3529" s="8">
        <v>23.61</v>
      </c>
      <c r="H3529" s="8"/>
      <c r="I3529" s="10"/>
      <c r="J3529" s="10" t="s">
        <v>22744</v>
      </c>
      <c r="K3529" s="10" t="s">
        <v>22745</v>
      </c>
      <c r="L3529" s="11" t="s">
        <v>22746</v>
      </c>
      <c r="M3529" s="10"/>
      <c r="N3529" s="12"/>
      <c r="O3529" s="12"/>
      <c r="P3529" s="13">
        <f>IFERROR(__xludf.DUMMYFUNCTION("VALUE(SUBSTITUTE((INDEX(SPLIT(A3529,"",""),1)),""."","","",1))"),56.890014)</f>
        <v>56.890014</v>
      </c>
      <c r="Q3529" s="13">
        <f>IFERROR(__xludf.DUMMYFUNCTION("VALUE(SUBSTITUTE((INDEX(SPLIT(A3529,"",""),2)),""."","","",1))"),53.313647)</f>
        <v>53.313647</v>
      </c>
      <c r="R3529" s="14" t="b">
        <f t="shared" si="1"/>
        <v>0</v>
      </c>
      <c r="S3529" s="14" t="str">
        <f t="shared" si="2"/>
        <v>56.890014,53.313647</v>
      </c>
      <c r="T3529" s="12"/>
    </row>
    <row r="3530">
      <c r="A3530" s="20" t="s">
        <v>22740</v>
      </c>
      <c r="B3530" s="16" t="s">
        <v>22747</v>
      </c>
      <c r="C3530" s="16" t="s">
        <v>22748</v>
      </c>
      <c r="D3530" s="16" t="s">
        <v>16</v>
      </c>
      <c r="E3530" s="21" t="s">
        <v>22749</v>
      </c>
      <c r="F3530" s="22" t="s">
        <v>21049</v>
      </c>
      <c r="G3530" s="16">
        <v>23.61</v>
      </c>
      <c r="H3530" s="16"/>
      <c r="I3530" s="22"/>
      <c r="J3530" s="22" t="s">
        <v>22750</v>
      </c>
      <c r="K3530" s="22" t="s">
        <v>22751</v>
      </c>
      <c r="L3530" s="23" t="s">
        <v>22752</v>
      </c>
      <c r="M3530" s="22"/>
      <c r="N3530" s="12"/>
      <c r="O3530" s="12"/>
      <c r="P3530" s="13">
        <f>IFERROR(__xludf.DUMMYFUNCTION("VALUE(SUBSTITUTE((INDEX(SPLIT(A3530,"",""),1)),""."","","",1))"),56.890014)</f>
        <v>56.890014</v>
      </c>
      <c r="Q3530" s="13">
        <f>IFERROR(__xludf.DUMMYFUNCTION("VALUE(SUBSTITUTE((INDEX(SPLIT(A3530,"",""),2)),""."","","",1))"),53.313647)</f>
        <v>53.313647</v>
      </c>
      <c r="R3530" s="14" t="b">
        <f t="shared" si="1"/>
        <v>0</v>
      </c>
      <c r="S3530" s="14" t="str">
        <f t="shared" si="2"/>
        <v>56.890014,53.313647</v>
      </c>
      <c r="T3530" s="12"/>
    </row>
    <row r="3531">
      <c r="A3531" s="7" t="s">
        <v>22753</v>
      </c>
      <c r="B3531" s="8" t="s">
        <v>22754</v>
      </c>
      <c r="C3531" s="8" t="s">
        <v>22755</v>
      </c>
      <c r="D3531" s="8" t="s">
        <v>16</v>
      </c>
      <c r="E3531" s="9" t="s">
        <v>22756</v>
      </c>
      <c r="F3531" s="10" t="s">
        <v>21049</v>
      </c>
      <c r="G3531" s="8">
        <v>23.61</v>
      </c>
      <c r="H3531" s="8"/>
      <c r="I3531" s="10"/>
      <c r="J3531" s="10" t="s">
        <v>22757</v>
      </c>
      <c r="K3531" s="10" t="s">
        <v>22758</v>
      </c>
      <c r="L3531" s="11" t="s">
        <v>22759</v>
      </c>
      <c r="M3531" s="10"/>
      <c r="N3531" s="12"/>
      <c r="O3531" s="12"/>
      <c r="P3531" s="13">
        <f>IFERROR(__xludf.DUMMYFUNCTION("VALUE(SUBSTITUTE((INDEX(SPLIT(A3531,"",""),1)),""."","","",1))"),56.855974)</f>
        <v>56.855974</v>
      </c>
      <c r="Q3531" s="13">
        <f>IFERROR(__xludf.DUMMYFUNCTION("VALUE(SUBSTITUTE((INDEX(SPLIT(A3531,"",""),2)),""."","","",1))"),53.342977)</f>
        <v>53.342977</v>
      </c>
      <c r="R3531" s="14" t="b">
        <f t="shared" si="1"/>
        <v>0</v>
      </c>
      <c r="S3531" s="14" t="str">
        <f t="shared" si="2"/>
        <v>56.855974,53.342977</v>
      </c>
      <c r="T3531" s="12"/>
    </row>
    <row r="3532">
      <c r="A3532" s="20" t="s">
        <v>22760</v>
      </c>
      <c r="B3532" s="16" t="s">
        <v>22761</v>
      </c>
      <c r="C3532" s="16" t="s">
        <v>22762</v>
      </c>
      <c r="D3532" s="16" t="s">
        <v>16</v>
      </c>
      <c r="E3532" s="21" t="s">
        <v>22763</v>
      </c>
      <c r="F3532" s="22" t="s">
        <v>10183</v>
      </c>
      <c r="G3532" s="16">
        <v>23.61</v>
      </c>
      <c r="H3532" s="16"/>
      <c r="I3532" s="22"/>
      <c r="J3532" s="22" t="s">
        <v>22764</v>
      </c>
      <c r="K3532" s="22" t="s">
        <v>22765</v>
      </c>
      <c r="L3532" s="23" t="s">
        <v>22766</v>
      </c>
      <c r="M3532" s="23" t="s">
        <v>22767</v>
      </c>
      <c r="N3532" s="12"/>
      <c r="O3532" s="12"/>
      <c r="P3532" s="13">
        <f>IFERROR(__xludf.DUMMYFUNCTION("VALUE(SUBSTITUTE((INDEX(SPLIT(A3532,"",""),1)),""."","","",1))"),56.792)</f>
        <v>56.792</v>
      </c>
      <c r="Q3532" s="13">
        <f>IFERROR(__xludf.DUMMYFUNCTION("VALUE(SUBSTITUTE((INDEX(SPLIT(A3532,"",""),2)),""."","","",1))"),53.361051)</f>
        <v>53.361051</v>
      </c>
      <c r="R3532" s="14" t="b">
        <f t="shared" si="1"/>
        <v>0</v>
      </c>
      <c r="S3532" s="14" t="str">
        <f t="shared" si="2"/>
        <v>56.792,53.361051</v>
      </c>
      <c r="T3532" s="12"/>
    </row>
    <row r="3533">
      <c r="A3533" s="18" t="s">
        <v>22768</v>
      </c>
      <c r="B3533" s="8" t="s">
        <v>5061</v>
      </c>
      <c r="C3533" s="8" t="s">
        <v>5062</v>
      </c>
      <c r="D3533" s="8" t="s">
        <v>16</v>
      </c>
      <c r="E3533" s="19" t="s">
        <v>22769</v>
      </c>
      <c r="F3533" s="8" t="s">
        <v>21049</v>
      </c>
      <c r="G3533" s="8">
        <v>23.61</v>
      </c>
      <c r="H3533" s="8"/>
      <c r="I3533" s="8"/>
      <c r="J3533" s="8" t="s">
        <v>22770</v>
      </c>
      <c r="K3533" s="8" t="s">
        <v>22771</v>
      </c>
      <c r="L3533" s="8"/>
      <c r="M3533" s="24" t="s">
        <v>22772</v>
      </c>
      <c r="N3533" s="12"/>
      <c r="O3533" s="12"/>
      <c r="P3533" s="13">
        <f>IFERROR(__xludf.DUMMYFUNCTION("VALUE(SUBSTITUTE((INDEX(SPLIT(A3533,"",""),1)),""."","","",1))"),56.769415)</f>
        <v>56.769415</v>
      </c>
      <c r="Q3533" s="13">
        <f>IFERROR(__xludf.DUMMYFUNCTION("VALUE(SUBSTITUTE((INDEX(SPLIT(A3533,"",""),2)),""."","","",1))"),53.399993)</f>
        <v>53.399993</v>
      </c>
      <c r="R3533" s="14" t="b">
        <f t="shared" si="1"/>
        <v>0</v>
      </c>
      <c r="S3533" s="14" t="str">
        <f t="shared" si="2"/>
        <v>56.769415,53.399993</v>
      </c>
      <c r="T3533" s="12"/>
    </row>
    <row r="3534">
      <c r="A3534" s="15" t="s">
        <v>22773</v>
      </c>
      <c r="B3534" s="16" t="s">
        <v>22774</v>
      </c>
      <c r="C3534" s="16" t="s">
        <v>22775</v>
      </c>
      <c r="D3534" s="16" t="s">
        <v>16</v>
      </c>
      <c r="E3534" s="17" t="s">
        <v>22776</v>
      </c>
      <c r="F3534" s="16" t="s">
        <v>21049</v>
      </c>
      <c r="G3534" s="16">
        <v>23.61</v>
      </c>
      <c r="H3534" s="16"/>
      <c r="I3534" s="16"/>
      <c r="J3534" s="16" t="s">
        <v>22777</v>
      </c>
      <c r="K3534" s="16" t="s">
        <v>22778</v>
      </c>
      <c r="L3534" s="16"/>
      <c r="M3534" s="16"/>
      <c r="N3534" s="12"/>
      <c r="O3534" s="12"/>
      <c r="P3534" s="13">
        <f>IFERROR(__xludf.DUMMYFUNCTION("VALUE(SUBSTITUTE((INDEX(SPLIT(A3534,"",""),1)),""."","","",1))"),54.490083)</f>
        <v>54.490083</v>
      </c>
      <c r="Q3534" s="13">
        <f>IFERROR(__xludf.DUMMYFUNCTION("VALUE(SUBSTITUTE((INDEX(SPLIT(A3534,"",""),2)),""."","","",1))"),53.449355)</f>
        <v>53.449355</v>
      </c>
      <c r="R3534" s="14" t="b">
        <f t="shared" si="1"/>
        <v>0</v>
      </c>
      <c r="S3534" s="14" t="str">
        <f t="shared" si="2"/>
        <v>54.490083,53.449355</v>
      </c>
      <c r="T3534" s="12"/>
    </row>
    <row r="3535">
      <c r="A3535" s="18" t="s">
        <v>22779</v>
      </c>
      <c r="B3535" s="8" t="s">
        <v>22780</v>
      </c>
      <c r="C3535" s="8" t="s">
        <v>22781</v>
      </c>
      <c r="D3535" s="8" t="s">
        <v>16</v>
      </c>
      <c r="E3535" s="19" t="s">
        <v>22782</v>
      </c>
      <c r="F3535" s="8" t="s">
        <v>21049</v>
      </c>
      <c r="G3535" s="8">
        <v>23.61</v>
      </c>
      <c r="H3535" s="8"/>
      <c r="I3535" s="8"/>
      <c r="J3535" s="8" t="s">
        <v>22783</v>
      </c>
      <c r="K3535" s="8" t="s">
        <v>22784</v>
      </c>
      <c r="L3535" s="8"/>
      <c r="M3535" s="8"/>
      <c r="N3535" s="12"/>
      <c r="O3535" s="12"/>
      <c r="P3535" s="13">
        <f>IFERROR(__xludf.DUMMYFUNCTION("VALUE(SUBSTITUTE((INDEX(SPLIT(A3535,"",""),1)),""."","","",1))"),54.599581)</f>
        <v>54.599581</v>
      </c>
      <c r="Q3535" s="13">
        <f>IFERROR(__xludf.DUMMYFUNCTION("VALUE(SUBSTITUTE((INDEX(SPLIT(A3535,"",""),2)),""."","","",1))"),53.468956)</f>
        <v>53.468956</v>
      </c>
      <c r="R3535" s="14" t="b">
        <f t="shared" si="1"/>
        <v>0</v>
      </c>
      <c r="S3535" s="14" t="str">
        <f t="shared" si="2"/>
        <v>54.599581,53.468956</v>
      </c>
      <c r="T3535" s="12"/>
    </row>
    <row r="3536">
      <c r="A3536" s="15" t="s">
        <v>22785</v>
      </c>
      <c r="B3536" s="16" t="s">
        <v>22786</v>
      </c>
      <c r="C3536" s="16" t="s">
        <v>22787</v>
      </c>
      <c r="D3536" s="16" t="s">
        <v>16</v>
      </c>
      <c r="E3536" s="17" t="s">
        <v>22788</v>
      </c>
      <c r="F3536" s="16" t="s">
        <v>21049</v>
      </c>
      <c r="G3536" s="16">
        <v>23.61</v>
      </c>
      <c r="H3536" s="16"/>
      <c r="I3536" s="16"/>
      <c r="J3536" s="16" t="s">
        <v>22789</v>
      </c>
      <c r="K3536" s="16" t="s">
        <v>22790</v>
      </c>
      <c r="L3536" s="16"/>
      <c r="M3536" s="25" t="s">
        <v>22791</v>
      </c>
      <c r="N3536" s="12"/>
      <c r="O3536" s="12"/>
      <c r="P3536" s="13">
        <f>IFERROR(__xludf.DUMMYFUNCTION("VALUE(SUBSTITUTE((INDEX(SPLIT(A3536,"",""),1)),""."","","",1))"),54.493043)</f>
        <v>54.493043</v>
      </c>
      <c r="Q3536" s="13">
        <f>IFERROR(__xludf.DUMMYFUNCTION("VALUE(SUBSTITUTE((INDEX(SPLIT(A3536,"",""),2)),""."","","",1))"),53.478775)</f>
        <v>53.478775</v>
      </c>
      <c r="R3536" s="14" t="b">
        <f t="shared" si="1"/>
        <v>0</v>
      </c>
      <c r="S3536" s="14" t="str">
        <f t="shared" si="2"/>
        <v>54.493043,53.478775</v>
      </c>
      <c r="T3536" s="12"/>
    </row>
    <row r="3537">
      <c r="A3537" s="18" t="s">
        <v>22792</v>
      </c>
      <c r="B3537" s="8" t="s">
        <v>22793</v>
      </c>
      <c r="C3537" s="8" t="s">
        <v>22794</v>
      </c>
      <c r="D3537" s="8" t="s">
        <v>16</v>
      </c>
      <c r="E3537" s="19" t="s">
        <v>22795</v>
      </c>
      <c r="F3537" s="8" t="s">
        <v>21049</v>
      </c>
      <c r="G3537" s="8">
        <v>23.61</v>
      </c>
      <c r="H3537" s="8"/>
      <c r="I3537" s="8"/>
      <c r="J3537" s="8" t="s">
        <v>22796</v>
      </c>
      <c r="K3537" s="8" t="s">
        <v>22797</v>
      </c>
      <c r="L3537" s="8"/>
      <c r="M3537" s="24" t="s">
        <v>22798</v>
      </c>
      <c r="N3537" s="12"/>
      <c r="O3537" s="12"/>
      <c r="P3537" s="13">
        <f>IFERROR(__xludf.DUMMYFUNCTION("VALUE(SUBSTITUTE((INDEX(SPLIT(A3537,"",""),1)),""."","","",1))"),54.479147)</f>
        <v>54.479147</v>
      </c>
      <c r="Q3537" s="13">
        <f>IFERROR(__xludf.DUMMYFUNCTION("VALUE(SUBSTITUTE((INDEX(SPLIT(A3537,"",""),2)),""."","","",1))"),53.509192)</f>
        <v>53.509192</v>
      </c>
      <c r="R3537" s="14" t="b">
        <f t="shared" si="1"/>
        <v>0</v>
      </c>
      <c r="S3537" s="14" t="str">
        <f t="shared" si="2"/>
        <v>54.479147,53.509192</v>
      </c>
      <c r="T3537" s="12"/>
    </row>
    <row r="3538">
      <c r="A3538" s="20" t="s">
        <v>22799</v>
      </c>
      <c r="B3538" s="16" t="s">
        <v>22800</v>
      </c>
      <c r="C3538" s="16" t="s">
        <v>22801</v>
      </c>
      <c r="D3538" s="16" t="s">
        <v>16</v>
      </c>
      <c r="E3538" s="21" t="s">
        <v>22802</v>
      </c>
      <c r="F3538" s="22" t="s">
        <v>21049</v>
      </c>
      <c r="G3538" s="16">
        <v>23.61</v>
      </c>
      <c r="H3538" s="16"/>
      <c r="I3538" s="22"/>
      <c r="J3538" s="22" t="s">
        <v>22803</v>
      </c>
      <c r="K3538" s="22" t="s">
        <v>22804</v>
      </c>
      <c r="L3538" s="23" t="s">
        <v>22805</v>
      </c>
      <c r="M3538" s="22"/>
      <c r="N3538" s="12"/>
      <c r="O3538" s="12"/>
      <c r="P3538" s="13">
        <f>IFERROR(__xludf.DUMMYFUNCTION("VALUE(SUBSTITUTE((INDEX(SPLIT(A3538,"",""),1)),""."","","",1))"),54.495234)</f>
        <v>54.495234</v>
      </c>
      <c r="Q3538" s="13">
        <f>IFERROR(__xludf.DUMMYFUNCTION("VALUE(SUBSTITUTE((INDEX(SPLIT(A3538,"",""),2)),""."","","",1))"),53.514699)</f>
        <v>53.514699</v>
      </c>
      <c r="R3538" s="14" t="b">
        <f t="shared" si="1"/>
        <v>0</v>
      </c>
      <c r="S3538" s="14" t="str">
        <f t="shared" si="2"/>
        <v>54.495234,53.514699</v>
      </c>
      <c r="T3538" s="12"/>
    </row>
    <row r="3539">
      <c r="A3539" s="18" t="s">
        <v>22806</v>
      </c>
      <c r="B3539" s="8" t="s">
        <v>22807</v>
      </c>
      <c r="C3539" s="8" t="s">
        <v>22808</v>
      </c>
      <c r="D3539" s="8" t="s">
        <v>16</v>
      </c>
      <c r="E3539" s="19" t="s">
        <v>22809</v>
      </c>
      <c r="F3539" s="8" t="s">
        <v>21049</v>
      </c>
      <c r="G3539" s="8">
        <v>23.61</v>
      </c>
      <c r="H3539" s="8"/>
      <c r="I3539" s="8"/>
      <c r="J3539" s="8" t="s">
        <v>22810</v>
      </c>
      <c r="K3539" s="8" t="s">
        <v>22811</v>
      </c>
      <c r="L3539" s="8"/>
      <c r="M3539" s="24" t="s">
        <v>22812</v>
      </c>
      <c r="N3539" s="12"/>
      <c r="O3539" s="12"/>
      <c r="P3539" s="13">
        <f>IFERROR(__xludf.DUMMYFUNCTION("VALUE(SUBSTITUTE((INDEX(SPLIT(A3539,"",""),1)),""."","","",1))"),54.483002)</f>
        <v>54.483002</v>
      </c>
      <c r="Q3539" s="13">
        <f>IFERROR(__xludf.DUMMYFUNCTION("VALUE(SUBSTITUTE((INDEX(SPLIT(A3539,"",""),2)),""."","","",1))"),53.547263)</f>
        <v>53.547263</v>
      </c>
      <c r="R3539" s="14" t="b">
        <f t="shared" si="1"/>
        <v>0</v>
      </c>
      <c r="S3539" s="14" t="str">
        <f t="shared" si="2"/>
        <v>54.483002,53.547263</v>
      </c>
      <c r="T3539" s="12"/>
    </row>
    <row r="3540">
      <c r="A3540" s="20" t="s">
        <v>22813</v>
      </c>
      <c r="B3540" s="16" t="s">
        <v>3698</v>
      </c>
      <c r="C3540" s="16" t="s">
        <v>3699</v>
      </c>
      <c r="D3540" s="16" t="s">
        <v>16</v>
      </c>
      <c r="E3540" s="21" t="s">
        <v>22814</v>
      </c>
      <c r="F3540" s="22" t="s">
        <v>21049</v>
      </c>
      <c r="G3540" s="16">
        <v>23.61</v>
      </c>
      <c r="H3540" s="16"/>
      <c r="I3540" s="22"/>
      <c r="J3540" s="22" t="s">
        <v>22815</v>
      </c>
      <c r="K3540" s="22" t="s">
        <v>22816</v>
      </c>
      <c r="L3540" s="23" t="s">
        <v>22817</v>
      </c>
      <c r="M3540" s="22"/>
      <c r="N3540" s="12"/>
      <c r="O3540" s="12"/>
      <c r="P3540" s="13">
        <f>IFERROR(__xludf.DUMMYFUNCTION("VALUE(SUBSTITUTE((INDEX(SPLIT(A3540,"",""),1)),""."","","",1))"),63.431728)</f>
        <v>63.431728</v>
      </c>
      <c r="Q3540" s="13">
        <f>IFERROR(__xludf.DUMMYFUNCTION("VALUE(SUBSTITUTE((INDEX(SPLIT(A3540,"",""),2)),""."","","",1))"),53.578434)</f>
        <v>53.578434</v>
      </c>
      <c r="R3540" s="14" t="b">
        <f t="shared" si="1"/>
        <v>0</v>
      </c>
      <c r="S3540" s="14" t="str">
        <f t="shared" si="2"/>
        <v>63.431728,53.578434</v>
      </c>
      <c r="T3540" s="12"/>
    </row>
    <row r="3541">
      <c r="A3541" s="18" t="s">
        <v>22818</v>
      </c>
      <c r="B3541" s="8" t="s">
        <v>22819</v>
      </c>
      <c r="C3541" s="8" t="s">
        <v>22820</v>
      </c>
      <c r="D3541" s="8" t="s">
        <v>16</v>
      </c>
      <c r="E3541" s="19" t="s">
        <v>22821</v>
      </c>
      <c r="F3541" s="8" t="s">
        <v>21049</v>
      </c>
      <c r="G3541" s="8">
        <v>23.61</v>
      </c>
      <c r="H3541" s="8"/>
      <c r="I3541" s="8"/>
      <c r="J3541" s="8" t="s">
        <v>22822</v>
      </c>
      <c r="K3541" s="8" t="s">
        <v>22823</v>
      </c>
      <c r="L3541" s="8"/>
      <c r="M3541" s="24" t="s">
        <v>22824</v>
      </c>
      <c r="N3541" s="12"/>
      <c r="O3541" s="12"/>
      <c r="P3541" s="13">
        <f>IFERROR(__xludf.DUMMYFUNCTION("VALUE(SUBSTITUTE((INDEX(SPLIT(A3541,"",""),1)),""."","","",1))"),56.919691)</f>
        <v>56.919691</v>
      </c>
      <c r="Q3541" s="13">
        <f>IFERROR(__xludf.DUMMYFUNCTION("VALUE(SUBSTITUTE((INDEX(SPLIT(A3541,"",""),2)),""."","","",1))"),53.610495)</f>
        <v>53.610495</v>
      </c>
      <c r="R3541" s="14" t="b">
        <f t="shared" si="1"/>
        <v>0</v>
      </c>
      <c r="S3541" s="14" t="str">
        <f t="shared" si="2"/>
        <v>56.919691,53.610495</v>
      </c>
      <c r="T3541" s="12"/>
    </row>
    <row r="3542">
      <c r="A3542" s="20" t="s">
        <v>22825</v>
      </c>
      <c r="B3542" s="16" t="s">
        <v>22826</v>
      </c>
      <c r="C3542" s="16" t="s">
        <v>22827</v>
      </c>
      <c r="D3542" s="16" t="s">
        <v>16</v>
      </c>
      <c r="E3542" s="21" t="s">
        <v>22828</v>
      </c>
      <c r="F3542" s="22" t="s">
        <v>21049</v>
      </c>
      <c r="G3542" s="16">
        <v>23.61</v>
      </c>
      <c r="H3542" s="16"/>
      <c r="I3542" s="22"/>
      <c r="J3542" s="22" t="s">
        <v>22829</v>
      </c>
      <c r="K3542" s="22" t="s">
        <v>22830</v>
      </c>
      <c r="L3542" s="23" t="s">
        <v>22831</v>
      </c>
      <c r="M3542" s="22"/>
      <c r="N3542" s="12"/>
      <c r="O3542" s="12"/>
      <c r="P3542" s="13">
        <f>IFERROR(__xludf.DUMMYFUNCTION("VALUE(SUBSTITUTE((INDEX(SPLIT(A3542,"",""),1)),""."","","",1))"),52.09943)</f>
        <v>52.09943</v>
      </c>
      <c r="Q3542" s="13">
        <f>IFERROR(__xludf.DUMMYFUNCTION("VALUE(SUBSTITUTE((INDEX(SPLIT(A3542,"",""),2)),""."","","",1))"),53.640876)</f>
        <v>53.640876</v>
      </c>
      <c r="R3542" s="14" t="b">
        <f t="shared" si="1"/>
        <v>0</v>
      </c>
      <c r="S3542" s="14" t="str">
        <f t="shared" si="2"/>
        <v>52.09943,53.640876</v>
      </c>
      <c r="T3542" s="12"/>
    </row>
    <row r="3543">
      <c r="A3543" s="7" t="s">
        <v>22832</v>
      </c>
      <c r="B3543" s="8" t="s">
        <v>22833</v>
      </c>
      <c r="C3543" s="8" t="s">
        <v>22834</v>
      </c>
      <c r="D3543" s="8" t="s">
        <v>16</v>
      </c>
      <c r="E3543" s="9" t="s">
        <v>22835</v>
      </c>
      <c r="F3543" s="10" t="s">
        <v>21049</v>
      </c>
      <c r="G3543" s="8">
        <v>23.61</v>
      </c>
      <c r="H3543" s="8"/>
      <c r="I3543" s="10"/>
      <c r="J3543" s="10" t="s">
        <v>22836</v>
      </c>
      <c r="K3543" s="10" t="s">
        <v>22837</v>
      </c>
      <c r="L3543" s="11" t="s">
        <v>22838</v>
      </c>
      <c r="M3543" s="11" t="s">
        <v>22839</v>
      </c>
      <c r="N3543" s="12"/>
      <c r="O3543" s="12"/>
      <c r="P3543" s="13">
        <f>IFERROR(__xludf.DUMMYFUNCTION("VALUE(SUBSTITUTE((INDEX(SPLIT(A3543,"",""),1)),""."","","",1))"),54.601667)</f>
        <v>54.601667</v>
      </c>
      <c r="Q3543" s="13">
        <f>IFERROR(__xludf.DUMMYFUNCTION("VALUE(SUBSTITUTE((INDEX(SPLIT(A3543,"",""),2)),""."","","",1))"),53.734894)</f>
        <v>53.734894</v>
      </c>
      <c r="R3543" s="14" t="b">
        <f t="shared" si="1"/>
        <v>0</v>
      </c>
      <c r="S3543" s="14" t="str">
        <f t="shared" si="2"/>
        <v>54.601667,53.734894</v>
      </c>
      <c r="T3543" s="12"/>
    </row>
    <row r="3544">
      <c r="A3544" s="15" t="s">
        <v>22840</v>
      </c>
      <c r="B3544" s="16" t="s">
        <v>22841</v>
      </c>
      <c r="C3544" s="16" t="s">
        <v>22842</v>
      </c>
      <c r="D3544" s="16" t="s">
        <v>16</v>
      </c>
      <c r="E3544" s="17" t="s">
        <v>22843</v>
      </c>
      <c r="F3544" s="16" t="s">
        <v>21049</v>
      </c>
      <c r="G3544" s="16">
        <v>23.61</v>
      </c>
      <c r="H3544" s="16"/>
      <c r="I3544" s="16"/>
      <c r="J3544" s="16" t="s">
        <v>22844</v>
      </c>
      <c r="K3544" s="16" t="s">
        <v>22845</v>
      </c>
      <c r="L3544" s="16"/>
      <c r="M3544" s="25" t="s">
        <v>22846</v>
      </c>
      <c r="N3544" s="12"/>
      <c r="O3544" s="12"/>
      <c r="P3544" s="13">
        <f>IFERROR(__xludf.DUMMYFUNCTION("VALUE(SUBSTITUTE((INDEX(SPLIT(A3544,"",""),1)),""."","","",1))"),63.543737)</f>
        <v>63.543737</v>
      </c>
      <c r="Q3544" s="13">
        <f>IFERROR(__xludf.DUMMYFUNCTION("VALUE(SUBSTITUTE((INDEX(SPLIT(A3544,"",""),2)),""."","","",1))"),53.740086)</f>
        <v>53.740086</v>
      </c>
      <c r="R3544" s="14" t="b">
        <f t="shared" si="1"/>
        <v>0</v>
      </c>
      <c r="S3544" s="14" t="str">
        <f t="shared" si="2"/>
        <v>63.543737,53.740086</v>
      </c>
      <c r="T3544" s="12"/>
    </row>
    <row r="3545">
      <c r="A3545" s="18" t="s">
        <v>22847</v>
      </c>
      <c r="B3545" s="8" t="s">
        <v>22848</v>
      </c>
      <c r="C3545" s="8" t="s">
        <v>22849</v>
      </c>
      <c r="D3545" s="8" t="s">
        <v>16</v>
      </c>
      <c r="E3545" s="19" t="s">
        <v>22850</v>
      </c>
      <c r="F3545" s="8" t="s">
        <v>21049</v>
      </c>
      <c r="G3545" s="8">
        <v>23.61</v>
      </c>
      <c r="H3545" s="8"/>
      <c r="I3545" s="8"/>
      <c r="J3545" s="8" t="s">
        <v>22851</v>
      </c>
      <c r="K3545" s="8" t="s">
        <v>22852</v>
      </c>
      <c r="L3545" s="8"/>
      <c r="M3545" s="8"/>
      <c r="N3545" s="12"/>
      <c r="O3545" s="12"/>
      <c r="P3545" s="13">
        <f>IFERROR(__xludf.DUMMYFUNCTION("VALUE(SUBSTITUTE((INDEX(SPLIT(A3545,"",""),1)),""."","","",1))"),56.445867)</f>
        <v>56.445867</v>
      </c>
      <c r="Q3545" s="13">
        <f>IFERROR(__xludf.DUMMYFUNCTION("VALUE(SUBSTITUTE((INDEX(SPLIT(A3545,"",""),2)),""."","","",1))"),53.759202)</f>
        <v>53.759202</v>
      </c>
      <c r="R3545" s="14" t="b">
        <f t="shared" si="1"/>
        <v>0</v>
      </c>
      <c r="S3545" s="14" t="str">
        <f t="shared" si="2"/>
        <v>56.445867,53.759202</v>
      </c>
      <c r="T3545" s="12"/>
    </row>
    <row r="3546">
      <c r="A3546" s="20" t="s">
        <v>22853</v>
      </c>
      <c r="B3546" s="16" t="s">
        <v>22854</v>
      </c>
      <c r="C3546" s="16" t="s">
        <v>22855</v>
      </c>
      <c r="D3546" s="16" t="s">
        <v>16</v>
      </c>
      <c r="E3546" s="21" t="s">
        <v>22856</v>
      </c>
      <c r="F3546" s="22" t="s">
        <v>953</v>
      </c>
      <c r="G3546" s="16">
        <v>23.61</v>
      </c>
      <c r="H3546" s="16"/>
      <c r="I3546" s="22"/>
      <c r="J3546" s="22" t="s">
        <v>22857</v>
      </c>
      <c r="K3546" s="22" t="s">
        <v>22858</v>
      </c>
      <c r="L3546" s="23" t="s">
        <v>22859</v>
      </c>
      <c r="M3546" s="23" t="s">
        <v>22860</v>
      </c>
      <c r="N3546" s="12"/>
      <c r="O3546" s="12"/>
      <c r="P3546" s="13">
        <f>IFERROR(__xludf.DUMMYFUNCTION("VALUE(SUBSTITUTE((INDEX(SPLIT(A3546,"",""),1)),""."","","",1))"),56.451046)</f>
        <v>56.451046</v>
      </c>
      <c r="Q3546" s="13">
        <f>IFERROR(__xludf.DUMMYFUNCTION("VALUE(SUBSTITUTE((INDEX(SPLIT(A3546,"",""),2)),""."","","",1))"),53.764116)</f>
        <v>53.764116</v>
      </c>
      <c r="R3546" s="14" t="b">
        <f t="shared" si="1"/>
        <v>0</v>
      </c>
      <c r="S3546" s="14" t="str">
        <f t="shared" si="2"/>
        <v>56.451046,53.764116</v>
      </c>
      <c r="T3546" s="12"/>
    </row>
    <row r="3547">
      <c r="A3547" s="18" t="s">
        <v>22861</v>
      </c>
      <c r="B3547" s="8" t="s">
        <v>22862</v>
      </c>
      <c r="C3547" s="8" t="s">
        <v>22863</v>
      </c>
      <c r="D3547" s="8" t="s">
        <v>16</v>
      </c>
      <c r="E3547" s="19" t="s">
        <v>22864</v>
      </c>
      <c r="F3547" s="8" t="s">
        <v>953</v>
      </c>
      <c r="G3547" s="8">
        <v>23.61</v>
      </c>
      <c r="H3547" s="8"/>
      <c r="I3547" s="8"/>
      <c r="J3547" s="8" t="s">
        <v>22865</v>
      </c>
      <c r="K3547" s="8" t="s">
        <v>973</v>
      </c>
      <c r="L3547" s="8"/>
      <c r="M3547" s="8"/>
      <c r="N3547" s="12"/>
      <c r="O3547" s="12"/>
      <c r="P3547" s="13">
        <f>IFERROR(__xludf.DUMMYFUNCTION("VALUE(SUBSTITUTE((INDEX(SPLIT(A3547,"",""),1)),""."","","",1))"),63.574846)</f>
        <v>63.574846</v>
      </c>
      <c r="Q3547" s="13">
        <f>IFERROR(__xludf.DUMMYFUNCTION("VALUE(SUBSTITUTE((INDEX(SPLIT(A3547,"",""),2)),""."","","",1))"),53.767952)</f>
        <v>53.767952</v>
      </c>
      <c r="R3547" s="14" t="b">
        <f t="shared" si="1"/>
        <v>0</v>
      </c>
      <c r="S3547" s="14" t="str">
        <f t="shared" si="2"/>
        <v>63.574846,53.767952</v>
      </c>
      <c r="T3547" s="12"/>
    </row>
    <row r="3548">
      <c r="A3548" s="20" t="s">
        <v>22866</v>
      </c>
      <c r="B3548" s="16" t="s">
        <v>22867</v>
      </c>
      <c r="C3548" s="16" t="s">
        <v>22868</v>
      </c>
      <c r="D3548" s="16" t="s">
        <v>16</v>
      </c>
      <c r="E3548" s="21" t="s">
        <v>22869</v>
      </c>
      <c r="F3548" s="22" t="s">
        <v>10183</v>
      </c>
      <c r="G3548" s="16">
        <v>23.61</v>
      </c>
      <c r="H3548" s="16"/>
      <c r="I3548" s="22"/>
      <c r="J3548" s="22" t="s">
        <v>22870</v>
      </c>
      <c r="K3548" s="22" t="s">
        <v>22871</v>
      </c>
      <c r="L3548" s="23" t="s">
        <v>22872</v>
      </c>
      <c r="M3548" s="22"/>
      <c r="N3548" s="12"/>
      <c r="O3548" s="12"/>
      <c r="P3548" s="13">
        <f>IFERROR(__xludf.DUMMYFUNCTION("VALUE(SUBSTITUTE((INDEX(SPLIT(A3548,"",""),1)),""."","","",1))"),56.458214)</f>
        <v>56.458214</v>
      </c>
      <c r="Q3548" s="13">
        <f>IFERROR(__xludf.DUMMYFUNCTION("VALUE(SUBSTITUTE((INDEX(SPLIT(A3548,"",""),2)),""."","","",1))"),53.813541)</f>
        <v>53.813541</v>
      </c>
      <c r="R3548" s="14" t="b">
        <f t="shared" si="1"/>
        <v>0</v>
      </c>
      <c r="S3548" s="14" t="str">
        <f t="shared" si="2"/>
        <v>56.458214,53.813541</v>
      </c>
      <c r="T3548" s="12"/>
    </row>
    <row r="3549">
      <c r="A3549" s="7" t="s">
        <v>22873</v>
      </c>
      <c r="B3549" s="8" t="s">
        <v>22874</v>
      </c>
      <c r="C3549" s="8" t="s">
        <v>22875</v>
      </c>
      <c r="D3549" s="8" t="s">
        <v>16</v>
      </c>
      <c r="E3549" s="9" t="s">
        <v>22876</v>
      </c>
      <c r="F3549" s="10" t="s">
        <v>21049</v>
      </c>
      <c r="G3549" s="8">
        <v>23.61</v>
      </c>
      <c r="H3549" s="8"/>
      <c r="I3549" s="10"/>
      <c r="J3549" s="10" t="s">
        <v>22877</v>
      </c>
      <c r="K3549" s="10" t="s">
        <v>22878</v>
      </c>
      <c r="L3549" s="29" t="s">
        <v>22879</v>
      </c>
      <c r="M3549" s="10"/>
      <c r="N3549" s="12"/>
      <c r="O3549" s="12"/>
      <c r="P3549" s="13">
        <f>IFERROR(__xludf.DUMMYFUNCTION("VALUE(SUBSTITUTE((INDEX(SPLIT(A3549,"",""),1)),""."","","",1))"),55.9015)</f>
        <v>55.9015</v>
      </c>
      <c r="Q3549" s="13">
        <f>IFERROR(__xludf.DUMMYFUNCTION("VALUE(SUBSTITUTE((INDEX(SPLIT(A3549,"",""),2)),""."","","",1))"),53.923109)</f>
        <v>53.923109</v>
      </c>
      <c r="R3549" s="14" t="b">
        <f t="shared" si="1"/>
        <v>0</v>
      </c>
      <c r="S3549" s="14" t="str">
        <f t="shared" si="2"/>
        <v>55.9015,53.923109</v>
      </c>
      <c r="T3549" s="12"/>
    </row>
    <row r="3550">
      <c r="A3550" s="15" t="s">
        <v>22880</v>
      </c>
      <c r="B3550" s="16" t="s">
        <v>16335</v>
      </c>
      <c r="C3550" s="16" t="s">
        <v>16336</v>
      </c>
      <c r="D3550" s="16" t="s">
        <v>16</v>
      </c>
      <c r="E3550" s="17" t="s">
        <v>22881</v>
      </c>
      <c r="F3550" s="16" t="s">
        <v>21049</v>
      </c>
      <c r="G3550" s="16">
        <v>23.61</v>
      </c>
      <c r="H3550" s="16"/>
      <c r="I3550" s="16"/>
      <c r="J3550" s="16" t="s">
        <v>22882</v>
      </c>
      <c r="K3550" s="16" t="s">
        <v>22883</v>
      </c>
      <c r="L3550" s="16"/>
      <c r="M3550" s="25" t="s">
        <v>22884</v>
      </c>
      <c r="N3550" s="12"/>
      <c r="O3550" s="12"/>
      <c r="P3550" s="13">
        <f>IFERROR(__xludf.DUMMYFUNCTION("VALUE(SUBSTITUTE((INDEX(SPLIT(A3550,"",""),1)),""."","","",1))"),55.234692)</f>
        <v>55.234692</v>
      </c>
      <c r="Q3550" s="13">
        <f>IFERROR(__xludf.DUMMYFUNCTION("VALUE(SUBSTITUTE((INDEX(SPLIT(A3550,"",""),2)),""."","","",1))"),53.934715)</f>
        <v>53.934715</v>
      </c>
      <c r="R3550" s="14" t="b">
        <f t="shared" si="1"/>
        <v>0</v>
      </c>
      <c r="S3550" s="14" t="str">
        <f t="shared" si="2"/>
        <v>55.234692,53.934715</v>
      </c>
      <c r="T3550" s="12"/>
    </row>
    <row r="3551">
      <c r="A3551" s="7" t="s">
        <v>22885</v>
      </c>
      <c r="B3551" s="8" t="s">
        <v>22886</v>
      </c>
      <c r="C3551" s="8" t="s">
        <v>517</v>
      </c>
      <c r="D3551" s="8" t="s">
        <v>16</v>
      </c>
      <c r="E3551" s="9" t="s">
        <v>22887</v>
      </c>
      <c r="F3551" s="10" t="s">
        <v>21049</v>
      </c>
      <c r="G3551" s="8">
        <v>23.61</v>
      </c>
      <c r="H3551" s="8"/>
      <c r="I3551" s="10"/>
      <c r="J3551" s="10" t="s">
        <v>22888</v>
      </c>
      <c r="K3551" s="10" t="s">
        <v>22889</v>
      </c>
      <c r="L3551" s="11" t="s">
        <v>22890</v>
      </c>
      <c r="M3551" s="11" t="s">
        <v>22891</v>
      </c>
      <c r="N3551" s="12"/>
      <c r="O3551" s="12"/>
      <c r="P3551" s="13">
        <f>IFERROR(__xludf.DUMMYFUNCTION("VALUE(SUBSTITUTE((INDEX(SPLIT(A3551,"",""),1)),""."","","",1))"),56.954282)</f>
        <v>56.954282</v>
      </c>
      <c r="Q3551" s="13">
        <f>IFERROR(__xludf.DUMMYFUNCTION("VALUE(SUBSTITUTE((INDEX(SPLIT(A3551,"",""),2)),""."","","",1))"),53.947902)</f>
        <v>53.947902</v>
      </c>
      <c r="R3551" s="14" t="b">
        <f t="shared" si="1"/>
        <v>0</v>
      </c>
      <c r="S3551" s="14" t="str">
        <f t="shared" si="2"/>
        <v>56.954282,53.947902</v>
      </c>
      <c r="T3551" s="12"/>
    </row>
    <row r="3552">
      <c r="A3552" s="15" t="s">
        <v>22892</v>
      </c>
      <c r="B3552" s="16" t="s">
        <v>22893</v>
      </c>
      <c r="C3552" s="16" t="s">
        <v>22894</v>
      </c>
      <c r="D3552" s="16" t="s">
        <v>16</v>
      </c>
      <c r="E3552" s="17" t="s">
        <v>22895</v>
      </c>
      <c r="F3552" s="16" t="s">
        <v>21049</v>
      </c>
      <c r="G3552" s="16">
        <v>23.61</v>
      </c>
      <c r="H3552" s="16"/>
      <c r="I3552" s="16"/>
      <c r="J3552" s="16" t="s">
        <v>22896</v>
      </c>
      <c r="K3552" s="16" t="s">
        <v>22897</v>
      </c>
      <c r="L3552" s="16"/>
      <c r="M3552" s="16"/>
      <c r="N3552" s="12"/>
      <c r="O3552" s="12"/>
      <c r="P3552" s="13">
        <f>IFERROR(__xludf.DUMMYFUNCTION("VALUE(SUBSTITUTE((INDEX(SPLIT(A3552,"",""),1)),""."","","",1))"),57.049138)</f>
        <v>57.049138</v>
      </c>
      <c r="Q3552" s="13">
        <f>IFERROR(__xludf.DUMMYFUNCTION("VALUE(SUBSTITUTE((INDEX(SPLIT(A3552,"",""),2)),""."","","",1))"),53.98776)</f>
        <v>53.98776</v>
      </c>
      <c r="R3552" s="14" t="b">
        <f t="shared" si="1"/>
        <v>0</v>
      </c>
      <c r="S3552" s="14" t="str">
        <f t="shared" si="2"/>
        <v>57.049138,53.98776</v>
      </c>
      <c r="T3552" s="12"/>
    </row>
    <row r="3553">
      <c r="A3553" s="7" t="s">
        <v>22898</v>
      </c>
      <c r="B3553" s="8" t="s">
        <v>22899</v>
      </c>
      <c r="C3553" s="8" t="s">
        <v>22900</v>
      </c>
      <c r="D3553" s="8" t="s">
        <v>16</v>
      </c>
      <c r="E3553" s="9" t="s">
        <v>22901</v>
      </c>
      <c r="F3553" s="10" t="s">
        <v>21049</v>
      </c>
      <c r="G3553" s="8">
        <v>23.61</v>
      </c>
      <c r="H3553" s="8"/>
      <c r="I3553" s="10"/>
      <c r="J3553" s="10" t="s">
        <v>22902</v>
      </c>
      <c r="K3553" s="10" t="s">
        <v>22903</v>
      </c>
      <c r="L3553" s="11" t="s">
        <v>22904</v>
      </c>
      <c r="M3553" s="10"/>
      <c r="N3553" s="12"/>
      <c r="O3553" s="12"/>
      <c r="P3553" s="13">
        <f>IFERROR(__xludf.DUMMYFUNCTION("VALUE(SUBSTITUTE((INDEX(SPLIT(A3553,"",""),1)),""."","","",1))"),57.065628)</f>
        <v>57.065628</v>
      </c>
      <c r="Q3553" s="13">
        <f>IFERROR(__xludf.DUMMYFUNCTION("VALUE(SUBSTITUTE((INDEX(SPLIT(A3553,"",""),2)),""."","","",1))"),53.990428)</f>
        <v>53.990428</v>
      </c>
      <c r="R3553" s="14" t="b">
        <f t="shared" si="1"/>
        <v>0</v>
      </c>
      <c r="S3553" s="14" t="str">
        <f t="shared" si="2"/>
        <v>57.065628,53.990428</v>
      </c>
      <c r="T3553" s="12"/>
    </row>
    <row r="3554">
      <c r="A3554" s="20" t="s">
        <v>22905</v>
      </c>
      <c r="B3554" s="16" t="s">
        <v>22906</v>
      </c>
      <c r="C3554" s="16" t="s">
        <v>22907</v>
      </c>
      <c r="D3554" s="16" t="s">
        <v>16</v>
      </c>
      <c r="E3554" s="21" t="s">
        <v>22908</v>
      </c>
      <c r="F3554" s="22" t="s">
        <v>21049</v>
      </c>
      <c r="G3554" s="16">
        <v>23.61</v>
      </c>
      <c r="H3554" s="16"/>
      <c r="I3554" s="22"/>
      <c r="J3554" s="22" t="s">
        <v>22909</v>
      </c>
      <c r="K3554" s="22" t="s">
        <v>22910</v>
      </c>
      <c r="L3554" s="23" t="s">
        <v>22911</v>
      </c>
      <c r="M3554" s="22"/>
      <c r="N3554" s="12"/>
      <c r="O3554" s="12"/>
      <c r="P3554" s="13">
        <f>IFERROR(__xludf.DUMMYFUNCTION("VALUE(SUBSTITUTE((INDEX(SPLIT(A3554,"",""),1)),""."","","",1))"),57.048663)</f>
        <v>57.048663</v>
      </c>
      <c r="Q3554" s="13">
        <f>IFERROR(__xludf.DUMMYFUNCTION("VALUE(SUBSTITUTE((INDEX(SPLIT(A3554,"",""),2)),""."","","",1))"),54.002619)</f>
        <v>54.002619</v>
      </c>
      <c r="R3554" s="14" t="b">
        <f t="shared" si="1"/>
        <v>0</v>
      </c>
      <c r="S3554" s="14" t="str">
        <f t="shared" si="2"/>
        <v>57.048663,54.002619</v>
      </c>
      <c r="T3554" s="12"/>
    </row>
    <row r="3555">
      <c r="A3555" s="7" t="s">
        <v>22912</v>
      </c>
      <c r="B3555" s="8" t="s">
        <v>22913</v>
      </c>
      <c r="C3555" s="8" t="s">
        <v>22914</v>
      </c>
      <c r="D3555" s="8" t="s">
        <v>16</v>
      </c>
      <c r="E3555" s="9" t="s">
        <v>22915</v>
      </c>
      <c r="F3555" s="10" t="s">
        <v>21049</v>
      </c>
      <c r="G3555" s="8">
        <v>23.61</v>
      </c>
      <c r="H3555" s="8"/>
      <c r="I3555" s="31" t="s">
        <v>22916</v>
      </c>
      <c r="J3555" s="10" t="s">
        <v>22917</v>
      </c>
      <c r="K3555" s="10" t="s">
        <v>22918</v>
      </c>
      <c r="L3555" s="11" t="s">
        <v>22919</v>
      </c>
      <c r="M3555" s="10"/>
      <c r="N3555" s="12"/>
      <c r="O3555" s="12"/>
      <c r="P3555" s="13">
        <f>IFERROR(__xludf.DUMMYFUNCTION("VALUE(SUBSTITUTE((INDEX(SPLIT(A3555,"",""),1)),""."","","",1))"),57.059893)</f>
        <v>57.059893</v>
      </c>
      <c r="Q3555" s="13">
        <f>IFERROR(__xludf.DUMMYFUNCTION("VALUE(SUBSTITUTE((INDEX(SPLIT(A3555,"",""),2)),""."","","",1))"),54.024879)</f>
        <v>54.024879</v>
      </c>
      <c r="R3555" s="14" t="b">
        <f t="shared" si="1"/>
        <v>0</v>
      </c>
      <c r="S3555" s="14" t="str">
        <f t="shared" si="2"/>
        <v>57.059893,54.024879</v>
      </c>
      <c r="T3555" s="12"/>
    </row>
    <row r="3556">
      <c r="A3556" s="15" t="s">
        <v>22920</v>
      </c>
      <c r="B3556" s="16" t="s">
        <v>22921</v>
      </c>
      <c r="C3556" s="16" t="s">
        <v>22922</v>
      </c>
      <c r="D3556" s="16" t="s">
        <v>16</v>
      </c>
      <c r="E3556" s="17" t="s">
        <v>22923</v>
      </c>
      <c r="F3556" s="16" t="s">
        <v>21049</v>
      </c>
      <c r="G3556" s="16">
        <v>23.61</v>
      </c>
      <c r="H3556" s="16"/>
      <c r="I3556" s="16"/>
      <c r="J3556" s="16" t="s">
        <v>22924</v>
      </c>
      <c r="K3556" s="16" t="s">
        <v>22925</v>
      </c>
      <c r="L3556" s="16"/>
      <c r="M3556" s="16"/>
      <c r="N3556" s="12"/>
      <c r="O3556" s="12"/>
      <c r="P3556" s="13">
        <f>IFERROR(__xludf.DUMMYFUNCTION("VALUE(SUBSTITUTE((INDEX(SPLIT(A3556,"",""),1)),""."","","",1))"),56.800602)</f>
        <v>56.800602</v>
      </c>
      <c r="Q3556" s="13">
        <f>IFERROR(__xludf.DUMMYFUNCTION("VALUE(SUBSTITUTE((INDEX(SPLIT(A3556,"",""),2)),""."","","",1))"),54.038021)</f>
        <v>54.038021</v>
      </c>
      <c r="R3556" s="14" t="b">
        <f t="shared" si="1"/>
        <v>0</v>
      </c>
      <c r="S3556" s="14" t="str">
        <f t="shared" si="2"/>
        <v>56.800602,54.038021</v>
      </c>
      <c r="T3556" s="12"/>
    </row>
    <row r="3557">
      <c r="A3557" s="7" t="s">
        <v>22926</v>
      </c>
      <c r="B3557" s="8" t="s">
        <v>22927</v>
      </c>
      <c r="C3557" s="8" t="s">
        <v>22928</v>
      </c>
      <c r="D3557" s="8" t="s">
        <v>16</v>
      </c>
      <c r="E3557" s="9" t="s">
        <v>22929</v>
      </c>
      <c r="F3557" s="10" t="s">
        <v>21049</v>
      </c>
      <c r="G3557" s="8">
        <v>23.61</v>
      </c>
      <c r="H3557" s="8"/>
      <c r="I3557" s="10"/>
      <c r="J3557" s="10" t="s">
        <v>22930</v>
      </c>
      <c r="K3557" s="10" t="s">
        <v>22931</v>
      </c>
      <c r="L3557" s="11" t="s">
        <v>22932</v>
      </c>
      <c r="M3557" s="11" t="s">
        <v>22933</v>
      </c>
      <c r="N3557" s="12"/>
      <c r="O3557" s="12"/>
      <c r="P3557" s="13">
        <f>IFERROR(__xludf.DUMMYFUNCTION("VALUE(SUBSTITUTE((INDEX(SPLIT(A3557,"",""),1)),""."","","",1))"),54.112842)</f>
        <v>54.112842</v>
      </c>
      <c r="Q3557" s="13">
        <f>IFERROR(__xludf.DUMMYFUNCTION("VALUE(SUBSTITUTE((INDEX(SPLIT(A3557,"",""),2)),""."","","",1))"),54.107488)</f>
        <v>54.107488</v>
      </c>
      <c r="R3557" s="14" t="b">
        <f t="shared" si="1"/>
        <v>0</v>
      </c>
      <c r="S3557" s="14" t="str">
        <f t="shared" si="2"/>
        <v>54.112842,54.107488</v>
      </c>
      <c r="T3557" s="12"/>
    </row>
    <row r="3558">
      <c r="A3558" s="20" t="s">
        <v>22934</v>
      </c>
      <c r="B3558" s="16" t="s">
        <v>22935</v>
      </c>
      <c r="C3558" s="16" t="s">
        <v>22936</v>
      </c>
      <c r="D3558" s="16" t="s">
        <v>16</v>
      </c>
      <c r="E3558" s="21" t="s">
        <v>22937</v>
      </c>
      <c r="F3558" s="22" t="s">
        <v>21049</v>
      </c>
      <c r="G3558" s="16">
        <v>23.61</v>
      </c>
      <c r="H3558" s="16"/>
      <c r="I3558" s="22"/>
      <c r="J3558" s="22" t="s">
        <v>22938</v>
      </c>
      <c r="K3558" s="22" t="s">
        <v>22939</v>
      </c>
      <c r="L3558" s="23" t="s">
        <v>22940</v>
      </c>
      <c r="M3558" s="23" t="s">
        <v>22941</v>
      </c>
      <c r="N3558" s="12"/>
      <c r="O3558" s="12"/>
      <c r="P3558" s="13">
        <f>IFERROR(__xludf.DUMMYFUNCTION("VALUE(SUBSTITUTE((INDEX(SPLIT(A3558,"",""),1)),""."","","",1))"),54.081151)</f>
        <v>54.081151</v>
      </c>
      <c r="Q3558" s="13">
        <f>IFERROR(__xludf.DUMMYFUNCTION("VALUE(SUBSTITUTE((INDEX(SPLIT(A3558,"",""),2)),""."","","",1))"),54.12275)</f>
        <v>54.12275</v>
      </c>
      <c r="R3558" s="14" t="b">
        <f t="shared" si="1"/>
        <v>0</v>
      </c>
      <c r="S3558" s="14" t="str">
        <f t="shared" si="2"/>
        <v>54.081151,54.12275</v>
      </c>
      <c r="T3558" s="12"/>
    </row>
    <row r="3559">
      <c r="A3559" s="18" t="s">
        <v>22942</v>
      </c>
      <c r="B3559" s="8" t="s">
        <v>22943</v>
      </c>
      <c r="C3559" s="8" t="s">
        <v>22944</v>
      </c>
      <c r="D3559" s="8" t="s">
        <v>16</v>
      </c>
      <c r="E3559" s="19" t="s">
        <v>22945</v>
      </c>
      <c r="F3559" s="8" t="s">
        <v>21049</v>
      </c>
      <c r="G3559" s="8">
        <v>23.61</v>
      </c>
      <c r="H3559" s="8"/>
      <c r="I3559" s="8"/>
      <c r="J3559" s="8" t="s">
        <v>22946</v>
      </c>
      <c r="K3559" s="8" t="s">
        <v>22947</v>
      </c>
      <c r="L3559" s="8"/>
      <c r="M3559" s="24" t="s">
        <v>22948</v>
      </c>
      <c r="N3559" s="12"/>
      <c r="O3559" s="12"/>
      <c r="P3559" s="13">
        <f>IFERROR(__xludf.DUMMYFUNCTION("VALUE(SUBSTITUTE((INDEX(SPLIT(A3559,"",""),1)),""."","","",1))"),54.106213)</f>
        <v>54.106213</v>
      </c>
      <c r="Q3559" s="13">
        <f>IFERROR(__xludf.DUMMYFUNCTION("VALUE(SUBSTITUTE((INDEX(SPLIT(A3559,"",""),2)),""."","","",1))"),54.138022)</f>
        <v>54.138022</v>
      </c>
      <c r="R3559" s="14" t="b">
        <f t="shared" si="1"/>
        <v>0</v>
      </c>
      <c r="S3559" s="14" t="str">
        <f t="shared" si="2"/>
        <v>54.106213,54.138022</v>
      </c>
      <c r="T3559" s="12"/>
    </row>
    <row r="3560">
      <c r="A3560" s="20" t="s">
        <v>22949</v>
      </c>
      <c r="B3560" s="16" t="s">
        <v>22950</v>
      </c>
      <c r="C3560" s="16" t="s">
        <v>22951</v>
      </c>
      <c r="D3560" s="16" t="s">
        <v>16</v>
      </c>
      <c r="E3560" s="21" t="s">
        <v>22952</v>
      </c>
      <c r="F3560" s="22" t="s">
        <v>21049</v>
      </c>
      <c r="G3560" s="16">
        <v>23.61</v>
      </c>
      <c r="H3560" s="16"/>
      <c r="I3560" s="22"/>
      <c r="J3560" s="22" t="s">
        <v>22953</v>
      </c>
      <c r="K3560" s="22" t="s">
        <v>22954</v>
      </c>
      <c r="L3560" s="23" t="s">
        <v>22955</v>
      </c>
      <c r="M3560" s="22"/>
      <c r="N3560" s="12"/>
      <c r="O3560" s="12"/>
      <c r="P3560" s="13">
        <f>IFERROR(__xludf.DUMMYFUNCTION("VALUE(SUBSTITUTE((INDEX(SPLIT(A3560,"",""),1)),""."","","",1))"),55.466024)</f>
        <v>55.466024</v>
      </c>
      <c r="Q3560" s="13">
        <f>IFERROR(__xludf.DUMMYFUNCTION("VALUE(SUBSTITUTE((INDEX(SPLIT(A3560,"",""),2)),""."","","",1))"),54.22037)</f>
        <v>54.22037</v>
      </c>
      <c r="R3560" s="14" t="b">
        <f t="shared" si="1"/>
        <v>0</v>
      </c>
      <c r="S3560" s="14" t="str">
        <f t="shared" si="2"/>
        <v>55.466024,54.22037</v>
      </c>
      <c r="T3560" s="12"/>
    </row>
    <row r="3561">
      <c r="A3561" s="7" t="s">
        <v>22956</v>
      </c>
      <c r="B3561" s="8" t="s">
        <v>22957</v>
      </c>
      <c r="C3561" s="8" t="s">
        <v>22958</v>
      </c>
      <c r="D3561" s="8" t="s">
        <v>16</v>
      </c>
      <c r="E3561" s="9" t="s">
        <v>22959</v>
      </c>
      <c r="F3561" s="10" t="s">
        <v>10183</v>
      </c>
      <c r="G3561" s="8">
        <v>23.61</v>
      </c>
      <c r="H3561" s="8"/>
      <c r="I3561" s="10"/>
      <c r="J3561" s="10" t="s">
        <v>22960</v>
      </c>
      <c r="K3561" s="10" t="s">
        <v>22961</v>
      </c>
      <c r="L3561" s="11" t="s">
        <v>22962</v>
      </c>
      <c r="M3561" s="10"/>
      <c r="N3561" s="12"/>
      <c r="O3561" s="12"/>
      <c r="P3561" s="13">
        <f>IFERROR(__xludf.DUMMYFUNCTION("VALUE(SUBSTITUTE((INDEX(SPLIT(A3561,"",""),1)),""."","","",1))"),56.09697)</f>
        <v>56.09697</v>
      </c>
      <c r="Q3561" s="13">
        <f>IFERROR(__xludf.DUMMYFUNCTION("VALUE(SUBSTITUTE((INDEX(SPLIT(A3561,"",""),2)),""."","","",1))"),54.240196)</f>
        <v>54.240196</v>
      </c>
      <c r="R3561" s="14" t="b">
        <f t="shared" si="1"/>
        <v>0</v>
      </c>
      <c r="S3561" s="14" t="str">
        <f t="shared" si="2"/>
        <v>56.09697,54.240196</v>
      </c>
      <c r="T3561" s="12"/>
    </row>
    <row r="3562">
      <c r="A3562" s="20" t="s">
        <v>22963</v>
      </c>
      <c r="B3562" s="16" t="s">
        <v>22964</v>
      </c>
      <c r="C3562" s="16" t="s">
        <v>22965</v>
      </c>
      <c r="D3562" s="16" t="s">
        <v>16</v>
      </c>
      <c r="E3562" s="21" t="s">
        <v>22966</v>
      </c>
      <c r="F3562" s="22" t="s">
        <v>4327</v>
      </c>
      <c r="G3562" s="16">
        <v>23.61</v>
      </c>
      <c r="H3562" s="16"/>
      <c r="I3562" s="22"/>
      <c r="J3562" s="22" t="s">
        <v>22967</v>
      </c>
      <c r="K3562" s="22" t="s">
        <v>22968</v>
      </c>
      <c r="L3562" s="23" t="s">
        <v>22969</v>
      </c>
      <c r="M3562" s="22"/>
      <c r="N3562" s="12"/>
      <c r="O3562" s="12"/>
      <c r="P3562" s="13">
        <f>IFERROR(__xludf.DUMMYFUNCTION("VALUE(SUBSTITUTE((INDEX(SPLIT(A3562,"",""),1)),""."","","",1))"),56.079965)</f>
        <v>56.079965</v>
      </c>
      <c r="Q3562" s="13">
        <f>IFERROR(__xludf.DUMMYFUNCTION("VALUE(SUBSTITUTE((INDEX(SPLIT(A3562,"",""),2)),""."","","",1))"),54.253419)</f>
        <v>54.253419</v>
      </c>
      <c r="R3562" s="14" t="b">
        <f t="shared" si="1"/>
        <v>0</v>
      </c>
      <c r="S3562" s="14" t="str">
        <f t="shared" si="2"/>
        <v>56.079965,54.253419</v>
      </c>
      <c r="T3562" s="12"/>
    </row>
    <row r="3563">
      <c r="A3563" s="18" t="s">
        <v>22970</v>
      </c>
      <c r="B3563" s="8" t="s">
        <v>22971</v>
      </c>
      <c r="C3563" s="8" t="s">
        <v>22972</v>
      </c>
      <c r="D3563" s="8" t="s">
        <v>16</v>
      </c>
      <c r="E3563" s="19" t="s">
        <v>22973</v>
      </c>
      <c r="F3563" s="8" t="s">
        <v>4327</v>
      </c>
      <c r="G3563" s="8">
        <v>23.61</v>
      </c>
      <c r="H3563" s="8"/>
      <c r="I3563" s="8"/>
      <c r="J3563" s="8" t="s">
        <v>22974</v>
      </c>
      <c r="K3563" s="8" t="s">
        <v>22975</v>
      </c>
      <c r="L3563" s="8"/>
      <c r="M3563" s="8"/>
      <c r="N3563" s="12"/>
      <c r="O3563" s="12"/>
      <c r="P3563" s="13">
        <f>IFERROR(__xludf.DUMMYFUNCTION("VALUE(SUBSTITUTE((INDEX(SPLIT(A3563,"",""),1)),""."","","",1))"),56.118997)</f>
        <v>56.118997</v>
      </c>
      <c r="Q3563" s="13">
        <f>IFERROR(__xludf.DUMMYFUNCTION("VALUE(SUBSTITUTE((INDEX(SPLIT(A3563,"",""),2)),""."","","",1))"),54.271682)</f>
        <v>54.271682</v>
      </c>
      <c r="R3563" s="14" t="b">
        <f t="shared" si="1"/>
        <v>0</v>
      </c>
      <c r="S3563" s="14" t="str">
        <f t="shared" si="2"/>
        <v>56.118997,54.271682</v>
      </c>
      <c r="T3563" s="12"/>
    </row>
    <row r="3564">
      <c r="A3564" s="15" t="s">
        <v>22976</v>
      </c>
      <c r="B3564" s="16" t="s">
        <v>22977</v>
      </c>
      <c r="C3564" s="16" t="s">
        <v>22978</v>
      </c>
      <c r="D3564" s="16" t="s">
        <v>16</v>
      </c>
      <c r="E3564" s="17" t="s">
        <v>22979</v>
      </c>
      <c r="F3564" s="16" t="s">
        <v>21049</v>
      </c>
      <c r="G3564" s="16">
        <v>23.61</v>
      </c>
      <c r="H3564" s="16"/>
      <c r="I3564" s="16"/>
      <c r="J3564" s="16" t="s">
        <v>22980</v>
      </c>
      <c r="K3564" s="16" t="s">
        <v>22981</v>
      </c>
      <c r="L3564" s="16"/>
      <c r="M3564" s="25" t="s">
        <v>2984</v>
      </c>
      <c r="N3564" s="12"/>
      <c r="O3564" s="12"/>
      <c r="P3564" s="13">
        <f>IFERROR(__xludf.DUMMYFUNCTION("VALUE(SUBSTITUTE((INDEX(SPLIT(A3564,"",""),1)),""."","","",1))"),56.120367)</f>
        <v>56.120367</v>
      </c>
      <c r="Q3564" s="13">
        <f>IFERROR(__xludf.DUMMYFUNCTION("VALUE(SUBSTITUTE((INDEX(SPLIT(A3564,"",""),2)),""."","","",1))"),54.279928)</f>
        <v>54.279928</v>
      </c>
      <c r="R3564" s="14" t="b">
        <f t="shared" si="1"/>
        <v>0</v>
      </c>
      <c r="S3564" s="14" t="str">
        <f t="shared" si="2"/>
        <v>56.120367,54.279928</v>
      </c>
      <c r="T3564" s="12"/>
    </row>
    <row r="3565">
      <c r="A3565" s="7" t="s">
        <v>22982</v>
      </c>
      <c r="B3565" s="8" t="s">
        <v>22983</v>
      </c>
      <c r="C3565" s="8" t="s">
        <v>22984</v>
      </c>
      <c r="D3565" s="8" t="s">
        <v>16</v>
      </c>
      <c r="E3565" s="9" t="s">
        <v>22985</v>
      </c>
      <c r="F3565" s="10" t="s">
        <v>10183</v>
      </c>
      <c r="G3565" s="8">
        <v>23.61</v>
      </c>
      <c r="H3565" s="8"/>
      <c r="I3565" s="10"/>
      <c r="J3565" s="10" t="s">
        <v>22986</v>
      </c>
      <c r="K3565" s="10" t="s">
        <v>22987</v>
      </c>
      <c r="L3565" s="11" t="s">
        <v>22988</v>
      </c>
      <c r="M3565" s="11" t="s">
        <v>22989</v>
      </c>
      <c r="N3565" s="12"/>
      <c r="O3565" s="12"/>
      <c r="P3565" s="13">
        <f>IFERROR(__xludf.DUMMYFUNCTION("VALUE(SUBSTITUTE((INDEX(SPLIT(A3565,"",""),1)),""."","","",1))"),56.100721)</f>
        <v>56.100721</v>
      </c>
      <c r="Q3565" s="13">
        <f>IFERROR(__xludf.DUMMYFUNCTION("VALUE(SUBSTITUTE((INDEX(SPLIT(A3565,"",""),2)),""."","","",1))"),54.304668)</f>
        <v>54.304668</v>
      </c>
      <c r="R3565" s="14" t="b">
        <f t="shared" si="1"/>
        <v>0</v>
      </c>
      <c r="S3565" s="14" t="str">
        <f t="shared" si="2"/>
        <v>56.100721,54.304668</v>
      </c>
      <c r="T3565" s="12"/>
    </row>
    <row r="3566">
      <c r="A3566" s="20" t="s">
        <v>22990</v>
      </c>
      <c r="B3566" s="16" t="s">
        <v>22991</v>
      </c>
      <c r="C3566" s="16" t="s">
        <v>22992</v>
      </c>
      <c r="D3566" s="16" t="s">
        <v>16</v>
      </c>
      <c r="E3566" s="21" t="s">
        <v>22993</v>
      </c>
      <c r="F3566" s="22" t="s">
        <v>21049</v>
      </c>
      <c r="G3566" s="16">
        <v>23.61</v>
      </c>
      <c r="H3566" s="16"/>
      <c r="I3566" s="22"/>
      <c r="J3566" s="22" t="s">
        <v>22994</v>
      </c>
      <c r="K3566" s="22" t="s">
        <v>22995</v>
      </c>
      <c r="L3566" s="23" t="s">
        <v>22996</v>
      </c>
      <c r="M3566" s="23" t="s">
        <v>22997</v>
      </c>
      <c r="N3566" s="12"/>
      <c r="O3566" s="12"/>
      <c r="P3566" s="13">
        <f>IFERROR(__xludf.DUMMYFUNCTION("VALUE(SUBSTITUTE((INDEX(SPLIT(A3566,"",""),1)),""."","","",1))"),58.060712)</f>
        <v>58.060712</v>
      </c>
      <c r="Q3566" s="13">
        <f>IFERROR(__xludf.DUMMYFUNCTION("VALUE(SUBSTITUTE((INDEX(SPLIT(A3566,"",""),2)),""."","","",1))"),54.639533)</f>
        <v>54.639533</v>
      </c>
      <c r="R3566" s="14" t="b">
        <f t="shared" si="1"/>
        <v>0</v>
      </c>
      <c r="S3566" s="14" t="str">
        <f t="shared" si="2"/>
        <v>58.060712,54.639533</v>
      </c>
      <c r="T3566" s="12"/>
    </row>
    <row r="3567">
      <c r="A3567" s="18" t="s">
        <v>22998</v>
      </c>
      <c r="B3567" s="8" t="s">
        <v>22999</v>
      </c>
      <c r="C3567" s="8" t="s">
        <v>23000</v>
      </c>
      <c r="D3567" s="8" t="s">
        <v>16</v>
      </c>
      <c r="E3567" s="19" t="s">
        <v>23001</v>
      </c>
      <c r="F3567" s="8" t="s">
        <v>21049</v>
      </c>
      <c r="G3567" s="8">
        <v>23.61</v>
      </c>
      <c r="H3567" s="8"/>
      <c r="I3567" s="8"/>
      <c r="J3567" s="8" t="s">
        <v>23002</v>
      </c>
      <c r="K3567" s="8" t="s">
        <v>23003</v>
      </c>
      <c r="L3567" s="8"/>
      <c r="M3567" s="8"/>
      <c r="N3567" s="12"/>
      <c r="O3567" s="12"/>
      <c r="P3567" s="13">
        <f>IFERROR(__xludf.DUMMYFUNCTION("VALUE(SUBSTITUTE((INDEX(SPLIT(A3567,"",""),1)),""."","","",1))"),55.151616)</f>
        <v>55.151616</v>
      </c>
      <c r="Q3567" s="13">
        <f>IFERROR(__xludf.DUMMYFUNCTION("VALUE(SUBSTITUTE((INDEX(SPLIT(A3567,"",""),2)),""."","","",1))"),54.640647)</f>
        <v>54.640647</v>
      </c>
      <c r="R3567" s="14" t="b">
        <f t="shared" si="1"/>
        <v>0</v>
      </c>
      <c r="S3567" s="14" t="str">
        <f t="shared" si="2"/>
        <v>55.151616,54.640647</v>
      </c>
      <c r="T3567" s="12"/>
    </row>
    <row r="3568">
      <c r="A3568" s="15" t="s">
        <v>23004</v>
      </c>
      <c r="B3568" s="16" t="s">
        <v>23005</v>
      </c>
      <c r="C3568" s="16" t="s">
        <v>23006</v>
      </c>
      <c r="D3568" s="16" t="s">
        <v>16</v>
      </c>
      <c r="E3568" s="17" t="s">
        <v>23007</v>
      </c>
      <c r="F3568" s="16" t="s">
        <v>4327</v>
      </c>
      <c r="G3568" s="16">
        <v>23.61</v>
      </c>
      <c r="H3568" s="16"/>
      <c r="I3568" s="32" t="s">
        <v>23008</v>
      </c>
      <c r="J3568" s="16" t="s">
        <v>23009</v>
      </c>
      <c r="K3568" s="16" t="s">
        <v>23010</v>
      </c>
      <c r="L3568" s="16"/>
      <c r="M3568" s="16"/>
      <c r="N3568" s="12"/>
      <c r="O3568" s="12"/>
      <c r="P3568" s="13">
        <f>IFERROR(__xludf.DUMMYFUNCTION("VALUE(SUBSTITUTE((INDEX(SPLIT(A3568,"",""),1)),""."","","",1))"),59.021357)</f>
        <v>59.021357</v>
      </c>
      <c r="Q3568" s="13">
        <f>IFERROR(__xludf.DUMMYFUNCTION("VALUE(SUBSTITUTE((INDEX(SPLIT(A3568,"",""),2)),""."","","",1))"),54.670336)</f>
        <v>54.670336</v>
      </c>
      <c r="R3568" s="14" t="b">
        <f t="shared" si="1"/>
        <v>0</v>
      </c>
      <c r="S3568" s="14" t="str">
        <f t="shared" si="2"/>
        <v>59.021357,54.670336</v>
      </c>
      <c r="T3568" s="12"/>
    </row>
    <row r="3569">
      <c r="A3569" s="18" t="s">
        <v>23011</v>
      </c>
      <c r="B3569" s="8" t="s">
        <v>23012</v>
      </c>
      <c r="C3569" s="8" t="s">
        <v>23013</v>
      </c>
      <c r="D3569" s="8" t="s">
        <v>16</v>
      </c>
      <c r="E3569" s="19" t="s">
        <v>23014</v>
      </c>
      <c r="F3569" s="8" t="s">
        <v>21049</v>
      </c>
      <c r="G3569" s="8">
        <v>23.61</v>
      </c>
      <c r="H3569" s="8"/>
      <c r="I3569" s="8"/>
      <c r="J3569" s="8" t="s">
        <v>23015</v>
      </c>
      <c r="K3569" s="8" t="s">
        <v>23016</v>
      </c>
      <c r="L3569" s="8"/>
      <c r="M3569" s="8"/>
      <c r="N3569" s="12"/>
      <c r="O3569" s="12"/>
      <c r="P3569" s="13">
        <f>IFERROR(__xludf.DUMMYFUNCTION("VALUE(SUBSTITUTE((INDEX(SPLIT(A3569,"",""),1)),""."","","",1))"),55.472796)</f>
        <v>55.472796</v>
      </c>
      <c r="Q3569" s="13">
        <f>IFERROR(__xludf.DUMMYFUNCTION("VALUE(SUBSTITUTE((INDEX(SPLIT(A3569,"",""),2)),""."","","",1))"),54.857833)</f>
        <v>54.857833</v>
      </c>
      <c r="R3569" s="14" t="b">
        <f t="shared" si="1"/>
        <v>0</v>
      </c>
      <c r="S3569" s="14" t="str">
        <f t="shared" si="2"/>
        <v>55.472796,54.857833</v>
      </c>
      <c r="T3569" s="12"/>
    </row>
    <row r="3570">
      <c r="A3570" s="15" t="s">
        <v>23017</v>
      </c>
      <c r="B3570" s="16" t="s">
        <v>23018</v>
      </c>
      <c r="C3570" s="16" t="s">
        <v>23019</v>
      </c>
      <c r="D3570" s="16" t="s">
        <v>16</v>
      </c>
      <c r="E3570" s="17" t="s">
        <v>23020</v>
      </c>
      <c r="F3570" s="16" t="s">
        <v>4327</v>
      </c>
      <c r="G3570" s="16">
        <v>23.61</v>
      </c>
      <c r="H3570" s="16"/>
      <c r="I3570" s="16"/>
      <c r="J3570" s="16" t="s">
        <v>23021</v>
      </c>
      <c r="K3570" s="16" t="s">
        <v>23022</v>
      </c>
      <c r="L3570" s="16"/>
      <c r="M3570" s="25" t="s">
        <v>23023</v>
      </c>
      <c r="N3570" s="12"/>
      <c r="O3570" s="12"/>
      <c r="P3570" s="13">
        <f>IFERROR(__xludf.DUMMYFUNCTION("VALUE(SUBSTITUTE((INDEX(SPLIT(A3570,"",""),1)),""."","","",1))"),58.10357)</f>
        <v>58.10357</v>
      </c>
      <c r="Q3570" s="13">
        <f>IFERROR(__xludf.DUMMYFUNCTION("VALUE(SUBSTITUTE((INDEX(SPLIT(A3570,"",""),2)),""."","","",1))"),54.905821)</f>
        <v>54.905821</v>
      </c>
      <c r="R3570" s="14" t="b">
        <f t="shared" si="1"/>
        <v>0</v>
      </c>
      <c r="S3570" s="14" t="str">
        <f t="shared" si="2"/>
        <v>58.10357,54.905821</v>
      </c>
      <c r="T3570" s="12"/>
    </row>
    <row r="3571">
      <c r="A3571" s="18" t="s">
        <v>23024</v>
      </c>
      <c r="B3571" s="8" t="s">
        <v>23025</v>
      </c>
      <c r="C3571" s="8" t="s">
        <v>23026</v>
      </c>
      <c r="D3571" s="8" t="s">
        <v>16</v>
      </c>
      <c r="E3571" s="19" t="s">
        <v>23027</v>
      </c>
      <c r="F3571" s="8" t="s">
        <v>4327</v>
      </c>
      <c r="G3571" s="8">
        <v>23.61</v>
      </c>
      <c r="H3571" s="8"/>
      <c r="I3571" s="8"/>
      <c r="J3571" s="8" t="s">
        <v>23028</v>
      </c>
      <c r="K3571" s="8" t="s">
        <v>23029</v>
      </c>
      <c r="L3571" s="8"/>
      <c r="M3571" s="8"/>
      <c r="N3571" s="12"/>
      <c r="O3571" s="12"/>
      <c r="P3571" s="13">
        <f>IFERROR(__xludf.DUMMYFUNCTION("VALUE(SUBSTITUTE((INDEX(SPLIT(A3571,"",""),1)),""."","","",1))"),51.854611)</f>
        <v>51.854611</v>
      </c>
      <c r="Q3571" s="13">
        <f>IFERROR(__xludf.DUMMYFUNCTION("VALUE(SUBSTITUTE((INDEX(SPLIT(A3571,"",""),2)),""."","","",1))"),54.967508)</f>
        <v>54.967508</v>
      </c>
      <c r="R3571" s="14" t="b">
        <f t="shared" si="1"/>
        <v>0</v>
      </c>
      <c r="S3571" s="14" t="str">
        <f t="shared" si="2"/>
        <v>51.854611,54.967508</v>
      </c>
      <c r="T3571" s="12"/>
    </row>
    <row r="3572">
      <c r="A3572" s="20" t="s">
        <v>23030</v>
      </c>
      <c r="B3572" s="16" t="s">
        <v>23031</v>
      </c>
      <c r="C3572" s="16" t="s">
        <v>23032</v>
      </c>
      <c r="D3572" s="16" t="s">
        <v>16</v>
      </c>
      <c r="E3572" s="21" t="s">
        <v>23033</v>
      </c>
      <c r="F3572" s="22" t="s">
        <v>4327</v>
      </c>
      <c r="G3572" s="16">
        <v>23.61</v>
      </c>
      <c r="H3572" s="16"/>
      <c r="I3572" s="22"/>
      <c r="J3572" s="22" t="s">
        <v>23034</v>
      </c>
      <c r="K3572" s="22" t="s">
        <v>23035</v>
      </c>
      <c r="L3572" s="23" t="s">
        <v>23036</v>
      </c>
      <c r="M3572" s="22"/>
      <c r="N3572" s="12"/>
      <c r="O3572" s="12"/>
      <c r="P3572" s="13">
        <f>IFERROR(__xludf.DUMMYFUNCTION("VALUE(SUBSTITUTE((INDEX(SPLIT(A3572,"",""),1)),""."","","",1))"),54.691662)</f>
        <v>54.691662</v>
      </c>
      <c r="Q3572" s="13">
        <f>IFERROR(__xludf.DUMMYFUNCTION("VALUE(SUBSTITUTE((INDEX(SPLIT(A3572,"",""),2)),""."","","",1))"),55.018784)</f>
        <v>55.018784</v>
      </c>
      <c r="R3572" s="14" t="b">
        <f t="shared" si="1"/>
        <v>0</v>
      </c>
      <c r="S3572" s="14" t="str">
        <f t="shared" si="2"/>
        <v>54.691662,55.018784</v>
      </c>
      <c r="T3572" s="12"/>
    </row>
    <row r="3573">
      <c r="A3573" s="7" t="s">
        <v>23037</v>
      </c>
      <c r="B3573" s="8" t="s">
        <v>23038</v>
      </c>
      <c r="C3573" s="8" t="s">
        <v>23039</v>
      </c>
      <c r="D3573" s="8" t="s">
        <v>16</v>
      </c>
      <c r="E3573" s="9" t="s">
        <v>23040</v>
      </c>
      <c r="F3573" s="10" t="s">
        <v>2057</v>
      </c>
      <c r="G3573" s="8">
        <v>23.61</v>
      </c>
      <c r="H3573" s="8"/>
      <c r="I3573" s="10"/>
      <c r="J3573" s="10" t="s">
        <v>23041</v>
      </c>
      <c r="K3573" s="10" t="s">
        <v>23042</v>
      </c>
      <c r="L3573" s="11" t="s">
        <v>23043</v>
      </c>
      <c r="M3573" s="10"/>
      <c r="N3573" s="12"/>
      <c r="O3573" s="12"/>
      <c r="P3573" s="13">
        <f>IFERROR(__xludf.DUMMYFUNCTION("VALUE(SUBSTITUTE((INDEX(SPLIT(A3573,"",""),1)),""."","","",1))"),51.784721)</f>
        <v>51.784721</v>
      </c>
      <c r="Q3573" s="13">
        <f>IFERROR(__xludf.DUMMYFUNCTION("VALUE(SUBSTITUTE((INDEX(SPLIT(A3573,"",""),2)),""."","","",1))"),55.033705)</f>
        <v>55.033705</v>
      </c>
      <c r="R3573" s="14" t="b">
        <f t="shared" si="1"/>
        <v>0</v>
      </c>
      <c r="S3573" s="14" t="str">
        <f t="shared" si="2"/>
        <v>51.784721,55.033705</v>
      </c>
      <c r="T3573" s="12"/>
    </row>
    <row r="3574">
      <c r="A3574" s="15" t="s">
        <v>23044</v>
      </c>
      <c r="B3574" s="16" t="s">
        <v>23045</v>
      </c>
      <c r="C3574" s="16" t="s">
        <v>23046</v>
      </c>
      <c r="D3574" s="16" t="s">
        <v>16</v>
      </c>
      <c r="E3574" s="17" t="s">
        <v>23047</v>
      </c>
      <c r="F3574" s="16" t="s">
        <v>4327</v>
      </c>
      <c r="G3574" s="16">
        <v>23.61</v>
      </c>
      <c r="H3574" s="16"/>
      <c r="I3574" s="32" t="s">
        <v>23048</v>
      </c>
      <c r="J3574" s="16" t="s">
        <v>23049</v>
      </c>
      <c r="K3574" s="16" t="s">
        <v>23050</v>
      </c>
      <c r="L3574" s="16"/>
      <c r="M3574" s="25" t="s">
        <v>23051</v>
      </c>
      <c r="N3574" s="12"/>
      <c r="O3574" s="12"/>
      <c r="P3574" s="13">
        <f>IFERROR(__xludf.DUMMYFUNCTION("VALUE(SUBSTITUTE((INDEX(SPLIT(A3574,"",""),1)),""."","","",1))"),51.785022)</f>
        <v>51.785022</v>
      </c>
      <c r="Q3574" s="13">
        <f>IFERROR(__xludf.DUMMYFUNCTION("VALUE(SUBSTITUTE((INDEX(SPLIT(A3574,"",""),2)),""."","","",1))"),55.035771)</f>
        <v>55.035771</v>
      </c>
      <c r="R3574" s="14" t="b">
        <f t="shared" si="1"/>
        <v>0</v>
      </c>
      <c r="S3574" s="14" t="str">
        <f t="shared" si="2"/>
        <v>51.785022,55.035771</v>
      </c>
      <c r="T3574" s="12"/>
    </row>
    <row r="3575">
      <c r="A3575" s="18" t="s">
        <v>23052</v>
      </c>
      <c r="B3575" s="8" t="s">
        <v>23053</v>
      </c>
      <c r="C3575" s="8" t="s">
        <v>23054</v>
      </c>
      <c r="D3575" s="8" t="s">
        <v>16</v>
      </c>
      <c r="E3575" s="19" t="s">
        <v>23055</v>
      </c>
      <c r="F3575" s="8" t="s">
        <v>21049</v>
      </c>
      <c r="G3575" s="8">
        <v>23.61</v>
      </c>
      <c r="H3575" s="8"/>
      <c r="I3575" s="8"/>
      <c r="J3575" s="8" t="s">
        <v>23056</v>
      </c>
      <c r="K3575" s="8" t="s">
        <v>23057</v>
      </c>
      <c r="L3575" s="8"/>
      <c r="M3575" s="8"/>
      <c r="N3575" s="12"/>
      <c r="O3575" s="12"/>
      <c r="P3575" s="13">
        <f>IFERROR(__xludf.DUMMYFUNCTION("VALUE(SUBSTITUTE((INDEX(SPLIT(A3575,"",""),1)),""."","","",1))"),51.78451)</f>
        <v>51.78451</v>
      </c>
      <c r="Q3575" s="13">
        <f>IFERROR(__xludf.DUMMYFUNCTION("VALUE(SUBSTITUTE((INDEX(SPLIT(A3575,"",""),2)),""."","","",1))"),55.03684)</f>
        <v>55.03684</v>
      </c>
      <c r="R3575" s="14" t="b">
        <f t="shared" si="1"/>
        <v>0</v>
      </c>
      <c r="S3575" s="14" t="str">
        <f t="shared" si="2"/>
        <v>51.78451,55.03684</v>
      </c>
      <c r="T3575" s="12"/>
    </row>
    <row r="3576">
      <c r="A3576" s="15" t="s">
        <v>23058</v>
      </c>
      <c r="B3576" s="16" t="s">
        <v>23059</v>
      </c>
      <c r="C3576" s="16" t="s">
        <v>23060</v>
      </c>
      <c r="D3576" s="16" t="s">
        <v>16</v>
      </c>
      <c r="E3576" s="17" t="s">
        <v>23061</v>
      </c>
      <c r="F3576" s="16" t="s">
        <v>4327</v>
      </c>
      <c r="G3576" s="16">
        <v>23.61</v>
      </c>
      <c r="H3576" s="16"/>
      <c r="I3576" s="16"/>
      <c r="J3576" s="16" t="s">
        <v>23062</v>
      </c>
      <c r="K3576" s="16" t="s">
        <v>23063</v>
      </c>
      <c r="L3576" s="16"/>
      <c r="M3576" s="16"/>
      <c r="N3576" s="12"/>
      <c r="O3576" s="12"/>
      <c r="P3576" s="13">
        <f>IFERROR(__xludf.DUMMYFUNCTION("VALUE(SUBSTITUTE((INDEX(SPLIT(A3576,"",""),1)),""."","","",1))"),51.787401)</f>
        <v>51.787401</v>
      </c>
      <c r="Q3576" s="13">
        <f>IFERROR(__xludf.DUMMYFUNCTION("VALUE(SUBSTITUTE((INDEX(SPLIT(A3576,"",""),2)),""."","","",1))"),55.041772)</f>
        <v>55.041772</v>
      </c>
      <c r="R3576" s="14" t="b">
        <f t="shared" si="1"/>
        <v>0</v>
      </c>
      <c r="S3576" s="14" t="str">
        <f t="shared" si="2"/>
        <v>51.787401,55.041772</v>
      </c>
      <c r="T3576" s="12"/>
    </row>
    <row r="3577">
      <c r="A3577" s="18" t="s">
        <v>23064</v>
      </c>
      <c r="B3577" s="8" t="s">
        <v>23065</v>
      </c>
      <c r="C3577" s="8" t="s">
        <v>23066</v>
      </c>
      <c r="D3577" s="8" t="s">
        <v>16</v>
      </c>
      <c r="E3577" s="19" t="s">
        <v>23067</v>
      </c>
      <c r="F3577" s="8" t="s">
        <v>4327</v>
      </c>
      <c r="G3577" s="8">
        <v>23.61</v>
      </c>
      <c r="H3577" s="8"/>
      <c r="I3577" s="8"/>
      <c r="J3577" s="8" t="s">
        <v>23068</v>
      </c>
      <c r="K3577" s="8" t="s">
        <v>23069</v>
      </c>
      <c r="L3577" s="8"/>
      <c r="M3577" s="8"/>
      <c r="N3577" s="12"/>
      <c r="O3577" s="12"/>
      <c r="P3577" s="13">
        <f>IFERROR(__xludf.DUMMYFUNCTION("VALUE(SUBSTITUTE((INDEX(SPLIT(A3577,"",""),1)),""."","","",1))"),51.786839)</f>
        <v>51.786839</v>
      </c>
      <c r="Q3577" s="13">
        <f>IFERROR(__xludf.DUMMYFUNCTION("VALUE(SUBSTITUTE((INDEX(SPLIT(A3577,"",""),2)),""."","","",1))"),55.049291)</f>
        <v>55.049291</v>
      </c>
      <c r="R3577" s="14" t="b">
        <f t="shared" si="1"/>
        <v>0</v>
      </c>
      <c r="S3577" s="14" t="str">
        <f t="shared" si="2"/>
        <v>51.786839,55.049291</v>
      </c>
      <c r="T3577" s="12"/>
    </row>
    <row r="3578">
      <c r="A3578" s="15" t="s">
        <v>23070</v>
      </c>
      <c r="B3578" s="16" t="s">
        <v>23071</v>
      </c>
      <c r="C3578" s="16" t="s">
        <v>19200</v>
      </c>
      <c r="D3578" s="16" t="s">
        <v>16</v>
      </c>
      <c r="E3578" s="17" t="s">
        <v>23072</v>
      </c>
      <c r="F3578" s="16" t="s">
        <v>4327</v>
      </c>
      <c r="G3578" s="16">
        <v>23.61</v>
      </c>
      <c r="H3578" s="16"/>
      <c r="I3578" s="16"/>
      <c r="J3578" s="16" t="s">
        <v>23073</v>
      </c>
      <c r="K3578" s="16" t="s">
        <v>23074</v>
      </c>
      <c r="L3578" s="16"/>
      <c r="M3578" s="25" t="s">
        <v>23075</v>
      </c>
      <c r="N3578" s="12"/>
      <c r="O3578" s="12"/>
      <c r="P3578" s="13">
        <f>IFERROR(__xludf.DUMMYFUNCTION("VALUE(SUBSTITUTE((INDEX(SPLIT(A3578,"",""),1)),""."","","",1))"),51.879537)</f>
        <v>51.879537</v>
      </c>
      <c r="Q3578" s="13">
        <f>IFERROR(__xludf.DUMMYFUNCTION("VALUE(SUBSTITUTE((INDEX(SPLIT(A3578,"",""),2)),""."","","",1))"),55.060214)</f>
        <v>55.060214</v>
      </c>
      <c r="R3578" s="14" t="b">
        <f t="shared" si="1"/>
        <v>0</v>
      </c>
      <c r="S3578" s="14" t="str">
        <f t="shared" si="2"/>
        <v>51.879537,55.060214</v>
      </c>
      <c r="T3578" s="12"/>
    </row>
    <row r="3579">
      <c r="A3579" s="7" t="s">
        <v>23076</v>
      </c>
      <c r="B3579" s="8" t="s">
        <v>516</v>
      </c>
      <c r="C3579" s="8" t="s">
        <v>517</v>
      </c>
      <c r="D3579" s="8" t="s">
        <v>16</v>
      </c>
      <c r="E3579" s="9" t="s">
        <v>23077</v>
      </c>
      <c r="F3579" s="10" t="s">
        <v>21049</v>
      </c>
      <c r="G3579" s="8">
        <v>23.61</v>
      </c>
      <c r="H3579" s="8"/>
      <c r="I3579" s="10"/>
      <c r="J3579" s="10" t="s">
        <v>23078</v>
      </c>
      <c r="K3579" s="10" t="s">
        <v>23079</v>
      </c>
      <c r="L3579" s="11" t="s">
        <v>23080</v>
      </c>
      <c r="M3579" s="10"/>
      <c r="N3579" s="12"/>
      <c r="O3579" s="12"/>
      <c r="P3579" s="13">
        <f>IFERROR(__xludf.DUMMYFUNCTION("VALUE(SUBSTITUTE((INDEX(SPLIT(A3579,"",""),1)),""."","","",1))"),51.784671)</f>
        <v>51.784671</v>
      </c>
      <c r="Q3579" s="13">
        <f>IFERROR(__xludf.DUMMYFUNCTION("VALUE(SUBSTITUTE((INDEX(SPLIT(A3579,"",""),2)),""."","","",1))"),55.08693)</f>
        <v>55.08693</v>
      </c>
      <c r="R3579" s="14" t="b">
        <f t="shared" si="1"/>
        <v>0</v>
      </c>
      <c r="S3579" s="14" t="str">
        <f t="shared" si="2"/>
        <v>51.784671,55.08693</v>
      </c>
      <c r="T3579" s="12"/>
    </row>
    <row r="3580">
      <c r="A3580" s="15" t="s">
        <v>23081</v>
      </c>
      <c r="B3580" s="16" t="s">
        <v>23082</v>
      </c>
      <c r="C3580" s="16" t="s">
        <v>23083</v>
      </c>
      <c r="D3580" s="16" t="s">
        <v>16</v>
      </c>
      <c r="E3580" s="17" t="s">
        <v>23084</v>
      </c>
      <c r="F3580" s="16" t="s">
        <v>10183</v>
      </c>
      <c r="G3580" s="16">
        <v>23.61</v>
      </c>
      <c r="H3580" s="16"/>
      <c r="I3580" s="16"/>
      <c r="J3580" s="16" t="s">
        <v>23085</v>
      </c>
      <c r="K3580" s="16" t="s">
        <v>23086</v>
      </c>
      <c r="L3580" s="16"/>
      <c r="M3580" s="16"/>
      <c r="N3580" s="12"/>
      <c r="O3580" s="12"/>
      <c r="P3580" s="13">
        <f>IFERROR(__xludf.DUMMYFUNCTION("VALUE(SUBSTITUTE((INDEX(SPLIT(A3580,"",""),1)),""."","","",1))"),51.768205)</f>
        <v>51.768205</v>
      </c>
      <c r="Q3580" s="13">
        <f>IFERROR(__xludf.DUMMYFUNCTION("VALUE(SUBSTITUTE((INDEX(SPLIT(A3580,"",""),2)),""."","","",1))"),55.096964)</f>
        <v>55.096964</v>
      </c>
      <c r="R3580" s="14" t="b">
        <f t="shared" si="1"/>
        <v>0</v>
      </c>
      <c r="S3580" s="14" t="str">
        <f t="shared" si="2"/>
        <v>51.768205,55.096964</v>
      </c>
      <c r="T3580" s="12"/>
    </row>
    <row r="3581">
      <c r="A3581" s="18" t="s">
        <v>23087</v>
      </c>
      <c r="B3581" s="8" t="s">
        <v>23088</v>
      </c>
      <c r="C3581" s="8" t="s">
        <v>23089</v>
      </c>
      <c r="D3581" s="8" t="s">
        <v>16</v>
      </c>
      <c r="E3581" s="19" t="s">
        <v>23090</v>
      </c>
      <c r="F3581" s="8" t="s">
        <v>21049</v>
      </c>
      <c r="G3581" s="8">
        <v>23.61</v>
      </c>
      <c r="H3581" s="8"/>
      <c r="I3581" s="8"/>
      <c r="J3581" s="8" t="s">
        <v>23091</v>
      </c>
      <c r="K3581" s="8" t="s">
        <v>23092</v>
      </c>
      <c r="L3581" s="8"/>
      <c r="M3581" s="8"/>
      <c r="N3581" s="12"/>
      <c r="O3581" s="12"/>
      <c r="P3581" s="13">
        <f>IFERROR(__xludf.DUMMYFUNCTION("VALUE(SUBSTITUTE((INDEX(SPLIT(A3581,"",""),1)),""."","","",1))"),51.836044)</f>
        <v>51.836044</v>
      </c>
      <c r="Q3581" s="13">
        <f>IFERROR(__xludf.DUMMYFUNCTION("VALUE(SUBSTITUTE((INDEX(SPLIT(A3581,"",""),2)),""."","","",1))"),55.101474)</f>
        <v>55.101474</v>
      </c>
      <c r="R3581" s="14" t="b">
        <f t="shared" si="1"/>
        <v>0</v>
      </c>
      <c r="S3581" s="14" t="str">
        <f t="shared" si="2"/>
        <v>51.836044,55.101474</v>
      </c>
      <c r="T3581" s="12"/>
    </row>
    <row r="3582">
      <c r="A3582" s="15" t="s">
        <v>23093</v>
      </c>
      <c r="B3582" s="16" t="s">
        <v>16887</v>
      </c>
      <c r="C3582" s="16" t="s">
        <v>16888</v>
      </c>
      <c r="D3582" s="16" t="s">
        <v>16</v>
      </c>
      <c r="E3582" s="17" t="s">
        <v>23094</v>
      </c>
      <c r="F3582" s="16" t="s">
        <v>10183</v>
      </c>
      <c r="G3582" s="16">
        <v>23.61</v>
      </c>
      <c r="H3582" s="16"/>
      <c r="I3582" s="16"/>
      <c r="J3582" s="16" t="s">
        <v>23095</v>
      </c>
      <c r="K3582" s="16" t="s">
        <v>23096</v>
      </c>
      <c r="L3582" s="16"/>
      <c r="M3582" s="25" t="s">
        <v>23097</v>
      </c>
      <c r="N3582" s="12"/>
      <c r="O3582" s="12"/>
      <c r="P3582" s="13">
        <f>IFERROR(__xludf.DUMMYFUNCTION("VALUE(SUBSTITUTE((INDEX(SPLIT(A3582,"",""),1)),""."","","",1))"),51.702277)</f>
        <v>51.702277</v>
      </c>
      <c r="Q3582" s="13">
        <f>IFERROR(__xludf.DUMMYFUNCTION("VALUE(SUBSTITUTE((INDEX(SPLIT(A3582,"",""),2)),""."","","",1))"),55.107582)</f>
        <v>55.107582</v>
      </c>
      <c r="R3582" s="14" t="b">
        <f t="shared" si="1"/>
        <v>0</v>
      </c>
      <c r="S3582" s="14" t="str">
        <f t="shared" si="2"/>
        <v>51.702277,55.107582</v>
      </c>
      <c r="T3582" s="12"/>
    </row>
    <row r="3583">
      <c r="A3583" s="18" t="s">
        <v>23098</v>
      </c>
      <c r="B3583" s="8" t="s">
        <v>23099</v>
      </c>
      <c r="C3583" s="8" t="s">
        <v>23100</v>
      </c>
      <c r="D3583" s="8" t="s">
        <v>16</v>
      </c>
      <c r="E3583" s="19" t="s">
        <v>23101</v>
      </c>
      <c r="F3583" s="8" t="s">
        <v>10183</v>
      </c>
      <c r="G3583" s="8">
        <v>23.61</v>
      </c>
      <c r="H3583" s="8"/>
      <c r="I3583" s="8"/>
      <c r="J3583" s="8" t="s">
        <v>23102</v>
      </c>
      <c r="K3583" s="8" t="s">
        <v>23103</v>
      </c>
      <c r="L3583" s="8"/>
      <c r="M3583" s="8"/>
      <c r="N3583" s="12"/>
      <c r="O3583" s="12"/>
      <c r="P3583" s="13">
        <f>IFERROR(__xludf.DUMMYFUNCTION("VALUE(SUBSTITUTE((INDEX(SPLIT(A3583,"",""),1)),""."","","",1))"),51.756398)</f>
        <v>51.756398</v>
      </c>
      <c r="Q3583" s="13">
        <f>IFERROR(__xludf.DUMMYFUNCTION("VALUE(SUBSTITUTE((INDEX(SPLIT(A3583,"",""),2)),""."","","",1))"),55.108049)</f>
        <v>55.108049</v>
      </c>
      <c r="R3583" s="14" t="b">
        <f t="shared" si="1"/>
        <v>0</v>
      </c>
      <c r="S3583" s="14" t="str">
        <f t="shared" si="2"/>
        <v>51.756398,55.108049</v>
      </c>
      <c r="T3583" s="12"/>
    </row>
    <row r="3584">
      <c r="A3584" s="15" t="s">
        <v>23104</v>
      </c>
      <c r="B3584" s="16" t="s">
        <v>23105</v>
      </c>
      <c r="C3584" s="16" t="s">
        <v>23106</v>
      </c>
      <c r="D3584" s="16" t="s">
        <v>16</v>
      </c>
      <c r="E3584" s="17" t="s">
        <v>23107</v>
      </c>
      <c r="F3584" s="16" t="s">
        <v>23108</v>
      </c>
      <c r="G3584" s="16">
        <v>23.61</v>
      </c>
      <c r="H3584" s="16"/>
      <c r="I3584" s="16"/>
      <c r="J3584" s="16" t="s">
        <v>23109</v>
      </c>
      <c r="K3584" s="16" t="s">
        <v>23110</v>
      </c>
      <c r="L3584" s="16"/>
      <c r="M3584" s="16"/>
      <c r="N3584" s="12"/>
      <c r="O3584" s="12"/>
      <c r="P3584" s="13">
        <f>IFERROR(__xludf.DUMMYFUNCTION("VALUE(SUBSTITUTE((INDEX(SPLIT(A3584,"",""),1)),""."","","",1))"),51.758924)</f>
        <v>51.758924</v>
      </c>
      <c r="Q3584" s="13">
        <f>IFERROR(__xludf.DUMMYFUNCTION("VALUE(SUBSTITUTE((INDEX(SPLIT(A3584,"",""),2)),""."","","",1))"),55.111715)</f>
        <v>55.111715</v>
      </c>
      <c r="R3584" s="14" t="b">
        <f t="shared" si="1"/>
        <v>0</v>
      </c>
      <c r="S3584" s="14" t="str">
        <f t="shared" si="2"/>
        <v>51.758924,55.111715</v>
      </c>
      <c r="T3584" s="12"/>
    </row>
    <row r="3585">
      <c r="A3585" s="18" t="s">
        <v>23111</v>
      </c>
      <c r="B3585" s="8" t="s">
        <v>23112</v>
      </c>
      <c r="C3585" s="8" t="s">
        <v>23113</v>
      </c>
      <c r="D3585" s="8" t="s">
        <v>16</v>
      </c>
      <c r="E3585" s="19" t="s">
        <v>23114</v>
      </c>
      <c r="F3585" s="8" t="s">
        <v>23108</v>
      </c>
      <c r="G3585" s="8">
        <v>23.61</v>
      </c>
      <c r="H3585" s="8"/>
      <c r="I3585" s="8"/>
      <c r="J3585" s="8" t="s">
        <v>23115</v>
      </c>
      <c r="K3585" s="8" t="s">
        <v>23116</v>
      </c>
      <c r="L3585" s="8"/>
      <c r="M3585" s="8"/>
      <c r="N3585" s="12"/>
      <c r="O3585" s="12"/>
      <c r="P3585" s="13">
        <f>IFERROR(__xludf.DUMMYFUNCTION("VALUE(SUBSTITUTE((INDEX(SPLIT(A3585,"",""),1)),""."","","",1))"),51.706318)</f>
        <v>51.706318</v>
      </c>
      <c r="Q3585" s="13">
        <f>IFERROR(__xludf.DUMMYFUNCTION("VALUE(SUBSTITUTE((INDEX(SPLIT(A3585,"",""),2)),""."","","",1))"),55.112568)</f>
        <v>55.112568</v>
      </c>
      <c r="R3585" s="14" t="b">
        <f t="shared" si="1"/>
        <v>0</v>
      </c>
      <c r="S3585" s="14" t="str">
        <f t="shared" si="2"/>
        <v>51.706318,55.112568</v>
      </c>
      <c r="T3585" s="12"/>
    </row>
    <row r="3586">
      <c r="A3586" s="15" t="s">
        <v>23117</v>
      </c>
      <c r="B3586" s="16" t="s">
        <v>23118</v>
      </c>
      <c r="C3586" s="16" t="s">
        <v>23119</v>
      </c>
      <c r="D3586" s="16" t="s">
        <v>16</v>
      </c>
      <c r="E3586" s="17" t="s">
        <v>23120</v>
      </c>
      <c r="F3586" s="16" t="s">
        <v>23108</v>
      </c>
      <c r="G3586" s="16">
        <v>23.61</v>
      </c>
      <c r="H3586" s="16"/>
      <c r="I3586" s="16"/>
      <c r="J3586" s="16" t="s">
        <v>23121</v>
      </c>
      <c r="K3586" s="16" t="s">
        <v>23122</v>
      </c>
      <c r="L3586" s="16"/>
      <c r="M3586" s="25" t="s">
        <v>23123</v>
      </c>
      <c r="N3586" s="12"/>
      <c r="O3586" s="12"/>
      <c r="P3586" s="13">
        <f>IFERROR(__xludf.DUMMYFUNCTION("VALUE(SUBSTITUTE((INDEX(SPLIT(A3586,"",""),1)),""."","","",1))"),51.724426)</f>
        <v>51.724426</v>
      </c>
      <c r="Q3586" s="13">
        <f>IFERROR(__xludf.DUMMYFUNCTION("VALUE(SUBSTITUTE((INDEX(SPLIT(A3586,"",""),2)),""."","","",1))"),55.114904)</f>
        <v>55.114904</v>
      </c>
      <c r="R3586" s="14" t="b">
        <f t="shared" si="1"/>
        <v>0</v>
      </c>
      <c r="S3586" s="14" t="str">
        <f t="shared" si="2"/>
        <v>51.724426,55.114904</v>
      </c>
      <c r="T3586" s="12"/>
    </row>
    <row r="3587">
      <c r="A3587" s="18" t="s">
        <v>23117</v>
      </c>
      <c r="B3587" s="8" t="s">
        <v>23124</v>
      </c>
      <c r="C3587" s="8" t="s">
        <v>23125</v>
      </c>
      <c r="D3587" s="8" t="s">
        <v>16</v>
      </c>
      <c r="E3587" s="19" t="s">
        <v>23126</v>
      </c>
      <c r="F3587" s="8" t="s">
        <v>23108</v>
      </c>
      <c r="G3587" s="8">
        <v>23.61</v>
      </c>
      <c r="H3587" s="8"/>
      <c r="I3587" s="8"/>
      <c r="J3587" s="8" t="s">
        <v>23127</v>
      </c>
      <c r="K3587" s="8" t="s">
        <v>23128</v>
      </c>
      <c r="L3587" s="8"/>
      <c r="M3587" s="8"/>
      <c r="N3587" s="12"/>
      <c r="O3587" s="12"/>
      <c r="P3587" s="13">
        <f>IFERROR(__xludf.DUMMYFUNCTION("VALUE(SUBSTITUTE((INDEX(SPLIT(A3587,"",""),1)),""."","","",1))"),51.724426)</f>
        <v>51.724426</v>
      </c>
      <c r="Q3587" s="13">
        <f>IFERROR(__xludf.DUMMYFUNCTION("VALUE(SUBSTITUTE((INDEX(SPLIT(A3587,"",""),2)),""."","","",1))"),55.114904)</f>
        <v>55.114904</v>
      </c>
      <c r="R3587" s="14" t="b">
        <f t="shared" si="1"/>
        <v>0</v>
      </c>
      <c r="S3587" s="14" t="str">
        <f t="shared" si="2"/>
        <v>51.724426,55.114904</v>
      </c>
      <c r="T3587" s="12"/>
    </row>
    <row r="3588">
      <c r="A3588" s="15" t="s">
        <v>23129</v>
      </c>
      <c r="B3588" s="16" t="s">
        <v>23130</v>
      </c>
      <c r="C3588" s="16" t="s">
        <v>23131</v>
      </c>
      <c r="D3588" s="16" t="s">
        <v>16</v>
      </c>
      <c r="E3588" s="17" t="s">
        <v>23132</v>
      </c>
      <c r="F3588" s="16" t="s">
        <v>23108</v>
      </c>
      <c r="G3588" s="16">
        <v>23.61</v>
      </c>
      <c r="H3588" s="16"/>
      <c r="I3588" s="16"/>
      <c r="J3588" s="16" t="s">
        <v>23133</v>
      </c>
      <c r="K3588" s="16" t="s">
        <v>23134</v>
      </c>
      <c r="L3588" s="16"/>
      <c r="M3588" s="16"/>
      <c r="N3588" s="12"/>
      <c r="O3588" s="12"/>
      <c r="P3588" s="13">
        <f>IFERROR(__xludf.DUMMYFUNCTION("VALUE(SUBSTITUTE((INDEX(SPLIT(A3588,"",""),1)),""."","","",1))"),51.725357)</f>
        <v>51.725357</v>
      </c>
      <c r="Q3588" s="13">
        <f>IFERROR(__xludf.DUMMYFUNCTION("VALUE(SUBSTITUTE((INDEX(SPLIT(A3588,"",""),2)),""."","","",1))"),55.11962)</f>
        <v>55.11962</v>
      </c>
      <c r="R3588" s="14" t="b">
        <f t="shared" si="1"/>
        <v>0</v>
      </c>
      <c r="S3588" s="14" t="str">
        <f t="shared" si="2"/>
        <v>51.725357,55.11962</v>
      </c>
      <c r="T3588" s="12"/>
    </row>
    <row r="3589">
      <c r="A3589" s="7" t="s">
        <v>23135</v>
      </c>
      <c r="B3589" s="8" t="s">
        <v>23136</v>
      </c>
      <c r="C3589" s="8" t="s">
        <v>23137</v>
      </c>
      <c r="D3589" s="8" t="s">
        <v>16</v>
      </c>
      <c r="E3589" s="9" t="s">
        <v>23138</v>
      </c>
      <c r="F3589" s="10" t="s">
        <v>20146</v>
      </c>
      <c r="G3589" s="8">
        <v>23.61</v>
      </c>
      <c r="H3589" s="8"/>
      <c r="I3589" s="31" t="s">
        <v>23139</v>
      </c>
      <c r="J3589" s="10" t="s">
        <v>23140</v>
      </c>
      <c r="K3589" s="10" t="s">
        <v>23141</v>
      </c>
      <c r="L3589" s="11" t="s">
        <v>23142</v>
      </c>
      <c r="M3589" s="10"/>
      <c r="N3589" s="12"/>
      <c r="O3589" s="12"/>
      <c r="P3589" s="13">
        <f>IFERROR(__xludf.DUMMYFUNCTION("VALUE(SUBSTITUTE((INDEX(SPLIT(A3589,"",""),1)),""."","","",1))"),51.825954)</f>
        <v>51.825954</v>
      </c>
      <c r="Q3589" s="13">
        <f>IFERROR(__xludf.DUMMYFUNCTION("VALUE(SUBSTITUTE((INDEX(SPLIT(A3589,"",""),2)),""."","","",1))"),55.121659)</f>
        <v>55.121659</v>
      </c>
      <c r="R3589" s="14" t="b">
        <f t="shared" si="1"/>
        <v>0</v>
      </c>
      <c r="S3589" s="14" t="str">
        <f t="shared" si="2"/>
        <v>51.825954,55.121659</v>
      </c>
      <c r="T3589" s="12"/>
    </row>
    <row r="3590">
      <c r="A3590" s="20" t="s">
        <v>23143</v>
      </c>
      <c r="B3590" s="16" t="s">
        <v>3880</v>
      </c>
      <c r="C3590" s="16" t="s">
        <v>3881</v>
      </c>
      <c r="D3590" s="16" t="s">
        <v>16</v>
      </c>
      <c r="E3590" s="21" t="s">
        <v>23144</v>
      </c>
      <c r="F3590" s="22" t="s">
        <v>10183</v>
      </c>
      <c r="G3590" s="16">
        <v>23.61</v>
      </c>
      <c r="H3590" s="16"/>
      <c r="I3590" s="22"/>
      <c r="J3590" s="22" t="s">
        <v>23145</v>
      </c>
      <c r="K3590" s="22" t="s">
        <v>23146</v>
      </c>
      <c r="L3590" s="23" t="s">
        <v>23147</v>
      </c>
      <c r="M3590" s="22"/>
      <c r="N3590" s="12"/>
      <c r="O3590" s="12"/>
      <c r="P3590" s="13">
        <f>IFERROR(__xludf.DUMMYFUNCTION("VALUE(SUBSTITUTE((INDEX(SPLIT(A3590,"",""),1)),""."","","",1))"),55.439569)</f>
        <v>55.439569</v>
      </c>
      <c r="Q3590" s="13">
        <f>IFERROR(__xludf.DUMMYFUNCTION("VALUE(SUBSTITUTE((INDEX(SPLIT(A3590,"",""),2)),""."","","",1))"),55.121857)</f>
        <v>55.121857</v>
      </c>
      <c r="R3590" s="14" t="b">
        <f t="shared" si="1"/>
        <v>0</v>
      </c>
      <c r="S3590" s="14" t="str">
        <f t="shared" si="2"/>
        <v>55.439569,55.121857</v>
      </c>
      <c r="T3590" s="12"/>
    </row>
    <row r="3591">
      <c r="A3591" s="18" t="s">
        <v>23148</v>
      </c>
      <c r="B3591" s="8" t="s">
        <v>23149</v>
      </c>
      <c r="C3591" s="8" t="s">
        <v>23150</v>
      </c>
      <c r="D3591" s="8" t="s">
        <v>16</v>
      </c>
      <c r="E3591" s="19" t="s">
        <v>23151</v>
      </c>
      <c r="F3591" s="8" t="s">
        <v>10183</v>
      </c>
      <c r="G3591" s="8">
        <v>23.61</v>
      </c>
      <c r="H3591" s="8"/>
      <c r="I3591" s="8"/>
      <c r="J3591" s="8" t="s">
        <v>23152</v>
      </c>
      <c r="K3591" s="8" t="s">
        <v>23153</v>
      </c>
      <c r="L3591" s="8"/>
      <c r="M3591" s="24" t="s">
        <v>23154</v>
      </c>
      <c r="N3591" s="12"/>
      <c r="O3591" s="12"/>
      <c r="P3591" s="13">
        <f>IFERROR(__xludf.DUMMYFUNCTION("VALUE(SUBSTITUTE((INDEX(SPLIT(A3591,"",""),1)),""."","","",1))"),51.827612)</f>
        <v>51.827612</v>
      </c>
      <c r="Q3591" s="13">
        <f>IFERROR(__xludf.DUMMYFUNCTION("VALUE(SUBSTITUTE((INDEX(SPLIT(A3591,"",""),2)),""."","","",1))"),55.123869)</f>
        <v>55.123869</v>
      </c>
      <c r="R3591" s="14" t="b">
        <f t="shared" si="1"/>
        <v>0</v>
      </c>
      <c r="S3591" s="14" t="str">
        <f t="shared" si="2"/>
        <v>51.827612,55.123869</v>
      </c>
      <c r="T3591" s="12"/>
    </row>
    <row r="3592">
      <c r="A3592" s="15" t="s">
        <v>23155</v>
      </c>
      <c r="B3592" s="16" t="s">
        <v>23156</v>
      </c>
      <c r="C3592" s="16" t="s">
        <v>23157</v>
      </c>
      <c r="D3592" s="16" t="s">
        <v>16</v>
      </c>
      <c r="E3592" s="17" t="s">
        <v>23158</v>
      </c>
      <c r="F3592" s="16" t="s">
        <v>20146</v>
      </c>
      <c r="G3592" s="16">
        <v>23.61</v>
      </c>
      <c r="H3592" s="16"/>
      <c r="I3592" s="16"/>
      <c r="J3592" s="16" t="s">
        <v>23159</v>
      </c>
      <c r="K3592" s="16" t="s">
        <v>23160</v>
      </c>
      <c r="L3592" s="16"/>
      <c r="M3592" s="16"/>
      <c r="N3592" s="12"/>
      <c r="O3592" s="12"/>
      <c r="P3592" s="13">
        <f>IFERROR(__xludf.DUMMYFUNCTION("VALUE(SUBSTITUTE((INDEX(SPLIT(A3592,"",""),1)),""."","","",1))"),51.720219)</f>
        <v>51.720219</v>
      </c>
      <c r="Q3592" s="13">
        <f>IFERROR(__xludf.DUMMYFUNCTION("VALUE(SUBSTITUTE((INDEX(SPLIT(A3592,"",""),2)),""."","","",1))"),55.124785)</f>
        <v>55.124785</v>
      </c>
      <c r="R3592" s="14" t="b">
        <f t="shared" si="1"/>
        <v>0</v>
      </c>
      <c r="S3592" s="14" t="str">
        <f t="shared" si="2"/>
        <v>51.720219,55.124785</v>
      </c>
      <c r="T3592" s="12"/>
    </row>
    <row r="3593">
      <c r="A3593" s="7" t="s">
        <v>23161</v>
      </c>
      <c r="B3593" s="8" t="s">
        <v>23162</v>
      </c>
      <c r="C3593" s="8" t="s">
        <v>23163</v>
      </c>
      <c r="D3593" s="8" t="s">
        <v>16</v>
      </c>
      <c r="E3593" s="9" t="s">
        <v>23164</v>
      </c>
      <c r="F3593" s="10" t="s">
        <v>23165</v>
      </c>
      <c r="G3593" s="8">
        <v>23.61</v>
      </c>
      <c r="H3593" s="8"/>
      <c r="I3593" s="10"/>
      <c r="J3593" s="10" t="s">
        <v>23166</v>
      </c>
      <c r="K3593" s="10" t="s">
        <v>23167</v>
      </c>
      <c r="L3593" s="11" t="s">
        <v>23168</v>
      </c>
      <c r="M3593" s="11" t="s">
        <v>23169</v>
      </c>
      <c r="N3593" s="12"/>
      <c r="O3593" s="12"/>
      <c r="P3593" s="13">
        <f>IFERROR(__xludf.DUMMYFUNCTION("VALUE(SUBSTITUTE((INDEX(SPLIT(A3593,"",""),1)),""."","","",1))"),51.818283)</f>
        <v>51.818283</v>
      </c>
      <c r="Q3593" s="13">
        <f>IFERROR(__xludf.DUMMYFUNCTION("VALUE(SUBSTITUTE((INDEX(SPLIT(A3593,"",""),2)),""."","","",1))"),55.132951)</f>
        <v>55.132951</v>
      </c>
      <c r="R3593" s="14" t="b">
        <f t="shared" si="1"/>
        <v>0</v>
      </c>
      <c r="S3593" s="14" t="str">
        <f t="shared" si="2"/>
        <v>51.818283,55.132951</v>
      </c>
      <c r="T3593" s="12"/>
    </row>
    <row r="3594">
      <c r="A3594" s="15" t="s">
        <v>23170</v>
      </c>
      <c r="B3594" s="16" t="s">
        <v>23171</v>
      </c>
      <c r="C3594" s="16" t="s">
        <v>23172</v>
      </c>
      <c r="D3594" s="16" t="s">
        <v>16</v>
      </c>
      <c r="E3594" s="17" t="s">
        <v>23173</v>
      </c>
      <c r="F3594" s="16" t="s">
        <v>23165</v>
      </c>
      <c r="G3594" s="16">
        <v>23.61</v>
      </c>
      <c r="H3594" s="16"/>
      <c r="I3594" s="16"/>
      <c r="J3594" s="16" t="s">
        <v>23174</v>
      </c>
      <c r="K3594" s="16" t="s">
        <v>23175</v>
      </c>
      <c r="L3594" s="16"/>
      <c r="M3594" s="16"/>
      <c r="N3594" s="12"/>
      <c r="O3594" s="12"/>
      <c r="P3594" s="13">
        <f>IFERROR(__xludf.DUMMYFUNCTION("VALUE(SUBSTITUTE((INDEX(SPLIT(A3594,"",""),1)),""."","","",1))"),51.867749)</f>
        <v>51.867749</v>
      </c>
      <c r="Q3594" s="13">
        <f>IFERROR(__xludf.DUMMYFUNCTION("VALUE(SUBSTITUTE((INDEX(SPLIT(A3594,"",""),2)),""."","","",1))"),55.134244)</f>
        <v>55.134244</v>
      </c>
      <c r="R3594" s="14" t="b">
        <f t="shared" si="1"/>
        <v>0</v>
      </c>
      <c r="S3594" s="14" t="str">
        <f t="shared" si="2"/>
        <v>51.867749,55.134244</v>
      </c>
      <c r="T3594" s="12"/>
    </row>
    <row r="3595">
      <c r="A3595" s="18" t="s">
        <v>23176</v>
      </c>
      <c r="B3595" s="8" t="s">
        <v>23177</v>
      </c>
      <c r="C3595" s="8" t="s">
        <v>23178</v>
      </c>
      <c r="D3595" s="8" t="s">
        <v>16</v>
      </c>
      <c r="E3595" s="19" t="s">
        <v>23179</v>
      </c>
      <c r="F3595" s="8" t="s">
        <v>23165</v>
      </c>
      <c r="G3595" s="8">
        <v>23.61</v>
      </c>
      <c r="H3595" s="8"/>
      <c r="I3595" s="8"/>
      <c r="J3595" s="8" t="s">
        <v>23180</v>
      </c>
      <c r="K3595" s="8" t="s">
        <v>23181</v>
      </c>
      <c r="L3595" s="8"/>
      <c r="M3595" s="8"/>
      <c r="N3595" s="12"/>
      <c r="O3595" s="12"/>
      <c r="P3595" s="13">
        <f>IFERROR(__xludf.DUMMYFUNCTION("VALUE(SUBSTITUTE((INDEX(SPLIT(A3595,"",""),1)),""."","","",1))"),51.797551)</f>
        <v>51.797551</v>
      </c>
      <c r="Q3595" s="13">
        <f>IFERROR(__xludf.DUMMYFUNCTION("VALUE(SUBSTITUTE((INDEX(SPLIT(A3595,"",""),2)),""."","","",1))"),55.134801)</f>
        <v>55.134801</v>
      </c>
      <c r="R3595" s="14" t="b">
        <f t="shared" si="1"/>
        <v>0</v>
      </c>
      <c r="S3595" s="14" t="str">
        <f t="shared" si="2"/>
        <v>51.797551,55.134801</v>
      </c>
      <c r="T3595" s="12"/>
    </row>
    <row r="3596">
      <c r="A3596" s="15" t="s">
        <v>23176</v>
      </c>
      <c r="B3596" s="16" t="s">
        <v>23182</v>
      </c>
      <c r="C3596" s="16" t="s">
        <v>23183</v>
      </c>
      <c r="D3596" s="16" t="s">
        <v>16</v>
      </c>
      <c r="E3596" s="17" t="s">
        <v>23184</v>
      </c>
      <c r="F3596" s="16" t="s">
        <v>23165</v>
      </c>
      <c r="G3596" s="16">
        <v>23.61</v>
      </c>
      <c r="H3596" s="16"/>
      <c r="I3596" s="16"/>
      <c r="J3596" s="16" t="s">
        <v>23185</v>
      </c>
      <c r="K3596" s="16" t="s">
        <v>23181</v>
      </c>
      <c r="L3596" s="16"/>
      <c r="M3596" s="16"/>
      <c r="N3596" s="12"/>
      <c r="O3596" s="12"/>
      <c r="P3596" s="13">
        <f>IFERROR(__xludf.DUMMYFUNCTION("VALUE(SUBSTITUTE((INDEX(SPLIT(A3596,"",""),1)),""."","","",1))"),51.797551)</f>
        <v>51.797551</v>
      </c>
      <c r="Q3596" s="13">
        <f>IFERROR(__xludf.DUMMYFUNCTION("VALUE(SUBSTITUTE((INDEX(SPLIT(A3596,"",""),2)),""."","","",1))"),55.134801)</f>
        <v>55.134801</v>
      </c>
      <c r="R3596" s="14" t="b">
        <f t="shared" si="1"/>
        <v>0</v>
      </c>
      <c r="S3596" s="14" t="str">
        <f t="shared" si="2"/>
        <v>51.797551,55.134801</v>
      </c>
      <c r="T3596" s="12"/>
    </row>
    <row r="3597">
      <c r="A3597" s="7" t="s">
        <v>23186</v>
      </c>
      <c r="B3597" s="8" t="s">
        <v>23187</v>
      </c>
      <c r="C3597" s="8" t="s">
        <v>23188</v>
      </c>
      <c r="D3597" s="8" t="s">
        <v>16</v>
      </c>
      <c r="E3597" s="9" t="s">
        <v>23189</v>
      </c>
      <c r="F3597" s="10" t="s">
        <v>4327</v>
      </c>
      <c r="G3597" s="8">
        <v>23.61</v>
      </c>
      <c r="H3597" s="8"/>
      <c r="I3597" s="10"/>
      <c r="J3597" s="10" t="s">
        <v>23190</v>
      </c>
      <c r="K3597" s="10" t="s">
        <v>23191</v>
      </c>
      <c r="L3597" s="11" t="s">
        <v>23192</v>
      </c>
      <c r="M3597" s="11" t="s">
        <v>23193</v>
      </c>
      <c r="N3597" s="12"/>
      <c r="O3597" s="12"/>
      <c r="P3597" s="13">
        <f>IFERROR(__xludf.DUMMYFUNCTION("VALUE(SUBSTITUTE((INDEX(SPLIT(A3597,"",""),1)),""."","","",1))"),51.788983)</f>
        <v>51.788983</v>
      </c>
      <c r="Q3597" s="13">
        <f>IFERROR(__xludf.DUMMYFUNCTION("VALUE(SUBSTITUTE((INDEX(SPLIT(A3597,"",""),2)),""."","","",1))"),55.134909)</f>
        <v>55.134909</v>
      </c>
      <c r="R3597" s="14" t="b">
        <f t="shared" si="1"/>
        <v>0</v>
      </c>
      <c r="S3597" s="14" t="str">
        <f t="shared" si="2"/>
        <v>51.788983,55.134909</v>
      </c>
      <c r="T3597" s="12"/>
    </row>
    <row r="3598">
      <c r="A3598" s="15" t="s">
        <v>23194</v>
      </c>
      <c r="B3598" s="16" t="s">
        <v>23195</v>
      </c>
      <c r="C3598" s="16" t="s">
        <v>23196</v>
      </c>
      <c r="D3598" s="16" t="s">
        <v>16</v>
      </c>
      <c r="E3598" s="17" t="s">
        <v>23197</v>
      </c>
      <c r="F3598" s="16" t="s">
        <v>4327</v>
      </c>
      <c r="G3598" s="16">
        <v>23.61</v>
      </c>
      <c r="H3598" s="16"/>
      <c r="I3598" s="16"/>
      <c r="J3598" s="16" t="s">
        <v>23198</v>
      </c>
      <c r="K3598" s="16" t="s">
        <v>23199</v>
      </c>
      <c r="L3598" s="16"/>
      <c r="M3598" s="16"/>
      <c r="N3598" s="12"/>
      <c r="O3598" s="12"/>
      <c r="P3598" s="13">
        <f>IFERROR(__xludf.DUMMYFUNCTION("VALUE(SUBSTITUTE((INDEX(SPLIT(A3598,"",""),1)),""."","","",1))"),51.718763)</f>
        <v>51.718763</v>
      </c>
      <c r="Q3598" s="13">
        <f>IFERROR(__xludf.DUMMYFUNCTION("VALUE(SUBSTITUTE((INDEX(SPLIT(A3598,"",""),2)),""."","","",1))"),55.138197)</f>
        <v>55.138197</v>
      </c>
      <c r="R3598" s="14" t="b">
        <f t="shared" si="1"/>
        <v>0</v>
      </c>
      <c r="S3598" s="14" t="str">
        <f t="shared" si="2"/>
        <v>51.718763,55.138197</v>
      </c>
      <c r="T3598" s="12"/>
    </row>
    <row r="3599">
      <c r="A3599" s="7" t="s">
        <v>23200</v>
      </c>
      <c r="B3599" s="8" t="s">
        <v>23201</v>
      </c>
      <c r="C3599" s="8" t="s">
        <v>23202</v>
      </c>
      <c r="D3599" s="8" t="s">
        <v>16</v>
      </c>
      <c r="E3599" s="9" t="s">
        <v>23203</v>
      </c>
      <c r="F3599" s="10" t="s">
        <v>21049</v>
      </c>
      <c r="G3599" s="8">
        <v>23.61</v>
      </c>
      <c r="H3599" s="8"/>
      <c r="I3599" s="10"/>
      <c r="J3599" s="10" t="s">
        <v>23204</v>
      </c>
      <c r="K3599" s="10" t="s">
        <v>23205</v>
      </c>
      <c r="L3599" s="11" t="s">
        <v>23206</v>
      </c>
      <c r="M3599" s="11" t="s">
        <v>23207</v>
      </c>
      <c r="N3599" s="12"/>
      <c r="O3599" s="12"/>
      <c r="P3599" s="13">
        <f>IFERROR(__xludf.DUMMYFUNCTION("VALUE(SUBSTITUTE((INDEX(SPLIT(A3599,"",""),1)),""."","","",1))"),51.725173)</f>
        <v>51.725173</v>
      </c>
      <c r="Q3599" s="13">
        <f>IFERROR(__xludf.DUMMYFUNCTION("VALUE(SUBSTITUTE((INDEX(SPLIT(A3599,"",""),2)),""."","","",1))"),55.148833)</f>
        <v>55.148833</v>
      </c>
      <c r="R3599" s="14" t="b">
        <f t="shared" si="1"/>
        <v>0</v>
      </c>
      <c r="S3599" s="14" t="str">
        <f t="shared" si="2"/>
        <v>51.725173,55.148833</v>
      </c>
      <c r="T3599" s="12"/>
    </row>
    <row r="3600">
      <c r="A3600" s="15" t="s">
        <v>23208</v>
      </c>
      <c r="B3600" s="16" t="s">
        <v>23209</v>
      </c>
      <c r="C3600" s="16" t="s">
        <v>23210</v>
      </c>
      <c r="D3600" s="16" t="s">
        <v>16</v>
      </c>
      <c r="E3600" s="17" t="s">
        <v>23211</v>
      </c>
      <c r="F3600" s="16" t="s">
        <v>10183</v>
      </c>
      <c r="G3600" s="16">
        <v>23.61</v>
      </c>
      <c r="H3600" s="16"/>
      <c r="I3600" s="16"/>
      <c r="J3600" s="16" t="s">
        <v>23212</v>
      </c>
      <c r="K3600" s="16" t="s">
        <v>23213</v>
      </c>
      <c r="L3600" s="16"/>
      <c r="M3600" s="16"/>
      <c r="N3600" s="12"/>
      <c r="O3600" s="12"/>
      <c r="P3600" s="13">
        <f>IFERROR(__xludf.DUMMYFUNCTION("VALUE(SUBSTITUTE((INDEX(SPLIT(A3600,"",""),1)),""."","","",1))"),51.797735)</f>
        <v>51.797735</v>
      </c>
      <c r="Q3600" s="13">
        <f>IFERROR(__xludf.DUMMYFUNCTION("VALUE(SUBSTITUTE((INDEX(SPLIT(A3600,"",""),2)),""."","","",1))"),55.151618)</f>
        <v>55.151618</v>
      </c>
      <c r="R3600" s="14" t="b">
        <f t="shared" si="1"/>
        <v>0</v>
      </c>
      <c r="S3600" s="14" t="str">
        <f t="shared" si="2"/>
        <v>51.797735,55.151618</v>
      </c>
      <c r="T3600" s="12"/>
    </row>
    <row r="3601">
      <c r="A3601" s="18" t="s">
        <v>23214</v>
      </c>
      <c r="B3601" s="8" t="s">
        <v>23215</v>
      </c>
      <c r="C3601" s="8" t="s">
        <v>23216</v>
      </c>
      <c r="D3601" s="8" t="s">
        <v>16</v>
      </c>
      <c r="E3601" s="19" t="s">
        <v>23217</v>
      </c>
      <c r="F3601" s="8" t="s">
        <v>10183</v>
      </c>
      <c r="G3601" s="8">
        <v>23.61</v>
      </c>
      <c r="H3601" s="8"/>
      <c r="I3601" s="8"/>
      <c r="J3601" s="8" t="s">
        <v>23218</v>
      </c>
      <c r="K3601" s="8" t="s">
        <v>23219</v>
      </c>
      <c r="L3601" s="8"/>
      <c r="M3601" s="8"/>
      <c r="N3601" s="12"/>
      <c r="O3601" s="12"/>
      <c r="P3601" s="13">
        <f>IFERROR(__xludf.DUMMYFUNCTION("VALUE(SUBSTITUTE((INDEX(SPLIT(A3601,"",""),1)),""."","","",1))"),51.798236)</f>
        <v>51.798236</v>
      </c>
      <c r="Q3601" s="13">
        <f>IFERROR(__xludf.DUMMYFUNCTION("VALUE(SUBSTITUTE((INDEX(SPLIT(A3601,"",""),2)),""."","","",1))"),55.154762)</f>
        <v>55.154762</v>
      </c>
      <c r="R3601" s="14" t="b">
        <f t="shared" si="1"/>
        <v>0</v>
      </c>
      <c r="S3601" s="14" t="str">
        <f t="shared" si="2"/>
        <v>51.798236,55.154762</v>
      </c>
      <c r="T3601" s="12"/>
    </row>
    <row r="3602">
      <c r="A3602" s="15" t="s">
        <v>23220</v>
      </c>
      <c r="B3602" s="16" t="s">
        <v>23221</v>
      </c>
      <c r="C3602" s="16" t="s">
        <v>23222</v>
      </c>
      <c r="D3602" s="16" t="s">
        <v>16</v>
      </c>
      <c r="E3602" s="17" t="s">
        <v>23223</v>
      </c>
      <c r="F3602" s="16" t="s">
        <v>10183</v>
      </c>
      <c r="G3602" s="16">
        <v>23.61</v>
      </c>
      <c r="H3602" s="16"/>
      <c r="I3602" s="16"/>
      <c r="J3602" s="16" t="s">
        <v>23224</v>
      </c>
      <c r="K3602" s="16" t="s">
        <v>23225</v>
      </c>
      <c r="L3602" s="16"/>
      <c r="M3602" s="16"/>
      <c r="N3602" s="12"/>
      <c r="O3602" s="12"/>
      <c r="P3602" s="13">
        <f>IFERROR(__xludf.DUMMYFUNCTION("VALUE(SUBSTITUTE((INDEX(SPLIT(A3602,"",""),1)),""."","","",1))"),51.828336)</f>
        <v>51.828336</v>
      </c>
      <c r="Q3602" s="13">
        <f>IFERROR(__xludf.DUMMYFUNCTION("VALUE(SUBSTITUTE((INDEX(SPLIT(A3602,"",""),2)),""."","","",1))"),55.155966)</f>
        <v>55.155966</v>
      </c>
      <c r="R3602" s="14" t="b">
        <f t="shared" si="1"/>
        <v>0</v>
      </c>
      <c r="S3602" s="14" t="str">
        <f t="shared" si="2"/>
        <v>51.828336,55.155966</v>
      </c>
      <c r="T3602" s="12"/>
    </row>
    <row r="3603">
      <c r="A3603" s="18" t="s">
        <v>23226</v>
      </c>
      <c r="B3603" s="8" t="s">
        <v>23227</v>
      </c>
      <c r="C3603" s="8" t="s">
        <v>23228</v>
      </c>
      <c r="D3603" s="8" t="s">
        <v>16</v>
      </c>
      <c r="E3603" s="19" t="s">
        <v>23229</v>
      </c>
      <c r="F3603" s="8" t="s">
        <v>17071</v>
      </c>
      <c r="G3603" s="8">
        <v>23.61</v>
      </c>
      <c r="H3603" s="8"/>
      <c r="I3603" s="27" t="s">
        <v>23230</v>
      </c>
      <c r="J3603" s="8" t="s">
        <v>23231</v>
      </c>
      <c r="K3603" s="8" t="s">
        <v>23232</v>
      </c>
      <c r="L3603" s="8"/>
      <c r="M3603" s="24" t="s">
        <v>23233</v>
      </c>
      <c r="N3603" s="12"/>
      <c r="O3603" s="12"/>
      <c r="P3603" s="13">
        <f>IFERROR(__xludf.DUMMYFUNCTION("VALUE(SUBSTITUTE((INDEX(SPLIT(A3603,"",""),1)),""."","","",1))"),51.838259)</f>
        <v>51.838259</v>
      </c>
      <c r="Q3603" s="13">
        <f>IFERROR(__xludf.DUMMYFUNCTION("VALUE(SUBSTITUTE((INDEX(SPLIT(A3603,"",""),2)),""."","","",1))"),55.157816)</f>
        <v>55.157816</v>
      </c>
      <c r="R3603" s="14" t="b">
        <f t="shared" si="1"/>
        <v>0</v>
      </c>
      <c r="S3603" s="14" t="str">
        <f t="shared" si="2"/>
        <v>51.838259,55.157816</v>
      </c>
      <c r="T3603" s="12"/>
    </row>
    <row r="3604">
      <c r="A3604" s="15" t="s">
        <v>23234</v>
      </c>
      <c r="B3604" s="16" t="s">
        <v>23235</v>
      </c>
      <c r="C3604" s="16" t="s">
        <v>23236</v>
      </c>
      <c r="D3604" s="16" t="s">
        <v>16</v>
      </c>
      <c r="E3604" s="17" t="s">
        <v>23237</v>
      </c>
      <c r="F3604" s="16" t="s">
        <v>23238</v>
      </c>
      <c r="G3604" s="16">
        <v>23.61</v>
      </c>
      <c r="H3604" s="16"/>
      <c r="I3604" s="16"/>
      <c r="J3604" s="16" t="s">
        <v>23239</v>
      </c>
      <c r="K3604" s="16" t="s">
        <v>23240</v>
      </c>
      <c r="L3604" s="16"/>
      <c r="M3604" s="16"/>
      <c r="N3604" s="12"/>
      <c r="O3604" s="12"/>
      <c r="P3604" s="13">
        <f>IFERROR(__xludf.DUMMYFUNCTION("VALUE(SUBSTITUTE((INDEX(SPLIT(A3604,"",""),1)),""."","","",1))"),51.830779)</f>
        <v>51.830779</v>
      </c>
      <c r="Q3604" s="13">
        <f>IFERROR(__xludf.DUMMYFUNCTION("VALUE(SUBSTITUTE((INDEX(SPLIT(A3604,"",""),2)),""."","","",1))"),55.159783)</f>
        <v>55.159783</v>
      </c>
      <c r="R3604" s="14" t="b">
        <f t="shared" si="1"/>
        <v>0</v>
      </c>
      <c r="S3604" s="14" t="str">
        <f t="shared" si="2"/>
        <v>51.830779,55.159783</v>
      </c>
      <c r="T3604" s="12"/>
    </row>
    <row r="3605">
      <c r="A3605" s="18" t="s">
        <v>23241</v>
      </c>
      <c r="B3605" s="8" t="s">
        <v>23242</v>
      </c>
      <c r="C3605" s="8" t="s">
        <v>23243</v>
      </c>
      <c r="D3605" s="8" t="s">
        <v>16</v>
      </c>
      <c r="E3605" s="19" t="s">
        <v>23244</v>
      </c>
      <c r="F3605" s="8" t="s">
        <v>17071</v>
      </c>
      <c r="G3605" s="8">
        <v>23.61</v>
      </c>
      <c r="H3605" s="8"/>
      <c r="I3605" s="8"/>
      <c r="J3605" s="8" t="s">
        <v>23245</v>
      </c>
      <c r="K3605" s="8" t="s">
        <v>23246</v>
      </c>
      <c r="L3605" s="8"/>
      <c r="M3605" s="8"/>
      <c r="N3605" s="12"/>
      <c r="O3605" s="12"/>
      <c r="P3605" s="13">
        <f>IFERROR(__xludf.DUMMYFUNCTION("VALUE(SUBSTITUTE((INDEX(SPLIT(A3605,"",""),1)),""."","","",1))"),51.717334)</f>
        <v>51.717334</v>
      </c>
      <c r="Q3605" s="13">
        <f>IFERROR(__xludf.DUMMYFUNCTION("VALUE(SUBSTITUTE((INDEX(SPLIT(A3605,"",""),2)),""."","","",1))"),55.20089)</f>
        <v>55.20089</v>
      </c>
      <c r="R3605" s="14" t="b">
        <f t="shared" si="1"/>
        <v>0</v>
      </c>
      <c r="S3605" s="14" t="str">
        <f t="shared" si="2"/>
        <v>51.717334,55.20089</v>
      </c>
      <c r="T3605" s="12"/>
    </row>
    <row r="3606">
      <c r="A3606" s="20" t="s">
        <v>23247</v>
      </c>
      <c r="B3606" s="16" t="s">
        <v>23248</v>
      </c>
      <c r="C3606" s="16" t="s">
        <v>23249</v>
      </c>
      <c r="D3606" s="16" t="s">
        <v>16</v>
      </c>
      <c r="E3606" s="21" t="s">
        <v>23250</v>
      </c>
      <c r="F3606" s="22" t="s">
        <v>17071</v>
      </c>
      <c r="G3606" s="16">
        <v>23.61</v>
      </c>
      <c r="H3606" s="16"/>
      <c r="I3606" s="22"/>
      <c r="J3606" s="22" t="s">
        <v>23251</v>
      </c>
      <c r="K3606" s="22" t="s">
        <v>23252</v>
      </c>
      <c r="L3606" s="23" t="s">
        <v>23253</v>
      </c>
      <c r="M3606" s="22"/>
      <c r="N3606" s="12"/>
      <c r="O3606" s="12"/>
      <c r="P3606" s="13">
        <f>IFERROR(__xludf.DUMMYFUNCTION("VALUE(SUBSTITUTE((INDEX(SPLIT(A3606,"",""),1)),""."","","",1))"),51.772858)</f>
        <v>51.772858</v>
      </c>
      <c r="Q3606" s="13">
        <f>IFERROR(__xludf.DUMMYFUNCTION("VALUE(SUBSTITUTE((INDEX(SPLIT(A3606,"",""),2)),""."","","",1))"),55.218363)</f>
        <v>55.218363</v>
      </c>
      <c r="R3606" s="14" t="b">
        <f t="shared" si="1"/>
        <v>0</v>
      </c>
      <c r="S3606" s="14" t="str">
        <f t="shared" si="2"/>
        <v>51.772858,55.218363</v>
      </c>
      <c r="T3606" s="12"/>
    </row>
    <row r="3607">
      <c r="A3607" s="18" t="s">
        <v>23254</v>
      </c>
      <c r="B3607" s="8" t="s">
        <v>23255</v>
      </c>
      <c r="C3607" s="8" t="s">
        <v>23256</v>
      </c>
      <c r="D3607" s="8" t="s">
        <v>16</v>
      </c>
      <c r="E3607" s="19" t="s">
        <v>23257</v>
      </c>
      <c r="F3607" s="8" t="s">
        <v>17071</v>
      </c>
      <c r="G3607" s="8">
        <v>23.61</v>
      </c>
      <c r="H3607" s="8"/>
      <c r="I3607" s="8"/>
      <c r="J3607" s="8" t="s">
        <v>23258</v>
      </c>
      <c r="K3607" s="8" t="s">
        <v>23259</v>
      </c>
      <c r="L3607" s="8"/>
      <c r="M3607" s="8"/>
      <c r="N3607" s="12"/>
      <c r="O3607" s="12"/>
      <c r="P3607" s="13">
        <f>IFERROR(__xludf.DUMMYFUNCTION("VALUE(SUBSTITUTE((INDEX(SPLIT(A3607,"",""),1)),""."","","",1))"),51.70331)</f>
        <v>51.70331</v>
      </c>
      <c r="Q3607" s="13">
        <f>IFERROR(__xludf.DUMMYFUNCTION("VALUE(SUBSTITUTE((INDEX(SPLIT(A3607,"",""),2)),""."","","",1))"),55.22528)</f>
        <v>55.22528</v>
      </c>
      <c r="R3607" s="14" t="b">
        <f t="shared" si="1"/>
        <v>0</v>
      </c>
      <c r="S3607" s="14" t="str">
        <f t="shared" si="2"/>
        <v>51.70331,55.22528</v>
      </c>
      <c r="T3607" s="12"/>
    </row>
    <row r="3608">
      <c r="A3608" s="15" t="s">
        <v>23260</v>
      </c>
      <c r="B3608" s="16" t="s">
        <v>23261</v>
      </c>
      <c r="C3608" s="16" t="s">
        <v>16874</v>
      </c>
      <c r="D3608" s="16" t="s">
        <v>16</v>
      </c>
      <c r="E3608" s="17" t="s">
        <v>23262</v>
      </c>
      <c r="F3608" s="16" t="s">
        <v>17071</v>
      </c>
      <c r="G3608" s="16">
        <v>23.61</v>
      </c>
      <c r="H3608" s="16"/>
      <c r="I3608" s="32" t="s">
        <v>23263</v>
      </c>
      <c r="J3608" s="16" t="s">
        <v>23264</v>
      </c>
      <c r="K3608" s="16" t="s">
        <v>19811</v>
      </c>
      <c r="L3608" s="16"/>
      <c r="M3608" s="25" t="s">
        <v>23265</v>
      </c>
      <c r="N3608" s="12"/>
      <c r="O3608" s="12"/>
      <c r="P3608" s="13">
        <f>IFERROR(__xludf.DUMMYFUNCTION("VALUE(SUBSTITUTE((INDEX(SPLIT(A3608,"",""),1)),""."","","",1))"),51.759626)</f>
        <v>51.759626</v>
      </c>
      <c r="Q3608" s="13">
        <f>IFERROR(__xludf.DUMMYFUNCTION("VALUE(SUBSTITUTE((INDEX(SPLIT(A3608,"",""),2)),""."","","",1))"),55.271803)</f>
        <v>55.271803</v>
      </c>
      <c r="R3608" s="14" t="b">
        <f t="shared" si="1"/>
        <v>0</v>
      </c>
      <c r="S3608" s="14" t="str">
        <f t="shared" si="2"/>
        <v>51.759626,55.271803</v>
      </c>
      <c r="T3608" s="12"/>
    </row>
    <row r="3609">
      <c r="A3609" s="7" t="s">
        <v>23266</v>
      </c>
      <c r="B3609" s="8" t="s">
        <v>23267</v>
      </c>
      <c r="C3609" s="8" t="s">
        <v>23268</v>
      </c>
      <c r="D3609" s="8" t="s">
        <v>16</v>
      </c>
      <c r="E3609" s="9" t="s">
        <v>23269</v>
      </c>
      <c r="F3609" s="10" t="s">
        <v>9563</v>
      </c>
      <c r="G3609" s="8">
        <v>23.61</v>
      </c>
      <c r="H3609" s="8"/>
      <c r="I3609" s="10"/>
      <c r="J3609" s="10" t="s">
        <v>23270</v>
      </c>
      <c r="K3609" s="10" t="s">
        <v>23271</v>
      </c>
      <c r="L3609" s="11" t="s">
        <v>23272</v>
      </c>
      <c r="M3609" s="10"/>
      <c r="N3609" s="12"/>
      <c r="O3609" s="12"/>
      <c r="P3609" s="13">
        <f>IFERROR(__xludf.DUMMYFUNCTION("VALUE(SUBSTITUTE((INDEX(SPLIT(A3609,"",""),1)),""."","","",1))"),51.770278)</f>
        <v>51.770278</v>
      </c>
      <c r="Q3609" s="13">
        <f>IFERROR(__xludf.DUMMYFUNCTION("VALUE(SUBSTITUTE((INDEX(SPLIT(A3609,"",""),2)),""."","","",1))"),55.327032)</f>
        <v>55.327032</v>
      </c>
      <c r="R3609" s="14" t="b">
        <f t="shared" si="1"/>
        <v>0</v>
      </c>
      <c r="S3609" s="14" t="str">
        <f t="shared" si="2"/>
        <v>51.770278,55.327032</v>
      </c>
      <c r="T3609" s="12"/>
    </row>
    <row r="3610">
      <c r="A3610" s="20" t="s">
        <v>23273</v>
      </c>
      <c r="B3610" s="16" t="s">
        <v>23274</v>
      </c>
      <c r="C3610" s="16" t="s">
        <v>23275</v>
      </c>
      <c r="D3610" s="16" t="s">
        <v>16</v>
      </c>
      <c r="E3610" s="21" t="s">
        <v>23276</v>
      </c>
      <c r="F3610" s="22" t="s">
        <v>19948</v>
      </c>
      <c r="G3610" s="16">
        <v>23.61</v>
      </c>
      <c r="H3610" s="16"/>
      <c r="I3610" s="22"/>
      <c r="J3610" s="22" t="s">
        <v>23277</v>
      </c>
      <c r="K3610" s="22" t="s">
        <v>23278</v>
      </c>
      <c r="L3610" s="23" t="s">
        <v>23279</v>
      </c>
      <c r="M3610" s="22"/>
      <c r="N3610" s="12"/>
      <c r="O3610" s="12"/>
      <c r="P3610" s="13">
        <f>IFERROR(__xludf.DUMMYFUNCTION("VALUE(SUBSTITUTE((INDEX(SPLIT(A3610,"",""),1)),""."","","",1))"),55.100572)</f>
        <v>55.100572</v>
      </c>
      <c r="Q3610" s="13">
        <f>IFERROR(__xludf.DUMMYFUNCTION("VALUE(SUBSTITUTE((INDEX(SPLIT(A3610,"",""),2)),""."","","",1))"),55.342123)</f>
        <v>55.342123</v>
      </c>
      <c r="R3610" s="14" t="b">
        <f t="shared" si="1"/>
        <v>0</v>
      </c>
      <c r="S3610" s="14" t="str">
        <f t="shared" si="2"/>
        <v>55.100572,55.342123</v>
      </c>
      <c r="T3610" s="12"/>
    </row>
    <row r="3611">
      <c r="A3611" s="7" t="s">
        <v>23280</v>
      </c>
      <c r="B3611" s="8" t="s">
        <v>23281</v>
      </c>
      <c r="C3611" s="8" t="s">
        <v>23282</v>
      </c>
      <c r="D3611" s="8" t="s">
        <v>16</v>
      </c>
      <c r="E3611" s="9" t="s">
        <v>23283</v>
      </c>
      <c r="F3611" s="10" t="s">
        <v>9563</v>
      </c>
      <c r="G3611" s="8">
        <v>23.61</v>
      </c>
      <c r="H3611" s="8"/>
      <c r="I3611" s="10"/>
      <c r="J3611" s="10" t="s">
        <v>23284</v>
      </c>
      <c r="K3611" s="10" t="s">
        <v>23285</v>
      </c>
      <c r="L3611" s="11" t="s">
        <v>23286</v>
      </c>
      <c r="M3611" s="10"/>
      <c r="N3611" s="12"/>
      <c r="O3611" s="12"/>
      <c r="P3611" s="13">
        <f>IFERROR(__xludf.DUMMYFUNCTION("VALUE(SUBSTITUTE((INDEX(SPLIT(A3611,"",""),1)),""."","","",1))"),55.094694)</f>
        <v>55.094694</v>
      </c>
      <c r="Q3611" s="13">
        <f>IFERROR(__xludf.DUMMYFUNCTION("VALUE(SUBSTITUTE((INDEX(SPLIT(A3611,"",""),2)),""."","","",1))"),55.363503)</f>
        <v>55.363503</v>
      </c>
      <c r="R3611" s="14" t="b">
        <f t="shared" si="1"/>
        <v>0</v>
      </c>
      <c r="S3611" s="14" t="str">
        <f t="shared" si="2"/>
        <v>55.094694,55.363503</v>
      </c>
      <c r="T3611" s="12"/>
    </row>
    <row r="3612">
      <c r="A3612" s="15" t="s">
        <v>23287</v>
      </c>
      <c r="B3612" s="16" t="s">
        <v>23288</v>
      </c>
      <c r="C3612" s="16" t="s">
        <v>23289</v>
      </c>
      <c r="D3612" s="16" t="s">
        <v>16</v>
      </c>
      <c r="E3612" s="17" t="s">
        <v>23290</v>
      </c>
      <c r="F3612" s="16" t="s">
        <v>9563</v>
      </c>
      <c r="G3612" s="16">
        <v>23.61</v>
      </c>
      <c r="H3612" s="16"/>
      <c r="I3612" s="16"/>
      <c r="J3612" s="16" t="s">
        <v>23291</v>
      </c>
      <c r="K3612" s="16" t="s">
        <v>23292</v>
      </c>
      <c r="L3612" s="16"/>
      <c r="M3612" s="16"/>
      <c r="N3612" s="12"/>
      <c r="O3612" s="12"/>
      <c r="P3612" s="13">
        <f>IFERROR(__xludf.DUMMYFUNCTION("VALUE(SUBSTITUTE((INDEX(SPLIT(A3612,"",""),1)),""."","","",1))"),55.835528)</f>
        <v>55.835528</v>
      </c>
      <c r="Q3612" s="13">
        <f>IFERROR(__xludf.DUMMYFUNCTION("VALUE(SUBSTITUTE((INDEX(SPLIT(A3612,"",""),2)),""."","","",1))"),55.432611)</f>
        <v>55.432611</v>
      </c>
      <c r="R3612" s="14" t="b">
        <f t="shared" si="1"/>
        <v>0</v>
      </c>
      <c r="S3612" s="14" t="str">
        <f t="shared" si="2"/>
        <v>55.835528,55.432611</v>
      </c>
      <c r="T3612" s="12"/>
    </row>
    <row r="3613">
      <c r="A3613" s="18" t="s">
        <v>23293</v>
      </c>
      <c r="B3613" s="8" t="s">
        <v>23294</v>
      </c>
      <c r="C3613" s="8" t="s">
        <v>23295</v>
      </c>
      <c r="D3613" s="8" t="s">
        <v>16</v>
      </c>
      <c r="E3613" s="19" t="s">
        <v>23296</v>
      </c>
      <c r="F3613" s="8" t="s">
        <v>7052</v>
      </c>
      <c r="G3613" s="8">
        <v>23.61</v>
      </c>
      <c r="H3613" s="8"/>
      <c r="I3613" s="8"/>
      <c r="J3613" s="8" t="s">
        <v>23297</v>
      </c>
      <c r="K3613" s="8" t="s">
        <v>23298</v>
      </c>
      <c r="L3613" s="8"/>
      <c r="M3613" s="24" t="s">
        <v>23299</v>
      </c>
      <c r="N3613" s="12"/>
      <c r="O3613" s="12"/>
      <c r="P3613" s="13">
        <f>IFERROR(__xludf.DUMMYFUNCTION("VALUE(SUBSTITUTE((INDEX(SPLIT(A3613,"",""),1)),""."","","",1))"),55.432827)</f>
        <v>55.432827</v>
      </c>
      <c r="Q3613" s="13">
        <f>IFERROR(__xludf.DUMMYFUNCTION("VALUE(SUBSTITUTE((INDEX(SPLIT(A3613,"",""),2)),""."","","",1))"),55.526709)</f>
        <v>55.526709</v>
      </c>
      <c r="R3613" s="14" t="b">
        <f t="shared" si="1"/>
        <v>0</v>
      </c>
      <c r="S3613" s="14" t="str">
        <f t="shared" si="2"/>
        <v>55.432827,55.526709</v>
      </c>
      <c r="T3613" s="12"/>
    </row>
    <row r="3614">
      <c r="A3614" s="20" t="s">
        <v>23293</v>
      </c>
      <c r="B3614" s="16" t="s">
        <v>23300</v>
      </c>
      <c r="C3614" s="16" t="s">
        <v>23301</v>
      </c>
      <c r="D3614" s="16" t="s">
        <v>16</v>
      </c>
      <c r="E3614" s="21" t="s">
        <v>23302</v>
      </c>
      <c r="F3614" s="22" t="s">
        <v>9563</v>
      </c>
      <c r="G3614" s="16">
        <v>23.61</v>
      </c>
      <c r="H3614" s="16"/>
      <c r="I3614" s="22"/>
      <c r="J3614" s="22" t="s">
        <v>23303</v>
      </c>
      <c r="K3614" s="22" t="s">
        <v>13501</v>
      </c>
      <c r="L3614" s="23" t="s">
        <v>23304</v>
      </c>
      <c r="M3614" s="23" t="s">
        <v>23305</v>
      </c>
      <c r="N3614" s="12"/>
      <c r="O3614" s="12"/>
      <c r="P3614" s="13">
        <f>IFERROR(__xludf.DUMMYFUNCTION("VALUE(SUBSTITUTE((INDEX(SPLIT(A3614,"",""),1)),""."","","",1))"),55.432827)</f>
        <v>55.432827</v>
      </c>
      <c r="Q3614" s="13">
        <f>IFERROR(__xludf.DUMMYFUNCTION("VALUE(SUBSTITUTE((INDEX(SPLIT(A3614,"",""),2)),""."","","",1))"),55.526709)</f>
        <v>55.526709</v>
      </c>
      <c r="R3614" s="14" t="b">
        <f t="shared" si="1"/>
        <v>0</v>
      </c>
      <c r="S3614" s="14" t="str">
        <f t="shared" si="2"/>
        <v>55.432827,55.526709</v>
      </c>
      <c r="T3614" s="12"/>
    </row>
    <row r="3615">
      <c r="A3615" s="7" t="s">
        <v>23306</v>
      </c>
      <c r="B3615" s="8" t="s">
        <v>23307</v>
      </c>
      <c r="C3615" s="8" t="s">
        <v>23308</v>
      </c>
      <c r="D3615" s="8" t="s">
        <v>16</v>
      </c>
      <c r="E3615" s="9" t="s">
        <v>23309</v>
      </c>
      <c r="F3615" s="10" t="s">
        <v>9563</v>
      </c>
      <c r="G3615" s="8">
        <v>23.61</v>
      </c>
      <c r="H3615" s="8"/>
      <c r="I3615" s="10"/>
      <c r="J3615" s="10" t="s">
        <v>23310</v>
      </c>
      <c r="K3615" s="10" t="s">
        <v>23311</v>
      </c>
      <c r="L3615" s="11" t="s">
        <v>23312</v>
      </c>
      <c r="M3615" s="11" t="s">
        <v>23313</v>
      </c>
      <c r="N3615" s="12"/>
      <c r="O3615" s="12"/>
      <c r="P3615" s="13">
        <f>IFERROR(__xludf.DUMMYFUNCTION("VALUE(SUBSTITUTE((INDEX(SPLIT(A3615,"",""),1)),""."","","",1))"),54.504593)</f>
        <v>54.504593</v>
      </c>
      <c r="Q3615" s="13">
        <f>IFERROR(__xludf.DUMMYFUNCTION("VALUE(SUBSTITUTE((INDEX(SPLIT(A3615,"",""),2)),""."","","",1))"),55.631579)</f>
        <v>55.631579</v>
      </c>
      <c r="R3615" s="14" t="b">
        <f t="shared" si="1"/>
        <v>0</v>
      </c>
      <c r="S3615" s="14" t="str">
        <f t="shared" si="2"/>
        <v>54.504593,55.631579</v>
      </c>
      <c r="T3615" s="12"/>
    </row>
    <row r="3616">
      <c r="A3616" s="20" t="s">
        <v>23314</v>
      </c>
      <c r="B3616" s="16" t="s">
        <v>23315</v>
      </c>
      <c r="C3616" s="16" t="s">
        <v>23316</v>
      </c>
      <c r="D3616" s="16" t="s">
        <v>16</v>
      </c>
      <c r="E3616" s="21" t="s">
        <v>23317</v>
      </c>
      <c r="F3616" s="22" t="s">
        <v>9563</v>
      </c>
      <c r="G3616" s="16">
        <v>23.61</v>
      </c>
      <c r="H3616" s="16"/>
      <c r="I3616" s="22"/>
      <c r="J3616" s="22" t="s">
        <v>23318</v>
      </c>
      <c r="K3616" s="22" t="s">
        <v>23319</v>
      </c>
      <c r="L3616" s="23" t="s">
        <v>23320</v>
      </c>
      <c r="M3616" s="22"/>
      <c r="N3616" s="12"/>
      <c r="O3616" s="12"/>
      <c r="P3616" s="13">
        <f>IFERROR(__xludf.DUMMYFUNCTION("VALUE(SUBSTITUTE((INDEX(SPLIT(A3616,"",""),1)),""."","","",1))"),55.649093)</f>
        <v>55.649093</v>
      </c>
      <c r="Q3616" s="13">
        <f>IFERROR(__xludf.DUMMYFUNCTION("VALUE(SUBSTITUTE((INDEX(SPLIT(A3616,"",""),2)),""."","","",1))"),37.587847)</f>
        <v>37.587847</v>
      </c>
      <c r="R3616" s="14" t="b">
        <f t="shared" si="1"/>
        <v>0</v>
      </c>
      <c r="S3616" s="14" t="str">
        <f t="shared" si="2"/>
        <v>55.649093,37.587847</v>
      </c>
      <c r="T3616" s="12"/>
    </row>
    <row r="3617">
      <c r="A3617" s="7" t="s">
        <v>23321</v>
      </c>
      <c r="B3617" s="8" t="s">
        <v>7324</v>
      </c>
      <c r="C3617" s="8" t="s">
        <v>7325</v>
      </c>
      <c r="D3617" s="8" t="s">
        <v>16</v>
      </c>
      <c r="E3617" s="9" t="s">
        <v>23322</v>
      </c>
      <c r="F3617" s="10" t="s">
        <v>9563</v>
      </c>
      <c r="G3617" s="8">
        <v>23.61</v>
      </c>
      <c r="H3617" s="8"/>
      <c r="I3617" s="10"/>
      <c r="J3617" s="10" t="s">
        <v>23323</v>
      </c>
      <c r="K3617" s="10" t="s">
        <v>23324</v>
      </c>
      <c r="L3617" s="11" t="s">
        <v>23325</v>
      </c>
      <c r="M3617" s="10"/>
      <c r="N3617" s="12"/>
      <c r="O3617" s="12"/>
      <c r="P3617" s="13">
        <f>IFERROR(__xludf.DUMMYFUNCTION("VALUE(SUBSTITUTE((INDEX(SPLIT(A3617,"",""),1)),""."","","",1))"),53.586007)</f>
        <v>53.586007</v>
      </c>
      <c r="Q3617" s="13">
        <f>IFERROR(__xludf.DUMMYFUNCTION("VALUE(SUBSTITUTE((INDEX(SPLIT(A3617,"",""),2)),""."","","",1))"),55.737643)</f>
        <v>55.737643</v>
      </c>
      <c r="R3617" s="14" t="b">
        <f t="shared" si="1"/>
        <v>0</v>
      </c>
      <c r="S3617" s="14" t="str">
        <f t="shared" si="2"/>
        <v>53.586007,55.737643</v>
      </c>
      <c r="T3617" s="12"/>
    </row>
    <row r="3618">
      <c r="A3618" s="20" t="s">
        <v>23326</v>
      </c>
      <c r="B3618" s="16" t="s">
        <v>17824</v>
      </c>
      <c r="C3618" s="16" t="s">
        <v>17825</v>
      </c>
      <c r="D3618" s="16" t="s">
        <v>16</v>
      </c>
      <c r="E3618" s="21" t="s">
        <v>23327</v>
      </c>
      <c r="F3618" s="22" t="s">
        <v>9563</v>
      </c>
      <c r="G3618" s="16">
        <v>23.61</v>
      </c>
      <c r="H3618" s="16"/>
      <c r="I3618" s="22"/>
      <c r="J3618" s="22" t="s">
        <v>23328</v>
      </c>
      <c r="K3618" s="22" t="s">
        <v>23329</v>
      </c>
      <c r="L3618" s="23" t="s">
        <v>23330</v>
      </c>
      <c r="M3618" s="22"/>
      <c r="N3618" s="12"/>
      <c r="O3618" s="12"/>
      <c r="P3618" s="13">
        <f>IFERROR(__xludf.DUMMYFUNCTION("VALUE(SUBSTITUTE((INDEX(SPLIT(A3618,"",""),1)),""."","","",1))"),54.657449)</f>
        <v>54.657449</v>
      </c>
      <c r="Q3618" s="13">
        <f>IFERROR(__xludf.DUMMYFUNCTION("VALUE(SUBSTITUTE((INDEX(SPLIT(A3618,"",""),2)),""."","","",1))"),55.739367)</f>
        <v>55.739367</v>
      </c>
      <c r="R3618" s="14" t="b">
        <f t="shared" si="1"/>
        <v>0</v>
      </c>
      <c r="S3618" s="14" t="str">
        <f t="shared" si="2"/>
        <v>54.657449,55.739367</v>
      </c>
      <c r="T3618" s="12"/>
    </row>
    <row r="3619">
      <c r="A3619" s="7" t="s">
        <v>23331</v>
      </c>
      <c r="B3619" s="8" t="s">
        <v>23332</v>
      </c>
      <c r="C3619" s="8" t="s">
        <v>23333</v>
      </c>
      <c r="D3619" s="8" t="s">
        <v>16</v>
      </c>
      <c r="E3619" s="9" t="s">
        <v>23334</v>
      </c>
      <c r="F3619" s="10" t="s">
        <v>23108</v>
      </c>
      <c r="G3619" s="8">
        <v>23.61</v>
      </c>
      <c r="H3619" s="8"/>
      <c r="I3619" s="10"/>
      <c r="J3619" s="10" t="s">
        <v>23335</v>
      </c>
      <c r="K3619" s="10" t="s">
        <v>23336</v>
      </c>
      <c r="L3619" s="11" t="s">
        <v>23337</v>
      </c>
      <c r="M3619" s="11" t="s">
        <v>23338</v>
      </c>
      <c r="N3619" s="12"/>
      <c r="O3619" s="12"/>
      <c r="P3619" s="13">
        <f>IFERROR(__xludf.DUMMYFUNCTION("VALUE(SUBSTITUTE((INDEX(SPLIT(A3619,"",""),1)),""."","","",1))"),55.746958)</f>
        <v>55.746958</v>
      </c>
      <c r="Q3619" s="13">
        <f>IFERROR(__xludf.DUMMYFUNCTION("VALUE(SUBSTITUTE((INDEX(SPLIT(A3619,"",""),2)),""."","","",1))"),37.591144)</f>
        <v>37.591144</v>
      </c>
      <c r="R3619" s="14" t="b">
        <f t="shared" si="1"/>
        <v>0</v>
      </c>
      <c r="S3619" s="14" t="str">
        <f t="shared" si="2"/>
        <v>55.746958,37.591144</v>
      </c>
      <c r="T3619" s="12"/>
    </row>
    <row r="3620">
      <c r="A3620" s="15" t="s">
        <v>23339</v>
      </c>
      <c r="B3620" s="16" t="s">
        <v>23340</v>
      </c>
      <c r="C3620" s="16" t="s">
        <v>23341</v>
      </c>
      <c r="D3620" s="16" t="s">
        <v>16</v>
      </c>
      <c r="E3620" s="17" t="s">
        <v>23342</v>
      </c>
      <c r="F3620" s="16" t="s">
        <v>23165</v>
      </c>
      <c r="G3620" s="16">
        <v>23.61</v>
      </c>
      <c r="H3620" s="16"/>
      <c r="I3620" s="16"/>
      <c r="J3620" s="16" t="s">
        <v>23343</v>
      </c>
      <c r="K3620" s="16" t="s">
        <v>23344</v>
      </c>
      <c r="L3620" s="16"/>
      <c r="M3620" s="16"/>
      <c r="N3620" s="12"/>
      <c r="O3620" s="12"/>
      <c r="P3620" s="13">
        <f>IFERROR(__xludf.DUMMYFUNCTION("VALUE(SUBSTITUTE((INDEX(SPLIT(A3620,"",""),1)),""."","","",1))"),54.860912)</f>
        <v>54.860912</v>
      </c>
      <c r="Q3620" s="13">
        <f>IFERROR(__xludf.DUMMYFUNCTION("VALUE(SUBSTITUTE((INDEX(SPLIT(A3620,"",""),2)),""."","","",1))"),55.750498)</f>
        <v>55.750498</v>
      </c>
      <c r="R3620" s="14" t="b">
        <f t="shared" si="1"/>
        <v>0</v>
      </c>
      <c r="S3620" s="14" t="str">
        <f t="shared" si="2"/>
        <v>54.860912,55.750498</v>
      </c>
      <c r="T3620" s="12"/>
    </row>
    <row r="3621">
      <c r="A3621" s="18" t="s">
        <v>23345</v>
      </c>
      <c r="B3621" s="8" t="s">
        <v>23346</v>
      </c>
      <c r="C3621" s="8" t="s">
        <v>15789</v>
      </c>
      <c r="D3621" s="8" t="s">
        <v>16</v>
      </c>
      <c r="E3621" s="19" t="s">
        <v>23347</v>
      </c>
      <c r="F3621" s="8" t="s">
        <v>7052</v>
      </c>
      <c r="G3621" s="8">
        <v>23.61</v>
      </c>
      <c r="H3621" s="8"/>
      <c r="I3621" s="8"/>
      <c r="J3621" s="8" t="s">
        <v>23348</v>
      </c>
      <c r="K3621" s="8" t="s">
        <v>23349</v>
      </c>
      <c r="L3621" s="8"/>
      <c r="M3621" s="24" t="s">
        <v>23350</v>
      </c>
      <c r="N3621" s="12"/>
      <c r="O3621" s="12"/>
      <c r="P3621" s="13">
        <f>IFERROR(__xludf.DUMMYFUNCTION("VALUE(SUBSTITUTE((INDEX(SPLIT(A3621,"",""),1)),""."","","",1))"),54.950154)</f>
        <v>54.950154</v>
      </c>
      <c r="Q3621" s="13">
        <f>IFERROR(__xludf.DUMMYFUNCTION("VALUE(SUBSTITUTE((INDEX(SPLIT(A3621,"",""),2)),""."","","",1))"),55.768419)</f>
        <v>55.768419</v>
      </c>
      <c r="R3621" s="14" t="b">
        <f t="shared" si="1"/>
        <v>0</v>
      </c>
      <c r="S3621" s="14" t="str">
        <f t="shared" si="2"/>
        <v>54.950154,55.768419</v>
      </c>
      <c r="T3621" s="12"/>
    </row>
    <row r="3622">
      <c r="A3622" s="15" t="s">
        <v>23351</v>
      </c>
      <c r="B3622" s="16" t="s">
        <v>23352</v>
      </c>
      <c r="C3622" s="16" t="s">
        <v>23353</v>
      </c>
      <c r="D3622" s="16" t="s">
        <v>16</v>
      </c>
      <c r="E3622" s="17" t="s">
        <v>23354</v>
      </c>
      <c r="F3622" s="16" t="s">
        <v>23165</v>
      </c>
      <c r="G3622" s="16">
        <v>23.61</v>
      </c>
      <c r="H3622" s="16"/>
      <c r="I3622" s="16"/>
      <c r="J3622" s="16" t="s">
        <v>23355</v>
      </c>
      <c r="K3622" s="16" t="s">
        <v>23356</v>
      </c>
      <c r="L3622" s="16"/>
      <c r="M3622" s="16"/>
      <c r="N3622" s="12"/>
      <c r="O3622" s="12"/>
      <c r="P3622" s="13">
        <f>IFERROR(__xludf.DUMMYFUNCTION("VALUE(SUBSTITUTE((INDEX(SPLIT(A3622,"",""),1)),""."","","",1))"),55.787827)</f>
        <v>55.787827</v>
      </c>
      <c r="Q3622" s="13">
        <f>IFERROR(__xludf.DUMMYFUNCTION("VALUE(SUBSTITUTE((INDEX(SPLIT(A3622,"",""),2)),""."","","",1))"),37.630858)</f>
        <v>37.630858</v>
      </c>
      <c r="R3622" s="14" t="b">
        <f t="shared" si="1"/>
        <v>0</v>
      </c>
      <c r="S3622" s="14" t="str">
        <f t="shared" si="2"/>
        <v>55.787827,37.630858</v>
      </c>
      <c r="T3622" s="12"/>
    </row>
    <row r="3623">
      <c r="A3623" s="7" t="s">
        <v>23357</v>
      </c>
      <c r="B3623" s="8" t="s">
        <v>23358</v>
      </c>
      <c r="C3623" s="8" t="s">
        <v>23359</v>
      </c>
      <c r="D3623" s="8" t="s">
        <v>16</v>
      </c>
      <c r="E3623" s="9" t="s">
        <v>23360</v>
      </c>
      <c r="F3623" s="10" t="s">
        <v>9563</v>
      </c>
      <c r="G3623" s="8">
        <v>23.61</v>
      </c>
      <c r="H3623" s="8"/>
      <c r="I3623" s="10"/>
      <c r="J3623" s="10" t="s">
        <v>23361</v>
      </c>
      <c r="K3623" s="10" t="s">
        <v>23362</v>
      </c>
      <c r="L3623" s="11" t="s">
        <v>23363</v>
      </c>
      <c r="M3623" s="10"/>
      <c r="N3623" s="12"/>
      <c r="O3623" s="12"/>
      <c r="P3623" s="13">
        <f>IFERROR(__xludf.DUMMYFUNCTION("VALUE(SUBSTITUTE((INDEX(SPLIT(A3623,"",""),1)),""."","","",1))"),54.687697)</f>
        <v>54.687697</v>
      </c>
      <c r="Q3623" s="13">
        <f>IFERROR(__xludf.DUMMYFUNCTION("VALUE(SUBSTITUTE((INDEX(SPLIT(A3623,"",""),2)),""."","","",1))"),55.799312)</f>
        <v>55.799312</v>
      </c>
      <c r="R3623" s="14" t="b">
        <f t="shared" si="1"/>
        <v>0</v>
      </c>
      <c r="S3623" s="14" t="str">
        <f t="shared" si="2"/>
        <v>54.687697,55.799312</v>
      </c>
      <c r="T3623" s="12"/>
    </row>
    <row r="3624">
      <c r="A3624" s="15" t="s">
        <v>23364</v>
      </c>
      <c r="B3624" s="16" t="s">
        <v>23365</v>
      </c>
      <c r="C3624" s="16" t="s">
        <v>23366</v>
      </c>
      <c r="D3624" s="16" t="s">
        <v>16</v>
      </c>
      <c r="E3624" s="17" t="s">
        <v>23367</v>
      </c>
      <c r="F3624" s="16" t="s">
        <v>23165</v>
      </c>
      <c r="G3624" s="16">
        <v>23.61</v>
      </c>
      <c r="H3624" s="16"/>
      <c r="I3624" s="16"/>
      <c r="J3624" s="16" t="s">
        <v>23368</v>
      </c>
      <c r="K3624" s="16" t="s">
        <v>23369</v>
      </c>
      <c r="L3624" s="16"/>
      <c r="M3624" s="16"/>
      <c r="N3624" s="12"/>
      <c r="O3624" s="12"/>
      <c r="P3624" s="13">
        <f>IFERROR(__xludf.DUMMYFUNCTION("VALUE(SUBSTITUTE((INDEX(SPLIT(A3624,"",""),1)),""."","","",1))"),54.684694)</f>
        <v>54.684694</v>
      </c>
      <c r="Q3624" s="13">
        <f>IFERROR(__xludf.DUMMYFUNCTION("VALUE(SUBSTITUTE((INDEX(SPLIT(A3624,"",""),2)),""."","","",1))"),55.801962)</f>
        <v>55.801962</v>
      </c>
      <c r="R3624" s="14" t="b">
        <f t="shared" si="1"/>
        <v>0</v>
      </c>
      <c r="S3624" s="14" t="str">
        <f t="shared" si="2"/>
        <v>54.684694,55.801962</v>
      </c>
      <c r="T3624" s="12"/>
    </row>
    <row r="3625">
      <c r="A3625" s="7" t="s">
        <v>23370</v>
      </c>
      <c r="B3625" s="8" t="s">
        <v>23371</v>
      </c>
      <c r="C3625" s="8" t="s">
        <v>23372</v>
      </c>
      <c r="D3625" s="8" t="s">
        <v>16</v>
      </c>
      <c r="E3625" s="9" t="s">
        <v>23373</v>
      </c>
      <c r="F3625" s="10" t="s">
        <v>23165</v>
      </c>
      <c r="G3625" s="8">
        <v>23.61</v>
      </c>
      <c r="H3625" s="8"/>
      <c r="I3625" s="10"/>
      <c r="J3625" s="10" t="s">
        <v>23374</v>
      </c>
      <c r="K3625" s="10" t="s">
        <v>23375</v>
      </c>
      <c r="L3625" s="11" t="s">
        <v>23376</v>
      </c>
      <c r="M3625" s="10"/>
      <c r="N3625" s="12"/>
      <c r="O3625" s="12"/>
      <c r="P3625" s="13">
        <f>IFERROR(__xludf.DUMMYFUNCTION("VALUE(SUBSTITUTE((INDEX(SPLIT(A3625,"",""),1)),""."","","",1))"),52.765002)</f>
        <v>52.765002</v>
      </c>
      <c r="Q3625" s="13">
        <f>IFERROR(__xludf.DUMMYFUNCTION("VALUE(SUBSTITUTE((INDEX(SPLIT(A3625,"",""),2)),""."","","",1))"),55.817332)</f>
        <v>55.817332</v>
      </c>
      <c r="R3625" s="14" t="b">
        <f t="shared" si="1"/>
        <v>0</v>
      </c>
      <c r="S3625" s="14" t="str">
        <f t="shared" si="2"/>
        <v>52.765002,55.817332</v>
      </c>
      <c r="T3625" s="12"/>
    </row>
    <row r="3626">
      <c r="A3626" s="20" t="s">
        <v>23377</v>
      </c>
      <c r="B3626" s="16" t="s">
        <v>23378</v>
      </c>
      <c r="C3626" s="16" t="s">
        <v>23379</v>
      </c>
      <c r="D3626" s="16" t="s">
        <v>16</v>
      </c>
      <c r="E3626" s="21" t="s">
        <v>23380</v>
      </c>
      <c r="F3626" s="22" t="s">
        <v>7052</v>
      </c>
      <c r="G3626" s="16">
        <v>23.61</v>
      </c>
      <c r="H3626" s="16"/>
      <c r="I3626" s="28" t="s">
        <v>23381</v>
      </c>
      <c r="J3626" s="22" t="s">
        <v>23382</v>
      </c>
      <c r="K3626" s="22" t="s">
        <v>23383</v>
      </c>
      <c r="L3626" s="23" t="s">
        <v>23384</v>
      </c>
      <c r="M3626" s="23" t="s">
        <v>23385</v>
      </c>
      <c r="N3626" s="12"/>
      <c r="O3626" s="12"/>
      <c r="P3626" s="13">
        <f>IFERROR(__xludf.DUMMYFUNCTION("VALUE(SUBSTITUTE((INDEX(SPLIT(A3626,"",""),1)),""."","","",1))"),54.706219)</f>
        <v>54.706219</v>
      </c>
      <c r="Q3626" s="13">
        <f>IFERROR(__xludf.DUMMYFUNCTION("VALUE(SUBSTITUTE((INDEX(SPLIT(A3626,"",""),2)),""."","","",1))"),55.826288)</f>
        <v>55.826288</v>
      </c>
      <c r="R3626" s="14" t="b">
        <f t="shared" si="1"/>
        <v>0</v>
      </c>
      <c r="S3626" s="14" t="str">
        <f t="shared" si="2"/>
        <v>54.706219,55.826288</v>
      </c>
      <c r="T3626" s="12"/>
    </row>
    <row r="3627">
      <c r="A3627" s="7" t="s">
        <v>23386</v>
      </c>
      <c r="B3627" s="8" t="s">
        <v>23387</v>
      </c>
      <c r="C3627" s="8" t="s">
        <v>23388</v>
      </c>
      <c r="D3627" s="8" t="s">
        <v>16</v>
      </c>
      <c r="E3627" s="9" t="s">
        <v>23389</v>
      </c>
      <c r="F3627" s="10" t="s">
        <v>23165</v>
      </c>
      <c r="G3627" s="8">
        <v>23.61</v>
      </c>
      <c r="H3627" s="8"/>
      <c r="I3627" s="10"/>
      <c r="J3627" s="10" t="s">
        <v>23390</v>
      </c>
      <c r="K3627" s="10" t="s">
        <v>23391</v>
      </c>
      <c r="L3627" s="11" t="s">
        <v>23392</v>
      </c>
      <c r="M3627" s="10"/>
      <c r="N3627" s="12"/>
      <c r="O3627" s="12"/>
      <c r="P3627" s="13">
        <f>IFERROR(__xludf.DUMMYFUNCTION("VALUE(SUBSTITUTE((INDEX(SPLIT(A3627,"",""),1)),""."","","",1))"),54.609604)</f>
        <v>54.609604</v>
      </c>
      <c r="Q3627" s="13">
        <f>IFERROR(__xludf.DUMMYFUNCTION("VALUE(SUBSTITUTE((INDEX(SPLIT(A3627,"",""),2)),""."","","",1))"),55.841865)</f>
        <v>55.841865</v>
      </c>
      <c r="R3627" s="14" t="b">
        <f t="shared" si="1"/>
        <v>0</v>
      </c>
      <c r="S3627" s="14" t="str">
        <f t="shared" si="2"/>
        <v>54.609604,55.841865</v>
      </c>
      <c r="T3627" s="12"/>
    </row>
    <row r="3628">
      <c r="A3628" s="15" t="s">
        <v>23393</v>
      </c>
      <c r="B3628" s="16" t="s">
        <v>23394</v>
      </c>
      <c r="C3628" s="16" t="s">
        <v>23395</v>
      </c>
      <c r="D3628" s="16" t="s">
        <v>16</v>
      </c>
      <c r="E3628" s="17" t="s">
        <v>23396</v>
      </c>
      <c r="F3628" s="16" t="s">
        <v>10183</v>
      </c>
      <c r="G3628" s="16">
        <v>23.61</v>
      </c>
      <c r="H3628" s="16"/>
      <c r="I3628" s="16"/>
      <c r="J3628" s="16" t="s">
        <v>23397</v>
      </c>
      <c r="K3628" s="16" t="s">
        <v>23398</v>
      </c>
      <c r="L3628" s="16"/>
      <c r="M3628" s="25" t="s">
        <v>23399</v>
      </c>
      <c r="N3628" s="12"/>
      <c r="O3628" s="12"/>
      <c r="P3628" s="13">
        <f>IFERROR(__xludf.DUMMYFUNCTION("VALUE(SUBSTITUTE((INDEX(SPLIT(A3628,"",""),1)),""."","","",1))"),54.793729)</f>
        <v>54.793729</v>
      </c>
      <c r="Q3628" s="13">
        <f>IFERROR(__xludf.DUMMYFUNCTION("VALUE(SUBSTITUTE((INDEX(SPLIT(A3628,"",""),2)),""."","","",1))"),55.86629)</f>
        <v>55.86629</v>
      </c>
      <c r="R3628" s="14" t="b">
        <f t="shared" si="1"/>
        <v>0</v>
      </c>
      <c r="S3628" s="14" t="str">
        <f t="shared" si="2"/>
        <v>54.793729,55.86629</v>
      </c>
      <c r="T3628" s="12"/>
    </row>
    <row r="3629">
      <c r="A3629" s="7" t="s">
        <v>23400</v>
      </c>
      <c r="B3629" s="8" t="s">
        <v>23401</v>
      </c>
      <c r="C3629" s="8" t="s">
        <v>23402</v>
      </c>
      <c r="D3629" s="8" t="s">
        <v>16</v>
      </c>
      <c r="E3629" s="9" t="s">
        <v>23403</v>
      </c>
      <c r="F3629" s="10" t="s">
        <v>23165</v>
      </c>
      <c r="G3629" s="8">
        <v>23.61</v>
      </c>
      <c r="H3629" s="8"/>
      <c r="I3629" s="10"/>
      <c r="J3629" s="10" t="s">
        <v>23404</v>
      </c>
      <c r="K3629" s="10" t="s">
        <v>23405</v>
      </c>
      <c r="L3629" s="11" t="s">
        <v>23406</v>
      </c>
      <c r="M3629" s="10"/>
      <c r="N3629" s="12"/>
      <c r="O3629" s="12"/>
      <c r="P3629" s="13">
        <f>IFERROR(__xludf.DUMMYFUNCTION("VALUE(SUBSTITUTE((INDEX(SPLIT(A3629,"",""),1)),""."","","",1))"),55.875157)</f>
        <v>55.875157</v>
      </c>
      <c r="Q3629" s="13">
        <f>IFERROR(__xludf.DUMMYFUNCTION("VALUE(SUBSTITUTE((INDEX(SPLIT(A3629,"",""),2)),""."","","",1))"),37.676259)</f>
        <v>37.676259</v>
      </c>
      <c r="R3629" s="14" t="b">
        <f t="shared" si="1"/>
        <v>0</v>
      </c>
      <c r="S3629" s="14" t="str">
        <f t="shared" si="2"/>
        <v>55.875157,37.676259</v>
      </c>
      <c r="T3629" s="12"/>
    </row>
    <row r="3630">
      <c r="A3630" s="15" t="s">
        <v>23407</v>
      </c>
      <c r="B3630" s="16" t="s">
        <v>23408</v>
      </c>
      <c r="C3630" s="16" t="s">
        <v>23409</v>
      </c>
      <c r="D3630" s="16" t="s">
        <v>16</v>
      </c>
      <c r="E3630" s="17" t="s">
        <v>23410</v>
      </c>
      <c r="F3630" s="16" t="s">
        <v>58</v>
      </c>
      <c r="G3630" s="16">
        <v>23.61</v>
      </c>
      <c r="H3630" s="16"/>
      <c r="I3630" s="16"/>
      <c r="J3630" s="16" t="s">
        <v>23411</v>
      </c>
      <c r="K3630" s="16" t="s">
        <v>23412</v>
      </c>
      <c r="L3630" s="16"/>
      <c r="M3630" s="16"/>
      <c r="N3630" s="12"/>
      <c r="O3630" s="12"/>
      <c r="P3630" s="13">
        <f>IFERROR(__xludf.DUMMYFUNCTION("VALUE(SUBSTITUTE((INDEX(SPLIT(A3630,"",""),1)),""."","","",1))"),53.577385)</f>
        <v>53.577385</v>
      </c>
      <c r="Q3630" s="13">
        <f>IFERROR(__xludf.DUMMYFUNCTION("VALUE(SUBSTITUTE((INDEX(SPLIT(A3630,"",""),2)),""."","","",1))"),55.879011)</f>
        <v>55.879011</v>
      </c>
      <c r="R3630" s="14" t="b">
        <f t="shared" si="1"/>
        <v>0</v>
      </c>
      <c r="S3630" s="14" t="str">
        <f t="shared" si="2"/>
        <v>53.577385,55.879011</v>
      </c>
      <c r="T3630" s="12"/>
    </row>
    <row r="3631">
      <c r="A3631" s="18" t="s">
        <v>23413</v>
      </c>
      <c r="B3631" s="8" t="s">
        <v>23414</v>
      </c>
      <c r="C3631" s="8" t="s">
        <v>23415</v>
      </c>
      <c r="D3631" s="8" t="s">
        <v>16</v>
      </c>
      <c r="E3631" s="19" t="s">
        <v>23416</v>
      </c>
      <c r="F3631" s="8" t="s">
        <v>23165</v>
      </c>
      <c r="G3631" s="8">
        <v>23.61</v>
      </c>
      <c r="H3631" s="8"/>
      <c r="I3631" s="8"/>
      <c r="J3631" s="8" t="s">
        <v>23417</v>
      </c>
      <c r="K3631" s="8" t="s">
        <v>23418</v>
      </c>
      <c r="L3631" s="8"/>
      <c r="M3631" s="8"/>
      <c r="N3631" s="12"/>
      <c r="O3631" s="12"/>
      <c r="P3631" s="13">
        <f>IFERROR(__xludf.DUMMYFUNCTION("VALUE(SUBSTITUTE((INDEX(SPLIT(A3631,"",""),1)),""."","","",1))"),55.881187)</f>
        <v>55.881187</v>
      </c>
      <c r="Q3631" s="13">
        <f>IFERROR(__xludf.DUMMYFUNCTION("VALUE(SUBSTITUTE((INDEX(SPLIT(A3631,"",""),2)),""."","","",1))"),36.56755)</f>
        <v>36.56755</v>
      </c>
      <c r="R3631" s="14" t="b">
        <f t="shared" si="1"/>
        <v>0</v>
      </c>
      <c r="S3631" s="14" t="str">
        <f t="shared" si="2"/>
        <v>55.881187,36.56755</v>
      </c>
      <c r="T3631" s="12"/>
    </row>
    <row r="3632">
      <c r="A3632" s="15" t="s">
        <v>23419</v>
      </c>
      <c r="B3632" s="16" t="s">
        <v>23420</v>
      </c>
      <c r="C3632" s="16" t="s">
        <v>23421</v>
      </c>
      <c r="D3632" s="16" t="s">
        <v>16</v>
      </c>
      <c r="E3632" s="17" t="s">
        <v>23422</v>
      </c>
      <c r="F3632" s="16" t="s">
        <v>10183</v>
      </c>
      <c r="G3632" s="16">
        <v>23.61</v>
      </c>
      <c r="H3632" s="16"/>
      <c r="I3632" s="16"/>
      <c r="J3632" s="16" t="s">
        <v>23423</v>
      </c>
      <c r="K3632" s="16" t="s">
        <v>23424</v>
      </c>
      <c r="L3632" s="16"/>
      <c r="M3632" s="16"/>
      <c r="N3632" s="12"/>
      <c r="O3632" s="12"/>
      <c r="P3632" s="13">
        <f>IFERROR(__xludf.DUMMYFUNCTION("VALUE(SUBSTITUTE((INDEX(SPLIT(A3632,"",""),1)),""."","","",1))"),54.789711)</f>
        <v>54.789711</v>
      </c>
      <c r="Q3632" s="13">
        <f>IFERROR(__xludf.DUMMYFUNCTION("VALUE(SUBSTITUTE((INDEX(SPLIT(A3632,"",""),2)),""."","","",1))"),55.886727)</f>
        <v>55.886727</v>
      </c>
      <c r="R3632" s="14" t="b">
        <f t="shared" si="1"/>
        <v>0</v>
      </c>
      <c r="S3632" s="14" t="str">
        <f t="shared" si="2"/>
        <v>54.789711,55.886727</v>
      </c>
      <c r="T3632" s="12"/>
    </row>
    <row r="3633">
      <c r="A3633" s="18" t="s">
        <v>23425</v>
      </c>
      <c r="B3633" s="8" t="s">
        <v>23426</v>
      </c>
      <c r="C3633" s="8" t="s">
        <v>23427</v>
      </c>
      <c r="D3633" s="8" t="s">
        <v>16</v>
      </c>
      <c r="E3633" s="19" t="s">
        <v>23428</v>
      </c>
      <c r="F3633" s="8" t="s">
        <v>58</v>
      </c>
      <c r="G3633" s="8">
        <v>23.61</v>
      </c>
      <c r="H3633" s="8"/>
      <c r="I3633" s="8"/>
      <c r="J3633" s="8" t="s">
        <v>23429</v>
      </c>
      <c r="K3633" s="8" t="s">
        <v>609</v>
      </c>
      <c r="L3633" s="8"/>
      <c r="M3633" s="8"/>
      <c r="N3633" s="12"/>
      <c r="O3633" s="12"/>
      <c r="P3633" s="13">
        <f>IFERROR(__xludf.DUMMYFUNCTION("VALUE(SUBSTITUTE((INDEX(SPLIT(A3633,"",""),1)),""."","","",1))"),53.622654)</f>
        <v>53.622654</v>
      </c>
      <c r="Q3633" s="13">
        <f>IFERROR(__xludf.DUMMYFUNCTION("VALUE(SUBSTITUTE((INDEX(SPLIT(A3633,"",""),2)),""."","","",1))"),55.898199)</f>
        <v>55.898199</v>
      </c>
      <c r="R3633" s="14" t="b">
        <f t="shared" si="1"/>
        <v>0</v>
      </c>
      <c r="S3633" s="14" t="str">
        <f t="shared" si="2"/>
        <v>53.622654,55.898199</v>
      </c>
      <c r="T3633" s="12"/>
    </row>
    <row r="3634">
      <c r="A3634" s="15" t="s">
        <v>23430</v>
      </c>
      <c r="B3634" s="16" t="s">
        <v>23431</v>
      </c>
      <c r="C3634" s="16" t="s">
        <v>23432</v>
      </c>
      <c r="D3634" s="16" t="s">
        <v>16</v>
      </c>
      <c r="E3634" s="17" t="s">
        <v>23433</v>
      </c>
      <c r="F3634" s="16" t="s">
        <v>58</v>
      </c>
      <c r="G3634" s="16">
        <v>23.61</v>
      </c>
      <c r="H3634" s="16"/>
      <c r="I3634" s="16"/>
      <c r="J3634" s="16" t="s">
        <v>23434</v>
      </c>
      <c r="K3634" s="16" t="s">
        <v>23435</v>
      </c>
      <c r="L3634" s="16"/>
      <c r="M3634" s="16"/>
      <c r="N3634" s="12"/>
      <c r="O3634" s="12"/>
      <c r="P3634" s="13">
        <f>IFERROR(__xludf.DUMMYFUNCTION("VALUE(SUBSTITUTE((INDEX(SPLIT(A3634,"",""),1)),""."","","",1))"),54.577905)</f>
        <v>54.577905</v>
      </c>
      <c r="Q3634" s="13">
        <f>IFERROR(__xludf.DUMMYFUNCTION("VALUE(SUBSTITUTE((INDEX(SPLIT(A3634,"",""),2)),""."","","",1))"),55.902097)</f>
        <v>55.902097</v>
      </c>
      <c r="R3634" s="14" t="b">
        <f t="shared" si="1"/>
        <v>0</v>
      </c>
      <c r="S3634" s="14" t="str">
        <f t="shared" si="2"/>
        <v>54.577905,55.902097</v>
      </c>
      <c r="T3634" s="12"/>
    </row>
    <row r="3635">
      <c r="A3635" s="18" t="s">
        <v>23436</v>
      </c>
      <c r="B3635" s="8" t="s">
        <v>19862</v>
      </c>
      <c r="C3635" s="8" t="s">
        <v>19863</v>
      </c>
      <c r="D3635" s="8" t="s">
        <v>16</v>
      </c>
      <c r="E3635" s="19" t="s">
        <v>23437</v>
      </c>
      <c r="F3635" s="8" t="s">
        <v>10183</v>
      </c>
      <c r="G3635" s="8">
        <v>23.61</v>
      </c>
      <c r="H3635" s="8"/>
      <c r="I3635" s="8"/>
      <c r="J3635" s="8" t="s">
        <v>23438</v>
      </c>
      <c r="K3635" s="8" t="s">
        <v>23439</v>
      </c>
      <c r="L3635" s="8"/>
      <c r="M3635" s="8"/>
      <c r="N3635" s="12"/>
      <c r="O3635" s="12"/>
      <c r="P3635" s="13">
        <f>IFERROR(__xludf.DUMMYFUNCTION("VALUE(SUBSTITUTE((INDEX(SPLIT(A3635,"",""),1)),""."","","",1))"),54.751653)</f>
        <v>54.751653</v>
      </c>
      <c r="Q3635" s="13">
        <f>IFERROR(__xludf.DUMMYFUNCTION("VALUE(SUBSTITUTE((INDEX(SPLIT(A3635,"",""),2)),""."","","",1))"),55.905089)</f>
        <v>55.905089</v>
      </c>
      <c r="R3635" s="14" t="b">
        <f t="shared" si="1"/>
        <v>0</v>
      </c>
      <c r="S3635" s="14" t="str">
        <f t="shared" si="2"/>
        <v>54.751653,55.905089</v>
      </c>
      <c r="T3635" s="12"/>
    </row>
    <row r="3636">
      <c r="A3636" s="15" t="s">
        <v>23440</v>
      </c>
      <c r="B3636" s="16" t="s">
        <v>23441</v>
      </c>
      <c r="C3636" s="16" t="s">
        <v>23442</v>
      </c>
      <c r="D3636" s="16" t="s">
        <v>16</v>
      </c>
      <c r="E3636" s="17" t="s">
        <v>23443</v>
      </c>
      <c r="F3636" s="16" t="s">
        <v>58</v>
      </c>
      <c r="G3636" s="16">
        <v>23.61</v>
      </c>
      <c r="H3636" s="16"/>
      <c r="I3636" s="16"/>
      <c r="J3636" s="16" t="s">
        <v>23444</v>
      </c>
      <c r="K3636" s="16" t="s">
        <v>23445</v>
      </c>
      <c r="L3636" s="16"/>
      <c r="M3636" s="16"/>
      <c r="N3636" s="12"/>
      <c r="O3636" s="12"/>
      <c r="P3636" s="13">
        <f>IFERROR(__xludf.DUMMYFUNCTION("VALUE(SUBSTITUTE((INDEX(SPLIT(A3636,"",""),1)),""."","","",1))"),54.000627)</f>
        <v>54.000627</v>
      </c>
      <c r="Q3636" s="13">
        <f>IFERROR(__xludf.DUMMYFUNCTION("VALUE(SUBSTITUTE((INDEX(SPLIT(A3636,"",""),2)),""."","","",1))"),55.905511)</f>
        <v>55.905511</v>
      </c>
      <c r="R3636" s="14" t="b">
        <f t="shared" si="1"/>
        <v>0</v>
      </c>
      <c r="S3636" s="14" t="str">
        <f t="shared" si="2"/>
        <v>54.000627,55.905511</v>
      </c>
      <c r="T3636" s="12"/>
    </row>
    <row r="3637">
      <c r="A3637" s="18" t="s">
        <v>23446</v>
      </c>
      <c r="B3637" s="8" t="s">
        <v>789</v>
      </c>
      <c r="C3637" s="8" t="s">
        <v>790</v>
      </c>
      <c r="D3637" s="8" t="s">
        <v>16</v>
      </c>
      <c r="E3637" s="19" t="s">
        <v>23447</v>
      </c>
      <c r="F3637" s="8" t="s">
        <v>23165</v>
      </c>
      <c r="G3637" s="8">
        <v>23.61</v>
      </c>
      <c r="H3637" s="8"/>
      <c r="I3637" s="8"/>
      <c r="J3637" s="8" t="s">
        <v>23448</v>
      </c>
      <c r="K3637" s="8" t="s">
        <v>23449</v>
      </c>
      <c r="L3637" s="8"/>
      <c r="M3637" s="8"/>
      <c r="N3637" s="12"/>
      <c r="O3637" s="12"/>
      <c r="P3637" s="13">
        <f>IFERROR(__xludf.DUMMYFUNCTION("VALUE(SUBSTITUTE((INDEX(SPLIT(A3637,"",""),1)),""."","","",1))"),52.952134)</f>
        <v>52.952134</v>
      </c>
      <c r="Q3637" s="13">
        <f>IFERROR(__xludf.DUMMYFUNCTION("VALUE(SUBSTITUTE((INDEX(SPLIT(A3637,"",""),2)),""."","","",1))"),55.906176)</f>
        <v>55.906176</v>
      </c>
      <c r="R3637" s="14" t="b">
        <f t="shared" si="1"/>
        <v>0</v>
      </c>
      <c r="S3637" s="14" t="str">
        <f t="shared" si="2"/>
        <v>52.952134,55.906176</v>
      </c>
      <c r="T3637" s="12"/>
    </row>
    <row r="3638">
      <c r="A3638" s="15" t="s">
        <v>23450</v>
      </c>
      <c r="B3638" s="16" t="s">
        <v>23451</v>
      </c>
      <c r="C3638" s="16" t="s">
        <v>23452</v>
      </c>
      <c r="D3638" s="16" t="s">
        <v>16</v>
      </c>
      <c r="E3638" s="17" t="s">
        <v>23453</v>
      </c>
      <c r="F3638" s="16" t="s">
        <v>10183</v>
      </c>
      <c r="G3638" s="16">
        <v>23.61</v>
      </c>
      <c r="H3638" s="16"/>
      <c r="I3638" s="16"/>
      <c r="J3638" s="16" t="s">
        <v>23454</v>
      </c>
      <c r="K3638" s="16" t="s">
        <v>23455</v>
      </c>
      <c r="L3638" s="16"/>
      <c r="M3638" s="16"/>
      <c r="N3638" s="12"/>
      <c r="O3638" s="12"/>
      <c r="P3638" s="13">
        <f>IFERROR(__xludf.DUMMYFUNCTION("VALUE(SUBSTITUTE((INDEX(SPLIT(A3638,"",""),1)),""."","","",1))"),52.939632)</f>
        <v>52.939632</v>
      </c>
      <c r="Q3638" s="13">
        <f>IFERROR(__xludf.DUMMYFUNCTION("VALUE(SUBSTITUTE((INDEX(SPLIT(A3638,"",""),2)),""."","","",1))"),55.911583)</f>
        <v>55.911583</v>
      </c>
      <c r="R3638" s="14" t="b">
        <f t="shared" si="1"/>
        <v>0</v>
      </c>
      <c r="S3638" s="14" t="str">
        <f t="shared" si="2"/>
        <v>52.939632,55.911583</v>
      </c>
      <c r="T3638" s="12"/>
    </row>
    <row r="3639">
      <c r="A3639" s="18" t="s">
        <v>23456</v>
      </c>
      <c r="B3639" s="8" t="s">
        <v>743</v>
      </c>
      <c r="C3639" s="8" t="s">
        <v>744</v>
      </c>
      <c r="D3639" s="8" t="s">
        <v>16</v>
      </c>
      <c r="E3639" s="19" t="s">
        <v>23457</v>
      </c>
      <c r="F3639" s="8" t="s">
        <v>10183</v>
      </c>
      <c r="G3639" s="8">
        <v>23.61</v>
      </c>
      <c r="H3639" s="8"/>
      <c r="I3639" s="8"/>
      <c r="J3639" s="8" t="s">
        <v>23458</v>
      </c>
      <c r="K3639" s="8" t="s">
        <v>23459</v>
      </c>
      <c r="L3639" s="8"/>
      <c r="M3639" s="8"/>
      <c r="N3639" s="12"/>
      <c r="O3639" s="12"/>
      <c r="P3639" s="13">
        <f>IFERROR(__xludf.DUMMYFUNCTION("VALUE(SUBSTITUTE((INDEX(SPLIT(A3639,"",""),1)),""."","","",1))"),53.635203)</f>
        <v>53.635203</v>
      </c>
      <c r="Q3639" s="13">
        <f>IFERROR(__xludf.DUMMYFUNCTION("VALUE(SUBSTITUTE((INDEX(SPLIT(A3639,"",""),2)),""."","","",1))"),55.911682)</f>
        <v>55.911682</v>
      </c>
      <c r="R3639" s="14" t="b">
        <f t="shared" si="1"/>
        <v>0</v>
      </c>
      <c r="S3639" s="14" t="str">
        <f t="shared" si="2"/>
        <v>53.635203,55.911682</v>
      </c>
      <c r="T3639" s="12"/>
    </row>
    <row r="3640">
      <c r="A3640" s="15" t="s">
        <v>23460</v>
      </c>
      <c r="B3640" s="16" t="s">
        <v>23461</v>
      </c>
      <c r="C3640" s="16" t="s">
        <v>23462</v>
      </c>
      <c r="D3640" s="16" t="s">
        <v>16</v>
      </c>
      <c r="E3640" s="17" t="s">
        <v>23463</v>
      </c>
      <c r="F3640" s="16" t="s">
        <v>23165</v>
      </c>
      <c r="G3640" s="16">
        <v>23.61</v>
      </c>
      <c r="H3640" s="16"/>
      <c r="I3640" s="32" t="s">
        <v>23464</v>
      </c>
      <c r="J3640" s="16" t="s">
        <v>23465</v>
      </c>
      <c r="K3640" s="16" t="s">
        <v>23466</v>
      </c>
      <c r="L3640" s="16"/>
      <c r="M3640" s="25" t="s">
        <v>23467</v>
      </c>
      <c r="N3640" s="12"/>
      <c r="O3640" s="12"/>
      <c r="P3640" s="13">
        <f>IFERROR(__xludf.DUMMYFUNCTION("VALUE(SUBSTITUTE((INDEX(SPLIT(A3640,"",""),1)),""."","","",1))"),54.748353)</f>
        <v>54.748353</v>
      </c>
      <c r="Q3640" s="13">
        <f>IFERROR(__xludf.DUMMYFUNCTION("VALUE(SUBSTITUTE((INDEX(SPLIT(A3640,"",""),2)),""."","","",1))"),55.917485)</f>
        <v>55.917485</v>
      </c>
      <c r="R3640" s="14" t="b">
        <f t="shared" si="1"/>
        <v>0</v>
      </c>
      <c r="S3640" s="14" t="str">
        <f t="shared" si="2"/>
        <v>54.748353,55.917485</v>
      </c>
      <c r="T3640" s="12"/>
    </row>
    <row r="3641">
      <c r="A3641" s="18" t="s">
        <v>23468</v>
      </c>
      <c r="B3641" s="8" t="s">
        <v>10970</v>
      </c>
      <c r="C3641" s="8" t="s">
        <v>10971</v>
      </c>
      <c r="D3641" s="8" t="s">
        <v>16</v>
      </c>
      <c r="E3641" s="19" t="s">
        <v>23469</v>
      </c>
      <c r="F3641" s="8" t="s">
        <v>21049</v>
      </c>
      <c r="G3641" s="8">
        <v>23.61</v>
      </c>
      <c r="H3641" s="8"/>
      <c r="I3641" s="8"/>
      <c r="J3641" s="8" t="s">
        <v>23470</v>
      </c>
      <c r="K3641" s="8" t="s">
        <v>22208</v>
      </c>
      <c r="L3641" s="8"/>
      <c r="M3641" s="24" t="s">
        <v>23471</v>
      </c>
      <c r="N3641" s="12"/>
      <c r="O3641" s="12"/>
      <c r="P3641" s="13">
        <f>IFERROR(__xludf.DUMMYFUNCTION("VALUE(SUBSTITUTE((INDEX(SPLIT(A3641,"",""),1)),""."","","",1))"),54.596389)</f>
        <v>54.596389</v>
      </c>
      <c r="Q3641" s="13">
        <f>IFERROR(__xludf.DUMMYFUNCTION("VALUE(SUBSTITUTE((INDEX(SPLIT(A3641,"",""),2)),""."","","",1))"),55.922669)</f>
        <v>55.922669</v>
      </c>
      <c r="R3641" s="14" t="b">
        <f t="shared" si="1"/>
        <v>0</v>
      </c>
      <c r="S3641" s="14" t="str">
        <f t="shared" si="2"/>
        <v>54.596389,55.922669</v>
      </c>
      <c r="T3641" s="12"/>
    </row>
    <row r="3642">
      <c r="A3642" s="15" t="s">
        <v>23468</v>
      </c>
      <c r="B3642" s="16" t="s">
        <v>23472</v>
      </c>
      <c r="C3642" s="16" t="s">
        <v>23473</v>
      </c>
      <c r="D3642" s="16" t="s">
        <v>16</v>
      </c>
      <c r="E3642" s="17" t="s">
        <v>23474</v>
      </c>
      <c r="F3642" s="16" t="s">
        <v>15475</v>
      </c>
      <c r="G3642" s="16">
        <v>23.61</v>
      </c>
      <c r="H3642" s="16"/>
      <c r="I3642" s="16"/>
      <c r="J3642" s="16" t="s">
        <v>23475</v>
      </c>
      <c r="K3642" s="16" t="s">
        <v>23476</v>
      </c>
      <c r="L3642" s="16"/>
      <c r="M3642" s="16"/>
      <c r="N3642" s="12"/>
      <c r="O3642" s="12"/>
      <c r="P3642" s="13">
        <f>IFERROR(__xludf.DUMMYFUNCTION("VALUE(SUBSTITUTE((INDEX(SPLIT(A3642,"",""),1)),""."","","",1))"),54.596389)</f>
        <v>54.596389</v>
      </c>
      <c r="Q3642" s="13">
        <f>IFERROR(__xludf.DUMMYFUNCTION("VALUE(SUBSTITUTE((INDEX(SPLIT(A3642,"",""),2)),""."","","",1))"),55.922669)</f>
        <v>55.922669</v>
      </c>
      <c r="R3642" s="14" t="b">
        <f t="shared" si="1"/>
        <v>0</v>
      </c>
      <c r="S3642" s="14" t="str">
        <f t="shared" si="2"/>
        <v>54.596389,55.922669</v>
      </c>
      <c r="T3642" s="12"/>
    </row>
    <row r="3643">
      <c r="A3643" s="7" t="s">
        <v>23477</v>
      </c>
      <c r="B3643" s="8" t="s">
        <v>23478</v>
      </c>
      <c r="C3643" s="8" t="s">
        <v>23479</v>
      </c>
      <c r="D3643" s="8" t="s">
        <v>16</v>
      </c>
      <c r="E3643" s="9" t="s">
        <v>23480</v>
      </c>
      <c r="F3643" s="10" t="s">
        <v>23481</v>
      </c>
      <c r="G3643" s="8">
        <v>23.61</v>
      </c>
      <c r="H3643" s="8"/>
      <c r="I3643" s="10"/>
      <c r="J3643" s="10" t="s">
        <v>23482</v>
      </c>
      <c r="K3643" s="10" t="s">
        <v>23483</v>
      </c>
      <c r="L3643" s="11" t="s">
        <v>23484</v>
      </c>
      <c r="M3643" s="10"/>
      <c r="N3643" s="12"/>
      <c r="O3643" s="12"/>
      <c r="P3643" s="13">
        <f>IFERROR(__xludf.DUMMYFUNCTION("VALUE(SUBSTITUTE((INDEX(SPLIT(A3643,"",""),1)),""."","","",1))"),53.625282)</f>
        <v>53.625282</v>
      </c>
      <c r="Q3643" s="13">
        <f>IFERROR(__xludf.DUMMYFUNCTION("VALUE(SUBSTITUTE((INDEX(SPLIT(A3643,"",""),2)),""."","","",1))"),55.923836)</f>
        <v>55.923836</v>
      </c>
      <c r="R3643" s="14" t="b">
        <f t="shared" si="1"/>
        <v>0</v>
      </c>
      <c r="S3643" s="14" t="str">
        <f t="shared" si="2"/>
        <v>53.625282,55.923836</v>
      </c>
      <c r="T3643" s="12"/>
    </row>
    <row r="3644">
      <c r="A3644" s="20" t="s">
        <v>23485</v>
      </c>
      <c r="B3644" s="16" t="s">
        <v>22546</v>
      </c>
      <c r="C3644" s="16" t="s">
        <v>22547</v>
      </c>
      <c r="D3644" s="16" t="s">
        <v>16</v>
      </c>
      <c r="E3644" s="21" t="s">
        <v>23486</v>
      </c>
      <c r="F3644" s="22" t="s">
        <v>10183</v>
      </c>
      <c r="G3644" s="16">
        <v>23.61</v>
      </c>
      <c r="H3644" s="16"/>
      <c r="I3644" s="22"/>
      <c r="J3644" s="22" t="s">
        <v>23487</v>
      </c>
      <c r="K3644" s="22" t="s">
        <v>23488</v>
      </c>
      <c r="L3644" s="23" t="s">
        <v>23489</v>
      </c>
      <c r="M3644" s="22"/>
      <c r="N3644" s="12"/>
      <c r="O3644" s="12"/>
      <c r="P3644" s="13">
        <f>IFERROR(__xludf.DUMMYFUNCTION("VALUE(SUBSTITUTE((INDEX(SPLIT(A3644,"",""),1)),""."","","",1))"),53.403239)</f>
        <v>53.403239</v>
      </c>
      <c r="Q3644" s="13">
        <f>IFERROR(__xludf.DUMMYFUNCTION("VALUE(SUBSTITUTE((INDEX(SPLIT(A3644,"",""),2)),""."","","",1))"),55.926657)</f>
        <v>55.926657</v>
      </c>
      <c r="R3644" s="14" t="b">
        <f t="shared" si="1"/>
        <v>0</v>
      </c>
      <c r="S3644" s="14" t="str">
        <f t="shared" si="2"/>
        <v>53.403239,55.926657</v>
      </c>
      <c r="T3644" s="12"/>
    </row>
    <row r="3645">
      <c r="A3645" s="7" t="s">
        <v>23490</v>
      </c>
      <c r="B3645" s="8" t="s">
        <v>23491</v>
      </c>
      <c r="C3645" s="8" t="s">
        <v>23492</v>
      </c>
      <c r="D3645" s="8" t="s">
        <v>16</v>
      </c>
      <c r="E3645" s="9" t="s">
        <v>23493</v>
      </c>
      <c r="F3645" s="10" t="s">
        <v>10183</v>
      </c>
      <c r="G3645" s="8">
        <v>23.61</v>
      </c>
      <c r="H3645" s="8"/>
      <c r="I3645" s="10"/>
      <c r="J3645" s="10" t="s">
        <v>23494</v>
      </c>
      <c r="K3645" s="10" t="s">
        <v>23086</v>
      </c>
      <c r="L3645" s="11" t="s">
        <v>23495</v>
      </c>
      <c r="M3645" s="10"/>
      <c r="N3645" s="12"/>
      <c r="O3645" s="12"/>
      <c r="P3645" s="13">
        <f>IFERROR(__xludf.DUMMYFUNCTION("VALUE(SUBSTITUTE((INDEX(SPLIT(A3645,"",""),1)),""."","","",1))"),54.568406)</f>
        <v>54.568406</v>
      </c>
      <c r="Q3645" s="13">
        <f>IFERROR(__xludf.DUMMYFUNCTION("VALUE(SUBSTITUTE((INDEX(SPLIT(A3645,"",""),2)),""."","","",1))"),55.927726)</f>
        <v>55.927726</v>
      </c>
      <c r="R3645" s="14" t="b">
        <f t="shared" si="1"/>
        <v>0</v>
      </c>
      <c r="S3645" s="14" t="str">
        <f t="shared" si="2"/>
        <v>54.568406,55.927726</v>
      </c>
      <c r="T3645" s="12"/>
    </row>
    <row r="3646">
      <c r="A3646" s="20" t="s">
        <v>23496</v>
      </c>
      <c r="B3646" s="16" t="s">
        <v>5646</v>
      </c>
      <c r="C3646" s="16" t="s">
        <v>5647</v>
      </c>
      <c r="D3646" s="16" t="s">
        <v>16</v>
      </c>
      <c r="E3646" s="21" t="s">
        <v>23497</v>
      </c>
      <c r="F3646" s="22" t="s">
        <v>10183</v>
      </c>
      <c r="G3646" s="16">
        <v>23.61</v>
      </c>
      <c r="H3646" s="16"/>
      <c r="I3646" s="22"/>
      <c r="J3646" s="22" t="s">
        <v>23498</v>
      </c>
      <c r="K3646" s="22" t="s">
        <v>23499</v>
      </c>
      <c r="L3646" s="23" t="s">
        <v>23500</v>
      </c>
      <c r="M3646" s="23" t="s">
        <v>23501</v>
      </c>
      <c r="N3646" s="12"/>
      <c r="O3646" s="12"/>
      <c r="P3646" s="13">
        <f>IFERROR(__xludf.DUMMYFUNCTION("VALUE(SUBSTITUTE((INDEX(SPLIT(A3646,"",""),1)),""."","","",1))"),52.854893)</f>
        <v>52.854893</v>
      </c>
      <c r="Q3646" s="13">
        <f>IFERROR(__xludf.DUMMYFUNCTION("VALUE(SUBSTITUTE((INDEX(SPLIT(A3646,"",""),2)),""."","","",1))"),55.927942)</f>
        <v>55.927942</v>
      </c>
      <c r="R3646" s="14" t="b">
        <f t="shared" si="1"/>
        <v>0</v>
      </c>
      <c r="S3646" s="14" t="str">
        <f t="shared" si="2"/>
        <v>52.854893,55.927942</v>
      </c>
      <c r="T3646" s="12"/>
    </row>
    <row r="3647">
      <c r="A3647" s="18" t="s">
        <v>23502</v>
      </c>
      <c r="B3647" s="8" t="s">
        <v>23503</v>
      </c>
      <c r="C3647" s="8" t="s">
        <v>23504</v>
      </c>
      <c r="D3647" s="8" t="s">
        <v>16</v>
      </c>
      <c r="E3647" s="19" t="s">
        <v>23505</v>
      </c>
      <c r="F3647" s="8" t="s">
        <v>738</v>
      </c>
      <c r="G3647" s="8">
        <v>23.61</v>
      </c>
      <c r="H3647" s="8"/>
      <c r="I3647" s="8"/>
      <c r="J3647" s="8" t="s">
        <v>23506</v>
      </c>
      <c r="K3647" s="8" t="s">
        <v>23507</v>
      </c>
      <c r="L3647" s="8"/>
      <c r="M3647" s="24" t="s">
        <v>23508</v>
      </c>
      <c r="N3647" s="12"/>
      <c r="O3647" s="12"/>
      <c r="P3647" s="13">
        <f>IFERROR(__xludf.DUMMYFUNCTION("VALUE(SUBSTITUTE((INDEX(SPLIT(A3647,"",""),1)),""."","","",1))"),54.894295)</f>
        <v>54.894295</v>
      </c>
      <c r="Q3647" s="13">
        <f>IFERROR(__xludf.DUMMYFUNCTION("VALUE(SUBSTITUTE((INDEX(SPLIT(A3647,"",""),2)),""."","","",1))"),55.928301)</f>
        <v>55.928301</v>
      </c>
      <c r="R3647" s="14" t="b">
        <f t="shared" si="1"/>
        <v>0</v>
      </c>
      <c r="S3647" s="14" t="str">
        <f t="shared" si="2"/>
        <v>54.894295,55.928301</v>
      </c>
      <c r="T3647" s="12"/>
    </row>
    <row r="3648">
      <c r="A3648" s="20" t="s">
        <v>23509</v>
      </c>
      <c r="B3648" s="16" t="s">
        <v>23510</v>
      </c>
      <c r="C3648" s="16" t="s">
        <v>23511</v>
      </c>
      <c r="D3648" s="16" t="s">
        <v>16</v>
      </c>
      <c r="E3648" s="21" t="s">
        <v>23512</v>
      </c>
      <c r="F3648" s="22" t="s">
        <v>10183</v>
      </c>
      <c r="G3648" s="16">
        <v>23.61</v>
      </c>
      <c r="H3648" s="16"/>
      <c r="I3648" s="22"/>
      <c r="J3648" s="22" t="s">
        <v>23513</v>
      </c>
      <c r="K3648" s="22" t="s">
        <v>23514</v>
      </c>
      <c r="L3648" s="23" t="s">
        <v>23515</v>
      </c>
      <c r="M3648" s="23" t="s">
        <v>23516</v>
      </c>
      <c r="N3648" s="12"/>
      <c r="O3648" s="12"/>
      <c r="P3648" s="13">
        <f>IFERROR(__xludf.DUMMYFUNCTION("VALUE(SUBSTITUTE((INDEX(SPLIT(A3648,"",""),1)),""."","","",1))"),57.975398)</f>
        <v>57.975398</v>
      </c>
      <c r="Q3648" s="13">
        <f>IFERROR(__xludf.DUMMYFUNCTION("VALUE(SUBSTITUTE((INDEX(SPLIT(A3648,"",""),2)),""."","","",1))"),55.928687)</f>
        <v>55.928687</v>
      </c>
      <c r="R3648" s="14" t="b">
        <f t="shared" si="1"/>
        <v>0</v>
      </c>
      <c r="S3648" s="14" t="str">
        <f t="shared" si="2"/>
        <v>57.975398,55.928687</v>
      </c>
      <c r="T3648" s="12"/>
    </row>
    <row r="3649">
      <c r="A3649" s="7" t="s">
        <v>23517</v>
      </c>
      <c r="B3649" s="8" t="s">
        <v>23518</v>
      </c>
      <c r="C3649" s="8" t="s">
        <v>23519</v>
      </c>
      <c r="D3649" s="8" t="s">
        <v>16</v>
      </c>
      <c r="E3649" s="9" t="s">
        <v>23520</v>
      </c>
      <c r="F3649" s="10" t="s">
        <v>10183</v>
      </c>
      <c r="G3649" s="8">
        <v>23.61</v>
      </c>
      <c r="H3649" s="8"/>
      <c r="I3649" s="10"/>
      <c r="J3649" s="10" t="s">
        <v>23521</v>
      </c>
      <c r="K3649" s="10" t="s">
        <v>23522</v>
      </c>
      <c r="L3649" s="11" t="s">
        <v>23523</v>
      </c>
      <c r="M3649" s="10"/>
      <c r="N3649" s="12"/>
      <c r="O3649" s="12"/>
      <c r="P3649" s="13">
        <f>IFERROR(__xludf.DUMMYFUNCTION("VALUE(SUBSTITUTE((INDEX(SPLIT(A3649,"",""),1)),""."","","",1))"),53.630403)</f>
        <v>53.630403</v>
      </c>
      <c r="Q3649" s="13">
        <f>IFERROR(__xludf.DUMMYFUNCTION("VALUE(SUBSTITUTE((INDEX(SPLIT(A3649,"",""),2)),""."","","",1))"),55.930825)</f>
        <v>55.930825</v>
      </c>
      <c r="R3649" s="14" t="b">
        <f t="shared" si="1"/>
        <v>0</v>
      </c>
      <c r="S3649" s="14" t="str">
        <f t="shared" si="2"/>
        <v>53.630403,55.930825</v>
      </c>
      <c r="T3649" s="12"/>
    </row>
    <row r="3650">
      <c r="A3650" s="20" t="s">
        <v>23524</v>
      </c>
      <c r="B3650" s="16" t="s">
        <v>23525</v>
      </c>
      <c r="C3650" s="16" t="s">
        <v>23526</v>
      </c>
      <c r="D3650" s="16" t="s">
        <v>16</v>
      </c>
      <c r="E3650" s="21" t="s">
        <v>23527</v>
      </c>
      <c r="F3650" s="22" t="s">
        <v>10183</v>
      </c>
      <c r="G3650" s="16">
        <v>23.61</v>
      </c>
      <c r="H3650" s="16"/>
      <c r="I3650" s="22"/>
      <c r="J3650" s="22" t="s">
        <v>23528</v>
      </c>
      <c r="K3650" s="22" t="s">
        <v>23529</v>
      </c>
      <c r="L3650" s="23" t="s">
        <v>23530</v>
      </c>
      <c r="M3650" s="22"/>
      <c r="N3650" s="12"/>
      <c r="O3650" s="12"/>
      <c r="P3650" s="13">
        <f>IFERROR(__xludf.DUMMYFUNCTION("VALUE(SUBSTITUTE((INDEX(SPLIT(A3650,"",""),1)),""."","","",1))"),54.634359)</f>
        <v>54.634359</v>
      </c>
      <c r="Q3650" s="13">
        <f>IFERROR(__xludf.DUMMYFUNCTION("VALUE(SUBSTITUTE((INDEX(SPLIT(A3650,"",""),2)),""."","","",1))"),55.932254)</f>
        <v>55.932254</v>
      </c>
      <c r="R3650" s="14" t="b">
        <f t="shared" si="1"/>
        <v>0</v>
      </c>
      <c r="S3650" s="14" t="str">
        <f t="shared" si="2"/>
        <v>54.634359,55.932254</v>
      </c>
      <c r="T3650" s="12"/>
    </row>
    <row r="3651">
      <c r="A3651" s="18" t="s">
        <v>23524</v>
      </c>
      <c r="B3651" s="8" t="s">
        <v>23531</v>
      </c>
      <c r="C3651" s="8" t="s">
        <v>23532</v>
      </c>
      <c r="D3651" s="8" t="s">
        <v>16</v>
      </c>
      <c r="E3651" s="19" t="s">
        <v>23533</v>
      </c>
      <c r="F3651" s="8" t="s">
        <v>10183</v>
      </c>
      <c r="G3651" s="8">
        <v>23.61</v>
      </c>
      <c r="H3651" s="8"/>
      <c r="I3651" s="8"/>
      <c r="J3651" s="8" t="s">
        <v>23534</v>
      </c>
      <c r="K3651" s="8" t="s">
        <v>23535</v>
      </c>
      <c r="L3651" s="8"/>
      <c r="M3651" s="8"/>
      <c r="N3651" s="12"/>
      <c r="O3651" s="12"/>
      <c r="P3651" s="13">
        <f>IFERROR(__xludf.DUMMYFUNCTION("VALUE(SUBSTITUTE((INDEX(SPLIT(A3651,"",""),1)),""."","","",1))"),54.634359)</f>
        <v>54.634359</v>
      </c>
      <c r="Q3651" s="13">
        <f>IFERROR(__xludf.DUMMYFUNCTION("VALUE(SUBSTITUTE((INDEX(SPLIT(A3651,"",""),2)),""."","","",1))"),55.932254)</f>
        <v>55.932254</v>
      </c>
      <c r="R3651" s="14" t="b">
        <f t="shared" si="1"/>
        <v>0</v>
      </c>
      <c r="S3651" s="14" t="str">
        <f t="shared" si="2"/>
        <v>54.634359,55.932254</v>
      </c>
      <c r="T3651" s="12"/>
    </row>
    <row r="3652">
      <c r="A3652" s="15" t="s">
        <v>23524</v>
      </c>
      <c r="B3652" s="16" t="s">
        <v>23536</v>
      </c>
      <c r="C3652" s="16" t="s">
        <v>558</v>
      </c>
      <c r="D3652" s="16" t="s">
        <v>16</v>
      </c>
      <c r="E3652" s="17" t="s">
        <v>23537</v>
      </c>
      <c r="F3652" s="16" t="s">
        <v>58</v>
      </c>
      <c r="G3652" s="16">
        <v>23.61</v>
      </c>
      <c r="H3652" s="16"/>
      <c r="I3652" s="16"/>
      <c r="J3652" s="16" t="s">
        <v>23538</v>
      </c>
      <c r="K3652" s="16" t="s">
        <v>23539</v>
      </c>
      <c r="L3652" s="16"/>
      <c r="M3652" s="16"/>
      <c r="N3652" s="12"/>
      <c r="O3652" s="12"/>
      <c r="P3652" s="13">
        <f>IFERROR(__xludf.DUMMYFUNCTION("VALUE(SUBSTITUTE((INDEX(SPLIT(A3652,"",""),1)),""."","","",1))"),54.634359)</f>
        <v>54.634359</v>
      </c>
      <c r="Q3652" s="13">
        <f>IFERROR(__xludf.DUMMYFUNCTION("VALUE(SUBSTITUTE((INDEX(SPLIT(A3652,"",""),2)),""."","","",1))"),55.932254)</f>
        <v>55.932254</v>
      </c>
      <c r="R3652" s="14" t="b">
        <f t="shared" si="1"/>
        <v>0</v>
      </c>
      <c r="S3652" s="14" t="str">
        <f t="shared" si="2"/>
        <v>54.634359,55.932254</v>
      </c>
      <c r="T3652" s="12"/>
    </row>
    <row r="3653">
      <c r="A3653" s="7" t="s">
        <v>23540</v>
      </c>
      <c r="B3653" s="8" t="s">
        <v>23541</v>
      </c>
      <c r="C3653" s="8" t="s">
        <v>23542</v>
      </c>
      <c r="D3653" s="8" t="s">
        <v>16</v>
      </c>
      <c r="E3653" s="9" t="s">
        <v>23543</v>
      </c>
      <c r="F3653" s="10" t="s">
        <v>23544</v>
      </c>
      <c r="G3653" s="8">
        <v>23.61</v>
      </c>
      <c r="H3653" s="8"/>
      <c r="I3653" s="10"/>
      <c r="J3653" s="10" t="s">
        <v>23545</v>
      </c>
      <c r="K3653" s="10" t="s">
        <v>23546</v>
      </c>
      <c r="L3653" s="11" t="s">
        <v>23547</v>
      </c>
      <c r="M3653" s="11" t="s">
        <v>23548</v>
      </c>
      <c r="N3653" s="12"/>
      <c r="O3653" s="12"/>
      <c r="P3653" s="13">
        <f>IFERROR(__xludf.DUMMYFUNCTION("VALUE(SUBSTITUTE((INDEX(SPLIT(A3653,"",""),1)),""."","","",1))"),53.622777)</f>
        <v>53.622777</v>
      </c>
      <c r="Q3653" s="13">
        <f>IFERROR(__xludf.DUMMYFUNCTION("VALUE(SUBSTITUTE((INDEX(SPLIT(A3653,"",""),2)),""."","","",1))"),55.932909)</f>
        <v>55.932909</v>
      </c>
      <c r="R3653" s="14" t="b">
        <f t="shared" si="1"/>
        <v>0</v>
      </c>
      <c r="S3653" s="14" t="str">
        <f t="shared" si="2"/>
        <v>53.622777,55.932909</v>
      </c>
      <c r="T3653" s="12"/>
    </row>
    <row r="3654">
      <c r="A3654" s="15" t="s">
        <v>23549</v>
      </c>
      <c r="B3654" s="16" t="s">
        <v>8193</v>
      </c>
      <c r="C3654" s="16" t="s">
        <v>8194</v>
      </c>
      <c r="D3654" s="16" t="s">
        <v>16</v>
      </c>
      <c r="E3654" s="17" t="s">
        <v>23550</v>
      </c>
      <c r="F3654" s="16" t="s">
        <v>738</v>
      </c>
      <c r="G3654" s="16">
        <v>23.61</v>
      </c>
      <c r="H3654" s="16"/>
      <c r="I3654" s="16"/>
      <c r="J3654" s="16" t="s">
        <v>23551</v>
      </c>
      <c r="K3654" s="16" t="s">
        <v>23552</v>
      </c>
      <c r="L3654" s="16"/>
      <c r="M3654" s="16"/>
      <c r="N3654" s="12"/>
      <c r="O3654" s="12"/>
      <c r="P3654" s="13">
        <f>IFERROR(__xludf.DUMMYFUNCTION("VALUE(SUBSTITUTE((INDEX(SPLIT(A3654,"",""),1)),""."","","",1))"),54.734721)</f>
        <v>54.734721</v>
      </c>
      <c r="Q3654" s="13">
        <f>IFERROR(__xludf.DUMMYFUNCTION("VALUE(SUBSTITUTE((INDEX(SPLIT(A3654,"",""),2)),""."","","",1))"),55.933475)</f>
        <v>55.933475</v>
      </c>
      <c r="R3654" s="14" t="b">
        <f t="shared" si="1"/>
        <v>0</v>
      </c>
      <c r="S3654" s="14" t="str">
        <f t="shared" si="2"/>
        <v>54.734721,55.933475</v>
      </c>
      <c r="T3654" s="12"/>
    </row>
    <row r="3655">
      <c r="A3655" s="18" t="s">
        <v>23553</v>
      </c>
      <c r="B3655" s="8" t="s">
        <v>2881</v>
      </c>
      <c r="C3655" s="8" t="s">
        <v>2882</v>
      </c>
      <c r="D3655" s="8" t="s">
        <v>16</v>
      </c>
      <c r="E3655" s="19" t="s">
        <v>23554</v>
      </c>
      <c r="F3655" s="8" t="s">
        <v>738</v>
      </c>
      <c r="G3655" s="8">
        <v>23.61</v>
      </c>
      <c r="H3655" s="8"/>
      <c r="I3655" s="8"/>
      <c r="J3655" s="8" t="s">
        <v>23555</v>
      </c>
      <c r="K3655" s="8" t="s">
        <v>23556</v>
      </c>
      <c r="L3655" s="8"/>
      <c r="M3655" s="8"/>
      <c r="N3655" s="12"/>
      <c r="O3655" s="12"/>
      <c r="P3655" s="13">
        <f>IFERROR(__xludf.DUMMYFUNCTION("VALUE(SUBSTITUTE((INDEX(SPLIT(A3655,"",""),1)),""."","","",1))"),53.647438)</f>
        <v>53.647438</v>
      </c>
      <c r="Q3655" s="13">
        <f>IFERROR(__xludf.DUMMYFUNCTION("VALUE(SUBSTITUTE((INDEX(SPLIT(A3655,"",""),2)),""."","","",1))"),55.936916)</f>
        <v>55.936916</v>
      </c>
      <c r="R3655" s="14" t="b">
        <f t="shared" si="1"/>
        <v>0</v>
      </c>
      <c r="S3655" s="14" t="str">
        <f t="shared" si="2"/>
        <v>53.647438,55.936916</v>
      </c>
      <c r="T3655" s="12"/>
    </row>
    <row r="3656">
      <c r="A3656" s="15" t="s">
        <v>23557</v>
      </c>
      <c r="B3656" s="16" t="s">
        <v>23558</v>
      </c>
      <c r="C3656" s="16" t="s">
        <v>23559</v>
      </c>
      <c r="D3656" s="16" t="s">
        <v>16</v>
      </c>
      <c r="E3656" s="17" t="s">
        <v>23560</v>
      </c>
      <c r="F3656" s="16" t="s">
        <v>10183</v>
      </c>
      <c r="G3656" s="16">
        <v>23.61</v>
      </c>
      <c r="H3656" s="16"/>
      <c r="I3656" s="16"/>
      <c r="J3656" s="16" t="s">
        <v>23561</v>
      </c>
      <c r="K3656" s="16" t="s">
        <v>23562</v>
      </c>
      <c r="L3656" s="16"/>
      <c r="M3656" s="16"/>
      <c r="N3656" s="12"/>
      <c r="O3656" s="12"/>
      <c r="P3656" s="13">
        <f>IFERROR(__xludf.DUMMYFUNCTION("VALUE(SUBSTITUTE((INDEX(SPLIT(A3656,"",""),1)),""."","","",1))"),53.648238)</f>
        <v>53.648238</v>
      </c>
      <c r="Q3656" s="13">
        <f>IFERROR(__xludf.DUMMYFUNCTION("VALUE(SUBSTITUTE((INDEX(SPLIT(A3656,"",""),2)),""."","","",1))"),55.937491)</f>
        <v>55.937491</v>
      </c>
      <c r="R3656" s="14" t="b">
        <f t="shared" si="1"/>
        <v>0</v>
      </c>
      <c r="S3656" s="14" t="str">
        <f t="shared" si="2"/>
        <v>53.648238,55.937491</v>
      </c>
      <c r="T3656" s="12"/>
    </row>
    <row r="3657">
      <c r="A3657" s="18" t="s">
        <v>23563</v>
      </c>
      <c r="B3657" s="8" t="s">
        <v>23564</v>
      </c>
      <c r="C3657" s="8" t="s">
        <v>23565</v>
      </c>
      <c r="D3657" s="8" t="s">
        <v>16</v>
      </c>
      <c r="E3657" s="19" t="s">
        <v>23566</v>
      </c>
      <c r="F3657" s="8" t="s">
        <v>10183</v>
      </c>
      <c r="G3657" s="8">
        <v>23.61</v>
      </c>
      <c r="H3657" s="8"/>
      <c r="I3657" s="8"/>
      <c r="J3657" s="8" t="s">
        <v>23567</v>
      </c>
      <c r="K3657" s="8" t="s">
        <v>23568</v>
      </c>
      <c r="L3657" s="8"/>
      <c r="M3657" s="8"/>
      <c r="N3657" s="12"/>
      <c r="O3657" s="12"/>
      <c r="P3657" s="13">
        <f>IFERROR(__xludf.DUMMYFUNCTION("VALUE(SUBSTITUTE((INDEX(SPLIT(A3657,"",""),1)),""."","","",1))"),54.704196)</f>
        <v>54.704196</v>
      </c>
      <c r="Q3657" s="13">
        <f>IFERROR(__xludf.DUMMYFUNCTION("VALUE(SUBSTITUTE((INDEX(SPLIT(A3657,"",""),2)),""."","","",1))"),55.939979)</f>
        <v>55.939979</v>
      </c>
      <c r="R3657" s="14" t="b">
        <f t="shared" si="1"/>
        <v>0</v>
      </c>
      <c r="S3657" s="14" t="str">
        <f t="shared" si="2"/>
        <v>54.704196,55.939979</v>
      </c>
      <c r="T3657" s="12"/>
    </row>
    <row r="3658">
      <c r="A3658" s="15" t="s">
        <v>23569</v>
      </c>
      <c r="B3658" s="16" t="s">
        <v>23570</v>
      </c>
      <c r="C3658" s="16" t="s">
        <v>23571</v>
      </c>
      <c r="D3658" s="16" t="s">
        <v>16</v>
      </c>
      <c r="E3658" s="17" t="s">
        <v>23572</v>
      </c>
      <c r="F3658" s="16" t="s">
        <v>10609</v>
      </c>
      <c r="G3658" s="16">
        <v>23.61</v>
      </c>
      <c r="H3658" s="16"/>
      <c r="I3658" s="16"/>
      <c r="J3658" s="16" t="s">
        <v>23573</v>
      </c>
      <c r="K3658" s="16" t="s">
        <v>23574</v>
      </c>
      <c r="L3658" s="16"/>
      <c r="M3658" s="16"/>
      <c r="N3658" s="12"/>
      <c r="O3658" s="12"/>
      <c r="P3658" s="13">
        <f>IFERROR(__xludf.DUMMYFUNCTION("VALUE(SUBSTITUTE((INDEX(SPLIT(A3658,"",""),1)),""."","","",1))"),54.732434)</f>
        <v>54.732434</v>
      </c>
      <c r="Q3658" s="13">
        <f>IFERROR(__xludf.DUMMYFUNCTION("VALUE(SUBSTITUTE((INDEX(SPLIT(A3658,"",""),2)),""."","","",1))"),55.940132)</f>
        <v>55.940132</v>
      </c>
      <c r="R3658" s="14" t="b">
        <f t="shared" si="1"/>
        <v>0</v>
      </c>
      <c r="S3658" s="14" t="str">
        <f t="shared" si="2"/>
        <v>54.732434,55.940132</v>
      </c>
      <c r="T3658" s="12"/>
    </row>
    <row r="3659">
      <c r="A3659" s="7" t="s">
        <v>23575</v>
      </c>
      <c r="B3659" s="8" t="s">
        <v>23576</v>
      </c>
      <c r="C3659" s="8" t="s">
        <v>23577</v>
      </c>
      <c r="D3659" s="8" t="s">
        <v>16</v>
      </c>
      <c r="E3659" s="9" t="s">
        <v>23578</v>
      </c>
      <c r="F3659" s="10" t="s">
        <v>10183</v>
      </c>
      <c r="G3659" s="8">
        <v>23.61</v>
      </c>
      <c r="H3659" s="8"/>
      <c r="I3659" s="10"/>
      <c r="J3659" s="10" t="s">
        <v>23579</v>
      </c>
      <c r="K3659" s="10" t="s">
        <v>23580</v>
      </c>
      <c r="L3659" s="11" t="s">
        <v>23581</v>
      </c>
      <c r="M3659" s="10"/>
      <c r="N3659" s="12"/>
      <c r="O3659" s="12"/>
      <c r="P3659" s="13">
        <f>IFERROR(__xludf.DUMMYFUNCTION("VALUE(SUBSTITUTE((INDEX(SPLIT(A3659,"",""),1)),""."","","",1))"),54.728664)</f>
        <v>54.728664</v>
      </c>
      <c r="Q3659" s="13">
        <f>IFERROR(__xludf.DUMMYFUNCTION("VALUE(SUBSTITUTE((INDEX(SPLIT(A3659,"",""),2)),""."","","",1))"),55.941964)</f>
        <v>55.941964</v>
      </c>
      <c r="R3659" s="14" t="b">
        <f t="shared" si="1"/>
        <v>0</v>
      </c>
      <c r="S3659" s="14" t="str">
        <f t="shared" si="2"/>
        <v>54.728664,55.941964</v>
      </c>
      <c r="T3659" s="12"/>
    </row>
    <row r="3660">
      <c r="A3660" s="15" t="s">
        <v>23582</v>
      </c>
      <c r="B3660" s="16" t="s">
        <v>23583</v>
      </c>
      <c r="C3660" s="16" t="s">
        <v>23584</v>
      </c>
      <c r="D3660" s="16" t="s">
        <v>16</v>
      </c>
      <c r="E3660" s="17" t="s">
        <v>23585</v>
      </c>
      <c r="F3660" s="16" t="s">
        <v>23165</v>
      </c>
      <c r="G3660" s="16">
        <v>23.61</v>
      </c>
      <c r="H3660" s="16"/>
      <c r="I3660" s="16"/>
      <c r="J3660" s="16" t="s">
        <v>23586</v>
      </c>
      <c r="K3660" s="16" t="s">
        <v>23587</v>
      </c>
      <c r="L3660" s="16"/>
      <c r="M3660" s="16"/>
      <c r="N3660" s="12"/>
      <c r="O3660" s="12"/>
      <c r="P3660" s="13">
        <f>IFERROR(__xludf.DUMMYFUNCTION("VALUE(SUBSTITUTE((INDEX(SPLIT(A3660,"",""),1)),""."","","",1))"),53.621784)</f>
        <v>53.621784</v>
      </c>
      <c r="Q3660" s="13">
        <f>IFERROR(__xludf.DUMMYFUNCTION("VALUE(SUBSTITUTE((INDEX(SPLIT(A3660,"",""),2)),""."","","",1))"),55.945136)</f>
        <v>55.945136</v>
      </c>
      <c r="R3660" s="14" t="b">
        <f t="shared" si="1"/>
        <v>0</v>
      </c>
      <c r="S3660" s="14" t="str">
        <f t="shared" si="2"/>
        <v>53.621784,55.945136</v>
      </c>
      <c r="T3660" s="12"/>
    </row>
    <row r="3661">
      <c r="A3661" s="7" t="s">
        <v>23588</v>
      </c>
      <c r="B3661" s="8" t="s">
        <v>969</v>
      </c>
      <c r="C3661" s="8" t="s">
        <v>970</v>
      </c>
      <c r="D3661" s="8" t="s">
        <v>16</v>
      </c>
      <c r="E3661" s="9" t="s">
        <v>23589</v>
      </c>
      <c r="F3661" s="10" t="s">
        <v>23165</v>
      </c>
      <c r="G3661" s="8">
        <v>23.61</v>
      </c>
      <c r="H3661" s="8"/>
      <c r="I3661" s="10"/>
      <c r="J3661" s="10" t="s">
        <v>23590</v>
      </c>
      <c r="K3661" s="10" t="s">
        <v>23591</v>
      </c>
      <c r="L3661" s="11" t="s">
        <v>23592</v>
      </c>
      <c r="M3661" s="10"/>
      <c r="N3661" s="12"/>
      <c r="O3661" s="12"/>
      <c r="P3661" s="13">
        <f>IFERROR(__xludf.DUMMYFUNCTION("VALUE(SUBSTITUTE((INDEX(SPLIT(A3661,"",""),1)),""."","","",1))"),53.682218)</f>
        <v>53.682218</v>
      </c>
      <c r="Q3661" s="13">
        <f>IFERROR(__xludf.DUMMYFUNCTION("VALUE(SUBSTITUTE((INDEX(SPLIT(A3661,"",""),2)),""."","","",1))"),55.945432)</f>
        <v>55.945432</v>
      </c>
      <c r="R3661" s="14" t="b">
        <f t="shared" si="1"/>
        <v>0</v>
      </c>
      <c r="S3661" s="14" t="str">
        <f t="shared" si="2"/>
        <v>53.682218,55.945432</v>
      </c>
      <c r="T3661" s="12"/>
    </row>
    <row r="3662">
      <c r="A3662" s="20" t="s">
        <v>23588</v>
      </c>
      <c r="B3662" s="16" t="s">
        <v>23593</v>
      </c>
      <c r="C3662" s="16" t="s">
        <v>23594</v>
      </c>
      <c r="D3662" s="16" t="s">
        <v>16</v>
      </c>
      <c r="E3662" s="21" t="s">
        <v>23595</v>
      </c>
      <c r="F3662" s="22" t="s">
        <v>10609</v>
      </c>
      <c r="G3662" s="16">
        <v>23.61</v>
      </c>
      <c r="H3662" s="16"/>
      <c r="I3662" s="22"/>
      <c r="J3662" s="22" t="s">
        <v>23596</v>
      </c>
      <c r="K3662" s="22" t="s">
        <v>23597</v>
      </c>
      <c r="L3662" s="23" t="s">
        <v>23598</v>
      </c>
      <c r="M3662" s="22"/>
      <c r="N3662" s="12"/>
      <c r="O3662" s="12"/>
      <c r="P3662" s="13">
        <f>IFERROR(__xludf.DUMMYFUNCTION("VALUE(SUBSTITUTE((INDEX(SPLIT(A3662,"",""),1)),""."","","",1))"),53.682218)</f>
        <v>53.682218</v>
      </c>
      <c r="Q3662" s="13">
        <f>IFERROR(__xludf.DUMMYFUNCTION("VALUE(SUBSTITUTE((INDEX(SPLIT(A3662,"",""),2)),""."","","",1))"),55.945432)</f>
        <v>55.945432</v>
      </c>
      <c r="R3662" s="14" t="b">
        <f t="shared" si="1"/>
        <v>0</v>
      </c>
      <c r="S3662" s="14" t="str">
        <f t="shared" si="2"/>
        <v>53.682218,55.945432</v>
      </c>
      <c r="T3662" s="12"/>
    </row>
    <row r="3663">
      <c r="A3663" s="7" t="s">
        <v>23599</v>
      </c>
      <c r="B3663" s="8" t="s">
        <v>89</v>
      </c>
      <c r="C3663" s="8" t="s">
        <v>90</v>
      </c>
      <c r="D3663" s="8" t="s">
        <v>16</v>
      </c>
      <c r="E3663" s="9" t="s">
        <v>23600</v>
      </c>
      <c r="F3663" s="10" t="s">
        <v>23165</v>
      </c>
      <c r="G3663" s="8">
        <v>23.61</v>
      </c>
      <c r="H3663" s="8"/>
      <c r="I3663" s="10"/>
      <c r="J3663" s="10" t="s">
        <v>23601</v>
      </c>
      <c r="K3663" s="10" t="s">
        <v>23602</v>
      </c>
      <c r="L3663" s="11" t="s">
        <v>23603</v>
      </c>
      <c r="M3663" s="10"/>
      <c r="N3663" s="12"/>
      <c r="O3663" s="12"/>
      <c r="P3663" s="13">
        <f>IFERROR(__xludf.DUMMYFUNCTION("VALUE(SUBSTITUTE((INDEX(SPLIT(A3663,"",""),1)),""."","","",1))"),52.972844)</f>
        <v>52.972844</v>
      </c>
      <c r="Q3663" s="13">
        <f>IFERROR(__xludf.DUMMYFUNCTION("VALUE(SUBSTITUTE((INDEX(SPLIT(A3663,"",""),2)),""."","","",1))"),55.946609)</f>
        <v>55.946609</v>
      </c>
      <c r="R3663" s="14" t="b">
        <f t="shared" si="1"/>
        <v>0</v>
      </c>
      <c r="S3663" s="14" t="str">
        <f t="shared" si="2"/>
        <v>52.972844,55.946609</v>
      </c>
      <c r="T3663" s="12"/>
    </row>
    <row r="3664">
      <c r="A3664" s="20" t="s">
        <v>23604</v>
      </c>
      <c r="B3664" s="16" t="s">
        <v>23605</v>
      </c>
      <c r="C3664" s="16" t="s">
        <v>23606</v>
      </c>
      <c r="D3664" s="16" t="s">
        <v>16</v>
      </c>
      <c r="E3664" s="21" t="s">
        <v>23607</v>
      </c>
      <c r="F3664" s="22" t="s">
        <v>23165</v>
      </c>
      <c r="G3664" s="16">
        <v>23.61</v>
      </c>
      <c r="H3664" s="16"/>
      <c r="I3664" s="22"/>
      <c r="J3664" s="22" t="s">
        <v>23608</v>
      </c>
      <c r="K3664" s="22" t="s">
        <v>23609</v>
      </c>
      <c r="L3664" s="23" t="s">
        <v>23610</v>
      </c>
      <c r="M3664" s="22"/>
      <c r="N3664" s="12"/>
      <c r="O3664" s="12"/>
      <c r="P3664" s="13">
        <f>IFERROR(__xludf.DUMMYFUNCTION("VALUE(SUBSTITUTE((INDEX(SPLIT(A3664,"",""),1)),""."","","",1))"),54.706854)</f>
        <v>54.706854</v>
      </c>
      <c r="Q3664" s="13">
        <f>IFERROR(__xludf.DUMMYFUNCTION("VALUE(SUBSTITUTE((INDEX(SPLIT(A3664,"",""),2)),""."","","",1))"),55.947238)</f>
        <v>55.947238</v>
      </c>
      <c r="R3664" s="14" t="b">
        <f t="shared" si="1"/>
        <v>0</v>
      </c>
      <c r="S3664" s="14" t="str">
        <f t="shared" si="2"/>
        <v>54.706854,55.947238</v>
      </c>
      <c r="T3664" s="12"/>
    </row>
    <row r="3665">
      <c r="A3665" s="7" t="s">
        <v>23604</v>
      </c>
      <c r="B3665" s="8" t="s">
        <v>23611</v>
      </c>
      <c r="C3665" s="8" t="s">
        <v>23612</v>
      </c>
      <c r="D3665" s="8" t="s">
        <v>16</v>
      </c>
      <c r="E3665" s="9" t="s">
        <v>23613</v>
      </c>
      <c r="F3665" s="10" t="s">
        <v>18</v>
      </c>
      <c r="G3665" s="8">
        <v>23.61</v>
      </c>
      <c r="H3665" s="8"/>
      <c r="I3665" s="10"/>
      <c r="J3665" s="10" t="s">
        <v>23614</v>
      </c>
      <c r="K3665" s="10" t="s">
        <v>23615</v>
      </c>
      <c r="L3665" s="11" t="s">
        <v>23616</v>
      </c>
      <c r="M3665" s="10"/>
      <c r="N3665" s="12"/>
      <c r="O3665" s="12"/>
      <c r="P3665" s="13">
        <f>IFERROR(__xludf.DUMMYFUNCTION("VALUE(SUBSTITUTE((INDEX(SPLIT(A3665,"",""),1)),""."","","",1))"),54.706854)</f>
        <v>54.706854</v>
      </c>
      <c r="Q3665" s="13">
        <f>IFERROR(__xludf.DUMMYFUNCTION("VALUE(SUBSTITUTE((INDEX(SPLIT(A3665,"",""),2)),""."","","",1))"),55.947238)</f>
        <v>55.947238</v>
      </c>
      <c r="R3665" s="14" t="b">
        <f t="shared" si="1"/>
        <v>0</v>
      </c>
      <c r="S3665" s="14" t="str">
        <f t="shared" si="2"/>
        <v>54.706854,55.947238</v>
      </c>
      <c r="T3665" s="12"/>
    </row>
    <row r="3666">
      <c r="A3666" s="15" t="s">
        <v>23617</v>
      </c>
      <c r="B3666" s="16" t="s">
        <v>23618</v>
      </c>
      <c r="C3666" s="16" t="s">
        <v>23619</v>
      </c>
      <c r="D3666" s="16" t="s">
        <v>16</v>
      </c>
      <c r="E3666" s="17" t="s">
        <v>23620</v>
      </c>
      <c r="F3666" s="16" t="s">
        <v>10183</v>
      </c>
      <c r="G3666" s="16">
        <v>23.61</v>
      </c>
      <c r="H3666" s="16"/>
      <c r="I3666" s="16"/>
      <c r="J3666" s="16" t="s">
        <v>23621</v>
      </c>
      <c r="K3666" s="16" t="s">
        <v>23622</v>
      </c>
      <c r="L3666" s="16"/>
      <c r="M3666" s="16"/>
      <c r="N3666" s="12"/>
      <c r="O3666" s="12"/>
      <c r="P3666" s="13">
        <f>IFERROR(__xludf.DUMMYFUNCTION("VALUE(SUBSTITUTE((INDEX(SPLIT(A3666,"",""),1)),""."","","",1))"),58.001752)</f>
        <v>58.001752</v>
      </c>
      <c r="Q3666" s="13">
        <f>IFERROR(__xludf.DUMMYFUNCTION("VALUE(SUBSTITUTE((INDEX(SPLIT(A3666,"",""),2)),""."","","",1))"),55.947274)</f>
        <v>55.947274</v>
      </c>
      <c r="R3666" s="14" t="b">
        <f t="shared" si="1"/>
        <v>0</v>
      </c>
      <c r="S3666" s="14" t="str">
        <f t="shared" si="2"/>
        <v>58.001752,55.947274</v>
      </c>
      <c r="T3666" s="12"/>
    </row>
    <row r="3667">
      <c r="A3667" s="7" t="s">
        <v>8778</v>
      </c>
      <c r="B3667" s="8" t="s">
        <v>23623</v>
      </c>
      <c r="C3667" s="8" t="s">
        <v>23624</v>
      </c>
      <c r="D3667" s="8" t="s">
        <v>16</v>
      </c>
      <c r="E3667" s="9" t="s">
        <v>23625</v>
      </c>
      <c r="F3667" s="10" t="s">
        <v>10183</v>
      </c>
      <c r="G3667" s="8">
        <v>23.61</v>
      </c>
      <c r="H3667" s="8"/>
      <c r="I3667" s="10"/>
      <c r="J3667" s="10" t="s">
        <v>23626</v>
      </c>
      <c r="K3667" s="10" t="s">
        <v>23627</v>
      </c>
      <c r="L3667" s="11" t="s">
        <v>23628</v>
      </c>
      <c r="M3667" s="10"/>
      <c r="N3667" s="12"/>
      <c r="O3667" s="12"/>
      <c r="P3667" s="13">
        <f>IFERROR(__xludf.DUMMYFUNCTION("VALUE(SUBSTITUTE((INDEX(SPLIT(A3667,"",""),1)),""."","","",1))"),55.948357)</f>
        <v>55.948357</v>
      </c>
      <c r="Q3667" s="13">
        <f>IFERROR(__xludf.DUMMYFUNCTION("VALUE(SUBSTITUTE((INDEX(SPLIT(A3667,"",""),2)),""."","","",1))"),37.269987)</f>
        <v>37.269987</v>
      </c>
      <c r="R3667" s="14" t="b">
        <f t="shared" si="1"/>
        <v>0</v>
      </c>
      <c r="S3667" s="14" t="str">
        <f t="shared" si="2"/>
        <v>55.948357,37.269987</v>
      </c>
      <c r="T3667" s="12"/>
    </row>
    <row r="3668">
      <c r="A3668" s="20" t="s">
        <v>23629</v>
      </c>
      <c r="B3668" s="16" t="s">
        <v>23630</v>
      </c>
      <c r="C3668" s="16" t="s">
        <v>23631</v>
      </c>
      <c r="D3668" s="16" t="s">
        <v>16</v>
      </c>
      <c r="E3668" s="21" t="s">
        <v>23632</v>
      </c>
      <c r="F3668" s="22" t="s">
        <v>10183</v>
      </c>
      <c r="G3668" s="16">
        <v>23.61</v>
      </c>
      <c r="H3668" s="16"/>
      <c r="I3668" s="22"/>
      <c r="J3668" s="22" t="s">
        <v>23633</v>
      </c>
      <c r="K3668" s="22" t="s">
        <v>21849</v>
      </c>
      <c r="L3668" s="23" t="s">
        <v>23634</v>
      </c>
      <c r="M3668" s="22"/>
      <c r="N3668" s="12"/>
      <c r="O3668" s="12"/>
      <c r="P3668" s="13">
        <f>IFERROR(__xludf.DUMMYFUNCTION("VALUE(SUBSTITUTE((INDEX(SPLIT(A3668,"",""),1)),""."","","",1))"),53.601901)</f>
        <v>53.601901</v>
      </c>
      <c r="Q3668" s="13">
        <f>IFERROR(__xludf.DUMMYFUNCTION("VALUE(SUBSTITUTE((INDEX(SPLIT(A3668,"",""),2)),""."","","",1))"),55.948989)</f>
        <v>55.948989</v>
      </c>
      <c r="R3668" s="14" t="b">
        <f t="shared" si="1"/>
        <v>0</v>
      </c>
      <c r="S3668" s="14" t="str">
        <f t="shared" si="2"/>
        <v>53.601901,55.948989</v>
      </c>
      <c r="T3668" s="12"/>
    </row>
    <row r="3669">
      <c r="A3669" s="18" t="s">
        <v>23635</v>
      </c>
      <c r="B3669" s="8" t="s">
        <v>23636</v>
      </c>
      <c r="C3669" s="8" t="s">
        <v>23637</v>
      </c>
      <c r="D3669" s="8" t="s">
        <v>16</v>
      </c>
      <c r="E3669" s="19" t="s">
        <v>23638</v>
      </c>
      <c r="F3669" s="8" t="s">
        <v>18</v>
      </c>
      <c r="G3669" s="8">
        <v>23.61</v>
      </c>
      <c r="H3669" s="8"/>
      <c r="I3669" s="27" t="s">
        <v>23639</v>
      </c>
      <c r="J3669" s="8" t="s">
        <v>23640</v>
      </c>
      <c r="K3669" s="8" t="s">
        <v>23641</v>
      </c>
      <c r="L3669" s="8"/>
      <c r="M3669" s="8"/>
      <c r="N3669" s="12"/>
      <c r="O3669" s="12"/>
      <c r="P3669" s="13">
        <f>IFERROR(__xludf.DUMMYFUNCTION("VALUE(SUBSTITUTE((INDEX(SPLIT(A3669,"",""),1)),""."","","",1))"),53.678591)</f>
        <v>53.678591</v>
      </c>
      <c r="Q3669" s="13">
        <f>IFERROR(__xludf.DUMMYFUNCTION("VALUE(SUBSTITUTE((INDEX(SPLIT(A3669,"",""),2)),""."","","",1))"),55.949286)</f>
        <v>55.949286</v>
      </c>
      <c r="R3669" s="14" t="b">
        <f t="shared" si="1"/>
        <v>0</v>
      </c>
      <c r="S3669" s="14" t="str">
        <f t="shared" si="2"/>
        <v>53.678591,55.949286</v>
      </c>
      <c r="T3669" s="12"/>
    </row>
    <row r="3670">
      <c r="A3670" s="20" t="s">
        <v>23642</v>
      </c>
      <c r="B3670" s="16" t="s">
        <v>23643</v>
      </c>
      <c r="C3670" s="16" t="s">
        <v>23644</v>
      </c>
      <c r="D3670" s="16" t="s">
        <v>16</v>
      </c>
      <c r="E3670" s="21" t="s">
        <v>23645</v>
      </c>
      <c r="F3670" s="22" t="s">
        <v>10183</v>
      </c>
      <c r="G3670" s="16">
        <v>23.61</v>
      </c>
      <c r="H3670" s="16"/>
      <c r="I3670" s="22"/>
      <c r="J3670" s="22" t="s">
        <v>23646</v>
      </c>
      <c r="K3670" s="22" t="s">
        <v>21646</v>
      </c>
      <c r="L3670" s="23" t="s">
        <v>23647</v>
      </c>
      <c r="M3670" s="22"/>
      <c r="N3670" s="12"/>
      <c r="O3670" s="12"/>
      <c r="P3670" s="13">
        <f>IFERROR(__xludf.DUMMYFUNCTION("VALUE(SUBSTITUTE((INDEX(SPLIT(A3670,"",""),1)),""."","","",1))"),54.725862)</f>
        <v>54.725862</v>
      </c>
      <c r="Q3670" s="13">
        <f>IFERROR(__xludf.DUMMYFUNCTION("VALUE(SUBSTITUTE((INDEX(SPLIT(A3670,"",""),2)),""."","","",1))"),55.950921)</f>
        <v>55.950921</v>
      </c>
      <c r="R3670" s="14" t="b">
        <f t="shared" si="1"/>
        <v>0</v>
      </c>
      <c r="S3670" s="14" t="str">
        <f t="shared" si="2"/>
        <v>54.725862,55.950921</v>
      </c>
      <c r="T3670" s="12"/>
    </row>
    <row r="3671">
      <c r="A3671" s="18" t="s">
        <v>23648</v>
      </c>
      <c r="B3671" s="8" t="s">
        <v>23649</v>
      </c>
      <c r="C3671" s="8" t="s">
        <v>23650</v>
      </c>
      <c r="D3671" s="8" t="s">
        <v>16</v>
      </c>
      <c r="E3671" s="19" t="s">
        <v>23651</v>
      </c>
      <c r="F3671" s="8" t="s">
        <v>10183</v>
      </c>
      <c r="G3671" s="8">
        <v>23.61</v>
      </c>
      <c r="H3671" s="8"/>
      <c r="I3671" s="8"/>
      <c r="J3671" s="8" t="s">
        <v>23652</v>
      </c>
      <c r="K3671" s="8" t="s">
        <v>23653</v>
      </c>
      <c r="L3671" s="8"/>
      <c r="M3671" s="24" t="s">
        <v>23654</v>
      </c>
      <c r="N3671" s="12"/>
      <c r="O3671" s="12"/>
      <c r="P3671" s="13">
        <f>IFERROR(__xludf.DUMMYFUNCTION("VALUE(SUBSTITUTE((INDEX(SPLIT(A3671,"",""),1)),""."","","",1))"),54.723782)</f>
        <v>54.723782</v>
      </c>
      <c r="Q3671" s="13">
        <f>IFERROR(__xludf.DUMMYFUNCTION("VALUE(SUBSTITUTE((INDEX(SPLIT(A3671,"",""),2)),""."","","",1))"),55.951091)</f>
        <v>55.951091</v>
      </c>
      <c r="R3671" s="14" t="b">
        <f t="shared" si="1"/>
        <v>0</v>
      </c>
      <c r="S3671" s="14" t="str">
        <f t="shared" si="2"/>
        <v>54.723782,55.951091</v>
      </c>
      <c r="T3671" s="12"/>
    </row>
    <row r="3672">
      <c r="A3672" s="15" t="s">
        <v>23655</v>
      </c>
      <c r="B3672" s="16" t="s">
        <v>7675</v>
      </c>
      <c r="C3672" s="16" t="s">
        <v>7676</v>
      </c>
      <c r="D3672" s="16" t="s">
        <v>16</v>
      </c>
      <c r="E3672" s="17" t="s">
        <v>23656</v>
      </c>
      <c r="F3672" s="16" t="s">
        <v>10183</v>
      </c>
      <c r="G3672" s="16">
        <v>23.61</v>
      </c>
      <c r="H3672" s="16"/>
      <c r="I3672" s="16"/>
      <c r="J3672" s="16" t="s">
        <v>23657</v>
      </c>
      <c r="K3672" s="16" t="s">
        <v>23658</v>
      </c>
      <c r="L3672" s="16"/>
      <c r="M3672" s="16"/>
      <c r="N3672" s="12"/>
      <c r="O3672" s="12"/>
      <c r="P3672" s="13">
        <f>IFERROR(__xludf.DUMMYFUNCTION("VALUE(SUBSTITUTE((INDEX(SPLIT(A3672,"",""),1)),""."","","",1))"),53.64708)</f>
        <v>53.64708</v>
      </c>
      <c r="Q3672" s="13">
        <f>IFERROR(__xludf.DUMMYFUNCTION("VALUE(SUBSTITUTE((INDEX(SPLIT(A3672,"",""),2)),""."","","",1))"),55.953705)</f>
        <v>55.953705</v>
      </c>
      <c r="R3672" s="14" t="b">
        <f t="shared" si="1"/>
        <v>0</v>
      </c>
      <c r="S3672" s="14" t="str">
        <f t="shared" si="2"/>
        <v>53.64708,55.953705</v>
      </c>
      <c r="T3672" s="12"/>
    </row>
    <row r="3673">
      <c r="A3673" s="18" t="s">
        <v>23659</v>
      </c>
      <c r="B3673" s="8" t="s">
        <v>23660</v>
      </c>
      <c r="C3673" s="8" t="s">
        <v>23661</v>
      </c>
      <c r="D3673" s="8" t="s">
        <v>16</v>
      </c>
      <c r="E3673" s="19" t="s">
        <v>23662</v>
      </c>
      <c r="F3673" s="8" t="s">
        <v>10183</v>
      </c>
      <c r="G3673" s="8">
        <v>23.61</v>
      </c>
      <c r="H3673" s="8"/>
      <c r="I3673" s="8"/>
      <c r="J3673" s="8" t="s">
        <v>23663</v>
      </c>
      <c r="K3673" s="8" t="s">
        <v>23664</v>
      </c>
      <c r="L3673" s="8"/>
      <c r="M3673" s="8"/>
      <c r="N3673" s="12"/>
      <c r="O3673" s="12"/>
      <c r="P3673" s="13">
        <f>IFERROR(__xludf.DUMMYFUNCTION("VALUE(SUBSTITUTE((INDEX(SPLIT(A3673,"",""),1)),""."","","",1))"),55.049854)</f>
        <v>55.049854</v>
      </c>
      <c r="Q3673" s="13">
        <f>IFERROR(__xludf.DUMMYFUNCTION("VALUE(SUBSTITUTE((INDEX(SPLIT(A3673,"",""),2)),""."","","",1))"),55.955224)</f>
        <v>55.955224</v>
      </c>
      <c r="R3673" s="14" t="b">
        <f t="shared" si="1"/>
        <v>0</v>
      </c>
      <c r="S3673" s="14" t="str">
        <f t="shared" si="2"/>
        <v>55.049854,55.955224</v>
      </c>
      <c r="T3673" s="12"/>
    </row>
    <row r="3674">
      <c r="A3674" s="15" t="s">
        <v>23665</v>
      </c>
      <c r="B3674" s="16" t="s">
        <v>23666</v>
      </c>
      <c r="C3674" s="16" t="s">
        <v>23667</v>
      </c>
      <c r="D3674" s="16" t="s">
        <v>16</v>
      </c>
      <c r="E3674" s="17" t="s">
        <v>23668</v>
      </c>
      <c r="F3674" s="16" t="s">
        <v>10183</v>
      </c>
      <c r="G3674" s="16">
        <v>23.61</v>
      </c>
      <c r="H3674" s="16"/>
      <c r="I3674" s="16"/>
      <c r="J3674" s="16" t="s">
        <v>23669</v>
      </c>
      <c r="K3674" s="16" t="s">
        <v>23670</v>
      </c>
      <c r="L3674" s="16"/>
      <c r="M3674" s="16"/>
      <c r="N3674" s="12"/>
      <c r="O3674" s="12"/>
      <c r="P3674" s="13">
        <f>IFERROR(__xludf.DUMMYFUNCTION("VALUE(SUBSTITUTE((INDEX(SPLIT(A3674,"",""),1)),""."","","",1))"),54.730999)</f>
        <v>54.730999</v>
      </c>
      <c r="Q3674" s="13">
        <f>IFERROR(__xludf.DUMMYFUNCTION("VALUE(SUBSTITUTE((INDEX(SPLIT(A3674,"",""),2)),""."","","",1))"),55.955484)</f>
        <v>55.955484</v>
      </c>
      <c r="R3674" s="14" t="b">
        <f t="shared" si="1"/>
        <v>0</v>
      </c>
      <c r="S3674" s="14" t="str">
        <f t="shared" si="2"/>
        <v>54.730999,55.955484</v>
      </c>
      <c r="T3674" s="12"/>
    </row>
    <row r="3675">
      <c r="A3675" s="7" t="s">
        <v>23671</v>
      </c>
      <c r="B3675" s="8" t="s">
        <v>23672</v>
      </c>
      <c r="C3675" s="8" t="s">
        <v>19794</v>
      </c>
      <c r="D3675" s="8" t="s">
        <v>16</v>
      </c>
      <c r="E3675" s="9" t="s">
        <v>23673</v>
      </c>
      <c r="F3675" s="10" t="s">
        <v>10183</v>
      </c>
      <c r="G3675" s="8">
        <v>23.61</v>
      </c>
      <c r="H3675" s="8"/>
      <c r="I3675" s="10"/>
      <c r="J3675" s="10" t="s">
        <v>23674</v>
      </c>
      <c r="K3675" s="10" t="s">
        <v>23675</v>
      </c>
      <c r="L3675" s="11" t="s">
        <v>23676</v>
      </c>
      <c r="M3675" s="11" t="s">
        <v>23677</v>
      </c>
      <c r="N3675" s="12"/>
      <c r="O3675" s="12"/>
      <c r="P3675" s="13">
        <f>IFERROR(__xludf.DUMMYFUNCTION("VALUE(SUBSTITUTE((INDEX(SPLIT(A3675,"",""),1)),""."","","",1))"),53.632939)</f>
        <v>53.632939</v>
      </c>
      <c r="Q3675" s="13">
        <f>IFERROR(__xludf.DUMMYFUNCTION("VALUE(SUBSTITUTE((INDEX(SPLIT(A3675,"",""),2)),""."","","",1))"),55.956041)</f>
        <v>55.956041</v>
      </c>
      <c r="R3675" s="14" t="b">
        <f t="shared" si="1"/>
        <v>0</v>
      </c>
      <c r="S3675" s="14" t="str">
        <f t="shared" si="2"/>
        <v>53.632939,55.956041</v>
      </c>
      <c r="T3675" s="12"/>
    </row>
    <row r="3676">
      <c r="A3676" s="20" t="s">
        <v>23678</v>
      </c>
      <c r="B3676" s="16" t="s">
        <v>14556</v>
      </c>
      <c r="C3676" s="16" t="s">
        <v>14557</v>
      </c>
      <c r="D3676" s="16" t="s">
        <v>16</v>
      </c>
      <c r="E3676" s="21" t="s">
        <v>23679</v>
      </c>
      <c r="F3676" s="22" t="s">
        <v>10183</v>
      </c>
      <c r="G3676" s="16">
        <v>23.61</v>
      </c>
      <c r="H3676" s="16"/>
      <c r="I3676" s="22"/>
      <c r="J3676" s="22" t="s">
        <v>23680</v>
      </c>
      <c r="K3676" s="22" t="s">
        <v>23681</v>
      </c>
      <c r="L3676" s="23" t="s">
        <v>23682</v>
      </c>
      <c r="M3676" s="22"/>
      <c r="N3676" s="12"/>
      <c r="O3676" s="12"/>
      <c r="P3676" s="13">
        <f>IFERROR(__xludf.DUMMYFUNCTION("VALUE(SUBSTITUTE((INDEX(SPLIT(A3676,"",""),1)),""."","","",1))"),53.0083)</f>
        <v>53.0083</v>
      </c>
      <c r="Q3676" s="13">
        <f>IFERROR(__xludf.DUMMYFUNCTION("VALUE(SUBSTITUTE((INDEX(SPLIT(A3676,"",""),2)),""."","","",1))"),55.960039)</f>
        <v>55.960039</v>
      </c>
      <c r="R3676" s="14" t="b">
        <f t="shared" si="1"/>
        <v>0</v>
      </c>
      <c r="S3676" s="14" t="str">
        <f t="shared" si="2"/>
        <v>53.0083,55.960039</v>
      </c>
      <c r="T3676" s="12"/>
    </row>
    <row r="3677">
      <c r="A3677" s="7" t="s">
        <v>23683</v>
      </c>
      <c r="B3677" s="8" t="s">
        <v>21963</v>
      </c>
      <c r="C3677" s="8" t="s">
        <v>21964</v>
      </c>
      <c r="D3677" s="8" t="s">
        <v>16</v>
      </c>
      <c r="E3677" s="9" t="s">
        <v>23684</v>
      </c>
      <c r="F3677" s="10" t="s">
        <v>10183</v>
      </c>
      <c r="G3677" s="8">
        <v>23.61</v>
      </c>
      <c r="H3677" s="8"/>
      <c r="I3677" s="10"/>
      <c r="J3677" s="10" t="s">
        <v>23685</v>
      </c>
      <c r="K3677" s="10" t="s">
        <v>23686</v>
      </c>
      <c r="L3677" s="11" t="s">
        <v>23687</v>
      </c>
      <c r="M3677" s="10"/>
      <c r="N3677" s="12"/>
      <c r="O3677" s="12"/>
      <c r="P3677" s="13">
        <f>IFERROR(__xludf.DUMMYFUNCTION("VALUE(SUBSTITUTE((INDEX(SPLIT(A3677,"",""),1)),""."","","",1))"),53.685556)</f>
        <v>53.685556</v>
      </c>
      <c r="Q3677" s="13">
        <f>IFERROR(__xludf.DUMMYFUNCTION("VALUE(SUBSTITUTE((INDEX(SPLIT(A3677,"",""),2)),""."","","",1))"),55.962662)</f>
        <v>55.962662</v>
      </c>
      <c r="R3677" s="14" t="b">
        <f t="shared" si="1"/>
        <v>0</v>
      </c>
      <c r="S3677" s="14" t="str">
        <f t="shared" si="2"/>
        <v>53.685556,55.962662</v>
      </c>
      <c r="T3677" s="12"/>
    </row>
    <row r="3678">
      <c r="A3678" s="20" t="s">
        <v>23688</v>
      </c>
      <c r="B3678" s="16" t="s">
        <v>16977</v>
      </c>
      <c r="C3678" s="16" t="s">
        <v>16978</v>
      </c>
      <c r="D3678" s="16" t="s">
        <v>16</v>
      </c>
      <c r="E3678" s="21" t="s">
        <v>23689</v>
      </c>
      <c r="F3678" s="22" t="s">
        <v>10183</v>
      </c>
      <c r="G3678" s="16">
        <v>23.61</v>
      </c>
      <c r="H3678" s="16"/>
      <c r="I3678" s="22"/>
      <c r="J3678" s="22" t="s">
        <v>23690</v>
      </c>
      <c r="K3678" s="22" t="s">
        <v>21674</v>
      </c>
      <c r="L3678" s="23" t="s">
        <v>23691</v>
      </c>
      <c r="M3678" s="22"/>
      <c r="N3678" s="12"/>
      <c r="O3678" s="12"/>
      <c r="P3678" s="13">
        <f>IFERROR(__xludf.DUMMYFUNCTION("VALUE(SUBSTITUTE((INDEX(SPLIT(A3678,"",""),1)),""."","","",1))"),55.52996)</f>
        <v>55.52996</v>
      </c>
      <c r="Q3678" s="13">
        <f>IFERROR(__xludf.DUMMYFUNCTION("VALUE(SUBSTITUTE((INDEX(SPLIT(A3678,"",""),2)),""."","","",1))"),55.964907)</f>
        <v>55.964907</v>
      </c>
      <c r="R3678" s="14" t="b">
        <f t="shared" si="1"/>
        <v>0</v>
      </c>
      <c r="S3678" s="14" t="str">
        <f t="shared" si="2"/>
        <v>55.52996,55.964907</v>
      </c>
      <c r="T3678" s="12"/>
    </row>
    <row r="3679">
      <c r="A3679" s="18" t="s">
        <v>23692</v>
      </c>
      <c r="B3679" s="8" t="s">
        <v>23693</v>
      </c>
      <c r="C3679" s="8" t="s">
        <v>23694</v>
      </c>
      <c r="D3679" s="8" t="s">
        <v>16</v>
      </c>
      <c r="E3679" s="19" t="s">
        <v>23695</v>
      </c>
      <c r="F3679" s="8" t="s">
        <v>10183</v>
      </c>
      <c r="G3679" s="8">
        <v>23.61</v>
      </c>
      <c r="H3679" s="8"/>
      <c r="I3679" s="8"/>
      <c r="J3679" s="8" t="s">
        <v>23696</v>
      </c>
      <c r="K3679" s="8" t="s">
        <v>23697</v>
      </c>
      <c r="L3679" s="8"/>
      <c r="M3679" s="24" t="s">
        <v>23698</v>
      </c>
      <c r="N3679" s="12"/>
      <c r="O3679" s="12"/>
      <c r="P3679" s="13">
        <f>IFERROR(__xludf.DUMMYFUNCTION("VALUE(SUBSTITUTE((INDEX(SPLIT(A3679,"",""),1)),""."","","",1))"),54.741291)</f>
        <v>54.741291</v>
      </c>
      <c r="Q3679" s="13">
        <f>IFERROR(__xludf.DUMMYFUNCTION("VALUE(SUBSTITUTE((INDEX(SPLIT(A3679,"",""),2)),""."","","",1))"),55.967998)</f>
        <v>55.967998</v>
      </c>
      <c r="R3679" s="14" t="b">
        <f t="shared" si="1"/>
        <v>0</v>
      </c>
      <c r="S3679" s="14" t="str">
        <f t="shared" si="2"/>
        <v>54.741291,55.967998</v>
      </c>
      <c r="T3679" s="12"/>
    </row>
    <row r="3680">
      <c r="A3680" s="15" t="s">
        <v>23699</v>
      </c>
      <c r="B3680" s="16" t="s">
        <v>23700</v>
      </c>
      <c r="C3680" s="16" t="s">
        <v>23701</v>
      </c>
      <c r="D3680" s="16" t="s">
        <v>16</v>
      </c>
      <c r="E3680" s="17" t="s">
        <v>23702</v>
      </c>
      <c r="F3680" s="16" t="s">
        <v>10183</v>
      </c>
      <c r="G3680" s="16">
        <v>23.61</v>
      </c>
      <c r="H3680" s="16"/>
      <c r="I3680" s="16"/>
      <c r="J3680" s="16" t="s">
        <v>23703</v>
      </c>
      <c r="K3680" s="16" t="s">
        <v>23704</v>
      </c>
      <c r="L3680" s="16"/>
      <c r="M3680" s="16"/>
      <c r="N3680" s="12"/>
      <c r="O3680" s="12"/>
      <c r="P3680" s="13">
        <f>IFERROR(__xludf.DUMMYFUNCTION("VALUE(SUBSTITUTE((INDEX(SPLIT(A3680,"",""),1)),""."","","",1))"),54.715982)</f>
        <v>54.715982</v>
      </c>
      <c r="Q3680" s="13">
        <f>IFERROR(__xludf.DUMMYFUNCTION("VALUE(SUBSTITUTE((INDEX(SPLIT(A3680,"",""),2)),""."","","",1))"),55.970567)</f>
        <v>55.970567</v>
      </c>
      <c r="R3680" s="14" t="b">
        <f t="shared" si="1"/>
        <v>0</v>
      </c>
      <c r="S3680" s="14" t="str">
        <f t="shared" si="2"/>
        <v>54.715982,55.970567</v>
      </c>
      <c r="T3680" s="12"/>
    </row>
    <row r="3681">
      <c r="A3681" s="7" t="s">
        <v>23705</v>
      </c>
      <c r="B3681" s="8" t="s">
        <v>23706</v>
      </c>
      <c r="C3681" s="8" t="s">
        <v>23707</v>
      </c>
      <c r="D3681" s="8" t="s">
        <v>16</v>
      </c>
      <c r="E3681" s="9" t="s">
        <v>23708</v>
      </c>
      <c r="F3681" s="10" t="s">
        <v>10183</v>
      </c>
      <c r="G3681" s="8">
        <v>23.61</v>
      </c>
      <c r="H3681" s="8"/>
      <c r="I3681" s="10"/>
      <c r="J3681" s="10" t="s">
        <v>23709</v>
      </c>
      <c r="K3681" s="10" t="s">
        <v>23710</v>
      </c>
      <c r="L3681" s="11" t="s">
        <v>23711</v>
      </c>
      <c r="M3681" s="10"/>
      <c r="N3681" s="12"/>
      <c r="O3681" s="12"/>
      <c r="P3681" s="13">
        <f>IFERROR(__xludf.DUMMYFUNCTION("VALUE(SUBSTITUTE((INDEX(SPLIT(A3681,"",""),1)),""."","","",1))"),53.689145)</f>
        <v>53.689145</v>
      </c>
      <c r="Q3681" s="13">
        <f>IFERROR(__xludf.DUMMYFUNCTION("VALUE(SUBSTITUTE((INDEX(SPLIT(A3681,"",""),2)),""."","","",1))"),55.970729)</f>
        <v>55.970729</v>
      </c>
      <c r="R3681" s="14" t="b">
        <f t="shared" si="1"/>
        <v>0</v>
      </c>
      <c r="S3681" s="14" t="str">
        <f t="shared" si="2"/>
        <v>53.689145,55.970729</v>
      </c>
      <c r="T3681" s="12"/>
    </row>
    <row r="3682">
      <c r="A3682" s="20" t="s">
        <v>23712</v>
      </c>
      <c r="B3682" s="16" t="s">
        <v>23713</v>
      </c>
      <c r="C3682" s="16" t="s">
        <v>23714</v>
      </c>
      <c r="D3682" s="16" t="s">
        <v>16</v>
      </c>
      <c r="E3682" s="21" t="s">
        <v>23715</v>
      </c>
      <c r="F3682" s="22" t="s">
        <v>10183</v>
      </c>
      <c r="G3682" s="16">
        <v>23.61</v>
      </c>
      <c r="H3682" s="16"/>
      <c r="I3682" s="22"/>
      <c r="J3682" s="22" t="s">
        <v>23716</v>
      </c>
      <c r="K3682" s="22" t="s">
        <v>23717</v>
      </c>
      <c r="L3682" s="23" t="s">
        <v>23718</v>
      </c>
      <c r="M3682" s="22"/>
      <c r="N3682" s="12"/>
      <c r="O3682" s="12"/>
      <c r="P3682" s="13">
        <f>IFERROR(__xludf.DUMMYFUNCTION("VALUE(SUBSTITUTE((INDEX(SPLIT(A3682,"",""),1)),""."","","",1))"),53.652193)</f>
        <v>53.652193</v>
      </c>
      <c r="Q3682" s="13">
        <f>IFERROR(__xludf.DUMMYFUNCTION("VALUE(SUBSTITUTE((INDEX(SPLIT(A3682,"",""),2)),""."","","",1))"),55.974879)</f>
        <v>55.974879</v>
      </c>
      <c r="R3682" s="14" t="b">
        <f t="shared" si="1"/>
        <v>0</v>
      </c>
      <c r="S3682" s="14" t="str">
        <f t="shared" si="2"/>
        <v>53.652193,55.974879</v>
      </c>
      <c r="T3682" s="12"/>
    </row>
    <row r="3683">
      <c r="A3683" s="18" t="s">
        <v>23712</v>
      </c>
      <c r="B3683" s="8" t="s">
        <v>23719</v>
      </c>
      <c r="C3683" s="8" t="s">
        <v>23720</v>
      </c>
      <c r="D3683" s="8" t="s">
        <v>16</v>
      </c>
      <c r="E3683" s="19" t="s">
        <v>23721</v>
      </c>
      <c r="F3683" s="8" t="s">
        <v>10183</v>
      </c>
      <c r="G3683" s="8">
        <v>23.61</v>
      </c>
      <c r="H3683" s="8"/>
      <c r="I3683" s="8"/>
      <c r="J3683" s="8" t="s">
        <v>23722</v>
      </c>
      <c r="K3683" s="8" t="s">
        <v>23723</v>
      </c>
      <c r="L3683" s="8"/>
      <c r="M3683" s="8"/>
      <c r="N3683" s="12"/>
      <c r="O3683" s="12"/>
      <c r="P3683" s="13">
        <f>IFERROR(__xludf.DUMMYFUNCTION("VALUE(SUBSTITUTE((INDEX(SPLIT(A3683,"",""),1)),""."","","",1))"),53.652193)</f>
        <v>53.652193</v>
      </c>
      <c r="Q3683" s="13">
        <f>IFERROR(__xludf.DUMMYFUNCTION("VALUE(SUBSTITUTE((INDEX(SPLIT(A3683,"",""),2)),""."","","",1))"),55.974879)</f>
        <v>55.974879</v>
      </c>
      <c r="R3683" s="14" t="b">
        <f t="shared" si="1"/>
        <v>0</v>
      </c>
      <c r="S3683" s="14" t="str">
        <f t="shared" si="2"/>
        <v>53.652193,55.974879</v>
      </c>
      <c r="T3683" s="12"/>
    </row>
    <row r="3684">
      <c r="A3684" s="15" t="s">
        <v>23724</v>
      </c>
      <c r="B3684" s="16" t="s">
        <v>23725</v>
      </c>
      <c r="C3684" s="16" t="s">
        <v>23726</v>
      </c>
      <c r="D3684" s="16" t="s">
        <v>16</v>
      </c>
      <c r="E3684" s="17" t="s">
        <v>23727</v>
      </c>
      <c r="F3684" s="16" t="s">
        <v>10183</v>
      </c>
      <c r="G3684" s="16">
        <v>23.61</v>
      </c>
      <c r="H3684" s="16"/>
      <c r="I3684" s="16"/>
      <c r="J3684" s="16" t="s">
        <v>23728</v>
      </c>
      <c r="K3684" s="16" t="s">
        <v>23729</v>
      </c>
      <c r="L3684" s="16"/>
      <c r="M3684" s="16"/>
      <c r="N3684" s="12"/>
      <c r="O3684" s="12"/>
      <c r="P3684" s="13">
        <f>IFERROR(__xludf.DUMMYFUNCTION("VALUE(SUBSTITUTE((INDEX(SPLIT(A3684,"",""),1)),""."","","",1))"),55.028465)</f>
        <v>55.028465</v>
      </c>
      <c r="Q3684" s="13">
        <f>IFERROR(__xludf.DUMMYFUNCTION("VALUE(SUBSTITUTE((INDEX(SPLIT(A3684,"",""),2)),""."","","",1))"),55.975157)</f>
        <v>55.975157</v>
      </c>
      <c r="R3684" s="14" t="b">
        <f t="shared" si="1"/>
        <v>0</v>
      </c>
      <c r="S3684" s="14" t="str">
        <f t="shared" si="2"/>
        <v>55.028465,55.975157</v>
      </c>
      <c r="T3684" s="12"/>
    </row>
    <row r="3685">
      <c r="A3685" s="18" t="s">
        <v>23730</v>
      </c>
      <c r="B3685" s="8" t="s">
        <v>23731</v>
      </c>
      <c r="C3685" s="8" t="s">
        <v>23732</v>
      </c>
      <c r="D3685" s="8" t="s">
        <v>16</v>
      </c>
      <c r="E3685" s="19" t="s">
        <v>23733</v>
      </c>
      <c r="F3685" s="8" t="s">
        <v>10183</v>
      </c>
      <c r="G3685" s="8">
        <v>23.61</v>
      </c>
      <c r="H3685" s="8"/>
      <c r="I3685" s="8"/>
      <c r="J3685" s="8" t="s">
        <v>23734</v>
      </c>
      <c r="K3685" s="8" t="s">
        <v>23735</v>
      </c>
      <c r="L3685" s="8"/>
      <c r="M3685" s="8"/>
      <c r="N3685" s="12"/>
      <c r="O3685" s="12"/>
      <c r="P3685" s="13">
        <f>IFERROR(__xludf.DUMMYFUNCTION("VALUE(SUBSTITUTE((INDEX(SPLIT(A3685,"",""),1)),""."","","",1))"),53.613323)</f>
        <v>53.613323</v>
      </c>
      <c r="Q3685" s="13">
        <f>IFERROR(__xludf.DUMMYFUNCTION("VALUE(SUBSTITUTE((INDEX(SPLIT(A3685,"",""),2)),""."","","",1))"),55.975355)</f>
        <v>55.975355</v>
      </c>
      <c r="R3685" s="14" t="b">
        <f t="shared" si="1"/>
        <v>0</v>
      </c>
      <c r="S3685" s="14" t="str">
        <f t="shared" si="2"/>
        <v>53.613323,55.975355</v>
      </c>
      <c r="T3685" s="12"/>
    </row>
    <row r="3686">
      <c r="A3686" s="20" t="s">
        <v>23736</v>
      </c>
      <c r="B3686" s="16" t="s">
        <v>23737</v>
      </c>
      <c r="C3686" s="16" t="s">
        <v>23738</v>
      </c>
      <c r="D3686" s="16" t="s">
        <v>16</v>
      </c>
      <c r="E3686" s="21" t="s">
        <v>23739</v>
      </c>
      <c r="F3686" s="22" t="s">
        <v>10183</v>
      </c>
      <c r="G3686" s="16">
        <v>23.61</v>
      </c>
      <c r="H3686" s="16"/>
      <c r="I3686" s="22"/>
      <c r="J3686" s="22" t="s">
        <v>23740</v>
      </c>
      <c r="K3686" s="22" t="s">
        <v>23741</v>
      </c>
      <c r="L3686" s="23" t="s">
        <v>23742</v>
      </c>
      <c r="M3686" s="22"/>
      <c r="N3686" s="12"/>
      <c r="O3686" s="12"/>
      <c r="P3686" s="13">
        <f>IFERROR(__xludf.DUMMYFUNCTION("VALUE(SUBSTITUTE((INDEX(SPLIT(A3686,"",""),1)),""."","","",1))"),53.652855)</f>
        <v>53.652855</v>
      </c>
      <c r="Q3686" s="13">
        <f>IFERROR(__xludf.DUMMYFUNCTION("VALUE(SUBSTITUTE((INDEX(SPLIT(A3686,"",""),2)),""."","","",1))"),55.975741)</f>
        <v>55.975741</v>
      </c>
      <c r="R3686" s="14" t="b">
        <f t="shared" si="1"/>
        <v>0</v>
      </c>
      <c r="S3686" s="14" t="str">
        <f t="shared" si="2"/>
        <v>53.652855,55.975741</v>
      </c>
      <c r="T3686" s="12"/>
    </row>
    <row r="3687">
      <c r="A3687" s="7" t="s">
        <v>23736</v>
      </c>
      <c r="B3687" s="8" t="s">
        <v>23743</v>
      </c>
      <c r="C3687" s="8" t="s">
        <v>23744</v>
      </c>
      <c r="D3687" s="8" t="s">
        <v>16</v>
      </c>
      <c r="E3687" s="9" t="s">
        <v>23745</v>
      </c>
      <c r="F3687" s="10" t="s">
        <v>10183</v>
      </c>
      <c r="G3687" s="8">
        <v>23.61</v>
      </c>
      <c r="H3687" s="8"/>
      <c r="I3687" s="10"/>
      <c r="J3687" s="10" t="s">
        <v>23746</v>
      </c>
      <c r="K3687" s="10" t="s">
        <v>23747</v>
      </c>
      <c r="L3687" s="11" t="s">
        <v>23748</v>
      </c>
      <c r="M3687" s="10"/>
      <c r="N3687" s="12"/>
      <c r="O3687" s="12"/>
      <c r="P3687" s="13">
        <f>IFERROR(__xludf.DUMMYFUNCTION("VALUE(SUBSTITUTE((INDEX(SPLIT(A3687,"",""),1)),""."","","",1))"),53.652855)</f>
        <v>53.652855</v>
      </c>
      <c r="Q3687" s="13">
        <f>IFERROR(__xludf.DUMMYFUNCTION("VALUE(SUBSTITUTE((INDEX(SPLIT(A3687,"",""),2)),""."","","",1))"),55.975741)</f>
        <v>55.975741</v>
      </c>
      <c r="R3687" s="14" t="b">
        <f t="shared" si="1"/>
        <v>0</v>
      </c>
      <c r="S3687" s="14" t="str">
        <f t="shared" si="2"/>
        <v>53.652855,55.975741</v>
      </c>
      <c r="T3687" s="12"/>
    </row>
    <row r="3688">
      <c r="A3688" s="15" t="s">
        <v>23736</v>
      </c>
      <c r="B3688" s="16" t="s">
        <v>23749</v>
      </c>
      <c r="C3688" s="16" t="s">
        <v>23750</v>
      </c>
      <c r="D3688" s="16" t="s">
        <v>16</v>
      </c>
      <c r="E3688" s="17" t="s">
        <v>23751</v>
      </c>
      <c r="F3688" s="16" t="s">
        <v>10183</v>
      </c>
      <c r="G3688" s="16">
        <v>23.61</v>
      </c>
      <c r="H3688" s="16"/>
      <c r="I3688" s="16"/>
      <c r="J3688" s="16" t="s">
        <v>23752</v>
      </c>
      <c r="K3688" s="16" t="s">
        <v>23753</v>
      </c>
      <c r="L3688" s="16"/>
      <c r="M3688" s="16"/>
      <c r="N3688" s="12"/>
      <c r="O3688" s="12"/>
      <c r="P3688" s="13">
        <f>IFERROR(__xludf.DUMMYFUNCTION("VALUE(SUBSTITUTE((INDEX(SPLIT(A3688,"",""),1)),""."","","",1))"),53.652855)</f>
        <v>53.652855</v>
      </c>
      <c r="Q3688" s="13">
        <f>IFERROR(__xludf.DUMMYFUNCTION("VALUE(SUBSTITUTE((INDEX(SPLIT(A3688,"",""),2)),""."","","",1))"),55.975741)</f>
        <v>55.975741</v>
      </c>
      <c r="R3688" s="14" t="b">
        <f t="shared" si="1"/>
        <v>0</v>
      </c>
      <c r="S3688" s="14" t="str">
        <f t="shared" si="2"/>
        <v>53.652855,55.975741</v>
      </c>
      <c r="T3688" s="12"/>
    </row>
    <row r="3689">
      <c r="A3689" s="7" t="s">
        <v>23754</v>
      </c>
      <c r="B3689" s="8" t="s">
        <v>23755</v>
      </c>
      <c r="C3689" s="8" t="s">
        <v>23756</v>
      </c>
      <c r="D3689" s="8" t="s">
        <v>16</v>
      </c>
      <c r="E3689" s="9" t="s">
        <v>23757</v>
      </c>
      <c r="F3689" s="10" t="s">
        <v>10183</v>
      </c>
      <c r="G3689" s="8">
        <v>23.61</v>
      </c>
      <c r="H3689" s="8"/>
      <c r="I3689" s="31" t="s">
        <v>23758</v>
      </c>
      <c r="J3689" s="10" t="s">
        <v>23759</v>
      </c>
      <c r="K3689" s="10" t="s">
        <v>23760</v>
      </c>
      <c r="L3689" s="11" t="s">
        <v>23761</v>
      </c>
      <c r="M3689" s="10"/>
      <c r="N3689" s="12"/>
      <c r="O3689" s="12"/>
      <c r="P3689" s="13">
        <f>IFERROR(__xludf.DUMMYFUNCTION("VALUE(SUBSTITUTE((INDEX(SPLIT(A3689,"",""),1)),""."","","",1))"),54.680342)</f>
        <v>54.680342</v>
      </c>
      <c r="Q3689" s="13">
        <f>IFERROR(__xludf.DUMMYFUNCTION("VALUE(SUBSTITUTE((INDEX(SPLIT(A3689,"",""),2)),""."","","",1))"),55.978032)</f>
        <v>55.978032</v>
      </c>
      <c r="R3689" s="14" t="b">
        <f t="shared" si="1"/>
        <v>0</v>
      </c>
      <c r="S3689" s="14" t="str">
        <f t="shared" si="2"/>
        <v>54.680342,55.978032</v>
      </c>
      <c r="T3689" s="12"/>
    </row>
    <row r="3690">
      <c r="A3690" s="20" t="s">
        <v>23762</v>
      </c>
      <c r="B3690" s="16" t="s">
        <v>23763</v>
      </c>
      <c r="C3690" s="16" t="s">
        <v>23764</v>
      </c>
      <c r="D3690" s="16" t="s">
        <v>16</v>
      </c>
      <c r="E3690" s="21" t="s">
        <v>23765</v>
      </c>
      <c r="F3690" s="22" t="s">
        <v>10183</v>
      </c>
      <c r="G3690" s="16">
        <v>23.61</v>
      </c>
      <c r="H3690" s="16"/>
      <c r="I3690" s="22"/>
      <c r="J3690" s="22" t="s">
        <v>23759</v>
      </c>
      <c r="K3690" s="22" t="s">
        <v>23766</v>
      </c>
      <c r="L3690" s="23" t="s">
        <v>23767</v>
      </c>
      <c r="M3690" s="22"/>
      <c r="N3690" s="12"/>
      <c r="O3690" s="12"/>
      <c r="P3690" s="13">
        <f>IFERROR(__xludf.DUMMYFUNCTION("VALUE(SUBSTITUTE((INDEX(SPLIT(A3690,"",""),1)),""."","","",1))"),54.73456)</f>
        <v>54.73456</v>
      </c>
      <c r="Q3690" s="13">
        <f>IFERROR(__xludf.DUMMYFUNCTION("VALUE(SUBSTITUTE((INDEX(SPLIT(A3690,"",""),2)),""."","","",1))"),55.981526)</f>
        <v>55.981526</v>
      </c>
      <c r="R3690" s="14" t="b">
        <f t="shared" si="1"/>
        <v>0</v>
      </c>
      <c r="S3690" s="14" t="str">
        <f t="shared" si="2"/>
        <v>54.73456,55.981526</v>
      </c>
      <c r="T3690" s="12"/>
    </row>
    <row r="3691">
      <c r="A3691" s="18" t="s">
        <v>23768</v>
      </c>
      <c r="B3691" s="8" t="s">
        <v>23769</v>
      </c>
      <c r="C3691" s="8" t="s">
        <v>23770</v>
      </c>
      <c r="D3691" s="8" t="s">
        <v>16</v>
      </c>
      <c r="E3691" s="19" t="s">
        <v>23771</v>
      </c>
      <c r="F3691" s="8" t="s">
        <v>10183</v>
      </c>
      <c r="G3691" s="8">
        <v>23.61</v>
      </c>
      <c r="H3691" s="8"/>
      <c r="I3691" s="8"/>
      <c r="J3691" s="8" t="s">
        <v>23772</v>
      </c>
      <c r="K3691" s="8" t="s">
        <v>23773</v>
      </c>
      <c r="L3691" s="8"/>
      <c r="M3691" s="8"/>
      <c r="N3691" s="12"/>
      <c r="O3691" s="12"/>
      <c r="P3691" s="13">
        <f>IFERROR(__xludf.DUMMYFUNCTION("VALUE(SUBSTITUTE((INDEX(SPLIT(A3691,"",""),1)),""."","","",1))"),54.739872)</f>
        <v>54.739872</v>
      </c>
      <c r="Q3691" s="13">
        <f>IFERROR(__xludf.DUMMYFUNCTION("VALUE(SUBSTITUTE((INDEX(SPLIT(A3691,"",""),2)),""."","","",1))"),55.982523)</f>
        <v>55.982523</v>
      </c>
      <c r="R3691" s="14" t="b">
        <f t="shared" si="1"/>
        <v>0</v>
      </c>
      <c r="S3691" s="14" t="str">
        <f t="shared" si="2"/>
        <v>54.739872,55.982523</v>
      </c>
      <c r="T3691" s="12"/>
    </row>
    <row r="3692">
      <c r="A3692" s="20" t="s">
        <v>23768</v>
      </c>
      <c r="B3692" s="16" t="s">
        <v>23774</v>
      </c>
      <c r="C3692" s="16" t="s">
        <v>23775</v>
      </c>
      <c r="D3692" s="16" t="s">
        <v>16</v>
      </c>
      <c r="E3692" s="21" t="s">
        <v>23776</v>
      </c>
      <c r="F3692" s="22" t="s">
        <v>10183</v>
      </c>
      <c r="G3692" s="16">
        <v>23.61</v>
      </c>
      <c r="H3692" s="16"/>
      <c r="I3692" s="22"/>
      <c r="J3692" s="22" t="s">
        <v>23777</v>
      </c>
      <c r="K3692" s="22" t="s">
        <v>23778</v>
      </c>
      <c r="L3692" s="23" t="s">
        <v>23779</v>
      </c>
      <c r="M3692" s="22"/>
      <c r="N3692" s="12"/>
      <c r="O3692" s="12"/>
      <c r="P3692" s="13">
        <f>IFERROR(__xludf.DUMMYFUNCTION("VALUE(SUBSTITUTE((INDEX(SPLIT(A3692,"",""),1)),""."","","",1))"),54.739872)</f>
        <v>54.739872</v>
      </c>
      <c r="Q3692" s="13">
        <f>IFERROR(__xludf.DUMMYFUNCTION("VALUE(SUBSTITUTE((INDEX(SPLIT(A3692,"",""),2)),""."","","",1))"),55.982523)</f>
        <v>55.982523</v>
      </c>
      <c r="R3692" s="14" t="b">
        <f t="shared" si="1"/>
        <v>0</v>
      </c>
      <c r="S3692" s="14" t="str">
        <f t="shared" si="2"/>
        <v>54.739872,55.982523</v>
      </c>
      <c r="T3692" s="12"/>
    </row>
    <row r="3693">
      <c r="A3693" s="18" t="s">
        <v>23780</v>
      </c>
      <c r="B3693" s="8" t="s">
        <v>23781</v>
      </c>
      <c r="C3693" s="8" t="s">
        <v>23782</v>
      </c>
      <c r="D3693" s="8" t="s">
        <v>16</v>
      </c>
      <c r="E3693" s="19" t="s">
        <v>23783</v>
      </c>
      <c r="F3693" s="8" t="s">
        <v>10183</v>
      </c>
      <c r="G3693" s="8">
        <v>23.61</v>
      </c>
      <c r="H3693" s="8"/>
      <c r="I3693" s="8"/>
      <c r="J3693" s="8" t="s">
        <v>23784</v>
      </c>
      <c r="K3693" s="8" t="s">
        <v>23785</v>
      </c>
      <c r="L3693" s="8"/>
      <c r="M3693" s="8"/>
      <c r="N3693" s="12"/>
      <c r="O3693" s="12"/>
      <c r="P3693" s="13">
        <f>IFERROR(__xludf.DUMMYFUNCTION("VALUE(SUBSTITUTE((INDEX(SPLIT(A3693,"",""),1)),""."","","",1))"),54.730578)</f>
        <v>54.730578</v>
      </c>
      <c r="Q3693" s="13">
        <f>IFERROR(__xludf.DUMMYFUNCTION("VALUE(SUBSTITUTE((INDEX(SPLIT(A3693,"",""),2)),""."","","",1))"),55.983053)</f>
        <v>55.983053</v>
      </c>
      <c r="R3693" s="14" t="b">
        <f t="shared" si="1"/>
        <v>0</v>
      </c>
      <c r="S3693" s="14" t="str">
        <f t="shared" si="2"/>
        <v>54.730578,55.983053</v>
      </c>
      <c r="T3693" s="12"/>
    </row>
    <row r="3694">
      <c r="A3694" s="20" t="s">
        <v>23786</v>
      </c>
      <c r="B3694" s="16" t="s">
        <v>23787</v>
      </c>
      <c r="C3694" s="16" t="s">
        <v>23788</v>
      </c>
      <c r="D3694" s="16" t="s">
        <v>16</v>
      </c>
      <c r="E3694" s="21" t="s">
        <v>23789</v>
      </c>
      <c r="F3694" s="22" t="s">
        <v>10183</v>
      </c>
      <c r="G3694" s="16">
        <v>23.61</v>
      </c>
      <c r="H3694" s="16"/>
      <c r="I3694" s="22"/>
      <c r="J3694" s="22" t="s">
        <v>23790</v>
      </c>
      <c r="K3694" s="22" t="s">
        <v>23791</v>
      </c>
      <c r="L3694" s="23" t="s">
        <v>23792</v>
      </c>
      <c r="M3694" s="22"/>
      <c r="N3694" s="12"/>
      <c r="O3694" s="12"/>
      <c r="P3694" s="13">
        <f>IFERROR(__xludf.DUMMYFUNCTION("VALUE(SUBSTITUTE((INDEX(SPLIT(A3694,"",""),1)),""."","","",1))"),53.653074)</f>
        <v>53.653074</v>
      </c>
      <c r="Q3694" s="13">
        <f>IFERROR(__xludf.DUMMYFUNCTION("VALUE(SUBSTITUTE((INDEX(SPLIT(A3694,"",""),2)),""."","","",1))"),55.988991)</f>
        <v>55.988991</v>
      </c>
      <c r="R3694" s="14" t="b">
        <f t="shared" si="1"/>
        <v>0</v>
      </c>
      <c r="S3694" s="14" t="str">
        <f t="shared" si="2"/>
        <v>53.653074,55.988991</v>
      </c>
      <c r="T3694" s="12"/>
    </row>
    <row r="3695">
      <c r="A3695" s="7" t="s">
        <v>23793</v>
      </c>
      <c r="B3695" s="8" t="s">
        <v>23794</v>
      </c>
      <c r="C3695" s="8" t="s">
        <v>23795</v>
      </c>
      <c r="D3695" s="8" t="s">
        <v>16</v>
      </c>
      <c r="E3695" s="9" t="s">
        <v>23796</v>
      </c>
      <c r="F3695" s="10" t="s">
        <v>10183</v>
      </c>
      <c r="G3695" s="8">
        <v>23.61</v>
      </c>
      <c r="H3695" s="8"/>
      <c r="I3695" s="10"/>
      <c r="J3695" s="10" t="s">
        <v>23797</v>
      </c>
      <c r="K3695" s="10" t="s">
        <v>23798</v>
      </c>
      <c r="L3695" s="11" t="s">
        <v>23799</v>
      </c>
      <c r="M3695" s="11" t="s">
        <v>23800</v>
      </c>
      <c r="N3695" s="12"/>
      <c r="O3695" s="12"/>
      <c r="P3695" s="13">
        <f>IFERROR(__xludf.DUMMYFUNCTION("VALUE(SUBSTITUTE((INDEX(SPLIT(A3695,"",""),1)),""."","","",1))"),53.678783)</f>
        <v>53.678783</v>
      </c>
      <c r="Q3695" s="13">
        <f>IFERROR(__xludf.DUMMYFUNCTION("VALUE(SUBSTITUTE((INDEX(SPLIT(A3695,"",""),2)),""."","","",1))"),55.994462)</f>
        <v>55.994462</v>
      </c>
      <c r="R3695" s="14" t="b">
        <f t="shared" si="1"/>
        <v>0</v>
      </c>
      <c r="S3695" s="14" t="str">
        <f t="shared" si="2"/>
        <v>53.678783,55.994462</v>
      </c>
      <c r="T3695" s="12"/>
    </row>
    <row r="3696">
      <c r="A3696" s="15" t="s">
        <v>23801</v>
      </c>
      <c r="B3696" s="16" t="s">
        <v>2582</v>
      </c>
      <c r="C3696" s="16" t="s">
        <v>2583</v>
      </c>
      <c r="D3696" s="16" t="s">
        <v>16</v>
      </c>
      <c r="E3696" s="17" t="s">
        <v>23802</v>
      </c>
      <c r="F3696" s="16" t="s">
        <v>10183</v>
      </c>
      <c r="G3696" s="16">
        <v>23.61</v>
      </c>
      <c r="H3696" s="16"/>
      <c r="I3696" s="16"/>
      <c r="J3696" s="16" t="s">
        <v>23803</v>
      </c>
      <c r="K3696" s="16" t="s">
        <v>23804</v>
      </c>
      <c r="L3696" s="16"/>
      <c r="M3696" s="16"/>
      <c r="N3696" s="12"/>
      <c r="O3696" s="12"/>
      <c r="P3696" s="13">
        <f>IFERROR(__xludf.DUMMYFUNCTION("VALUE(SUBSTITUTE((INDEX(SPLIT(A3696,"",""),1)),""."","","",1))"),53.684676)</f>
        <v>53.684676</v>
      </c>
      <c r="Q3696" s="13">
        <f>IFERROR(__xludf.DUMMYFUNCTION("VALUE(SUBSTITUTE((INDEX(SPLIT(A3696,"",""),2)),""."","","",1))"),55.995944)</f>
        <v>55.995944</v>
      </c>
      <c r="R3696" s="14" t="b">
        <f t="shared" si="1"/>
        <v>0</v>
      </c>
      <c r="S3696" s="14" t="str">
        <f t="shared" si="2"/>
        <v>53.684676,55.995944</v>
      </c>
      <c r="T3696" s="12"/>
    </row>
    <row r="3697">
      <c r="A3697" s="7" t="s">
        <v>23805</v>
      </c>
      <c r="B3697" s="8" t="s">
        <v>23806</v>
      </c>
      <c r="C3697" s="8" t="s">
        <v>23807</v>
      </c>
      <c r="D3697" s="8" t="s">
        <v>16</v>
      </c>
      <c r="E3697" s="9" t="s">
        <v>23808</v>
      </c>
      <c r="F3697" s="10" t="s">
        <v>5142</v>
      </c>
      <c r="G3697" s="8">
        <v>23.61</v>
      </c>
      <c r="H3697" s="8"/>
      <c r="I3697" s="10"/>
      <c r="J3697" s="10" t="s">
        <v>23809</v>
      </c>
      <c r="K3697" s="10" t="s">
        <v>23810</v>
      </c>
      <c r="L3697" s="11" t="s">
        <v>23811</v>
      </c>
      <c r="M3697" s="10"/>
      <c r="N3697" s="12"/>
      <c r="O3697" s="12"/>
      <c r="P3697" s="13">
        <f>IFERROR(__xludf.DUMMYFUNCTION("VALUE(SUBSTITUTE((INDEX(SPLIT(A3697,"",""),1)),""."","","",1))"),53.690222)</f>
        <v>53.690222</v>
      </c>
      <c r="Q3697" s="13">
        <f>IFERROR(__xludf.DUMMYFUNCTION("VALUE(SUBSTITUTE((INDEX(SPLIT(A3697,"",""),2)),""."","","",1))"),55.996798)</f>
        <v>55.996798</v>
      </c>
      <c r="R3697" s="14" t="b">
        <f t="shared" si="1"/>
        <v>0</v>
      </c>
      <c r="S3697" s="14" t="str">
        <f t="shared" si="2"/>
        <v>53.690222,55.996798</v>
      </c>
      <c r="T3697" s="12"/>
    </row>
    <row r="3698">
      <c r="A3698" s="15" t="s">
        <v>23812</v>
      </c>
      <c r="B3698" s="16" t="s">
        <v>23813</v>
      </c>
      <c r="C3698" s="16" t="s">
        <v>23814</v>
      </c>
      <c r="D3698" s="16" t="s">
        <v>16</v>
      </c>
      <c r="E3698" s="17" t="s">
        <v>23815</v>
      </c>
      <c r="F3698" s="16" t="s">
        <v>10183</v>
      </c>
      <c r="G3698" s="16">
        <v>23.61</v>
      </c>
      <c r="H3698" s="16"/>
      <c r="I3698" s="16"/>
      <c r="J3698" s="16" t="s">
        <v>23816</v>
      </c>
      <c r="K3698" s="16" t="s">
        <v>23817</v>
      </c>
      <c r="L3698" s="16"/>
      <c r="M3698" s="16"/>
      <c r="N3698" s="12"/>
      <c r="O3698" s="12"/>
      <c r="P3698" s="13">
        <f>IFERROR(__xludf.DUMMYFUNCTION("VALUE(SUBSTITUTE((INDEX(SPLIT(A3698,"",""),1)),""."","","",1))"),55.042298)</f>
        <v>55.042298</v>
      </c>
      <c r="Q3698" s="13">
        <f>IFERROR(__xludf.DUMMYFUNCTION("VALUE(SUBSTITUTE((INDEX(SPLIT(A3698,"",""),2)),""."","","",1))"),55.998594)</f>
        <v>55.998594</v>
      </c>
      <c r="R3698" s="14" t="b">
        <f t="shared" si="1"/>
        <v>0</v>
      </c>
      <c r="S3698" s="14" t="str">
        <f t="shared" si="2"/>
        <v>55.042298,55.998594</v>
      </c>
      <c r="T3698" s="12"/>
    </row>
    <row r="3699">
      <c r="A3699" s="7" t="s">
        <v>23812</v>
      </c>
      <c r="B3699" s="8" t="s">
        <v>23818</v>
      </c>
      <c r="C3699" s="8" t="s">
        <v>23819</v>
      </c>
      <c r="D3699" s="8" t="s">
        <v>16</v>
      </c>
      <c r="E3699" s="9" t="s">
        <v>23820</v>
      </c>
      <c r="F3699" s="10" t="s">
        <v>10183</v>
      </c>
      <c r="G3699" s="8">
        <v>23.61</v>
      </c>
      <c r="H3699" s="8"/>
      <c r="I3699" s="10"/>
      <c r="J3699" s="10" t="s">
        <v>23821</v>
      </c>
      <c r="K3699" s="10" t="s">
        <v>23822</v>
      </c>
      <c r="L3699" s="11" t="s">
        <v>23823</v>
      </c>
      <c r="M3699" s="10"/>
      <c r="N3699" s="12"/>
      <c r="O3699" s="12"/>
      <c r="P3699" s="13">
        <f>IFERROR(__xludf.DUMMYFUNCTION("VALUE(SUBSTITUTE((INDEX(SPLIT(A3699,"",""),1)),""."","","",1))"),55.042298)</f>
        <v>55.042298</v>
      </c>
      <c r="Q3699" s="13">
        <f>IFERROR(__xludf.DUMMYFUNCTION("VALUE(SUBSTITUTE((INDEX(SPLIT(A3699,"",""),2)),""."","","",1))"),55.998594)</f>
        <v>55.998594</v>
      </c>
      <c r="R3699" s="14" t="b">
        <f t="shared" si="1"/>
        <v>0</v>
      </c>
      <c r="S3699" s="14" t="str">
        <f t="shared" si="2"/>
        <v>55.042298,55.998594</v>
      </c>
      <c r="T3699" s="12"/>
    </row>
    <row r="3700">
      <c r="A3700" s="20" t="s">
        <v>23812</v>
      </c>
      <c r="B3700" s="16" t="s">
        <v>23824</v>
      </c>
      <c r="C3700" s="16" t="s">
        <v>23825</v>
      </c>
      <c r="D3700" s="16" t="s">
        <v>16</v>
      </c>
      <c r="E3700" s="21" t="s">
        <v>23826</v>
      </c>
      <c r="F3700" s="22" t="s">
        <v>10183</v>
      </c>
      <c r="G3700" s="16">
        <v>23.61</v>
      </c>
      <c r="H3700" s="16"/>
      <c r="I3700" s="22"/>
      <c r="J3700" s="22" t="s">
        <v>23827</v>
      </c>
      <c r="K3700" s="22" t="s">
        <v>23828</v>
      </c>
      <c r="L3700" s="23" t="s">
        <v>23829</v>
      </c>
      <c r="M3700" s="22"/>
      <c r="N3700" s="12"/>
      <c r="O3700" s="12"/>
      <c r="P3700" s="13">
        <f>IFERROR(__xludf.DUMMYFUNCTION("VALUE(SUBSTITUTE((INDEX(SPLIT(A3700,"",""),1)),""."","","",1))"),55.042298)</f>
        <v>55.042298</v>
      </c>
      <c r="Q3700" s="13">
        <f>IFERROR(__xludf.DUMMYFUNCTION("VALUE(SUBSTITUTE((INDEX(SPLIT(A3700,"",""),2)),""."","","",1))"),55.998594)</f>
        <v>55.998594</v>
      </c>
      <c r="R3700" s="14" t="b">
        <f t="shared" si="1"/>
        <v>0</v>
      </c>
      <c r="S3700" s="14" t="str">
        <f t="shared" si="2"/>
        <v>55.042298,55.998594</v>
      </c>
      <c r="T3700" s="12"/>
    </row>
    <row r="3701">
      <c r="A3701" s="18" t="s">
        <v>23830</v>
      </c>
      <c r="B3701" s="8" t="s">
        <v>14556</v>
      </c>
      <c r="C3701" s="8" t="s">
        <v>14557</v>
      </c>
      <c r="D3701" s="8" t="s">
        <v>16</v>
      </c>
      <c r="E3701" s="19" t="s">
        <v>23831</v>
      </c>
      <c r="F3701" s="8" t="s">
        <v>10183</v>
      </c>
      <c r="G3701" s="8">
        <v>23.61</v>
      </c>
      <c r="H3701" s="8"/>
      <c r="I3701" s="8"/>
      <c r="J3701" s="8" t="s">
        <v>23832</v>
      </c>
      <c r="K3701" s="8" t="s">
        <v>23833</v>
      </c>
      <c r="L3701" s="8"/>
      <c r="M3701" s="8"/>
      <c r="N3701" s="12"/>
      <c r="O3701" s="12"/>
      <c r="P3701" s="13">
        <f>IFERROR(__xludf.DUMMYFUNCTION("VALUE(SUBSTITUTE((INDEX(SPLIT(A3701,"",""),1)),""."","","",1))"),55.036504)</f>
        <v>55.036504</v>
      </c>
      <c r="Q3701" s="13">
        <f>IFERROR(__xludf.DUMMYFUNCTION("VALUE(SUBSTITUTE((INDEX(SPLIT(A3701,"",""),2)),""."","","",1))"),56.006212)</f>
        <v>56.006212</v>
      </c>
      <c r="R3701" s="14" t="b">
        <f t="shared" si="1"/>
        <v>0</v>
      </c>
      <c r="S3701" s="14" t="str">
        <f t="shared" si="2"/>
        <v>55.036504,56.006212</v>
      </c>
      <c r="T3701" s="12"/>
    </row>
    <row r="3702">
      <c r="A3702" s="15" t="s">
        <v>23834</v>
      </c>
      <c r="B3702" s="16" t="s">
        <v>23835</v>
      </c>
      <c r="C3702" s="16" t="s">
        <v>23836</v>
      </c>
      <c r="D3702" s="16" t="s">
        <v>16</v>
      </c>
      <c r="E3702" s="17" t="s">
        <v>23837</v>
      </c>
      <c r="F3702" s="16" t="s">
        <v>10183</v>
      </c>
      <c r="G3702" s="16">
        <v>23.61</v>
      </c>
      <c r="H3702" s="16"/>
      <c r="I3702" s="16"/>
      <c r="J3702" s="16" t="s">
        <v>23838</v>
      </c>
      <c r="K3702" s="16" t="s">
        <v>23839</v>
      </c>
      <c r="L3702" s="16"/>
      <c r="M3702" s="16"/>
      <c r="N3702" s="12"/>
      <c r="O3702" s="12"/>
      <c r="P3702" s="13">
        <f>IFERROR(__xludf.DUMMYFUNCTION("VALUE(SUBSTITUTE((INDEX(SPLIT(A3702,"",""),1)),""."","","",1))"),54.696506)</f>
        <v>54.696506</v>
      </c>
      <c r="Q3702" s="13">
        <f>IFERROR(__xludf.DUMMYFUNCTION("VALUE(SUBSTITUTE((INDEX(SPLIT(A3702,"",""),2)),""."","","",1))"),56.007173)</f>
        <v>56.007173</v>
      </c>
      <c r="R3702" s="14" t="b">
        <f t="shared" si="1"/>
        <v>0</v>
      </c>
      <c r="S3702" s="14" t="str">
        <f t="shared" si="2"/>
        <v>54.696506,56.007173</v>
      </c>
      <c r="T3702" s="12"/>
    </row>
    <row r="3703">
      <c r="A3703" s="7" t="s">
        <v>23840</v>
      </c>
      <c r="B3703" s="8" t="s">
        <v>23841</v>
      </c>
      <c r="C3703" s="8" t="s">
        <v>23842</v>
      </c>
      <c r="D3703" s="8" t="s">
        <v>16</v>
      </c>
      <c r="E3703" s="9" t="s">
        <v>23843</v>
      </c>
      <c r="F3703" s="10" t="s">
        <v>10183</v>
      </c>
      <c r="G3703" s="8">
        <v>23.61</v>
      </c>
      <c r="H3703" s="8"/>
      <c r="I3703" s="10"/>
      <c r="J3703" s="10" t="s">
        <v>23844</v>
      </c>
      <c r="K3703" s="10" t="s">
        <v>23845</v>
      </c>
      <c r="L3703" s="11" t="s">
        <v>23846</v>
      </c>
      <c r="M3703" s="10"/>
      <c r="N3703" s="12"/>
      <c r="O3703" s="12"/>
      <c r="P3703" s="13">
        <f>IFERROR(__xludf.DUMMYFUNCTION("VALUE(SUBSTITUTE((INDEX(SPLIT(A3703,"",""),1)),""."","","",1))"),54.759576)</f>
        <v>54.759576</v>
      </c>
      <c r="Q3703" s="13">
        <f>IFERROR(__xludf.DUMMYFUNCTION("VALUE(SUBSTITUTE((INDEX(SPLIT(A3703,"",""),2)),""."","","",1))"),56.014117)</f>
        <v>56.014117</v>
      </c>
      <c r="R3703" s="14" t="b">
        <f t="shared" si="1"/>
        <v>0</v>
      </c>
      <c r="S3703" s="14" t="str">
        <f t="shared" si="2"/>
        <v>54.759576,56.014117</v>
      </c>
      <c r="T3703" s="12"/>
    </row>
    <row r="3704">
      <c r="A3704" s="20" t="s">
        <v>23847</v>
      </c>
      <c r="B3704" s="16" t="s">
        <v>23848</v>
      </c>
      <c r="C3704" s="16" t="s">
        <v>23849</v>
      </c>
      <c r="D3704" s="16" t="s">
        <v>16</v>
      </c>
      <c r="E3704" s="21" t="s">
        <v>23850</v>
      </c>
      <c r="F3704" s="22" t="s">
        <v>10183</v>
      </c>
      <c r="G3704" s="16">
        <v>23.61</v>
      </c>
      <c r="H3704" s="16"/>
      <c r="I3704" s="22"/>
      <c r="J3704" s="22" t="s">
        <v>23851</v>
      </c>
      <c r="K3704" s="22" t="s">
        <v>23852</v>
      </c>
      <c r="L3704" s="23" t="s">
        <v>23853</v>
      </c>
      <c r="M3704" s="22"/>
      <c r="N3704" s="12"/>
      <c r="O3704" s="12"/>
      <c r="P3704" s="13">
        <f>IFERROR(__xludf.DUMMYFUNCTION("VALUE(SUBSTITUTE((INDEX(SPLIT(A3704,"",""),1)),""."","","",1))"),57.931788)</f>
        <v>57.931788</v>
      </c>
      <c r="Q3704" s="13">
        <f>IFERROR(__xludf.DUMMYFUNCTION("VALUE(SUBSTITUTE((INDEX(SPLIT(A3704,"",""),2)),""."","","",1))"),56.016516)</f>
        <v>56.016516</v>
      </c>
      <c r="R3704" s="14" t="b">
        <f t="shared" si="1"/>
        <v>0</v>
      </c>
      <c r="S3704" s="14" t="str">
        <f t="shared" si="2"/>
        <v>57.931788,56.016516</v>
      </c>
      <c r="T3704" s="12"/>
    </row>
    <row r="3705">
      <c r="A3705" s="7" t="s">
        <v>23854</v>
      </c>
      <c r="B3705" s="8" t="s">
        <v>23855</v>
      </c>
      <c r="C3705" s="8" t="s">
        <v>23856</v>
      </c>
      <c r="D3705" s="8" t="s">
        <v>16</v>
      </c>
      <c r="E3705" s="9" t="s">
        <v>23857</v>
      </c>
      <c r="F3705" s="10" t="s">
        <v>10183</v>
      </c>
      <c r="G3705" s="8">
        <v>23.61</v>
      </c>
      <c r="H3705" s="8"/>
      <c r="I3705" s="10"/>
      <c r="J3705" s="10" t="s">
        <v>23858</v>
      </c>
      <c r="K3705" s="10" t="s">
        <v>23859</v>
      </c>
      <c r="L3705" s="11" t="s">
        <v>23860</v>
      </c>
      <c r="M3705" s="10"/>
      <c r="N3705" s="12"/>
      <c r="O3705" s="12"/>
      <c r="P3705" s="13">
        <f>IFERROR(__xludf.DUMMYFUNCTION("VALUE(SUBSTITUTE((INDEX(SPLIT(A3705,"",""),1)),""."","","",1))"),54.756064)</f>
        <v>54.756064</v>
      </c>
      <c r="Q3705" s="13">
        <f>IFERROR(__xludf.DUMMYFUNCTION("VALUE(SUBSTITUTE((INDEX(SPLIT(A3705,"",""),2)),""."","","",1))"),56.018222)</f>
        <v>56.018222</v>
      </c>
      <c r="R3705" s="14" t="b">
        <f t="shared" si="1"/>
        <v>0</v>
      </c>
      <c r="S3705" s="14" t="str">
        <f t="shared" si="2"/>
        <v>54.756064,56.018222</v>
      </c>
      <c r="T3705" s="12"/>
    </row>
    <row r="3706">
      <c r="A3706" s="20" t="s">
        <v>23861</v>
      </c>
      <c r="B3706" s="16" t="s">
        <v>23862</v>
      </c>
      <c r="C3706" s="16" t="s">
        <v>23863</v>
      </c>
      <c r="D3706" s="16" t="s">
        <v>16</v>
      </c>
      <c r="E3706" s="21" t="s">
        <v>23864</v>
      </c>
      <c r="F3706" s="22" t="s">
        <v>10183</v>
      </c>
      <c r="G3706" s="16">
        <v>23.61</v>
      </c>
      <c r="H3706" s="16"/>
      <c r="I3706" s="22"/>
      <c r="J3706" s="22" t="s">
        <v>23865</v>
      </c>
      <c r="K3706" s="22" t="s">
        <v>23866</v>
      </c>
      <c r="L3706" s="23" t="s">
        <v>23867</v>
      </c>
      <c r="M3706" s="22"/>
      <c r="N3706" s="12"/>
      <c r="O3706" s="12"/>
      <c r="P3706" s="13">
        <f>IFERROR(__xludf.DUMMYFUNCTION("VALUE(SUBSTITUTE((INDEX(SPLIT(A3706,"",""),1)),""."","","",1))"),58.029479)</f>
        <v>58.029479</v>
      </c>
      <c r="Q3706" s="13">
        <f>IFERROR(__xludf.DUMMYFUNCTION("VALUE(SUBSTITUTE((INDEX(SPLIT(A3706,"",""),2)),""."","","",1))"),56.022498)</f>
        <v>56.022498</v>
      </c>
      <c r="R3706" s="14" t="b">
        <f t="shared" si="1"/>
        <v>0</v>
      </c>
      <c r="S3706" s="14" t="str">
        <f t="shared" si="2"/>
        <v>58.029479,56.022498</v>
      </c>
      <c r="T3706" s="12"/>
    </row>
    <row r="3707">
      <c r="A3707" s="7" t="s">
        <v>23868</v>
      </c>
      <c r="B3707" s="8" t="s">
        <v>22552</v>
      </c>
      <c r="C3707" s="8" t="s">
        <v>22553</v>
      </c>
      <c r="D3707" s="8" t="s">
        <v>16</v>
      </c>
      <c r="E3707" s="9" t="s">
        <v>23869</v>
      </c>
      <c r="F3707" s="10" t="s">
        <v>10183</v>
      </c>
      <c r="G3707" s="8">
        <v>23.61</v>
      </c>
      <c r="H3707" s="8"/>
      <c r="I3707" s="10"/>
      <c r="J3707" s="10" t="s">
        <v>23870</v>
      </c>
      <c r="K3707" s="10" t="s">
        <v>23871</v>
      </c>
      <c r="L3707" s="11" t="s">
        <v>23872</v>
      </c>
      <c r="M3707" s="10"/>
      <c r="N3707" s="12"/>
      <c r="O3707" s="12"/>
      <c r="P3707" s="13">
        <f>IFERROR(__xludf.DUMMYFUNCTION("VALUE(SUBSTITUTE((INDEX(SPLIT(A3707,"",""),1)),""."","","",1))"),54.758303)</f>
        <v>54.758303</v>
      </c>
      <c r="Q3707" s="13">
        <f>IFERROR(__xludf.DUMMYFUNCTION("VALUE(SUBSTITUTE((INDEX(SPLIT(A3707,"",""),2)),""."","","",1))"),56.023729)</f>
        <v>56.023729</v>
      </c>
      <c r="R3707" s="14" t="b">
        <f t="shared" si="1"/>
        <v>0</v>
      </c>
      <c r="S3707" s="14" t="str">
        <f t="shared" si="2"/>
        <v>54.758303,56.023729</v>
      </c>
      <c r="T3707" s="12"/>
    </row>
    <row r="3708">
      <c r="A3708" s="15" t="s">
        <v>23873</v>
      </c>
      <c r="B3708" s="16" t="s">
        <v>23874</v>
      </c>
      <c r="C3708" s="16" t="s">
        <v>23875</v>
      </c>
      <c r="D3708" s="16" t="s">
        <v>16</v>
      </c>
      <c r="E3708" s="17" t="s">
        <v>23876</v>
      </c>
      <c r="F3708" s="16" t="s">
        <v>10183</v>
      </c>
      <c r="G3708" s="16">
        <v>23.61</v>
      </c>
      <c r="H3708" s="16"/>
      <c r="I3708" s="16"/>
      <c r="J3708" s="16" t="s">
        <v>23877</v>
      </c>
      <c r="K3708" s="16" t="s">
        <v>23845</v>
      </c>
      <c r="L3708" s="16"/>
      <c r="M3708" s="16"/>
      <c r="N3708" s="12"/>
      <c r="O3708" s="12"/>
      <c r="P3708" s="13">
        <f>IFERROR(__xludf.DUMMYFUNCTION("VALUE(SUBSTITUTE((INDEX(SPLIT(A3708,"",""),1)),""."","","",1))"),54.737065)</f>
        <v>54.737065</v>
      </c>
      <c r="Q3708" s="13">
        <f>IFERROR(__xludf.DUMMYFUNCTION("VALUE(SUBSTITUTE((INDEX(SPLIT(A3708,"",""),2)),""."","","",1))"),56.03061)</f>
        <v>56.03061</v>
      </c>
      <c r="R3708" s="14" t="b">
        <f t="shared" si="1"/>
        <v>0</v>
      </c>
      <c r="S3708" s="14" t="str">
        <f t="shared" si="2"/>
        <v>54.737065,56.03061</v>
      </c>
      <c r="T3708" s="12"/>
    </row>
    <row r="3709">
      <c r="A3709" s="18" t="s">
        <v>23878</v>
      </c>
      <c r="B3709" s="8" t="s">
        <v>23879</v>
      </c>
      <c r="C3709" s="8" t="s">
        <v>23880</v>
      </c>
      <c r="D3709" s="8" t="s">
        <v>16</v>
      </c>
      <c r="E3709" s="19" t="s">
        <v>23881</v>
      </c>
      <c r="F3709" s="8" t="s">
        <v>10183</v>
      </c>
      <c r="G3709" s="8">
        <v>23.61</v>
      </c>
      <c r="H3709" s="8"/>
      <c r="I3709" s="8"/>
      <c r="J3709" s="8" t="s">
        <v>23882</v>
      </c>
      <c r="K3709" s="8" t="s">
        <v>23883</v>
      </c>
      <c r="L3709" s="8"/>
      <c r="M3709" s="8"/>
      <c r="N3709" s="12"/>
      <c r="O3709" s="12"/>
      <c r="P3709" s="13">
        <f>IFERROR(__xludf.DUMMYFUNCTION("VALUE(SUBSTITUTE((INDEX(SPLIT(A3709,"",""),1)),""."","","",1))"),54.776918)</f>
        <v>54.776918</v>
      </c>
      <c r="Q3709" s="13">
        <f>IFERROR(__xludf.DUMMYFUNCTION("VALUE(SUBSTITUTE((INDEX(SPLIT(A3709,"",""),2)),""."","","",1))"),56.03132)</f>
        <v>56.03132</v>
      </c>
      <c r="R3709" s="14" t="b">
        <f t="shared" si="1"/>
        <v>0</v>
      </c>
      <c r="S3709" s="14" t="str">
        <f t="shared" si="2"/>
        <v>54.776918,56.03132</v>
      </c>
      <c r="T3709" s="12"/>
    </row>
    <row r="3710">
      <c r="A3710" s="15" t="s">
        <v>23884</v>
      </c>
      <c r="B3710" s="16" t="s">
        <v>23885</v>
      </c>
      <c r="C3710" s="16" t="s">
        <v>23886</v>
      </c>
      <c r="D3710" s="16" t="s">
        <v>16</v>
      </c>
      <c r="E3710" s="17" t="s">
        <v>23887</v>
      </c>
      <c r="F3710" s="16" t="s">
        <v>10183</v>
      </c>
      <c r="G3710" s="16">
        <v>23.61</v>
      </c>
      <c r="H3710" s="16"/>
      <c r="I3710" s="16"/>
      <c r="J3710" s="16" t="s">
        <v>23888</v>
      </c>
      <c r="K3710" s="16" t="s">
        <v>23889</v>
      </c>
      <c r="L3710" s="16"/>
      <c r="M3710" s="16"/>
      <c r="N3710" s="12"/>
      <c r="O3710" s="12"/>
      <c r="P3710" s="13">
        <f>IFERROR(__xludf.DUMMYFUNCTION("VALUE(SUBSTITUTE((INDEX(SPLIT(A3710,"",""),1)),""."","","",1))"),53.447634)</f>
        <v>53.447634</v>
      </c>
      <c r="Q3710" s="13">
        <f>IFERROR(__xludf.DUMMYFUNCTION("VALUE(SUBSTITUTE((INDEX(SPLIT(A3710,"",""),2)),""."","","",1))"),56.033961)</f>
        <v>56.033961</v>
      </c>
      <c r="R3710" s="14" t="b">
        <f t="shared" si="1"/>
        <v>0</v>
      </c>
      <c r="S3710" s="14" t="str">
        <f t="shared" si="2"/>
        <v>53.447634,56.033961</v>
      </c>
      <c r="T3710" s="12"/>
    </row>
    <row r="3711">
      <c r="A3711" s="18" t="s">
        <v>23890</v>
      </c>
      <c r="B3711" s="8" t="s">
        <v>23891</v>
      </c>
      <c r="C3711" s="8" t="s">
        <v>23892</v>
      </c>
      <c r="D3711" s="8" t="s">
        <v>16</v>
      </c>
      <c r="E3711" s="19" t="s">
        <v>23893</v>
      </c>
      <c r="F3711" s="8" t="s">
        <v>10183</v>
      </c>
      <c r="G3711" s="8">
        <v>23.61</v>
      </c>
      <c r="H3711" s="8"/>
      <c r="I3711" s="8"/>
      <c r="J3711" s="8" t="s">
        <v>23894</v>
      </c>
      <c r="K3711" s="8" t="s">
        <v>23895</v>
      </c>
      <c r="L3711" s="8"/>
      <c r="M3711" s="8"/>
      <c r="N3711" s="12"/>
      <c r="O3711" s="12"/>
      <c r="P3711" s="13">
        <f>IFERROR(__xludf.DUMMYFUNCTION("VALUE(SUBSTITUTE((INDEX(SPLIT(A3711,"",""),1)),""."","","",1))"),53.60321)</f>
        <v>53.60321</v>
      </c>
      <c r="Q3711" s="13">
        <f>IFERROR(__xludf.DUMMYFUNCTION("VALUE(SUBSTITUTE((INDEX(SPLIT(A3711,"",""),2)),""."","","",1))"),56.037509)</f>
        <v>56.037509</v>
      </c>
      <c r="R3711" s="14" t="b">
        <f t="shared" si="1"/>
        <v>0</v>
      </c>
      <c r="S3711" s="14" t="str">
        <f t="shared" si="2"/>
        <v>53.60321,56.037509</v>
      </c>
      <c r="T3711" s="12"/>
    </row>
    <row r="3712">
      <c r="A3712" s="15" t="s">
        <v>23896</v>
      </c>
      <c r="B3712" s="16" t="s">
        <v>23897</v>
      </c>
      <c r="C3712" s="16" t="s">
        <v>23898</v>
      </c>
      <c r="D3712" s="16" t="s">
        <v>16</v>
      </c>
      <c r="E3712" s="17" t="s">
        <v>23899</v>
      </c>
      <c r="F3712" s="16" t="s">
        <v>10183</v>
      </c>
      <c r="G3712" s="16">
        <v>23.61</v>
      </c>
      <c r="H3712" s="16"/>
      <c r="I3712" s="16"/>
      <c r="J3712" s="16" t="s">
        <v>23894</v>
      </c>
      <c r="K3712" s="16" t="s">
        <v>23900</v>
      </c>
      <c r="L3712" s="16"/>
      <c r="M3712" s="16"/>
      <c r="N3712" s="12"/>
      <c r="O3712" s="12"/>
      <c r="P3712" s="13">
        <f>IFERROR(__xludf.DUMMYFUNCTION("VALUE(SUBSTITUTE((INDEX(SPLIT(A3712,"",""),1)),""."","","",1))"),54.784162)</f>
        <v>54.784162</v>
      </c>
      <c r="Q3712" s="13">
        <f>IFERROR(__xludf.DUMMYFUNCTION("VALUE(SUBSTITUTE((INDEX(SPLIT(A3712,"",""),2)),""."","","",1))"),56.039638)</f>
        <v>56.039638</v>
      </c>
      <c r="R3712" s="14" t="b">
        <f t="shared" si="1"/>
        <v>0</v>
      </c>
      <c r="S3712" s="14" t="str">
        <f t="shared" si="2"/>
        <v>54.784162,56.039638</v>
      </c>
      <c r="T3712" s="12"/>
    </row>
    <row r="3713">
      <c r="A3713" s="18" t="s">
        <v>23901</v>
      </c>
      <c r="B3713" s="8" t="s">
        <v>23902</v>
      </c>
      <c r="C3713" s="8" t="s">
        <v>23903</v>
      </c>
      <c r="D3713" s="8" t="s">
        <v>16</v>
      </c>
      <c r="E3713" s="19" t="s">
        <v>23904</v>
      </c>
      <c r="F3713" s="8" t="s">
        <v>23165</v>
      </c>
      <c r="G3713" s="8">
        <v>23.61</v>
      </c>
      <c r="H3713" s="8"/>
      <c r="I3713" s="8"/>
      <c r="J3713" s="8" t="s">
        <v>23905</v>
      </c>
      <c r="K3713" s="8" t="s">
        <v>23906</v>
      </c>
      <c r="L3713" s="8"/>
      <c r="M3713" s="8"/>
      <c r="N3713" s="12"/>
      <c r="O3713" s="12"/>
      <c r="P3713" s="13">
        <f>IFERROR(__xludf.DUMMYFUNCTION("VALUE(SUBSTITUTE((INDEX(SPLIT(A3713,"",""),1)),""."","","",1))"),53.441793)</f>
        <v>53.441793</v>
      </c>
      <c r="Q3713" s="13">
        <f>IFERROR(__xludf.DUMMYFUNCTION("VALUE(SUBSTITUTE((INDEX(SPLIT(A3713,"",""),2)),""."","","",1))"),56.040222)</f>
        <v>56.040222</v>
      </c>
      <c r="R3713" s="14" t="b">
        <f t="shared" si="1"/>
        <v>0</v>
      </c>
      <c r="S3713" s="14" t="str">
        <f t="shared" si="2"/>
        <v>53.441793,56.040222</v>
      </c>
      <c r="T3713" s="12"/>
    </row>
    <row r="3714">
      <c r="A3714" s="15" t="s">
        <v>23907</v>
      </c>
      <c r="B3714" s="16" t="s">
        <v>23908</v>
      </c>
      <c r="C3714" s="16" t="s">
        <v>23909</v>
      </c>
      <c r="D3714" s="16" t="s">
        <v>16</v>
      </c>
      <c r="E3714" s="17" t="s">
        <v>23910</v>
      </c>
      <c r="F3714" s="16" t="s">
        <v>10183</v>
      </c>
      <c r="G3714" s="16">
        <v>23.61</v>
      </c>
      <c r="H3714" s="16"/>
      <c r="I3714" s="16"/>
      <c r="J3714" s="16" t="s">
        <v>23911</v>
      </c>
      <c r="K3714" s="16" t="s">
        <v>23912</v>
      </c>
      <c r="L3714" s="16"/>
      <c r="M3714" s="25" t="s">
        <v>23913</v>
      </c>
      <c r="N3714" s="12"/>
      <c r="O3714" s="12"/>
      <c r="P3714" s="13">
        <f>IFERROR(__xludf.DUMMYFUNCTION("VALUE(SUBSTITUTE((INDEX(SPLIT(A3714,"",""),1)),""."","","",1))"),54.788974)</f>
        <v>54.788974</v>
      </c>
      <c r="Q3714" s="13">
        <f>IFERROR(__xludf.DUMMYFUNCTION("VALUE(SUBSTITUTE((INDEX(SPLIT(A3714,"",""),2)),""."","","",1))"),56.041552)</f>
        <v>56.041552</v>
      </c>
      <c r="R3714" s="14" t="b">
        <f t="shared" si="1"/>
        <v>0</v>
      </c>
      <c r="S3714" s="14" t="str">
        <f t="shared" si="2"/>
        <v>54.788974,56.041552</v>
      </c>
      <c r="T3714" s="12"/>
    </row>
    <row r="3715">
      <c r="A3715" s="18" t="s">
        <v>23914</v>
      </c>
      <c r="B3715" s="8" t="s">
        <v>23915</v>
      </c>
      <c r="C3715" s="8" t="s">
        <v>23916</v>
      </c>
      <c r="D3715" s="8" t="s">
        <v>16</v>
      </c>
      <c r="E3715" s="19" t="s">
        <v>23917</v>
      </c>
      <c r="F3715" s="8" t="s">
        <v>10183</v>
      </c>
      <c r="G3715" s="8">
        <v>23.61</v>
      </c>
      <c r="H3715" s="8"/>
      <c r="I3715" s="8"/>
      <c r="J3715" s="8" t="s">
        <v>23918</v>
      </c>
      <c r="K3715" s="8" t="s">
        <v>23919</v>
      </c>
      <c r="L3715" s="8"/>
      <c r="M3715" s="8"/>
      <c r="N3715" s="12"/>
      <c r="O3715" s="12"/>
      <c r="P3715" s="13">
        <f>IFERROR(__xludf.DUMMYFUNCTION("VALUE(SUBSTITUTE((INDEX(SPLIT(A3715,"",""),1)),""."","","",1))"),54.77157)</f>
        <v>54.77157</v>
      </c>
      <c r="Q3715" s="13">
        <f>IFERROR(__xludf.DUMMYFUNCTION("VALUE(SUBSTITUTE((INDEX(SPLIT(A3715,"",""),2)),""."","","",1))"),56.051586)</f>
        <v>56.051586</v>
      </c>
      <c r="R3715" s="14" t="b">
        <f t="shared" si="1"/>
        <v>0</v>
      </c>
      <c r="S3715" s="14" t="str">
        <f t="shared" si="2"/>
        <v>54.77157,56.051586</v>
      </c>
      <c r="T3715" s="12"/>
    </row>
    <row r="3716">
      <c r="A3716" s="15" t="s">
        <v>23920</v>
      </c>
      <c r="B3716" s="16" t="s">
        <v>23921</v>
      </c>
      <c r="C3716" s="16" t="s">
        <v>23922</v>
      </c>
      <c r="D3716" s="16" t="s">
        <v>16</v>
      </c>
      <c r="E3716" s="17" t="s">
        <v>23923</v>
      </c>
      <c r="F3716" s="16" t="s">
        <v>10183</v>
      </c>
      <c r="G3716" s="16">
        <v>23.61</v>
      </c>
      <c r="H3716" s="16"/>
      <c r="I3716" s="16"/>
      <c r="J3716" s="16" t="s">
        <v>23924</v>
      </c>
      <c r="K3716" s="16" t="s">
        <v>23925</v>
      </c>
      <c r="L3716" s="16"/>
      <c r="M3716" s="16"/>
      <c r="N3716" s="12"/>
      <c r="O3716" s="12"/>
      <c r="P3716" s="13">
        <f>IFERROR(__xludf.DUMMYFUNCTION("VALUE(SUBSTITUTE((INDEX(SPLIT(A3716,"",""),1)),""."","","",1))"),54.769471)</f>
        <v>54.769471</v>
      </c>
      <c r="Q3716" s="13">
        <f>IFERROR(__xludf.DUMMYFUNCTION("VALUE(SUBSTITUTE((INDEX(SPLIT(A3716,"",""),2)),""."","","",1))"),56.05332)</f>
        <v>56.05332</v>
      </c>
      <c r="R3716" s="14" t="b">
        <f t="shared" si="1"/>
        <v>0</v>
      </c>
      <c r="S3716" s="14" t="str">
        <f t="shared" si="2"/>
        <v>54.769471,56.05332</v>
      </c>
      <c r="T3716" s="12"/>
    </row>
    <row r="3717">
      <c r="A3717" s="7" t="s">
        <v>23926</v>
      </c>
      <c r="B3717" s="8" t="s">
        <v>16887</v>
      </c>
      <c r="C3717" s="8" t="s">
        <v>16888</v>
      </c>
      <c r="D3717" s="8" t="s">
        <v>16</v>
      </c>
      <c r="E3717" s="9" t="s">
        <v>23927</v>
      </c>
      <c r="F3717" s="10" t="s">
        <v>23165</v>
      </c>
      <c r="G3717" s="8">
        <v>23.61</v>
      </c>
      <c r="H3717" s="8"/>
      <c r="I3717" s="10"/>
      <c r="J3717" s="10" t="s">
        <v>23928</v>
      </c>
      <c r="K3717" s="10" t="s">
        <v>23929</v>
      </c>
      <c r="L3717" s="11" t="s">
        <v>23930</v>
      </c>
      <c r="M3717" s="10"/>
      <c r="N3717" s="12"/>
      <c r="O3717" s="12"/>
      <c r="P3717" s="13">
        <f>IFERROR(__xludf.DUMMYFUNCTION("VALUE(SUBSTITUTE((INDEX(SPLIT(A3717,"",""),1)),""."","","",1))"),54.90204)</f>
        <v>54.90204</v>
      </c>
      <c r="Q3717" s="13">
        <f>IFERROR(__xludf.DUMMYFUNCTION("VALUE(SUBSTITUTE((INDEX(SPLIT(A3717,"",""),2)),""."","","",1))"),56.056545)</f>
        <v>56.056545</v>
      </c>
      <c r="R3717" s="14" t="b">
        <f t="shared" si="1"/>
        <v>0</v>
      </c>
      <c r="S3717" s="14" t="str">
        <f t="shared" si="2"/>
        <v>54.90204,56.056545</v>
      </c>
      <c r="T3717" s="12"/>
    </row>
    <row r="3718">
      <c r="A3718" s="15" t="s">
        <v>23931</v>
      </c>
      <c r="B3718" s="16" t="s">
        <v>23932</v>
      </c>
      <c r="C3718" s="16" t="s">
        <v>23933</v>
      </c>
      <c r="D3718" s="16" t="s">
        <v>16</v>
      </c>
      <c r="E3718" s="17" t="s">
        <v>23934</v>
      </c>
      <c r="F3718" s="16" t="s">
        <v>10183</v>
      </c>
      <c r="G3718" s="16">
        <v>23.61</v>
      </c>
      <c r="H3718" s="16"/>
      <c r="I3718" s="16"/>
      <c r="J3718" s="16" t="s">
        <v>23935</v>
      </c>
      <c r="K3718" s="16" t="s">
        <v>23936</v>
      </c>
      <c r="L3718" s="16"/>
      <c r="M3718" s="16"/>
      <c r="N3718" s="12"/>
      <c r="O3718" s="12"/>
      <c r="P3718" s="13">
        <f>IFERROR(__xludf.DUMMYFUNCTION("VALUE(SUBSTITUTE((INDEX(SPLIT(A3718,"",""),1)),""."","","",1))"),54.824726)</f>
        <v>54.824726</v>
      </c>
      <c r="Q3718" s="13">
        <f>IFERROR(__xludf.DUMMYFUNCTION("VALUE(SUBSTITUTE((INDEX(SPLIT(A3718,"",""),2)),""."","","",1))"),56.064153)</f>
        <v>56.064153</v>
      </c>
      <c r="R3718" s="14" t="b">
        <f t="shared" si="1"/>
        <v>0</v>
      </c>
      <c r="S3718" s="14" t="str">
        <f t="shared" si="2"/>
        <v>54.824726,56.064153</v>
      </c>
      <c r="T3718" s="12"/>
    </row>
    <row r="3719">
      <c r="A3719" s="18" t="s">
        <v>23937</v>
      </c>
      <c r="B3719" s="8" t="s">
        <v>796</v>
      </c>
      <c r="C3719" s="8" t="s">
        <v>797</v>
      </c>
      <c r="D3719" s="8" t="s">
        <v>16</v>
      </c>
      <c r="E3719" s="19" t="s">
        <v>23938</v>
      </c>
      <c r="F3719" s="8" t="s">
        <v>21049</v>
      </c>
      <c r="G3719" s="8">
        <v>23.61</v>
      </c>
      <c r="H3719" s="8"/>
      <c r="I3719" s="8"/>
      <c r="J3719" s="8" t="s">
        <v>23939</v>
      </c>
      <c r="K3719" s="8" t="s">
        <v>23940</v>
      </c>
      <c r="L3719" s="8"/>
      <c r="M3719" s="8"/>
      <c r="N3719" s="12"/>
      <c r="O3719" s="12"/>
      <c r="P3719" s="13">
        <f>IFERROR(__xludf.DUMMYFUNCTION("VALUE(SUBSTITUTE((INDEX(SPLIT(A3719,"",""),1)),""."","","",1))"),54.827288)</f>
        <v>54.827288</v>
      </c>
      <c r="Q3719" s="13">
        <f>IFERROR(__xludf.DUMMYFUNCTION("VALUE(SUBSTITUTE((INDEX(SPLIT(A3719,"",""),2)),""."","","",1))"),56.067657)</f>
        <v>56.067657</v>
      </c>
      <c r="R3719" s="14" t="b">
        <f t="shared" si="1"/>
        <v>0</v>
      </c>
      <c r="S3719" s="14" t="str">
        <f t="shared" si="2"/>
        <v>54.827288,56.067657</v>
      </c>
      <c r="T3719" s="12"/>
    </row>
    <row r="3720">
      <c r="A3720" s="20" t="s">
        <v>23941</v>
      </c>
      <c r="B3720" s="16" t="s">
        <v>23942</v>
      </c>
      <c r="C3720" s="16" t="s">
        <v>23943</v>
      </c>
      <c r="D3720" s="16" t="s">
        <v>16</v>
      </c>
      <c r="E3720" s="21" t="s">
        <v>23944</v>
      </c>
      <c r="F3720" s="22" t="s">
        <v>16731</v>
      </c>
      <c r="G3720" s="16">
        <v>23.61</v>
      </c>
      <c r="H3720" s="16"/>
      <c r="I3720" s="22"/>
      <c r="J3720" s="22" t="s">
        <v>23945</v>
      </c>
      <c r="K3720" s="22" t="s">
        <v>23946</v>
      </c>
      <c r="L3720" s="23" t="s">
        <v>23947</v>
      </c>
      <c r="M3720" s="22"/>
      <c r="N3720" s="12"/>
      <c r="O3720" s="12"/>
      <c r="P3720" s="13">
        <f>IFERROR(__xludf.DUMMYFUNCTION("VALUE(SUBSTITUTE((INDEX(SPLIT(A3720,"",""),1)),""."","","",1))"),53.794385)</f>
        <v>53.794385</v>
      </c>
      <c r="Q3720" s="13">
        <f>IFERROR(__xludf.DUMMYFUNCTION("VALUE(SUBSTITUTE((INDEX(SPLIT(A3720,"",""),2)),""."","","",1))"),56.068852)</f>
        <v>56.068852</v>
      </c>
      <c r="R3720" s="14" t="b">
        <f t="shared" si="1"/>
        <v>0</v>
      </c>
      <c r="S3720" s="14" t="str">
        <f t="shared" si="2"/>
        <v>53.794385,56.068852</v>
      </c>
      <c r="T3720" s="12"/>
    </row>
    <row r="3721">
      <c r="A3721" s="18" t="s">
        <v>23948</v>
      </c>
      <c r="B3721" s="8" t="s">
        <v>23949</v>
      </c>
      <c r="C3721" s="8" t="s">
        <v>23950</v>
      </c>
      <c r="D3721" s="8" t="s">
        <v>16</v>
      </c>
      <c r="E3721" s="19" t="s">
        <v>23951</v>
      </c>
      <c r="F3721" s="8" t="s">
        <v>10183</v>
      </c>
      <c r="G3721" s="8">
        <v>23.61</v>
      </c>
      <c r="H3721" s="8"/>
      <c r="I3721" s="8"/>
      <c r="J3721" s="8" t="s">
        <v>23952</v>
      </c>
      <c r="K3721" s="8" t="s">
        <v>23953</v>
      </c>
      <c r="L3721" s="8"/>
      <c r="M3721" s="8"/>
      <c r="N3721" s="12"/>
      <c r="O3721" s="12"/>
      <c r="P3721" s="13">
        <f>IFERROR(__xludf.DUMMYFUNCTION("VALUE(SUBSTITUTE((INDEX(SPLIT(A3721,"",""),1)),""."","","",1))"),54.766043)</f>
        <v>54.766043</v>
      </c>
      <c r="Q3721" s="13">
        <f>IFERROR(__xludf.DUMMYFUNCTION("VALUE(SUBSTITUTE((INDEX(SPLIT(A3721,"",""),2)),""."","","",1))"),56.070217)</f>
        <v>56.070217</v>
      </c>
      <c r="R3721" s="14" t="b">
        <f t="shared" si="1"/>
        <v>0</v>
      </c>
      <c r="S3721" s="14" t="str">
        <f t="shared" si="2"/>
        <v>54.766043,56.070217</v>
      </c>
      <c r="T3721" s="12"/>
    </row>
    <row r="3722">
      <c r="A3722" s="15" t="s">
        <v>23954</v>
      </c>
      <c r="B3722" s="16" t="s">
        <v>23955</v>
      </c>
      <c r="C3722" s="16" t="s">
        <v>23956</v>
      </c>
      <c r="D3722" s="16" t="s">
        <v>16</v>
      </c>
      <c r="E3722" s="17" t="s">
        <v>23957</v>
      </c>
      <c r="F3722" s="16" t="s">
        <v>10183</v>
      </c>
      <c r="G3722" s="16">
        <v>23.61</v>
      </c>
      <c r="H3722" s="16"/>
      <c r="I3722" s="16"/>
      <c r="J3722" s="16" t="s">
        <v>23958</v>
      </c>
      <c r="K3722" s="16" t="s">
        <v>23959</v>
      </c>
      <c r="L3722" s="16"/>
      <c r="M3722" s="16"/>
      <c r="N3722" s="12"/>
      <c r="O3722" s="12"/>
      <c r="P3722" s="13">
        <f>IFERROR(__xludf.DUMMYFUNCTION("VALUE(SUBSTITUTE((INDEX(SPLIT(A3722,"",""),1)),""."","","",1))"),55.0466)</f>
        <v>55.0466</v>
      </c>
      <c r="Q3722" s="13">
        <f>IFERROR(__xludf.DUMMYFUNCTION("VALUE(SUBSTITUTE((INDEX(SPLIT(A3722,"",""),2)),""."","","",1))"),56.071609)</f>
        <v>56.071609</v>
      </c>
      <c r="R3722" s="14" t="b">
        <f t="shared" si="1"/>
        <v>0</v>
      </c>
      <c r="S3722" s="14" t="str">
        <f t="shared" si="2"/>
        <v>55.0466,56.071609</v>
      </c>
      <c r="T3722" s="12"/>
    </row>
    <row r="3723">
      <c r="A3723" s="18" t="s">
        <v>23960</v>
      </c>
      <c r="B3723" s="8" t="s">
        <v>23630</v>
      </c>
      <c r="C3723" s="8" t="s">
        <v>23631</v>
      </c>
      <c r="D3723" s="8" t="s">
        <v>16</v>
      </c>
      <c r="E3723" s="19" t="s">
        <v>23961</v>
      </c>
      <c r="F3723" s="8" t="s">
        <v>10183</v>
      </c>
      <c r="G3723" s="8">
        <v>23.61</v>
      </c>
      <c r="H3723" s="8"/>
      <c r="I3723" s="8"/>
      <c r="J3723" s="8" t="s">
        <v>23962</v>
      </c>
      <c r="K3723" s="8" t="s">
        <v>23963</v>
      </c>
      <c r="L3723" s="8"/>
      <c r="M3723" s="8"/>
      <c r="N3723" s="12"/>
      <c r="O3723" s="12"/>
      <c r="P3723" s="13">
        <f>IFERROR(__xludf.DUMMYFUNCTION("VALUE(SUBSTITUTE((INDEX(SPLIT(A3723,"",""),1)),""."","","",1))"),57.949277)</f>
        <v>57.949277</v>
      </c>
      <c r="Q3723" s="13">
        <f>IFERROR(__xludf.DUMMYFUNCTION("VALUE(SUBSTITUTE((INDEX(SPLIT(A3723,"",""),2)),""."","","",1))"),56.071996)</f>
        <v>56.071996</v>
      </c>
      <c r="R3723" s="14" t="b">
        <f t="shared" si="1"/>
        <v>0</v>
      </c>
      <c r="S3723" s="14" t="str">
        <f t="shared" si="2"/>
        <v>57.949277,56.071996</v>
      </c>
      <c r="T3723" s="12"/>
    </row>
    <row r="3724">
      <c r="A3724" s="15" t="s">
        <v>23964</v>
      </c>
      <c r="B3724" s="16" t="s">
        <v>23965</v>
      </c>
      <c r="C3724" s="16" t="s">
        <v>23966</v>
      </c>
      <c r="D3724" s="16" t="s">
        <v>16</v>
      </c>
      <c r="E3724" s="17" t="s">
        <v>23967</v>
      </c>
      <c r="F3724" s="16" t="s">
        <v>10183</v>
      </c>
      <c r="G3724" s="16">
        <v>23.61</v>
      </c>
      <c r="H3724" s="16"/>
      <c r="I3724" s="16"/>
      <c r="J3724" s="16" t="s">
        <v>23968</v>
      </c>
      <c r="K3724" s="16" t="s">
        <v>23969</v>
      </c>
      <c r="L3724" s="16"/>
      <c r="M3724" s="16"/>
      <c r="N3724" s="12"/>
      <c r="O3724" s="12"/>
      <c r="P3724" s="13">
        <f>IFERROR(__xludf.DUMMYFUNCTION("VALUE(SUBSTITUTE((INDEX(SPLIT(A3724,"",""),1)),""."","","",1))"),54.821608)</f>
        <v>54.821608</v>
      </c>
      <c r="Q3724" s="13">
        <f>IFERROR(__xludf.DUMMYFUNCTION("VALUE(SUBSTITUTE((INDEX(SPLIT(A3724,"",""),2)),""."","","",1))"),56.077799)</f>
        <v>56.077799</v>
      </c>
      <c r="R3724" s="14" t="b">
        <f t="shared" si="1"/>
        <v>0</v>
      </c>
      <c r="S3724" s="14" t="str">
        <f t="shared" si="2"/>
        <v>54.821608,56.077799</v>
      </c>
      <c r="T3724" s="12"/>
    </row>
    <row r="3725">
      <c r="A3725" s="18" t="s">
        <v>23964</v>
      </c>
      <c r="B3725" s="8" t="s">
        <v>23970</v>
      </c>
      <c r="C3725" s="8" t="s">
        <v>23971</v>
      </c>
      <c r="D3725" s="8" t="s">
        <v>16</v>
      </c>
      <c r="E3725" s="19" t="s">
        <v>23972</v>
      </c>
      <c r="F3725" s="8" t="s">
        <v>10183</v>
      </c>
      <c r="G3725" s="8">
        <v>23.61</v>
      </c>
      <c r="H3725" s="8"/>
      <c r="I3725" s="8"/>
      <c r="J3725" s="8" t="s">
        <v>23973</v>
      </c>
      <c r="K3725" s="8" t="s">
        <v>23974</v>
      </c>
      <c r="L3725" s="8"/>
      <c r="M3725" s="8"/>
      <c r="N3725" s="12"/>
      <c r="O3725" s="12"/>
      <c r="P3725" s="13">
        <f>IFERROR(__xludf.DUMMYFUNCTION("VALUE(SUBSTITUTE((INDEX(SPLIT(A3725,"",""),1)),""."","","",1))"),54.821608)</f>
        <v>54.821608</v>
      </c>
      <c r="Q3725" s="13">
        <f>IFERROR(__xludf.DUMMYFUNCTION("VALUE(SUBSTITUTE((INDEX(SPLIT(A3725,"",""),2)),""."","","",1))"),56.077799)</f>
        <v>56.077799</v>
      </c>
      <c r="R3725" s="14" t="b">
        <f t="shared" si="1"/>
        <v>0</v>
      </c>
      <c r="S3725" s="14" t="str">
        <f t="shared" si="2"/>
        <v>54.821608,56.077799</v>
      </c>
      <c r="T3725" s="12"/>
    </row>
    <row r="3726">
      <c r="A3726" s="20" t="s">
        <v>23975</v>
      </c>
      <c r="B3726" s="16" t="s">
        <v>23976</v>
      </c>
      <c r="C3726" s="16" t="s">
        <v>23977</v>
      </c>
      <c r="D3726" s="16" t="s">
        <v>16</v>
      </c>
      <c r="E3726" s="21" t="s">
        <v>23978</v>
      </c>
      <c r="F3726" s="22" t="s">
        <v>23165</v>
      </c>
      <c r="G3726" s="16">
        <v>23.61</v>
      </c>
      <c r="H3726" s="16"/>
      <c r="I3726" s="22"/>
      <c r="J3726" s="22" t="s">
        <v>23979</v>
      </c>
      <c r="K3726" s="22" t="s">
        <v>23980</v>
      </c>
      <c r="L3726" s="23" t="s">
        <v>23981</v>
      </c>
      <c r="M3726" s="22"/>
      <c r="N3726" s="12"/>
      <c r="O3726" s="12"/>
      <c r="P3726" s="13">
        <f>IFERROR(__xludf.DUMMYFUNCTION("VALUE(SUBSTITUTE((INDEX(SPLIT(A3726,"",""),1)),""."","","",1))"),54.855864)</f>
        <v>54.855864</v>
      </c>
      <c r="Q3726" s="13">
        <f>IFERROR(__xludf.DUMMYFUNCTION("VALUE(SUBSTITUTE((INDEX(SPLIT(A3726,"",""),2)),""."","","",1))"),56.079443)</f>
        <v>56.079443</v>
      </c>
      <c r="R3726" s="14" t="b">
        <f t="shared" si="1"/>
        <v>0</v>
      </c>
      <c r="S3726" s="14" t="str">
        <f t="shared" si="2"/>
        <v>54.855864,56.079443</v>
      </c>
      <c r="T3726" s="12"/>
    </row>
    <row r="3727">
      <c r="A3727" s="7" t="s">
        <v>23982</v>
      </c>
      <c r="B3727" s="8" t="s">
        <v>23983</v>
      </c>
      <c r="C3727" s="8" t="s">
        <v>23984</v>
      </c>
      <c r="D3727" s="8" t="s">
        <v>16</v>
      </c>
      <c r="E3727" s="9" t="s">
        <v>23985</v>
      </c>
      <c r="F3727" s="10" t="s">
        <v>16731</v>
      </c>
      <c r="G3727" s="8">
        <v>23.61</v>
      </c>
      <c r="H3727" s="8"/>
      <c r="I3727" s="10"/>
      <c r="J3727" s="10" t="s">
        <v>23986</v>
      </c>
      <c r="K3727" s="10" t="s">
        <v>23987</v>
      </c>
      <c r="L3727" s="11" t="s">
        <v>23988</v>
      </c>
      <c r="M3727" s="10"/>
      <c r="N3727" s="12"/>
      <c r="O3727" s="12"/>
      <c r="P3727" s="13">
        <f>IFERROR(__xludf.DUMMYFUNCTION("VALUE(SUBSTITUTE((INDEX(SPLIT(A3727,"",""),1)),""."","","",1))"),54.768111)</f>
        <v>54.768111</v>
      </c>
      <c r="Q3727" s="13">
        <f>IFERROR(__xludf.DUMMYFUNCTION("VALUE(SUBSTITUTE((INDEX(SPLIT(A3727,"",""),2)),""."","","",1))"),56.08035)</f>
        <v>56.08035</v>
      </c>
      <c r="R3727" s="14" t="b">
        <f t="shared" si="1"/>
        <v>0</v>
      </c>
      <c r="S3727" s="14" t="str">
        <f t="shared" si="2"/>
        <v>54.768111,56.08035</v>
      </c>
      <c r="T3727" s="12"/>
    </row>
    <row r="3728">
      <c r="A3728" s="15" t="s">
        <v>23989</v>
      </c>
      <c r="B3728" s="16" t="s">
        <v>23990</v>
      </c>
      <c r="C3728" s="16" t="s">
        <v>23991</v>
      </c>
      <c r="D3728" s="16" t="s">
        <v>16</v>
      </c>
      <c r="E3728" s="17" t="s">
        <v>23992</v>
      </c>
      <c r="F3728" s="16" t="s">
        <v>10183</v>
      </c>
      <c r="G3728" s="16">
        <v>23.61</v>
      </c>
      <c r="H3728" s="16"/>
      <c r="I3728" s="16"/>
      <c r="J3728" s="16" t="s">
        <v>23993</v>
      </c>
      <c r="K3728" s="16" t="s">
        <v>23994</v>
      </c>
      <c r="L3728" s="16"/>
      <c r="M3728" s="25" t="s">
        <v>23995</v>
      </c>
      <c r="N3728" s="12"/>
      <c r="O3728" s="12"/>
      <c r="P3728" s="13">
        <f>IFERROR(__xludf.DUMMYFUNCTION("VALUE(SUBSTITUTE((INDEX(SPLIT(A3728,"",""),1)),""."","","",1))"),54.76756)</f>
        <v>54.76756</v>
      </c>
      <c r="Q3728" s="13">
        <f>IFERROR(__xludf.DUMMYFUNCTION("VALUE(SUBSTITUTE((INDEX(SPLIT(A3728,"",""),2)),""."","","",1))"),56.081374)</f>
        <v>56.081374</v>
      </c>
      <c r="R3728" s="14" t="b">
        <f t="shared" si="1"/>
        <v>0</v>
      </c>
      <c r="S3728" s="14" t="str">
        <f t="shared" si="2"/>
        <v>54.76756,56.081374</v>
      </c>
      <c r="T3728" s="12"/>
    </row>
    <row r="3729">
      <c r="A3729" s="7" t="s">
        <v>23996</v>
      </c>
      <c r="B3729" s="8" t="s">
        <v>23997</v>
      </c>
      <c r="C3729" s="8" t="s">
        <v>15536</v>
      </c>
      <c r="D3729" s="8" t="s">
        <v>16</v>
      </c>
      <c r="E3729" s="9" t="s">
        <v>23998</v>
      </c>
      <c r="F3729" s="10" t="s">
        <v>16731</v>
      </c>
      <c r="G3729" s="8">
        <v>23.61</v>
      </c>
      <c r="H3729" s="8"/>
      <c r="I3729" s="10"/>
      <c r="J3729" s="10" t="s">
        <v>23999</v>
      </c>
      <c r="K3729" s="10" t="s">
        <v>24000</v>
      </c>
      <c r="L3729" s="11" t="s">
        <v>24001</v>
      </c>
      <c r="M3729" s="11" t="s">
        <v>24002</v>
      </c>
      <c r="N3729" s="12"/>
      <c r="O3729" s="12"/>
      <c r="P3729" s="13">
        <f>IFERROR(__xludf.DUMMYFUNCTION("VALUE(SUBSTITUTE((INDEX(SPLIT(A3729,"",""),1)),""."","","",1))"),54.803657)</f>
        <v>54.803657</v>
      </c>
      <c r="Q3729" s="13">
        <f>IFERROR(__xludf.DUMMYFUNCTION("VALUE(SUBSTITUTE((INDEX(SPLIT(A3729,"",""),2)),""."","","",1))"),56.082578)</f>
        <v>56.082578</v>
      </c>
      <c r="R3729" s="14" t="b">
        <f t="shared" si="1"/>
        <v>0</v>
      </c>
      <c r="S3729" s="14" t="str">
        <f t="shared" si="2"/>
        <v>54.803657,56.082578</v>
      </c>
      <c r="T3729" s="12"/>
    </row>
    <row r="3730">
      <c r="A3730" s="15" t="s">
        <v>24003</v>
      </c>
      <c r="B3730" s="16" t="s">
        <v>7131</v>
      </c>
      <c r="C3730" s="16" t="s">
        <v>1621</v>
      </c>
      <c r="D3730" s="16" t="s">
        <v>16</v>
      </c>
      <c r="E3730" s="17" t="s">
        <v>24004</v>
      </c>
      <c r="F3730" s="16" t="s">
        <v>12524</v>
      </c>
      <c r="G3730" s="16">
        <v>23.61</v>
      </c>
      <c r="H3730" s="16"/>
      <c r="I3730" s="16"/>
      <c r="J3730" s="16" t="s">
        <v>24005</v>
      </c>
      <c r="K3730" s="16" t="s">
        <v>24006</v>
      </c>
      <c r="L3730" s="16"/>
      <c r="M3730" s="16"/>
      <c r="N3730" s="12"/>
      <c r="O3730" s="12"/>
      <c r="P3730" s="13">
        <f>IFERROR(__xludf.DUMMYFUNCTION("VALUE(SUBSTITUTE((INDEX(SPLIT(A3730,"",""),1)),""."","","",1))"),54.812328)</f>
        <v>54.812328</v>
      </c>
      <c r="Q3730" s="13">
        <f>IFERROR(__xludf.DUMMYFUNCTION("VALUE(SUBSTITUTE((INDEX(SPLIT(A3730,"",""),2)),""."","","",1))"),56.083243)</f>
        <v>56.083243</v>
      </c>
      <c r="R3730" s="14" t="b">
        <f t="shared" si="1"/>
        <v>0</v>
      </c>
      <c r="S3730" s="14" t="str">
        <f t="shared" si="2"/>
        <v>54.812328,56.083243</v>
      </c>
      <c r="T3730" s="12"/>
    </row>
    <row r="3731">
      <c r="A3731" s="18" t="s">
        <v>24007</v>
      </c>
      <c r="B3731" s="8" t="s">
        <v>24008</v>
      </c>
      <c r="C3731" s="8" t="s">
        <v>24009</v>
      </c>
      <c r="D3731" s="8" t="s">
        <v>16</v>
      </c>
      <c r="E3731" s="19" t="s">
        <v>24010</v>
      </c>
      <c r="F3731" s="8" t="s">
        <v>16731</v>
      </c>
      <c r="G3731" s="8">
        <v>23.61</v>
      </c>
      <c r="H3731" s="8"/>
      <c r="I3731" s="8"/>
      <c r="J3731" s="8" t="s">
        <v>24011</v>
      </c>
      <c r="K3731" s="8" t="s">
        <v>24000</v>
      </c>
      <c r="L3731" s="8"/>
      <c r="M3731" s="8"/>
      <c r="N3731" s="12"/>
      <c r="O3731" s="12"/>
      <c r="P3731" s="13">
        <f>IFERROR(__xludf.DUMMYFUNCTION("VALUE(SUBSTITUTE((INDEX(SPLIT(A3731,"",""),1)),""."","","",1))"),54.916346)</f>
        <v>54.916346</v>
      </c>
      <c r="Q3731" s="13">
        <f>IFERROR(__xludf.DUMMYFUNCTION("VALUE(SUBSTITUTE((INDEX(SPLIT(A3731,"",""),2)),""."","","",1))"),56.085686)</f>
        <v>56.085686</v>
      </c>
      <c r="R3731" s="14" t="b">
        <f t="shared" si="1"/>
        <v>0</v>
      </c>
      <c r="S3731" s="14" t="str">
        <f t="shared" si="2"/>
        <v>54.916346,56.085686</v>
      </c>
      <c r="T3731" s="12"/>
    </row>
    <row r="3732">
      <c r="A3732" s="20" t="s">
        <v>24007</v>
      </c>
      <c r="B3732" s="16" t="s">
        <v>24012</v>
      </c>
      <c r="C3732" s="16" t="s">
        <v>24013</v>
      </c>
      <c r="D3732" s="16" t="s">
        <v>16</v>
      </c>
      <c r="E3732" s="21" t="s">
        <v>24014</v>
      </c>
      <c r="F3732" s="22" t="s">
        <v>12524</v>
      </c>
      <c r="G3732" s="16">
        <v>23.61</v>
      </c>
      <c r="H3732" s="16"/>
      <c r="I3732" s="22"/>
      <c r="J3732" s="22" t="s">
        <v>24015</v>
      </c>
      <c r="K3732" s="22" t="s">
        <v>24016</v>
      </c>
      <c r="L3732" s="30" t="s">
        <v>24017</v>
      </c>
      <c r="M3732" s="22"/>
      <c r="N3732" s="12"/>
      <c r="O3732" s="12"/>
      <c r="P3732" s="13">
        <f>IFERROR(__xludf.DUMMYFUNCTION("VALUE(SUBSTITUTE((INDEX(SPLIT(A3732,"",""),1)),""."","","",1))"),54.916346)</f>
        <v>54.916346</v>
      </c>
      <c r="Q3732" s="13">
        <f>IFERROR(__xludf.DUMMYFUNCTION("VALUE(SUBSTITUTE((INDEX(SPLIT(A3732,"",""),2)),""."","","",1))"),56.085686)</f>
        <v>56.085686</v>
      </c>
      <c r="R3732" s="14" t="b">
        <f t="shared" si="1"/>
        <v>0</v>
      </c>
      <c r="S3732" s="14" t="str">
        <f t="shared" si="2"/>
        <v>54.916346,56.085686</v>
      </c>
      <c r="T3732" s="12"/>
    </row>
    <row r="3733">
      <c r="A3733" s="18" t="s">
        <v>24018</v>
      </c>
      <c r="B3733" s="8" t="s">
        <v>24019</v>
      </c>
      <c r="C3733" s="8" t="s">
        <v>24020</v>
      </c>
      <c r="D3733" s="8" t="s">
        <v>16</v>
      </c>
      <c r="E3733" s="19" t="s">
        <v>24021</v>
      </c>
      <c r="F3733" s="8" t="s">
        <v>12524</v>
      </c>
      <c r="G3733" s="8">
        <v>23.61</v>
      </c>
      <c r="H3733" s="8"/>
      <c r="I3733" s="8"/>
      <c r="J3733" s="8" t="s">
        <v>24022</v>
      </c>
      <c r="K3733" s="8" t="s">
        <v>24023</v>
      </c>
      <c r="L3733" s="8"/>
      <c r="M3733" s="24" t="s">
        <v>24024</v>
      </c>
      <c r="N3733" s="12"/>
      <c r="O3733" s="12"/>
      <c r="P3733" s="13">
        <f>IFERROR(__xludf.DUMMYFUNCTION("VALUE(SUBSTITUTE((INDEX(SPLIT(A3733,"",""),1)),""."","","",1))"),58.00789)</f>
        <v>58.00789</v>
      </c>
      <c r="Q3733" s="13">
        <f>IFERROR(__xludf.DUMMYFUNCTION("VALUE(SUBSTITUTE((INDEX(SPLIT(A3733,"",""),2)),""."","","",1))"),56.094418)</f>
        <v>56.094418</v>
      </c>
      <c r="R3733" s="14" t="b">
        <f t="shared" si="1"/>
        <v>0</v>
      </c>
      <c r="S3733" s="14" t="str">
        <f t="shared" si="2"/>
        <v>58.00789,56.094418</v>
      </c>
      <c r="T3733" s="12"/>
    </row>
    <row r="3734">
      <c r="A3734" s="20" t="s">
        <v>24025</v>
      </c>
      <c r="B3734" s="16" t="s">
        <v>24026</v>
      </c>
      <c r="C3734" s="16" t="s">
        <v>24027</v>
      </c>
      <c r="D3734" s="16" t="s">
        <v>16</v>
      </c>
      <c r="E3734" s="21" t="s">
        <v>24028</v>
      </c>
      <c r="F3734" s="22" t="s">
        <v>5142</v>
      </c>
      <c r="G3734" s="16">
        <v>23.61</v>
      </c>
      <c r="H3734" s="16"/>
      <c r="I3734" s="22"/>
      <c r="J3734" s="22" t="s">
        <v>24029</v>
      </c>
      <c r="K3734" s="22" t="s">
        <v>24030</v>
      </c>
      <c r="L3734" s="23" t="s">
        <v>24031</v>
      </c>
      <c r="M3734" s="23" t="s">
        <v>24032</v>
      </c>
      <c r="N3734" s="12"/>
      <c r="O3734" s="12"/>
      <c r="P3734" s="13">
        <f>IFERROR(__xludf.DUMMYFUNCTION("VALUE(SUBSTITUTE((INDEX(SPLIT(A3734,"",""),1)),""."","","",1))"),54.809319)</f>
        <v>54.809319</v>
      </c>
      <c r="Q3734" s="13">
        <f>IFERROR(__xludf.DUMMYFUNCTION("VALUE(SUBSTITUTE((INDEX(SPLIT(A3734,"",""),2)),""."","","",1))"),56.096322)</f>
        <v>56.096322</v>
      </c>
      <c r="R3734" s="14" t="b">
        <f t="shared" si="1"/>
        <v>0</v>
      </c>
      <c r="S3734" s="14" t="str">
        <f t="shared" si="2"/>
        <v>54.809319,56.096322</v>
      </c>
      <c r="T3734" s="12"/>
    </row>
    <row r="3735">
      <c r="A3735" s="7" t="s">
        <v>24033</v>
      </c>
      <c r="B3735" s="8" t="s">
        <v>24034</v>
      </c>
      <c r="C3735" s="8" t="s">
        <v>24035</v>
      </c>
      <c r="D3735" s="8" t="s">
        <v>16</v>
      </c>
      <c r="E3735" s="9" t="s">
        <v>24036</v>
      </c>
      <c r="F3735" s="10" t="s">
        <v>12524</v>
      </c>
      <c r="G3735" s="8">
        <v>23.61</v>
      </c>
      <c r="H3735" s="8"/>
      <c r="I3735" s="10"/>
      <c r="J3735" s="10" t="s">
        <v>24037</v>
      </c>
      <c r="K3735" s="10" t="s">
        <v>24038</v>
      </c>
      <c r="L3735" s="11" t="s">
        <v>24039</v>
      </c>
      <c r="M3735" s="10"/>
      <c r="N3735" s="12"/>
      <c r="O3735" s="12"/>
      <c r="P3735" s="13">
        <f>IFERROR(__xludf.DUMMYFUNCTION("VALUE(SUBSTITUTE((INDEX(SPLIT(A3735,"",""),1)),""."","","",1))"),58.008257)</f>
        <v>58.008257</v>
      </c>
      <c r="Q3735" s="13">
        <f>IFERROR(__xludf.DUMMYFUNCTION("VALUE(SUBSTITUTE((INDEX(SPLIT(A3735,"",""),2)),""."","","",1))"),56.098226)</f>
        <v>56.098226</v>
      </c>
      <c r="R3735" s="14" t="b">
        <f t="shared" si="1"/>
        <v>0</v>
      </c>
      <c r="S3735" s="14" t="str">
        <f t="shared" si="2"/>
        <v>58.008257,56.098226</v>
      </c>
      <c r="T3735" s="12"/>
    </row>
    <row r="3736">
      <c r="A3736" s="20" t="s">
        <v>24040</v>
      </c>
      <c r="B3736" s="16" t="s">
        <v>24041</v>
      </c>
      <c r="C3736" s="16" t="s">
        <v>24042</v>
      </c>
      <c r="D3736" s="16" t="s">
        <v>16</v>
      </c>
      <c r="E3736" s="21" t="s">
        <v>24043</v>
      </c>
      <c r="F3736" s="22" t="s">
        <v>10609</v>
      </c>
      <c r="G3736" s="16">
        <v>23.61</v>
      </c>
      <c r="H3736" s="16"/>
      <c r="I3736" s="22"/>
      <c r="J3736" s="22" t="s">
        <v>24044</v>
      </c>
      <c r="K3736" s="22" t="s">
        <v>24045</v>
      </c>
      <c r="L3736" s="23" t="s">
        <v>24046</v>
      </c>
      <c r="M3736" s="22"/>
      <c r="N3736" s="12"/>
      <c r="O3736" s="12"/>
      <c r="P3736" s="13">
        <f>IFERROR(__xludf.DUMMYFUNCTION("VALUE(SUBSTITUTE((INDEX(SPLIT(A3736,"",""),1)),""."","","",1))"),54.858715)</f>
        <v>54.858715</v>
      </c>
      <c r="Q3736" s="13">
        <f>IFERROR(__xludf.DUMMYFUNCTION("VALUE(SUBSTITUTE((INDEX(SPLIT(A3736,"",""),2)),""."","","",1))"),56.102368)</f>
        <v>56.102368</v>
      </c>
      <c r="R3736" s="14" t="b">
        <f t="shared" si="1"/>
        <v>0</v>
      </c>
      <c r="S3736" s="14" t="str">
        <f t="shared" si="2"/>
        <v>54.858715,56.102368</v>
      </c>
      <c r="T3736" s="12"/>
    </row>
    <row r="3737">
      <c r="A3737" s="7" t="s">
        <v>24047</v>
      </c>
      <c r="B3737" s="8" t="s">
        <v>10561</v>
      </c>
      <c r="C3737" s="8" t="s">
        <v>10562</v>
      </c>
      <c r="D3737" s="8" t="s">
        <v>16</v>
      </c>
      <c r="E3737" s="9" t="s">
        <v>24048</v>
      </c>
      <c r="F3737" s="10" t="s">
        <v>10609</v>
      </c>
      <c r="G3737" s="8">
        <v>23.61</v>
      </c>
      <c r="H3737" s="8"/>
      <c r="I3737" s="10"/>
      <c r="J3737" s="10" t="s">
        <v>24049</v>
      </c>
      <c r="K3737" s="10" t="s">
        <v>24050</v>
      </c>
      <c r="L3737" s="11" t="s">
        <v>24051</v>
      </c>
      <c r="M3737" s="10"/>
      <c r="N3737" s="12"/>
      <c r="O3737" s="12"/>
      <c r="P3737" s="13">
        <f>IFERROR(__xludf.DUMMYFUNCTION("VALUE(SUBSTITUTE((INDEX(SPLIT(A3737,"",""),1)),""."","","",1))"),54.834403)</f>
        <v>54.834403</v>
      </c>
      <c r="Q3737" s="13">
        <f>IFERROR(__xludf.DUMMYFUNCTION("VALUE(SUBSTITUTE((INDEX(SPLIT(A3737,"",""),2)),""."","","",1))"),56.104838)</f>
        <v>56.104838</v>
      </c>
      <c r="R3737" s="14" t="b">
        <f t="shared" si="1"/>
        <v>0</v>
      </c>
      <c r="S3737" s="14" t="str">
        <f t="shared" si="2"/>
        <v>54.834403,56.104838</v>
      </c>
      <c r="T3737" s="12"/>
    </row>
    <row r="3738">
      <c r="A3738" s="20" t="s">
        <v>24052</v>
      </c>
      <c r="B3738" s="16" t="s">
        <v>24053</v>
      </c>
      <c r="C3738" s="16" t="s">
        <v>24054</v>
      </c>
      <c r="D3738" s="16" t="s">
        <v>16</v>
      </c>
      <c r="E3738" s="21" t="s">
        <v>24055</v>
      </c>
      <c r="F3738" s="22" t="s">
        <v>15475</v>
      </c>
      <c r="G3738" s="16">
        <v>23.61</v>
      </c>
      <c r="H3738" s="16"/>
      <c r="I3738" s="22"/>
      <c r="J3738" s="22" t="s">
        <v>24056</v>
      </c>
      <c r="K3738" s="22" t="s">
        <v>24057</v>
      </c>
      <c r="L3738" s="23" t="s">
        <v>24058</v>
      </c>
      <c r="M3738" s="22"/>
      <c r="N3738" s="12"/>
      <c r="O3738" s="12"/>
      <c r="P3738" s="13">
        <f>IFERROR(__xludf.DUMMYFUNCTION("VALUE(SUBSTITUTE((INDEX(SPLIT(A3738,"",""),1)),""."","","",1))"),57.955218)</f>
        <v>57.955218</v>
      </c>
      <c r="Q3738" s="13">
        <f>IFERROR(__xludf.DUMMYFUNCTION("VALUE(SUBSTITUTE((INDEX(SPLIT(A3738,"",""),2)),""."","","",1))"),56.109824)</f>
        <v>56.109824</v>
      </c>
      <c r="R3738" s="14" t="b">
        <f t="shared" si="1"/>
        <v>0</v>
      </c>
      <c r="S3738" s="14" t="str">
        <f t="shared" si="2"/>
        <v>57.955218,56.109824</v>
      </c>
      <c r="T3738" s="12"/>
    </row>
    <row r="3739">
      <c r="A3739" s="18" t="s">
        <v>24059</v>
      </c>
      <c r="B3739" s="8" t="s">
        <v>24060</v>
      </c>
      <c r="C3739" s="8" t="s">
        <v>24061</v>
      </c>
      <c r="D3739" s="8" t="s">
        <v>16</v>
      </c>
      <c r="E3739" s="19" t="s">
        <v>24062</v>
      </c>
      <c r="F3739" s="8" t="s">
        <v>15475</v>
      </c>
      <c r="G3739" s="8">
        <v>23.61</v>
      </c>
      <c r="H3739" s="8"/>
      <c r="I3739" s="8"/>
      <c r="J3739" s="8" t="s">
        <v>24063</v>
      </c>
      <c r="K3739" s="8" t="s">
        <v>24064</v>
      </c>
      <c r="L3739" s="8"/>
      <c r="M3739" s="24" t="s">
        <v>24065</v>
      </c>
      <c r="N3739" s="12"/>
      <c r="O3739" s="12"/>
      <c r="P3739" s="13">
        <f>IFERROR(__xludf.DUMMYFUNCTION("VALUE(SUBSTITUTE((INDEX(SPLIT(A3739,"",""),1)),""."","","",1))"),54.838151)</f>
        <v>54.838151</v>
      </c>
      <c r="Q3739" s="13">
        <f>IFERROR(__xludf.DUMMYFUNCTION("VALUE(SUBSTITUTE((INDEX(SPLIT(A3739,"",""),2)),""."","","",1))"),56.114387)</f>
        <v>56.114387</v>
      </c>
      <c r="R3739" s="14" t="b">
        <f t="shared" si="1"/>
        <v>0</v>
      </c>
      <c r="S3739" s="14" t="str">
        <f t="shared" si="2"/>
        <v>54.838151,56.114387</v>
      </c>
      <c r="T3739" s="12"/>
    </row>
    <row r="3740">
      <c r="A3740" s="20" t="s">
        <v>24059</v>
      </c>
      <c r="B3740" s="16" t="s">
        <v>969</v>
      </c>
      <c r="C3740" s="16" t="s">
        <v>970</v>
      </c>
      <c r="D3740" s="16" t="s">
        <v>16</v>
      </c>
      <c r="E3740" s="21" t="s">
        <v>24066</v>
      </c>
      <c r="F3740" s="22" t="s">
        <v>19948</v>
      </c>
      <c r="G3740" s="16">
        <v>23.61</v>
      </c>
      <c r="H3740" s="16"/>
      <c r="I3740" s="22"/>
      <c r="J3740" s="22" t="s">
        <v>24067</v>
      </c>
      <c r="K3740" s="22" t="s">
        <v>24068</v>
      </c>
      <c r="L3740" s="23" t="s">
        <v>24069</v>
      </c>
      <c r="M3740" s="23" t="s">
        <v>24070</v>
      </c>
      <c r="N3740" s="12"/>
      <c r="O3740" s="12"/>
      <c r="P3740" s="13">
        <f>IFERROR(__xludf.DUMMYFUNCTION("VALUE(SUBSTITUTE((INDEX(SPLIT(A3740,"",""),1)),""."","","",1))"),54.838151)</f>
        <v>54.838151</v>
      </c>
      <c r="Q3740" s="13">
        <f>IFERROR(__xludf.DUMMYFUNCTION("VALUE(SUBSTITUTE((INDEX(SPLIT(A3740,"",""),2)),""."","","",1))"),56.114387)</f>
        <v>56.114387</v>
      </c>
      <c r="R3740" s="14" t="b">
        <f t="shared" si="1"/>
        <v>0</v>
      </c>
      <c r="S3740" s="14" t="str">
        <f t="shared" si="2"/>
        <v>54.838151,56.114387</v>
      </c>
      <c r="T3740" s="12"/>
    </row>
    <row r="3741">
      <c r="A3741" s="18" t="s">
        <v>24059</v>
      </c>
      <c r="B3741" s="8" t="s">
        <v>2881</v>
      </c>
      <c r="C3741" s="8" t="s">
        <v>2882</v>
      </c>
      <c r="D3741" s="8" t="s">
        <v>16</v>
      </c>
      <c r="E3741" s="19" t="s">
        <v>24071</v>
      </c>
      <c r="F3741" s="8" t="s">
        <v>18</v>
      </c>
      <c r="G3741" s="8">
        <v>23.61</v>
      </c>
      <c r="H3741" s="8"/>
      <c r="I3741" s="8"/>
      <c r="J3741" s="8" t="s">
        <v>24072</v>
      </c>
      <c r="K3741" s="8" t="s">
        <v>24073</v>
      </c>
      <c r="L3741" s="8"/>
      <c r="M3741" s="24" t="s">
        <v>24074</v>
      </c>
      <c r="N3741" s="12"/>
      <c r="O3741" s="12"/>
      <c r="P3741" s="13">
        <f>IFERROR(__xludf.DUMMYFUNCTION("VALUE(SUBSTITUTE((INDEX(SPLIT(A3741,"",""),1)),""."","","",1))"),54.838151)</f>
        <v>54.838151</v>
      </c>
      <c r="Q3741" s="13">
        <f>IFERROR(__xludf.DUMMYFUNCTION("VALUE(SUBSTITUTE((INDEX(SPLIT(A3741,"",""),2)),""."","","",1))"),56.114387)</f>
        <v>56.114387</v>
      </c>
      <c r="R3741" s="14" t="b">
        <f t="shared" si="1"/>
        <v>0</v>
      </c>
      <c r="S3741" s="14" t="str">
        <f t="shared" si="2"/>
        <v>54.838151,56.114387</v>
      </c>
      <c r="T3741" s="12"/>
    </row>
    <row r="3742">
      <c r="A3742" s="20" t="s">
        <v>24075</v>
      </c>
      <c r="B3742" s="16" t="s">
        <v>24076</v>
      </c>
      <c r="C3742" s="16" t="s">
        <v>24077</v>
      </c>
      <c r="D3742" s="16" t="s">
        <v>16</v>
      </c>
      <c r="E3742" s="21" t="s">
        <v>24078</v>
      </c>
      <c r="F3742" s="22" t="s">
        <v>23165</v>
      </c>
      <c r="G3742" s="16">
        <v>23.61</v>
      </c>
      <c r="H3742" s="16"/>
      <c r="I3742" s="22"/>
      <c r="J3742" s="22" t="s">
        <v>24079</v>
      </c>
      <c r="K3742" s="22" t="s">
        <v>24080</v>
      </c>
      <c r="L3742" s="23" t="s">
        <v>24081</v>
      </c>
      <c r="M3742" s="22"/>
      <c r="N3742" s="12"/>
      <c r="O3742" s="12"/>
      <c r="P3742" s="13">
        <f>IFERROR(__xludf.DUMMYFUNCTION("VALUE(SUBSTITUTE((INDEX(SPLIT(A3742,"",""),1)),""."","","",1))"),54.833288)</f>
        <v>54.833288</v>
      </c>
      <c r="Q3742" s="13">
        <f>IFERROR(__xludf.DUMMYFUNCTION("VALUE(SUBSTITUTE((INDEX(SPLIT(A3742,"",""),2)),""."","","",1))"),56.116265)</f>
        <v>56.116265</v>
      </c>
      <c r="R3742" s="14" t="b">
        <f t="shared" si="1"/>
        <v>0</v>
      </c>
      <c r="S3742" s="14" t="str">
        <f t="shared" si="2"/>
        <v>54.833288,56.116265</v>
      </c>
      <c r="T3742" s="12"/>
    </row>
    <row r="3743">
      <c r="A3743" s="7" t="s">
        <v>24082</v>
      </c>
      <c r="B3743" s="8" t="s">
        <v>24083</v>
      </c>
      <c r="C3743" s="8" t="s">
        <v>24084</v>
      </c>
      <c r="D3743" s="8" t="s">
        <v>16</v>
      </c>
      <c r="E3743" s="9" t="s">
        <v>24085</v>
      </c>
      <c r="F3743" s="10" t="s">
        <v>7157</v>
      </c>
      <c r="G3743" s="8">
        <v>23.61</v>
      </c>
      <c r="H3743" s="8"/>
      <c r="I3743" s="10"/>
      <c r="J3743" s="10" t="s">
        <v>24086</v>
      </c>
      <c r="K3743" s="10" t="s">
        <v>24087</v>
      </c>
      <c r="L3743" s="11" t="s">
        <v>24088</v>
      </c>
      <c r="M3743" s="11" t="s">
        <v>24089</v>
      </c>
      <c r="N3743" s="12"/>
      <c r="O3743" s="12"/>
      <c r="P3743" s="13">
        <f>IFERROR(__xludf.DUMMYFUNCTION("VALUE(SUBSTITUTE((INDEX(SPLIT(A3743,"",""),1)),""."","","",1))"),54.831239)</f>
        <v>54.831239</v>
      </c>
      <c r="Q3743" s="13">
        <f>IFERROR(__xludf.DUMMYFUNCTION("VALUE(SUBSTITUTE((INDEX(SPLIT(A3743,"",""),2)),""."","","",1))"),56.116992)</f>
        <v>56.116992</v>
      </c>
      <c r="R3743" s="14" t="b">
        <f t="shared" si="1"/>
        <v>0</v>
      </c>
      <c r="S3743" s="14" t="str">
        <f t="shared" si="2"/>
        <v>54.831239,56.116992</v>
      </c>
      <c r="T3743" s="12"/>
    </row>
    <row r="3744">
      <c r="A3744" s="20" t="s">
        <v>24082</v>
      </c>
      <c r="B3744" s="16" t="s">
        <v>12428</v>
      </c>
      <c r="C3744" s="16" t="s">
        <v>12429</v>
      </c>
      <c r="D3744" s="16" t="s">
        <v>16</v>
      </c>
      <c r="E3744" s="21" t="s">
        <v>24090</v>
      </c>
      <c r="F3744" s="22" t="s">
        <v>7157</v>
      </c>
      <c r="G3744" s="16">
        <v>23.61</v>
      </c>
      <c r="H3744" s="16"/>
      <c r="I3744" s="22"/>
      <c r="J3744" s="22" t="s">
        <v>24091</v>
      </c>
      <c r="K3744" s="22" t="s">
        <v>24092</v>
      </c>
      <c r="L3744" s="23" t="s">
        <v>24093</v>
      </c>
      <c r="M3744" s="22"/>
      <c r="N3744" s="12"/>
      <c r="O3744" s="12"/>
      <c r="P3744" s="13">
        <f>IFERROR(__xludf.DUMMYFUNCTION("VALUE(SUBSTITUTE((INDEX(SPLIT(A3744,"",""),1)),""."","","",1))"),54.831239)</f>
        <v>54.831239</v>
      </c>
      <c r="Q3744" s="13">
        <f>IFERROR(__xludf.DUMMYFUNCTION("VALUE(SUBSTITUTE((INDEX(SPLIT(A3744,"",""),2)),""."","","",1))"),56.116992)</f>
        <v>56.116992</v>
      </c>
      <c r="R3744" s="14" t="b">
        <f t="shared" si="1"/>
        <v>0</v>
      </c>
      <c r="S3744" s="14" t="str">
        <f t="shared" si="2"/>
        <v>54.831239,56.116992</v>
      </c>
      <c r="T3744" s="12"/>
    </row>
    <row r="3745">
      <c r="A3745" s="7" t="s">
        <v>24094</v>
      </c>
      <c r="B3745" s="8" t="s">
        <v>24095</v>
      </c>
      <c r="C3745" s="8" t="s">
        <v>24096</v>
      </c>
      <c r="D3745" s="8" t="s">
        <v>16</v>
      </c>
      <c r="E3745" s="9" t="s">
        <v>24097</v>
      </c>
      <c r="F3745" s="10" t="s">
        <v>14706</v>
      </c>
      <c r="G3745" s="8">
        <v>23.61</v>
      </c>
      <c r="H3745" s="8"/>
      <c r="I3745" s="10"/>
      <c r="J3745" s="10" t="s">
        <v>24098</v>
      </c>
      <c r="K3745" s="10" t="s">
        <v>24099</v>
      </c>
      <c r="L3745" s="11" t="s">
        <v>24100</v>
      </c>
      <c r="M3745" s="10"/>
      <c r="N3745" s="12"/>
      <c r="O3745" s="12"/>
      <c r="P3745" s="13">
        <f>IFERROR(__xludf.DUMMYFUNCTION("VALUE(SUBSTITUTE((INDEX(SPLIT(A3745,"",""),1)),""."","","",1))"),54.779556)</f>
        <v>54.779556</v>
      </c>
      <c r="Q3745" s="13">
        <f>IFERROR(__xludf.DUMMYFUNCTION("VALUE(SUBSTITUTE((INDEX(SPLIT(A3745,"",""),2)),""."","","",1))"),56.120451)</f>
        <v>56.120451</v>
      </c>
      <c r="R3745" s="14" t="b">
        <f t="shared" si="1"/>
        <v>0</v>
      </c>
      <c r="S3745" s="14" t="str">
        <f t="shared" si="2"/>
        <v>54.779556,56.120451</v>
      </c>
      <c r="T3745" s="12"/>
    </row>
    <row r="3746">
      <c r="A3746" s="15" t="s">
        <v>24101</v>
      </c>
      <c r="B3746" s="16" t="s">
        <v>24102</v>
      </c>
      <c r="C3746" s="16" t="s">
        <v>24103</v>
      </c>
      <c r="D3746" s="16" t="s">
        <v>16</v>
      </c>
      <c r="E3746" s="17" t="s">
        <v>24104</v>
      </c>
      <c r="F3746" s="16" t="s">
        <v>21049</v>
      </c>
      <c r="G3746" s="16">
        <v>23.61</v>
      </c>
      <c r="H3746" s="16"/>
      <c r="I3746" s="16"/>
      <c r="J3746" s="16" t="s">
        <v>24105</v>
      </c>
      <c r="K3746" s="16" t="s">
        <v>24106</v>
      </c>
      <c r="L3746" s="16"/>
      <c r="M3746" s="16"/>
      <c r="N3746" s="12"/>
      <c r="O3746" s="12"/>
      <c r="P3746" s="13">
        <f>IFERROR(__xludf.DUMMYFUNCTION("VALUE(SUBSTITUTE((INDEX(SPLIT(A3746,"",""),1)),""."","","",1))"),54.803631)</f>
        <v>54.803631</v>
      </c>
      <c r="Q3746" s="13">
        <f>IFERROR(__xludf.DUMMYFUNCTION("VALUE(SUBSTITUTE((INDEX(SPLIT(A3746,"",""),2)),""."","","",1))"),56.120675)</f>
        <v>56.120675</v>
      </c>
      <c r="R3746" s="14" t="b">
        <f t="shared" si="1"/>
        <v>0</v>
      </c>
      <c r="S3746" s="14" t="str">
        <f t="shared" si="2"/>
        <v>54.803631,56.120675</v>
      </c>
      <c r="T3746" s="12"/>
    </row>
    <row r="3747">
      <c r="A3747" s="18" t="s">
        <v>24107</v>
      </c>
      <c r="B3747" s="8" t="s">
        <v>24108</v>
      </c>
      <c r="C3747" s="8" t="s">
        <v>24109</v>
      </c>
      <c r="D3747" s="8" t="s">
        <v>16</v>
      </c>
      <c r="E3747" s="19" t="s">
        <v>24110</v>
      </c>
      <c r="F3747" s="8" t="s">
        <v>7157</v>
      </c>
      <c r="G3747" s="8">
        <v>23.61</v>
      </c>
      <c r="H3747" s="8"/>
      <c r="I3747" s="8"/>
      <c r="J3747" s="8" t="s">
        <v>24111</v>
      </c>
      <c r="K3747" s="8" t="s">
        <v>24112</v>
      </c>
      <c r="L3747" s="8"/>
      <c r="M3747" s="8"/>
      <c r="N3747" s="12"/>
      <c r="O3747" s="12"/>
      <c r="P3747" s="13">
        <f>IFERROR(__xludf.DUMMYFUNCTION("VALUE(SUBSTITUTE((INDEX(SPLIT(A3747,"",""),1)),""."","","",1))"),57.926626)</f>
        <v>57.926626</v>
      </c>
      <c r="Q3747" s="13">
        <f>IFERROR(__xludf.DUMMYFUNCTION("VALUE(SUBSTITUTE((INDEX(SPLIT(A3747,"",""),2)),""."","","",1))"),56.132946)</f>
        <v>56.132946</v>
      </c>
      <c r="R3747" s="14" t="b">
        <f t="shared" si="1"/>
        <v>0</v>
      </c>
      <c r="S3747" s="14" t="str">
        <f t="shared" si="2"/>
        <v>57.926626,56.132946</v>
      </c>
      <c r="T3747" s="12"/>
    </row>
    <row r="3748">
      <c r="A3748" s="15" t="s">
        <v>24113</v>
      </c>
      <c r="B3748" s="16" t="s">
        <v>24114</v>
      </c>
      <c r="C3748" s="16" t="s">
        <v>24115</v>
      </c>
      <c r="D3748" s="16" t="s">
        <v>16</v>
      </c>
      <c r="E3748" s="17" t="s">
        <v>24116</v>
      </c>
      <c r="F3748" s="16" t="s">
        <v>10183</v>
      </c>
      <c r="G3748" s="16">
        <v>23.61</v>
      </c>
      <c r="H3748" s="16"/>
      <c r="I3748" s="16"/>
      <c r="J3748" s="16" t="s">
        <v>24117</v>
      </c>
      <c r="K3748" s="16" t="s">
        <v>24118</v>
      </c>
      <c r="L3748" s="16"/>
      <c r="M3748" s="16"/>
      <c r="N3748" s="12"/>
      <c r="O3748" s="12"/>
      <c r="P3748" s="13">
        <f>IFERROR(__xludf.DUMMYFUNCTION("VALUE(SUBSTITUTE((INDEX(SPLIT(A3748,"",""),1)),""."","","",1))"),54.614114)</f>
        <v>54.614114</v>
      </c>
      <c r="Q3748" s="13">
        <f>IFERROR(__xludf.DUMMYFUNCTION("VALUE(SUBSTITUTE((INDEX(SPLIT(A3748,"",""),2)),""."","","",1))"),56.138192)</f>
        <v>56.138192</v>
      </c>
      <c r="R3748" s="14" t="b">
        <f t="shared" si="1"/>
        <v>0</v>
      </c>
      <c r="S3748" s="14" t="str">
        <f t="shared" si="2"/>
        <v>54.614114,56.138192</v>
      </c>
      <c r="T3748" s="12"/>
    </row>
    <row r="3749">
      <c r="A3749" s="7" t="s">
        <v>24119</v>
      </c>
      <c r="B3749" s="8" t="s">
        <v>7365</v>
      </c>
      <c r="C3749" s="8" t="s">
        <v>7366</v>
      </c>
      <c r="D3749" s="8" t="s">
        <v>16</v>
      </c>
      <c r="E3749" s="9" t="s">
        <v>24120</v>
      </c>
      <c r="F3749" s="10" t="s">
        <v>7157</v>
      </c>
      <c r="G3749" s="8">
        <v>23.61</v>
      </c>
      <c r="H3749" s="8"/>
      <c r="I3749" s="10"/>
      <c r="J3749" s="10" t="s">
        <v>24121</v>
      </c>
      <c r="K3749" s="10" t="s">
        <v>24122</v>
      </c>
      <c r="L3749" s="11" t="s">
        <v>24123</v>
      </c>
      <c r="M3749" s="10"/>
      <c r="N3749" s="12"/>
      <c r="O3749" s="12"/>
      <c r="P3749" s="13">
        <f>IFERROR(__xludf.DUMMYFUNCTION("VALUE(SUBSTITUTE((INDEX(SPLIT(A3749,"",""),1)),""."","","",1))"),57.943321)</f>
        <v>57.943321</v>
      </c>
      <c r="Q3749" s="13">
        <f>IFERROR(__xludf.DUMMYFUNCTION("VALUE(SUBSTITUTE((INDEX(SPLIT(A3749,"",""),2)),""."","","",1))"),56.140115)</f>
        <v>56.140115</v>
      </c>
      <c r="R3749" s="14" t="b">
        <f t="shared" si="1"/>
        <v>0</v>
      </c>
      <c r="S3749" s="14" t="str">
        <f t="shared" si="2"/>
        <v>57.943321,56.140115</v>
      </c>
      <c r="T3749" s="12"/>
    </row>
    <row r="3750">
      <c r="A3750" s="15" t="s">
        <v>24124</v>
      </c>
      <c r="B3750" s="16" t="s">
        <v>24125</v>
      </c>
      <c r="C3750" s="16" t="s">
        <v>24126</v>
      </c>
      <c r="D3750" s="16" t="s">
        <v>16</v>
      </c>
      <c r="E3750" s="17" t="s">
        <v>24127</v>
      </c>
      <c r="F3750" s="16" t="s">
        <v>7157</v>
      </c>
      <c r="G3750" s="16">
        <v>23.61</v>
      </c>
      <c r="H3750" s="16"/>
      <c r="I3750" s="16"/>
      <c r="J3750" s="16" t="s">
        <v>24128</v>
      </c>
      <c r="K3750" s="16" t="s">
        <v>13374</v>
      </c>
      <c r="L3750" s="16"/>
      <c r="M3750" s="25" t="s">
        <v>15594</v>
      </c>
      <c r="N3750" s="12"/>
      <c r="O3750" s="12"/>
      <c r="P3750" s="13">
        <f>IFERROR(__xludf.DUMMYFUNCTION("VALUE(SUBSTITUTE((INDEX(SPLIT(A3750,"",""),1)),""."","","",1))"),54.189424)</f>
        <v>54.189424</v>
      </c>
      <c r="Q3750" s="13">
        <f>IFERROR(__xludf.DUMMYFUNCTION("VALUE(SUBSTITUTE((INDEX(SPLIT(A3750,"",""),2)),""."","","",1))"),56.143546)</f>
        <v>56.143546</v>
      </c>
      <c r="R3750" s="14" t="b">
        <f t="shared" si="1"/>
        <v>0</v>
      </c>
      <c r="S3750" s="14" t="str">
        <f t="shared" si="2"/>
        <v>54.189424,56.143546</v>
      </c>
      <c r="T3750" s="12"/>
    </row>
    <row r="3751">
      <c r="A3751" s="7" t="s">
        <v>24129</v>
      </c>
      <c r="B3751" s="8" t="s">
        <v>24130</v>
      </c>
      <c r="C3751" s="8" t="s">
        <v>24131</v>
      </c>
      <c r="D3751" s="8" t="s">
        <v>16</v>
      </c>
      <c r="E3751" s="9" t="s">
        <v>24132</v>
      </c>
      <c r="F3751" s="10" t="s">
        <v>23544</v>
      </c>
      <c r="G3751" s="8">
        <v>23.61</v>
      </c>
      <c r="H3751" s="8"/>
      <c r="I3751" s="31" t="s">
        <v>24133</v>
      </c>
      <c r="J3751" s="10" t="s">
        <v>24134</v>
      </c>
      <c r="K3751" s="10" t="s">
        <v>24135</v>
      </c>
      <c r="L3751" s="29" t="s">
        <v>24136</v>
      </c>
      <c r="M3751" s="10"/>
      <c r="N3751" s="12"/>
      <c r="O3751" s="12"/>
      <c r="P3751" s="13">
        <f>IFERROR(__xludf.DUMMYFUNCTION("VALUE(SUBSTITUTE((INDEX(SPLIT(A3751,"",""),1)),""."","","",1))"),54.534438)</f>
        <v>54.534438</v>
      </c>
      <c r="Q3751" s="13">
        <f>IFERROR(__xludf.DUMMYFUNCTION("VALUE(SUBSTITUTE((INDEX(SPLIT(A3751,"",""),2)),""."","","",1))"),56.145747)</f>
        <v>56.145747</v>
      </c>
      <c r="R3751" s="14" t="b">
        <f t="shared" si="1"/>
        <v>0</v>
      </c>
      <c r="S3751" s="14" t="str">
        <f t="shared" si="2"/>
        <v>54.534438,56.145747</v>
      </c>
      <c r="T3751" s="12"/>
    </row>
    <row r="3752">
      <c r="A3752" s="20" t="s">
        <v>24137</v>
      </c>
      <c r="B3752" s="16" t="s">
        <v>24138</v>
      </c>
      <c r="C3752" s="16" t="s">
        <v>24139</v>
      </c>
      <c r="D3752" s="16" t="s">
        <v>16</v>
      </c>
      <c r="E3752" s="21" t="s">
        <v>24140</v>
      </c>
      <c r="F3752" s="22" t="s">
        <v>10183</v>
      </c>
      <c r="G3752" s="16">
        <v>23.61</v>
      </c>
      <c r="H3752" s="16"/>
      <c r="I3752" s="22"/>
      <c r="J3752" s="22" t="s">
        <v>24141</v>
      </c>
      <c r="K3752" s="22" t="s">
        <v>24142</v>
      </c>
      <c r="L3752" s="23" t="s">
        <v>24143</v>
      </c>
      <c r="M3752" s="22"/>
      <c r="N3752" s="12"/>
      <c r="O3752" s="12"/>
      <c r="P3752" s="13">
        <f>IFERROR(__xludf.DUMMYFUNCTION("VALUE(SUBSTITUTE((INDEX(SPLIT(A3752,"",""),1)),""."","","",1))"),58.003112)</f>
        <v>58.003112</v>
      </c>
      <c r="Q3752" s="13">
        <f>IFERROR(__xludf.DUMMYFUNCTION("VALUE(SUBSTITUTE((INDEX(SPLIT(A3752,"",""),2)),""."","","",1))"),56.147131)</f>
        <v>56.147131</v>
      </c>
      <c r="R3752" s="14" t="b">
        <f t="shared" si="1"/>
        <v>0</v>
      </c>
      <c r="S3752" s="14" t="str">
        <f t="shared" si="2"/>
        <v>58.003112,56.147131</v>
      </c>
      <c r="T3752" s="12"/>
    </row>
    <row r="3753">
      <c r="A3753" s="18" t="s">
        <v>24144</v>
      </c>
      <c r="B3753" s="8" t="s">
        <v>24145</v>
      </c>
      <c r="C3753" s="8" t="s">
        <v>24146</v>
      </c>
      <c r="D3753" s="8" t="s">
        <v>16</v>
      </c>
      <c r="E3753" s="19" t="s">
        <v>24147</v>
      </c>
      <c r="F3753" s="8" t="s">
        <v>10183</v>
      </c>
      <c r="G3753" s="8">
        <v>23.61</v>
      </c>
      <c r="H3753" s="8"/>
      <c r="I3753" s="8"/>
      <c r="J3753" s="8" t="s">
        <v>24148</v>
      </c>
      <c r="K3753" s="8" t="s">
        <v>24149</v>
      </c>
      <c r="L3753" s="8"/>
      <c r="M3753" s="24" t="s">
        <v>24150</v>
      </c>
      <c r="N3753" s="12"/>
      <c r="O3753" s="12"/>
      <c r="P3753" s="13">
        <f>IFERROR(__xludf.DUMMYFUNCTION("VALUE(SUBSTITUTE((INDEX(SPLIT(A3753,"",""),1)),""."","","",1))"),58.00551)</f>
        <v>58.00551</v>
      </c>
      <c r="Q3753" s="13">
        <f>IFERROR(__xludf.DUMMYFUNCTION("VALUE(SUBSTITUTE((INDEX(SPLIT(A3753,"",""),2)),""."","","",1))"),56.147463)</f>
        <v>56.147463</v>
      </c>
      <c r="R3753" s="14" t="b">
        <f t="shared" si="1"/>
        <v>0</v>
      </c>
      <c r="S3753" s="14" t="str">
        <f t="shared" si="2"/>
        <v>58.00551,56.147463</v>
      </c>
      <c r="T3753" s="12"/>
    </row>
    <row r="3754">
      <c r="A3754" s="15" t="s">
        <v>24151</v>
      </c>
      <c r="B3754" s="16" t="s">
        <v>24152</v>
      </c>
      <c r="C3754" s="16" t="s">
        <v>24153</v>
      </c>
      <c r="D3754" s="16" t="s">
        <v>16</v>
      </c>
      <c r="E3754" s="17" t="s">
        <v>24154</v>
      </c>
      <c r="F3754" s="16" t="s">
        <v>21049</v>
      </c>
      <c r="G3754" s="16">
        <v>23.61</v>
      </c>
      <c r="H3754" s="16"/>
      <c r="I3754" s="16"/>
      <c r="J3754" s="16" t="s">
        <v>24155</v>
      </c>
      <c r="K3754" s="16" t="s">
        <v>24156</v>
      </c>
      <c r="L3754" s="16"/>
      <c r="M3754" s="16"/>
      <c r="N3754" s="12"/>
      <c r="O3754" s="12"/>
      <c r="P3754" s="13">
        <f>IFERROR(__xludf.DUMMYFUNCTION("VALUE(SUBSTITUTE((INDEX(SPLIT(A3754,"",""),1)),""."","","",1))"),58.005744)</f>
        <v>58.005744</v>
      </c>
      <c r="Q3754" s="13">
        <f>IFERROR(__xludf.DUMMYFUNCTION("VALUE(SUBSTITUTE((INDEX(SPLIT(A3754,"",""),2)),""."","","",1))"),56.150805)</f>
        <v>56.150805</v>
      </c>
      <c r="R3754" s="14" t="b">
        <f t="shared" si="1"/>
        <v>0</v>
      </c>
      <c r="S3754" s="14" t="str">
        <f t="shared" si="2"/>
        <v>58.005744,56.150805</v>
      </c>
      <c r="T3754" s="12"/>
    </row>
    <row r="3755">
      <c r="A3755" s="7" t="s">
        <v>24157</v>
      </c>
      <c r="B3755" s="8" t="s">
        <v>24158</v>
      </c>
      <c r="C3755" s="8" t="s">
        <v>24159</v>
      </c>
      <c r="D3755" s="8" t="s">
        <v>16</v>
      </c>
      <c r="E3755" s="9" t="s">
        <v>24160</v>
      </c>
      <c r="F3755" s="10" t="s">
        <v>21049</v>
      </c>
      <c r="G3755" s="8">
        <v>23.61</v>
      </c>
      <c r="H3755" s="8"/>
      <c r="I3755" s="10"/>
      <c r="J3755" s="10" t="s">
        <v>24161</v>
      </c>
      <c r="K3755" s="10" t="s">
        <v>24162</v>
      </c>
      <c r="L3755" s="11" t="s">
        <v>24163</v>
      </c>
      <c r="M3755" s="10"/>
      <c r="N3755" s="12"/>
      <c r="O3755" s="12"/>
      <c r="P3755" s="13">
        <f>IFERROR(__xludf.DUMMYFUNCTION("VALUE(SUBSTITUTE((INDEX(SPLIT(A3755,"",""),1)),""."","","",1))"),57.91001)</f>
        <v>57.91001</v>
      </c>
      <c r="Q3755" s="13">
        <f>IFERROR(__xludf.DUMMYFUNCTION("VALUE(SUBSTITUTE((INDEX(SPLIT(A3755,"",""),2)),""."","","",1))"),56.177206)</f>
        <v>56.177206</v>
      </c>
      <c r="R3755" s="14" t="b">
        <f t="shared" si="1"/>
        <v>0</v>
      </c>
      <c r="S3755" s="14" t="str">
        <f t="shared" si="2"/>
        <v>57.91001,56.177206</v>
      </c>
      <c r="T3755" s="12"/>
    </row>
    <row r="3756">
      <c r="A3756" s="15" t="s">
        <v>24164</v>
      </c>
      <c r="B3756" s="16" t="s">
        <v>24165</v>
      </c>
      <c r="C3756" s="16" t="s">
        <v>24166</v>
      </c>
      <c r="D3756" s="16" t="s">
        <v>16</v>
      </c>
      <c r="E3756" s="17" t="s">
        <v>24167</v>
      </c>
      <c r="F3756" s="16" t="s">
        <v>10609</v>
      </c>
      <c r="G3756" s="16">
        <v>23.61</v>
      </c>
      <c r="H3756" s="16"/>
      <c r="I3756" s="16"/>
      <c r="J3756" s="16" t="s">
        <v>24168</v>
      </c>
      <c r="K3756" s="16" t="s">
        <v>24169</v>
      </c>
      <c r="L3756" s="16"/>
      <c r="M3756" s="25" t="s">
        <v>24170</v>
      </c>
      <c r="N3756" s="12"/>
      <c r="O3756" s="12"/>
      <c r="P3756" s="13">
        <f>IFERROR(__xludf.DUMMYFUNCTION("VALUE(SUBSTITUTE((INDEX(SPLIT(A3756,"",""),1)),""."","","",1))"),57.977708)</f>
        <v>57.977708</v>
      </c>
      <c r="Q3756" s="13">
        <f>IFERROR(__xludf.DUMMYFUNCTION("VALUE(SUBSTITUTE((INDEX(SPLIT(A3756,"",""),2)),""."","","",1))"),56.18274)</f>
        <v>56.18274</v>
      </c>
      <c r="R3756" s="14" t="b">
        <f t="shared" si="1"/>
        <v>0</v>
      </c>
      <c r="S3756" s="14" t="str">
        <f t="shared" si="2"/>
        <v>57.977708,56.18274</v>
      </c>
      <c r="T3756" s="12"/>
    </row>
    <row r="3757">
      <c r="A3757" s="7" t="s">
        <v>24171</v>
      </c>
      <c r="B3757" s="8" t="s">
        <v>24172</v>
      </c>
      <c r="C3757" s="8" t="s">
        <v>24173</v>
      </c>
      <c r="D3757" s="8" t="s">
        <v>16</v>
      </c>
      <c r="E3757" s="9" t="s">
        <v>24174</v>
      </c>
      <c r="F3757" s="10" t="s">
        <v>10609</v>
      </c>
      <c r="G3757" s="8">
        <v>23.61</v>
      </c>
      <c r="H3757" s="8"/>
      <c r="I3757" s="10"/>
      <c r="J3757" s="10" t="s">
        <v>24175</v>
      </c>
      <c r="K3757" s="10" t="s">
        <v>24176</v>
      </c>
      <c r="L3757" s="11" t="s">
        <v>24177</v>
      </c>
      <c r="M3757" s="10"/>
      <c r="N3757" s="12"/>
      <c r="O3757" s="12"/>
      <c r="P3757" s="13">
        <f>IFERROR(__xludf.DUMMYFUNCTION("VALUE(SUBSTITUTE((INDEX(SPLIT(A3757,"",""),1)),""."","","",1))"),57.98342)</f>
        <v>57.98342</v>
      </c>
      <c r="Q3757" s="13">
        <f>IFERROR(__xludf.DUMMYFUNCTION("VALUE(SUBSTITUTE((INDEX(SPLIT(A3757,"",""),2)),""."","","",1))"),56.211944)</f>
        <v>56.211944</v>
      </c>
      <c r="R3757" s="14" t="b">
        <f t="shared" si="1"/>
        <v>0</v>
      </c>
      <c r="S3757" s="14" t="str">
        <f t="shared" si="2"/>
        <v>57.98342,56.211944</v>
      </c>
      <c r="T3757" s="12"/>
    </row>
    <row r="3758">
      <c r="A3758" s="15" t="s">
        <v>24178</v>
      </c>
      <c r="B3758" s="16" t="s">
        <v>24179</v>
      </c>
      <c r="C3758" s="16" t="s">
        <v>24180</v>
      </c>
      <c r="D3758" s="16" t="s">
        <v>16</v>
      </c>
      <c r="E3758" s="17" t="s">
        <v>24181</v>
      </c>
      <c r="F3758" s="16" t="s">
        <v>20160</v>
      </c>
      <c r="G3758" s="16">
        <v>23.61</v>
      </c>
      <c r="H3758" s="16"/>
      <c r="I3758" s="16"/>
      <c r="J3758" s="16" t="s">
        <v>20613</v>
      </c>
      <c r="K3758" s="16" t="s">
        <v>24182</v>
      </c>
      <c r="L3758" s="16"/>
      <c r="M3758" s="16"/>
      <c r="N3758" s="12"/>
      <c r="O3758" s="12"/>
      <c r="P3758" s="13">
        <f>IFERROR(__xludf.DUMMYFUNCTION("VALUE(SUBSTITUTE((INDEX(SPLIT(A3758,"",""),1)),""."","","",1))"),57.986588)</f>
        <v>57.986588</v>
      </c>
      <c r="Q3758" s="13">
        <f>IFERROR(__xludf.DUMMYFUNCTION("VALUE(SUBSTITUTE((INDEX(SPLIT(A3758,"",""),2)),""."","","",1))"),56.211962)</f>
        <v>56.211962</v>
      </c>
      <c r="R3758" s="14" t="b">
        <f t="shared" si="1"/>
        <v>0</v>
      </c>
      <c r="S3758" s="14" t="str">
        <f t="shared" si="2"/>
        <v>57.986588,56.211962</v>
      </c>
      <c r="T3758" s="12"/>
    </row>
    <row r="3759">
      <c r="A3759" s="7" t="s">
        <v>24183</v>
      </c>
      <c r="B3759" s="8" t="s">
        <v>24184</v>
      </c>
      <c r="C3759" s="8" t="s">
        <v>24185</v>
      </c>
      <c r="D3759" s="8" t="s">
        <v>16</v>
      </c>
      <c r="E3759" s="9" t="s">
        <v>24186</v>
      </c>
      <c r="F3759" s="10" t="s">
        <v>10609</v>
      </c>
      <c r="G3759" s="8">
        <v>23.61</v>
      </c>
      <c r="H3759" s="8"/>
      <c r="I3759" s="10"/>
      <c r="J3759" s="10" t="s">
        <v>24187</v>
      </c>
      <c r="K3759" s="10" t="s">
        <v>24188</v>
      </c>
      <c r="L3759" s="11" t="s">
        <v>24189</v>
      </c>
      <c r="M3759" s="10"/>
      <c r="N3759" s="12"/>
      <c r="O3759" s="12"/>
      <c r="P3759" s="13">
        <f>IFERROR(__xludf.DUMMYFUNCTION("VALUE(SUBSTITUTE((INDEX(SPLIT(A3759,"",""),1)),""."","","",1))"),57.993921)</f>
        <v>57.993921</v>
      </c>
      <c r="Q3759" s="13">
        <f>IFERROR(__xludf.DUMMYFUNCTION("VALUE(SUBSTITUTE((INDEX(SPLIT(A3759,"",""),2)),""."","","",1))"),56.212842)</f>
        <v>56.212842</v>
      </c>
      <c r="R3759" s="14" t="b">
        <f t="shared" si="1"/>
        <v>0</v>
      </c>
      <c r="S3759" s="14" t="str">
        <f t="shared" si="2"/>
        <v>57.993921,56.212842</v>
      </c>
      <c r="T3759" s="12"/>
    </row>
    <row r="3760">
      <c r="A3760" s="15" t="s">
        <v>24190</v>
      </c>
      <c r="B3760" s="16" t="s">
        <v>24191</v>
      </c>
      <c r="C3760" s="16" t="s">
        <v>24192</v>
      </c>
      <c r="D3760" s="16" t="s">
        <v>16</v>
      </c>
      <c r="E3760" s="17" t="s">
        <v>24193</v>
      </c>
      <c r="F3760" s="16" t="s">
        <v>10609</v>
      </c>
      <c r="G3760" s="16">
        <v>23.61</v>
      </c>
      <c r="H3760" s="16"/>
      <c r="I3760" s="16"/>
      <c r="J3760" s="16" t="s">
        <v>24194</v>
      </c>
      <c r="K3760" s="16" t="s">
        <v>24195</v>
      </c>
      <c r="L3760" s="16"/>
      <c r="M3760" s="16"/>
      <c r="N3760" s="12"/>
      <c r="O3760" s="12"/>
      <c r="P3760" s="13">
        <f>IFERROR(__xludf.DUMMYFUNCTION("VALUE(SUBSTITUTE((INDEX(SPLIT(A3760,"",""),1)),""."","","",1))"),57.975551)</f>
        <v>57.975551</v>
      </c>
      <c r="Q3760" s="13">
        <f>IFERROR(__xludf.DUMMYFUNCTION("VALUE(SUBSTITUTE((INDEX(SPLIT(A3760,"",""),2)),""."","","",1))"),56.212941)</f>
        <v>56.212941</v>
      </c>
      <c r="R3760" s="14" t="b">
        <f t="shared" si="1"/>
        <v>0</v>
      </c>
      <c r="S3760" s="14" t="str">
        <f t="shared" si="2"/>
        <v>57.975551,56.212941</v>
      </c>
      <c r="T3760" s="12"/>
    </row>
    <row r="3761">
      <c r="A3761" s="7" t="s">
        <v>24196</v>
      </c>
      <c r="B3761" s="8" t="s">
        <v>24197</v>
      </c>
      <c r="C3761" s="8" t="s">
        <v>24198</v>
      </c>
      <c r="D3761" s="8" t="s">
        <v>16</v>
      </c>
      <c r="E3761" s="9" t="s">
        <v>24199</v>
      </c>
      <c r="F3761" s="10" t="s">
        <v>21049</v>
      </c>
      <c r="G3761" s="8">
        <v>23.61</v>
      </c>
      <c r="H3761" s="8"/>
      <c r="I3761" s="31" t="s">
        <v>24200</v>
      </c>
      <c r="J3761" s="10" t="s">
        <v>24201</v>
      </c>
      <c r="K3761" s="10" t="s">
        <v>24202</v>
      </c>
      <c r="L3761" s="29" t="s">
        <v>24203</v>
      </c>
      <c r="M3761" s="10"/>
      <c r="N3761" s="12"/>
      <c r="O3761" s="12"/>
      <c r="P3761" s="13">
        <f>IFERROR(__xludf.DUMMYFUNCTION("VALUE(SUBSTITUTE((INDEX(SPLIT(A3761,"",""),1)),""."","","",1))"),58.008943)</f>
        <v>58.008943</v>
      </c>
      <c r="Q3761" s="13">
        <f>IFERROR(__xludf.DUMMYFUNCTION("VALUE(SUBSTITUTE((INDEX(SPLIT(A3761,"",""),2)),""."","","",1))"),56.229129)</f>
        <v>56.229129</v>
      </c>
      <c r="R3761" s="14" t="b">
        <f t="shared" si="1"/>
        <v>0</v>
      </c>
      <c r="S3761" s="14" t="str">
        <f t="shared" si="2"/>
        <v>58.008943,56.229129</v>
      </c>
      <c r="T3761" s="12"/>
    </row>
    <row r="3762">
      <c r="A3762" s="15" t="s">
        <v>24204</v>
      </c>
      <c r="B3762" s="16" t="s">
        <v>24205</v>
      </c>
      <c r="C3762" s="16" t="s">
        <v>24206</v>
      </c>
      <c r="D3762" s="16" t="s">
        <v>16</v>
      </c>
      <c r="E3762" s="17" t="s">
        <v>24207</v>
      </c>
      <c r="F3762" s="16" t="s">
        <v>10183</v>
      </c>
      <c r="G3762" s="16">
        <v>23.61</v>
      </c>
      <c r="H3762" s="16"/>
      <c r="I3762" s="16"/>
      <c r="J3762" s="16" t="s">
        <v>24208</v>
      </c>
      <c r="K3762" s="16" t="s">
        <v>24209</v>
      </c>
      <c r="L3762" s="16"/>
      <c r="M3762" s="25" t="s">
        <v>24210</v>
      </c>
      <c r="N3762" s="12"/>
      <c r="O3762" s="12"/>
      <c r="P3762" s="13">
        <f>IFERROR(__xludf.DUMMYFUNCTION("VALUE(SUBSTITUTE((INDEX(SPLIT(A3762,"",""),1)),""."","","",1))"),58.010455)</f>
        <v>58.010455</v>
      </c>
      <c r="Q3762" s="13">
        <f>IFERROR(__xludf.DUMMYFUNCTION("VALUE(SUBSTITUTE((INDEX(SPLIT(A3762,"",""),2)),""."","","",1))"),56.229443)</f>
        <v>56.229443</v>
      </c>
      <c r="R3762" s="14" t="b">
        <f t="shared" si="1"/>
        <v>0</v>
      </c>
      <c r="S3762" s="14" t="str">
        <f t="shared" si="2"/>
        <v>58.010455,56.229443</v>
      </c>
      <c r="T3762" s="12"/>
    </row>
    <row r="3763">
      <c r="A3763" s="7" t="s">
        <v>24204</v>
      </c>
      <c r="B3763" s="8" t="s">
        <v>24211</v>
      </c>
      <c r="C3763" s="8" t="s">
        <v>24212</v>
      </c>
      <c r="D3763" s="8" t="s">
        <v>16</v>
      </c>
      <c r="E3763" s="9" t="s">
        <v>24213</v>
      </c>
      <c r="F3763" s="10" t="s">
        <v>21049</v>
      </c>
      <c r="G3763" s="8">
        <v>23.61</v>
      </c>
      <c r="H3763" s="8"/>
      <c r="I3763" s="10"/>
      <c r="J3763" s="10" t="s">
        <v>24214</v>
      </c>
      <c r="K3763" s="10" t="s">
        <v>24215</v>
      </c>
      <c r="L3763" s="11" t="s">
        <v>24216</v>
      </c>
      <c r="M3763" s="10"/>
      <c r="N3763" s="12"/>
      <c r="O3763" s="12"/>
      <c r="P3763" s="13">
        <f>IFERROR(__xludf.DUMMYFUNCTION("VALUE(SUBSTITUTE((INDEX(SPLIT(A3763,"",""),1)),""."","","",1))"),58.010455)</f>
        <v>58.010455</v>
      </c>
      <c r="Q3763" s="13">
        <f>IFERROR(__xludf.DUMMYFUNCTION("VALUE(SUBSTITUTE((INDEX(SPLIT(A3763,"",""),2)),""."","","",1))"),56.229443)</f>
        <v>56.229443</v>
      </c>
      <c r="R3763" s="14" t="b">
        <f t="shared" si="1"/>
        <v>0</v>
      </c>
      <c r="S3763" s="14" t="str">
        <f t="shared" si="2"/>
        <v>58.010455,56.229443</v>
      </c>
      <c r="T3763" s="12"/>
    </row>
    <row r="3764">
      <c r="A3764" s="15" t="s">
        <v>24204</v>
      </c>
      <c r="B3764" s="16" t="s">
        <v>24217</v>
      </c>
      <c r="C3764" s="16" t="s">
        <v>24218</v>
      </c>
      <c r="D3764" s="16" t="s">
        <v>16</v>
      </c>
      <c r="E3764" s="17" t="s">
        <v>24219</v>
      </c>
      <c r="F3764" s="16" t="s">
        <v>17865</v>
      </c>
      <c r="G3764" s="16">
        <v>23.61</v>
      </c>
      <c r="H3764" s="16"/>
      <c r="I3764" s="16"/>
      <c r="J3764" s="16" t="s">
        <v>24220</v>
      </c>
      <c r="K3764" s="16" t="s">
        <v>24221</v>
      </c>
      <c r="L3764" s="16"/>
      <c r="M3764" s="16"/>
      <c r="N3764" s="12"/>
      <c r="O3764" s="12"/>
      <c r="P3764" s="13">
        <f>IFERROR(__xludf.DUMMYFUNCTION("VALUE(SUBSTITUTE((INDEX(SPLIT(A3764,"",""),1)),""."","","",1))"),58.010455)</f>
        <v>58.010455</v>
      </c>
      <c r="Q3764" s="13">
        <f>IFERROR(__xludf.DUMMYFUNCTION("VALUE(SUBSTITUTE((INDEX(SPLIT(A3764,"",""),2)),""."","","",1))"),56.229443)</f>
        <v>56.229443</v>
      </c>
      <c r="R3764" s="14" t="b">
        <f t="shared" si="1"/>
        <v>0</v>
      </c>
      <c r="S3764" s="14" t="str">
        <f t="shared" si="2"/>
        <v>58.010455,56.229443</v>
      </c>
      <c r="T3764" s="12"/>
    </row>
    <row r="3765">
      <c r="A3765" s="18" t="s">
        <v>24204</v>
      </c>
      <c r="B3765" s="8" t="s">
        <v>24222</v>
      </c>
      <c r="C3765" s="8" t="s">
        <v>24223</v>
      </c>
      <c r="D3765" s="8" t="s">
        <v>16</v>
      </c>
      <c r="E3765" s="19" t="s">
        <v>24224</v>
      </c>
      <c r="F3765" s="8" t="s">
        <v>21049</v>
      </c>
      <c r="G3765" s="8">
        <v>23.61</v>
      </c>
      <c r="H3765" s="8"/>
      <c r="I3765" s="8"/>
      <c r="J3765" s="8" t="s">
        <v>24225</v>
      </c>
      <c r="K3765" s="8" t="s">
        <v>24226</v>
      </c>
      <c r="L3765" s="8"/>
      <c r="M3765" s="8"/>
      <c r="N3765" s="12"/>
      <c r="O3765" s="12"/>
      <c r="P3765" s="13">
        <f>IFERROR(__xludf.DUMMYFUNCTION("VALUE(SUBSTITUTE((INDEX(SPLIT(A3765,"",""),1)),""."","","",1))"),58.010455)</f>
        <v>58.010455</v>
      </c>
      <c r="Q3765" s="13">
        <f>IFERROR(__xludf.DUMMYFUNCTION("VALUE(SUBSTITUTE((INDEX(SPLIT(A3765,"",""),2)),""."","","",1))"),56.229443)</f>
        <v>56.229443</v>
      </c>
      <c r="R3765" s="14" t="b">
        <f t="shared" si="1"/>
        <v>0</v>
      </c>
      <c r="S3765" s="14" t="str">
        <f t="shared" si="2"/>
        <v>58.010455,56.229443</v>
      </c>
      <c r="T3765" s="12"/>
    </row>
    <row r="3766">
      <c r="A3766" s="20" t="s">
        <v>24227</v>
      </c>
      <c r="B3766" s="16" t="s">
        <v>24228</v>
      </c>
      <c r="C3766" s="16" t="s">
        <v>24229</v>
      </c>
      <c r="D3766" s="16" t="s">
        <v>16</v>
      </c>
      <c r="E3766" s="21" t="s">
        <v>24230</v>
      </c>
      <c r="F3766" s="22" t="s">
        <v>10609</v>
      </c>
      <c r="G3766" s="16">
        <v>23.61</v>
      </c>
      <c r="H3766" s="16"/>
      <c r="I3766" s="22"/>
      <c r="J3766" s="22" t="s">
        <v>24231</v>
      </c>
      <c r="K3766" s="22" t="s">
        <v>24232</v>
      </c>
      <c r="L3766" s="23" t="s">
        <v>24233</v>
      </c>
      <c r="M3766" s="22"/>
      <c r="N3766" s="12"/>
      <c r="O3766" s="12"/>
      <c r="P3766" s="13">
        <f>IFERROR(__xludf.DUMMYFUNCTION("VALUE(SUBSTITUTE((INDEX(SPLIT(A3766,"",""),1)),""."","","",1))"),57.996177)</f>
        <v>57.996177</v>
      </c>
      <c r="Q3766" s="13">
        <f>IFERROR(__xludf.DUMMYFUNCTION("VALUE(SUBSTITUTE((INDEX(SPLIT(A3766,"",""),2)),""."","","",1))"),56.235157)</f>
        <v>56.235157</v>
      </c>
      <c r="R3766" s="14" t="b">
        <f t="shared" si="1"/>
        <v>0</v>
      </c>
      <c r="S3766" s="14" t="str">
        <f t="shared" si="2"/>
        <v>57.996177,56.235157</v>
      </c>
      <c r="T3766" s="12"/>
    </row>
    <row r="3767">
      <c r="A3767" s="7" t="s">
        <v>24234</v>
      </c>
      <c r="B3767" s="8" t="s">
        <v>24235</v>
      </c>
      <c r="C3767" s="8" t="s">
        <v>24236</v>
      </c>
      <c r="D3767" s="8" t="s">
        <v>16</v>
      </c>
      <c r="E3767" s="9" t="s">
        <v>24237</v>
      </c>
      <c r="F3767" s="10" t="s">
        <v>17865</v>
      </c>
      <c r="G3767" s="8">
        <v>23.61</v>
      </c>
      <c r="H3767" s="8"/>
      <c r="I3767" s="10"/>
      <c r="J3767" s="10" t="s">
        <v>24238</v>
      </c>
      <c r="K3767" s="10" t="s">
        <v>24239</v>
      </c>
      <c r="L3767" s="11" t="s">
        <v>24240</v>
      </c>
      <c r="M3767" s="10"/>
      <c r="N3767" s="12"/>
      <c r="O3767" s="12"/>
      <c r="P3767" s="13">
        <f>IFERROR(__xludf.DUMMYFUNCTION("VALUE(SUBSTITUTE((INDEX(SPLIT(A3767,"",""),1)),""."","","",1))"),53.983587)</f>
        <v>53.983587</v>
      </c>
      <c r="Q3767" s="13">
        <f>IFERROR(__xludf.DUMMYFUNCTION("VALUE(SUBSTITUTE((INDEX(SPLIT(A3767,"",""),2)),""."","","",1))"),56.236118)</f>
        <v>56.236118</v>
      </c>
      <c r="R3767" s="14" t="b">
        <f t="shared" si="1"/>
        <v>0</v>
      </c>
      <c r="S3767" s="14" t="str">
        <f t="shared" si="2"/>
        <v>53.983587,56.236118</v>
      </c>
      <c r="T3767" s="12"/>
    </row>
    <row r="3768">
      <c r="A3768" s="20" t="s">
        <v>24241</v>
      </c>
      <c r="B3768" s="16" t="s">
        <v>24242</v>
      </c>
      <c r="C3768" s="16" t="s">
        <v>24243</v>
      </c>
      <c r="D3768" s="16" t="s">
        <v>16</v>
      </c>
      <c r="E3768" s="21" t="s">
        <v>24244</v>
      </c>
      <c r="F3768" s="22" t="s">
        <v>10609</v>
      </c>
      <c r="G3768" s="16">
        <v>23.61</v>
      </c>
      <c r="H3768" s="16"/>
      <c r="I3768" s="22"/>
      <c r="J3768" s="22" t="s">
        <v>24245</v>
      </c>
      <c r="K3768" s="22" t="s">
        <v>24246</v>
      </c>
      <c r="L3768" s="23" t="s">
        <v>24247</v>
      </c>
      <c r="M3768" s="22"/>
      <c r="N3768" s="12"/>
      <c r="O3768" s="12"/>
      <c r="P3768" s="13">
        <f>IFERROR(__xludf.DUMMYFUNCTION("VALUE(SUBSTITUTE((INDEX(SPLIT(A3768,"",""),1)),""."","","",1))"),57.966706)</f>
        <v>57.966706</v>
      </c>
      <c r="Q3768" s="13">
        <f>IFERROR(__xludf.DUMMYFUNCTION("VALUE(SUBSTITUTE((INDEX(SPLIT(A3768,"",""),2)),""."","","",1))"),56.237762)</f>
        <v>56.237762</v>
      </c>
      <c r="R3768" s="14" t="b">
        <f t="shared" si="1"/>
        <v>0</v>
      </c>
      <c r="S3768" s="14" t="str">
        <f t="shared" si="2"/>
        <v>57.966706,56.237762</v>
      </c>
      <c r="T3768" s="12"/>
    </row>
    <row r="3769">
      <c r="A3769" s="18" t="s">
        <v>24248</v>
      </c>
      <c r="B3769" s="8" t="s">
        <v>24249</v>
      </c>
      <c r="C3769" s="8" t="s">
        <v>24250</v>
      </c>
      <c r="D3769" s="8" t="s">
        <v>16</v>
      </c>
      <c r="E3769" s="19" t="s">
        <v>24251</v>
      </c>
      <c r="F3769" s="8" t="s">
        <v>5142</v>
      </c>
      <c r="G3769" s="8">
        <v>23.61</v>
      </c>
      <c r="H3769" s="8"/>
      <c r="I3769" s="8"/>
      <c r="J3769" s="8" t="s">
        <v>24252</v>
      </c>
      <c r="K3769" s="8" t="s">
        <v>24253</v>
      </c>
      <c r="L3769" s="8"/>
      <c r="M3769" s="8"/>
      <c r="N3769" s="12"/>
      <c r="O3769" s="12"/>
      <c r="P3769" s="13">
        <f>IFERROR(__xludf.DUMMYFUNCTION("VALUE(SUBSTITUTE((INDEX(SPLIT(A3769,"",""),1)),""."","","",1))"),54.764786)</f>
        <v>54.764786</v>
      </c>
      <c r="Q3769" s="13">
        <f>IFERROR(__xludf.DUMMYFUNCTION("VALUE(SUBSTITUTE((INDEX(SPLIT(A3769,"",""),2)),""."","","",1))"),56.238615)</f>
        <v>56.238615</v>
      </c>
      <c r="R3769" s="14" t="b">
        <f t="shared" si="1"/>
        <v>0</v>
      </c>
      <c r="S3769" s="14" t="str">
        <f t="shared" si="2"/>
        <v>54.764786,56.238615</v>
      </c>
      <c r="T3769" s="12"/>
    </row>
    <row r="3770">
      <c r="A3770" s="20" t="s">
        <v>24254</v>
      </c>
      <c r="B3770" s="16" t="s">
        <v>24255</v>
      </c>
      <c r="C3770" s="16" t="s">
        <v>24256</v>
      </c>
      <c r="D3770" s="16" t="s">
        <v>16</v>
      </c>
      <c r="E3770" s="21" t="s">
        <v>24257</v>
      </c>
      <c r="F3770" s="22" t="s">
        <v>21049</v>
      </c>
      <c r="G3770" s="16">
        <v>23.61</v>
      </c>
      <c r="H3770" s="16"/>
      <c r="I3770" s="22"/>
      <c r="J3770" s="22" t="s">
        <v>24258</v>
      </c>
      <c r="K3770" s="22" t="s">
        <v>24259</v>
      </c>
      <c r="L3770" s="23" t="s">
        <v>24260</v>
      </c>
      <c r="M3770" s="22"/>
      <c r="N3770" s="12"/>
      <c r="O3770" s="12"/>
      <c r="P3770" s="13">
        <f>IFERROR(__xludf.DUMMYFUNCTION("VALUE(SUBSTITUTE((INDEX(SPLIT(A3770,"",""),1)),""."","","",1))"),55.031314)</f>
        <v>55.031314</v>
      </c>
      <c r="Q3770" s="13">
        <f>IFERROR(__xludf.DUMMYFUNCTION("VALUE(SUBSTITUTE((INDEX(SPLIT(A3770,"",""),2)),""."","","",1))"),56.238822)</f>
        <v>56.238822</v>
      </c>
      <c r="R3770" s="14" t="b">
        <f t="shared" si="1"/>
        <v>0</v>
      </c>
      <c r="S3770" s="14" t="str">
        <f t="shared" si="2"/>
        <v>55.031314,56.238822</v>
      </c>
      <c r="T3770" s="12"/>
    </row>
    <row r="3771">
      <c r="A3771" s="7" t="s">
        <v>24261</v>
      </c>
      <c r="B3771" s="8" t="s">
        <v>24262</v>
      </c>
      <c r="C3771" s="8" t="s">
        <v>24263</v>
      </c>
      <c r="D3771" s="8" t="s">
        <v>16</v>
      </c>
      <c r="E3771" s="9" t="s">
        <v>24264</v>
      </c>
      <c r="F3771" s="10" t="s">
        <v>10609</v>
      </c>
      <c r="G3771" s="8">
        <v>23.61</v>
      </c>
      <c r="H3771" s="8"/>
      <c r="I3771" s="10"/>
      <c r="J3771" s="10" t="s">
        <v>24265</v>
      </c>
      <c r="K3771" s="10" t="s">
        <v>24266</v>
      </c>
      <c r="L3771" s="11" t="s">
        <v>24267</v>
      </c>
      <c r="M3771" s="10"/>
      <c r="N3771" s="12"/>
      <c r="O3771" s="12"/>
      <c r="P3771" s="13">
        <f>IFERROR(__xludf.DUMMYFUNCTION("VALUE(SUBSTITUTE((INDEX(SPLIT(A3771,"",""),1)),""."","","",1))"),54.765321)</f>
        <v>54.765321</v>
      </c>
      <c r="Q3771" s="13">
        <f>IFERROR(__xludf.DUMMYFUNCTION("VALUE(SUBSTITUTE((INDEX(SPLIT(A3771,"",""),2)),""."","","",1))"),56.238948)</f>
        <v>56.238948</v>
      </c>
      <c r="R3771" s="14" t="b">
        <f t="shared" si="1"/>
        <v>0</v>
      </c>
      <c r="S3771" s="14" t="str">
        <f t="shared" si="2"/>
        <v>54.765321,56.238948</v>
      </c>
      <c r="T3771" s="12"/>
    </row>
    <row r="3772">
      <c r="A3772" s="15" t="s">
        <v>24268</v>
      </c>
      <c r="B3772" s="16" t="s">
        <v>24269</v>
      </c>
      <c r="C3772" s="16" t="s">
        <v>24270</v>
      </c>
      <c r="D3772" s="16" t="s">
        <v>16</v>
      </c>
      <c r="E3772" s="17" t="s">
        <v>24271</v>
      </c>
      <c r="F3772" s="16" t="s">
        <v>10609</v>
      </c>
      <c r="G3772" s="16">
        <v>23.61</v>
      </c>
      <c r="H3772" s="16"/>
      <c r="I3772" s="16"/>
      <c r="J3772" s="16" t="s">
        <v>24272</v>
      </c>
      <c r="K3772" s="16" t="s">
        <v>24273</v>
      </c>
      <c r="L3772" s="16"/>
      <c r="M3772" s="16"/>
      <c r="N3772" s="12"/>
      <c r="O3772" s="12"/>
      <c r="P3772" s="13">
        <f>IFERROR(__xludf.DUMMYFUNCTION("VALUE(SUBSTITUTE((INDEX(SPLIT(A3772,"",""),1)),""."","","",1))"),54.707868)</f>
        <v>54.707868</v>
      </c>
      <c r="Q3772" s="13">
        <f>IFERROR(__xludf.DUMMYFUNCTION("VALUE(SUBSTITUTE((INDEX(SPLIT(A3772,"",""),2)),""."","","",1))"),56.239729)</f>
        <v>56.239729</v>
      </c>
      <c r="R3772" s="14" t="b">
        <f t="shared" si="1"/>
        <v>0</v>
      </c>
      <c r="S3772" s="14" t="str">
        <f t="shared" si="2"/>
        <v>54.707868,56.239729</v>
      </c>
      <c r="T3772" s="12"/>
    </row>
    <row r="3773">
      <c r="A3773" s="18" t="s">
        <v>24274</v>
      </c>
      <c r="B3773" s="8" t="s">
        <v>24275</v>
      </c>
      <c r="C3773" s="8" t="s">
        <v>13210</v>
      </c>
      <c r="D3773" s="8" t="s">
        <v>16</v>
      </c>
      <c r="E3773" s="19" t="s">
        <v>24276</v>
      </c>
      <c r="F3773" s="8" t="s">
        <v>5142</v>
      </c>
      <c r="G3773" s="8">
        <v>23.61</v>
      </c>
      <c r="H3773" s="8"/>
      <c r="I3773" s="8"/>
      <c r="J3773" s="8" t="s">
        <v>24277</v>
      </c>
      <c r="K3773" s="8" t="s">
        <v>24278</v>
      </c>
      <c r="L3773" s="8"/>
      <c r="M3773" s="24" t="s">
        <v>24279</v>
      </c>
      <c r="N3773" s="12"/>
      <c r="O3773" s="12"/>
      <c r="P3773" s="13">
        <f>IFERROR(__xludf.DUMMYFUNCTION("VALUE(SUBSTITUTE((INDEX(SPLIT(A3773,"",""),1)),""."","","",1))"),54.755758)</f>
        <v>54.755758</v>
      </c>
      <c r="Q3773" s="13">
        <f>IFERROR(__xludf.DUMMYFUNCTION("VALUE(SUBSTITUTE((INDEX(SPLIT(A3773,"",""),2)),""."","","",1))"),56.241427)</f>
        <v>56.241427</v>
      </c>
      <c r="R3773" s="14" t="b">
        <f t="shared" si="1"/>
        <v>0</v>
      </c>
      <c r="S3773" s="14" t="str">
        <f t="shared" si="2"/>
        <v>54.755758,56.241427</v>
      </c>
      <c r="T3773" s="12"/>
    </row>
    <row r="3774">
      <c r="A3774" s="15" t="s">
        <v>24280</v>
      </c>
      <c r="B3774" s="16" t="s">
        <v>24281</v>
      </c>
      <c r="C3774" s="16" t="s">
        <v>24282</v>
      </c>
      <c r="D3774" s="16" t="s">
        <v>16</v>
      </c>
      <c r="E3774" s="17" t="s">
        <v>24283</v>
      </c>
      <c r="F3774" s="16" t="s">
        <v>10609</v>
      </c>
      <c r="G3774" s="16">
        <v>23.61</v>
      </c>
      <c r="H3774" s="16"/>
      <c r="I3774" s="16"/>
      <c r="J3774" s="16" t="s">
        <v>24284</v>
      </c>
      <c r="K3774" s="16" t="s">
        <v>24285</v>
      </c>
      <c r="L3774" s="16"/>
      <c r="M3774" s="16"/>
      <c r="N3774" s="12"/>
      <c r="O3774" s="12"/>
      <c r="P3774" s="13">
        <f>IFERROR(__xludf.DUMMYFUNCTION("VALUE(SUBSTITUTE((INDEX(SPLIT(A3774,"",""),1)),""."","","",1))"),57.981664)</f>
        <v>57.981664</v>
      </c>
      <c r="Q3774" s="13">
        <f>IFERROR(__xludf.DUMMYFUNCTION("VALUE(SUBSTITUTE((INDEX(SPLIT(A3774,"",""),2)),""."","","",1))"),56.242002)</f>
        <v>56.242002</v>
      </c>
      <c r="R3774" s="14" t="b">
        <f t="shared" si="1"/>
        <v>0</v>
      </c>
      <c r="S3774" s="14" t="str">
        <f t="shared" si="2"/>
        <v>57.981664,56.242002</v>
      </c>
      <c r="T3774" s="12"/>
    </row>
    <row r="3775">
      <c r="A3775" s="18" t="s">
        <v>24286</v>
      </c>
      <c r="B3775" s="8" t="s">
        <v>24287</v>
      </c>
      <c r="C3775" s="8" t="s">
        <v>24288</v>
      </c>
      <c r="D3775" s="8" t="s">
        <v>16</v>
      </c>
      <c r="E3775" s="19" t="s">
        <v>24289</v>
      </c>
      <c r="F3775" s="8" t="s">
        <v>17865</v>
      </c>
      <c r="G3775" s="8">
        <v>23.61</v>
      </c>
      <c r="H3775" s="8"/>
      <c r="I3775" s="8"/>
      <c r="J3775" s="8" t="s">
        <v>24290</v>
      </c>
      <c r="K3775" s="8" t="s">
        <v>24291</v>
      </c>
      <c r="L3775" s="8"/>
      <c r="M3775" s="24" t="s">
        <v>24292</v>
      </c>
      <c r="N3775" s="12"/>
      <c r="O3775" s="12"/>
      <c r="P3775" s="13">
        <f>IFERROR(__xludf.DUMMYFUNCTION("VALUE(SUBSTITUTE((INDEX(SPLIT(A3775,"",""),1)),""."","","",1))"),57.952616)</f>
        <v>57.952616</v>
      </c>
      <c r="Q3775" s="13">
        <f>IFERROR(__xludf.DUMMYFUNCTION("VALUE(SUBSTITUTE((INDEX(SPLIT(A3775,"",""),2)),""."","","",1))"),56.245568)</f>
        <v>56.245568</v>
      </c>
      <c r="R3775" s="14" t="b">
        <f t="shared" si="1"/>
        <v>0</v>
      </c>
      <c r="S3775" s="14" t="str">
        <f t="shared" si="2"/>
        <v>57.952616,56.245568</v>
      </c>
      <c r="T3775" s="12"/>
    </row>
    <row r="3776">
      <c r="A3776" s="15" t="s">
        <v>24293</v>
      </c>
      <c r="B3776" s="16" t="s">
        <v>24294</v>
      </c>
      <c r="C3776" s="16" t="s">
        <v>24295</v>
      </c>
      <c r="D3776" s="16" t="s">
        <v>16</v>
      </c>
      <c r="E3776" s="17" t="s">
        <v>24296</v>
      </c>
      <c r="F3776" s="16" t="s">
        <v>10609</v>
      </c>
      <c r="G3776" s="16">
        <v>23.61</v>
      </c>
      <c r="H3776" s="16"/>
      <c r="I3776" s="16"/>
      <c r="J3776" s="16" t="s">
        <v>24297</v>
      </c>
      <c r="K3776" s="16" t="s">
        <v>24298</v>
      </c>
      <c r="L3776" s="16"/>
      <c r="M3776" s="16"/>
      <c r="N3776" s="12"/>
      <c r="O3776" s="12"/>
      <c r="P3776" s="13">
        <f>IFERROR(__xludf.DUMMYFUNCTION("VALUE(SUBSTITUTE((INDEX(SPLIT(A3776,"",""),1)),""."","","",1))"),57.992809)</f>
        <v>57.992809</v>
      </c>
      <c r="Q3776" s="13">
        <f>IFERROR(__xludf.DUMMYFUNCTION("VALUE(SUBSTITUTE((INDEX(SPLIT(A3776,"",""),2)),""."","","",1))"),56.248892)</f>
        <v>56.248892</v>
      </c>
      <c r="R3776" s="14" t="b">
        <f t="shared" si="1"/>
        <v>0</v>
      </c>
      <c r="S3776" s="14" t="str">
        <f t="shared" si="2"/>
        <v>57.992809,56.248892</v>
      </c>
      <c r="T3776" s="12"/>
    </row>
    <row r="3777">
      <c r="A3777" s="18" t="s">
        <v>24299</v>
      </c>
      <c r="B3777" s="8" t="s">
        <v>24300</v>
      </c>
      <c r="C3777" s="8" t="s">
        <v>24301</v>
      </c>
      <c r="D3777" s="8" t="s">
        <v>16</v>
      </c>
      <c r="E3777" s="19" t="s">
        <v>24302</v>
      </c>
      <c r="F3777" s="8" t="s">
        <v>10609</v>
      </c>
      <c r="G3777" s="8">
        <v>23.61</v>
      </c>
      <c r="H3777" s="8"/>
      <c r="I3777" s="8"/>
      <c r="J3777" s="8" t="s">
        <v>24303</v>
      </c>
      <c r="K3777" s="8" t="s">
        <v>24304</v>
      </c>
      <c r="L3777" s="8"/>
      <c r="M3777" s="8"/>
      <c r="N3777" s="12"/>
      <c r="O3777" s="12"/>
      <c r="P3777" s="13">
        <f>IFERROR(__xludf.DUMMYFUNCTION("VALUE(SUBSTITUTE((INDEX(SPLIT(A3777,"",""),1)),""."","","",1))"),54.725561)</f>
        <v>54.725561</v>
      </c>
      <c r="Q3777" s="13">
        <f>IFERROR(__xludf.DUMMYFUNCTION("VALUE(SUBSTITUTE((INDEX(SPLIT(A3777,"",""),2)),""."","","",1))"),56.254021)</f>
        <v>56.254021</v>
      </c>
      <c r="R3777" s="14" t="b">
        <f t="shared" si="1"/>
        <v>0</v>
      </c>
      <c r="S3777" s="14" t="str">
        <f t="shared" si="2"/>
        <v>54.725561,56.254021</v>
      </c>
      <c r="T3777" s="12"/>
    </row>
    <row r="3778">
      <c r="A3778" s="20" t="s">
        <v>24305</v>
      </c>
      <c r="B3778" s="16" t="s">
        <v>24306</v>
      </c>
      <c r="C3778" s="16" t="s">
        <v>24307</v>
      </c>
      <c r="D3778" s="16" t="s">
        <v>16</v>
      </c>
      <c r="E3778" s="21" t="s">
        <v>24308</v>
      </c>
      <c r="F3778" s="22" t="s">
        <v>10609</v>
      </c>
      <c r="G3778" s="16">
        <v>23.61</v>
      </c>
      <c r="H3778" s="16"/>
      <c r="I3778" s="22"/>
      <c r="J3778" s="22" t="s">
        <v>24309</v>
      </c>
      <c r="K3778" s="22" t="s">
        <v>24310</v>
      </c>
      <c r="L3778" s="23" t="s">
        <v>24311</v>
      </c>
      <c r="M3778" s="22"/>
      <c r="N3778" s="12"/>
      <c r="O3778" s="12"/>
      <c r="P3778" s="13">
        <f>IFERROR(__xludf.DUMMYFUNCTION("VALUE(SUBSTITUTE((INDEX(SPLIT(A3778,"",""),1)),""."","","",1))"),57.922827)</f>
        <v>57.922827</v>
      </c>
      <c r="Q3778" s="13">
        <f>IFERROR(__xludf.DUMMYFUNCTION("VALUE(SUBSTITUTE((INDEX(SPLIT(A3778,"",""),2)),""."","","",1))"),56.267631)</f>
        <v>56.267631</v>
      </c>
      <c r="R3778" s="14" t="b">
        <f t="shared" si="1"/>
        <v>0</v>
      </c>
      <c r="S3778" s="14" t="str">
        <f t="shared" si="2"/>
        <v>57.922827,56.267631</v>
      </c>
      <c r="T3778" s="12"/>
    </row>
    <row r="3779">
      <c r="A3779" s="7" t="s">
        <v>24312</v>
      </c>
      <c r="B3779" s="8" t="s">
        <v>24313</v>
      </c>
      <c r="C3779" s="8" t="s">
        <v>24314</v>
      </c>
      <c r="D3779" s="8" t="s">
        <v>16</v>
      </c>
      <c r="E3779" s="9" t="s">
        <v>24315</v>
      </c>
      <c r="F3779" s="10" t="s">
        <v>10609</v>
      </c>
      <c r="G3779" s="8">
        <v>23.61</v>
      </c>
      <c r="H3779" s="8"/>
      <c r="I3779" s="10"/>
      <c r="J3779" s="10" t="s">
        <v>24316</v>
      </c>
      <c r="K3779" s="10" t="s">
        <v>24317</v>
      </c>
      <c r="L3779" s="11" t="s">
        <v>24318</v>
      </c>
      <c r="M3779" s="10"/>
      <c r="N3779" s="12"/>
      <c r="O3779" s="12"/>
      <c r="P3779" s="13">
        <f>IFERROR(__xludf.DUMMYFUNCTION("VALUE(SUBSTITUTE((INDEX(SPLIT(A3779,"",""),1)),""."","","",1))"),57.971747)</f>
        <v>57.971747</v>
      </c>
      <c r="Q3779" s="13">
        <f>IFERROR(__xludf.DUMMYFUNCTION("VALUE(SUBSTITUTE((INDEX(SPLIT(A3779,"",""),2)),""."","","",1))"),56.276255)</f>
        <v>56.276255</v>
      </c>
      <c r="R3779" s="14" t="b">
        <f t="shared" si="1"/>
        <v>0</v>
      </c>
      <c r="S3779" s="14" t="str">
        <f t="shared" si="2"/>
        <v>57.971747,56.276255</v>
      </c>
      <c r="T3779" s="12"/>
    </row>
    <row r="3780">
      <c r="A3780" s="20" t="s">
        <v>24319</v>
      </c>
      <c r="B3780" s="16" t="s">
        <v>24320</v>
      </c>
      <c r="C3780" s="16" t="s">
        <v>24321</v>
      </c>
      <c r="D3780" s="16" t="s">
        <v>16</v>
      </c>
      <c r="E3780" s="21" t="s">
        <v>24322</v>
      </c>
      <c r="F3780" s="22" t="s">
        <v>10609</v>
      </c>
      <c r="G3780" s="16">
        <v>23.61</v>
      </c>
      <c r="H3780" s="16"/>
      <c r="I3780" s="22"/>
      <c r="J3780" s="22" t="s">
        <v>24323</v>
      </c>
      <c r="K3780" s="22" t="s">
        <v>24324</v>
      </c>
      <c r="L3780" s="23" t="s">
        <v>24325</v>
      </c>
      <c r="M3780" s="22"/>
      <c r="N3780" s="12"/>
      <c r="O3780" s="12"/>
      <c r="P3780" s="13">
        <f>IFERROR(__xludf.DUMMYFUNCTION("VALUE(SUBSTITUTE((INDEX(SPLIT(A3780,"",""),1)),""."","","",1))"),58.002072)</f>
        <v>58.002072</v>
      </c>
      <c r="Q3780" s="13">
        <f>IFERROR(__xludf.DUMMYFUNCTION("VALUE(SUBSTITUTE((INDEX(SPLIT(A3780,"",""),2)),""."","","",1))"),56.277324)</f>
        <v>56.277324</v>
      </c>
      <c r="R3780" s="14" t="b">
        <f t="shared" si="1"/>
        <v>0</v>
      </c>
      <c r="S3780" s="14" t="str">
        <f t="shared" si="2"/>
        <v>58.002072,56.277324</v>
      </c>
      <c r="T3780" s="12"/>
    </row>
    <row r="3781">
      <c r="A3781" s="7" t="s">
        <v>24326</v>
      </c>
      <c r="B3781" s="8" t="s">
        <v>24327</v>
      </c>
      <c r="C3781" s="8" t="s">
        <v>24328</v>
      </c>
      <c r="D3781" s="8" t="s">
        <v>16</v>
      </c>
      <c r="E3781" s="9" t="s">
        <v>24329</v>
      </c>
      <c r="F3781" s="10" t="s">
        <v>10609</v>
      </c>
      <c r="G3781" s="8">
        <v>23.61</v>
      </c>
      <c r="H3781" s="8"/>
      <c r="I3781" s="10"/>
      <c r="J3781" s="10" t="s">
        <v>24330</v>
      </c>
      <c r="K3781" s="10" t="s">
        <v>24331</v>
      </c>
      <c r="L3781" s="11" t="s">
        <v>24332</v>
      </c>
      <c r="M3781" s="11" t="s">
        <v>24333</v>
      </c>
      <c r="N3781" s="12"/>
      <c r="O3781" s="12"/>
      <c r="P3781" s="13">
        <f>IFERROR(__xludf.DUMMYFUNCTION("VALUE(SUBSTITUTE((INDEX(SPLIT(A3781,"",""),1)),""."","","",1))"),58.005625)</f>
        <v>58.005625</v>
      </c>
      <c r="Q3781" s="13">
        <f>IFERROR(__xludf.DUMMYFUNCTION("VALUE(SUBSTITUTE((INDEX(SPLIT(A3781,"",""),2)),""."","","",1))"),56.321134)</f>
        <v>56.321134</v>
      </c>
      <c r="R3781" s="14" t="b">
        <f t="shared" si="1"/>
        <v>0</v>
      </c>
      <c r="S3781" s="14" t="str">
        <f t="shared" si="2"/>
        <v>58.005625,56.321134</v>
      </c>
      <c r="T3781" s="12"/>
    </row>
    <row r="3782">
      <c r="A3782" s="20" t="s">
        <v>24334</v>
      </c>
      <c r="B3782" s="16" t="s">
        <v>24335</v>
      </c>
      <c r="C3782" s="16" t="s">
        <v>24336</v>
      </c>
      <c r="D3782" s="16" t="s">
        <v>16</v>
      </c>
      <c r="E3782" s="21" t="s">
        <v>24337</v>
      </c>
      <c r="F3782" s="22" t="s">
        <v>10609</v>
      </c>
      <c r="G3782" s="16">
        <v>23.61</v>
      </c>
      <c r="H3782" s="16"/>
      <c r="I3782" s="22"/>
      <c r="J3782" s="22" t="s">
        <v>24338</v>
      </c>
      <c r="K3782" s="22" t="s">
        <v>24339</v>
      </c>
      <c r="L3782" s="23" t="s">
        <v>24340</v>
      </c>
      <c r="M3782" s="22"/>
      <c r="N3782" s="12"/>
      <c r="O3782" s="12"/>
      <c r="P3782" s="13">
        <f>IFERROR(__xludf.DUMMYFUNCTION("VALUE(SUBSTITUTE((INDEX(SPLIT(A3782,"",""),1)),""."","","",1))"),58.503194)</f>
        <v>58.503194</v>
      </c>
      <c r="Q3782" s="13">
        <f>IFERROR(__xludf.DUMMYFUNCTION("VALUE(SUBSTITUTE((INDEX(SPLIT(A3782,"",""),2)),""."","","",1))"),56.335615)</f>
        <v>56.335615</v>
      </c>
      <c r="R3782" s="14" t="b">
        <f t="shared" si="1"/>
        <v>0</v>
      </c>
      <c r="S3782" s="14" t="str">
        <f t="shared" si="2"/>
        <v>58.503194,56.335615</v>
      </c>
      <c r="T3782" s="12"/>
    </row>
    <row r="3783">
      <c r="A3783" s="7" t="s">
        <v>24341</v>
      </c>
      <c r="B3783" s="8" t="s">
        <v>24342</v>
      </c>
      <c r="C3783" s="8" t="s">
        <v>24343</v>
      </c>
      <c r="D3783" s="8" t="s">
        <v>16</v>
      </c>
      <c r="E3783" s="9" t="s">
        <v>24344</v>
      </c>
      <c r="F3783" s="10" t="s">
        <v>10609</v>
      </c>
      <c r="G3783" s="8">
        <v>23.61</v>
      </c>
      <c r="H3783" s="8"/>
      <c r="I3783" s="10"/>
      <c r="J3783" s="10" t="s">
        <v>24345</v>
      </c>
      <c r="K3783" s="10" t="s">
        <v>24346</v>
      </c>
      <c r="L3783" s="11" t="s">
        <v>24347</v>
      </c>
      <c r="M3783" s="10"/>
      <c r="N3783" s="12"/>
      <c r="O3783" s="12"/>
      <c r="P3783" s="13">
        <f>IFERROR(__xludf.DUMMYFUNCTION("VALUE(SUBSTITUTE((INDEX(SPLIT(A3783,"",""),1)),""."","","",1))"),58.075916)</f>
        <v>58.075916</v>
      </c>
      <c r="Q3783" s="13">
        <f>IFERROR(__xludf.DUMMYFUNCTION("VALUE(SUBSTITUTE((INDEX(SPLIT(A3783,"",""),2)),""."","","",1))"),56.346656)</f>
        <v>56.346656</v>
      </c>
      <c r="R3783" s="14" t="b">
        <f t="shared" si="1"/>
        <v>0</v>
      </c>
      <c r="S3783" s="14" t="str">
        <f t="shared" si="2"/>
        <v>58.075916,56.346656</v>
      </c>
      <c r="T3783" s="12"/>
    </row>
    <row r="3784">
      <c r="A3784" s="20" t="s">
        <v>24348</v>
      </c>
      <c r="B3784" s="16" t="s">
        <v>24349</v>
      </c>
      <c r="C3784" s="16" t="s">
        <v>24350</v>
      </c>
      <c r="D3784" s="16" t="s">
        <v>16</v>
      </c>
      <c r="E3784" s="21" t="s">
        <v>24351</v>
      </c>
      <c r="F3784" s="22" t="s">
        <v>10609</v>
      </c>
      <c r="G3784" s="16">
        <v>23.61</v>
      </c>
      <c r="H3784" s="16"/>
      <c r="I3784" s="22"/>
      <c r="J3784" s="22" t="s">
        <v>24352</v>
      </c>
      <c r="K3784" s="22" t="s">
        <v>24353</v>
      </c>
      <c r="L3784" s="23" t="s">
        <v>24354</v>
      </c>
      <c r="M3784" s="22"/>
      <c r="N3784" s="12"/>
      <c r="O3784" s="12"/>
      <c r="P3784" s="13">
        <f>IFERROR(__xludf.DUMMYFUNCTION("VALUE(SUBSTITUTE((INDEX(SPLIT(A3784,"",""),1)),""."","","",1))"),57.814231)</f>
        <v>57.814231</v>
      </c>
      <c r="Q3784" s="13">
        <f>IFERROR(__xludf.DUMMYFUNCTION("VALUE(SUBSTITUTE((INDEX(SPLIT(A3784,"",""),2)),""."","","",1))"),56.369113)</f>
        <v>56.369113</v>
      </c>
      <c r="R3784" s="14" t="b">
        <f t="shared" si="1"/>
        <v>0</v>
      </c>
      <c r="S3784" s="14" t="str">
        <f t="shared" si="2"/>
        <v>57.814231,56.369113</v>
      </c>
      <c r="T3784" s="12"/>
    </row>
    <row r="3785">
      <c r="A3785" s="18" t="s">
        <v>24355</v>
      </c>
      <c r="B3785" s="8" t="s">
        <v>16946</v>
      </c>
      <c r="C3785" s="8" t="s">
        <v>16947</v>
      </c>
      <c r="D3785" s="8" t="s">
        <v>16</v>
      </c>
      <c r="E3785" s="19" t="s">
        <v>24356</v>
      </c>
      <c r="F3785" s="8" t="s">
        <v>10609</v>
      </c>
      <c r="G3785" s="8">
        <v>23.61</v>
      </c>
      <c r="H3785" s="8"/>
      <c r="I3785" s="8"/>
      <c r="J3785" s="8" t="s">
        <v>24357</v>
      </c>
      <c r="K3785" s="8" t="s">
        <v>24358</v>
      </c>
      <c r="L3785" s="8"/>
      <c r="M3785" s="8"/>
      <c r="N3785" s="12"/>
      <c r="O3785" s="12"/>
      <c r="P3785" s="13">
        <f>IFERROR(__xludf.DUMMYFUNCTION("VALUE(SUBSTITUTE((INDEX(SPLIT(A3785,"",""),1)),""."","","",1))"),58.070952)</f>
        <v>58.070952</v>
      </c>
      <c r="Q3785" s="13">
        <f>IFERROR(__xludf.DUMMYFUNCTION("VALUE(SUBSTITUTE((INDEX(SPLIT(A3785,"",""),2)),""."","","",1))"),56.3702)</f>
        <v>56.3702</v>
      </c>
      <c r="R3785" s="14" t="b">
        <f t="shared" si="1"/>
        <v>0</v>
      </c>
      <c r="S3785" s="14" t="str">
        <f t="shared" si="2"/>
        <v>58.070952,56.3702</v>
      </c>
      <c r="T3785" s="12"/>
    </row>
    <row r="3786">
      <c r="A3786" s="15" t="s">
        <v>24359</v>
      </c>
      <c r="B3786" s="16" t="s">
        <v>24360</v>
      </c>
      <c r="C3786" s="16" t="s">
        <v>24361</v>
      </c>
      <c r="D3786" s="16" t="s">
        <v>16</v>
      </c>
      <c r="E3786" s="17" t="s">
        <v>24362</v>
      </c>
      <c r="F3786" s="16" t="s">
        <v>17865</v>
      </c>
      <c r="G3786" s="16">
        <v>23.61</v>
      </c>
      <c r="H3786" s="16"/>
      <c r="I3786" s="16"/>
      <c r="J3786" s="16" t="s">
        <v>24363</v>
      </c>
      <c r="K3786" s="16" t="s">
        <v>24364</v>
      </c>
      <c r="L3786" s="16"/>
      <c r="M3786" s="16"/>
      <c r="N3786" s="12"/>
      <c r="O3786" s="12"/>
      <c r="P3786" s="13">
        <f>IFERROR(__xludf.DUMMYFUNCTION("VALUE(SUBSTITUTE((INDEX(SPLIT(A3786,"",""),1)),""."","","",1))"),57.954851)</f>
        <v>57.954851</v>
      </c>
      <c r="Q3786" s="13">
        <f>IFERROR(__xludf.DUMMYFUNCTION("VALUE(SUBSTITUTE((INDEX(SPLIT(A3786,"",""),2)),""."","","",1))"),56.387574)</f>
        <v>56.387574</v>
      </c>
      <c r="R3786" s="14" t="b">
        <f t="shared" si="1"/>
        <v>0</v>
      </c>
      <c r="S3786" s="14" t="str">
        <f t="shared" si="2"/>
        <v>57.954851,56.387574</v>
      </c>
      <c r="T3786" s="12"/>
    </row>
    <row r="3787">
      <c r="A3787" s="18" t="s">
        <v>24365</v>
      </c>
      <c r="B3787" s="8" t="s">
        <v>24366</v>
      </c>
      <c r="C3787" s="8" t="s">
        <v>24367</v>
      </c>
      <c r="D3787" s="8" t="s">
        <v>16</v>
      </c>
      <c r="E3787" s="19" t="s">
        <v>24368</v>
      </c>
      <c r="F3787" s="8" t="s">
        <v>10609</v>
      </c>
      <c r="G3787" s="8">
        <v>23.61</v>
      </c>
      <c r="H3787" s="8"/>
      <c r="I3787" s="8"/>
      <c r="J3787" s="8" t="s">
        <v>24369</v>
      </c>
      <c r="K3787" s="8" t="s">
        <v>24370</v>
      </c>
      <c r="L3787" s="8"/>
      <c r="M3787" s="8"/>
      <c r="N3787" s="12"/>
      <c r="O3787" s="12"/>
      <c r="P3787" s="13">
        <f>IFERROR(__xludf.DUMMYFUNCTION("VALUE(SUBSTITUTE((INDEX(SPLIT(A3787,"",""),1)),""."","","",1))"),54.820555)</f>
        <v>54.820555</v>
      </c>
      <c r="Q3787" s="13">
        <f>IFERROR(__xludf.DUMMYFUNCTION("VALUE(SUBSTITUTE((INDEX(SPLIT(A3787,"",""),2)),""."","","",1))"),56.396009)</f>
        <v>56.396009</v>
      </c>
      <c r="R3787" s="14" t="b">
        <f t="shared" si="1"/>
        <v>0</v>
      </c>
      <c r="S3787" s="14" t="str">
        <f t="shared" si="2"/>
        <v>54.820555,56.396009</v>
      </c>
      <c r="T3787" s="12"/>
    </row>
    <row r="3788">
      <c r="A3788" s="15" t="s">
        <v>24371</v>
      </c>
      <c r="B3788" s="16" t="s">
        <v>10121</v>
      </c>
      <c r="C3788" s="16" t="s">
        <v>10122</v>
      </c>
      <c r="D3788" s="16" t="s">
        <v>16</v>
      </c>
      <c r="E3788" s="17" t="s">
        <v>24372</v>
      </c>
      <c r="F3788" s="16" t="s">
        <v>10183</v>
      </c>
      <c r="G3788" s="16">
        <v>23.61</v>
      </c>
      <c r="H3788" s="16"/>
      <c r="I3788" s="16"/>
      <c r="J3788" s="16" t="s">
        <v>24373</v>
      </c>
      <c r="K3788" s="16" t="s">
        <v>24374</v>
      </c>
      <c r="L3788" s="16"/>
      <c r="M3788" s="25" t="s">
        <v>24375</v>
      </c>
      <c r="N3788" s="12"/>
      <c r="O3788" s="12"/>
      <c r="P3788" s="13">
        <f>IFERROR(__xludf.DUMMYFUNCTION("VALUE(SUBSTITUTE((INDEX(SPLIT(A3788,"",""),1)),""."","","",1))"),58.472793)</f>
        <v>58.472793</v>
      </c>
      <c r="Q3788" s="13">
        <f>IFERROR(__xludf.DUMMYFUNCTION("VALUE(SUBSTITUTE((INDEX(SPLIT(A3788,"",""),2)),""."","","",1))"),56.412906)</f>
        <v>56.412906</v>
      </c>
      <c r="R3788" s="14" t="b">
        <f t="shared" si="1"/>
        <v>0</v>
      </c>
      <c r="S3788" s="14" t="str">
        <f t="shared" si="2"/>
        <v>58.472793,56.412906</v>
      </c>
      <c r="T3788" s="12"/>
    </row>
    <row r="3789">
      <c r="A3789" s="18" t="s">
        <v>24376</v>
      </c>
      <c r="B3789" s="8" t="s">
        <v>24377</v>
      </c>
      <c r="C3789" s="8" t="s">
        <v>24378</v>
      </c>
      <c r="D3789" s="8" t="s">
        <v>16</v>
      </c>
      <c r="E3789" s="19" t="s">
        <v>24379</v>
      </c>
      <c r="F3789" s="8" t="s">
        <v>10609</v>
      </c>
      <c r="G3789" s="8">
        <v>23.61</v>
      </c>
      <c r="H3789" s="8"/>
      <c r="I3789" s="8"/>
      <c r="J3789" s="8" t="s">
        <v>24380</v>
      </c>
      <c r="K3789" s="8" t="s">
        <v>24381</v>
      </c>
      <c r="L3789" s="8"/>
      <c r="M3789" s="8"/>
      <c r="N3789" s="12"/>
      <c r="O3789" s="12"/>
      <c r="P3789" s="13">
        <f>IFERROR(__xludf.DUMMYFUNCTION("VALUE(SUBSTITUTE((INDEX(SPLIT(A3789,"",""),1)),""."","","",1))"),54.834496)</f>
        <v>54.834496</v>
      </c>
      <c r="Q3789" s="13">
        <f>IFERROR(__xludf.DUMMYFUNCTION("VALUE(SUBSTITUTE((INDEX(SPLIT(A3789,"",""),2)),""."","","",1))"),56.416176)</f>
        <v>56.416176</v>
      </c>
      <c r="R3789" s="14" t="b">
        <f t="shared" si="1"/>
        <v>0</v>
      </c>
      <c r="S3789" s="14" t="str">
        <f t="shared" si="2"/>
        <v>54.834496,56.416176</v>
      </c>
      <c r="T3789" s="12"/>
    </row>
    <row r="3790">
      <c r="A3790" s="20" t="s">
        <v>24382</v>
      </c>
      <c r="B3790" s="16" t="s">
        <v>24383</v>
      </c>
      <c r="C3790" s="16" t="s">
        <v>24384</v>
      </c>
      <c r="D3790" s="16" t="s">
        <v>16</v>
      </c>
      <c r="E3790" s="21" t="s">
        <v>24385</v>
      </c>
      <c r="F3790" s="22" t="s">
        <v>17865</v>
      </c>
      <c r="G3790" s="16">
        <v>23.61</v>
      </c>
      <c r="H3790" s="16"/>
      <c r="I3790" s="22"/>
      <c r="J3790" s="22" t="s">
        <v>24386</v>
      </c>
      <c r="K3790" s="22" t="s">
        <v>24387</v>
      </c>
      <c r="L3790" s="23" t="s">
        <v>24388</v>
      </c>
      <c r="M3790" s="22"/>
      <c r="N3790" s="12"/>
      <c r="O3790" s="12"/>
      <c r="P3790" s="13">
        <f>IFERROR(__xludf.DUMMYFUNCTION("VALUE(SUBSTITUTE((INDEX(SPLIT(A3790,"",""),1)),""."","","",1))"),58.44415)</f>
        <v>58.44415</v>
      </c>
      <c r="Q3790" s="13">
        <f>IFERROR(__xludf.DUMMYFUNCTION("VALUE(SUBSTITUTE((INDEX(SPLIT(A3790,"",""),2)),""."","","",1))"),56.420623)</f>
        <v>56.420623</v>
      </c>
      <c r="R3790" s="14" t="b">
        <f t="shared" si="1"/>
        <v>0</v>
      </c>
      <c r="S3790" s="14" t="str">
        <f t="shared" si="2"/>
        <v>58.44415,56.420623</v>
      </c>
      <c r="T3790" s="12"/>
    </row>
    <row r="3791">
      <c r="A3791" s="7" t="s">
        <v>24389</v>
      </c>
      <c r="B3791" s="8" t="s">
        <v>16834</v>
      </c>
      <c r="C3791" s="8" t="s">
        <v>16835</v>
      </c>
      <c r="D3791" s="8" t="s">
        <v>16</v>
      </c>
      <c r="E3791" s="9" t="s">
        <v>24390</v>
      </c>
      <c r="F3791" s="10" t="s">
        <v>10609</v>
      </c>
      <c r="G3791" s="8">
        <v>23.61</v>
      </c>
      <c r="H3791" s="8"/>
      <c r="I3791" s="10"/>
      <c r="J3791" s="10" t="s">
        <v>24391</v>
      </c>
      <c r="K3791" s="10" t="s">
        <v>24392</v>
      </c>
      <c r="L3791" s="11" t="s">
        <v>24393</v>
      </c>
      <c r="M3791" s="10"/>
      <c r="N3791" s="12"/>
      <c r="O3791" s="12"/>
      <c r="P3791" s="13">
        <f>IFERROR(__xludf.DUMMYFUNCTION("VALUE(SUBSTITUTE((INDEX(SPLIT(A3791,"",""),1)),""."","","",1))"),58.055207)</f>
        <v>58.055207</v>
      </c>
      <c r="Q3791" s="13">
        <f>IFERROR(__xludf.DUMMYFUNCTION("VALUE(SUBSTITUTE((INDEX(SPLIT(A3791,"",""),2)),""."","","",1))"),56.594959)</f>
        <v>56.594959</v>
      </c>
      <c r="R3791" s="14" t="b">
        <f t="shared" si="1"/>
        <v>0</v>
      </c>
      <c r="S3791" s="14" t="str">
        <f t="shared" si="2"/>
        <v>58.055207,56.594959</v>
      </c>
      <c r="T3791" s="12"/>
    </row>
    <row r="3792">
      <c r="A3792" s="15" t="s">
        <v>24394</v>
      </c>
      <c r="B3792" s="16" t="s">
        <v>24395</v>
      </c>
      <c r="C3792" s="16" t="s">
        <v>24396</v>
      </c>
      <c r="D3792" s="16" t="s">
        <v>16</v>
      </c>
      <c r="E3792" s="17" t="s">
        <v>24397</v>
      </c>
      <c r="F3792" s="16" t="s">
        <v>5142</v>
      </c>
      <c r="G3792" s="16">
        <v>23.61</v>
      </c>
      <c r="H3792" s="16"/>
      <c r="I3792" s="16"/>
      <c r="J3792" s="16" t="s">
        <v>24398</v>
      </c>
      <c r="K3792" s="16" t="s">
        <v>7007</v>
      </c>
      <c r="L3792" s="16"/>
      <c r="M3792" s="16"/>
      <c r="N3792" s="12"/>
      <c r="O3792" s="12"/>
      <c r="P3792" s="13">
        <f>IFERROR(__xludf.DUMMYFUNCTION("VALUE(SUBSTITUTE((INDEX(SPLIT(A3792,"",""),1)),""."","","",1))"),58.062059)</f>
        <v>58.062059</v>
      </c>
      <c r="Q3792" s="13">
        <f>IFERROR(__xludf.DUMMYFUNCTION("VALUE(SUBSTITUTE((INDEX(SPLIT(A3792,"",""),2)),""."","","",1))"),56.612799)</f>
        <v>56.612799</v>
      </c>
      <c r="R3792" s="14" t="b">
        <f t="shared" si="1"/>
        <v>0</v>
      </c>
      <c r="S3792" s="14" t="str">
        <f t="shared" si="2"/>
        <v>58.062059,56.612799</v>
      </c>
      <c r="T3792" s="12"/>
    </row>
    <row r="3793">
      <c r="A3793" s="7" t="s">
        <v>24399</v>
      </c>
      <c r="B3793" s="8" t="s">
        <v>24400</v>
      </c>
      <c r="C3793" s="8" t="s">
        <v>24401</v>
      </c>
      <c r="D3793" s="8" t="s">
        <v>16</v>
      </c>
      <c r="E3793" s="9" t="s">
        <v>24402</v>
      </c>
      <c r="F3793" s="10" t="s">
        <v>10609</v>
      </c>
      <c r="G3793" s="8">
        <v>23.61</v>
      </c>
      <c r="H3793" s="8"/>
      <c r="I3793" s="10"/>
      <c r="J3793" s="10" t="s">
        <v>24403</v>
      </c>
      <c r="K3793" s="10" t="s">
        <v>24404</v>
      </c>
      <c r="L3793" s="11" t="s">
        <v>24405</v>
      </c>
      <c r="M3793" s="10"/>
      <c r="N3793" s="12"/>
      <c r="O3793" s="12"/>
      <c r="P3793" s="13">
        <f>IFERROR(__xludf.DUMMYFUNCTION("VALUE(SUBSTITUTE((INDEX(SPLIT(A3793,"",""),1)),""."","","",1))"),59.430263)</f>
        <v>59.430263</v>
      </c>
      <c r="Q3793" s="13">
        <f>IFERROR(__xludf.DUMMYFUNCTION("VALUE(SUBSTITUTE((INDEX(SPLIT(A3793,"",""),2)),""."","","",1))"),56.657059)</f>
        <v>56.657059</v>
      </c>
      <c r="R3793" s="14" t="b">
        <f t="shared" si="1"/>
        <v>0</v>
      </c>
      <c r="S3793" s="14" t="str">
        <f t="shared" si="2"/>
        <v>59.430263,56.657059</v>
      </c>
      <c r="T3793" s="12"/>
    </row>
    <row r="3794">
      <c r="A3794" s="15" t="s">
        <v>24406</v>
      </c>
      <c r="B3794" s="16" t="s">
        <v>24407</v>
      </c>
      <c r="C3794" s="16" t="s">
        <v>24408</v>
      </c>
      <c r="D3794" s="16" t="s">
        <v>16</v>
      </c>
      <c r="E3794" s="17" t="s">
        <v>24409</v>
      </c>
      <c r="F3794" s="16" t="s">
        <v>10609</v>
      </c>
      <c r="G3794" s="16">
        <v>23.61</v>
      </c>
      <c r="H3794" s="16"/>
      <c r="I3794" s="16"/>
      <c r="J3794" s="16" t="s">
        <v>24410</v>
      </c>
      <c r="K3794" s="16" t="s">
        <v>24411</v>
      </c>
      <c r="L3794" s="16"/>
      <c r="M3794" s="16"/>
      <c r="N3794" s="12"/>
      <c r="O3794" s="12"/>
      <c r="P3794" s="13">
        <f>IFERROR(__xludf.DUMMYFUNCTION("VALUE(SUBSTITUTE((INDEX(SPLIT(A3794,"",""),1)),""."","","",1))"),59.433929)</f>
        <v>59.433929</v>
      </c>
      <c r="Q3794" s="13">
        <f>IFERROR(__xludf.DUMMYFUNCTION("VALUE(SUBSTITUTE((INDEX(SPLIT(A3794,"",""),2)),""."","","",1))"),56.666411)</f>
        <v>56.666411</v>
      </c>
      <c r="R3794" s="14" t="b">
        <f t="shared" si="1"/>
        <v>0</v>
      </c>
      <c r="S3794" s="14" t="str">
        <f t="shared" si="2"/>
        <v>59.433929,56.666411</v>
      </c>
      <c r="T3794" s="12"/>
    </row>
    <row r="3795">
      <c r="A3795" s="7" t="s">
        <v>24412</v>
      </c>
      <c r="B3795" s="8" t="s">
        <v>24413</v>
      </c>
      <c r="C3795" s="8" t="s">
        <v>24414</v>
      </c>
      <c r="D3795" s="8" t="s">
        <v>16</v>
      </c>
      <c r="E3795" s="9" t="s">
        <v>24415</v>
      </c>
      <c r="F3795" s="10" t="s">
        <v>10609</v>
      </c>
      <c r="G3795" s="8">
        <v>23.61</v>
      </c>
      <c r="H3795" s="8"/>
      <c r="I3795" s="10"/>
      <c r="J3795" s="10" t="s">
        <v>24416</v>
      </c>
      <c r="K3795" s="10" t="s">
        <v>24417</v>
      </c>
      <c r="L3795" s="11" t="s">
        <v>24418</v>
      </c>
      <c r="M3795" s="10"/>
      <c r="N3795" s="12"/>
      <c r="O3795" s="12"/>
      <c r="P3795" s="13">
        <f>IFERROR(__xludf.DUMMYFUNCTION("VALUE(SUBSTITUTE((INDEX(SPLIT(A3795,"",""),1)),""."","","",1))"),59.420472)</f>
        <v>59.420472</v>
      </c>
      <c r="Q3795" s="13">
        <f>IFERROR(__xludf.DUMMYFUNCTION("VALUE(SUBSTITUTE((INDEX(SPLIT(A3795,"",""),2)),""."","","",1))"),56.786947)</f>
        <v>56.786947</v>
      </c>
      <c r="R3795" s="14" t="b">
        <f t="shared" si="1"/>
        <v>0</v>
      </c>
      <c r="S3795" s="14" t="str">
        <f t="shared" si="2"/>
        <v>59.420472,56.786947</v>
      </c>
      <c r="T3795" s="12"/>
    </row>
    <row r="3796">
      <c r="A3796" s="15" t="s">
        <v>24419</v>
      </c>
      <c r="B3796" s="16" t="s">
        <v>24420</v>
      </c>
      <c r="C3796" s="16" t="s">
        <v>24421</v>
      </c>
      <c r="D3796" s="16" t="s">
        <v>16</v>
      </c>
      <c r="E3796" s="17" t="s">
        <v>24422</v>
      </c>
      <c r="F3796" s="16" t="s">
        <v>10609</v>
      </c>
      <c r="G3796" s="16">
        <v>23.61</v>
      </c>
      <c r="H3796" s="16"/>
      <c r="I3796" s="16"/>
      <c r="J3796" s="16" t="s">
        <v>24423</v>
      </c>
      <c r="K3796" s="16" t="s">
        <v>24424</v>
      </c>
      <c r="L3796" s="16"/>
      <c r="M3796" s="16"/>
      <c r="N3796" s="12"/>
      <c r="O3796" s="12"/>
      <c r="P3796" s="13">
        <f>IFERROR(__xludf.DUMMYFUNCTION("VALUE(SUBSTITUTE((INDEX(SPLIT(A3796,"",""),1)),""."","","",1))"),59.407587)</f>
        <v>59.407587</v>
      </c>
      <c r="Q3796" s="13">
        <f>IFERROR(__xludf.DUMMYFUNCTION("VALUE(SUBSTITUTE((INDEX(SPLIT(A3796,"",""),2)),""."","","",1))"),56.818675)</f>
        <v>56.818675</v>
      </c>
      <c r="R3796" s="14" t="b">
        <f t="shared" si="1"/>
        <v>0</v>
      </c>
      <c r="S3796" s="14" t="str">
        <f t="shared" si="2"/>
        <v>59.407587,56.818675</v>
      </c>
      <c r="T3796" s="12"/>
    </row>
    <row r="3797">
      <c r="A3797" s="18" t="s">
        <v>24425</v>
      </c>
      <c r="B3797" s="8" t="s">
        <v>24426</v>
      </c>
      <c r="C3797" s="8" t="s">
        <v>24427</v>
      </c>
      <c r="D3797" s="8" t="s">
        <v>16</v>
      </c>
      <c r="E3797" s="19" t="s">
        <v>24428</v>
      </c>
      <c r="F3797" s="8" t="s">
        <v>10609</v>
      </c>
      <c r="G3797" s="8">
        <v>23.61</v>
      </c>
      <c r="H3797" s="8"/>
      <c r="I3797" s="8"/>
      <c r="J3797" s="8" t="s">
        <v>24429</v>
      </c>
      <c r="K3797" s="8" t="s">
        <v>24430</v>
      </c>
      <c r="L3797" s="8"/>
      <c r="M3797" s="24" t="s">
        <v>24431</v>
      </c>
      <c r="N3797" s="12"/>
      <c r="O3797" s="12"/>
      <c r="P3797" s="13">
        <f>IFERROR(__xludf.DUMMYFUNCTION("VALUE(SUBSTITUTE((INDEX(SPLIT(A3797,"",""),1)),""."","","",1))"),59.486888)</f>
        <v>59.486888</v>
      </c>
      <c r="Q3797" s="13">
        <f>IFERROR(__xludf.DUMMYFUNCTION("VALUE(SUBSTITUTE((INDEX(SPLIT(A3797,"",""),2)),""."","","",1))"),56.866942)</f>
        <v>56.866942</v>
      </c>
      <c r="R3797" s="14" t="b">
        <f t="shared" si="1"/>
        <v>0</v>
      </c>
      <c r="S3797" s="14" t="str">
        <f t="shared" si="2"/>
        <v>59.486888,56.866942</v>
      </c>
      <c r="T3797" s="12"/>
    </row>
    <row r="3798">
      <c r="A3798" s="15" t="s">
        <v>24432</v>
      </c>
      <c r="B3798" s="16" t="s">
        <v>24433</v>
      </c>
      <c r="C3798" s="16" t="s">
        <v>24434</v>
      </c>
      <c r="D3798" s="16" t="s">
        <v>16</v>
      </c>
      <c r="E3798" s="17" t="s">
        <v>24435</v>
      </c>
      <c r="F3798" s="16" t="s">
        <v>10183</v>
      </c>
      <c r="G3798" s="16">
        <v>23.61</v>
      </c>
      <c r="H3798" s="16"/>
      <c r="I3798" s="16"/>
      <c r="J3798" s="16" t="s">
        <v>24436</v>
      </c>
      <c r="K3798" s="16" t="s">
        <v>24437</v>
      </c>
      <c r="L3798" s="16"/>
      <c r="M3798" s="25" t="s">
        <v>24438</v>
      </c>
      <c r="N3798" s="12"/>
      <c r="O3798" s="12"/>
      <c r="P3798" s="13">
        <f>IFERROR(__xludf.DUMMYFUNCTION("VALUE(SUBSTITUTE((INDEX(SPLIT(A3798,"",""),1)),""."","","",1))"),57.42881)</f>
        <v>57.42881</v>
      </c>
      <c r="Q3798" s="13">
        <f>IFERROR(__xludf.DUMMYFUNCTION("VALUE(SUBSTITUTE((INDEX(SPLIT(A3798,"",""),2)),""."","","",1))"),56.944215)</f>
        <v>56.944215</v>
      </c>
      <c r="R3798" s="14" t="b">
        <f t="shared" si="1"/>
        <v>0</v>
      </c>
      <c r="S3798" s="14" t="str">
        <f t="shared" si="2"/>
        <v>57.42881,56.944215</v>
      </c>
      <c r="T3798" s="12"/>
    </row>
    <row r="3799">
      <c r="A3799" s="18" t="s">
        <v>24439</v>
      </c>
      <c r="B3799" s="8" t="s">
        <v>24440</v>
      </c>
      <c r="C3799" s="8" t="s">
        <v>24441</v>
      </c>
      <c r="D3799" s="8" t="s">
        <v>16</v>
      </c>
      <c r="E3799" s="19" t="s">
        <v>24442</v>
      </c>
      <c r="F3799" s="8" t="s">
        <v>10609</v>
      </c>
      <c r="G3799" s="8">
        <v>23.61</v>
      </c>
      <c r="H3799" s="8"/>
      <c r="I3799" s="8"/>
      <c r="J3799" s="8" t="s">
        <v>24443</v>
      </c>
      <c r="K3799" s="8" t="s">
        <v>24444</v>
      </c>
      <c r="L3799" s="8"/>
      <c r="M3799" s="24" t="s">
        <v>24445</v>
      </c>
      <c r="N3799" s="12"/>
      <c r="O3799" s="12"/>
      <c r="P3799" s="13">
        <f>IFERROR(__xludf.DUMMYFUNCTION("VALUE(SUBSTITUTE((INDEX(SPLIT(A3799,"",""),1)),""."","","",1))"),57.215515)</f>
        <v>57.215515</v>
      </c>
      <c r="Q3799" s="13">
        <f>IFERROR(__xludf.DUMMYFUNCTION("VALUE(SUBSTITUTE((INDEX(SPLIT(A3799,"",""),2)),""."","","",1))"),65.155636)</f>
        <v>65.155636</v>
      </c>
      <c r="R3799" s="14" t="b">
        <f t="shared" si="1"/>
        <v>0</v>
      </c>
      <c r="S3799" s="14" t="str">
        <f t="shared" si="2"/>
        <v>57.215515,65.155636</v>
      </c>
      <c r="T3799" s="12"/>
    </row>
    <row r="3800">
      <c r="A3800" s="20" t="s">
        <v>24446</v>
      </c>
      <c r="B3800" s="16" t="s">
        <v>24447</v>
      </c>
      <c r="C3800" s="16" t="s">
        <v>24448</v>
      </c>
      <c r="D3800" s="16" t="s">
        <v>16</v>
      </c>
      <c r="E3800" s="21" t="s">
        <v>24449</v>
      </c>
      <c r="F3800" s="22" t="s">
        <v>7157</v>
      </c>
      <c r="G3800" s="16">
        <v>23.61</v>
      </c>
      <c r="H3800" s="16"/>
      <c r="I3800" s="22"/>
      <c r="J3800" s="22" t="s">
        <v>24450</v>
      </c>
      <c r="K3800" s="22" t="s">
        <v>24451</v>
      </c>
      <c r="L3800" s="23" t="s">
        <v>24452</v>
      </c>
      <c r="M3800" s="22"/>
      <c r="N3800" s="12"/>
      <c r="O3800" s="12"/>
      <c r="P3800" s="13">
        <f>IFERROR(__xludf.DUMMYFUNCTION("VALUE(SUBSTITUTE((INDEX(SPLIT(A3800,"",""),1)),""."","","",1))"),57.551557)</f>
        <v>57.551557</v>
      </c>
      <c r="Q3800" s="13">
        <f>IFERROR(__xludf.DUMMYFUNCTION("VALUE(SUBSTITUTE((INDEX(SPLIT(A3800,"",""),2)),""."","","",1))"),65.995842)</f>
        <v>65.995842</v>
      </c>
      <c r="R3800" s="14" t="b">
        <f t="shared" si="1"/>
        <v>0</v>
      </c>
      <c r="S3800" s="14" t="str">
        <f t="shared" si="2"/>
        <v>57.551557,65.995842</v>
      </c>
      <c r="T3800" s="12"/>
    </row>
    <row r="3801">
      <c r="A3801" s="18" t="s">
        <v>24453</v>
      </c>
      <c r="B3801" s="8" t="s">
        <v>24454</v>
      </c>
      <c r="C3801" s="8" t="s">
        <v>24455</v>
      </c>
      <c r="D3801" s="8" t="s">
        <v>16</v>
      </c>
      <c r="E3801" s="19" t="s">
        <v>24456</v>
      </c>
      <c r="F3801" s="8" t="s">
        <v>10609</v>
      </c>
      <c r="G3801" s="8">
        <v>23.61</v>
      </c>
      <c r="H3801" s="8"/>
      <c r="I3801" s="8"/>
      <c r="J3801" s="8" t="s">
        <v>24457</v>
      </c>
      <c r="K3801" s="8" t="s">
        <v>24458</v>
      </c>
      <c r="L3801" s="8"/>
      <c r="M3801" s="24" t="s">
        <v>24459</v>
      </c>
      <c r="N3801" s="12"/>
      <c r="O3801" s="12"/>
      <c r="P3801" s="13">
        <f>IFERROR(__xludf.DUMMYFUNCTION("VALUE(SUBSTITUTE((INDEX(SPLIT(A3801,"",""),1)),""."","","",1))"),51.423107)</f>
        <v>51.423107</v>
      </c>
      <c r="Q3801" s="13">
        <f>IFERROR(__xludf.DUMMYFUNCTION("VALUE(SUBSTITUTE((INDEX(SPLIT(A3801,"",""),2)),""."","","",1))"),57.575793)</f>
        <v>57.575793</v>
      </c>
      <c r="R3801" s="14" t="b">
        <f t="shared" si="1"/>
        <v>0</v>
      </c>
      <c r="S3801" s="14" t="str">
        <f t="shared" si="2"/>
        <v>51.423107,57.575793</v>
      </c>
      <c r="T3801" s="12"/>
    </row>
    <row r="3802">
      <c r="A3802" s="20" t="s">
        <v>24460</v>
      </c>
      <c r="B3802" s="16" t="s">
        <v>24461</v>
      </c>
      <c r="C3802" s="16" t="s">
        <v>24462</v>
      </c>
      <c r="D3802" s="16" t="s">
        <v>16</v>
      </c>
      <c r="E3802" s="21" t="s">
        <v>24463</v>
      </c>
      <c r="F3802" s="22" t="s">
        <v>10609</v>
      </c>
      <c r="G3802" s="16">
        <v>23.61</v>
      </c>
      <c r="H3802" s="16"/>
      <c r="I3802" s="22"/>
      <c r="J3802" s="22" t="s">
        <v>24464</v>
      </c>
      <c r="K3802" s="22" t="s">
        <v>24465</v>
      </c>
      <c r="L3802" s="23" t="s">
        <v>24466</v>
      </c>
      <c r="M3802" s="23" t="s">
        <v>24467</v>
      </c>
      <c r="N3802" s="12"/>
      <c r="O3802" s="12"/>
      <c r="P3802" s="13">
        <f>IFERROR(__xludf.DUMMYFUNCTION("VALUE(SUBSTITUTE((INDEX(SPLIT(A3802,"",""),1)),""."","","",1))"),55.969134)</f>
        <v>55.969134</v>
      </c>
      <c r="Q3802" s="13">
        <f>IFERROR(__xludf.DUMMYFUNCTION("VALUE(SUBSTITUTE((INDEX(SPLIT(A3802,"",""),2)),""."","","",1))"),58.078922)</f>
        <v>58.078922</v>
      </c>
      <c r="R3802" s="14" t="b">
        <f t="shared" si="1"/>
        <v>0</v>
      </c>
      <c r="S3802" s="14" t="str">
        <f t="shared" si="2"/>
        <v>55.969134,58.078922</v>
      </c>
      <c r="T3802" s="12"/>
    </row>
    <row r="3803">
      <c r="A3803" s="7" t="s">
        <v>24468</v>
      </c>
      <c r="B3803" s="8" t="s">
        <v>9866</v>
      </c>
      <c r="C3803" s="8" t="s">
        <v>9867</v>
      </c>
      <c r="D3803" s="8" t="s">
        <v>16</v>
      </c>
      <c r="E3803" s="9" t="s">
        <v>24469</v>
      </c>
      <c r="F3803" s="10" t="s">
        <v>10609</v>
      </c>
      <c r="G3803" s="8">
        <v>23.61</v>
      </c>
      <c r="H3803" s="8"/>
      <c r="I3803" s="10"/>
      <c r="J3803" s="10" t="s">
        <v>24470</v>
      </c>
      <c r="K3803" s="10" t="s">
        <v>24471</v>
      </c>
      <c r="L3803" s="11" t="s">
        <v>24472</v>
      </c>
      <c r="M3803" s="11" t="s">
        <v>24473</v>
      </c>
      <c r="N3803" s="12"/>
      <c r="O3803" s="12"/>
      <c r="P3803" s="13">
        <f>IFERROR(__xludf.DUMMYFUNCTION("VALUE(SUBSTITUTE((INDEX(SPLIT(A3803,"",""),1)),""."","","",1))"),55.178511)</f>
        <v>55.178511</v>
      </c>
      <c r="Q3803" s="13">
        <f>IFERROR(__xludf.DUMMYFUNCTION("VALUE(SUBSTITUTE((INDEX(SPLIT(A3803,"",""),2)),""."","","",1))"),58.14679)</f>
        <v>58.14679</v>
      </c>
      <c r="R3803" s="14" t="b">
        <f t="shared" si="1"/>
        <v>0</v>
      </c>
      <c r="S3803" s="14" t="str">
        <f t="shared" si="2"/>
        <v>55.178511,58.14679</v>
      </c>
      <c r="T3803" s="12"/>
    </row>
    <row r="3804">
      <c r="A3804" s="20" t="s">
        <v>24474</v>
      </c>
      <c r="B3804" s="16" t="s">
        <v>24475</v>
      </c>
      <c r="C3804" s="16" t="s">
        <v>24476</v>
      </c>
      <c r="D3804" s="16" t="s">
        <v>16</v>
      </c>
      <c r="E3804" s="21" t="s">
        <v>24477</v>
      </c>
      <c r="F3804" s="22" t="s">
        <v>10609</v>
      </c>
      <c r="G3804" s="16">
        <v>23.61</v>
      </c>
      <c r="H3804" s="16"/>
      <c r="I3804" s="22"/>
      <c r="J3804" s="22" t="s">
        <v>24478</v>
      </c>
      <c r="K3804" s="22" t="s">
        <v>24479</v>
      </c>
      <c r="L3804" s="23" t="s">
        <v>24480</v>
      </c>
      <c r="M3804" s="22"/>
      <c r="N3804" s="12"/>
      <c r="O3804" s="12"/>
      <c r="P3804" s="13">
        <f>IFERROR(__xludf.DUMMYFUNCTION("VALUE(SUBSTITUTE((INDEX(SPLIT(A3804,"",""),1)),""."","","",1))"),53.908379)</f>
        <v>53.908379</v>
      </c>
      <c r="Q3804" s="13">
        <f>IFERROR(__xludf.DUMMYFUNCTION("VALUE(SUBSTITUTE((INDEX(SPLIT(A3804,"",""),2)),""."","","",1))"),58.233288)</f>
        <v>58.233288</v>
      </c>
      <c r="R3804" s="14" t="b">
        <f t="shared" si="1"/>
        <v>0</v>
      </c>
      <c r="S3804" s="14" t="str">
        <f t="shared" si="2"/>
        <v>53.908379,58.233288</v>
      </c>
      <c r="T3804" s="12"/>
    </row>
    <row r="3805">
      <c r="A3805" s="18" t="s">
        <v>24481</v>
      </c>
      <c r="B3805" s="8" t="s">
        <v>24482</v>
      </c>
      <c r="C3805" s="8" t="s">
        <v>24483</v>
      </c>
      <c r="D3805" s="8" t="s">
        <v>16</v>
      </c>
      <c r="E3805" s="19" t="s">
        <v>24484</v>
      </c>
      <c r="F3805" s="8" t="s">
        <v>10609</v>
      </c>
      <c r="G3805" s="8">
        <v>23.61</v>
      </c>
      <c r="H3805" s="8"/>
      <c r="I3805" s="8"/>
      <c r="J3805" s="8" t="s">
        <v>24485</v>
      </c>
      <c r="K3805" s="8" t="s">
        <v>24486</v>
      </c>
      <c r="L3805" s="8"/>
      <c r="M3805" s="8"/>
      <c r="N3805" s="12"/>
      <c r="O3805" s="12"/>
      <c r="P3805" s="13">
        <f>IFERROR(__xludf.DUMMYFUNCTION("VALUE(SUBSTITUTE((INDEX(SPLIT(A3805,"",""),1)),""."","","",1))"),51.205469)</f>
        <v>51.205469</v>
      </c>
      <c r="Q3805" s="13">
        <f>IFERROR(__xludf.DUMMYFUNCTION("VALUE(SUBSTITUTE((INDEX(SPLIT(A3805,"",""),2)),""."","","",1))"),58.313445)</f>
        <v>58.313445</v>
      </c>
      <c r="R3805" s="14" t="b">
        <f t="shared" si="1"/>
        <v>0</v>
      </c>
      <c r="S3805" s="14" t="str">
        <f t="shared" si="2"/>
        <v>51.205469,58.313445</v>
      </c>
      <c r="T3805" s="12"/>
    </row>
    <row r="3806">
      <c r="A3806" s="15" t="s">
        <v>24487</v>
      </c>
      <c r="B3806" s="16" t="s">
        <v>24488</v>
      </c>
      <c r="C3806" s="16" t="s">
        <v>24489</v>
      </c>
      <c r="D3806" s="16" t="s">
        <v>16</v>
      </c>
      <c r="E3806" s="17" t="s">
        <v>24490</v>
      </c>
      <c r="F3806" s="16" t="s">
        <v>5142</v>
      </c>
      <c r="G3806" s="16">
        <v>23.61</v>
      </c>
      <c r="H3806" s="16"/>
      <c r="I3806" s="16"/>
      <c r="J3806" s="16" t="s">
        <v>24491</v>
      </c>
      <c r="K3806" s="16" t="s">
        <v>24492</v>
      </c>
      <c r="L3806" s="16"/>
      <c r="M3806" s="25" t="s">
        <v>24493</v>
      </c>
      <c r="N3806" s="12"/>
      <c r="O3806" s="12"/>
      <c r="P3806" s="13">
        <f>IFERROR(__xludf.DUMMYFUNCTION("VALUE(SUBSTITUTE((INDEX(SPLIT(A3806,"",""),1)),""."","","",1))"),51.219428)</f>
        <v>51.219428</v>
      </c>
      <c r="Q3806" s="13">
        <f>IFERROR(__xludf.DUMMYFUNCTION("VALUE(SUBSTITUTE((INDEX(SPLIT(A3806,"",""),2)),""."","","",1))"),58.33063)</f>
        <v>58.33063</v>
      </c>
      <c r="R3806" s="14" t="b">
        <f t="shared" si="1"/>
        <v>0</v>
      </c>
      <c r="S3806" s="14" t="str">
        <f t="shared" si="2"/>
        <v>51.219428,58.33063</v>
      </c>
      <c r="T3806" s="12"/>
    </row>
    <row r="3807">
      <c r="A3807" s="7" t="s">
        <v>24494</v>
      </c>
      <c r="B3807" s="8" t="s">
        <v>24495</v>
      </c>
      <c r="C3807" s="8" t="s">
        <v>24496</v>
      </c>
      <c r="D3807" s="8" t="s">
        <v>16</v>
      </c>
      <c r="E3807" s="9" t="s">
        <v>24497</v>
      </c>
      <c r="F3807" s="10" t="s">
        <v>16731</v>
      </c>
      <c r="G3807" s="8">
        <v>23.61</v>
      </c>
      <c r="H3807" s="8"/>
      <c r="I3807" s="10"/>
      <c r="J3807" s="10" t="s">
        <v>24498</v>
      </c>
      <c r="K3807" s="10" t="s">
        <v>24499</v>
      </c>
      <c r="L3807" s="11" t="s">
        <v>24500</v>
      </c>
      <c r="M3807" s="10"/>
      <c r="N3807" s="12"/>
      <c r="O3807" s="12"/>
      <c r="P3807" s="13">
        <f>IFERROR(__xludf.DUMMYFUNCTION("VALUE(SUBSTITUTE((INDEX(SPLIT(A3807,"",""),1)),""."","","",1))"),51.213883)</f>
        <v>51.213883</v>
      </c>
      <c r="Q3807" s="13">
        <f>IFERROR(__xludf.DUMMYFUNCTION("VALUE(SUBSTITUTE((INDEX(SPLIT(A3807,"",""),2)),""."","","",1))"),58.388526)</f>
        <v>58.388526</v>
      </c>
      <c r="R3807" s="14" t="b">
        <f t="shared" si="1"/>
        <v>0</v>
      </c>
      <c r="S3807" s="14" t="str">
        <f t="shared" si="2"/>
        <v>51.213883,58.388526</v>
      </c>
      <c r="T3807" s="12"/>
    </row>
    <row r="3808">
      <c r="A3808" s="15" t="s">
        <v>24501</v>
      </c>
      <c r="B3808" s="16" t="s">
        <v>24502</v>
      </c>
      <c r="C3808" s="16" t="s">
        <v>24503</v>
      </c>
      <c r="D3808" s="16" t="s">
        <v>16</v>
      </c>
      <c r="E3808" s="17" t="s">
        <v>24504</v>
      </c>
      <c r="F3808" s="16" t="s">
        <v>19948</v>
      </c>
      <c r="G3808" s="16">
        <v>23.61</v>
      </c>
      <c r="H3808" s="16"/>
      <c r="I3808" s="16"/>
      <c r="J3808" s="16" t="s">
        <v>24505</v>
      </c>
      <c r="K3808" s="16" t="s">
        <v>24506</v>
      </c>
      <c r="L3808" s="16"/>
      <c r="M3808" s="16"/>
      <c r="N3808" s="12"/>
      <c r="O3808" s="12"/>
      <c r="P3808" s="13">
        <f>IFERROR(__xludf.DUMMYFUNCTION("VALUE(SUBSTITUTE((INDEX(SPLIT(A3808,"",""),1)),""."","","",1))"),53.965105)</f>
        <v>53.965105</v>
      </c>
      <c r="Q3808" s="13">
        <f>IFERROR(__xludf.DUMMYFUNCTION("VALUE(SUBSTITUTE((INDEX(SPLIT(A3808,"",""),2)),""."","","",1))"),58.410957)</f>
        <v>58.410957</v>
      </c>
      <c r="R3808" s="14" t="b">
        <f t="shared" si="1"/>
        <v>0</v>
      </c>
      <c r="S3808" s="14" t="str">
        <f t="shared" si="2"/>
        <v>53.965105,58.410957</v>
      </c>
      <c r="T3808" s="12"/>
    </row>
    <row r="3809">
      <c r="A3809" s="18" t="s">
        <v>24507</v>
      </c>
      <c r="B3809" s="8" t="s">
        <v>24508</v>
      </c>
      <c r="C3809" s="8" t="s">
        <v>24509</v>
      </c>
      <c r="D3809" s="8" t="s">
        <v>16</v>
      </c>
      <c r="E3809" s="19" t="s">
        <v>24510</v>
      </c>
      <c r="F3809" s="8" t="s">
        <v>10609</v>
      </c>
      <c r="G3809" s="8">
        <v>23.61</v>
      </c>
      <c r="H3809" s="8"/>
      <c r="I3809" s="8"/>
      <c r="J3809" s="8" t="s">
        <v>24511</v>
      </c>
      <c r="K3809" s="8" t="s">
        <v>24512</v>
      </c>
      <c r="L3809" s="8"/>
      <c r="M3809" s="24" t="s">
        <v>24513</v>
      </c>
      <c r="N3809" s="12"/>
      <c r="O3809" s="12"/>
      <c r="P3809" s="13">
        <f>IFERROR(__xludf.DUMMYFUNCTION("VALUE(SUBSTITUTE((INDEX(SPLIT(A3809,"",""),1)),""."","","",1))"),56.834121)</f>
        <v>56.834121</v>
      </c>
      <c r="Q3809" s="13">
        <f>IFERROR(__xludf.DUMMYFUNCTION("VALUE(SUBSTITUTE((INDEX(SPLIT(A3809,"",""),2)),""."","","",1))"),58.463778)</f>
        <v>58.463778</v>
      </c>
      <c r="R3809" s="14" t="b">
        <f t="shared" si="1"/>
        <v>0</v>
      </c>
      <c r="S3809" s="14" t="str">
        <f t="shared" si="2"/>
        <v>56.834121,58.463778</v>
      </c>
      <c r="T3809" s="12"/>
    </row>
    <row r="3810">
      <c r="A3810" s="15" t="s">
        <v>24514</v>
      </c>
      <c r="B3810" s="16" t="s">
        <v>21168</v>
      </c>
      <c r="C3810" s="16" t="s">
        <v>21169</v>
      </c>
      <c r="D3810" s="16" t="s">
        <v>16</v>
      </c>
      <c r="E3810" s="17" t="s">
        <v>24515</v>
      </c>
      <c r="F3810" s="16" t="s">
        <v>16731</v>
      </c>
      <c r="G3810" s="16">
        <v>23.61</v>
      </c>
      <c r="H3810" s="16"/>
      <c r="I3810" s="16"/>
      <c r="J3810" s="16" t="s">
        <v>24516</v>
      </c>
      <c r="K3810" s="16" t="s">
        <v>24517</v>
      </c>
      <c r="L3810" s="16"/>
      <c r="M3810" s="16"/>
      <c r="N3810" s="12"/>
      <c r="O3810" s="12"/>
      <c r="P3810" s="13">
        <f>IFERROR(__xludf.DUMMYFUNCTION("VALUE(SUBSTITUTE((INDEX(SPLIT(A3810,"",""),1)),""."","","",1))"),51.211174)</f>
        <v>51.211174</v>
      </c>
      <c r="Q3810" s="13">
        <f>IFERROR(__xludf.DUMMYFUNCTION("VALUE(SUBSTITUTE((INDEX(SPLIT(A3810,"",""),2)),""."","","",1))"),58.465278)</f>
        <v>58.465278</v>
      </c>
      <c r="R3810" s="14" t="b">
        <f t="shared" si="1"/>
        <v>0</v>
      </c>
      <c r="S3810" s="14" t="str">
        <f t="shared" si="2"/>
        <v>51.211174,58.465278</v>
      </c>
      <c r="T3810" s="12"/>
    </row>
    <row r="3811">
      <c r="A3811" s="7" t="s">
        <v>24518</v>
      </c>
      <c r="B3811" s="8" t="s">
        <v>24519</v>
      </c>
      <c r="C3811" s="8" t="s">
        <v>24520</v>
      </c>
      <c r="D3811" s="8" t="s">
        <v>16</v>
      </c>
      <c r="E3811" s="9" t="s">
        <v>24521</v>
      </c>
      <c r="F3811" s="10" t="s">
        <v>10609</v>
      </c>
      <c r="G3811" s="8">
        <v>23.61</v>
      </c>
      <c r="H3811" s="8"/>
      <c r="I3811" s="10"/>
      <c r="J3811" s="10" t="s">
        <v>24522</v>
      </c>
      <c r="K3811" s="10" t="s">
        <v>24523</v>
      </c>
      <c r="L3811" s="11" t="s">
        <v>24524</v>
      </c>
      <c r="M3811" s="11" t="s">
        <v>24525</v>
      </c>
      <c r="N3811" s="12"/>
      <c r="O3811" s="12"/>
      <c r="P3811" s="13">
        <f>IFERROR(__xludf.DUMMYFUNCTION("VALUE(SUBSTITUTE((INDEX(SPLIT(A3811,"",""),1)),""."","","",1))"),51.221301)</f>
        <v>51.221301</v>
      </c>
      <c r="Q3811" s="13">
        <f>IFERROR(__xludf.DUMMYFUNCTION("VALUE(SUBSTITUTE((INDEX(SPLIT(A3811,"",""),2)),""."","","",1))"),58.492066)</f>
        <v>58.492066</v>
      </c>
      <c r="R3811" s="14" t="b">
        <f t="shared" si="1"/>
        <v>0</v>
      </c>
      <c r="S3811" s="14" t="str">
        <f t="shared" si="2"/>
        <v>51.221301,58.492066</v>
      </c>
      <c r="T3811" s="12"/>
    </row>
    <row r="3812">
      <c r="A3812" s="20" t="s">
        <v>24518</v>
      </c>
      <c r="B3812" s="16" t="s">
        <v>24526</v>
      </c>
      <c r="C3812" s="16" t="s">
        <v>24527</v>
      </c>
      <c r="D3812" s="16" t="s">
        <v>16</v>
      </c>
      <c r="E3812" s="21" t="s">
        <v>24528</v>
      </c>
      <c r="F3812" s="22" t="s">
        <v>16731</v>
      </c>
      <c r="G3812" s="16">
        <v>23.61</v>
      </c>
      <c r="H3812" s="16"/>
      <c r="I3812" s="22"/>
      <c r="J3812" s="22" t="s">
        <v>24529</v>
      </c>
      <c r="K3812" s="22" t="s">
        <v>24530</v>
      </c>
      <c r="L3812" s="23" t="s">
        <v>24531</v>
      </c>
      <c r="M3812" s="23" t="s">
        <v>24532</v>
      </c>
      <c r="N3812" s="12"/>
      <c r="O3812" s="12"/>
      <c r="P3812" s="13">
        <f>IFERROR(__xludf.DUMMYFUNCTION("VALUE(SUBSTITUTE((INDEX(SPLIT(A3812,"",""),1)),""."","","",1))"),51.221301)</f>
        <v>51.221301</v>
      </c>
      <c r="Q3812" s="13">
        <f>IFERROR(__xludf.DUMMYFUNCTION("VALUE(SUBSTITUTE((INDEX(SPLIT(A3812,"",""),2)),""."","","",1))"),58.492066)</f>
        <v>58.492066</v>
      </c>
      <c r="R3812" s="14" t="b">
        <f t="shared" si="1"/>
        <v>0</v>
      </c>
      <c r="S3812" s="14" t="str">
        <f t="shared" si="2"/>
        <v>51.221301,58.492066</v>
      </c>
      <c r="T3812" s="12"/>
    </row>
    <row r="3813">
      <c r="A3813" s="7" t="s">
        <v>24533</v>
      </c>
      <c r="B3813" s="8" t="s">
        <v>24534</v>
      </c>
      <c r="C3813" s="8" t="s">
        <v>24535</v>
      </c>
      <c r="D3813" s="8" t="s">
        <v>16</v>
      </c>
      <c r="E3813" s="9" t="s">
        <v>24536</v>
      </c>
      <c r="F3813" s="10" t="s">
        <v>16731</v>
      </c>
      <c r="G3813" s="8">
        <v>23.61</v>
      </c>
      <c r="H3813" s="8"/>
      <c r="I3813" s="10"/>
      <c r="J3813" s="10" t="s">
        <v>24537</v>
      </c>
      <c r="K3813" s="10" t="s">
        <v>24538</v>
      </c>
      <c r="L3813" s="11" t="s">
        <v>24539</v>
      </c>
      <c r="M3813" s="10"/>
      <c r="N3813" s="12"/>
      <c r="O3813" s="12"/>
      <c r="P3813" s="13">
        <f>IFERROR(__xludf.DUMMYFUNCTION("VALUE(SUBSTITUTE((INDEX(SPLIT(A3813,"",""),1)),""."","","",1))"),51.231674)</f>
        <v>51.231674</v>
      </c>
      <c r="Q3813" s="13">
        <f>IFERROR(__xludf.DUMMYFUNCTION("VALUE(SUBSTITUTE((INDEX(SPLIT(A3813,"",""),2)),""."","","",1))"),58.621334)</f>
        <v>58.621334</v>
      </c>
      <c r="R3813" s="14" t="b">
        <f t="shared" si="1"/>
        <v>0</v>
      </c>
      <c r="S3813" s="14" t="str">
        <f t="shared" si="2"/>
        <v>51.231674,58.621334</v>
      </c>
      <c r="T3813" s="12"/>
    </row>
    <row r="3814">
      <c r="A3814" s="20" t="s">
        <v>24540</v>
      </c>
      <c r="B3814" s="16" t="s">
        <v>9314</v>
      </c>
      <c r="C3814" s="16" t="s">
        <v>9315</v>
      </c>
      <c r="D3814" s="16" t="s">
        <v>16</v>
      </c>
      <c r="E3814" s="21" t="s">
        <v>24541</v>
      </c>
      <c r="F3814" s="22" t="s">
        <v>23544</v>
      </c>
      <c r="G3814" s="16">
        <v>23.61</v>
      </c>
      <c r="H3814" s="16"/>
      <c r="I3814" s="22"/>
      <c r="J3814" s="22" t="s">
        <v>24542</v>
      </c>
      <c r="K3814" s="22" t="s">
        <v>24543</v>
      </c>
      <c r="L3814" s="23" t="s">
        <v>24544</v>
      </c>
      <c r="M3814" s="22"/>
      <c r="N3814" s="12"/>
      <c r="O3814" s="12"/>
      <c r="P3814" s="13">
        <f>IFERROR(__xludf.DUMMYFUNCTION("VALUE(SUBSTITUTE((INDEX(SPLIT(A3814,"",""),1)),""."","","",1))"),52.703919)</f>
        <v>52.703919</v>
      </c>
      <c r="Q3814" s="13">
        <f>IFERROR(__xludf.DUMMYFUNCTION("VALUE(SUBSTITUTE((INDEX(SPLIT(A3814,"",""),2)),""."","","",1))"),58.658308)</f>
        <v>58.658308</v>
      </c>
      <c r="R3814" s="14" t="b">
        <f t="shared" si="1"/>
        <v>0</v>
      </c>
      <c r="S3814" s="14" t="str">
        <f t="shared" si="2"/>
        <v>52.703919,58.658308</v>
      </c>
      <c r="T3814" s="12"/>
    </row>
    <row r="3815">
      <c r="A3815" s="18" t="s">
        <v>24545</v>
      </c>
      <c r="B3815" s="8" t="s">
        <v>24546</v>
      </c>
      <c r="C3815" s="8" t="s">
        <v>24547</v>
      </c>
      <c r="D3815" s="8" t="s">
        <v>16</v>
      </c>
      <c r="E3815" s="19" t="s">
        <v>24548</v>
      </c>
      <c r="F3815" s="8" t="s">
        <v>16731</v>
      </c>
      <c r="G3815" s="8">
        <v>23.61</v>
      </c>
      <c r="H3815" s="8"/>
      <c r="I3815" s="8"/>
      <c r="J3815" s="8" t="s">
        <v>24549</v>
      </c>
      <c r="K3815" s="8" t="s">
        <v>24550</v>
      </c>
      <c r="L3815" s="8"/>
      <c r="M3815" s="24" t="s">
        <v>24551</v>
      </c>
      <c r="N3815" s="12"/>
      <c r="O3815" s="12"/>
      <c r="P3815" s="13">
        <f>IFERROR(__xludf.DUMMYFUNCTION("VALUE(SUBSTITUTE((INDEX(SPLIT(A3815,"",""),1)),""."","","",1))"),52.719305)</f>
        <v>52.719305</v>
      </c>
      <c r="Q3815" s="13">
        <f>IFERROR(__xludf.DUMMYFUNCTION("VALUE(SUBSTITUTE((INDEX(SPLIT(A3815,"",""),2)),""."","","",1))"),58.675259)</f>
        <v>58.675259</v>
      </c>
      <c r="R3815" s="14" t="b">
        <f t="shared" si="1"/>
        <v>0</v>
      </c>
      <c r="S3815" s="14" t="str">
        <f t="shared" si="2"/>
        <v>52.719305,58.675259</v>
      </c>
      <c r="T3815" s="12"/>
    </row>
    <row r="3816">
      <c r="A3816" s="20" t="s">
        <v>24552</v>
      </c>
      <c r="B3816" s="16" t="s">
        <v>24553</v>
      </c>
      <c r="C3816" s="16" t="s">
        <v>24554</v>
      </c>
      <c r="D3816" s="16" t="s">
        <v>16</v>
      </c>
      <c r="E3816" s="21" t="s">
        <v>24555</v>
      </c>
      <c r="F3816" s="22" t="s">
        <v>3760</v>
      </c>
      <c r="G3816" s="16">
        <v>23.61</v>
      </c>
      <c r="H3816" s="16"/>
      <c r="I3816" s="22"/>
      <c r="J3816" s="22" t="s">
        <v>24556</v>
      </c>
      <c r="K3816" s="22" t="s">
        <v>24557</v>
      </c>
      <c r="L3816" s="23" t="s">
        <v>24558</v>
      </c>
      <c r="M3816" s="22"/>
      <c r="N3816" s="12"/>
      <c r="O3816" s="12"/>
      <c r="P3816" s="13">
        <f>IFERROR(__xludf.DUMMYFUNCTION("VALUE(SUBSTITUTE((INDEX(SPLIT(A3816,"",""),1)),""."","","",1))"),52.707182)</f>
        <v>52.707182</v>
      </c>
      <c r="Q3816" s="13">
        <f>IFERROR(__xludf.DUMMYFUNCTION("VALUE(SUBSTITUTE((INDEX(SPLIT(A3816,"",""),2)),""."","","",1))"),58.678808)</f>
        <v>58.678808</v>
      </c>
      <c r="R3816" s="14" t="b">
        <f t="shared" si="1"/>
        <v>0</v>
      </c>
      <c r="S3816" s="14" t="str">
        <f t="shared" si="2"/>
        <v>52.707182,58.678808</v>
      </c>
      <c r="T3816" s="12"/>
    </row>
    <row r="3817">
      <c r="A3817" s="18" t="s">
        <v>24559</v>
      </c>
      <c r="B3817" s="8" t="s">
        <v>24560</v>
      </c>
      <c r="C3817" s="8" t="s">
        <v>24561</v>
      </c>
      <c r="D3817" s="8" t="s">
        <v>16</v>
      </c>
      <c r="E3817" s="19" t="s">
        <v>24562</v>
      </c>
      <c r="F3817" s="8" t="s">
        <v>10609</v>
      </c>
      <c r="G3817" s="8">
        <v>23.61</v>
      </c>
      <c r="H3817" s="8"/>
      <c r="I3817" s="8"/>
      <c r="J3817" s="8" t="s">
        <v>24563</v>
      </c>
      <c r="K3817" s="8" t="s">
        <v>24564</v>
      </c>
      <c r="L3817" s="8"/>
      <c r="M3817" s="24" t="s">
        <v>24565</v>
      </c>
      <c r="N3817" s="12"/>
      <c r="O3817" s="12"/>
      <c r="P3817" s="13">
        <f>IFERROR(__xludf.DUMMYFUNCTION("VALUE(SUBSTITUTE((INDEX(SPLIT(A3817,"",""),1)),""."","","",1))"),52.720979)</f>
        <v>52.720979</v>
      </c>
      <c r="Q3817" s="13">
        <f>IFERROR(__xludf.DUMMYFUNCTION("VALUE(SUBSTITUTE((INDEX(SPLIT(A3817,"",""),2)),""."","","",1))"),58.686794)</f>
        <v>58.686794</v>
      </c>
      <c r="R3817" s="14" t="b">
        <f t="shared" si="1"/>
        <v>0</v>
      </c>
      <c r="S3817" s="14" t="str">
        <f t="shared" si="2"/>
        <v>52.720979,58.686794</v>
      </c>
      <c r="T3817" s="12"/>
    </row>
    <row r="3818">
      <c r="A3818" s="20" t="s">
        <v>24566</v>
      </c>
      <c r="B3818" s="16" t="s">
        <v>5061</v>
      </c>
      <c r="C3818" s="16" t="s">
        <v>5062</v>
      </c>
      <c r="D3818" s="16" t="s">
        <v>16</v>
      </c>
      <c r="E3818" s="21" t="s">
        <v>24567</v>
      </c>
      <c r="F3818" s="22" t="s">
        <v>21049</v>
      </c>
      <c r="G3818" s="16">
        <v>23.61</v>
      </c>
      <c r="H3818" s="16"/>
      <c r="I3818" s="22"/>
      <c r="J3818" s="22" t="s">
        <v>24568</v>
      </c>
      <c r="K3818" s="22" t="s">
        <v>24569</v>
      </c>
      <c r="L3818" s="23" t="s">
        <v>24570</v>
      </c>
      <c r="M3818" s="22"/>
      <c r="N3818" s="12"/>
      <c r="O3818" s="12"/>
      <c r="P3818" s="13">
        <f>IFERROR(__xludf.DUMMYFUNCTION("VALUE(SUBSTITUTE((INDEX(SPLIT(A3818,"",""),1)),""."","","",1))"),52.718246)</f>
        <v>52.718246</v>
      </c>
      <c r="Q3818" s="13">
        <f>IFERROR(__xludf.DUMMYFUNCTION("VALUE(SUBSTITUTE((INDEX(SPLIT(A3818,"",""),2)),""."","","",1))"),58.690657)</f>
        <v>58.690657</v>
      </c>
      <c r="R3818" s="14" t="b">
        <f t="shared" si="1"/>
        <v>0</v>
      </c>
      <c r="S3818" s="14" t="str">
        <f t="shared" si="2"/>
        <v>52.718246,58.690657</v>
      </c>
      <c r="T3818" s="12"/>
    </row>
    <row r="3819">
      <c r="A3819" s="18" t="s">
        <v>24571</v>
      </c>
      <c r="B3819" s="8" t="s">
        <v>24572</v>
      </c>
      <c r="C3819" s="8" t="s">
        <v>24573</v>
      </c>
      <c r="D3819" s="8" t="s">
        <v>16</v>
      </c>
      <c r="E3819" s="19" t="s">
        <v>24574</v>
      </c>
      <c r="F3819" s="8" t="s">
        <v>23544</v>
      </c>
      <c r="G3819" s="8">
        <v>23.61</v>
      </c>
      <c r="H3819" s="8"/>
      <c r="I3819" s="8"/>
      <c r="J3819" s="8" t="s">
        <v>24575</v>
      </c>
      <c r="K3819" s="8" t="s">
        <v>24576</v>
      </c>
      <c r="L3819" s="8"/>
      <c r="M3819" s="24" t="s">
        <v>24577</v>
      </c>
      <c r="N3819" s="12"/>
      <c r="O3819" s="12"/>
      <c r="P3819" s="13">
        <f>IFERROR(__xludf.DUMMYFUNCTION("VALUE(SUBSTITUTE((INDEX(SPLIT(A3819,"",""),1)),""."","","",1))"),53.258836)</f>
        <v>53.258836</v>
      </c>
      <c r="Q3819" s="13">
        <f>IFERROR(__xludf.DUMMYFUNCTION("VALUE(SUBSTITUTE((INDEX(SPLIT(A3819,"",""),2)),""."","","",1))"),58.7916)</f>
        <v>58.7916</v>
      </c>
      <c r="R3819" s="14" t="b">
        <f t="shared" si="1"/>
        <v>0</v>
      </c>
      <c r="S3819" s="14" t="str">
        <f t="shared" si="2"/>
        <v>53.258836,58.7916</v>
      </c>
      <c r="T3819" s="12"/>
    </row>
    <row r="3820">
      <c r="A3820" s="20" t="s">
        <v>24578</v>
      </c>
      <c r="B3820" s="16" t="s">
        <v>24579</v>
      </c>
      <c r="C3820" s="16" t="s">
        <v>24580</v>
      </c>
      <c r="D3820" s="16" t="s">
        <v>16</v>
      </c>
      <c r="E3820" s="21" t="s">
        <v>24581</v>
      </c>
      <c r="F3820" s="22" t="s">
        <v>23544</v>
      </c>
      <c r="G3820" s="16">
        <v>23.61</v>
      </c>
      <c r="H3820" s="16"/>
      <c r="I3820" s="22"/>
      <c r="J3820" s="22" t="s">
        <v>24582</v>
      </c>
      <c r="K3820" s="22" t="s">
        <v>24583</v>
      </c>
      <c r="L3820" s="23" t="s">
        <v>24584</v>
      </c>
      <c r="M3820" s="22"/>
      <c r="N3820" s="12"/>
      <c r="O3820" s="12"/>
      <c r="P3820" s="13">
        <f>IFERROR(__xludf.DUMMYFUNCTION("VALUE(SUBSTITUTE((INDEX(SPLIT(A3820,"",""),1)),""."","","",1))"),51.734612)</f>
        <v>51.734612</v>
      </c>
      <c r="Q3820" s="13">
        <f>IFERROR(__xludf.DUMMYFUNCTION("VALUE(SUBSTITUTE((INDEX(SPLIT(A3820,"",""),2)),""."","","",1))"),58.799559)</f>
        <v>58.799559</v>
      </c>
      <c r="R3820" s="14" t="b">
        <f t="shared" si="1"/>
        <v>0</v>
      </c>
      <c r="S3820" s="14" t="str">
        <f t="shared" si="2"/>
        <v>51.734612,58.799559</v>
      </c>
      <c r="T3820" s="12"/>
    </row>
    <row r="3821">
      <c r="A3821" s="18" t="s">
        <v>24585</v>
      </c>
      <c r="B3821" s="8" t="s">
        <v>24586</v>
      </c>
      <c r="C3821" s="8" t="s">
        <v>24587</v>
      </c>
      <c r="D3821" s="8" t="s">
        <v>16</v>
      </c>
      <c r="E3821" s="19" t="s">
        <v>24588</v>
      </c>
      <c r="F3821" s="8" t="s">
        <v>23544</v>
      </c>
      <c r="G3821" s="8">
        <v>23.61</v>
      </c>
      <c r="H3821" s="8"/>
      <c r="I3821" s="8"/>
      <c r="J3821" s="8" t="s">
        <v>24589</v>
      </c>
      <c r="K3821" s="8" t="s">
        <v>24590</v>
      </c>
      <c r="L3821" s="8"/>
      <c r="M3821" s="8"/>
      <c r="N3821" s="12"/>
      <c r="O3821" s="12"/>
      <c r="P3821" s="13">
        <f>IFERROR(__xludf.DUMMYFUNCTION("VALUE(SUBSTITUTE((INDEX(SPLIT(A3821,"",""),1)),""."","","",1))"),53.592432)</f>
        <v>53.592432</v>
      </c>
      <c r="Q3821" s="13">
        <f>IFERROR(__xludf.DUMMYFUNCTION("VALUE(SUBSTITUTE((INDEX(SPLIT(A3821,"",""),2)),""."","","",1))"),58.863385)</f>
        <v>58.863385</v>
      </c>
      <c r="R3821" s="14" t="b">
        <f t="shared" si="1"/>
        <v>0</v>
      </c>
      <c r="S3821" s="14" t="str">
        <f t="shared" si="2"/>
        <v>53.592432,58.863385</v>
      </c>
      <c r="T3821" s="12"/>
    </row>
    <row r="3822">
      <c r="A3822" s="15" t="s">
        <v>24591</v>
      </c>
      <c r="B3822" s="16" t="s">
        <v>24400</v>
      </c>
      <c r="C3822" s="16" t="s">
        <v>24401</v>
      </c>
      <c r="D3822" s="16" t="s">
        <v>16</v>
      </c>
      <c r="E3822" s="17" t="s">
        <v>24592</v>
      </c>
      <c r="F3822" s="16" t="s">
        <v>23544</v>
      </c>
      <c r="G3822" s="16">
        <v>23.61</v>
      </c>
      <c r="H3822" s="16"/>
      <c r="I3822" s="16"/>
      <c r="J3822" s="16" t="s">
        <v>24589</v>
      </c>
      <c r="K3822" s="16" t="s">
        <v>24593</v>
      </c>
      <c r="L3822" s="16"/>
      <c r="M3822" s="16"/>
      <c r="N3822" s="12"/>
      <c r="O3822" s="12"/>
      <c r="P3822" s="13">
        <f>IFERROR(__xludf.DUMMYFUNCTION("VALUE(SUBSTITUTE((INDEX(SPLIT(A3822,"",""),1)),""."","","",1))"),55.066118)</f>
        <v>55.066118</v>
      </c>
      <c r="Q3822" s="13">
        <f>IFERROR(__xludf.DUMMYFUNCTION("VALUE(SUBSTITUTE((INDEX(SPLIT(A3822,"",""),2)),""."","","",1))"),58.926249)</f>
        <v>58.926249</v>
      </c>
      <c r="R3822" s="14" t="b">
        <f t="shared" si="1"/>
        <v>0</v>
      </c>
      <c r="S3822" s="14" t="str">
        <f t="shared" si="2"/>
        <v>55.066118,58.926249</v>
      </c>
      <c r="T3822" s="12"/>
    </row>
    <row r="3823">
      <c r="A3823" s="7" t="s">
        <v>24594</v>
      </c>
      <c r="B3823" s="8" t="s">
        <v>24595</v>
      </c>
      <c r="C3823" s="8" t="s">
        <v>24596</v>
      </c>
      <c r="D3823" s="8" t="s">
        <v>16</v>
      </c>
      <c r="E3823" s="9" t="s">
        <v>24597</v>
      </c>
      <c r="F3823" s="10" t="s">
        <v>23544</v>
      </c>
      <c r="G3823" s="8">
        <v>23.61</v>
      </c>
      <c r="H3823" s="8"/>
      <c r="I3823" s="10"/>
      <c r="J3823" s="10" t="s">
        <v>24598</v>
      </c>
      <c r="K3823" s="10" t="s">
        <v>24599</v>
      </c>
      <c r="L3823" s="11" t="s">
        <v>24600</v>
      </c>
      <c r="M3823" s="10"/>
      <c r="N3823" s="12"/>
      <c r="O3823" s="12"/>
      <c r="P3823" s="13">
        <f>IFERROR(__xludf.DUMMYFUNCTION("VALUE(SUBSTITUTE((INDEX(SPLIT(A3823,"",""),1)),""."","","",1))"),53.433479)</f>
        <v>53.433479</v>
      </c>
      <c r="Q3823" s="13">
        <f>IFERROR(__xludf.DUMMYFUNCTION("VALUE(SUBSTITUTE((INDEX(SPLIT(A3823,"",""),2)),""."","","",1))"),58.944682)</f>
        <v>58.944682</v>
      </c>
      <c r="R3823" s="14" t="b">
        <f t="shared" si="1"/>
        <v>0</v>
      </c>
      <c r="S3823" s="14" t="str">
        <f t="shared" si="2"/>
        <v>53.433479,58.944682</v>
      </c>
      <c r="T3823" s="12"/>
    </row>
    <row r="3824">
      <c r="A3824" s="15" t="s">
        <v>24601</v>
      </c>
      <c r="B3824" s="16" t="s">
        <v>24602</v>
      </c>
      <c r="C3824" s="16" t="s">
        <v>24603</v>
      </c>
      <c r="D3824" s="16" t="s">
        <v>16</v>
      </c>
      <c r="E3824" s="17" t="s">
        <v>24604</v>
      </c>
      <c r="F3824" s="16" t="s">
        <v>23544</v>
      </c>
      <c r="G3824" s="16">
        <v>23.61</v>
      </c>
      <c r="H3824" s="16"/>
      <c r="I3824" s="16"/>
      <c r="J3824" s="16" t="s">
        <v>24605</v>
      </c>
      <c r="K3824" s="16" t="s">
        <v>24606</v>
      </c>
      <c r="L3824" s="16"/>
      <c r="M3824" s="16"/>
      <c r="N3824" s="12"/>
      <c r="O3824" s="12"/>
      <c r="P3824" s="13">
        <f>IFERROR(__xludf.DUMMYFUNCTION("VALUE(SUBSTITUTE((INDEX(SPLIT(A3824,"",""),1)),""."","","",1))"),53.357406)</f>
        <v>53.357406</v>
      </c>
      <c r="Q3824" s="13">
        <f>IFERROR(__xludf.DUMMYFUNCTION("VALUE(SUBSTITUTE((INDEX(SPLIT(A3824,"",""),2)),""."","","",1))"),58.960717)</f>
        <v>58.960717</v>
      </c>
      <c r="R3824" s="14" t="b">
        <f t="shared" si="1"/>
        <v>0</v>
      </c>
      <c r="S3824" s="14" t="str">
        <f t="shared" si="2"/>
        <v>53.357406,58.960717</v>
      </c>
      <c r="T3824" s="12"/>
    </row>
    <row r="3825">
      <c r="A3825" s="18" t="s">
        <v>24607</v>
      </c>
      <c r="B3825" s="8" t="s">
        <v>24608</v>
      </c>
      <c r="C3825" s="8" t="s">
        <v>24609</v>
      </c>
      <c r="D3825" s="8" t="s">
        <v>16</v>
      </c>
      <c r="E3825" s="19" t="s">
        <v>24610</v>
      </c>
      <c r="F3825" s="8" t="s">
        <v>19948</v>
      </c>
      <c r="G3825" s="8">
        <v>23.61</v>
      </c>
      <c r="H3825" s="8"/>
      <c r="I3825" s="8"/>
      <c r="J3825" s="8" t="s">
        <v>24611</v>
      </c>
      <c r="K3825" s="8" t="s">
        <v>24612</v>
      </c>
      <c r="L3825" s="8"/>
      <c r="M3825" s="8"/>
      <c r="N3825" s="12"/>
      <c r="O3825" s="12"/>
      <c r="P3825" s="13">
        <f>IFERROR(__xludf.DUMMYFUNCTION("VALUE(SUBSTITUTE((INDEX(SPLIT(A3825,"",""),1)),""."","","",1))"),53.354003)</f>
        <v>53.354003</v>
      </c>
      <c r="Q3825" s="13">
        <f>IFERROR(__xludf.DUMMYFUNCTION("VALUE(SUBSTITUTE((INDEX(SPLIT(A3825,"",""),2)),""."","","",1))"),58.970724)</f>
        <v>58.970724</v>
      </c>
      <c r="R3825" s="14" t="b">
        <f t="shared" si="1"/>
        <v>0</v>
      </c>
      <c r="S3825" s="14" t="str">
        <f t="shared" si="2"/>
        <v>53.354003,58.970724</v>
      </c>
      <c r="T3825" s="12"/>
    </row>
    <row r="3826">
      <c r="A3826" s="20" t="s">
        <v>24613</v>
      </c>
      <c r="B3826" s="16" t="s">
        <v>24614</v>
      </c>
      <c r="C3826" s="16" t="s">
        <v>24615</v>
      </c>
      <c r="D3826" s="16" t="s">
        <v>16</v>
      </c>
      <c r="E3826" s="21" t="s">
        <v>24616</v>
      </c>
      <c r="F3826" s="22" t="s">
        <v>23544</v>
      </c>
      <c r="G3826" s="16">
        <v>23.61</v>
      </c>
      <c r="H3826" s="16"/>
      <c r="I3826" s="22"/>
      <c r="J3826" s="22" t="s">
        <v>24617</v>
      </c>
      <c r="K3826" s="22" t="s">
        <v>24618</v>
      </c>
      <c r="L3826" s="30" t="s">
        <v>24619</v>
      </c>
      <c r="M3826" s="22"/>
      <c r="N3826" s="12"/>
      <c r="O3826" s="12"/>
      <c r="P3826" s="13">
        <f>IFERROR(__xludf.DUMMYFUNCTION("VALUE(SUBSTITUTE((INDEX(SPLIT(A3826,"",""),1)),""."","","",1))"),53.424889)</f>
        <v>53.424889</v>
      </c>
      <c r="Q3826" s="13">
        <f>IFERROR(__xludf.DUMMYFUNCTION("VALUE(SUBSTITUTE((INDEX(SPLIT(A3826,"",""),2)),""."","","",1))"),58.977219)</f>
        <v>58.977219</v>
      </c>
      <c r="R3826" s="14" t="b">
        <f t="shared" si="1"/>
        <v>0</v>
      </c>
      <c r="S3826" s="14" t="str">
        <f t="shared" si="2"/>
        <v>53.424889,58.977219</v>
      </c>
      <c r="T3826" s="12"/>
    </row>
    <row r="3827">
      <c r="A3827" s="18" t="s">
        <v>24620</v>
      </c>
      <c r="B3827" s="8" t="s">
        <v>24621</v>
      </c>
      <c r="C3827" s="8" t="s">
        <v>24622</v>
      </c>
      <c r="D3827" s="8" t="s">
        <v>16</v>
      </c>
      <c r="E3827" s="19" t="s">
        <v>24623</v>
      </c>
      <c r="F3827" s="8" t="s">
        <v>10183</v>
      </c>
      <c r="G3827" s="8">
        <v>23.61</v>
      </c>
      <c r="H3827" s="8"/>
      <c r="I3827" s="8"/>
      <c r="J3827" s="8" t="s">
        <v>24624</v>
      </c>
      <c r="K3827" s="8" t="s">
        <v>24625</v>
      </c>
      <c r="L3827" s="8"/>
      <c r="M3827" s="24" t="s">
        <v>24626</v>
      </c>
      <c r="N3827" s="12"/>
      <c r="O3827" s="12"/>
      <c r="P3827" s="13">
        <f>IFERROR(__xludf.DUMMYFUNCTION("VALUE(SUBSTITUTE((INDEX(SPLIT(A3827,"",""),1)),""."","","",1))"),53.363924)</f>
        <v>53.363924</v>
      </c>
      <c r="Q3827" s="13">
        <f>IFERROR(__xludf.DUMMYFUNCTION("VALUE(SUBSTITUTE((INDEX(SPLIT(A3827,"",""),2)),""."","","",1))"),58.981172)</f>
        <v>58.981172</v>
      </c>
      <c r="R3827" s="14" t="b">
        <f t="shared" si="1"/>
        <v>0</v>
      </c>
      <c r="S3827" s="14" t="str">
        <f t="shared" si="2"/>
        <v>53.363924,58.981172</v>
      </c>
      <c r="T3827" s="12"/>
    </row>
    <row r="3828">
      <c r="A3828" s="15" t="s">
        <v>24627</v>
      </c>
      <c r="B3828" s="16" t="s">
        <v>516</v>
      </c>
      <c r="C3828" s="16" t="s">
        <v>517</v>
      </c>
      <c r="D3828" s="16" t="s">
        <v>16</v>
      </c>
      <c r="E3828" s="17" t="s">
        <v>24628</v>
      </c>
      <c r="F3828" s="16" t="s">
        <v>19948</v>
      </c>
      <c r="G3828" s="16">
        <v>23.61</v>
      </c>
      <c r="H3828" s="16"/>
      <c r="I3828" s="16"/>
      <c r="J3828" s="16" t="s">
        <v>24629</v>
      </c>
      <c r="K3828" s="16" t="s">
        <v>24630</v>
      </c>
      <c r="L3828" s="16"/>
      <c r="M3828" s="16"/>
      <c r="N3828" s="12"/>
      <c r="O3828" s="12"/>
      <c r="P3828" s="13">
        <f>IFERROR(__xludf.DUMMYFUNCTION("VALUE(SUBSTITUTE((INDEX(SPLIT(A3828,"",""),1)),""."","","",1))"),53.425941)</f>
        <v>53.425941</v>
      </c>
      <c r="Q3828" s="13">
        <f>IFERROR(__xludf.DUMMYFUNCTION("VALUE(SUBSTITUTE((INDEX(SPLIT(A3828,"",""),2)),""."","","",1))"),58.989625)</f>
        <v>58.989625</v>
      </c>
      <c r="R3828" s="14" t="b">
        <f t="shared" si="1"/>
        <v>0</v>
      </c>
      <c r="S3828" s="14" t="str">
        <f t="shared" si="2"/>
        <v>53.425941,58.989625</v>
      </c>
      <c r="T3828" s="12"/>
    </row>
    <row r="3829">
      <c r="A3829" s="18" t="s">
        <v>24631</v>
      </c>
      <c r="B3829" s="8" t="s">
        <v>24632</v>
      </c>
      <c r="C3829" s="8" t="s">
        <v>24633</v>
      </c>
      <c r="D3829" s="8" t="s">
        <v>16</v>
      </c>
      <c r="E3829" s="19" t="s">
        <v>24634</v>
      </c>
      <c r="F3829" s="8" t="s">
        <v>21049</v>
      </c>
      <c r="G3829" s="8">
        <v>23.61</v>
      </c>
      <c r="H3829" s="8"/>
      <c r="I3829" s="8"/>
      <c r="J3829" s="8" t="s">
        <v>24635</v>
      </c>
      <c r="K3829" s="8" t="s">
        <v>22088</v>
      </c>
      <c r="L3829" s="8"/>
      <c r="M3829" s="24" t="s">
        <v>22089</v>
      </c>
      <c r="N3829" s="12"/>
      <c r="O3829" s="12"/>
      <c r="P3829" s="13">
        <f>IFERROR(__xludf.DUMMYFUNCTION("VALUE(SUBSTITUTE((INDEX(SPLIT(A3829,"",""),1)),""."","","",1))"),53.360512)</f>
        <v>53.360512</v>
      </c>
      <c r="Q3829" s="13">
        <f>IFERROR(__xludf.DUMMYFUNCTION("VALUE(SUBSTITUTE((INDEX(SPLIT(A3829,"",""),2)),""."","","",1))"),58.9947)</f>
        <v>58.9947</v>
      </c>
      <c r="R3829" s="14" t="b">
        <f t="shared" si="1"/>
        <v>0</v>
      </c>
      <c r="S3829" s="14" t="str">
        <f t="shared" si="2"/>
        <v>53.360512,58.9947</v>
      </c>
      <c r="T3829" s="12"/>
    </row>
    <row r="3830">
      <c r="A3830" s="20" t="s">
        <v>24636</v>
      </c>
      <c r="B3830" s="16" t="s">
        <v>24637</v>
      </c>
      <c r="C3830" s="16" t="s">
        <v>24638</v>
      </c>
      <c r="D3830" s="16" t="s">
        <v>16</v>
      </c>
      <c r="E3830" s="21" t="s">
        <v>24639</v>
      </c>
      <c r="F3830" s="22" t="s">
        <v>19948</v>
      </c>
      <c r="G3830" s="16">
        <v>23.61</v>
      </c>
      <c r="H3830" s="16"/>
      <c r="I3830" s="22"/>
      <c r="J3830" s="22" t="s">
        <v>24640</v>
      </c>
      <c r="K3830" s="22" t="s">
        <v>24641</v>
      </c>
      <c r="L3830" s="23" t="s">
        <v>24642</v>
      </c>
      <c r="M3830" s="22"/>
      <c r="N3830" s="12"/>
      <c r="O3830" s="12"/>
      <c r="P3830" s="13">
        <f>IFERROR(__xludf.DUMMYFUNCTION("VALUE(SUBSTITUTE((INDEX(SPLIT(A3830,"",""),1)),""."","","",1))"),53.445065)</f>
        <v>53.445065</v>
      </c>
      <c r="Q3830" s="13">
        <f>IFERROR(__xludf.DUMMYFUNCTION("VALUE(SUBSTITUTE((INDEX(SPLIT(A3830,"",""),2)),""."","","",1))"),59.069135)</f>
        <v>59.069135</v>
      </c>
      <c r="R3830" s="14" t="b">
        <f t="shared" si="1"/>
        <v>0</v>
      </c>
      <c r="S3830" s="14" t="str">
        <f t="shared" si="2"/>
        <v>53.445065,59.069135</v>
      </c>
      <c r="T3830" s="12"/>
    </row>
    <row r="3831">
      <c r="A3831" s="7" t="s">
        <v>24643</v>
      </c>
      <c r="B3831" s="8" t="s">
        <v>24644</v>
      </c>
      <c r="C3831" s="8" t="s">
        <v>24645</v>
      </c>
      <c r="D3831" s="8" t="s">
        <v>16</v>
      </c>
      <c r="E3831" s="9" t="s">
        <v>24646</v>
      </c>
      <c r="F3831" s="10" t="s">
        <v>21049</v>
      </c>
      <c r="G3831" s="8">
        <v>23.61</v>
      </c>
      <c r="H3831" s="8"/>
      <c r="I3831" s="10"/>
      <c r="J3831" s="10" t="s">
        <v>24647</v>
      </c>
      <c r="K3831" s="10" t="s">
        <v>24648</v>
      </c>
      <c r="L3831" s="11" t="s">
        <v>24649</v>
      </c>
      <c r="M3831" s="10"/>
      <c r="N3831" s="12"/>
      <c r="O3831" s="12"/>
      <c r="P3831" s="13">
        <f>IFERROR(__xludf.DUMMYFUNCTION("VALUE(SUBSTITUTE((INDEX(SPLIT(A3831,"",""),1)),""."","","",1))"),53.384628)</f>
        <v>53.384628</v>
      </c>
      <c r="Q3831" s="13">
        <f>IFERROR(__xludf.DUMMYFUNCTION("VALUE(SUBSTITUTE((INDEX(SPLIT(A3831,"",""),2)),""."","","",1))"),59.096974)</f>
        <v>59.096974</v>
      </c>
      <c r="R3831" s="14" t="b">
        <f t="shared" si="1"/>
        <v>0</v>
      </c>
      <c r="S3831" s="14" t="str">
        <f t="shared" si="2"/>
        <v>53.384628,59.096974</v>
      </c>
      <c r="T3831" s="12"/>
    </row>
    <row r="3832">
      <c r="A3832" s="15" t="s">
        <v>24650</v>
      </c>
      <c r="B3832" s="16" t="s">
        <v>24651</v>
      </c>
      <c r="C3832" s="16" t="s">
        <v>24652</v>
      </c>
      <c r="D3832" s="16" t="s">
        <v>16</v>
      </c>
      <c r="E3832" s="17" t="s">
        <v>24653</v>
      </c>
      <c r="F3832" s="16" t="s">
        <v>19948</v>
      </c>
      <c r="G3832" s="16">
        <v>23.61</v>
      </c>
      <c r="H3832" s="16"/>
      <c r="I3832" s="16"/>
      <c r="J3832" s="16" t="s">
        <v>24654</v>
      </c>
      <c r="K3832" s="16" t="s">
        <v>24655</v>
      </c>
      <c r="L3832" s="16"/>
      <c r="M3832" s="16"/>
      <c r="N3832" s="12"/>
      <c r="O3832" s="12"/>
      <c r="P3832" s="13">
        <f>IFERROR(__xludf.DUMMYFUNCTION("VALUE(SUBSTITUTE((INDEX(SPLIT(A3832,"",""),1)),""."","","",1))"),53.404962)</f>
        <v>53.404962</v>
      </c>
      <c r="Q3832" s="13">
        <f>IFERROR(__xludf.DUMMYFUNCTION("VALUE(SUBSTITUTE((INDEX(SPLIT(A3832,"",""),2)),""."","","",1))"),59.11335)</f>
        <v>59.11335</v>
      </c>
      <c r="R3832" s="14" t="b">
        <f t="shared" si="1"/>
        <v>0</v>
      </c>
      <c r="S3832" s="14" t="str">
        <f t="shared" si="2"/>
        <v>53.404962,59.11335</v>
      </c>
      <c r="T3832" s="12"/>
    </row>
    <row r="3833">
      <c r="A3833" s="7" t="s">
        <v>24656</v>
      </c>
      <c r="B3833" s="8" t="s">
        <v>24657</v>
      </c>
      <c r="C3833" s="8" t="s">
        <v>24658</v>
      </c>
      <c r="D3833" s="8" t="s">
        <v>16</v>
      </c>
      <c r="E3833" s="9" t="s">
        <v>24659</v>
      </c>
      <c r="F3833" s="10" t="s">
        <v>21049</v>
      </c>
      <c r="G3833" s="8">
        <v>23.61</v>
      </c>
      <c r="H3833" s="8"/>
      <c r="I3833" s="10"/>
      <c r="J3833" s="10" t="s">
        <v>24660</v>
      </c>
      <c r="K3833" s="10" t="s">
        <v>24661</v>
      </c>
      <c r="L3833" s="11" t="s">
        <v>24662</v>
      </c>
      <c r="M3833" s="10"/>
      <c r="N3833" s="12"/>
      <c r="O3833" s="12"/>
      <c r="P3833" s="13">
        <f>IFERROR(__xludf.DUMMYFUNCTION("VALUE(SUBSTITUTE((INDEX(SPLIT(A3833,"",""),1)),""."","","",1))"),53.304227)</f>
        <v>53.304227</v>
      </c>
      <c r="Q3833" s="13">
        <f>IFERROR(__xludf.DUMMYFUNCTION("VALUE(SUBSTITUTE((INDEX(SPLIT(A3833,"",""),2)),""."","","",1))"),59.142743)</f>
        <v>59.142743</v>
      </c>
      <c r="R3833" s="14" t="b">
        <f t="shared" si="1"/>
        <v>0</v>
      </c>
      <c r="S3833" s="14" t="str">
        <f t="shared" si="2"/>
        <v>53.304227,59.142743</v>
      </c>
      <c r="T3833" s="12"/>
    </row>
    <row r="3834">
      <c r="A3834" s="15" t="s">
        <v>24663</v>
      </c>
      <c r="B3834" s="16" t="s">
        <v>24664</v>
      </c>
      <c r="C3834" s="16" t="s">
        <v>24665</v>
      </c>
      <c r="D3834" s="16" t="s">
        <v>16</v>
      </c>
      <c r="E3834" s="17" t="s">
        <v>24666</v>
      </c>
      <c r="F3834" s="16" t="s">
        <v>19948</v>
      </c>
      <c r="G3834" s="16">
        <v>23.61</v>
      </c>
      <c r="H3834" s="16"/>
      <c r="I3834" s="16"/>
      <c r="J3834" s="16" t="s">
        <v>24667</v>
      </c>
      <c r="K3834" s="16" t="s">
        <v>24668</v>
      </c>
      <c r="L3834" s="16"/>
      <c r="M3834" s="25" t="s">
        <v>24669</v>
      </c>
      <c r="N3834" s="12"/>
      <c r="O3834" s="12"/>
      <c r="P3834" s="13">
        <f>IFERROR(__xludf.DUMMYFUNCTION("VALUE(SUBSTITUTE((INDEX(SPLIT(A3834,"",""),1)),""."","","",1))"),53.888446)</f>
        <v>53.888446</v>
      </c>
      <c r="Q3834" s="13">
        <f>IFERROR(__xludf.DUMMYFUNCTION("VALUE(SUBSTITUTE((INDEX(SPLIT(A3834,"",""),2)),""."","","",1))"),59.229825)</f>
        <v>59.229825</v>
      </c>
      <c r="R3834" s="14" t="b">
        <f t="shared" si="1"/>
        <v>0</v>
      </c>
      <c r="S3834" s="14" t="str">
        <f t="shared" si="2"/>
        <v>53.888446,59.229825</v>
      </c>
      <c r="T3834" s="12"/>
    </row>
    <row r="3835">
      <c r="A3835" s="18" t="s">
        <v>24670</v>
      </c>
      <c r="B3835" s="8" t="s">
        <v>24671</v>
      </c>
      <c r="C3835" s="8" t="s">
        <v>24672</v>
      </c>
      <c r="D3835" s="8" t="s">
        <v>16</v>
      </c>
      <c r="E3835" s="19" t="s">
        <v>24673</v>
      </c>
      <c r="F3835" s="8" t="s">
        <v>21049</v>
      </c>
      <c r="G3835" s="8">
        <v>23.61</v>
      </c>
      <c r="H3835" s="8"/>
      <c r="I3835" s="8"/>
      <c r="J3835" s="8" t="s">
        <v>24674</v>
      </c>
      <c r="K3835" s="8" t="s">
        <v>24675</v>
      </c>
      <c r="L3835" s="8"/>
      <c r="M3835" s="8"/>
      <c r="N3835" s="12"/>
      <c r="O3835" s="12"/>
      <c r="P3835" s="13">
        <f>IFERROR(__xludf.DUMMYFUNCTION("VALUE(SUBSTITUTE((INDEX(SPLIT(A3835,"",""),1)),""."","","",1))"),54.142347)</f>
        <v>54.142347</v>
      </c>
      <c r="Q3835" s="13">
        <f>IFERROR(__xludf.DUMMYFUNCTION("VALUE(SUBSTITUTE((INDEX(SPLIT(A3835,"",""),2)),""."","","",1))"),59.370142)</f>
        <v>59.370142</v>
      </c>
      <c r="R3835" s="14" t="b">
        <f t="shared" si="1"/>
        <v>0</v>
      </c>
      <c r="S3835" s="14" t="str">
        <f t="shared" si="2"/>
        <v>54.142347,59.370142</v>
      </c>
      <c r="T3835" s="12"/>
    </row>
    <row r="3836">
      <c r="A3836" s="15" t="s">
        <v>24676</v>
      </c>
      <c r="B3836" s="16" t="s">
        <v>24677</v>
      </c>
      <c r="C3836" s="16" t="s">
        <v>24678</v>
      </c>
      <c r="D3836" s="16" t="s">
        <v>16</v>
      </c>
      <c r="E3836" s="17" t="s">
        <v>24679</v>
      </c>
      <c r="F3836" s="16" t="s">
        <v>19948</v>
      </c>
      <c r="G3836" s="16">
        <v>23.61</v>
      </c>
      <c r="H3836" s="16"/>
      <c r="I3836" s="16"/>
      <c r="J3836" s="16" t="s">
        <v>24680</v>
      </c>
      <c r="K3836" s="16" t="s">
        <v>24681</v>
      </c>
      <c r="L3836" s="16"/>
      <c r="M3836" s="16"/>
      <c r="N3836" s="12"/>
      <c r="O3836" s="12"/>
      <c r="P3836" s="13">
        <f>IFERROR(__xludf.DUMMYFUNCTION("VALUE(SUBSTITUTE((INDEX(SPLIT(A3836,"",""),1)),""."","","",1))"),53.328015)</f>
        <v>53.328015</v>
      </c>
      <c r="Q3836" s="13">
        <f>IFERROR(__xludf.DUMMYFUNCTION("VALUE(SUBSTITUTE((INDEX(SPLIT(A3836,"",""),2)),""."","","",1))"),59.440471)</f>
        <v>59.440471</v>
      </c>
      <c r="R3836" s="14" t="b">
        <f t="shared" si="1"/>
        <v>0</v>
      </c>
      <c r="S3836" s="14" t="str">
        <f t="shared" si="2"/>
        <v>53.328015,59.440471</v>
      </c>
      <c r="T3836" s="12"/>
    </row>
    <row r="3837">
      <c r="A3837" s="18" t="s">
        <v>24682</v>
      </c>
      <c r="B3837" s="8" t="s">
        <v>24683</v>
      </c>
      <c r="C3837" s="8" t="s">
        <v>24684</v>
      </c>
      <c r="D3837" s="8" t="s">
        <v>16</v>
      </c>
      <c r="E3837" s="19" t="s">
        <v>24685</v>
      </c>
      <c r="F3837" s="8" t="s">
        <v>21049</v>
      </c>
      <c r="G3837" s="8">
        <v>23.61</v>
      </c>
      <c r="H3837" s="8"/>
      <c r="I3837" s="8"/>
      <c r="J3837" s="8" t="s">
        <v>24686</v>
      </c>
      <c r="K3837" s="8" t="s">
        <v>24687</v>
      </c>
      <c r="L3837" s="8"/>
      <c r="M3837" s="8"/>
      <c r="N3837" s="12"/>
      <c r="O3837" s="12"/>
      <c r="P3837" s="13">
        <f>IFERROR(__xludf.DUMMYFUNCTION("VALUE(SUBSTITUTE((INDEX(SPLIT(A3837,"",""),1)),""."","","",1))"),58.70526)</f>
        <v>58.70526</v>
      </c>
      <c r="Q3837" s="13">
        <f>IFERROR(__xludf.DUMMYFUNCTION("VALUE(SUBSTITUTE((INDEX(SPLIT(A3837,"",""),2)),""."","","",1))"),59.485037)</f>
        <v>59.485037</v>
      </c>
      <c r="R3837" s="14" t="b">
        <f t="shared" si="1"/>
        <v>0</v>
      </c>
      <c r="S3837" s="14" t="str">
        <f t="shared" si="2"/>
        <v>58.70526,59.485037</v>
      </c>
      <c r="T3837" s="12"/>
    </row>
    <row r="3838">
      <c r="A3838" s="15" t="s">
        <v>24682</v>
      </c>
      <c r="B3838" s="16" t="s">
        <v>24688</v>
      </c>
      <c r="C3838" s="16" t="s">
        <v>24689</v>
      </c>
      <c r="D3838" s="16" t="s">
        <v>16</v>
      </c>
      <c r="E3838" s="17" t="s">
        <v>24690</v>
      </c>
      <c r="F3838" s="16" t="s">
        <v>23108</v>
      </c>
      <c r="G3838" s="16">
        <v>23.61</v>
      </c>
      <c r="H3838" s="16"/>
      <c r="I3838" s="16"/>
      <c r="J3838" s="16" t="s">
        <v>24691</v>
      </c>
      <c r="K3838" s="16" t="s">
        <v>24692</v>
      </c>
      <c r="L3838" s="16"/>
      <c r="M3838" s="25" t="s">
        <v>24693</v>
      </c>
      <c r="N3838" s="12"/>
      <c r="O3838" s="12"/>
      <c r="P3838" s="13">
        <f>IFERROR(__xludf.DUMMYFUNCTION("VALUE(SUBSTITUTE((INDEX(SPLIT(A3838,"",""),1)),""."","","",1))"),58.70526)</f>
        <v>58.70526</v>
      </c>
      <c r="Q3838" s="13">
        <f>IFERROR(__xludf.DUMMYFUNCTION("VALUE(SUBSTITUTE((INDEX(SPLIT(A3838,"",""),2)),""."","","",1))"),59.485037)</f>
        <v>59.485037</v>
      </c>
      <c r="R3838" s="14" t="b">
        <f t="shared" si="1"/>
        <v>0</v>
      </c>
      <c r="S3838" s="14" t="str">
        <f t="shared" si="2"/>
        <v>58.70526,59.485037</v>
      </c>
      <c r="T3838" s="12"/>
    </row>
    <row r="3839">
      <c r="A3839" s="7" t="s">
        <v>24694</v>
      </c>
      <c r="B3839" s="8" t="s">
        <v>24695</v>
      </c>
      <c r="C3839" s="8" t="s">
        <v>24696</v>
      </c>
      <c r="D3839" s="8" t="s">
        <v>16</v>
      </c>
      <c r="E3839" s="9" t="s">
        <v>24697</v>
      </c>
      <c r="F3839" s="10" t="s">
        <v>24698</v>
      </c>
      <c r="G3839" s="8">
        <v>23.61</v>
      </c>
      <c r="H3839" s="8"/>
      <c r="I3839" s="10"/>
      <c r="J3839" s="10" t="s">
        <v>24699</v>
      </c>
      <c r="K3839" s="10" t="s">
        <v>24700</v>
      </c>
      <c r="L3839" s="11" t="s">
        <v>24701</v>
      </c>
      <c r="M3839" s="10"/>
      <c r="N3839" s="12"/>
      <c r="O3839" s="12"/>
      <c r="P3839" s="13">
        <f>IFERROR(__xludf.DUMMYFUNCTION("VALUE(SUBSTITUTE((INDEX(SPLIT(A3839,"",""),1)),""."","","",1))"),58.691803)</f>
        <v>58.691803</v>
      </c>
      <c r="Q3839" s="13">
        <f>IFERROR(__xludf.DUMMYFUNCTION("VALUE(SUBSTITUTE((INDEX(SPLIT(A3839,"",""),2)),""."","","",1))"),59.494155)</f>
        <v>59.494155</v>
      </c>
      <c r="R3839" s="14" t="b">
        <f t="shared" si="1"/>
        <v>0</v>
      </c>
      <c r="S3839" s="14" t="str">
        <f t="shared" si="2"/>
        <v>58.691803,59.494155</v>
      </c>
      <c r="T3839" s="12"/>
    </row>
    <row r="3840">
      <c r="A3840" s="15" t="s">
        <v>24702</v>
      </c>
      <c r="B3840" s="16" t="s">
        <v>24703</v>
      </c>
      <c r="C3840" s="16" t="s">
        <v>24704</v>
      </c>
      <c r="D3840" s="16" t="s">
        <v>16</v>
      </c>
      <c r="E3840" s="17" t="s">
        <v>24705</v>
      </c>
      <c r="F3840" s="16" t="s">
        <v>10609</v>
      </c>
      <c r="G3840" s="16">
        <v>23.61</v>
      </c>
      <c r="H3840" s="16"/>
      <c r="I3840" s="16"/>
      <c r="J3840" s="16" t="s">
        <v>24706</v>
      </c>
      <c r="K3840" s="16" t="s">
        <v>24707</v>
      </c>
      <c r="L3840" s="16"/>
      <c r="M3840" s="16"/>
      <c r="N3840" s="12"/>
      <c r="O3840" s="12"/>
      <c r="P3840" s="13">
        <f>IFERROR(__xludf.DUMMYFUNCTION("VALUE(SUBSTITUTE((INDEX(SPLIT(A3840,"",""),1)),""."","","",1))"),59.535732)</f>
        <v>59.535732</v>
      </c>
      <c r="Q3840" s="13">
        <f>IFERROR(__xludf.DUMMYFUNCTION("VALUE(SUBSTITUTE((INDEX(SPLIT(A3840,"",""),2)),""."","","",1))"),150.811631)</f>
        <v>150.811631</v>
      </c>
      <c r="R3840" s="14" t="b">
        <f t="shared" si="1"/>
        <v>0</v>
      </c>
      <c r="S3840" s="14" t="str">
        <f t="shared" si="2"/>
        <v>59.535732,150.811631</v>
      </c>
      <c r="T3840" s="12"/>
    </row>
    <row r="3841">
      <c r="A3841" s="18" t="s">
        <v>24708</v>
      </c>
      <c r="B3841" s="8" t="s">
        <v>24709</v>
      </c>
      <c r="C3841" s="8" t="s">
        <v>24710</v>
      </c>
      <c r="D3841" s="8" t="s">
        <v>16</v>
      </c>
      <c r="E3841" s="19" t="s">
        <v>24711</v>
      </c>
      <c r="F3841" s="8" t="s">
        <v>19948</v>
      </c>
      <c r="G3841" s="8">
        <v>23.61</v>
      </c>
      <c r="H3841" s="8"/>
      <c r="I3841" s="8"/>
      <c r="J3841" s="8" t="s">
        <v>24712</v>
      </c>
      <c r="K3841" s="8" t="s">
        <v>24713</v>
      </c>
      <c r="L3841" s="8"/>
      <c r="M3841" s="8"/>
      <c r="N3841" s="12"/>
      <c r="O3841" s="12"/>
      <c r="P3841" s="13">
        <f>IFERROR(__xludf.DUMMYFUNCTION("VALUE(SUBSTITUTE((INDEX(SPLIT(A3841,"",""),1)),""."","","",1))"),59.548719)</f>
        <v>59.548719</v>
      </c>
      <c r="Q3841" s="13">
        <f>IFERROR(__xludf.DUMMYFUNCTION("VALUE(SUBSTITUTE((INDEX(SPLIT(A3841,"",""),2)),""."","","",1))"),150.788509)</f>
        <v>150.788509</v>
      </c>
      <c r="R3841" s="14" t="b">
        <f t="shared" si="1"/>
        <v>0</v>
      </c>
      <c r="S3841" s="14" t="str">
        <f t="shared" si="2"/>
        <v>59.548719,150.788509</v>
      </c>
      <c r="T3841" s="12"/>
    </row>
    <row r="3842">
      <c r="A3842" s="20" t="s">
        <v>24714</v>
      </c>
      <c r="B3842" s="16" t="s">
        <v>24715</v>
      </c>
      <c r="C3842" s="16" t="s">
        <v>24716</v>
      </c>
      <c r="D3842" s="16" t="s">
        <v>16</v>
      </c>
      <c r="E3842" s="21" t="s">
        <v>24717</v>
      </c>
      <c r="F3842" s="22" t="s">
        <v>19948</v>
      </c>
      <c r="G3842" s="16">
        <v>23.61</v>
      </c>
      <c r="H3842" s="16"/>
      <c r="I3842" s="22"/>
      <c r="J3842" s="22" t="s">
        <v>24718</v>
      </c>
      <c r="K3842" s="22" t="s">
        <v>24719</v>
      </c>
      <c r="L3842" s="23" t="s">
        <v>24720</v>
      </c>
      <c r="M3842" s="23" t="s">
        <v>24721</v>
      </c>
      <c r="N3842" s="12"/>
      <c r="O3842" s="12"/>
      <c r="P3842" s="13">
        <f>IFERROR(__xludf.DUMMYFUNCTION("VALUE(SUBSTITUTE((INDEX(SPLIT(A3842,"",""),1)),""."","","",1))"),59.553306)</f>
        <v>59.553306</v>
      </c>
      <c r="Q3842" s="13">
        <f>IFERROR(__xludf.DUMMYFUNCTION("VALUE(SUBSTITUTE((INDEX(SPLIT(A3842,"",""),2)),""."","","",1))"),150.802406)</f>
        <v>150.802406</v>
      </c>
      <c r="R3842" s="14" t="b">
        <f t="shared" si="1"/>
        <v>0</v>
      </c>
      <c r="S3842" s="14" t="str">
        <f t="shared" si="2"/>
        <v>59.553306,150.802406</v>
      </c>
      <c r="T3842" s="12"/>
    </row>
    <row r="3843">
      <c r="A3843" s="7" t="s">
        <v>24722</v>
      </c>
      <c r="B3843" s="8" t="s">
        <v>24723</v>
      </c>
      <c r="C3843" s="8" t="s">
        <v>24724</v>
      </c>
      <c r="D3843" s="8" t="s">
        <v>16</v>
      </c>
      <c r="E3843" s="9" t="s">
        <v>24725</v>
      </c>
      <c r="F3843" s="10" t="s">
        <v>23165</v>
      </c>
      <c r="G3843" s="8">
        <v>23.61</v>
      </c>
      <c r="H3843" s="8"/>
      <c r="I3843" s="10"/>
      <c r="J3843" s="10" t="s">
        <v>24726</v>
      </c>
      <c r="K3843" s="10" t="s">
        <v>24727</v>
      </c>
      <c r="L3843" s="11" t="s">
        <v>24728</v>
      </c>
      <c r="M3843" s="10"/>
      <c r="N3843" s="12"/>
      <c r="O3843" s="12"/>
      <c r="P3843" s="13">
        <f>IFERROR(__xludf.DUMMYFUNCTION("VALUE(SUBSTITUTE((INDEX(SPLIT(A3843,"",""),1)),""."","","",1))"),59.553311)</f>
        <v>59.553311</v>
      </c>
      <c r="Q3843" s="13">
        <f>IFERROR(__xludf.DUMMYFUNCTION("VALUE(SUBSTITUTE((INDEX(SPLIT(A3843,"",""),2)),""."","","",1))"),150.827451)</f>
        <v>150.827451</v>
      </c>
      <c r="R3843" s="14" t="b">
        <f t="shared" si="1"/>
        <v>0</v>
      </c>
      <c r="S3843" s="14" t="str">
        <f t="shared" si="2"/>
        <v>59.553311,150.827451</v>
      </c>
      <c r="T3843" s="12"/>
    </row>
    <row r="3844">
      <c r="A3844" s="20" t="s">
        <v>24729</v>
      </c>
      <c r="B3844" s="16" t="s">
        <v>24730</v>
      </c>
      <c r="C3844" s="16" t="s">
        <v>24731</v>
      </c>
      <c r="D3844" s="16" t="s">
        <v>16</v>
      </c>
      <c r="E3844" s="21" t="s">
        <v>24732</v>
      </c>
      <c r="F3844" s="22" t="s">
        <v>5142</v>
      </c>
      <c r="G3844" s="16">
        <v>23.61</v>
      </c>
      <c r="H3844" s="16"/>
      <c r="I3844" s="22"/>
      <c r="J3844" s="22" t="s">
        <v>24733</v>
      </c>
      <c r="K3844" s="22" t="s">
        <v>24734</v>
      </c>
      <c r="L3844" s="23" t="s">
        <v>24735</v>
      </c>
      <c r="M3844" s="22"/>
      <c r="N3844" s="12"/>
      <c r="O3844" s="12"/>
      <c r="P3844" s="13">
        <f>IFERROR(__xludf.DUMMYFUNCTION("VALUE(SUBSTITUTE((INDEX(SPLIT(A3844,"",""),1)),""."","","",1))"),56.054608)</f>
        <v>56.054608</v>
      </c>
      <c r="Q3844" s="13">
        <f>IFERROR(__xludf.DUMMYFUNCTION("VALUE(SUBSTITUTE((INDEX(SPLIT(A3844,"",""),2)),""."","","",1))"),59.600569)</f>
        <v>59.600569</v>
      </c>
      <c r="R3844" s="14" t="b">
        <f t="shared" si="1"/>
        <v>0</v>
      </c>
      <c r="S3844" s="14" t="str">
        <f t="shared" si="2"/>
        <v>56.054608,59.600569</v>
      </c>
      <c r="T3844" s="12"/>
    </row>
    <row r="3845">
      <c r="A3845" s="7" t="s">
        <v>24736</v>
      </c>
      <c r="B3845" s="8" t="s">
        <v>19199</v>
      </c>
      <c r="C3845" s="8" t="s">
        <v>19200</v>
      </c>
      <c r="D3845" s="8" t="s">
        <v>16</v>
      </c>
      <c r="E3845" s="9" t="s">
        <v>24737</v>
      </c>
      <c r="F3845" s="10" t="s">
        <v>17865</v>
      </c>
      <c r="G3845" s="8">
        <v>23.61</v>
      </c>
      <c r="H3845" s="8"/>
      <c r="I3845" s="10"/>
      <c r="J3845" s="10" t="s">
        <v>24738</v>
      </c>
      <c r="K3845" s="10" t="s">
        <v>24739</v>
      </c>
      <c r="L3845" s="11" t="s">
        <v>24740</v>
      </c>
      <c r="M3845" s="10"/>
      <c r="N3845" s="12"/>
      <c r="O3845" s="12"/>
      <c r="P3845" s="13">
        <f>IFERROR(__xludf.DUMMYFUNCTION("VALUE(SUBSTITUTE((INDEX(SPLIT(A3845,"",""),1)),""."","","",1))"),55.082529)</f>
        <v>55.082529</v>
      </c>
      <c r="Q3845" s="13">
        <f>IFERROR(__xludf.DUMMYFUNCTION("VALUE(SUBSTITUTE((INDEX(SPLIT(A3845,"",""),2)),""."","","",1))"),59.691353)</f>
        <v>59.691353</v>
      </c>
      <c r="R3845" s="14" t="b">
        <f t="shared" si="1"/>
        <v>0</v>
      </c>
      <c r="S3845" s="14" t="str">
        <f t="shared" si="2"/>
        <v>55.082529,59.691353</v>
      </c>
      <c r="T3845" s="12"/>
    </row>
    <row r="3846">
      <c r="A3846" s="15" t="s">
        <v>24741</v>
      </c>
      <c r="B3846" s="16" t="s">
        <v>24742</v>
      </c>
      <c r="C3846" s="16" t="s">
        <v>24743</v>
      </c>
      <c r="D3846" s="16" t="s">
        <v>16</v>
      </c>
      <c r="E3846" s="17" t="s">
        <v>24744</v>
      </c>
      <c r="F3846" s="16" t="s">
        <v>3760</v>
      </c>
      <c r="G3846" s="16">
        <v>23.61</v>
      </c>
      <c r="H3846" s="16"/>
      <c r="I3846" s="16"/>
      <c r="J3846" s="16" t="s">
        <v>24745</v>
      </c>
      <c r="K3846" s="16" t="s">
        <v>24746</v>
      </c>
      <c r="L3846" s="16"/>
      <c r="M3846" s="16"/>
      <c r="N3846" s="12"/>
      <c r="O3846" s="12"/>
      <c r="P3846" s="13">
        <f>IFERROR(__xludf.DUMMYFUNCTION("VALUE(SUBSTITUTE((INDEX(SPLIT(A3846,"",""),1)),""."","","",1))"),55.119208)</f>
        <v>55.119208</v>
      </c>
      <c r="Q3846" s="13">
        <f>IFERROR(__xludf.DUMMYFUNCTION("VALUE(SUBSTITUTE((INDEX(SPLIT(A3846,"",""),2)),""."","","",1))"),59.720674)</f>
        <v>59.720674</v>
      </c>
      <c r="R3846" s="14" t="b">
        <f t="shared" si="1"/>
        <v>0</v>
      </c>
      <c r="S3846" s="14" t="str">
        <f t="shared" si="2"/>
        <v>55.119208,59.720674</v>
      </c>
      <c r="T3846" s="12"/>
    </row>
    <row r="3847">
      <c r="A3847" s="7" t="s">
        <v>24747</v>
      </c>
      <c r="B3847" s="8" t="s">
        <v>24748</v>
      </c>
      <c r="C3847" s="8" t="s">
        <v>24749</v>
      </c>
      <c r="D3847" s="8" t="s">
        <v>16</v>
      </c>
      <c r="E3847" s="9" t="s">
        <v>24750</v>
      </c>
      <c r="F3847" s="10" t="s">
        <v>953</v>
      </c>
      <c r="G3847" s="8">
        <v>23.61</v>
      </c>
      <c r="H3847" s="8"/>
      <c r="I3847" s="10"/>
      <c r="J3847" s="10" t="s">
        <v>24751</v>
      </c>
      <c r="K3847" s="10" t="s">
        <v>24752</v>
      </c>
      <c r="L3847" s="11" t="s">
        <v>24753</v>
      </c>
      <c r="M3847" s="10"/>
      <c r="N3847" s="12"/>
      <c r="O3847" s="12"/>
      <c r="P3847" s="13">
        <f>IFERROR(__xludf.DUMMYFUNCTION("VALUE(SUBSTITUTE((INDEX(SPLIT(A3847,"",""),1)),""."","","",1))"),58.638033)</f>
        <v>58.638033</v>
      </c>
      <c r="Q3847" s="13">
        <f>IFERROR(__xludf.DUMMYFUNCTION("VALUE(SUBSTITUTE((INDEX(SPLIT(A3847,"",""),2)),""."","","",1))"),59.796474)</f>
        <v>59.796474</v>
      </c>
      <c r="R3847" s="14" t="b">
        <f t="shared" si="1"/>
        <v>0</v>
      </c>
      <c r="S3847" s="14" t="str">
        <f t="shared" si="2"/>
        <v>58.638033,59.796474</v>
      </c>
      <c r="T3847" s="12"/>
    </row>
    <row r="3848">
      <c r="A3848" s="15" t="s">
        <v>24754</v>
      </c>
      <c r="B3848" s="16" t="s">
        <v>24755</v>
      </c>
      <c r="C3848" s="16" t="s">
        <v>24756</v>
      </c>
      <c r="D3848" s="16" t="s">
        <v>16</v>
      </c>
      <c r="E3848" s="17" t="s">
        <v>24757</v>
      </c>
      <c r="F3848" s="16" t="s">
        <v>19948</v>
      </c>
      <c r="G3848" s="16">
        <v>23.61</v>
      </c>
      <c r="H3848" s="16"/>
      <c r="I3848" s="16"/>
      <c r="J3848" s="16" t="s">
        <v>24758</v>
      </c>
      <c r="K3848" s="16" t="s">
        <v>24759</v>
      </c>
      <c r="L3848" s="16"/>
      <c r="M3848" s="16"/>
      <c r="N3848" s="12"/>
      <c r="O3848" s="12"/>
      <c r="P3848" s="13">
        <f>IFERROR(__xludf.DUMMYFUNCTION("VALUE(SUBSTITUTE((INDEX(SPLIT(A3848,"",""),1)),""."","","",1))"),59.834406)</f>
        <v>59.834406</v>
      </c>
      <c r="Q3848" s="13">
        <f>IFERROR(__xludf.DUMMYFUNCTION("VALUE(SUBSTITUTE((INDEX(SPLIT(A3848,"",""),2)),""."","","",1))"),30.347112)</f>
        <v>30.347112</v>
      </c>
      <c r="R3848" s="14" t="b">
        <f t="shared" si="1"/>
        <v>0</v>
      </c>
      <c r="S3848" s="14" t="str">
        <f t="shared" si="2"/>
        <v>59.834406,30.347112</v>
      </c>
      <c r="T3848" s="12"/>
    </row>
    <row r="3849">
      <c r="A3849" s="18" t="s">
        <v>24760</v>
      </c>
      <c r="B3849" s="8" t="s">
        <v>24761</v>
      </c>
      <c r="C3849" s="8" t="s">
        <v>24762</v>
      </c>
      <c r="D3849" s="8" t="s">
        <v>16</v>
      </c>
      <c r="E3849" s="19" t="s">
        <v>24763</v>
      </c>
      <c r="F3849" s="8" t="s">
        <v>23108</v>
      </c>
      <c r="G3849" s="8">
        <v>23.61</v>
      </c>
      <c r="H3849" s="8"/>
      <c r="I3849" s="27" t="s">
        <v>24764</v>
      </c>
      <c r="J3849" s="8" t="s">
        <v>24765</v>
      </c>
      <c r="K3849" s="8" t="s">
        <v>24766</v>
      </c>
      <c r="L3849" s="8"/>
      <c r="M3849" s="8"/>
      <c r="N3849" s="12"/>
      <c r="O3849" s="12"/>
      <c r="P3849" s="13">
        <f>IFERROR(__xludf.DUMMYFUNCTION("VALUE(SUBSTITUTE((INDEX(SPLIT(A3849,"",""),1)),""."","","",1))"),56.790866)</f>
        <v>56.790866</v>
      </c>
      <c r="Q3849" s="13">
        <f>IFERROR(__xludf.DUMMYFUNCTION("VALUE(SUBSTITUTE((INDEX(SPLIT(A3849,"",""),2)),""."","","",1))"),59.909383)</f>
        <v>59.909383</v>
      </c>
      <c r="R3849" s="14" t="b">
        <f t="shared" si="1"/>
        <v>0</v>
      </c>
      <c r="S3849" s="14" t="str">
        <f t="shared" si="2"/>
        <v>56.790866,59.909383</v>
      </c>
      <c r="T3849" s="12"/>
    </row>
    <row r="3850">
      <c r="A3850" s="20" t="s">
        <v>24767</v>
      </c>
      <c r="B3850" s="16" t="s">
        <v>24768</v>
      </c>
      <c r="C3850" s="16" t="s">
        <v>24769</v>
      </c>
      <c r="D3850" s="16" t="s">
        <v>16</v>
      </c>
      <c r="E3850" s="21" t="s">
        <v>24770</v>
      </c>
      <c r="F3850" s="22" t="s">
        <v>23544</v>
      </c>
      <c r="G3850" s="16">
        <v>23.61</v>
      </c>
      <c r="H3850" s="16"/>
      <c r="I3850" s="22"/>
      <c r="J3850" s="22" t="s">
        <v>24771</v>
      </c>
      <c r="K3850" s="22" t="s">
        <v>24772</v>
      </c>
      <c r="L3850" s="23" t="s">
        <v>24773</v>
      </c>
      <c r="M3850" s="22"/>
      <c r="N3850" s="12"/>
      <c r="O3850" s="12"/>
      <c r="P3850" s="13">
        <f>IFERROR(__xludf.DUMMYFUNCTION("VALUE(SUBSTITUTE((INDEX(SPLIT(A3850,"",""),1)),""."","","",1))"),57.918989)</f>
        <v>57.918989</v>
      </c>
      <c r="Q3850" s="13">
        <f>IFERROR(__xludf.DUMMYFUNCTION("VALUE(SUBSTITUTE((INDEX(SPLIT(A3850,"",""),2)),""."","","",1))"),59.911674)</f>
        <v>59.911674</v>
      </c>
      <c r="R3850" s="14" t="b">
        <f t="shared" si="1"/>
        <v>0</v>
      </c>
      <c r="S3850" s="14" t="str">
        <f t="shared" si="2"/>
        <v>57.918989,59.911674</v>
      </c>
      <c r="T3850" s="12"/>
    </row>
    <row r="3851">
      <c r="A3851" s="7" t="s">
        <v>24774</v>
      </c>
      <c r="B3851" s="8" t="s">
        <v>24775</v>
      </c>
      <c r="C3851" s="8" t="s">
        <v>24776</v>
      </c>
      <c r="D3851" s="8" t="s">
        <v>16</v>
      </c>
      <c r="E3851" s="9" t="s">
        <v>24777</v>
      </c>
      <c r="F3851" s="10" t="s">
        <v>10609</v>
      </c>
      <c r="G3851" s="8">
        <v>23.61</v>
      </c>
      <c r="H3851" s="8"/>
      <c r="I3851" s="10"/>
      <c r="J3851" s="10" t="s">
        <v>24778</v>
      </c>
      <c r="K3851" s="10" t="s">
        <v>24779</v>
      </c>
      <c r="L3851" s="11" t="s">
        <v>24780</v>
      </c>
      <c r="M3851" s="11" t="s">
        <v>24781</v>
      </c>
      <c r="N3851" s="12"/>
      <c r="O3851" s="12"/>
      <c r="P3851" s="13">
        <f>IFERROR(__xludf.DUMMYFUNCTION("VALUE(SUBSTITUTE((INDEX(SPLIT(A3851,"",""),1)),""."","","",1))"),56.808649)</f>
        <v>56.808649</v>
      </c>
      <c r="Q3851" s="13">
        <f>IFERROR(__xludf.DUMMYFUNCTION("VALUE(SUBSTITUTE((INDEX(SPLIT(A3851,"",""),2)),""."","","",1))"),59.912698)</f>
        <v>59.912698</v>
      </c>
      <c r="R3851" s="14" t="b">
        <f t="shared" si="1"/>
        <v>0</v>
      </c>
      <c r="S3851" s="14" t="str">
        <f t="shared" si="2"/>
        <v>56.808649,59.912698</v>
      </c>
      <c r="T3851" s="12"/>
    </row>
    <row r="3852">
      <c r="A3852" s="15" t="s">
        <v>24782</v>
      </c>
      <c r="B3852" s="16" t="s">
        <v>20908</v>
      </c>
      <c r="C3852" s="16" t="s">
        <v>20909</v>
      </c>
      <c r="D3852" s="16" t="s">
        <v>16</v>
      </c>
      <c r="E3852" s="17" t="s">
        <v>24783</v>
      </c>
      <c r="F3852" s="16" t="s">
        <v>10609</v>
      </c>
      <c r="G3852" s="16">
        <v>23.61</v>
      </c>
      <c r="H3852" s="16"/>
      <c r="I3852" s="16"/>
      <c r="J3852" s="16" t="s">
        <v>24784</v>
      </c>
      <c r="K3852" s="16" t="s">
        <v>24785</v>
      </c>
      <c r="L3852" s="16"/>
      <c r="M3852" s="16"/>
      <c r="N3852" s="12"/>
      <c r="O3852" s="12"/>
      <c r="P3852" s="13">
        <f>IFERROR(__xludf.DUMMYFUNCTION("VALUE(SUBSTITUTE((INDEX(SPLIT(A3852,"",""),1)),""."","","",1))"),57.917727)</f>
        <v>57.917727</v>
      </c>
      <c r="Q3852" s="13">
        <f>IFERROR(__xludf.DUMMYFUNCTION("VALUE(SUBSTITUTE((INDEX(SPLIT(A3852,"",""),2)),""."","","",1))"),59.915626)</f>
        <v>59.915626</v>
      </c>
      <c r="R3852" s="14" t="b">
        <f t="shared" si="1"/>
        <v>0</v>
      </c>
      <c r="S3852" s="14" t="str">
        <f t="shared" si="2"/>
        <v>57.917727,59.915626</v>
      </c>
      <c r="T3852" s="12"/>
    </row>
    <row r="3853">
      <c r="A3853" s="18" t="s">
        <v>24786</v>
      </c>
      <c r="B3853" s="8" t="s">
        <v>24787</v>
      </c>
      <c r="C3853" s="8" t="s">
        <v>24788</v>
      </c>
      <c r="D3853" s="8" t="s">
        <v>16</v>
      </c>
      <c r="E3853" s="19" t="s">
        <v>24789</v>
      </c>
      <c r="F3853" s="8" t="s">
        <v>23108</v>
      </c>
      <c r="G3853" s="8">
        <v>23.61</v>
      </c>
      <c r="H3853" s="8"/>
      <c r="I3853" s="8"/>
      <c r="J3853" s="8" t="s">
        <v>24790</v>
      </c>
      <c r="K3853" s="8" t="s">
        <v>24791</v>
      </c>
      <c r="L3853" s="8"/>
      <c r="M3853" s="8"/>
      <c r="N3853" s="12"/>
      <c r="O3853" s="12"/>
      <c r="P3853" s="13">
        <f>IFERROR(__xludf.DUMMYFUNCTION("VALUE(SUBSTITUTE((INDEX(SPLIT(A3853,"",""),1)),""."","","",1))"),57.866473)</f>
        <v>57.866473</v>
      </c>
      <c r="Q3853" s="13">
        <f>IFERROR(__xludf.DUMMYFUNCTION("VALUE(SUBSTITUTE((INDEX(SPLIT(A3853,"",""),2)),""."","","",1))"),59.935183)</f>
        <v>59.935183</v>
      </c>
      <c r="R3853" s="14" t="b">
        <f t="shared" si="1"/>
        <v>0</v>
      </c>
      <c r="S3853" s="14" t="str">
        <f t="shared" si="2"/>
        <v>57.866473,59.935183</v>
      </c>
      <c r="T3853" s="12"/>
    </row>
    <row r="3854">
      <c r="A3854" s="15" t="s">
        <v>24792</v>
      </c>
      <c r="B3854" s="16" t="s">
        <v>24793</v>
      </c>
      <c r="C3854" s="16" t="s">
        <v>24794</v>
      </c>
      <c r="D3854" s="16" t="s">
        <v>16</v>
      </c>
      <c r="E3854" s="17" t="s">
        <v>24795</v>
      </c>
      <c r="F3854" s="16" t="s">
        <v>10609</v>
      </c>
      <c r="G3854" s="16">
        <v>23.61</v>
      </c>
      <c r="H3854" s="16"/>
      <c r="I3854" s="16"/>
      <c r="J3854" s="16" t="s">
        <v>24796</v>
      </c>
      <c r="K3854" s="16" t="s">
        <v>24797</v>
      </c>
      <c r="L3854" s="16"/>
      <c r="M3854" s="16"/>
      <c r="N3854" s="12"/>
      <c r="O3854" s="12"/>
      <c r="P3854" s="13">
        <f>IFERROR(__xludf.DUMMYFUNCTION("VALUE(SUBSTITUTE((INDEX(SPLIT(A3854,"",""),1)),""."","","",1))"),57.866981)</f>
        <v>57.866981</v>
      </c>
      <c r="Q3854" s="13">
        <f>IFERROR(__xludf.DUMMYFUNCTION("VALUE(SUBSTITUTE((INDEX(SPLIT(A3854,"",""),2)),""."","","",1))"),59.943932)</f>
        <v>59.943932</v>
      </c>
      <c r="R3854" s="14" t="b">
        <f t="shared" si="1"/>
        <v>0</v>
      </c>
      <c r="S3854" s="14" t="str">
        <f t="shared" si="2"/>
        <v>57.866981,59.943932</v>
      </c>
      <c r="T3854" s="12"/>
    </row>
    <row r="3855">
      <c r="A3855" s="7" t="s">
        <v>24792</v>
      </c>
      <c r="B3855" s="8" t="s">
        <v>24798</v>
      </c>
      <c r="C3855" s="8" t="s">
        <v>24799</v>
      </c>
      <c r="D3855" s="8" t="s">
        <v>16</v>
      </c>
      <c r="E3855" s="9" t="s">
        <v>24800</v>
      </c>
      <c r="F3855" s="10" t="s">
        <v>24801</v>
      </c>
      <c r="G3855" s="8">
        <v>23.61</v>
      </c>
      <c r="H3855" s="8"/>
      <c r="I3855" s="10"/>
      <c r="J3855" s="10" t="s">
        <v>24802</v>
      </c>
      <c r="K3855" s="10" t="s">
        <v>24803</v>
      </c>
      <c r="L3855" s="11" t="s">
        <v>24804</v>
      </c>
      <c r="M3855" s="10"/>
      <c r="N3855" s="12"/>
      <c r="O3855" s="12"/>
      <c r="P3855" s="13">
        <f>IFERROR(__xludf.DUMMYFUNCTION("VALUE(SUBSTITUTE((INDEX(SPLIT(A3855,"",""),1)),""."","","",1))"),57.866981)</f>
        <v>57.866981</v>
      </c>
      <c r="Q3855" s="13">
        <f>IFERROR(__xludf.DUMMYFUNCTION("VALUE(SUBSTITUTE((INDEX(SPLIT(A3855,"",""),2)),""."","","",1))"),59.943932)</f>
        <v>59.943932</v>
      </c>
      <c r="R3855" s="14" t="b">
        <f t="shared" si="1"/>
        <v>0</v>
      </c>
      <c r="S3855" s="14" t="str">
        <f t="shared" si="2"/>
        <v>57.866981,59.943932</v>
      </c>
      <c r="T3855" s="12"/>
    </row>
    <row r="3856">
      <c r="A3856" s="15" t="s">
        <v>24805</v>
      </c>
      <c r="B3856" s="16" t="s">
        <v>24806</v>
      </c>
      <c r="C3856" s="16" t="s">
        <v>24807</v>
      </c>
      <c r="D3856" s="16" t="s">
        <v>16</v>
      </c>
      <c r="E3856" s="17" t="s">
        <v>24808</v>
      </c>
      <c r="F3856" s="16" t="s">
        <v>13359</v>
      </c>
      <c r="G3856" s="16">
        <v>23.61</v>
      </c>
      <c r="H3856" s="16"/>
      <c r="I3856" s="16"/>
      <c r="J3856" s="16" t="s">
        <v>24809</v>
      </c>
      <c r="K3856" s="16" t="s">
        <v>24810</v>
      </c>
      <c r="L3856" s="16"/>
      <c r="M3856" s="16"/>
      <c r="N3856" s="12"/>
      <c r="O3856" s="12"/>
      <c r="P3856" s="13">
        <f>IFERROR(__xludf.DUMMYFUNCTION("VALUE(SUBSTITUTE((INDEX(SPLIT(A3856,"",""),1)),""."","","",1))"),57.925957)</f>
        <v>57.925957</v>
      </c>
      <c r="Q3856" s="13">
        <f>IFERROR(__xludf.DUMMYFUNCTION("VALUE(SUBSTITUTE((INDEX(SPLIT(A3856,"",""),2)),""."","","",1))"),59.949502)</f>
        <v>59.949502</v>
      </c>
      <c r="R3856" s="14" t="b">
        <f t="shared" si="1"/>
        <v>0</v>
      </c>
      <c r="S3856" s="14" t="str">
        <f t="shared" si="2"/>
        <v>57.925957,59.949502</v>
      </c>
      <c r="T3856" s="12"/>
    </row>
    <row r="3857">
      <c r="A3857" s="18" t="s">
        <v>24811</v>
      </c>
      <c r="B3857" s="8" t="s">
        <v>24812</v>
      </c>
      <c r="C3857" s="8" t="s">
        <v>24813</v>
      </c>
      <c r="D3857" s="8" t="s">
        <v>16</v>
      </c>
      <c r="E3857" s="19" t="s">
        <v>24814</v>
      </c>
      <c r="F3857" s="8" t="s">
        <v>3760</v>
      </c>
      <c r="G3857" s="8">
        <v>23.61</v>
      </c>
      <c r="H3857" s="8"/>
      <c r="I3857" s="8"/>
      <c r="J3857" s="8" t="s">
        <v>24815</v>
      </c>
      <c r="K3857" s="8" t="s">
        <v>24816</v>
      </c>
      <c r="L3857" s="8"/>
      <c r="M3857" s="8"/>
      <c r="N3857" s="12"/>
      <c r="O3857" s="12"/>
      <c r="P3857" s="13">
        <f>IFERROR(__xludf.DUMMYFUNCTION("VALUE(SUBSTITUTE((INDEX(SPLIT(A3857,"",""),1)),""."","","",1))"),57.875797)</f>
        <v>57.875797</v>
      </c>
      <c r="Q3857" s="13">
        <f>IFERROR(__xludf.DUMMYFUNCTION("VALUE(SUBSTITUTE((INDEX(SPLIT(A3857,"",""),2)),""."","","",1))"),59.955583)</f>
        <v>59.955583</v>
      </c>
      <c r="R3857" s="14" t="b">
        <f t="shared" si="1"/>
        <v>0</v>
      </c>
      <c r="S3857" s="14" t="str">
        <f t="shared" si="2"/>
        <v>57.875797,59.955583</v>
      </c>
      <c r="T3857" s="12"/>
    </row>
    <row r="3858">
      <c r="A3858" s="20" t="s">
        <v>24817</v>
      </c>
      <c r="B3858" s="16" t="s">
        <v>24818</v>
      </c>
      <c r="C3858" s="16" t="s">
        <v>24819</v>
      </c>
      <c r="D3858" s="16" t="s">
        <v>16</v>
      </c>
      <c r="E3858" s="21" t="s">
        <v>24820</v>
      </c>
      <c r="F3858" s="22" t="s">
        <v>23544</v>
      </c>
      <c r="G3858" s="16">
        <v>23.61</v>
      </c>
      <c r="H3858" s="16"/>
      <c r="I3858" s="22"/>
      <c r="J3858" s="22" t="s">
        <v>24821</v>
      </c>
      <c r="K3858" s="22" t="s">
        <v>24822</v>
      </c>
      <c r="L3858" s="23" t="s">
        <v>24823</v>
      </c>
      <c r="M3858" s="22"/>
      <c r="N3858" s="12"/>
      <c r="O3858" s="12"/>
      <c r="P3858" s="13">
        <f>IFERROR(__xludf.DUMMYFUNCTION("VALUE(SUBSTITUTE((INDEX(SPLIT(A3858,"",""),1)),""."","","",1))"),56.912552)</f>
        <v>56.912552</v>
      </c>
      <c r="Q3858" s="13">
        <f>IFERROR(__xludf.DUMMYFUNCTION("VALUE(SUBSTITUTE((INDEX(SPLIT(A3858,"",""),2)),""."","","",1))"),59.962626)</f>
        <v>59.962626</v>
      </c>
      <c r="R3858" s="14" t="b">
        <f t="shared" si="1"/>
        <v>0</v>
      </c>
      <c r="S3858" s="14" t="str">
        <f t="shared" si="2"/>
        <v>56.912552,59.962626</v>
      </c>
      <c r="T3858" s="12"/>
    </row>
    <row r="3859">
      <c r="A3859" s="18" t="s">
        <v>24824</v>
      </c>
      <c r="B3859" s="8" t="s">
        <v>24825</v>
      </c>
      <c r="C3859" s="8" t="s">
        <v>24826</v>
      </c>
      <c r="D3859" s="8" t="s">
        <v>16</v>
      </c>
      <c r="E3859" s="19" t="s">
        <v>24827</v>
      </c>
      <c r="F3859" s="8" t="s">
        <v>19948</v>
      </c>
      <c r="G3859" s="8">
        <v>23.61</v>
      </c>
      <c r="H3859" s="8"/>
      <c r="I3859" s="8"/>
      <c r="J3859" s="8" t="s">
        <v>24828</v>
      </c>
      <c r="K3859" s="8" t="s">
        <v>24829</v>
      </c>
      <c r="L3859" s="8"/>
      <c r="M3859" s="24" t="s">
        <v>24830</v>
      </c>
      <c r="N3859" s="12"/>
      <c r="O3859" s="12"/>
      <c r="P3859" s="13">
        <f>IFERROR(__xludf.DUMMYFUNCTION("VALUE(SUBSTITUTE((INDEX(SPLIT(A3859,"",""),1)),""."","","",1))"),57.88955)</f>
        <v>57.88955</v>
      </c>
      <c r="Q3859" s="13">
        <f>IFERROR(__xludf.DUMMYFUNCTION("VALUE(SUBSTITUTE((INDEX(SPLIT(A3859,"",""),2)),""."","","",1))"),59.974008)</f>
        <v>59.974008</v>
      </c>
      <c r="R3859" s="14" t="b">
        <f t="shared" si="1"/>
        <v>0</v>
      </c>
      <c r="S3859" s="14" t="str">
        <f t="shared" si="2"/>
        <v>57.88955,59.974008</v>
      </c>
      <c r="T3859" s="12"/>
    </row>
    <row r="3860">
      <c r="A3860" s="15" t="s">
        <v>24831</v>
      </c>
      <c r="B3860" s="16" t="s">
        <v>24832</v>
      </c>
      <c r="C3860" s="16" t="s">
        <v>24833</v>
      </c>
      <c r="D3860" s="16" t="s">
        <v>16</v>
      </c>
      <c r="E3860" s="17" t="s">
        <v>24834</v>
      </c>
      <c r="F3860" s="16" t="s">
        <v>19948</v>
      </c>
      <c r="G3860" s="16">
        <v>23.61</v>
      </c>
      <c r="H3860" s="16"/>
      <c r="I3860" s="16"/>
      <c r="J3860" s="16" t="s">
        <v>24835</v>
      </c>
      <c r="K3860" s="16" t="s">
        <v>24836</v>
      </c>
      <c r="L3860" s="16"/>
      <c r="M3860" s="25" t="s">
        <v>24837</v>
      </c>
      <c r="N3860" s="12"/>
      <c r="O3860" s="12"/>
      <c r="P3860" s="13">
        <f>IFERROR(__xludf.DUMMYFUNCTION("VALUE(SUBSTITUTE((INDEX(SPLIT(A3860,"",""),1)),""."","","",1))"),57.915542)</f>
        <v>57.915542</v>
      </c>
      <c r="Q3860" s="13">
        <f>IFERROR(__xludf.DUMMYFUNCTION("VALUE(SUBSTITUTE((INDEX(SPLIT(A3860,"",""),2)),""."","","",1))"),59.97832)</f>
        <v>59.97832</v>
      </c>
      <c r="R3860" s="14" t="b">
        <f t="shared" si="1"/>
        <v>0</v>
      </c>
      <c r="S3860" s="14" t="str">
        <f t="shared" si="2"/>
        <v>57.915542,59.97832</v>
      </c>
      <c r="T3860" s="12"/>
    </row>
    <row r="3861">
      <c r="A3861" s="7" t="s">
        <v>24838</v>
      </c>
      <c r="B3861" s="8" t="s">
        <v>24839</v>
      </c>
      <c r="C3861" s="8" t="s">
        <v>24840</v>
      </c>
      <c r="D3861" s="8" t="s">
        <v>16</v>
      </c>
      <c r="E3861" s="9" t="s">
        <v>24841</v>
      </c>
      <c r="F3861" s="10" t="s">
        <v>8566</v>
      </c>
      <c r="G3861" s="8">
        <v>23.61</v>
      </c>
      <c r="H3861" s="8"/>
      <c r="I3861" s="10"/>
      <c r="J3861" s="10" t="s">
        <v>24842</v>
      </c>
      <c r="K3861" s="10" t="s">
        <v>24843</v>
      </c>
      <c r="L3861" s="11" t="s">
        <v>24844</v>
      </c>
      <c r="M3861" s="10"/>
      <c r="N3861" s="12"/>
      <c r="O3861" s="12"/>
      <c r="P3861" s="13">
        <f>IFERROR(__xludf.DUMMYFUNCTION("VALUE(SUBSTITUTE((INDEX(SPLIT(A3861,"",""),1)),""."","","",1))"),54.923647)</f>
        <v>54.923647</v>
      </c>
      <c r="Q3861" s="13">
        <f>IFERROR(__xludf.DUMMYFUNCTION("VALUE(SUBSTITUTE((INDEX(SPLIT(A3861,"",""),2)),""."","","",1))"),59.997957)</f>
        <v>59.997957</v>
      </c>
      <c r="R3861" s="14" t="b">
        <f t="shared" si="1"/>
        <v>0</v>
      </c>
      <c r="S3861" s="14" t="str">
        <f t="shared" si="2"/>
        <v>54.923647,59.997957</v>
      </c>
      <c r="T3861" s="12"/>
    </row>
    <row r="3862">
      <c r="A3862" s="20" t="s">
        <v>24845</v>
      </c>
      <c r="B3862" s="16" t="s">
        <v>15191</v>
      </c>
      <c r="C3862" s="16" t="s">
        <v>15192</v>
      </c>
      <c r="D3862" s="16" t="s">
        <v>16</v>
      </c>
      <c r="E3862" s="21" t="s">
        <v>24846</v>
      </c>
      <c r="F3862" s="22" t="s">
        <v>10609</v>
      </c>
      <c r="G3862" s="16">
        <v>23.61</v>
      </c>
      <c r="H3862" s="16"/>
      <c r="I3862" s="22"/>
      <c r="J3862" s="22" t="s">
        <v>24847</v>
      </c>
      <c r="K3862" s="22" t="s">
        <v>24848</v>
      </c>
      <c r="L3862" s="23" t="s">
        <v>24849</v>
      </c>
      <c r="M3862" s="22"/>
      <c r="N3862" s="12"/>
      <c r="O3862" s="12"/>
      <c r="P3862" s="13">
        <f>IFERROR(__xludf.DUMMYFUNCTION("VALUE(SUBSTITUTE((INDEX(SPLIT(A3862,"",""),1)),""."","","",1))"),57.903717)</f>
        <v>57.903717</v>
      </c>
      <c r="Q3862" s="13">
        <f>IFERROR(__xludf.DUMMYFUNCTION("VALUE(SUBSTITUTE((INDEX(SPLIT(A3862,"",""),2)),""."","","",1))"),60.013102)</f>
        <v>60.013102</v>
      </c>
      <c r="R3862" s="14" t="b">
        <f t="shared" si="1"/>
        <v>0</v>
      </c>
      <c r="S3862" s="14" t="str">
        <f t="shared" si="2"/>
        <v>57.903717,60.013102</v>
      </c>
      <c r="T3862" s="12"/>
    </row>
    <row r="3863">
      <c r="A3863" s="7" t="s">
        <v>24850</v>
      </c>
      <c r="B3863" s="8" t="s">
        <v>24851</v>
      </c>
      <c r="C3863" s="8" t="s">
        <v>24852</v>
      </c>
      <c r="D3863" s="8" t="s">
        <v>16</v>
      </c>
      <c r="E3863" s="9" t="s">
        <v>24853</v>
      </c>
      <c r="F3863" s="10" t="s">
        <v>10609</v>
      </c>
      <c r="G3863" s="8">
        <v>23.61</v>
      </c>
      <c r="H3863" s="8"/>
      <c r="I3863" s="10"/>
      <c r="J3863" s="10" t="s">
        <v>24854</v>
      </c>
      <c r="K3863" s="10" t="s">
        <v>24855</v>
      </c>
      <c r="L3863" s="11" t="s">
        <v>24856</v>
      </c>
      <c r="M3863" s="10"/>
      <c r="N3863" s="12"/>
      <c r="O3863" s="12"/>
      <c r="P3863" s="13">
        <f>IFERROR(__xludf.DUMMYFUNCTION("VALUE(SUBSTITUTE((INDEX(SPLIT(A3863,"",""),1)),""."","","",1))"),57.24611)</f>
        <v>57.24611</v>
      </c>
      <c r="Q3863" s="13">
        <f>IFERROR(__xludf.DUMMYFUNCTION("VALUE(SUBSTITUTE((INDEX(SPLIT(A3863,"",""),2)),""."","","",1))"),60.053715)</f>
        <v>60.053715</v>
      </c>
      <c r="R3863" s="14" t="b">
        <f t="shared" si="1"/>
        <v>0</v>
      </c>
      <c r="S3863" s="14" t="str">
        <f t="shared" si="2"/>
        <v>57.24611,60.053715</v>
      </c>
      <c r="T3863" s="12"/>
    </row>
    <row r="3864">
      <c r="A3864" s="15" t="s">
        <v>24857</v>
      </c>
      <c r="B3864" s="16" t="s">
        <v>24858</v>
      </c>
      <c r="C3864" s="16" t="s">
        <v>24859</v>
      </c>
      <c r="D3864" s="16" t="s">
        <v>16</v>
      </c>
      <c r="E3864" s="17" t="s">
        <v>24860</v>
      </c>
      <c r="F3864" s="16" t="s">
        <v>10609</v>
      </c>
      <c r="G3864" s="16">
        <v>23.61</v>
      </c>
      <c r="H3864" s="16"/>
      <c r="I3864" s="16"/>
      <c r="J3864" s="16" t="s">
        <v>24861</v>
      </c>
      <c r="K3864" s="16" t="s">
        <v>24862</v>
      </c>
      <c r="L3864" s="16"/>
      <c r="M3864" s="16"/>
      <c r="N3864" s="12"/>
      <c r="O3864" s="12"/>
      <c r="P3864" s="13">
        <f>IFERROR(__xludf.DUMMYFUNCTION("VALUE(SUBSTITUTE((INDEX(SPLIT(A3864,"",""),1)),""."","","",1))"),57.93066)</f>
        <v>57.93066</v>
      </c>
      <c r="Q3864" s="13">
        <f>IFERROR(__xludf.DUMMYFUNCTION("VALUE(SUBSTITUTE((INDEX(SPLIT(A3864,"",""),2)),""."","","",1))"),60.058755)</f>
        <v>60.058755</v>
      </c>
      <c r="R3864" s="14" t="b">
        <f t="shared" si="1"/>
        <v>0</v>
      </c>
      <c r="S3864" s="14" t="str">
        <f t="shared" si="2"/>
        <v>57.93066,60.058755</v>
      </c>
      <c r="T3864" s="12"/>
    </row>
    <row r="3865">
      <c r="A3865" s="7" t="s">
        <v>24863</v>
      </c>
      <c r="B3865" s="8" t="s">
        <v>24864</v>
      </c>
      <c r="C3865" s="24" t="s">
        <v>24865</v>
      </c>
      <c r="D3865" s="8" t="s">
        <v>16</v>
      </c>
      <c r="E3865" s="9" t="s">
        <v>24866</v>
      </c>
      <c r="F3865" s="10" t="s">
        <v>6732</v>
      </c>
      <c r="G3865" s="8">
        <v>23.61</v>
      </c>
      <c r="H3865" s="8"/>
      <c r="I3865" s="10"/>
      <c r="J3865" s="10" t="s">
        <v>24867</v>
      </c>
      <c r="K3865" s="10" t="s">
        <v>24868</v>
      </c>
      <c r="L3865" s="11" t="s">
        <v>24869</v>
      </c>
      <c r="M3865" s="10"/>
      <c r="N3865" s="12"/>
      <c r="O3865" s="12"/>
      <c r="P3865" s="13">
        <f>IFERROR(__xludf.DUMMYFUNCTION("VALUE(SUBSTITUTE((INDEX(SPLIT(A3865,"",""),1)),""."","","",1))"),57.927664)</f>
        <v>57.927664</v>
      </c>
      <c r="Q3865" s="13">
        <f>IFERROR(__xludf.DUMMYFUNCTION("VALUE(SUBSTITUTE((INDEX(SPLIT(A3865,"",""),2)),""."","","",1))"),60.062914)</f>
        <v>60.062914</v>
      </c>
      <c r="R3865" s="14" t="b">
        <f t="shared" si="1"/>
        <v>0</v>
      </c>
      <c r="S3865" s="14" t="str">
        <f t="shared" si="2"/>
        <v>57.927664,60.062914</v>
      </c>
      <c r="T3865" s="12"/>
    </row>
    <row r="3866">
      <c r="A3866" s="15" t="s">
        <v>24870</v>
      </c>
      <c r="B3866" s="16" t="s">
        <v>24871</v>
      </c>
      <c r="C3866" s="16" t="s">
        <v>24872</v>
      </c>
      <c r="D3866" s="16" t="s">
        <v>16</v>
      </c>
      <c r="E3866" s="17" t="s">
        <v>24873</v>
      </c>
      <c r="F3866" s="16" t="s">
        <v>6732</v>
      </c>
      <c r="G3866" s="16">
        <v>23.61</v>
      </c>
      <c r="H3866" s="16"/>
      <c r="I3866" s="32" t="s">
        <v>24874</v>
      </c>
      <c r="J3866" s="16" t="s">
        <v>24875</v>
      </c>
      <c r="K3866" s="16" t="s">
        <v>24876</v>
      </c>
      <c r="L3866" s="16"/>
      <c r="M3866" s="25" t="s">
        <v>24877</v>
      </c>
      <c r="N3866" s="12"/>
      <c r="O3866" s="12"/>
      <c r="P3866" s="13">
        <f>IFERROR(__xludf.DUMMYFUNCTION("VALUE(SUBSTITUTE((INDEX(SPLIT(A3866,"",""),1)),""."","","",1))"),57.272519)</f>
        <v>57.272519</v>
      </c>
      <c r="Q3866" s="13">
        <f>IFERROR(__xludf.DUMMYFUNCTION("VALUE(SUBSTITUTE((INDEX(SPLIT(A3866,"",""),2)),""."","","",1))"),60.072706)</f>
        <v>60.072706</v>
      </c>
      <c r="R3866" s="14" t="b">
        <f t="shared" si="1"/>
        <v>0</v>
      </c>
      <c r="S3866" s="14" t="str">
        <f t="shared" si="2"/>
        <v>57.272519,60.072706</v>
      </c>
      <c r="T3866" s="12"/>
    </row>
    <row r="3867">
      <c r="A3867" s="7" t="s">
        <v>24878</v>
      </c>
      <c r="B3867" s="8" t="s">
        <v>4362</v>
      </c>
      <c r="C3867" s="8" t="s">
        <v>4363</v>
      </c>
      <c r="D3867" s="8" t="s">
        <v>16</v>
      </c>
      <c r="E3867" s="9" t="s">
        <v>24879</v>
      </c>
      <c r="F3867" s="10" t="s">
        <v>10609</v>
      </c>
      <c r="G3867" s="8">
        <v>23.61</v>
      </c>
      <c r="H3867" s="8"/>
      <c r="I3867" s="10"/>
      <c r="J3867" s="10" t="s">
        <v>24880</v>
      </c>
      <c r="K3867" s="10" t="s">
        <v>24881</v>
      </c>
      <c r="L3867" s="11" t="s">
        <v>24882</v>
      </c>
      <c r="M3867" s="10"/>
      <c r="N3867" s="12"/>
      <c r="O3867" s="12"/>
      <c r="P3867" s="13">
        <f>IFERROR(__xludf.DUMMYFUNCTION("VALUE(SUBSTITUTE((INDEX(SPLIT(A3867,"",""),1)),""."","","",1))"),54.923321)</f>
        <v>54.923321</v>
      </c>
      <c r="Q3867" s="13">
        <f>IFERROR(__xludf.DUMMYFUNCTION("VALUE(SUBSTITUTE((INDEX(SPLIT(A3867,"",""),2)),""."","","",1))"),60.081599)</f>
        <v>60.081599</v>
      </c>
      <c r="R3867" s="14" t="b">
        <f t="shared" si="1"/>
        <v>0</v>
      </c>
      <c r="S3867" s="14" t="str">
        <f t="shared" si="2"/>
        <v>54.923321,60.081599</v>
      </c>
      <c r="T3867" s="12"/>
    </row>
    <row r="3868">
      <c r="A3868" s="20" t="s">
        <v>24883</v>
      </c>
      <c r="B3868" s="16" t="s">
        <v>24884</v>
      </c>
      <c r="C3868" s="16" t="s">
        <v>24885</v>
      </c>
      <c r="D3868" s="16" t="s">
        <v>16</v>
      </c>
      <c r="E3868" s="21" t="s">
        <v>24886</v>
      </c>
      <c r="F3868" s="22" t="s">
        <v>6732</v>
      </c>
      <c r="G3868" s="16">
        <v>23.61</v>
      </c>
      <c r="H3868" s="16"/>
      <c r="I3868" s="22"/>
      <c r="J3868" s="22" t="s">
        <v>24887</v>
      </c>
      <c r="K3868" s="22" t="s">
        <v>24888</v>
      </c>
      <c r="L3868" s="23" t="s">
        <v>24889</v>
      </c>
      <c r="M3868" s="22"/>
      <c r="N3868" s="12"/>
      <c r="O3868" s="12"/>
      <c r="P3868" s="13">
        <f>IFERROR(__xludf.DUMMYFUNCTION("VALUE(SUBSTITUTE((INDEX(SPLIT(A3868,"",""),1)),""."","","",1))"),57.437894)</f>
        <v>57.437894</v>
      </c>
      <c r="Q3868" s="13">
        <f>IFERROR(__xludf.DUMMYFUNCTION("VALUE(SUBSTITUTE((INDEX(SPLIT(A3868,"",""),2)),""."","","",1))"),60.091094)</f>
        <v>60.091094</v>
      </c>
      <c r="R3868" s="14" t="b">
        <f t="shared" si="1"/>
        <v>0</v>
      </c>
      <c r="S3868" s="14" t="str">
        <f t="shared" si="2"/>
        <v>57.437894,60.091094</v>
      </c>
      <c r="T3868" s="12"/>
    </row>
    <row r="3869">
      <c r="A3869" s="18" t="s">
        <v>24890</v>
      </c>
      <c r="B3869" s="8" t="s">
        <v>24891</v>
      </c>
      <c r="C3869" s="8" t="s">
        <v>24892</v>
      </c>
      <c r="D3869" s="8" t="s">
        <v>16</v>
      </c>
      <c r="E3869" s="19" t="s">
        <v>24893</v>
      </c>
      <c r="F3869" s="8" t="s">
        <v>6732</v>
      </c>
      <c r="G3869" s="8">
        <v>23.61</v>
      </c>
      <c r="H3869" s="8"/>
      <c r="I3869" s="8"/>
      <c r="J3869" s="8" t="s">
        <v>24894</v>
      </c>
      <c r="K3869" s="8" t="s">
        <v>24895</v>
      </c>
      <c r="L3869" s="8"/>
      <c r="M3869" s="8"/>
      <c r="N3869" s="12"/>
      <c r="O3869" s="12"/>
      <c r="P3869" s="13">
        <f>IFERROR(__xludf.DUMMYFUNCTION("VALUE(SUBSTITUTE((INDEX(SPLIT(A3869,"",""),1)),""."","","",1))"),57.915953)</f>
        <v>57.915953</v>
      </c>
      <c r="Q3869" s="13">
        <f>IFERROR(__xludf.DUMMYFUNCTION("VALUE(SUBSTITUTE((INDEX(SPLIT(A3869,"",""),2)),""."","","",1))"),60.094966)</f>
        <v>60.094966</v>
      </c>
      <c r="R3869" s="14" t="b">
        <f t="shared" si="1"/>
        <v>0</v>
      </c>
      <c r="S3869" s="14" t="str">
        <f t="shared" si="2"/>
        <v>57.915953,60.094966</v>
      </c>
      <c r="T3869" s="12"/>
    </row>
    <row r="3870">
      <c r="A3870" s="20" t="s">
        <v>24896</v>
      </c>
      <c r="B3870" s="16" t="s">
        <v>24897</v>
      </c>
      <c r="C3870" s="16" t="s">
        <v>24898</v>
      </c>
      <c r="D3870" s="16" t="s">
        <v>16</v>
      </c>
      <c r="E3870" s="21" t="s">
        <v>24899</v>
      </c>
      <c r="F3870" s="22" t="s">
        <v>10609</v>
      </c>
      <c r="G3870" s="16">
        <v>23.61</v>
      </c>
      <c r="H3870" s="16"/>
      <c r="I3870" s="22"/>
      <c r="J3870" s="22" t="s">
        <v>24900</v>
      </c>
      <c r="K3870" s="22" t="s">
        <v>24901</v>
      </c>
      <c r="L3870" s="23" t="s">
        <v>24902</v>
      </c>
      <c r="M3870" s="22"/>
      <c r="N3870" s="12"/>
      <c r="O3870" s="12"/>
      <c r="P3870" s="13">
        <f>IFERROR(__xludf.DUMMYFUNCTION("VALUE(SUBSTITUTE((INDEX(SPLIT(A3870,"",""),1)),""."","","",1))"),55.044846)</f>
        <v>55.044846</v>
      </c>
      <c r="Q3870" s="13">
        <f>IFERROR(__xludf.DUMMYFUNCTION("VALUE(SUBSTITUTE((INDEX(SPLIT(A3870,"",""),2)),""."","","",1))"),60.09555)</f>
        <v>60.09555</v>
      </c>
      <c r="R3870" s="14" t="b">
        <f t="shared" si="1"/>
        <v>0</v>
      </c>
      <c r="S3870" s="14" t="str">
        <f t="shared" si="2"/>
        <v>55.044846,60.09555</v>
      </c>
      <c r="T3870" s="12"/>
    </row>
    <row r="3871">
      <c r="A3871" s="18" t="s">
        <v>24903</v>
      </c>
      <c r="B3871" s="8" t="s">
        <v>24904</v>
      </c>
      <c r="C3871" s="8" t="s">
        <v>24905</v>
      </c>
      <c r="D3871" s="8" t="s">
        <v>16</v>
      </c>
      <c r="E3871" s="19" t="s">
        <v>24906</v>
      </c>
      <c r="F3871" s="8" t="s">
        <v>10609</v>
      </c>
      <c r="G3871" s="8">
        <v>23.61</v>
      </c>
      <c r="H3871" s="8"/>
      <c r="I3871" s="8"/>
      <c r="J3871" s="8" t="s">
        <v>24907</v>
      </c>
      <c r="K3871" s="8" t="s">
        <v>24908</v>
      </c>
      <c r="L3871" s="8"/>
      <c r="M3871" s="24" t="s">
        <v>24909</v>
      </c>
      <c r="N3871" s="12"/>
      <c r="O3871" s="12"/>
      <c r="P3871" s="13">
        <f>IFERROR(__xludf.DUMMYFUNCTION("VALUE(SUBSTITUTE((INDEX(SPLIT(A3871,"",""),1)),""."","","",1))"),55.073778)</f>
        <v>55.073778</v>
      </c>
      <c r="Q3871" s="13">
        <f>IFERROR(__xludf.DUMMYFUNCTION("VALUE(SUBSTITUTE((INDEX(SPLIT(A3871,"",""),2)),""."","","",1))"),60.09731)</f>
        <v>60.09731</v>
      </c>
      <c r="R3871" s="14" t="b">
        <f t="shared" si="1"/>
        <v>0</v>
      </c>
      <c r="S3871" s="14" t="str">
        <f t="shared" si="2"/>
        <v>55.073778,60.09731</v>
      </c>
      <c r="T3871" s="12"/>
    </row>
    <row r="3872">
      <c r="A3872" s="20" t="s">
        <v>24910</v>
      </c>
      <c r="B3872" s="16" t="s">
        <v>24911</v>
      </c>
      <c r="C3872" s="16" t="s">
        <v>24912</v>
      </c>
      <c r="D3872" s="16" t="s">
        <v>16</v>
      </c>
      <c r="E3872" s="21" t="s">
        <v>24913</v>
      </c>
      <c r="F3872" s="22" t="s">
        <v>23544</v>
      </c>
      <c r="G3872" s="16">
        <v>23.61</v>
      </c>
      <c r="H3872" s="16"/>
      <c r="I3872" s="22"/>
      <c r="J3872" s="22" t="s">
        <v>24914</v>
      </c>
      <c r="K3872" s="22" t="s">
        <v>24915</v>
      </c>
      <c r="L3872" s="23" t="s">
        <v>24916</v>
      </c>
      <c r="M3872" s="22"/>
      <c r="N3872" s="12"/>
      <c r="O3872" s="12"/>
      <c r="P3872" s="13">
        <f>IFERROR(__xludf.DUMMYFUNCTION("VALUE(SUBSTITUTE((INDEX(SPLIT(A3872,"",""),1)),""."","","",1))"),55.039827)</f>
        <v>55.039827</v>
      </c>
      <c r="Q3872" s="13">
        <f>IFERROR(__xludf.DUMMYFUNCTION("VALUE(SUBSTITUTE((INDEX(SPLIT(A3872,"",""),2)),""."","","",1))"),60.113938)</f>
        <v>60.113938</v>
      </c>
      <c r="R3872" s="14" t="b">
        <f t="shared" si="1"/>
        <v>0</v>
      </c>
      <c r="S3872" s="14" t="str">
        <f t="shared" si="2"/>
        <v>55.039827,60.113938</v>
      </c>
      <c r="T3872" s="12"/>
    </row>
    <row r="3873">
      <c r="A3873" s="7" t="s">
        <v>24917</v>
      </c>
      <c r="B3873" s="8" t="s">
        <v>24918</v>
      </c>
      <c r="C3873" s="8" t="s">
        <v>24919</v>
      </c>
      <c r="D3873" s="8" t="s">
        <v>16</v>
      </c>
      <c r="E3873" s="9" t="s">
        <v>24920</v>
      </c>
      <c r="F3873" s="10" t="s">
        <v>19948</v>
      </c>
      <c r="G3873" s="8">
        <v>23.61</v>
      </c>
      <c r="H3873" s="8"/>
      <c r="I3873" s="31" t="s">
        <v>24921</v>
      </c>
      <c r="J3873" s="10" t="s">
        <v>24922</v>
      </c>
      <c r="K3873" s="10" t="s">
        <v>24923</v>
      </c>
      <c r="L3873" s="11" t="s">
        <v>24924</v>
      </c>
      <c r="M3873" s="11" t="s">
        <v>24925</v>
      </c>
      <c r="N3873" s="12"/>
      <c r="O3873" s="12"/>
      <c r="P3873" s="13">
        <f>IFERROR(__xludf.DUMMYFUNCTION("VALUE(SUBSTITUTE((INDEX(SPLIT(A3873,"",""),1)),""."","","",1))"),55.133076)</f>
        <v>55.133076</v>
      </c>
      <c r="Q3873" s="13">
        <f>IFERROR(__xludf.DUMMYFUNCTION("VALUE(SUBSTITUTE((INDEX(SPLIT(A3873,"",""),2)),""."","","",1))"),60.147688)</f>
        <v>60.147688</v>
      </c>
      <c r="R3873" s="14" t="b">
        <f t="shared" si="1"/>
        <v>0</v>
      </c>
      <c r="S3873" s="14" t="str">
        <f t="shared" si="2"/>
        <v>55.133076,60.147688</v>
      </c>
      <c r="T3873" s="12"/>
    </row>
    <row r="3874">
      <c r="A3874" s="15" t="s">
        <v>24926</v>
      </c>
      <c r="B3874" s="16" t="s">
        <v>24927</v>
      </c>
      <c r="C3874" s="16" t="s">
        <v>24892</v>
      </c>
      <c r="D3874" s="16" t="s">
        <v>16</v>
      </c>
      <c r="E3874" s="17" t="s">
        <v>24928</v>
      </c>
      <c r="F3874" s="16" t="s">
        <v>6732</v>
      </c>
      <c r="G3874" s="16">
        <v>23.61</v>
      </c>
      <c r="H3874" s="16"/>
      <c r="I3874" s="16"/>
      <c r="J3874" s="16" t="s">
        <v>24929</v>
      </c>
      <c r="K3874" s="16" t="s">
        <v>24930</v>
      </c>
      <c r="L3874" s="16"/>
      <c r="M3874" s="25" t="s">
        <v>24931</v>
      </c>
      <c r="N3874" s="12"/>
      <c r="O3874" s="12"/>
      <c r="P3874" s="13">
        <f>IFERROR(__xludf.DUMMYFUNCTION("VALUE(SUBSTITUTE((INDEX(SPLIT(A3874,"",""),1)),""."","","",1))"),60.164271)</f>
        <v>60.164271</v>
      </c>
      <c r="Q3874" s="13">
        <f>IFERROR(__xludf.DUMMYFUNCTION("VALUE(SUBSTITUTE((INDEX(SPLIT(A3874,"",""),2)),""."","","",1))"),66.040607)</f>
        <v>66.040607</v>
      </c>
      <c r="R3874" s="14" t="b">
        <f t="shared" si="1"/>
        <v>0</v>
      </c>
      <c r="S3874" s="14" t="str">
        <f t="shared" si="2"/>
        <v>60.164271,66.040607</v>
      </c>
      <c r="T3874" s="12"/>
    </row>
    <row r="3875">
      <c r="A3875" s="7" t="s">
        <v>24932</v>
      </c>
      <c r="B3875" s="8" t="s">
        <v>13209</v>
      </c>
      <c r="C3875" s="8" t="s">
        <v>13210</v>
      </c>
      <c r="D3875" s="8" t="s">
        <v>16</v>
      </c>
      <c r="E3875" s="9" t="s">
        <v>24933</v>
      </c>
      <c r="F3875" s="10" t="s">
        <v>17780</v>
      </c>
      <c r="G3875" s="8">
        <v>23.61</v>
      </c>
      <c r="H3875" s="8"/>
      <c r="I3875" s="10"/>
      <c r="J3875" s="10" t="s">
        <v>24934</v>
      </c>
      <c r="K3875" s="10" t="s">
        <v>24935</v>
      </c>
      <c r="L3875" s="11" t="s">
        <v>24936</v>
      </c>
      <c r="M3875" s="10"/>
      <c r="N3875" s="12"/>
      <c r="O3875" s="12"/>
      <c r="P3875" s="13">
        <f>IFERROR(__xludf.DUMMYFUNCTION("VALUE(SUBSTITUTE((INDEX(SPLIT(A3875,"",""),1)),""."","","",1))"),56.71793)</f>
        <v>56.71793</v>
      </c>
      <c r="Q3875" s="13">
        <f>IFERROR(__xludf.DUMMYFUNCTION("VALUE(SUBSTITUTE((INDEX(SPLIT(A3875,"",""),2)),""."","","",1))"),60.273713)</f>
        <v>60.273713</v>
      </c>
      <c r="R3875" s="14" t="b">
        <f t="shared" si="1"/>
        <v>0</v>
      </c>
      <c r="S3875" s="14" t="str">
        <f t="shared" si="2"/>
        <v>56.71793,60.273713</v>
      </c>
      <c r="T3875" s="12"/>
    </row>
    <row r="3876">
      <c r="A3876" s="15" t="s">
        <v>24937</v>
      </c>
      <c r="B3876" s="16" t="s">
        <v>24938</v>
      </c>
      <c r="C3876" s="16" t="s">
        <v>24939</v>
      </c>
      <c r="D3876" s="16" t="s">
        <v>16</v>
      </c>
      <c r="E3876" s="17" t="s">
        <v>24940</v>
      </c>
      <c r="F3876" s="16" t="s">
        <v>19948</v>
      </c>
      <c r="G3876" s="16">
        <v>23.61</v>
      </c>
      <c r="H3876" s="16"/>
      <c r="I3876" s="16"/>
      <c r="J3876" s="16" t="s">
        <v>24941</v>
      </c>
      <c r="K3876" s="16" t="s">
        <v>24942</v>
      </c>
      <c r="L3876" s="16"/>
      <c r="M3876" s="25" t="s">
        <v>24943</v>
      </c>
      <c r="N3876" s="12"/>
      <c r="O3876" s="12"/>
      <c r="P3876" s="13">
        <f>IFERROR(__xludf.DUMMYFUNCTION("VALUE(SUBSTITUTE((INDEX(SPLIT(A3876,"",""),1)),""."","","",1))"),56.642609)</f>
        <v>56.642609</v>
      </c>
      <c r="Q3876" s="13">
        <f>IFERROR(__xludf.DUMMYFUNCTION("VALUE(SUBSTITUTE((INDEX(SPLIT(A3876,"",""),2)),""."","","",1))"),60.390107)</f>
        <v>60.390107</v>
      </c>
      <c r="R3876" s="14" t="b">
        <f t="shared" si="1"/>
        <v>0</v>
      </c>
      <c r="S3876" s="14" t="str">
        <f t="shared" si="2"/>
        <v>56.642609,60.390107</v>
      </c>
      <c r="T3876" s="12"/>
    </row>
    <row r="3877">
      <c r="A3877" s="18" t="s">
        <v>24944</v>
      </c>
      <c r="B3877" s="8" t="s">
        <v>24945</v>
      </c>
      <c r="C3877" s="8" t="s">
        <v>24946</v>
      </c>
      <c r="D3877" s="8" t="s">
        <v>16</v>
      </c>
      <c r="E3877" s="19" t="s">
        <v>24947</v>
      </c>
      <c r="F3877" s="8" t="s">
        <v>6732</v>
      </c>
      <c r="G3877" s="8">
        <v>23.61</v>
      </c>
      <c r="H3877" s="8"/>
      <c r="I3877" s="8"/>
      <c r="J3877" s="8" t="s">
        <v>24948</v>
      </c>
      <c r="K3877" s="8" t="s">
        <v>24949</v>
      </c>
      <c r="L3877" s="8"/>
      <c r="M3877" s="8"/>
      <c r="N3877" s="12"/>
      <c r="O3877" s="12"/>
      <c r="P3877" s="13">
        <f>IFERROR(__xludf.DUMMYFUNCTION("VALUE(SUBSTITUTE((INDEX(SPLIT(A3877,"",""),1)),""."","","",1))"),56.996475)</f>
        <v>56.996475</v>
      </c>
      <c r="Q3877" s="13">
        <f>IFERROR(__xludf.DUMMYFUNCTION("VALUE(SUBSTITUTE((INDEX(SPLIT(A3877,"",""),2)),""."","","",1))"),60.463455)</f>
        <v>60.463455</v>
      </c>
      <c r="R3877" s="14" t="b">
        <f t="shared" si="1"/>
        <v>0</v>
      </c>
      <c r="S3877" s="14" t="str">
        <f t="shared" si="2"/>
        <v>56.996475,60.463455</v>
      </c>
      <c r="T3877" s="12"/>
    </row>
    <row r="3878">
      <c r="A3878" s="15" t="s">
        <v>24950</v>
      </c>
      <c r="B3878" s="16" t="s">
        <v>24951</v>
      </c>
      <c r="C3878" s="16" t="s">
        <v>24952</v>
      </c>
      <c r="D3878" s="16" t="s">
        <v>16</v>
      </c>
      <c r="E3878" s="17" t="s">
        <v>24953</v>
      </c>
      <c r="F3878" s="16" t="s">
        <v>19948</v>
      </c>
      <c r="G3878" s="16">
        <v>23.61</v>
      </c>
      <c r="H3878" s="16"/>
      <c r="I3878" s="16"/>
      <c r="J3878" s="16" t="s">
        <v>24954</v>
      </c>
      <c r="K3878" s="16" t="s">
        <v>24955</v>
      </c>
      <c r="L3878" s="16"/>
      <c r="M3878" s="16"/>
      <c r="N3878" s="12"/>
      <c r="O3878" s="12"/>
      <c r="P3878" s="13">
        <f>IFERROR(__xludf.DUMMYFUNCTION("VALUE(SUBSTITUTE((INDEX(SPLIT(A3878,"",""),1)),""."","","",1))"),56.995862)</f>
        <v>56.995862</v>
      </c>
      <c r="Q3878" s="13">
        <f>IFERROR(__xludf.DUMMYFUNCTION("VALUE(SUBSTITUTE((INDEX(SPLIT(A3878,"",""),2)),""."","","",1))"),60.464632)</f>
        <v>60.464632</v>
      </c>
      <c r="R3878" s="14" t="b">
        <f t="shared" si="1"/>
        <v>0</v>
      </c>
      <c r="S3878" s="14" t="str">
        <f t="shared" si="2"/>
        <v>56.995862,60.464632</v>
      </c>
      <c r="T3878" s="12"/>
    </row>
    <row r="3879">
      <c r="A3879" s="18" t="s">
        <v>24956</v>
      </c>
      <c r="B3879" s="8" t="s">
        <v>24957</v>
      </c>
      <c r="C3879" s="8" t="s">
        <v>24958</v>
      </c>
      <c r="D3879" s="8" t="s">
        <v>16</v>
      </c>
      <c r="E3879" s="19" t="s">
        <v>24959</v>
      </c>
      <c r="F3879" s="8" t="s">
        <v>19948</v>
      </c>
      <c r="G3879" s="8">
        <v>23.61</v>
      </c>
      <c r="H3879" s="8"/>
      <c r="I3879" s="8"/>
      <c r="J3879" s="8" t="s">
        <v>24960</v>
      </c>
      <c r="K3879" s="8" t="s">
        <v>24961</v>
      </c>
      <c r="L3879" s="8"/>
      <c r="M3879" s="8"/>
      <c r="N3879" s="12"/>
      <c r="O3879" s="12"/>
      <c r="P3879" s="13">
        <f>IFERROR(__xludf.DUMMYFUNCTION("VALUE(SUBSTITUTE((INDEX(SPLIT(A3879,"",""),1)),""."","","",1))"),56.886145)</f>
        <v>56.886145</v>
      </c>
      <c r="Q3879" s="13">
        <f>IFERROR(__xludf.DUMMYFUNCTION("VALUE(SUBSTITUTE((INDEX(SPLIT(A3879,"",""),2)),""."","","",1))"),60.495659)</f>
        <v>60.495659</v>
      </c>
      <c r="R3879" s="14" t="b">
        <f t="shared" si="1"/>
        <v>0</v>
      </c>
      <c r="S3879" s="14" t="str">
        <f t="shared" si="2"/>
        <v>56.886145,60.495659</v>
      </c>
      <c r="T3879" s="12"/>
    </row>
    <row r="3880">
      <c r="A3880" s="15" t="s">
        <v>24962</v>
      </c>
      <c r="B3880" s="16" t="s">
        <v>17096</v>
      </c>
      <c r="C3880" s="16" t="s">
        <v>17097</v>
      </c>
      <c r="D3880" s="16" t="s">
        <v>16</v>
      </c>
      <c r="E3880" s="17" t="s">
        <v>24963</v>
      </c>
      <c r="F3880" s="16" t="s">
        <v>20160</v>
      </c>
      <c r="G3880" s="16">
        <v>23.61</v>
      </c>
      <c r="H3880" s="16"/>
      <c r="I3880" s="16"/>
      <c r="J3880" s="16" t="s">
        <v>24964</v>
      </c>
      <c r="K3880" s="16" t="s">
        <v>24965</v>
      </c>
      <c r="L3880" s="16"/>
      <c r="M3880" s="16"/>
      <c r="N3880" s="12"/>
      <c r="O3880" s="12"/>
      <c r="P3880" s="13">
        <f>IFERROR(__xludf.DUMMYFUNCTION("VALUE(SUBSTITUTE((INDEX(SPLIT(A3880,"",""),1)),""."","","",1))"),56.914355)</f>
        <v>56.914355</v>
      </c>
      <c r="Q3880" s="13">
        <f>IFERROR(__xludf.DUMMYFUNCTION("VALUE(SUBSTITUTE((INDEX(SPLIT(A3880,"",""),2)),""."","","",1))"),60.497528)</f>
        <v>60.497528</v>
      </c>
      <c r="R3880" s="14" t="b">
        <f t="shared" si="1"/>
        <v>0</v>
      </c>
      <c r="S3880" s="14" t="str">
        <f t="shared" si="2"/>
        <v>56.914355,60.497528</v>
      </c>
      <c r="T3880" s="12"/>
    </row>
    <row r="3881">
      <c r="A3881" s="7" t="s">
        <v>24966</v>
      </c>
      <c r="B3881" s="8" t="s">
        <v>24967</v>
      </c>
      <c r="C3881" s="8" t="s">
        <v>24968</v>
      </c>
      <c r="D3881" s="8" t="s">
        <v>16</v>
      </c>
      <c r="E3881" s="9" t="s">
        <v>24969</v>
      </c>
      <c r="F3881" s="10" t="s">
        <v>20160</v>
      </c>
      <c r="G3881" s="8">
        <v>23.61</v>
      </c>
      <c r="H3881" s="8"/>
      <c r="I3881" s="10"/>
      <c r="J3881" s="10" t="s">
        <v>24970</v>
      </c>
      <c r="K3881" s="10" t="s">
        <v>24971</v>
      </c>
      <c r="L3881" s="11" t="s">
        <v>24972</v>
      </c>
      <c r="M3881" s="11" t="s">
        <v>24973</v>
      </c>
      <c r="N3881" s="12"/>
      <c r="O3881" s="12"/>
      <c r="P3881" s="13">
        <f>IFERROR(__xludf.DUMMYFUNCTION("VALUE(SUBSTITUTE((INDEX(SPLIT(A3881,"",""),1)),""."","","",1))"),56.796851)</f>
        <v>56.796851</v>
      </c>
      <c r="Q3881" s="13">
        <f>IFERROR(__xludf.DUMMYFUNCTION("VALUE(SUBSTITUTE((INDEX(SPLIT(A3881,"",""),2)),""."","","",1))"),60.498265)</f>
        <v>60.498265</v>
      </c>
      <c r="R3881" s="14" t="b">
        <f t="shared" si="1"/>
        <v>0</v>
      </c>
      <c r="S3881" s="14" t="str">
        <f t="shared" si="2"/>
        <v>56.796851,60.498265</v>
      </c>
      <c r="T3881" s="12"/>
    </row>
    <row r="3882">
      <c r="A3882" s="20" t="s">
        <v>24974</v>
      </c>
      <c r="B3882" s="16" t="s">
        <v>24975</v>
      </c>
      <c r="C3882" s="16" t="s">
        <v>2686</v>
      </c>
      <c r="D3882" s="16" t="s">
        <v>16</v>
      </c>
      <c r="E3882" s="21" t="s">
        <v>24976</v>
      </c>
      <c r="F3882" s="22" t="s">
        <v>6732</v>
      </c>
      <c r="G3882" s="16">
        <v>23.61</v>
      </c>
      <c r="H3882" s="16"/>
      <c r="I3882" s="22"/>
      <c r="J3882" s="22" t="s">
        <v>24977</v>
      </c>
      <c r="K3882" s="22" t="s">
        <v>24978</v>
      </c>
      <c r="L3882" s="23" t="s">
        <v>24979</v>
      </c>
      <c r="M3882" s="22"/>
      <c r="N3882" s="12"/>
      <c r="O3882" s="12"/>
      <c r="P3882" s="13">
        <f>IFERROR(__xludf.DUMMYFUNCTION("VALUE(SUBSTITUTE((INDEX(SPLIT(A3882,"",""),1)),""."","","",1))"),56.882658)</f>
        <v>56.882658</v>
      </c>
      <c r="Q3882" s="13">
        <f>IFERROR(__xludf.DUMMYFUNCTION("VALUE(SUBSTITUTE((INDEX(SPLIT(A3882,"",""),2)),""."","","",1))"),60.506664)</f>
        <v>60.506664</v>
      </c>
      <c r="R3882" s="14" t="b">
        <f t="shared" si="1"/>
        <v>0</v>
      </c>
      <c r="S3882" s="14" t="str">
        <f t="shared" si="2"/>
        <v>56.882658,60.506664</v>
      </c>
      <c r="T3882" s="12"/>
    </row>
    <row r="3883">
      <c r="A3883" s="18" t="s">
        <v>24980</v>
      </c>
      <c r="B3883" s="8" t="s">
        <v>24981</v>
      </c>
      <c r="C3883" s="8" t="s">
        <v>24982</v>
      </c>
      <c r="D3883" s="8" t="s">
        <v>16</v>
      </c>
      <c r="E3883" s="19" t="s">
        <v>24983</v>
      </c>
      <c r="F3883" s="8" t="s">
        <v>6732</v>
      </c>
      <c r="G3883" s="8">
        <v>23.61</v>
      </c>
      <c r="H3883" s="8"/>
      <c r="I3883" s="8"/>
      <c r="J3883" s="8" t="s">
        <v>24984</v>
      </c>
      <c r="K3883" s="8" t="s">
        <v>24985</v>
      </c>
      <c r="L3883" s="8"/>
      <c r="M3883" s="8"/>
      <c r="N3883" s="12"/>
      <c r="O3883" s="12"/>
      <c r="P3883" s="13">
        <f>IFERROR(__xludf.DUMMYFUNCTION("VALUE(SUBSTITUTE((INDEX(SPLIT(A3883,"",""),1)),""."","","",1))"),56.871827)</f>
        <v>56.871827</v>
      </c>
      <c r="Q3883" s="13">
        <f>IFERROR(__xludf.DUMMYFUNCTION("VALUE(SUBSTITUTE((INDEX(SPLIT(A3883,"",""),2)),""."","","",1))"),60.513437)</f>
        <v>60.513437</v>
      </c>
      <c r="R3883" s="14" t="b">
        <f t="shared" si="1"/>
        <v>0</v>
      </c>
      <c r="S3883" s="14" t="str">
        <f t="shared" si="2"/>
        <v>56.871827,60.513437</v>
      </c>
      <c r="T3883" s="12"/>
    </row>
    <row r="3884">
      <c r="A3884" s="20" t="s">
        <v>24986</v>
      </c>
      <c r="B3884" s="16" t="s">
        <v>24987</v>
      </c>
      <c r="C3884" s="16" t="s">
        <v>24988</v>
      </c>
      <c r="D3884" s="16" t="s">
        <v>16</v>
      </c>
      <c r="E3884" s="21" t="s">
        <v>24989</v>
      </c>
      <c r="F3884" s="22" t="s">
        <v>6732</v>
      </c>
      <c r="G3884" s="16">
        <v>23.61</v>
      </c>
      <c r="H3884" s="16"/>
      <c r="I3884" s="22"/>
      <c r="J3884" s="22" t="s">
        <v>24990</v>
      </c>
      <c r="K3884" s="22" t="s">
        <v>24991</v>
      </c>
      <c r="L3884" s="23" t="s">
        <v>24992</v>
      </c>
      <c r="M3884" s="22"/>
      <c r="N3884" s="12"/>
      <c r="O3884" s="12"/>
      <c r="P3884" s="13">
        <f>IFERROR(__xludf.DUMMYFUNCTION("VALUE(SUBSTITUTE((INDEX(SPLIT(A3884,"",""),1)),""."","","",1))"),56.87593)</f>
        <v>56.87593</v>
      </c>
      <c r="Q3884" s="13">
        <f>IFERROR(__xludf.DUMMYFUNCTION("VALUE(SUBSTITUTE((INDEX(SPLIT(A3884,"",""),2)),""."","","",1))"),60.518629)</f>
        <v>60.518629</v>
      </c>
      <c r="R3884" s="14" t="b">
        <f t="shared" si="1"/>
        <v>0</v>
      </c>
      <c r="S3884" s="14" t="str">
        <f t="shared" si="2"/>
        <v>56.87593,60.518629</v>
      </c>
      <c r="T3884" s="12"/>
    </row>
    <row r="3885">
      <c r="A3885" s="7" t="s">
        <v>24993</v>
      </c>
      <c r="B3885" s="8" t="s">
        <v>24994</v>
      </c>
      <c r="C3885" s="8" t="s">
        <v>24995</v>
      </c>
      <c r="D3885" s="8" t="s">
        <v>16</v>
      </c>
      <c r="E3885" s="9" t="s">
        <v>24996</v>
      </c>
      <c r="F3885" s="10" t="s">
        <v>17780</v>
      </c>
      <c r="G3885" s="8">
        <v>23.61</v>
      </c>
      <c r="H3885" s="8"/>
      <c r="I3885" s="10"/>
      <c r="J3885" s="10" t="s">
        <v>24997</v>
      </c>
      <c r="K3885" s="10" t="s">
        <v>24998</v>
      </c>
      <c r="L3885" s="11" t="s">
        <v>24999</v>
      </c>
      <c r="M3885" s="10"/>
      <c r="N3885" s="12"/>
      <c r="O3885" s="12"/>
      <c r="P3885" s="13">
        <f>IFERROR(__xludf.DUMMYFUNCTION("VALUE(SUBSTITUTE((INDEX(SPLIT(A3885,"",""),1)),""."","","",1))"),56.863257)</f>
        <v>56.863257</v>
      </c>
      <c r="Q3885" s="13">
        <f>IFERROR(__xludf.DUMMYFUNCTION("VALUE(SUBSTITUTE((INDEX(SPLIT(A3885,"",""),2)),""."","","",1))"),60.524235)</f>
        <v>60.524235</v>
      </c>
      <c r="R3885" s="14" t="b">
        <f t="shared" si="1"/>
        <v>0</v>
      </c>
      <c r="S3885" s="14" t="str">
        <f t="shared" si="2"/>
        <v>56.863257,60.524235</v>
      </c>
      <c r="T3885" s="12"/>
    </row>
    <row r="3886">
      <c r="A3886" s="15" t="s">
        <v>25000</v>
      </c>
      <c r="B3886" s="16" t="s">
        <v>25001</v>
      </c>
      <c r="C3886" s="16" t="s">
        <v>25002</v>
      </c>
      <c r="D3886" s="16" t="s">
        <v>16</v>
      </c>
      <c r="E3886" s="17" t="s">
        <v>25003</v>
      </c>
      <c r="F3886" s="16" t="s">
        <v>17780</v>
      </c>
      <c r="G3886" s="16">
        <v>23.61</v>
      </c>
      <c r="H3886" s="16"/>
      <c r="I3886" s="16"/>
      <c r="J3886" s="16" t="s">
        <v>25004</v>
      </c>
      <c r="K3886" s="16" t="s">
        <v>25005</v>
      </c>
      <c r="L3886" s="16"/>
      <c r="M3886" s="25" t="s">
        <v>25006</v>
      </c>
      <c r="N3886" s="12"/>
      <c r="O3886" s="12"/>
      <c r="P3886" s="13">
        <f>IFERROR(__xludf.DUMMYFUNCTION("VALUE(SUBSTITUTE((INDEX(SPLIT(A3886,"",""),1)),""."","","",1))"),56.871857)</f>
        <v>56.871857</v>
      </c>
      <c r="Q3886" s="13">
        <f>IFERROR(__xludf.DUMMYFUNCTION("VALUE(SUBSTITUTE((INDEX(SPLIT(A3886,"",""),2)),""."","","",1))"),60.527325)</f>
        <v>60.527325</v>
      </c>
      <c r="R3886" s="14" t="b">
        <f t="shared" si="1"/>
        <v>0</v>
      </c>
      <c r="S3886" s="14" t="str">
        <f t="shared" si="2"/>
        <v>56.871857,60.527325</v>
      </c>
      <c r="T3886" s="12"/>
    </row>
    <row r="3887">
      <c r="A3887" s="7" t="s">
        <v>25007</v>
      </c>
      <c r="B3887" s="8" t="s">
        <v>25008</v>
      </c>
      <c r="C3887" s="8" t="s">
        <v>25009</v>
      </c>
      <c r="D3887" s="8" t="s">
        <v>16</v>
      </c>
      <c r="E3887" s="9" t="s">
        <v>25010</v>
      </c>
      <c r="F3887" s="10" t="s">
        <v>6732</v>
      </c>
      <c r="G3887" s="8">
        <v>23.61</v>
      </c>
      <c r="H3887" s="8"/>
      <c r="I3887" s="31" t="s">
        <v>25011</v>
      </c>
      <c r="J3887" s="10" t="s">
        <v>25012</v>
      </c>
      <c r="K3887" s="10" t="s">
        <v>25013</v>
      </c>
      <c r="L3887" s="11" t="s">
        <v>25014</v>
      </c>
      <c r="M3887" s="10"/>
      <c r="N3887" s="12"/>
      <c r="O3887" s="12"/>
      <c r="P3887" s="13">
        <f>IFERROR(__xludf.DUMMYFUNCTION("VALUE(SUBSTITUTE((INDEX(SPLIT(A3887,"",""),1)),""."","","",1))"),56.788135)</f>
        <v>56.788135</v>
      </c>
      <c r="Q3887" s="13">
        <f>IFERROR(__xludf.DUMMYFUNCTION("VALUE(SUBSTITUTE((INDEX(SPLIT(A3887,"",""),2)),""."","","",1))"),60.531601)</f>
        <v>60.531601</v>
      </c>
      <c r="R3887" s="14" t="b">
        <f t="shared" si="1"/>
        <v>0</v>
      </c>
      <c r="S3887" s="14" t="str">
        <f t="shared" si="2"/>
        <v>56.788135,60.531601</v>
      </c>
      <c r="T3887" s="12"/>
    </row>
    <row r="3888">
      <c r="A3888" s="20" t="s">
        <v>25015</v>
      </c>
      <c r="B3888" s="16" t="s">
        <v>25016</v>
      </c>
      <c r="C3888" s="16" t="s">
        <v>25017</v>
      </c>
      <c r="D3888" s="16" t="s">
        <v>16</v>
      </c>
      <c r="E3888" s="21" t="s">
        <v>25018</v>
      </c>
      <c r="F3888" s="22" t="s">
        <v>17780</v>
      </c>
      <c r="G3888" s="16">
        <v>23.61</v>
      </c>
      <c r="H3888" s="16"/>
      <c r="I3888" s="22"/>
      <c r="J3888" s="22" t="s">
        <v>25019</v>
      </c>
      <c r="K3888" s="22" t="s">
        <v>25020</v>
      </c>
      <c r="L3888" s="23" t="s">
        <v>25021</v>
      </c>
      <c r="M3888" s="22"/>
      <c r="N3888" s="12"/>
      <c r="O3888" s="12"/>
      <c r="P3888" s="13">
        <f>IFERROR(__xludf.DUMMYFUNCTION("VALUE(SUBSTITUTE((INDEX(SPLIT(A3888,"",""),1)),""."","","",1))"),56.819897)</f>
        <v>56.819897</v>
      </c>
      <c r="Q3888" s="13">
        <f>IFERROR(__xludf.DUMMYFUNCTION("VALUE(SUBSTITUTE((INDEX(SPLIT(A3888,"",""),2)),""."","","",1))"),60.5423)</f>
        <v>60.5423</v>
      </c>
      <c r="R3888" s="14" t="b">
        <f t="shared" si="1"/>
        <v>0</v>
      </c>
      <c r="S3888" s="14" t="str">
        <f t="shared" si="2"/>
        <v>56.819897,60.5423</v>
      </c>
      <c r="T3888" s="12"/>
    </row>
    <row r="3889">
      <c r="A3889" s="18" t="s">
        <v>25022</v>
      </c>
      <c r="B3889" s="8" t="s">
        <v>25023</v>
      </c>
      <c r="C3889" s="8" t="s">
        <v>25024</v>
      </c>
      <c r="D3889" s="8" t="s">
        <v>16</v>
      </c>
      <c r="E3889" s="19" t="s">
        <v>25025</v>
      </c>
      <c r="F3889" s="8" t="s">
        <v>6732</v>
      </c>
      <c r="G3889" s="8">
        <v>23.61</v>
      </c>
      <c r="H3889" s="8"/>
      <c r="I3889" s="8"/>
      <c r="J3889" s="8" t="s">
        <v>25026</v>
      </c>
      <c r="K3889" s="8" t="s">
        <v>25027</v>
      </c>
      <c r="L3889" s="8"/>
      <c r="M3889" s="24" t="s">
        <v>25028</v>
      </c>
      <c r="N3889" s="12"/>
      <c r="O3889" s="12"/>
      <c r="P3889" s="13">
        <f>IFERROR(__xludf.DUMMYFUNCTION("VALUE(SUBSTITUTE((INDEX(SPLIT(A3889,"",""),1)),""."","","",1))"),56.83909)</f>
        <v>56.83909</v>
      </c>
      <c r="Q3889" s="13">
        <f>IFERROR(__xludf.DUMMYFUNCTION("VALUE(SUBSTITUTE((INDEX(SPLIT(A3889,"",""),2)),""."","","",1))"),60.545282)</f>
        <v>60.545282</v>
      </c>
      <c r="R3889" s="14" t="b">
        <f t="shared" si="1"/>
        <v>0</v>
      </c>
      <c r="S3889" s="14" t="str">
        <f t="shared" si="2"/>
        <v>56.83909,60.545282</v>
      </c>
      <c r="T3889" s="12"/>
    </row>
    <row r="3890">
      <c r="A3890" s="15" t="s">
        <v>25029</v>
      </c>
      <c r="B3890" s="16" t="s">
        <v>25030</v>
      </c>
      <c r="C3890" s="16" t="s">
        <v>25031</v>
      </c>
      <c r="D3890" s="16" t="s">
        <v>16</v>
      </c>
      <c r="E3890" s="17" t="s">
        <v>25032</v>
      </c>
      <c r="F3890" s="16" t="s">
        <v>19948</v>
      </c>
      <c r="G3890" s="16">
        <v>23.61</v>
      </c>
      <c r="H3890" s="16"/>
      <c r="I3890" s="16"/>
      <c r="J3890" s="16" t="s">
        <v>25033</v>
      </c>
      <c r="K3890" s="16" t="s">
        <v>25034</v>
      </c>
      <c r="L3890" s="16"/>
      <c r="M3890" s="16"/>
      <c r="N3890" s="12"/>
      <c r="O3890" s="12"/>
      <c r="P3890" s="13">
        <f>IFERROR(__xludf.DUMMYFUNCTION("VALUE(SUBSTITUTE((INDEX(SPLIT(A3890,"",""),1)),""."","","",1))"),56.837888)</f>
        <v>56.837888</v>
      </c>
      <c r="Q3890" s="13">
        <f>IFERROR(__xludf.DUMMYFUNCTION("VALUE(SUBSTITUTE((INDEX(SPLIT(A3890,"",""),2)),""."","","",1))"),60.549172)</f>
        <v>60.549172</v>
      </c>
      <c r="R3890" s="14" t="b">
        <f t="shared" si="1"/>
        <v>0</v>
      </c>
      <c r="S3890" s="14" t="str">
        <f t="shared" si="2"/>
        <v>56.837888,60.549172</v>
      </c>
      <c r="T3890" s="12"/>
    </row>
    <row r="3891">
      <c r="A3891" s="18" t="s">
        <v>25035</v>
      </c>
      <c r="B3891" s="8" t="s">
        <v>24217</v>
      </c>
      <c r="C3891" s="8" t="s">
        <v>24218</v>
      </c>
      <c r="D3891" s="8" t="s">
        <v>16</v>
      </c>
      <c r="E3891" s="19" t="s">
        <v>25036</v>
      </c>
      <c r="F3891" s="8" t="s">
        <v>17780</v>
      </c>
      <c r="G3891" s="8">
        <v>23.61</v>
      </c>
      <c r="H3891" s="8"/>
      <c r="I3891" s="8"/>
      <c r="J3891" s="8" t="s">
        <v>25037</v>
      </c>
      <c r="K3891" s="8" t="s">
        <v>25038</v>
      </c>
      <c r="L3891" s="8"/>
      <c r="M3891" s="8"/>
      <c r="N3891" s="12"/>
      <c r="O3891" s="12"/>
      <c r="P3891" s="13">
        <f>IFERROR(__xludf.DUMMYFUNCTION("VALUE(SUBSTITUTE((INDEX(SPLIT(A3891,"",""),1)),""."","","",1))"),56.802928)</f>
        <v>56.802928</v>
      </c>
      <c r="Q3891" s="13">
        <f>IFERROR(__xludf.DUMMYFUNCTION("VALUE(SUBSTITUTE((INDEX(SPLIT(A3891,"",""),2)),""."","","",1))"),60.551696)</f>
        <v>60.551696</v>
      </c>
      <c r="R3891" s="14" t="b">
        <f t="shared" si="1"/>
        <v>0</v>
      </c>
      <c r="S3891" s="14" t="str">
        <f t="shared" si="2"/>
        <v>56.802928,60.551696</v>
      </c>
      <c r="T3891" s="12"/>
    </row>
    <row r="3892">
      <c r="A3892" s="15" t="s">
        <v>25039</v>
      </c>
      <c r="B3892" s="16" t="s">
        <v>25040</v>
      </c>
      <c r="C3892" s="16" t="s">
        <v>25041</v>
      </c>
      <c r="D3892" s="16" t="s">
        <v>16</v>
      </c>
      <c r="E3892" s="17" t="s">
        <v>25042</v>
      </c>
      <c r="F3892" s="16" t="s">
        <v>19948</v>
      </c>
      <c r="G3892" s="16">
        <v>23.61</v>
      </c>
      <c r="H3892" s="16"/>
      <c r="I3892" s="16"/>
      <c r="J3892" s="16" t="s">
        <v>25043</v>
      </c>
      <c r="K3892" s="16" t="s">
        <v>25044</v>
      </c>
      <c r="L3892" s="16"/>
      <c r="M3892" s="16"/>
      <c r="N3892" s="12"/>
      <c r="O3892" s="12"/>
      <c r="P3892" s="13">
        <f>IFERROR(__xludf.DUMMYFUNCTION("VALUE(SUBSTITUTE((INDEX(SPLIT(A3892,"",""),1)),""."","","",1))"),56.976029)</f>
        <v>56.976029</v>
      </c>
      <c r="Q3892" s="13">
        <f>IFERROR(__xludf.DUMMYFUNCTION("VALUE(SUBSTITUTE((INDEX(SPLIT(A3892,"",""),2)),""."","","",1))"),60.552451)</f>
        <v>60.552451</v>
      </c>
      <c r="R3892" s="14" t="b">
        <f t="shared" si="1"/>
        <v>0</v>
      </c>
      <c r="S3892" s="14" t="str">
        <f t="shared" si="2"/>
        <v>56.976029,60.552451</v>
      </c>
      <c r="T3892" s="12"/>
    </row>
    <row r="3893">
      <c r="A3893" s="18" t="s">
        <v>25045</v>
      </c>
      <c r="B3893" s="8" t="s">
        <v>25046</v>
      </c>
      <c r="C3893" s="8" t="s">
        <v>25047</v>
      </c>
      <c r="D3893" s="8" t="s">
        <v>16</v>
      </c>
      <c r="E3893" s="19" t="s">
        <v>25048</v>
      </c>
      <c r="F3893" s="8" t="s">
        <v>19948</v>
      </c>
      <c r="G3893" s="8">
        <v>23.61</v>
      </c>
      <c r="H3893" s="8"/>
      <c r="I3893" s="8"/>
      <c r="J3893" s="8" t="s">
        <v>25049</v>
      </c>
      <c r="K3893" s="8" t="s">
        <v>25050</v>
      </c>
      <c r="L3893" s="8"/>
      <c r="M3893" s="8"/>
      <c r="N3893" s="12"/>
      <c r="O3893" s="12"/>
      <c r="P3893" s="13">
        <f>IFERROR(__xludf.DUMMYFUNCTION("VALUE(SUBSTITUTE((INDEX(SPLIT(A3893,"",""),1)),""."","","",1))"),56.813532)</f>
        <v>56.813532</v>
      </c>
      <c r="Q3893" s="13">
        <f>IFERROR(__xludf.DUMMYFUNCTION("VALUE(SUBSTITUTE((INDEX(SPLIT(A3893,"",""),2)),""."","","",1))"),60.556053)</f>
        <v>60.556053</v>
      </c>
      <c r="R3893" s="14" t="b">
        <f t="shared" si="1"/>
        <v>0</v>
      </c>
      <c r="S3893" s="14" t="str">
        <f t="shared" si="2"/>
        <v>56.813532,60.556053</v>
      </c>
      <c r="T3893" s="12"/>
    </row>
    <row r="3894">
      <c r="A3894" s="20" t="s">
        <v>25051</v>
      </c>
      <c r="B3894" s="16" t="s">
        <v>25052</v>
      </c>
      <c r="C3894" s="16" t="s">
        <v>25053</v>
      </c>
      <c r="D3894" s="16" t="s">
        <v>16</v>
      </c>
      <c r="E3894" s="21" t="s">
        <v>25054</v>
      </c>
      <c r="F3894" s="22" t="s">
        <v>19948</v>
      </c>
      <c r="G3894" s="16">
        <v>23.61</v>
      </c>
      <c r="H3894" s="16"/>
      <c r="I3894" s="22"/>
      <c r="J3894" s="22" t="s">
        <v>25055</v>
      </c>
      <c r="K3894" s="22" t="s">
        <v>25056</v>
      </c>
      <c r="L3894" s="23" t="s">
        <v>25057</v>
      </c>
      <c r="M3894" s="22"/>
      <c r="N3894" s="12"/>
      <c r="O3894" s="12"/>
      <c r="P3894" s="13">
        <f>IFERROR(__xludf.DUMMYFUNCTION("VALUE(SUBSTITUTE((INDEX(SPLIT(A3894,"",""),1)),""."","","",1))"),56.869215)</f>
        <v>56.869215</v>
      </c>
      <c r="Q3894" s="13">
        <f>IFERROR(__xludf.DUMMYFUNCTION("VALUE(SUBSTITUTE((INDEX(SPLIT(A3894,"",""),2)),""."","","",1))"),60.556188)</f>
        <v>60.556188</v>
      </c>
      <c r="R3894" s="14" t="b">
        <f t="shared" si="1"/>
        <v>0</v>
      </c>
      <c r="S3894" s="14" t="str">
        <f t="shared" si="2"/>
        <v>56.869215,60.556188</v>
      </c>
      <c r="T3894" s="12"/>
    </row>
    <row r="3895">
      <c r="A3895" s="7" t="s">
        <v>25058</v>
      </c>
      <c r="B3895" s="8" t="s">
        <v>25059</v>
      </c>
      <c r="C3895" s="8" t="s">
        <v>25060</v>
      </c>
      <c r="D3895" s="8" t="s">
        <v>16</v>
      </c>
      <c r="E3895" s="9" t="s">
        <v>25061</v>
      </c>
      <c r="F3895" s="10" t="s">
        <v>19948</v>
      </c>
      <c r="G3895" s="8">
        <v>23.61</v>
      </c>
      <c r="H3895" s="8"/>
      <c r="I3895" s="10"/>
      <c r="J3895" s="10" t="s">
        <v>25062</v>
      </c>
      <c r="K3895" s="10" t="s">
        <v>25063</v>
      </c>
      <c r="L3895" s="11" t="s">
        <v>25064</v>
      </c>
      <c r="M3895" s="11" t="s">
        <v>25065</v>
      </c>
      <c r="N3895" s="12"/>
      <c r="O3895" s="12"/>
      <c r="P3895" s="13">
        <f>IFERROR(__xludf.DUMMYFUNCTION("VALUE(SUBSTITUTE((INDEX(SPLIT(A3895,"",""),1)),""."","","",1))"),56.827823)</f>
        <v>56.827823</v>
      </c>
      <c r="Q3895" s="13">
        <f>IFERROR(__xludf.DUMMYFUNCTION("VALUE(SUBSTITUTE((INDEX(SPLIT(A3895,"",""),2)),""."","","",1))"),60.556889)</f>
        <v>60.556889</v>
      </c>
      <c r="R3895" s="14" t="b">
        <f t="shared" si="1"/>
        <v>0</v>
      </c>
      <c r="S3895" s="14" t="str">
        <f t="shared" si="2"/>
        <v>56.827823,60.556889</v>
      </c>
      <c r="T3895" s="12"/>
    </row>
    <row r="3896">
      <c r="A3896" s="15" t="s">
        <v>25066</v>
      </c>
      <c r="B3896" s="16" t="s">
        <v>25067</v>
      </c>
      <c r="C3896" s="16" t="s">
        <v>25068</v>
      </c>
      <c r="D3896" s="16" t="s">
        <v>16</v>
      </c>
      <c r="E3896" s="17" t="s">
        <v>25069</v>
      </c>
      <c r="F3896" s="16" t="s">
        <v>19948</v>
      </c>
      <c r="G3896" s="16">
        <v>23.61</v>
      </c>
      <c r="H3896" s="16"/>
      <c r="I3896" s="16"/>
      <c r="J3896" s="16" t="s">
        <v>25070</v>
      </c>
      <c r="K3896" s="16" t="s">
        <v>25071</v>
      </c>
      <c r="L3896" s="16"/>
      <c r="M3896" s="16"/>
      <c r="N3896" s="12"/>
      <c r="O3896" s="12"/>
      <c r="P3896" s="13">
        <f>IFERROR(__xludf.DUMMYFUNCTION("VALUE(SUBSTITUTE((INDEX(SPLIT(A3896,"",""),1)),""."","","",1))"),56.835106)</f>
        <v>56.835106</v>
      </c>
      <c r="Q3896" s="13">
        <f>IFERROR(__xludf.DUMMYFUNCTION("VALUE(SUBSTITUTE((INDEX(SPLIT(A3896,"",""),2)),""."","","",1))"),60.558443)</f>
        <v>60.558443</v>
      </c>
      <c r="R3896" s="14" t="b">
        <f t="shared" si="1"/>
        <v>0</v>
      </c>
      <c r="S3896" s="14" t="str">
        <f t="shared" si="2"/>
        <v>56.835106,60.558443</v>
      </c>
      <c r="T3896" s="12"/>
    </row>
    <row r="3897">
      <c r="A3897" s="18" t="s">
        <v>25072</v>
      </c>
      <c r="B3897" s="8" t="s">
        <v>25073</v>
      </c>
      <c r="C3897" s="8" t="s">
        <v>25074</v>
      </c>
      <c r="D3897" s="8" t="s">
        <v>16</v>
      </c>
      <c r="E3897" s="19" t="s">
        <v>25075</v>
      </c>
      <c r="F3897" s="8" t="s">
        <v>13359</v>
      </c>
      <c r="G3897" s="8">
        <v>23.61</v>
      </c>
      <c r="H3897" s="8"/>
      <c r="I3897" s="8"/>
      <c r="J3897" s="8" t="s">
        <v>25076</v>
      </c>
      <c r="K3897" s="8" t="s">
        <v>25077</v>
      </c>
      <c r="L3897" s="8"/>
      <c r="M3897" s="8"/>
      <c r="N3897" s="12"/>
      <c r="O3897" s="12"/>
      <c r="P3897" s="13">
        <f>IFERROR(__xludf.DUMMYFUNCTION("VALUE(SUBSTITUTE((INDEX(SPLIT(A3897,"",""),1)),""."","","",1))"),56.84578)</f>
        <v>56.84578</v>
      </c>
      <c r="Q3897" s="13">
        <f>IFERROR(__xludf.DUMMYFUNCTION("VALUE(SUBSTITUTE((INDEX(SPLIT(A3897,"",""),2)),""."","","",1))"),60.559862)</f>
        <v>60.559862</v>
      </c>
      <c r="R3897" s="14" t="b">
        <f t="shared" si="1"/>
        <v>0</v>
      </c>
      <c r="S3897" s="14" t="str">
        <f t="shared" si="2"/>
        <v>56.84578,60.559862</v>
      </c>
      <c r="T3897" s="12"/>
    </row>
    <row r="3898">
      <c r="A3898" s="15" t="s">
        <v>25078</v>
      </c>
      <c r="B3898" s="16" t="s">
        <v>25079</v>
      </c>
      <c r="C3898" s="16" t="s">
        <v>25080</v>
      </c>
      <c r="D3898" s="16" t="s">
        <v>16</v>
      </c>
      <c r="E3898" s="17" t="s">
        <v>25081</v>
      </c>
      <c r="F3898" s="16" t="s">
        <v>13359</v>
      </c>
      <c r="G3898" s="16">
        <v>23.61</v>
      </c>
      <c r="H3898" s="16"/>
      <c r="I3898" s="16"/>
      <c r="J3898" s="16" t="s">
        <v>25076</v>
      </c>
      <c r="K3898" s="16" t="s">
        <v>25082</v>
      </c>
      <c r="L3898" s="16"/>
      <c r="M3898" s="25" t="s">
        <v>25083</v>
      </c>
      <c r="N3898" s="12"/>
      <c r="O3898" s="12"/>
      <c r="P3898" s="13">
        <f>IFERROR(__xludf.DUMMYFUNCTION("VALUE(SUBSTITUTE((INDEX(SPLIT(A3898,"",""),1)),""."","","",1))"),56.836145)</f>
        <v>56.836145</v>
      </c>
      <c r="Q3898" s="13">
        <f>IFERROR(__xludf.DUMMYFUNCTION("VALUE(SUBSTITUTE((INDEX(SPLIT(A3898,"",""),2)),""."","","",1))"),60.560697)</f>
        <v>60.560697</v>
      </c>
      <c r="R3898" s="14" t="b">
        <f t="shared" si="1"/>
        <v>0</v>
      </c>
      <c r="S3898" s="14" t="str">
        <f t="shared" si="2"/>
        <v>56.836145,60.560697</v>
      </c>
      <c r="T3898" s="12"/>
    </row>
    <row r="3899">
      <c r="A3899" s="18" t="s">
        <v>25084</v>
      </c>
      <c r="B3899" s="8" t="s">
        <v>13209</v>
      </c>
      <c r="C3899" s="8" t="s">
        <v>13210</v>
      </c>
      <c r="D3899" s="8" t="s">
        <v>16</v>
      </c>
      <c r="E3899" s="19" t="s">
        <v>25085</v>
      </c>
      <c r="F3899" s="8" t="s">
        <v>20160</v>
      </c>
      <c r="G3899" s="8">
        <v>23.61</v>
      </c>
      <c r="H3899" s="8"/>
      <c r="I3899" s="8"/>
      <c r="J3899" s="8" t="s">
        <v>25086</v>
      </c>
      <c r="K3899" s="8" t="s">
        <v>25087</v>
      </c>
      <c r="L3899" s="8"/>
      <c r="M3899" s="8"/>
      <c r="N3899" s="12"/>
      <c r="O3899" s="12"/>
      <c r="P3899" s="13">
        <f>IFERROR(__xludf.DUMMYFUNCTION("VALUE(SUBSTITUTE((INDEX(SPLIT(A3899,"",""),1)),""."","","",1))"),56.856491)</f>
        <v>56.856491</v>
      </c>
      <c r="Q3899" s="13">
        <f>IFERROR(__xludf.DUMMYFUNCTION("VALUE(SUBSTITUTE((INDEX(SPLIT(A3899,"",""),2)),""."","","",1))"),60.565459)</f>
        <v>60.565459</v>
      </c>
      <c r="R3899" s="14" t="b">
        <f t="shared" si="1"/>
        <v>0</v>
      </c>
      <c r="S3899" s="14" t="str">
        <f t="shared" si="2"/>
        <v>56.856491,60.565459</v>
      </c>
      <c r="T3899" s="12"/>
    </row>
    <row r="3900">
      <c r="A3900" s="20" t="s">
        <v>25088</v>
      </c>
      <c r="B3900" s="16" t="s">
        <v>5124</v>
      </c>
      <c r="C3900" s="16" t="s">
        <v>5125</v>
      </c>
      <c r="D3900" s="16" t="s">
        <v>16</v>
      </c>
      <c r="E3900" s="21" t="s">
        <v>25089</v>
      </c>
      <c r="F3900" s="22" t="s">
        <v>19948</v>
      </c>
      <c r="G3900" s="16">
        <v>23.61</v>
      </c>
      <c r="H3900" s="16"/>
      <c r="I3900" s="22"/>
      <c r="J3900" s="22" t="s">
        <v>25090</v>
      </c>
      <c r="K3900" s="22" t="s">
        <v>25091</v>
      </c>
      <c r="L3900" s="23" t="s">
        <v>25092</v>
      </c>
      <c r="M3900" s="22"/>
      <c r="N3900" s="12"/>
      <c r="O3900" s="12"/>
      <c r="P3900" s="13">
        <f>IFERROR(__xludf.DUMMYFUNCTION("VALUE(SUBSTITUTE((INDEX(SPLIT(A3900,"",""),1)),""."","","",1))"),56.811635)</f>
        <v>56.811635</v>
      </c>
      <c r="Q3900" s="13">
        <f>IFERROR(__xludf.DUMMYFUNCTION("VALUE(SUBSTITUTE((INDEX(SPLIT(A3900,"",""),2)),""."","","",1))"),60.565989)</f>
        <v>60.565989</v>
      </c>
      <c r="R3900" s="14" t="b">
        <f t="shared" si="1"/>
        <v>0</v>
      </c>
      <c r="S3900" s="14" t="str">
        <f t="shared" si="2"/>
        <v>56.811635,60.565989</v>
      </c>
      <c r="T3900" s="12"/>
    </row>
    <row r="3901">
      <c r="A3901" s="18" t="s">
        <v>25093</v>
      </c>
      <c r="B3901" s="8" t="s">
        <v>25094</v>
      </c>
      <c r="C3901" s="8" t="s">
        <v>25095</v>
      </c>
      <c r="D3901" s="8" t="s">
        <v>16</v>
      </c>
      <c r="E3901" s="19" t="s">
        <v>25096</v>
      </c>
      <c r="F3901" s="8" t="s">
        <v>20160</v>
      </c>
      <c r="G3901" s="8">
        <v>23.61</v>
      </c>
      <c r="H3901" s="8"/>
      <c r="I3901" s="27" t="s">
        <v>25097</v>
      </c>
      <c r="J3901" s="8" t="s">
        <v>25098</v>
      </c>
      <c r="K3901" s="8" t="s">
        <v>21225</v>
      </c>
      <c r="L3901" s="8"/>
      <c r="M3901" s="8"/>
      <c r="N3901" s="12"/>
      <c r="O3901" s="12"/>
      <c r="P3901" s="13">
        <f>IFERROR(__xludf.DUMMYFUNCTION("VALUE(SUBSTITUTE((INDEX(SPLIT(A3901,"",""),1)),""."","","",1))"),56.853912)</f>
        <v>56.853912</v>
      </c>
      <c r="Q3901" s="13">
        <f>IFERROR(__xludf.DUMMYFUNCTION("VALUE(SUBSTITUTE((INDEX(SPLIT(A3901,"",""),2)),""."","","",1))"),60.566105)</f>
        <v>60.566105</v>
      </c>
      <c r="R3901" s="14" t="b">
        <f t="shared" si="1"/>
        <v>0</v>
      </c>
      <c r="S3901" s="14" t="str">
        <f t="shared" si="2"/>
        <v>56.853912,60.566105</v>
      </c>
      <c r="T3901" s="12"/>
    </row>
    <row r="3902">
      <c r="A3902" s="20" t="s">
        <v>25099</v>
      </c>
      <c r="B3902" s="16" t="s">
        <v>25100</v>
      </c>
      <c r="C3902" s="16" t="s">
        <v>25101</v>
      </c>
      <c r="D3902" s="16" t="s">
        <v>16</v>
      </c>
      <c r="E3902" s="21" t="s">
        <v>25102</v>
      </c>
      <c r="F3902" s="22" t="s">
        <v>6732</v>
      </c>
      <c r="G3902" s="16">
        <v>23.61</v>
      </c>
      <c r="H3902" s="16"/>
      <c r="I3902" s="22"/>
      <c r="J3902" s="22" t="s">
        <v>25103</v>
      </c>
      <c r="K3902" s="22" t="s">
        <v>25104</v>
      </c>
      <c r="L3902" s="23" t="s">
        <v>25105</v>
      </c>
      <c r="M3902" s="22"/>
      <c r="N3902" s="12"/>
      <c r="O3902" s="12"/>
      <c r="P3902" s="13">
        <f>IFERROR(__xludf.DUMMYFUNCTION("VALUE(SUBSTITUTE((INDEX(SPLIT(A3902,"",""),1)),""."","","",1))"),56.834693)</f>
        <v>56.834693</v>
      </c>
      <c r="Q3902" s="13">
        <f>IFERROR(__xludf.DUMMYFUNCTION("VALUE(SUBSTITUTE((INDEX(SPLIT(A3902,"",""),2)),""."","","",1))"),60.56951)</f>
        <v>60.56951</v>
      </c>
      <c r="R3902" s="14" t="b">
        <f t="shared" si="1"/>
        <v>0</v>
      </c>
      <c r="S3902" s="14" t="str">
        <f t="shared" si="2"/>
        <v>56.834693,60.56951</v>
      </c>
      <c r="T3902" s="12"/>
    </row>
    <row r="3903">
      <c r="A3903" s="18" t="s">
        <v>25099</v>
      </c>
      <c r="B3903" s="8" t="s">
        <v>16328</v>
      </c>
      <c r="C3903" s="8" t="s">
        <v>16329</v>
      </c>
      <c r="D3903" s="8" t="s">
        <v>16</v>
      </c>
      <c r="E3903" s="19" t="s">
        <v>25106</v>
      </c>
      <c r="F3903" s="8" t="s">
        <v>2640</v>
      </c>
      <c r="G3903" s="8">
        <v>23.61</v>
      </c>
      <c r="H3903" s="8"/>
      <c r="I3903" s="8"/>
      <c r="J3903" s="8" t="s">
        <v>25107</v>
      </c>
      <c r="K3903" s="8" t="s">
        <v>25108</v>
      </c>
      <c r="L3903" s="8"/>
      <c r="M3903" s="8"/>
      <c r="N3903" s="12"/>
      <c r="O3903" s="12"/>
      <c r="P3903" s="13">
        <f>IFERROR(__xludf.DUMMYFUNCTION("VALUE(SUBSTITUTE((INDEX(SPLIT(A3903,"",""),1)),""."","","",1))"),56.834693)</f>
        <v>56.834693</v>
      </c>
      <c r="Q3903" s="13">
        <f>IFERROR(__xludf.DUMMYFUNCTION("VALUE(SUBSTITUTE((INDEX(SPLIT(A3903,"",""),2)),""."","","",1))"),60.56951)</f>
        <v>60.56951</v>
      </c>
      <c r="R3903" s="14" t="b">
        <f t="shared" si="1"/>
        <v>0</v>
      </c>
      <c r="S3903" s="14" t="str">
        <f t="shared" si="2"/>
        <v>56.834693,60.56951</v>
      </c>
      <c r="T3903" s="12"/>
    </row>
    <row r="3904">
      <c r="A3904" s="20" t="s">
        <v>25109</v>
      </c>
      <c r="B3904" s="16" t="s">
        <v>25110</v>
      </c>
      <c r="C3904" s="16" t="s">
        <v>25111</v>
      </c>
      <c r="D3904" s="16" t="s">
        <v>16</v>
      </c>
      <c r="E3904" s="21" t="s">
        <v>25112</v>
      </c>
      <c r="F3904" s="22" t="s">
        <v>6732</v>
      </c>
      <c r="G3904" s="16">
        <v>23.61</v>
      </c>
      <c r="H3904" s="16"/>
      <c r="I3904" s="28" t="s">
        <v>25113</v>
      </c>
      <c r="J3904" s="22" t="s">
        <v>25114</v>
      </c>
      <c r="K3904" s="22" t="s">
        <v>8473</v>
      </c>
      <c r="L3904" s="23" t="s">
        <v>25115</v>
      </c>
      <c r="M3904" s="22"/>
      <c r="N3904" s="12"/>
      <c r="O3904" s="12"/>
      <c r="P3904" s="13">
        <f>IFERROR(__xludf.DUMMYFUNCTION("VALUE(SUBSTITUTE((INDEX(SPLIT(A3904,"",""),1)),""."","","",1))"),56.80727)</f>
        <v>56.80727</v>
      </c>
      <c r="Q3904" s="13">
        <f>IFERROR(__xludf.DUMMYFUNCTION("VALUE(SUBSTITUTE((INDEX(SPLIT(A3904,"",""),2)),""."","","",1))"),60.574478)</f>
        <v>60.574478</v>
      </c>
      <c r="R3904" s="14" t="b">
        <f t="shared" si="1"/>
        <v>0</v>
      </c>
      <c r="S3904" s="14" t="str">
        <f t="shared" si="2"/>
        <v>56.80727,60.574478</v>
      </c>
      <c r="T3904" s="12"/>
    </row>
    <row r="3905">
      <c r="A3905" s="18" t="s">
        <v>25116</v>
      </c>
      <c r="B3905" s="8" t="s">
        <v>25117</v>
      </c>
      <c r="C3905" s="8" t="s">
        <v>25118</v>
      </c>
      <c r="D3905" s="8" t="s">
        <v>16</v>
      </c>
      <c r="E3905" s="19" t="s">
        <v>25119</v>
      </c>
      <c r="F3905" s="8" t="s">
        <v>6732</v>
      </c>
      <c r="G3905" s="8">
        <v>23.61</v>
      </c>
      <c r="H3905" s="8"/>
      <c r="I3905" s="8"/>
      <c r="J3905" s="8" t="s">
        <v>25120</v>
      </c>
      <c r="K3905" s="8" t="s">
        <v>25121</v>
      </c>
      <c r="L3905" s="8"/>
      <c r="M3905" s="8"/>
      <c r="N3905" s="12"/>
      <c r="O3905" s="12"/>
      <c r="P3905" s="13">
        <f>IFERROR(__xludf.DUMMYFUNCTION("VALUE(SUBSTITUTE((INDEX(SPLIT(A3905,"",""),1)),""."","","",1))"),56.81774)</f>
        <v>56.81774</v>
      </c>
      <c r="Q3905" s="13">
        <f>IFERROR(__xludf.DUMMYFUNCTION("VALUE(SUBSTITUTE((INDEX(SPLIT(A3905,"",""),2)),""."","","",1))"),60.574792)</f>
        <v>60.574792</v>
      </c>
      <c r="R3905" s="14" t="b">
        <f t="shared" si="1"/>
        <v>0</v>
      </c>
      <c r="S3905" s="14" t="str">
        <f t="shared" si="2"/>
        <v>56.81774,60.574792</v>
      </c>
      <c r="T3905" s="12"/>
    </row>
    <row r="3906">
      <c r="A3906" s="20" t="s">
        <v>25122</v>
      </c>
      <c r="B3906" s="16" t="s">
        <v>25123</v>
      </c>
      <c r="C3906" s="16" t="s">
        <v>25124</v>
      </c>
      <c r="D3906" s="16" t="s">
        <v>16</v>
      </c>
      <c r="E3906" s="21" t="s">
        <v>25125</v>
      </c>
      <c r="F3906" s="22" t="s">
        <v>19948</v>
      </c>
      <c r="G3906" s="16">
        <v>23.61</v>
      </c>
      <c r="H3906" s="16"/>
      <c r="I3906" s="22"/>
      <c r="J3906" s="22" t="s">
        <v>25126</v>
      </c>
      <c r="K3906" s="22" t="s">
        <v>25127</v>
      </c>
      <c r="L3906" s="23" t="s">
        <v>25128</v>
      </c>
      <c r="M3906" s="23" t="s">
        <v>25129</v>
      </c>
      <c r="N3906" s="12"/>
      <c r="O3906" s="12"/>
      <c r="P3906" s="13">
        <f>IFERROR(__xludf.DUMMYFUNCTION("VALUE(SUBSTITUTE((INDEX(SPLIT(A3906,"",""),1)),""."","","",1))"),56.811374)</f>
        <v>56.811374</v>
      </c>
      <c r="Q3906" s="13">
        <f>IFERROR(__xludf.DUMMYFUNCTION("VALUE(SUBSTITUTE((INDEX(SPLIT(A3906,"",""),2)),""."","","",1))"),60.576032)</f>
        <v>60.576032</v>
      </c>
      <c r="R3906" s="14" t="b">
        <f t="shared" si="1"/>
        <v>0</v>
      </c>
      <c r="S3906" s="14" t="str">
        <f t="shared" si="2"/>
        <v>56.811374,60.576032</v>
      </c>
      <c r="T3906" s="12"/>
    </row>
    <row r="3907">
      <c r="A3907" s="7" t="s">
        <v>25130</v>
      </c>
      <c r="B3907" s="8" t="s">
        <v>25131</v>
      </c>
      <c r="C3907" s="8" t="s">
        <v>7115</v>
      </c>
      <c r="D3907" s="8" t="s">
        <v>16</v>
      </c>
      <c r="E3907" s="9" t="s">
        <v>25132</v>
      </c>
      <c r="F3907" s="10" t="s">
        <v>6724</v>
      </c>
      <c r="G3907" s="8">
        <v>23.61</v>
      </c>
      <c r="H3907" s="8"/>
      <c r="I3907" s="10"/>
      <c r="J3907" s="10" t="s">
        <v>25133</v>
      </c>
      <c r="K3907" s="10" t="s">
        <v>25134</v>
      </c>
      <c r="L3907" s="11" t="s">
        <v>25135</v>
      </c>
      <c r="M3907" s="10"/>
      <c r="N3907" s="12"/>
      <c r="O3907" s="12"/>
      <c r="P3907" s="13">
        <f>IFERROR(__xludf.DUMMYFUNCTION("VALUE(SUBSTITUTE((INDEX(SPLIT(A3907,"",""),1)),""."","","",1))"),56.81135)</f>
        <v>56.81135</v>
      </c>
      <c r="Q3907" s="13">
        <f>IFERROR(__xludf.DUMMYFUNCTION("VALUE(SUBSTITUTE((INDEX(SPLIT(A3907,"",""),2)),""."","","",1))"),60.576059)</f>
        <v>60.576059</v>
      </c>
      <c r="R3907" s="14" t="b">
        <f t="shared" si="1"/>
        <v>0</v>
      </c>
      <c r="S3907" s="14" t="str">
        <f t="shared" si="2"/>
        <v>56.81135,60.576059</v>
      </c>
      <c r="T3907" s="12"/>
    </row>
    <row r="3908">
      <c r="A3908" s="15" t="s">
        <v>25136</v>
      </c>
      <c r="B3908" s="16" t="s">
        <v>10822</v>
      </c>
      <c r="C3908" s="16" t="s">
        <v>10823</v>
      </c>
      <c r="D3908" s="16" t="s">
        <v>16</v>
      </c>
      <c r="E3908" s="17" t="s">
        <v>25137</v>
      </c>
      <c r="F3908" s="16" t="s">
        <v>6724</v>
      </c>
      <c r="G3908" s="16">
        <v>23.61</v>
      </c>
      <c r="H3908" s="16"/>
      <c r="I3908" s="16"/>
      <c r="J3908" s="16" t="s">
        <v>25138</v>
      </c>
      <c r="K3908" s="16" t="s">
        <v>25139</v>
      </c>
      <c r="L3908" s="16"/>
      <c r="M3908" s="16"/>
      <c r="N3908" s="12"/>
      <c r="O3908" s="12"/>
      <c r="P3908" s="13">
        <f>IFERROR(__xludf.DUMMYFUNCTION("VALUE(SUBSTITUTE((INDEX(SPLIT(A3908,"",""),1)),""."","","",1))"),56.811162)</f>
        <v>56.811162</v>
      </c>
      <c r="Q3908" s="13">
        <f>IFERROR(__xludf.DUMMYFUNCTION("VALUE(SUBSTITUTE((INDEX(SPLIT(A3908,"",""),2)),""."","","",1))"),60.577649)</f>
        <v>60.577649</v>
      </c>
      <c r="R3908" s="14" t="b">
        <f t="shared" si="1"/>
        <v>0</v>
      </c>
      <c r="S3908" s="14" t="str">
        <f t="shared" si="2"/>
        <v>56.811162,60.577649</v>
      </c>
      <c r="T3908" s="12"/>
    </row>
    <row r="3909">
      <c r="A3909" s="18" t="s">
        <v>25140</v>
      </c>
      <c r="B3909" s="8" t="s">
        <v>25141</v>
      </c>
      <c r="C3909" s="8" t="s">
        <v>25142</v>
      </c>
      <c r="D3909" s="8" t="s">
        <v>16</v>
      </c>
      <c r="E3909" s="19" t="s">
        <v>25143</v>
      </c>
      <c r="F3909" s="8" t="s">
        <v>10183</v>
      </c>
      <c r="G3909" s="8">
        <v>23.61</v>
      </c>
      <c r="H3909" s="8"/>
      <c r="I3909" s="27" t="s">
        <v>25144</v>
      </c>
      <c r="J3909" s="8" t="s">
        <v>25145</v>
      </c>
      <c r="K3909" s="8" t="s">
        <v>25146</v>
      </c>
      <c r="L3909" s="8"/>
      <c r="M3909" s="8"/>
      <c r="N3909" s="12"/>
      <c r="O3909" s="12"/>
      <c r="P3909" s="13">
        <f>IFERROR(__xludf.DUMMYFUNCTION("VALUE(SUBSTITUTE((INDEX(SPLIT(A3909,"",""),1)),""."","","",1))"),56.800286)</f>
        <v>56.800286</v>
      </c>
      <c r="Q3909" s="13">
        <f>IFERROR(__xludf.DUMMYFUNCTION("VALUE(SUBSTITUTE((INDEX(SPLIT(A3909,"",""),2)),""."","","",1))"),60.580972)</f>
        <v>60.580972</v>
      </c>
      <c r="R3909" s="14" t="b">
        <f t="shared" si="1"/>
        <v>0</v>
      </c>
      <c r="S3909" s="14" t="str">
        <f t="shared" si="2"/>
        <v>56.800286,60.580972</v>
      </c>
      <c r="T3909" s="12"/>
    </row>
    <row r="3910">
      <c r="A3910" s="20" t="s">
        <v>25147</v>
      </c>
      <c r="B3910" s="16" t="s">
        <v>25148</v>
      </c>
      <c r="C3910" s="16" t="s">
        <v>25149</v>
      </c>
      <c r="D3910" s="16" t="s">
        <v>16</v>
      </c>
      <c r="E3910" s="21" t="s">
        <v>25150</v>
      </c>
      <c r="F3910" s="22" t="s">
        <v>6724</v>
      </c>
      <c r="G3910" s="16">
        <v>23.61</v>
      </c>
      <c r="H3910" s="16"/>
      <c r="I3910" s="22"/>
      <c r="J3910" s="22" t="s">
        <v>25151</v>
      </c>
      <c r="K3910" s="22" t="s">
        <v>25152</v>
      </c>
      <c r="L3910" s="23" t="s">
        <v>25153</v>
      </c>
      <c r="M3910" s="22"/>
      <c r="N3910" s="12"/>
      <c r="O3910" s="12"/>
      <c r="P3910" s="13">
        <f>IFERROR(__xludf.DUMMYFUNCTION("VALUE(SUBSTITUTE((INDEX(SPLIT(A3910,"",""),1)),""."","","",1))"),56.971864)</f>
        <v>56.971864</v>
      </c>
      <c r="Q3910" s="13">
        <f>IFERROR(__xludf.DUMMYFUNCTION("VALUE(SUBSTITUTE((INDEX(SPLIT(A3910,"",""),2)),""."","","",1))"),60.581026)</f>
        <v>60.581026</v>
      </c>
      <c r="R3910" s="14" t="b">
        <f t="shared" si="1"/>
        <v>0</v>
      </c>
      <c r="S3910" s="14" t="str">
        <f t="shared" si="2"/>
        <v>56.971864,60.581026</v>
      </c>
      <c r="T3910" s="12"/>
    </row>
    <row r="3911">
      <c r="A3911" s="7" t="s">
        <v>25154</v>
      </c>
      <c r="B3911" s="8" t="s">
        <v>25155</v>
      </c>
      <c r="C3911" s="8" t="s">
        <v>25156</v>
      </c>
      <c r="D3911" s="8" t="s">
        <v>16</v>
      </c>
      <c r="E3911" s="9" t="s">
        <v>25157</v>
      </c>
      <c r="F3911" s="10" t="s">
        <v>19948</v>
      </c>
      <c r="G3911" s="8">
        <v>23.61</v>
      </c>
      <c r="H3911" s="8"/>
      <c r="I3911" s="10"/>
      <c r="J3911" s="10" t="s">
        <v>25158</v>
      </c>
      <c r="K3911" s="10" t="s">
        <v>25159</v>
      </c>
      <c r="L3911" s="11" t="s">
        <v>25160</v>
      </c>
      <c r="M3911" s="10"/>
      <c r="N3911" s="12"/>
      <c r="O3911" s="12"/>
      <c r="P3911" s="13">
        <f>IFERROR(__xludf.DUMMYFUNCTION("VALUE(SUBSTITUTE((INDEX(SPLIT(A3911,"",""),1)),""."","","",1))"),56.796042)</f>
        <v>56.796042</v>
      </c>
      <c r="Q3911" s="13">
        <f>IFERROR(__xludf.DUMMYFUNCTION("VALUE(SUBSTITUTE((INDEX(SPLIT(A3911,"",""),2)),""."","","",1))"),60.582643)</f>
        <v>60.582643</v>
      </c>
      <c r="R3911" s="14" t="b">
        <f t="shared" si="1"/>
        <v>0</v>
      </c>
      <c r="S3911" s="14" t="str">
        <f t="shared" si="2"/>
        <v>56.796042,60.582643</v>
      </c>
      <c r="T3911" s="12"/>
    </row>
    <row r="3912">
      <c r="A3912" s="15" t="s">
        <v>25161</v>
      </c>
      <c r="B3912" s="16" t="s">
        <v>25162</v>
      </c>
      <c r="C3912" s="16" t="s">
        <v>25163</v>
      </c>
      <c r="D3912" s="16" t="s">
        <v>16</v>
      </c>
      <c r="E3912" s="17" t="s">
        <v>25164</v>
      </c>
      <c r="F3912" s="16" t="s">
        <v>19948</v>
      </c>
      <c r="G3912" s="16">
        <v>23.61</v>
      </c>
      <c r="H3912" s="16"/>
      <c r="I3912" s="16"/>
      <c r="J3912" s="16" t="s">
        <v>25158</v>
      </c>
      <c r="K3912" s="16" t="s">
        <v>25165</v>
      </c>
      <c r="L3912" s="16"/>
      <c r="M3912" s="16"/>
      <c r="N3912" s="12"/>
      <c r="O3912" s="12"/>
      <c r="P3912" s="13">
        <f>IFERROR(__xludf.DUMMYFUNCTION("VALUE(SUBSTITUTE((INDEX(SPLIT(A3912,"",""),1)),""."","","",1))"),56.817075)</f>
        <v>56.817075</v>
      </c>
      <c r="Q3912" s="13">
        <f>IFERROR(__xludf.DUMMYFUNCTION("VALUE(SUBSTITUTE((INDEX(SPLIT(A3912,"",""),2)),""."","","",1))"),60.584359)</f>
        <v>60.584359</v>
      </c>
      <c r="R3912" s="14" t="b">
        <f t="shared" si="1"/>
        <v>0</v>
      </c>
      <c r="S3912" s="14" t="str">
        <f t="shared" si="2"/>
        <v>56.817075,60.584359</v>
      </c>
      <c r="T3912" s="12"/>
    </row>
    <row r="3913">
      <c r="A3913" s="18" t="s">
        <v>25166</v>
      </c>
      <c r="B3913" s="8" t="s">
        <v>25167</v>
      </c>
      <c r="C3913" s="8" t="s">
        <v>25168</v>
      </c>
      <c r="D3913" s="8" t="s">
        <v>16</v>
      </c>
      <c r="E3913" s="19" t="s">
        <v>25169</v>
      </c>
      <c r="F3913" s="8" t="s">
        <v>13359</v>
      </c>
      <c r="G3913" s="8">
        <v>23.61</v>
      </c>
      <c r="H3913" s="8"/>
      <c r="I3913" s="27" t="s">
        <v>25170</v>
      </c>
      <c r="J3913" s="8" t="s">
        <v>25171</v>
      </c>
      <c r="K3913" s="8" t="s">
        <v>25172</v>
      </c>
      <c r="L3913" s="8"/>
      <c r="M3913" s="24" t="s">
        <v>25173</v>
      </c>
      <c r="N3913" s="12"/>
      <c r="O3913" s="12"/>
      <c r="P3913" s="13">
        <f>IFERROR(__xludf.DUMMYFUNCTION("VALUE(SUBSTITUTE((INDEX(SPLIT(A3913,"",""),1)),""."","","",1))"),56.833476)</f>
        <v>56.833476</v>
      </c>
      <c r="Q3913" s="13">
        <f>IFERROR(__xludf.DUMMYFUNCTION("VALUE(SUBSTITUTE((INDEX(SPLIT(A3913,"",""),2)),""."","","",1))"),60.586937)</f>
        <v>60.586937</v>
      </c>
      <c r="R3913" s="14" t="b">
        <f t="shared" si="1"/>
        <v>0</v>
      </c>
      <c r="S3913" s="14" t="str">
        <f t="shared" si="2"/>
        <v>56.833476,60.586937</v>
      </c>
      <c r="T3913" s="12"/>
    </row>
    <row r="3914">
      <c r="A3914" s="15" t="s">
        <v>25174</v>
      </c>
      <c r="B3914" s="16" t="s">
        <v>516</v>
      </c>
      <c r="C3914" s="16" t="s">
        <v>517</v>
      </c>
      <c r="D3914" s="16" t="s">
        <v>16</v>
      </c>
      <c r="E3914" s="17" t="s">
        <v>25175</v>
      </c>
      <c r="F3914" s="16" t="s">
        <v>19948</v>
      </c>
      <c r="G3914" s="16">
        <v>23.61</v>
      </c>
      <c r="H3914" s="16"/>
      <c r="I3914" s="32" t="s">
        <v>25176</v>
      </c>
      <c r="J3914" s="16" t="s">
        <v>25177</v>
      </c>
      <c r="K3914" s="16" t="s">
        <v>25178</v>
      </c>
      <c r="L3914" s="16"/>
      <c r="M3914" s="25" t="s">
        <v>25179</v>
      </c>
      <c r="N3914" s="12"/>
      <c r="O3914" s="12"/>
      <c r="P3914" s="13">
        <f>IFERROR(__xludf.DUMMYFUNCTION("VALUE(SUBSTITUTE((INDEX(SPLIT(A3914,"",""),1)),""."","","",1))"),56.83197)</f>
        <v>56.83197</v>
      </c>
      <c r="Q3914" s="13">
        <f>IFERROR(__xludf.DUMMYFUNCTION("VALUE(SUBSTITUTE((INDEX(SPLIT(A3914,"",""),2)),""."","","",1))"),60.587638)</f>
        <v>60.587638</v>
      </c>
      <c r="R3914" s="14" t="b">
        <f t="shared" si="1"/>
        <v>0</v>
      </c>
      <c r="S3914" s="14" t="str">
        <f t="shared" si="2"/>
        <v>56.83197,60.587638</v>
      </c>
      <c r="T3914" s="12"/>
    </row>
    <row r="3915">
      <c r="A3915" s="18" t="s">
        <v>25180</v>
      </c>
      <c r="B3915" s="8" t="s">
        <v>25181</v>
      </c>
      <c r="C3915" s="8" t="s">
        <v>25182</v>
      </c>
      <c r="D3915" s="8" t="s">
        <v>16</v>
      </c>
      <c r="E3915" s="19" t="s">
        <v>25183</v>
      </c>
      <c r="F3915" s="8" t="s">
        <v>10183</v>
      </c>
      <c r="G3915" s="8">
        <v>23.61</v>
      </c>
      <c r="H3915" s="8"/>
      <c r="I3915" s="8"/>
      <c r="J3915" s="8" t="s">
        <v>25184</v>
      </c>
      <c r="K3915" s="8" t="s">
        <v>25185</v>
      </c>
      <c r="L3915" s="8"/>
      <c r="M3915" s="24" t="s">
        <v>25186</v>
      </c>
      <c r="N3915" s="12"/>
      <c r="O3915" s="12"/>
      <c r="P3915" s="13">
        <f>IFERROR(__xludf.DUMMYFUNCTION("VALUE(SUBSTITUTE((INDEX(SPLIT(A3915,"",""),1)),""."","","",1))"),56.831433)</f>
        <v>56.831433</v>
      </c>
      <c r="Q3915" s="13">
        <f>IFERROR(__xludf.DUMMYFUNCTION("VALUE(SUBSTITUTE((INDEX(SPLIT(A3915,"",""),2)),""."","","",1))"),60.588716)</f>
        <v>60.588716</v>
      </c>
      <c r="R3915" s="14" t="b">
        <f t="shared" si="1"/>
        <v>0</v>
      </c>
      <c r="S3915" s="14" t="str">
        <f t="shared" si="2"/>
        <v>56.831433,60.588716</v>
      </c>
      <c r="T3915" s="12"/>
    </row>
    <row r="3916">
      <c r="A3916" s="20" t="s">
        <v>25187</v>
      </c>
      <c r="B3916" s="16" t="s">
        <v>25188</v>
      </c>
      <c r="C3916" s="16" t="s">
        <v>25189</v>
      </c>
      <c r="D3916" s="16" t="s">
        <v>16</v>
      </c>
      <c r="E3916" s="21" t="s">
        <v>25190</v>
      </c>
      <c r="F3916" s="22" t="s">
        <v>17780</v>
      </c>
      <c r="G3916" s="16">
        <v>23.61</v>
      </c>
      <c r="H3916" s="16"/>
      <c r="I3916" s="22"/>
      <c r="J3916" s="22" t="s">
        <v>25191</v>
      </c>
      <c r="K3916" s="22" t="s">
        <v>25192</v>
      </c>
      <c r="L3916" s="23" t="s">
        <v>25193</v>
      </c>
      <c r="M3916" s="22"/>
      <c r="N3916" s="12"/>
      <c r="O3916" s="12"/>
      <c r="P3916" s="13">
        <f>IFERROR(__xludf.DUMMYFUNCTION("VALUE(SUBSTITUTE((INDEX(SPLIT(A3916,"",""),1)),""."","","",1))"),56.885274)</f>
        <v>56.885274</v>
      </c>
      <c r="Q3916" s="13">
        <f>IFERROR(__xludf.DUMMYFUNCTION("VALUE(SUBSTITUTE((INDEX(SPLIT(A3916,"",""),2)),""."","","",1))"),60.588743)</f>
        <v>60.588743</v>
      </c>
      <c r="R3916" s="14" t="b">
        <f t="shared" si="1"/>
        <v>0</v>
      </c>
      <c r="S3916" s="14" t="str">
        <f t="shared" si="2"/>
        <v>56.885274,60.588743</v>
      </c>
      <c r="T3916" s="12"/>
    </row>
    <row r="3917">
      <c r="A3917" s="18" t="s">
        <v>25194</v>
      </c>
      <c r="B3917" s="8" t="s">
        <v>22404</v>
      </c>
      <c r="C3917" s="8" t="s">
        <v>22405</v>
      </c>
      <c r="D3917" s="8" t="s">
        <v>16</v>
      </c>
      <c r="E3917" s="19" t="s">
        <v>25195</v>
      </c>
      <c r="F3917" s="8" t="s">
        <v>10183</v>
      </c>
      <c r="G3917" s="8">
        <v>23.61</v>
      </c>
      <c r="H3917" s="8"/>
      <c r="I3917" s="8"/>
      <c r="J3917" s="8" t="s">
        <v>25196</v>
      </c>
      <c r="K3917" s="8" t="s">
        <v>25197</v>
      </c>
      <c r="L3917" s="8"/>
      <c r="M3917" s="8"/>
      <c r="N3917" s="12"/>
      <c r="O3917" s="12"/>
      <c r="P3917" s="13">
        <f>IFERROR(__xludf.DUMMYFUNCTION("VALUE(SUBSTITUTE((INDEX(SPLIT(A3917,"",""),1)),""."","","",1))"),56.756651)</f>
        <v>56.756651</v>
      </c>
      <c r="Q3917" s="13">
        <f>IFERROR(__xludf.DUMMYFUNCTION("VALUE(SUBSTITUTE((INDEX(SPLIT(A3917,"",""),2)),""."","","",1))"),60.589713)</f>
        <v>60.589713</v>
      </c>
      <c r="R3917" s="14" t="b">
        <f t="shared" si="1"/>
        <v>0</v>
      </c>
      <c r="S3917" s="14" t="str">
        <f t="shared" si="2"/>
        <v>56.756651,60.589713</v>
      </c>
      <c r="T3917" s="12"/>
    </row>
    <row r="3918">
      <c r="A3918" s="20" t="s">
        <v>25198</v>
      </c>
      <c r="B3918" s="16" t="s">
        <v>25199</v>
      </c>
      <c r="C3918" s="16" t="s">
        <v>25200</v>
      </c>
      <c r="D3918" s="16" t="s">
        <v>16</v>
      </c>
      <c r="E3918" s="21" t="s">
        <v>25201</v>
      </c>
      <c r="F3918" s="22" t="s">
        <v>10183</v>
      </c>
      <c r="G3918" s="16">
        <v>23.61</v>
      </c>
      <c r="H3918" s="16"/>
      <c r="I3918" s="22"/>
      <c r="J3918" s="22" t="s">
        <v>25196</v>
      </c>
      <c r="K3918" s="22" t="s">
        <v>24625</v>
      </c>
      <c r="L3918" s="23" t="s">
        <v>25202</v>
      </c>
      <c r="M3918" s="22"/>
      <c r="N3918" s="12"/>
      <c r="O3918" s="12"/>
      <c r="P3918" s="13">
        <f>IFERROR(__xludf.DUMMYFUNCTION("VALUE(SUBSTITUTE((INDEX(SPLIT(A3918,"",""),1)),""."","","",1))"),56.861658)</f>
        <v>56.861658</v>
      </c>
      <c r="Q3918" s="13">
        <f>IFERROR(__xludf.DUMMYFUNCTION("VALUE(SUBSTITUTE((INDEX(SPLIT(A3918,"",""),2)),""."","","",1))"),60.59221)</f>
        <v>60.59221</v>
      </c>
      <c r="R3918" s="14" t="b">
        <f t="shared" si="1"/>
        <v>0</v>
      </c>
      <c r="S3918" s="14" t="str">
        <f t="shared" si="2"/>
        <v>56.861658,60.59221</v>
      </c>
      <c r="T3918" s="12"/>
    </row>
    <row r="3919">
      <c r="A3919" s="18" t="s">
        <v>25203</v>
      </c>
      <c r="B3919" s="8" t="s">
        <v>25204</v>
      </c>
      <c r="C3919" s="8" t="s">
        <v>25205</v>
      </c>
      <c r="D3919" s="8" t="s">
        <v>16</v>
      </c>
      <c r="E3919" s="19" t="s">
        <v>25206</v>
      </c>
      <c r="F3919" s="8" t="s">
        <v>3760</v>
      </c>
      <c r="G3919" s="8">
        <v>23.61</v>
      </c>
      <c r="H3919" s="8"/>
      <c r="I3919" s="27" t="s">
        <v>25207</v>
      </c>
      <c r="J3919" s="8" t="s">
        <v>25208</v>
      </c>
      <c r="K3919" s="8" t="s">
        <v>25209</v>
      </c>
      <c r="L3919" s="8"/>
      <c r="M3919" s="8"/>
      <c r="N3919" s="12"/>
      <c r="O3919" s="12"/>
      <c r="P3919" s="13">
        <f>IFERROR(__xludf.DUMMYFUNCTION("VALUE(SUBSTITUTE((INDEX(SPLIT(A3919,"",""),1)),""."","","",1))"),56.889026)</f>
        <v>56.889026</v>
      </c>
      <c r="Q3919" s="13">
        <f>IFERROR(__xludf.DUMMYFUNCTION("VALUE(SUBSTITUTE((INDEX(SPLIT(A3919,"",""),2)),""."","","",1))"),60.594205)</f>
        <v>60.594205</v>
      </c>
      <c r="R3919" s="14" t="b">
        <f t="shared" si="1"/>
        <v>0</v>
      </c>
      <c r="S3919" s="14" t="str">
        <f t="shared" si="2"/>
        <v>56.889026,60.594205</v>
      </c>
      <c r="T3919" s="12"/>
    </row>
    <row r="3920">
      <c r="A3920" s="15" t="s">
        <v>25210</v>
      </c>
      <c r="B3920" s="16" t="s">
        <v>25211</v>
      </c>
      <c r="C3920" s="16" t="s">
        <v>25212</v>
      </c>
      <c r="D3920" s="16" t="s">
        <v>16</v>
      </c>
      <c r="E3920" s="17" t="s">
        <v>25213</v>
      </c>
      <c r="F3920" s="16" t="s">
        <v>13359</v>
      </c>
      <c r="G3920" s="16">
        <v>23.61</v>
      </c>
      <c r="H3920" s="16"/>
      <c r="I3920" s="16"/>
      <c r="J3920" s="16" t="s">
        <v>25214</v>
      </c>
      <c r="K3920" s="16" t="s">
        <v>25215</v>
      </c>
      <c r="L3920" s="16"/>
      <c r="M3920" s="16"/>
      <c r="N3920" s="12"/>
      <c r="O3920" s="12"/>
      <c r="P3920" s="13">
        <f>IFERROR(__xludf.DUMMYFUNCTION("VALUE(SUBSTITUTE((INDEX(SPLIT(A3920,"",""),1)),""."","","",1))"),56.813365)</f>
        <v>56.813365</v>
      </c>
      <c r="Q3920" s="13">
        <f>IFERROR(__xludf.DUMMYFUNCTION("VALUE(SUBSTITUTE((INDEX(SPLIT(A3920,"",""),2)),""."","","",1))"),60.595166)</f>
        <v>60.595166</v>
      </c>
      <c r="R3920" s="14" t="b">
        <f t="shared" si="1"/>
        <v>0</v>
      </c>
      <c r="S3920" s="14" t="str">
        <f t="shared" si="2"/>
        <v>56.813365,60.595166</v>
      </c>
      <c r="T3920" s="12"/>
    </row>
    <row r="3921">
      <c r="A3921" s="18" t="s">
        <v>25216</v>
      </c>
      <c r="B3921" s="8" t="s">
        <v>25217</v>
      </c>
      <c r="C3921" s="8" t="s">
        <v>25218</v>
      </c>
      <c r="D3921" s="8" t="s">
        <v>16</v>
      </c>
      <c r="E3921" s="19" t="s">
        <v>25219</v>
      </c>
      <c r="F3921" s="8" t="s">
        <v>13359</v>
      </c>
      <c r="G3921" s="8">
        <v>23.61</v>
      </c>
      <c r="H3921" s="8"/>
      <c r="I3921" s="8"/>
      <c r="J3921" s="8" t="s">
        <v>25220</v>
      </c>
      <c r="K3921" s="8" t="s">
        <v>25221</v>
      </c>
      <c r="L3921" s="8"/>
      <c r="M3921" s="24" t="s">
        <v>25222</v>
      </c>
      <c r="N3921" s="12"/>
      <c r="O3921" s="12"/>
      <c r="P3921" s="13">
        <f>IFERROR(__xludf.DUMMYFUNCTION("VALUE(SUBSTITUTE((INDEX(SPLIT(A3921,"",""),1)),""."","","",1))"),56.977717)</f>
        <v>56.977717</v>
      </c>
      <c r="Q3921" s="13">
        <f>IFERROR(__xludf.DUMMYFUNCTION("VALUE(SUBSTITUTE((INDEX(SPLIT(A3921,"",""),2)),""."","","",1))"),60.59654)</f>
        <v>60.59654</v>
      </c>
      <c r="R3921" s="14" t="b">
        <f t="shared" si="1"/>
        <v>0</v>
      </c>
      <c r="S3921" s="14" t="str">
        <f t="shared" si="2"/>
        <v>56.977717,60.59654</v>
      </c>
      <c r="T3921" s="12"/>
    </row>
    <row r="3922">
      <c r="A3922" s="15" t="s">
        <v>25223</v>
      </c>
      <c r="B3922" s="16" t="s">
        <v>25224</v>
      </c>
      <c r="C3922" s="16" t="s">
        <v>25225</v>
      </c>
      <c r="D3922" s="16" t="s">
        <v>16</v>
      </c>
      <c r="E3922" s="17" t="s">
        <v>25226</v>
      </c>
      <c r="F3922" s="16" t="s">
        <v>13359</v>
      </c>
      <c r="G3922" s="16">
        <v>23.61</v>
      </c>
      <c r="H3922" s="16"/>
      <c r="I3922" s="16"/>
      <c r="J3922" s="16" t="s">
        <v>25227</v>
      </c>
      <c r="K3922" s="16" t="s">
        <v>25228</v>
      </c>
      <c r="L3922" s="16"/>
      <c r="M3922" s="16"/>
      <c r="N3922" s="12"/>
      <c r="O3922" s="12"/>
      <c r="P3922" s="13">
        <f>IFERROR(__xludf.DUMMYFUNCTION("VALUE(SUBSTITUTE((INDEX(SPLIT(A3922,"",""),1)),""."","","",1))"),56.833215)</f>
        <v>56.833215</v>
      </c>
      <c r="Q3922" s="13">
        <f>IFERROR(__xludf.DUMMYFUNCTION("VALUE(SUBSTITUTE((INDEX(SPLIT(A3922,"",""),2)),""."","","",1))"),60.599055)</f>
        <v>60.599055</v>
      </c>
      <c r="R3922" s="14" t="b">
        <f t="shared" si="1"/>
        <v>0</v>
      </c>
      <c r="S3922" s="14" t="str">
        <f t="shared" si="2"/>
        <v>56.833215,60.599055</v>
      </c>
      <c r="T3922" s="12"/>
    </row>
    <row r="3923">
      <c r="A3923" s="18" t="s">
        <v>25229</v>
      </c>
      <c r="B3923" s="8" t="s">
        <v>25230</v>
      </c>
      <c r="C3923" s="8" t="s">
        <v>25231</v>
      </c>
      <c r="D3923" s="8" t="s">
        <v>16</v>
      </c>
      <c r="E3923" s="19" t="s">
        <v>25232</v>
      </c>
      <c r="F3923" s="8" t="s">
        <v>13359</v>
      </c>
      <c r="G3923" s="8">
        <v>23.61</v>
      </c>
      <c r="H3923" s="8"/>
      <c r="I3923" s="8"/>
      <c r="J3923" s="8" t="s">
        <v>25233</v>
      </c>
      <c r="K3923" s="8" t="s">
        <v>25234</v>
      </c>
      <c r="L3923" s="8"/>
      <c r="M3923" s="24" t="s">
        <v>25235</v>
      </c>
      <c r="N3923" s="12"/>
      <c r="O3923" s="12"/>
      <c r="P3923" s="13">
        <f>IFERROR(__xludf.DUMMYFUNCTION("VALUE(SUBSTITUTE((INDEX(SPLIT(A3923,"",""),1)),""."","","",1))"),56.902462)</f>
        <v>56.902462</v>
      </c>
      <c r="Q3923" s="13">
        <f>IFERROR(__xludf.DUMMYFUNCTION("VALUE(SUBSTITUTE((INDEX(SPLIT(A3923,"",""),2)),""."","","",1))"),60.600807)</f>
        <v>60.600807</v>
      </c>
      <c r="R3923" s="14" t="b">
        <f t="shared" si="1"/>
        <v>0</v>
      </c>
      <c r="S3923" s="14" t="str">
        <f t="shared" si="2"/>
        <v>56.902462,60.600807</v>
      </c>
      <c r="T3923" s="12"/>
    </row>
    <row r="3924">
      <c r="A3924" s="20" t="s">
        <v>25236</v>
      </c>
      <c r="B3924" s="16" t="s">
        <v>18833</v>
      </c>
      <c r="C3924" s="16" t="s">
        <v>18834</v>
      </c>
      <c r="D3924" s="16" t="s">
        <v>16</v>
      </c>
      <c r="E3924" s="21" t="s">
        <v>25237</v>
      </c>
      <c r="F3924" s="22" t="s">
        <v>19948</v>
      </c>
      <c r="G3924" s="16">
        <v>23.61</v>
      </c>
      <c r="H3924" s="16"/>
      <c r="I3924" s="22"/>
      <c r="J3924" s="22" t="s">
        <v>25238</v>
      </c>
      <c r="K3924" s="22" t="s">
        <v>25239</v>
      </c>
      <c r="L3924" s="23" t="s">
        <v>25240</v>
      </c>
      <c r="M3924" s="22"/>
      <c r="N3924" s="12"/>
      <c r="O3924" s="12"/>
      <c r="P3924" s="13">
        <f>IFERROR(__xludf.DUMMYFUNCTION("VALUE(SUBSTITUTE((INDEX(SPLIT(A3924,"",""),1)),""."","","",1))"),56.831748)</f>
        <v>56.831748</v>
      </c>
      <c r="Q3924" s="13">
        <f>IFERROR(__xludf.DUMMYFUNCTION("VALUE(SUBSTITUTE((INDEX(SPLIT(A3924,"",""),2)),""."","","",1))"),60.601966)</f>
        <v>60.601966</v>
      </c>
      <c r="R3924" s="14" t="b">
        <f t="shared" si="1"/>
        <v>0</v>
      </c>
      <c r="S3924" s="14" t="str">
        <f t="shared" si="2"/>
        <v>56.831748,60.601966</v>
      </c>
      <c r="T3924" s="12"/>
    </row>
    <row r="3925">
      <c r="A3925" s="7" t="s">
        <v>25241</v>
      </c>
      <c r="B3925" s="8" t="s">
        <v>25242</v>
      </c>
      <c r="C3925" s="8" t="s">
        <v>25243</v>
      </c>
      <c r="D3925" s="8" t="s">
        <v>16</v>
      </c>
      <c r="E3925" s="9" t="s">
        <v>25244</v>
      </c>
      <c r="F3925" s="10" t="s">
        <v>13359</v>
      </c>
      <c r="G3925" s="8">
        <v>23.61</v>
      </c>
      <c r="H3925" s="8"/>
      <c r="I3925" s="10"/>
      <c r="J3925" s="10" t="s">
        <v>25245</v>
      </c>
      <c r="K3925" s="10" t="s">
        <v>25246</v>
      </c>
      <c r="L3925" s="11" t="s">
        <v>25247</v>
      </c>
      <c r="M3925" s="10"/>
      <c r="N3925" s="12"/>
      <c r="O3925" s="12"/>
      <c r="P3925" s="13">
        <f>IFERROR(__xludf.DUMMYFUNCTION("VALUE(SUBSTITUTE((INDEX(SPLIT(A3925,"",""),1)),""."","","",1))"),56.816429)</f>
        <v>56.816429</v>
      </c>
      <c r="Q3925" s="13">
        <f>IFERROR(__xludf.DUMMYFUNCTION("VALUE(SUBSTITUTE((INDEX(SPLIT(A3925,"",""),2)),""."","","",1))"),60.604023)</f>
        <v>60.604023</v>
      </c>
      <c r="R3925" s="14" t="b">
        <f t="shared" si="1"/>
        <v>0</v>
      </c>
      <c r="S3925" s="14" t="str">
        <f t="shared" si="2"/>
        <v>56.816429,60.604023</v>
      </c>
      <c r="T3925" s="12"/>
    </row>
    <row r="3926">
      <c r="A3926" s="20" t="s">
        <v>25248</v>
      </c>
      <c r="B3926" s="16" t="s">
        <v>25249</v>
      </c>
      <c r="C3926" s="16" t="s">
        <v>25250</v>
      </c>
      <c r="D3926" s="16" t="s">
        <v>16</v>
      </c>
      <c r="E3926" s="21" t="s">
        <v>25251</v>
      </c>
      <c r="F3926" s="22" t="s">
        <v>19378</v>
      </c>
      <c r="G3926" s="16">
        <v>23.61</v>
      </c>
      <c r="H3926" s="16"/>
      <c r="I3926" s="22"/>
      <c r="J3926" s="22" t="s">
        <v>25252</v>
      </c>
      <c r="K3926" s="22" t="s">
        <v>25253</v>
      </c>
      <c r="L3926" s="23" t="s">
        <v>25254</v>
      </c>
      <c r="M3926" s="22"/>
      <c r="N3926" s="12"/>
      <c r="O3926" s="12"/>
      <c r="P3926" s="13">
        <f>IFERROR(__xludf.DUMMYFUNCTION("VALUE(SUBSTITUTE((INDEX(SPLIT(A3926,"",""),1)),""."","","",1))"),56.785857)</f>
        <v>56.785857</v>
      </c>
      <c r="Q3926" s="13">
        <f>IFERROR(__xludf.DUMMYFUNCTION("VALUE(SUBSTITUTE((INDEX(SPLIT(A3926,"",""),2)),""."","","",1))"),60.605236)</f>
        <v>60.605236</v>
      </c>
      <c r="R3926" s="14" t="b">
        <f t="shared" si="1"/>
        <v>0</v>
      </c>
      <c r="S3926" s="14" t="str">
        <f t="shared" si="2"/>
        <v>56.785857,60.605236</v>
      </c>
      <c r="T3926" s="12"/>
    </row>
    <row r="3927">
      <c r="A3927" s="7" t="s">
        <v>25255</v>
      </c>
      <c r="B3927" s="8" t="s">
        <v>25256</v>
      </c>
      <c r="C3927" s="8" t="s">
        <v>25257</v>
      </c>
      <c r="D3927" s="8" t="s">
        <v>16</v>
      </c>
      <c r="E3927" s="9" t="s">
        <v>25258</v>
      </c>
      <c r="F3927" s="10" t="s">
        <v>19948</v>
      </c>
      <c r="G3927" s="8">
        <v>23.61</v>
      </c>
      <c r="H3927" s="8"/>
      <c r="I3927" s="10"/>
      <c r="J3927" s="10" t="s">
        <v>25259</v>
      </c>
      <c r="K3927" s="10" t="s">
        <v>25260</v>
      </c>
      <c r="L3927" s="11" t="s">
        <v>25261</v>
      </c>
      <c r="M3927" s="10"/>
      <c r="N3927" s="12"/>
      <c r="O3927" s="12"/>
      <c r="P3927" s="13">
        <f>IFERROR(__xludf.DUMMYFUNCTION("VALUE(SUBSTITUTE((INDEX(SPLIT(A3927,"",""),1)),""."","","",1))"),56.783761)</f>
        <v>56.783761</v>
      </c>
      <c r="Q3927" s="13">
        <f>IFERROR(__xludf.DUMMYFUNCTION("VALUE(SUBSTITUTE((INDEX(SPLIT(A3927,"",""),2)),""."","","",1))"),60.605425)</f>
        <v>60.605425</v>
      </c>
      <c r="R3927" s="14" t="b">
        <f t="shared" si="1"/>
        <v>0</v>
      </c>
      <c r="S3927" s="14" t="str">
        <f t="shared" si="2"/>
        <v>56.783761,60.605425</v>
      </c>
      <c r="T3927" s="12"/>
    </row>
    <row r="3928">
      <c r="A3928" s="15" t="s">
        <v>25262</v>
      </c>
      <c r="B3928" s="16" t="s">
        <v>25263</v>
      </c>
      <c r="C3928" s="16" t="s">
        <v>25264</v>
      </c>
      <c r="D3928" s="16" t="s">
        <v>16</v>
      </c>
      <c r="E3928" s="17" t="s">
        <v>25265</v>
      </c>
      <c r="F3928" s="16" t="s">
        <v>13359</v>
      </c>
      <c r="G3928" s="16">
        <v>23.61</v>
      </c>
      <c r="H3928" s="16"/>
      <c r="I3928" s="32" t="s">
        <v>25266</v>
      </c>
      <c r="J3928" s="16" t="s">
        <v>25267</v>
      </c>
      <c r="K3928" s="16" t="s">
        <v>25268</v>
      </c>
      <c r="L3928" s="16"/>
      <c r="M3928" s="25" t="s">
        <v>25269</v>
      </c>
      <c r="N3928" s="12"/>
      <c r="O3928" s="12"/>
      <c r="P3928" s="13">
        <f>IFERROR(__xludf.DUMMYFUNCTION("VALUE(SUBSTITUTE((INDEX(SPLIT(A3928,"",""),1)),""."","","",1))"),56.772497)</f>
        <v>56.772497</v>
      </c>
      <c r="Q3928" s="13">
        <f>IFERROR(__xludf.DUMMYFUNCTION("VALUE(SUBSTITUTE((INDEX(SPLIT(A3928,"",""),2)),""."","","",1))"),60.606592)</f>
        <v>60.606592</v>
      </c>
      <c r="R3928" s="14" t="b">
        <f t="shared" si="1"/>
        <v>0</v>
      </c>
      <c r="S3928" s="14" t="str">
        <f t="shared" si="2"/>
        <v>56.772497,60.606592</v>
      </c>
      <c r="T3928" s="12"/>
    </row>
    <row r="3929">
      <c r="A3929" s="18" t="s">
        <v>25262</v>
      </c>
      <c r="B3929" s="8" t="s">
        <v>25270</v>
      </c>
      <c r="C3929" s="8" t="s">
        <v>25271</v>
      </c>
      <c r="D3929" s="8" t="s">
        <v>16</v>
      </c>
      <c r="E3929" s="19" t="s">
        <v>25272</v>
      </c>
      <c r="F3929" s="8" t="s">
        <v>10183</v>
      </c>
      <c r="G3929" s="8">
        <v>23.61</v>
      </c>
      <c r="H3929" s="8"/>
      <c r="I3929" s="8"/>
      <c r="J3929" s="8" t="s">
        <v>25273</v>
      </c>
      <c r="K3929" s="8" t="s">
        <v>25274</v>
      </c>
      <c r="L3929" s="8"/>
      <c r="M3929" s="8"/>
      <c r="N3929" s="12"/>
      <c r="O3929" s="12"/>
      <c r="P3929" s="13">
        <f>IFERROR(__xludf.DUMMYFUNCTION("VALUE(SUBSTITUTE((INDEX(SPLIT(A3929,"",""),1)),""."","","",1))"),56.772497)</f>
        <v>56.772497</v>
      </c>
      <c r="Q3929" s="13">
        <f>IFERROR(__xludf.DUMMYFUNCTION("VALUE(SUBSTITUTE((INDEX(SPLIT(A3929,"",""),2)),""."","","",1))"),60.606592)</f>
        <v>60.606592</v>
      </c>
      <c r="R3929" s="14" t="b">
        <f t="shared" si="1"/>
        <v>0</v>
      </c>
      <c r="S3929" s="14" t="str">
        <f t="shared" si="2"/>
        <v>56.772497,60.606592</v>
      </c>
      <c r="T3929" s="12"/>
    </row>
    <row r="3930">
      <c r="A3930" s="20" t="s">
        <v>25275</v>
      </c>
      <c r="B3930" s="16" t="s">
        <v>25276</v>
      </c>
      <c r="C3930" s="16" t="s">
        <v>25277</v>
      </c>
      <c r="D3930" s="16" t="s">
        <v>16</v>
      </c>
      <c r="E3930" s="21" t="s">
        <v>25278</v>
      </c>
      <c r="F3930" s="22" t="s">
        <v>19948</v>
      </c>
      <c r="G3930" s="16">
        <v>23.61</v>
      </c>
      <c r="H3930" s="16"/>
      <c r="I3930" s="22"/>
      <c r="J3930" s="22" t="s">
        <v>25279</v>
      </c>
      <c r="K3930" s="22" t="s">
        <v>25280</v>
      </c>
      <c r="L3930" s="23" t="s">
        <v>25281</v>
      </c>
      <c r="M3930" s="22"/>
      <c r="N3930" s="12"/>
      <c r="O3930" s="12"/>
      <c r="P3930" s="13">
        <f>IFERROR(__xludf.DUMMYFUNCTION("VALUE(SUBSTITUTE((INDEX(SPLIT(A3930,"",""),1)),""."","","",1))"),56.873165)</f>
        <v>56.873165</v>
      </c>
      <c r="Q3930" s="13">
        <f>IFERROR(__xludf.DUMMYFUNCTION("VALUE(SUBSTITUTE((INDEX(SPLIT(A3930,"",""),2)),""."","","",1))"),60.607024)</f>
        <v>60.607024</v>
      </c>
      <c r="R3930" s="14" t="b">
        <f t="shared" si="1"/>
        <v>0</v>
      </c>
      <c r="S3930" s="14" t="str">
        <f t="shared" si="2"/>
        <v>56.873165,60.607024</v>
      </c>
      <c r="T3930" s="12"/>
    </row>
    <row r="3931">
      <c r="A3931" s="7" t="s">
        <v>25282</v>
      </c>
      <c r="B3931" s="8" t="s">
        <v>25283</v>
      </c>
      <c r="C3931" s="8" t="s">
        <v>25284</v>
      </c>
      <c r="D3931" s="8" t="s">
        <v>16</v>
      </c>
      <c r="E3931" s="9" t="s">
        <v>25285</v>
      </c>
      <c r="F3931" s="10" t="s">
        <v>2640</v>
      </c>
      <c r="G3931" s="8">
        <v>23.61</v>
      </c>
      <c r="H3931" s="8"/>
      <c r="I3931" s="10"/>
      <c r="J3931" s="10" t="s">
        <v>25286</v>
      </c>
      <c r="K3931" s="10" t="s">
        <v>25287</v>
      </c>
      <c r="L3931" s="11" t="s">
        <v>25288</v>
      </c>
      <c r="M3931" s="10"/>
      <c r="N3931" s="12"/>
      <c r="O3931" s="12"/>
      <c r="P3931" s="13">
        <f>IFERROR(__xludf.DUMMYFUNCTION("VALUE(SUBSTITUTE((INDEX(SPLIT(A3931,"",""),1)),""."","","",1))"),56.847764)</f>
        <v>56.847764</v>
      </c>
      <c r="Q3931" s="13">
        <f>IFERROR(__xludf.DUMMYFUNCTION("VALUE(SUBSTITUTE((INDEX(SPLIT(A3931,"",""),2)),""."","","",1))"),60.607401)</f>
        <v>60.607401</v>
      </c>
      <c r="R3931" s="14" t="b">
        <f t="shared" si="1"/>
        <v>0</v>
      </c>
      <c r="S3931" s="14" t="str">
        <f t="shared" si="2"/>
        <v>56.847764,60.607401</v>
      </c>
      <c r="T3931" s="12"/>
    </row>
    <row r="3932">
      <c r="A3932" s="15" t="s">
        <v>25289</v>
      </c>
      <c r="B3932" s="16" t="s">
        <v>25290</v>
      </c>
      <c r="C3932" s="16" t="s">
        <v>25291</v>
      </c>
      <c r="D3932" s="16" t="s">
        <v>16</v>
      </c>
      <c r="E3932" s="17" t="s">
        <v>25292</v>
      </c>
      <c r="F3932" s="16" t="s">
        <v>19378</v>
      </c>
      <c r="G3932" s="16">
        <v>23.61</v>
      </c>
      <c r="H3932" s="16"/>
      <c r="I3932" s="16"/>
      <c r="J3932" s="16" t="s">
        <v>25293</v>
      </c>
      <c r="K3932" s="16" t="s">
        <v>25294</v>
      </c>
      <c r="L3932" s="16"/>
      <c r="M3932" s="16"/>
      <c r="N3932" s="12"/>
      <c r="O3932" s="12"/>
      <c r="P3932" s="13">
        <f>IFERROR(__xludf.DUMMYFUNCTION("VALUE(SUBSTITUTE((INDEX(SPLIT(A3932,"",""),1)),""."","","",1))"),56.837051)</f>
        <v>56.837051</v>
      </c>
      <c r="Q3932" s="13">
        <f>IFERROR(__xludf.DUMMYFUNCTION("VALUE(SUBSTITUTE((INDEX(SPLIT(A3932,"",""),2)),""."","","",1))"),60.607428)</f>
        <v>60.607428</v>
      </c>
      <c r="R3932" s="14" t="b">
        <f t="shared" si="1"/>
        <v>0</v>
      </c>
      <c r="S3932" s="14" t="str">
        <f t="shared" si="2"/>
        <v>56.837051,60.607428</v>
      </c>
      <c r="T3932" s="12"/>
    </row>
    <row r="3933">
      <c r="A3933" s="18" t="s">
        <v>25295</v>
      </c>
      <c r="B3933" s="8" t="s">
        <v>25296</v>
      </c>
      <c r="C3933" s="8" t="s">
        <v>25297</v>
      </c>
      <c r="D3933" s="8" t="s">
        <v>16</v>
      </c>
      <c r="E3933" s="19" t="s">
        <v>25298</v>
      </c>
      <c r="F3933" s="8" t="s">
        <v>2640</v>
      </c>
      <c r="G3933" s="8">
        <v>23.61</v>
      </c>
      <c r="H3933" s="8"/>
      <c r="I3933" s="8"/>
      <c r="J3933" s="8" t="s">
        <v>25299</v>
      </c>
      <c r="K3933" s="8" t="s">
        <v>25300</v>
      </c>
      <c r="L3933" s="8"/>
      <c r="M3933" s="24" t="s">
        <v>25301</v>
      </c>
      <c r="N3933" s="12"/>
      <c r="O3933" s="12"/>
      <c r="P3933" s="13">
        <f>IFERROR(__xludf.DUMMYFUNCTION("VALUE(SUBSTITUTE((INDEX(SPLIT(A3933,"",""),1)),""."","","",1))"),56.811788)</f>
        <v>56.811788</v>
      </c>
      <c r="Q3933" s="13">
        <f>IFERROR(__xludf.DUMMYFUNCTION("VALUE(SUBSTITUTE((INDEX(SPLIT(A3933,"",""),2)),""."","","",1))"),60.611425)</f>
        <v>60.611425</v>
      </c>
      <c r="R3933" s="14" t="b">
        <f t="shared" si="1"/>
        <v>0</v>
      </c>
      <c r="S3933" s="14" t="str">
        <f t="shared" si="2"/>
        <v>56.811788,60.611425</v>
      </c>
      <c r="T3933" s="12"/>
    </row>
    <row r="3934">
      <c r="A3934" s="15" t="s">
        <v>25302</v>
      </c>
      <c r="B3934" s="16" t="s">
        <v>25303</v>
      </c>
      <c r="C3934" s="16" t="s">
        <v>25304</v>
      </c>
      <c r="D3934" s="16" t="s">
        <v>16</v>
      </c>
      <c r="E3934" s="17" t="s">
        <v>25305</v>
      </c>
      <c r="F3934" s="16" t="s">
        <v>6724</v>
      </c>
      <c r="G3934" s="16">
        <v>23.61</v>
      </c>
      <c r="H3934" s="16"/>
      <c r="I3934" s="16"/>
      <c r="J3934" s="16" t="s">
        <v>25306</v>
      </c>
      <c r="K3934" s="16" t="s">
        <v>25307</v>
      </c>
      <c r="L3934" s="16"/>
      <c r="M3934" s="16"/>
      <c r="N3934" s="12"/>
      <c r="O3934" s="12"/>
      <c r="P3934" s="13">
        <f>IFERROR(__xludf.DUMMYFUNCTION("VALUE(SUBSTITUTE((INDEX(SPLIT(A3934,"",""),1)),""."","","",1))"),56.776512)</f>
        <v>56.776512</v>
      </c>
      <c r="Q3934" s="13">
        <f>IFERROR(__xludf.DUMMYFUNCTION("VALUE(SUBSTITUTE((INDEX(SPLIT(A3934,"",""),2)),""."","","",1))"),60.612638)</f>
        <v>60.612638</v>
      </c>
      <c r="R3934" s="14" t="b">
        <f t="shared" si="1"/>
        <v>0</v>
      </c>
      <c r="S3934" s="14" t="str">
        <f t="shared" si="2"/>
        <v>56.776512,60.612638</v>
      </c>
      <c r="T3934" s="12"/>
    </row>
    <row r="3935">
      <c r="A3935" s="7" t="s">
        <v>25308</v>
      </c>
      <c r="B3935" s="8" t="s">
        <v>25309</v>
      </c>
      <c r="C3935" s="8" t="s">
        <v>25310</v>
      </c>
      <c r="D3935" s="8" t="s">
        <v>16</v>
      </c>
      <c r="E3935" s="9" t="s">
        <v>25311</v>
      </c>
      <c r="F3935" s="10" t="s">
        <v>2640</v>
      </c>
      <c r="G3935" s="8">
        <v>23.61</v>
      </c>
      <c r="H3935" s="8"/>
      <c r="I3935" s="10"/>
      <c r="J3935" s="10" t="s">
        <v>25312</v>
      </c>
      <c r="K3935" s="10" t="s">
        <v>25313</v>
      </c>
      <c r="L3935" s="11" t="s">
        <v>25314</v>
      </c>
      <c r="M3935" s="10"/>
      <c r="N3935" s="12"/>
      <c r="O3935" s="12"/>
      <c r="P3935" s="13">
        <f>IFERROR(__xludf.DUMMYFUNCTION("VALUE(SUBSTITUTE((INDEX(SPLIT(A3935,"",""),1)),""."","","",1))"),56.813995)</f>
        <v>56.813995</v>
      </c>
      <c r="Q3935" s="13">
        <f>IFERROR(__xludf.DUMMYFUNCTION("VALUE(SUBSTITUTE((INDEX(SPLIT(A3935,"",""),2)),""."","","",1))"),60.613015)</f>
        <v>60.613015</v>
      </c>
      <c r="R3935" s="14" t="b">
        <f t="shared" si="1"/>
        <v>0</v>
      </c>
      <c r="S3935" s="14" t="str">
        <f t="shared" si="2"/>
        <v>56.813995,60.613015</v>
      </c>
      <c r="T3935" s="12"/>
    </row>
    <row r="3936">
      <c r="A3936" s="20" t="s">
        <v>25315</v>
      </c>
      <c r="B3936" s="16" t="s">
        <v>25316</v>
      </c>
      <c r="C3936" s="16" t="s">
        <v>25317</v>
      </c>
      <c r="D3936" s="16" t="s">
        <v>16</v>
      </c>
      <c r="E3936" s="21" t="s">
        <v>25318</v>
      </c>
      <c r="F3936" s="22" t="s">
        <v>19948</v>
      </c>
      <c r="G3936" s="16">
        <v>23.61</v>
      </c>
      <c r="H3936" s="16"/>
      <c r="I3936" s="22"/>
      <c r="J3936" s="22" t="s">
        <v>25319</v>
      </c>
      <c r="K3936" s="22" t="s">
        <v>25320</v>
      </c>
      <c r="L3936" s="23" t="s">
        <v>25321</v>
      </c>
      <c r="M3936" s="22"/>
      <c r="N3936" s="12"/>
      <c r="O3936" s="12"/>
      <c r="P3936" s="13">
        <f>IFERROR(__xludf.DUMMYFUNCTION("VALUE(SUBSTITUTE((INDEX(SPLIT(A3936,"",""),1)),""."","","",1))"),56.799591)</f>
        <v>56.799591</v>
      </c>
      <c r="Q3936" s="13">
        <f>IFERROR(__xludf.DUMMYFUNCTION("VALUE(SUBSTITUTE((INDEX(SPLIT(A3936,"",""),2)),""."","","",1))"),60.61386)</f>
        <v>60.61386</v>
      </c>
      <c r="R3936" s="14" t="b">
        <f t="shared" si="1"/>
        <v>0</v>
      </c>
      <c r="S3936" s="14" t="str">
        <f t="shared" si="2"/>
        <v>56.799591,60.61386</v>
      </c>
      <c r="T3936" s="12"/>
    </row>
    <row r="3937">
      <c r="A3937" s="7" t="s">
        <v>25322</v>
      </c>
      <c r="B3937" s="8" t="s">
        <v>25323</v>
      </c>
      <c r="C3937" s="8" t="s">
        <v>25324</v>
      </c>
      <c r="D3937" s="8" t="s">
        <v>16</v>
      </c>
      <c r="E3937" s="9" t="s">
        <v>25325</v>
      </c>
      <c r="F3937" s="10" t="s">
        <v>19948</v>
      </c>
      <c r="G3937" s="8">
        <v>23.61</v>
      </c>
      <c r="H3937" s="8"/>
      <c r="I3937" s="10"/>
      <c r="J3937" s="10" t="s">
        <v>25326</v>
      </c>
      <c r="K3937" s="10" t="s">
        <v>25327</v>
      </c>
      <c r="L3937" s="29" t="s">
        <v>25328</v>
      </c>
      <c r="M3937" s="10"/>
      <c r="N3937" s="12"/>
      <c r="O3937" s="12"/>
      <c r="P3937" s="13">
        <f>IFERROR(__xludf.DUMMYFUNCTION("VALUE(SUBSTITUTE((INDEX(SPLIT(A3937,"",""),1)),""."","","",1))"),56.849123)</f>
        <v>56.849123</v>
      </c>
      <c r="Q3937" s="13">
        <f>IFERROR(__xludf.DUMMYFUNCTION("VALUE(SUBSTITUTE((INDEX(SPLIT(A3937,"",""),2)),""."","","",1))"),60.614138)</f>
        <v>60.614138</v>
      </c>
      <c r="R3937" s="14" t="b">
        <f t="shared" si="1"/>
        <v>0</v>
      </c>
      <c r="S3937" s="14" t="str">
        <f t="shared" si="2"/>
        <v>56.849123,60.614138</v>
      </c>
      <c r="T3937" s="12"/>
    </row>
    <row r="3938">
      <c r="A3938" s="20" t="s">
        <v>25329</v>
      </c>
      <c r="B3938" s="16" t="s">
        <v>25330</v>
      </c>
      <c r="C3938" s="16" t="s">
        <v>25331</v>
      </c>
      <c r="D3938" s="16" t="s">
        <v>16</v>
      </c>
      <c r="E3938" s="21" t="s">
        <v>25332</v>
      </c>
      <c r="F3938" s="22" t="s">
        <v>19948</v>
      </c>
      <c r="G3938" s="16">
        <v>23.61</v>
      </c>
      <c r="H3938" s="16"/>
      <c r="I3938" s="22"/>
      <c r="J3938" s="22" t="s">
        <v>25333</v>
      </c>
      <c r="K3938" s="22" t="s">
        <v>25334</v>
      </c>
      <c r="L3938" s="23" t="s">
        <v>25335</v>
      </c>
      <c r="M3938" s="22"/>
      <c r="N3938" s="12"/>
      <c r="O3938" s="12"/>
      <c r="P3938" s="13">
        <f>IFERROR(__xludf.DUMMYFUNCTION("VALUE(SUBSTITUTE((INDEX(SPLIT(A3938,"",""),1)),""."","","",1))"),56.836106)</f>
        <v>56.836106</v>
      </c>
      <c r="Q3938" s="13">
        <f>IFERROR(__xludf.DUMMYFUNCTION("VALUE(SUBSTITUTE((INDEX(SPLIT(A3938,"",""),2)),""."","","",1))"),60.61465)</f>
        <v>60.61465</v>
      </c>
      <c r="R3938" s="14" t="b">
        <f t="shared" si="1"/>
        <v>0</v>
      </c>
      <c r="S3938" s="14" t="str">
        <f t="shared" si="2"/>
        <v>56.836106,60.61465</v>
      </c>
      <c r="T3938" s="12"/>
    </row>
    <row r="3939">
      <c r="A3939" s="7" t="s">
        <v>25336</v>
      </c>
      <c r="B3939" s="8" t="s">
        <v>25337</v>
      </c>
      <c r="C3939" s="8" t="s">
        <v>25338</v>
      </c>
      <c r="D3939" s="8" t="s">
        <v>16</v>
      </c>
      <c r="E3939" s="9" t="s">
        <v>25339</v>
      </c>
      <c r="F3939" s="10" t="s">
        <v>19948</v>
      </c>
      <c r="G3939" s="8">
        <v>23.61</v>
      </c>
      <c r="H3939" s="8"/>
      <c r="I3939" s="31" t="s">
        <v>25340</v>
      </c>
      <c r="J3939" s="10" t="s">
        <v>25341</v>
      </c>
      <c r="K3939" s="10" t="s">
        <v>25342</v>
      </c>
      <c r="L3939" s="29" t="s">
        <v>25343</v>
      </c>
      <c r="M3939" s="10"/>
      <c r="N3939" s="12"/>
      <c r="O3939" s="12"/>
      <c r="P3939" s="13">
        <f>IFERROR(__xludf.DUMMYFUNCTION("VALUE(SUBSTITUTE((INDEX(SPLIT(A3939,"",""),1)),""."","","",1))"),56.887669)</f>
        <v>56.887669</v>
      </c>
      <c r="Q3939" s="13">
        <f>IFERROR(__xludf.DUMMYFUNCTION("VALUE(SUBSTITUTE((INDEX(SPLIT(A3939,"",""),2)),""."","","",1))"),60.614938)</f>
        <v>60.614938</v>
      </c>
      <c r="R3939" s="14" t="b">
        <f t="shared" si="1"/>
        <v>0</v>
      </c>
      <c r="S3939" s="14" t="str">
        <f t="shared" si="2"/>
        <v>56.887669,60.614938</v>
      </c>
      <c r="T3939" s="12"/>
    </row>
    <row r="3940">
      <c r="A3940" s="15" t="s">
        <v>25344</v>
      </c>
      <c r="B3940" s="16" t="s">
        <v>25345</v>
      </c>
      <c r="C3940" s="16" t="s">
        <v>25346</v>
      </c>
      <c r="D3940" s="16" t="s">
        <v>16</v>
      </c>
      <c r="E3940" s="17" t="s">
        <v>25347</v>
      </c>
      <c r="F3940" s="16" t="s">
        <v>5134</v>
      </c>
      <c r="G3940" s="16">
        <v>23.61</v>
      </c>
      <c r="H3940" s="16"/>
      <c r="I3940" s="16"/>
      <c r="J3940" s="16" t="s">
        <v>25348</v>
      </c>
      <c r="K3940" s="16" t="s">
        <v>25349</v>
      </c>
      <c r="L3940" s="16"/>
      <c r="M3940" s="16"/>
      <c r="N3940" s="12"/>
      <c r="O3940" s="12"/>
      <c r="P3940" s="13">
        <f>IFERROR(__xludf.DUMMYFUNCTION("VALUE(SUBSTITUTE((INDEX(SPLIT(A3940,"",""),1)),""."","","",1))"),56.79554)</f>
        <v>56.79554</v>
      </c>
      <c r="Q3940" s="13">
        <f>IFERROR(__xludf.DUMMYFUNCTION("VALUE(SUBSTITUTE((INDEX(SPLIT(A3940,"",""),2)),""."","","",1))"),60.615019)</f>
        <v>60.615019</v>
      </c>
      <c r="R3940" s="14" t="b">
        <f t="shared" si="1"/>
        <v>0</v>
      </c>
      <c r="S3940" s="14" t="str">
        <f t="shared" si="2"/>
        <v>56.79554,60.615019</v>
      </c>
      <c r="T3940" s="12"/>
    </row>
    <row r="3941">
      <c r="A3941" s="18" t="s">
        <v>25350</v>
      </c>
      <c r="B3941" s="8" t="s">
        <v>25351</v>
      </c>
      <c r="C3941" s="8" t="s">
        <v>90</v>
      </c>
      <c r="D3941" s="8" t="s">
        <v>16</v>
      </c>
      <c r="E3941" s="19" t="s">
        <v>25352</v>
      </c>
      <c r="F3941" s="8" t="s">
        <v>5134</v>
      </c>
      <c r="G3941" s="8">
        <v>23.61</v>
      </c>
      <c r="H3941" s="8"/>
      <c r="I3941" s="8"/>
      <c r="J3941" s="8" t="s">
        <v>25353</v>
      </c>
      <c r="K3941" s="8" t="s">
        <v>25354</v>
      </c>
      <c r="L3941" s="8"/>
      <c r="M3941" s="8"/>
      <c r="N3941" s="12"/>
      <c r="O3941" s="12"/>
      <c r="P3941" s="13">
        <f>IFERROR(__xludf.DUMMYFUNCTION("VALUE(SUBSTITUTE((INDEX(SPLIT(A3941,"",""),1)),""."","","",1))"),56.799315)</f>
        <v>56.799315</v>
      </c>
      <c r="Q3941" s="13">
        <f>IFERROR(__xludf.DUMMYFUNCTION("VALUE(SUBSTITUTE((INDEX(SPLIT(A3941,"",""),2)),""."","","",1))"),60.615234)</f>
        <v>60.615234</v>
      </c>
      <c r="R3941" s="14" t="b">
        <f t="shared" si="1"/>
        <v>0</v>
      </c>
      <c r="S3941" s="14" t="str">
        <f t="shared" si="2"/>
        <v>56.799315,60.615234</v>
      </c>
      <c r="T3941" s="12"/>
    </row>
    <row r="3942">
      <c r="A3942" s="20" t="s">
        <v>25355</v>
      </c>
      <c r="B3942" s="16" t="s">
        <v>25356</v>
      </c>
      <c r="C3942" s="16" t="s">
        <v>25357</v>
      </c>
      <c r="D3942" s="16" t="s">
        <v>16</v>
      </c>
      <c r="E3942" s="21" t="s">
        <v>25358</v>
      </c>
      <c r="F3942" s="22" t="s">
        <v>19948</v>
      </c>
      <c r="G3942" s="16">
        <v>23.61</v>
      </c>
      <c r="H3942" s="16"/>
      <c r="I3942" s="22"/>
      <c r="J3942" s="22" t="s">
        <v>25359</v>
      </c>
      <c r="K3942" s="22" t="s">
        <v>25360</v>
      </c>
      <c r="L3942" s="23" t="s">
        <v>25361</v>
      </c>
      <c r="M3942" s="22"/>
      <c r="N3942" s="12"/>
      <c r="O3942" s="12"/>
      <c r="P3942" s="13">
        <f>IFERROR(__xludf.DUMMYFUNCTION("VALUE(SUBSTITUTE((INDEX(SPLIT(A3942,"",""),1)),""."","","",1))"),56.803968)</f>
        <v>56.803968</v>
      </c>
      <c r="Q3942" s="13">
        <f>IFERROR(__xludf.DUMMYFUNCTION("VALUE(SUBSTITUTE((INDEX(SPLIT(A3942,"",""),2)),""."","","",1))"),60.616079)</f>
        <v>60.616079</v>
      </c>
      <c r="R3942" s="14" t="b">
        <f t="shared" si="1"/>
        <v>0</v>
      </c>
      <c r="S3942" s="14" t="str">
        <f t="shared" si="2"/>
        <v>56.803968,60.616079</v>
      </c>
      <c r="T3942" s="12"/>
    </row>
    <row r="3943">
      <c r="A3943" s="7" t="s">
        <v>25362</v>
      </c>
      <c r="B3943" s="8" t="s">
        <v>25363</v>
      </c>
      <c r="C3943" s="8" t="s">
        <v>25364</v>
      </c>
      <c r="D3943" s="8" t="s">
        <v>16</v>
      </c>
      <c r="E3943" s="9" t="s">
        <v>25365</v>
      </c>
      <c r="F3943" s="10" t="s">
        <v>5134</v>
      </c>
      <c r="G3943" s="8">
        <v>23.61</v>
      </c>
      <c r="H3943" s="8"/>
      <c r="I3943" s="10"/>
      <c r="J3943" s="10" t="s">
        <v>25366</v>
      </c>
      <c r="K3943" s="10" t="s">
        <v>25367</v>
      </c>
      <c r="L3943" s="11" t="s">
        <v>25368</v>
      </c>
      <c r="M3943" s="11" t="s">
        <v>25369</v>
      </c>
      <c r="N3943" s="12"/>
      <c r="O3943" s="12"/>
      <c r="P3943" s="13">
        <f>IFERROR(__xludf.DUMMYFUNCTION("VALUE(SUBSTITUTE((INDEX(SPLIT(A3943,"",""),1)),""."","","",1))"),56.965638)</f>
        <v>56.965638</v>
      </c>
      <c r="Q3943" s="13">
        <f>IFERROR(__xludf.DUMMYFUNCTION("VALUE(SUBSTITUTE((INDEX(SPLIT(A3943,"",""),2)),""."","","",1))"),60.616258)</f>
        <v>60.616258</v>
      </c>
      <c r="R3943" s="14" t="b">
        <f t="shared" si="1"/>
        <v>0</v>
      </c>
      <c r="S3943" s="14" t="str">
        <f t="shared" si="2"/>
        <v>56.965638,60.616258</v>
      </c>
      <c r="T3943" s="12"/>
    </row>
    <row r="3944">
      <c r="A3944" s="20" t="s">
        <v>25370</v>
      </c>
      <c r="B3944" s="16" t="s">
        <v>25371</v>
      </c>
      <c r="C3944" s="16" t="s">
        <v>25372</v>
      </c>
      <c r="D3944" s="16" t="s">
        <v>16</v>
      </c>
      <c r="E3944" s="21" t="s">
        <v>25373</v>
      </c>
      <c r="F3944" s="22" t="s">
        <v>19948</v>
      </c>
      <c r="G3944" s="16">
        <v>23.61</v>
      </c>
      <c r="H3944" s="16"/>
      <c r="I3944" s="22"/>
      <c r="J3944" s="22" t="s">
        <v>25374</v>
      </c>
      <c r="K3944" s="22" t="s">
        <v>25375</v>
      </c>
      <c r="L3944" s="30" t="s">
        <v>25376</v>
      </c>
      <c r="M3944" s="22"/>
      <c r="N3944" s="12"/>
      <c r="O3944" s="12"/>
      <c r="P3944" s="13">
        <f>IFERROR(__xludf.DUMMYFUNCTION("VALUE(SUBSTITUTE((INDEX(SPLIT(A3944,"",""),1)),""."","","",1))"),56.787292)</f>
        <v>56.787292</v>
      </c>
      <c r="Q3944" s="13">
        <f>IFERROR(__xludf.DUMMYFUNCTION("VALUE(SUBSTITUTE((INDEX(SPLIT(A3944,"",""),2)),""."","","",1))"),60.61651)</f>
        <v>60.61651</v>
      </c>
      <c r="R3944" s="14" t="b">
        <f t="shared" si="1"/>
        <v>0</v>
      </c>
      <c r="S3944" s="14" t="str">
        <f t="shared" si="2"/>
        <v>56.787292,60.61651</v>
      </c>
      <c r="T3944" s="12"/>
    </row>
    <row r="3945">
      <c r="A3945" s="18" t="s">
        <v>25377</v>
      </c>
      <c r="B3945" s="8" t="s">
        <v>25378</v>
      </c>
      <c r="C3945" s="8" t="s">
        <v>25379</v>
      </c>
      <c r="D3945" s="8" t="s">
        <v>16</v>
      </c>
      <c r="E3945" s="19" t="s">
        <v>25380</v>
      </c>
      <c r="F3945" s="8" t="s">
        <v>5134</v>
      </c>
      <c r="G3945" s="8">
        <v>23.61</v>
      </c>
      <c r="H3945" s="8"/>
      <c r="I3945" s="27" t="s">
        <v>25381</v>
      </c>
      <c r="J3945" s="8" t="s">
        <v>25382</v>
      </c>
      <c r="K3945" s="8" t="s">
        <v>25383</v>
      </c>
      <c r="L3945" s="8"/>
      <c r="M3945" s="24" t="s">
        <v>25384</v>
      </c>
      <c r="N3945" s="12"/>
      <c r="O3945" s="12"/>
      <c r="P3945" s="13">
        <f>IFERROR(__xludf.DUMMYFUNCTION("VALUE(SUBSTITUTE((INDEX(SPLIT(A3945,"",""),1)),""."","","",1))"),56.82275)</f>
        <v>56.82275</v>
      </c>
      <c r="Q3945" s="13">
        <f>IFERROR(__xludf.DUMMYFUNCTION("VALUE(SUBSTITUTE((INDEX(SPLIT(A3945,"",""),2)),""."","","",1))"),60.61774)</f>
        <v>60.61774</v>
      </c>
      <c r="R3945" s="14" t="b">
        <f t="shared" si="1"/>
        <v>0</v>
      </c>
      <c r="S3945" s="14" t="str">
        <f t="shared" si="2"/>
        <v>56.82275,60.61774</v>
      </c>
      <c r="T3945" s="12"/>
    </row>
    <row r="3946">
      <c r="A3946" s="20" t="s">
        <v>25377</v>
      </c>
      <c r="B3946" s="16" t="s">
        <v>24</v>
      </c>
      <c r="C3946" s="16" t="s">
        <v>25</v>
      </c>
      <c r="D3946" s="16" t="s">
        <v>16</v>
      </c>
      <c r="E3946" s="21" t="s">
        <v>25385</v>
      </c>
      <c r="F3946" s="22" t="s">
        <v>5134</v>
      </c>
      <c r="G3946" s="16">
        <v>23.61</v>
      </c>
      <c r="H3946" s="16"/>
      <c r="I3946" s="22"/>
      <c r="J3946" s="22" t="s">
        <v>25386</v>
      </c>
      <c r="K3946" s="22" t="s">
        <v>25387</v>
      </c>
      <c r="L3946" s="23" t="s">
        <v>25388</v>
      </c>
      <c r="M3946" s="22"/>
      <c r="N3946" s="12"/>
      <c r="O3946" s="12"/>
      <c r="P3946" s="13">
        <f>IFERROR(__xludf.DUMMYFUNCTION("VALUE(SUBSTITUTE((INDEX(SPLIT(A3946,"",""),1)),""."","","",1))"),56.82275)</f>
        <v>56.82275</v>
      </c>
      <c r="Q3946" s="13">
        <f>IFERROR(__xludf.DUMMYFUNCTION("VALUE(SUBSTITUTE((INDEX(SPLIT(A3946,"",""),2)),""."","","",1))"),60.61774)</f>
        <v>60.61774</v>
      </c>
      <c r="R3946" s="14" t="b">
        <f t="shared" si="1"/>
        <v>0</v>
      </c>
      <c r="S3946" s="14" t="str">
        <f t="shared" si="2"/>
        <v>56.82275,60.61774</v>
      </c>
      <c r="T3946" s="12"/>
    </row>
    <row r="3947">
      <c r="A3947" s="7" t="s">
        <v>25389</v>
      </c>
      <c r="B3947" s="8" t="s">
        <v>25390</v>
      </c>
      <c r="C3947" s="8" t="s">
        <v>25391</v>
      </c>
      <c r="D3947" s="8" t="s">
        <v>16</v>
      </c>
      <c r="E3947" s="9" t="s">
        <v>25392</v>
      </c>
      <c r="F3947" s="10" t="s">
        <v>19948</v>
      </c>
      <c r="G3947" s="8">
        <v>23.61</v>
      </c>
      <c r="H3947" s="8"/>
      <c r="I3947" s="31" t="s">
        <v>25393</v>
      </c>
      <c r="J3947" s="10" t="s">
        <v>25394</v>
      </c>
      <c r="K3947" s="10" t="s">
        <v>25395</v>
      </c>
      <c r="L3947" s="11" t="s">
        <v>25396</v>
      </c>
      <c r="M3947" s="11" t="s">
        <v>25397</v>
      </c>
      <c r="N3947" s="12"/>
      <c r="O3947" s="12"/>
      <c r="P3947" s="13">
        <f>IFERROR(__xludf.DUMMYFUNCTION("VALUE(SUBSTITUTE((INDEX(SPLIT(A3947,"",""),1)),""."","","",1))"),56.879496)</f>
        <v>56.879496</v>
      </c>
      <c r="Q3947" s="13">
        <f>IFERROR(__xludf.DUMMYFUNCTION("VALUE(SUBSTITUTE((INDEX(SPLIT(A3947,"",""),2)),""."","","",1))"),60.618863)</f>
        <v>60.618863</v>
      </c>
      <c r="R3947" s="14" t="b">
        <f t="shared" si="1"/>
        <v>0</v>
      </c>
      <c r="S3947" s="14" t="str">
        <f t="shared" si="2"/>
        <v>56.879496,60.618863</v>
      </c>
      <c r="T3947" s="12"/>
    </row>
    <row r="3948">
      <c r="A3948" s="20" t="s">
        <v>25398</v>
      </c>
      <c r="B3948" s="16" t="s">
        <v>9191</v>
      </c>
      <c r="C3948" s="16" t="s">
        <v>9192</v>
      </c>
      <c r="D3948" s="16" t="s">
        <v>16</v>
      </c>
      <c r="E3948" s="21" t="s">
        <v>25399</v>
      </c>
      <c r="F3948" s="22" t="s">
        <v>5134</v>
      </c>
      <c r="G3948" s="16">
        <v>23.61</v>
      </c>
      <c r="H3948" s="16"/>
      <c r="I3948" s="22"/>
      <c r="J3948" s="22" t="s">
        <v>25400</v>
      </c>
      <c r="K3948" s="22" t="s">
        <v>25401</v>
      </c>
      <c r="L3948" s="23" t="s">
        <v>25402</v>
      </c>
      <c r="M3948" s="22"/>
      <c r="N3948" s="12"/>
      <c r="O3948" s="12"/>
      <c r="P3948" s="13">
        <f>IFERROR(__xludf.DUMMYFUNCTION("VALUE(SUBSTITUTE((INDEX(SPLIT(A3948,"",""),1)),""."","","",1))"),56.810147)</f>
        <v>56.810147</v>
      </c>
      <c r="Q3948" s="13">
        <f>IFERROR(__xludf.DUMMYFUNCTION("VALUE(SUBSTITUTE((INDEX(SPLIT(A3948,"",""),2)),""."","","",1))"),60.61925)</f>
        <v>60.61925</v>
      </c>
      <c r="R3948" s="14" t="b">
        <f t="shared" si="1"/>
        <v>0</v>
      </c>
      <c r="S3948" s="14" t="str">
        <f t="shared" si="2"/>
        <v>56.810147,60.61925</v>
      </c>
      <c r="T3948" s="12"/>
    </row>
    <row r="3949">
      <c r="A3949" s="7" t="s">
        <v>25403</v>
      </c>
      <c r="B3949" s="8" t="s">
        <v>25404</v>
      </c>
      <c r="C3949" s="8" t="s">
        <v>25405</v>
      </c>
      <c r="D3949" s="8" t="s">
        <v>16</v>
      </c>
      <c r="E3949" s="9" t="s">
        <v>25406</v>
      </c>
      <c r="F3949" s="10" t="s">
        <v>19948</v>
      </c>
      <c r="G3949" s="8">
        <v>23.61</v>
      </c>
      <c r="H3949" s="8"/>
      <c r="I3949" s="10"/>
      <c r="J3949" s="10" t="s">
        <v>25407</v>
      </c>
      <c r="K3949" s="10" t="s">
        <v>25408</v>
      </c>
      <c r="L3949" s="11" t="s">
        <v>25409</v>
      </c>
      <c r="M3949" s="10"/>
      <c r="N3949" s="12"/>
      <c r="O3949" s="12"/>
      <c r="P3949" s="13">
        <f>IFERROR(__xludf.DUMMYFUNCTION("VALUE(SUBSTITUTE((INDEX(SPLIT(A3949,"",""),1)),""."","","",1))"),56.82473)</f>
        <v>56.82473</v>
      </c>
      <c r="Q3949" s="13">
        <f>IFERROR(__xludf.DUMMYFUNCTION("VALUE(SUBSTITUTE((INDEX(SPLIT(A3949,"",""),2)),""."","","",1))"),60.620247)</f>
        <v>60.620247</v>
      </c>
      <c r="R3949" s="14" t="b">
        <f t="shared" si="1"/>
        <v>0</v>
      </c>
      <c r="S3949" s="14" t="str">
        <f t="shared" si="2"/>
        <v>56.82473,60.620247</v>
      </c>
      <c r="T3949" s="12"/>
    </row>
    <row r="3950">
      <c r="A3950" s="20" t="s">
        <v>25410</v>
      </c>
      <c r="B3950" s="16" t="s">
        <v>25411</v>
      </c>
      <c r="C3950" s="16" t="s">
        <v>9634</v>
      </c>
      <c r="D3950" s="16" t="s">
        <v>16</v>
      </c>
      <c r="E3950" s="21" t="s">
        <v>25412</v>
      </c>
      <c r="F3950" s="22" t="s">
        <v>3760</v>
      </c>
      <c r="G3950" s="16">
        <v>23.61</v>
      </c>
      <c r="H3950" s="16"/>
      <c r="I3950" s="22"/>
      <c r="J3950" s="22" t="s">
        <v>25413</v>
      </c>
      <c r="K3950" s="22" t="s">
        <v>25414</v>
      </c>
      <c r="L3950" s="23" t="s">
        <v>25415</v>
      </c>
      <c r="M3950" s="22"/>
      <c r="N3950" s="12"/>
      <c r="O3950" s="12"/>
      <c r="P3950" s="13">
        <f>IFERROR(__xludf.DUMMYFUNCTION("VALUE(SUBSTITUTE((INDEX(SPLIT(A3950,"",""),1)),""."","","",1))"),56.781439)</f>
        <v>56.781439</v>
      </c>
      <c r="Q3950" s="13">
        <f>IFERROR(__xludf.DUMMYFUNCTION("VALUE(SUBSTITUTE((INDEX(SPLIT(A3950,"",""),2)),""."","","",1))"),60.620498)</f>
        <v>60.620498</v>
      </c>
      <c r="R3950" s="14" t="b">
        <f t="shared" si="1"/>
        <v>0</v>
      </c>
      <c r="S3950" s="14" t="str">
        <f t="shared" si="2"/>
        <v>56.781439,60.620498</v>
      </c>
      <c r="T3950" s="12"/>
    </row>
    <row r="3951">
      <c r="A3951" s="18" t="s">
        <v>25416</v>
      </c>
      <c r="B3951" s="8" t="s">
        <v>25417</v>
      </c>
      <c r="C3951" s="8" t="s">
        <v>25418</v>
      </c>
      <c r="D3951" s="8" t="s">
        <v>16</v>
      </c>
      <c r="E3951" s="19" t="s">
        <v>25419</v>
      </c>
      <c r="F3951" s="8" t="s">
        <v>19948</v>
      </c>
      <c r="G3951" s="8">
        <v>23.61</v>
      </c>
      <c r="H3951" s="8"/>
      <c r="I3951" s="8"/>
      <c r="J3951" s="8" t="s">
        <v>25420</v>
      </c>
      <c r="K3951" s="8" t="s">
        <v>25421</v>
      </c>
      <c r="L3951" s="8"/>
      <c r="M3951" s="24" t="s">
        <v>25422</v>
      </c>
      <c r="N3951" s="12"/>
      <c r="O3951" s="12"/>
      <c r="P3951" s="13">
        <f>IFERROR(__xludf.DUMMYFUNCTION("VALUE(SUBSTITUTE((INDEX(SPLIT(A3951,"",""),1)),""."","","",1))"),56.834121)</f>
        <v>56.834121</v>
      </c>
      <c r="Q3951" s="13">
        <f>IFERROR(__xludf.DUMMYFUNCTION("VALUE(SUBSTITUTE((INDEX(SPLIT(A3951,"",""),2)),""."","","",1))"),60.621621)</f>
        <v>60.621621</v>
      </c>
      <c r="R3951" s="14" t="b">
        <f t="shared" si="1"/>
        <v>0</v>
      </c>
      <c r="S3951" s="14" t="str">
        <f t="shared" si="2"/>
        <v>56.834121,60.621621</v>
      </c>
      <c r="T3951" s="12"/>
    </row>
    <row r="3952">
      <c r="A3952" s="20" t="s">
        <v>25416</v>
      </c>
      <c r="B3952" s="16" t="s">
        <v>25423</v>
      </c>
      <c r="C3952" s="16" t="s">
        <v>25424</v>
      </c>
      <c r="D3952" s="16" t="s">
        <v>16</v>
      </c>
      <c r="E3952" s="21" t="s">
        <v>25425</v>
      </c>
      <c r="F3952" s="22" t="s">
        <v>19378</v>
      </c>
      <c r="G3952" s="16">
        <v>23.61</v>
      </c>
      <c r="H3952" s="16"/>
      <c r="I3952" s="22"/>
      <c r="J3952" s="22" t="s">
        <v>25426</v>
      </c>
      <c r="K3952" s="22" t="s">
        <v>25427</v>
      </c>
      <c r="L3952" s="30" t="s">
        <v>25428</v>
      </c>
      <c r="M3952" s="22"/>
      <c r="N3952" s="12"/>
      <c r="O3952" s="12"/>
      <c r="P3952" s="13">
        <f>IFERROR(__xludf.DUMMYFUNCTION("VALUE(SUBSTITUTE((INDEX(SPLIT(A3952,"",""),1)),""."","","",1))"),56.834121)</f>
        <v>56.834121</v>
      </c>
      <c r="Q3952" s="13">
        <f>IFERROR(__xludf.DUMMYFUNCTION("VALUE(SUBSTITUTE((INDEX(SPLIT(A3952,"",""),2)),""."","","",1))"),60.621621)</f>
        <v>60.621621</v>
      </c>
      <c r="R3952" s="14" t="b">
        <f t="shared" si="1"/>
        <v>0</v>
      </c>
      <c r="S3952" s="14" t="str">
        <f t="shared" si="2"/>
        <v>56.834121,60.621621</v>
      </c>
      <c r="T3952" s="12"/>
    </row>
    <row r="3953">
      <c r="A3953" s="7" t="s">
        <v>25429</v>
      </c>
      <c r="B3953" s="8" t="s">
        <v>25430</v>
      </c>
      <c r="C3953" s="8" t="s">
        <v>25431</v>
      </c>
      <c r="D3953" s="8" t="s">
        <v>16</v>
      </c>
      <c r="E3953" s="9" t="s">
        <v>25432</v>
      </c>
      <c r="F3953" s="10" t="s">
        <v>23238</v>
      </c>
      <c r="G3953" s="8">
        <v>23.61</v>
      </c>
      <c r="H3953" s="8"/>
      <c r="I3953" s="10"/>
      <c r="J3953" s="10" t="s">
        <v>25433</v>
      </c>
      <c r="K3953" s="10" t="s">
        <v>25434</v>
      </c>
      <c r="L3953" s="11" t="s">
        <v>25435</v>
      </c>
      <c r="M3953" s="10"/>
      <c r="N3953" s="12"/>
      <c r="O3953" s="12"/>
      <c r="P3953" s="13">
        <f>IFERROR(__xludf.DUMMYFUNCTION("VALUE(SUBSTITUTE((INDEX(SPLIT(A3953,"",""),1)),""."","","",1))"),56.834038)</f>
        <v>56.834038</v>
      </c>
      <c r="Q3953" s="13">
        <f>IFERROR(__xludf.DUMMYFUNCTION("VALUE(SUBSTITUTE((INDEX(SPLIT(A3953,"",""),2)),""."","","",1))"),60.621792)</f>
        <v>60.621792</v>
      </c>
      <c r="R3953" s="14" t="b">
        <f t="shared" si="1"/>
        <v>0</v>
      </c>
      <c r="S3953" s="14" t="str">
        <f t="shared" si="2"/>
        <v>56.834038,60.621792</v>
      </c>
      <c r="T3953" s="12"/>
    </row>
    <row r="3954">
      <c r="A3954" s="20" t="s">
        <v>25436</v>
      </c>
      <c r="B3954" s="16" t="s">
        <v>25437</v>
      </c>
      <c r="C3954" s="16" t="s">
        <v>25438</v>
      </c>
      <c r="D3954" s="16" t="s">
        <v>16</v>
      </c>
      <c r="E3954" s="21" t="s">
        <v>25439</v>
      </c>
      <c r="F3954" s="22" t="s">
        <v>9648</v>
      </c>
      <c r="G3954" s="16">
        <v>23.61</v>
      </c>
      <c r="H3954" s="16"/>
      <c r="I3954" s="22"/>
      <c r="J3954" s="22" t="s">
        <v>25440</v>
      </c>
      <c r="K3954" s="22" t="s">
        <v>25441</v>
      </c>
      <c r="L3954" s="23" t="s">
        <v>25442</v>
      </c>
      <c r="M3954" s="22"/>
      <c r="N3954" s="12"/>
      <c r="O3954" s="12"/>
      <c r="P3954" s="13">
        <f>IFERROR(__xludf.DUMMYFUNCTION("VALUE(SUBSTITUTE((INDEX(SPLIT(A3954,"",""),1)),""."","","",1))"),56.834171)</f>
        <v>56.834171</v>
      </c>
      <c r="Q3954" s="13">
        <f>IFERROR(__xludf.DUMMYFUNCTION("VALUE(SUBSTITUTE((INDEX(SPLIT(A3954,"",""),2)),""."","","",1))"),60.622304)</f>
        <v>60.622304</v>
      </c>
      <c r="R3954" s="14" t="b">
        <f t="shared" si="1"/>
        <v>0</v>
      </c>
      <c r="S3954" s="14" t="str">
        <f t="shared" si="2"/>
        <v>56.834171,60.622304</v>
      </c>
      <c r="T3954" s="12"/>
    </row>
    <row r="3955">
      <c r="A3955" s="18" t="s">
        <v>25443</v>
      </c>
      <c r="B3955" s="8" t="s">
        <v>25444</v>
      </c>
      <c r="C3955" s="8" t="s">
        <v>25445</v>
      </c>
      <c r="D3955" s="8" t="s">
        <v>16</v>
      </c>
      <c r="E3955" s="19" t="s">
        <v>25446</v>
      </c>
      <c r="F3955" s="8" t="s">
        <v>23238</v>
      </c>
      <c r="G3955" s="8">
        <v>23.61</v>
      </c>
      <c r="H3955" s="8"/>
      <c r="I3955" s="8"/>
      <c r="J3955" s="8" t="s">
        <v>25447</v>
      </c>
      <c r="K3955" s="8" t="s">
        <v>25448</v>
      </c>
      <c r="L3955" s="8"/>
      <c r="M3955" s="8"/>
      <c r="N3955" s="12"/>
      <c r="O3955" s="12"/>
      <c r="P3955" s="13">
        <f>IFERROR(__xludf.DUMMYFUNCTION("VALUE(SUBSTITUTE((INDEX(SPLIT(A3955,"",""),1)),""."","","",1))"),56.798177)</f>
        <v>56.798177</v>
      </c>
      <c r="Q3955" s="13">
        <f>IFERROR(__xludf.DUMMYFUNCTION("VALUE(SUBSTITUTE((INDEX(SPLIT(A3955,"",""),2)),""."","","",1))"),60.622313)</f>
        <v>60.622313</v>
      </c>
      <c r="R3955" s="14" t="b">
        <f t="shared" si="1"/>
        <v>0</v>
      </c>
      <c r="S3955" s="14" t="str">
        <f t="shared" si="2"/>
        <v>56.798177,60.622313</v>
      </c>
      <c r="T3955" s="12"/>
    </row>
    <row r="3956">
      <c r="A3956" s="20" t="s">
        <v>25449</v>
      </c>
      <c r="B3956" s="16" t="s">
        <v>25450</v>
      </c>
      <c r="C3956" s="16" t="s">
        <v>25451</v>
      </c>
      <c r="D3956" s="16" t="s">
        <v>16</v>
      </c>
      <c r="E3956" s="21" t="s">
        <v>25452</v>
      </c>
      <c r="F3956" s="22" t="s">
        <v>9648</v>
      </c>
      <c r="G3956" s="16">
        <v>23.61</v>
      </c>
      <c r="H3956" s="16"/>
      <c r="I3956" s="22"/>
      <c r="J3956" s="22" t="s">
        <v>25453</v>
      </c>
      <c r="K3956" s="22" t="s">
        <v>25454</v>
      </c>
      <c r="L3956" s="23" t="s">
        <v>25455</v>
      </c>
      <c r="M3956" s="23" t="s">
        <v>25456</v>
      </c>
      <c r="N3956" s="12"/>
      <c r="O3956" s="12"/>
      <c r="P3956" s="13">
        <f>IFERROR(__xludf.DUMMYFUNCTION("VALUE(SUBSTITUTE((INDEX(SPLIT(A3956,"",""),1)),""."","","",1))"),56.831359)</f>
        <v>56.831359</v>
      </c>
      <c r="Q3956" s="13">
        <f>IFERROR(__xludf.DUMMYFUNCTION("VALUE(SUBSTITUTE((INDEX(SPLIT(A3956,"",""),2)),""."","","",1))"),60.623049)</f>
        <v>60.623049</v>
      </c>
      <c r="R3956" s="14" t="b">
        <f t="shared" si="1"/>
        <v>0</v>
      </c>
      <c r="S3956" s="14" t="str">
        <f t="shared" si="2"/>
        <v>56.831359,60.623049</v>
      </c>
      <c r="T3956" s="12"/>
    </row>
    <row r="3957">
      <c r="A3957" s="7" t="s">
        <v>25457</v>
      </c>
      <c r="B3957" s="8" t="s">
        <v>25458</v>
      </c>
      <c r="C3957" s="8" t="s">
        <v>25459</v>
      </c>
      <c r="D3957" s="8" t="s">
        <v>16</v>
      </c>
      <c r="E3957" s="9" t="s">
        <v>25460</v>
      </c>
      <c r="F3957" s="10" t="s">
        <v>9648</v>
      </c>
      <c r="G3957" s="8">
        <v>23.61</v>
      </c>
      <c r="H3957" s="8"/>
      <c r="I3957" s="31" t="s">
        <v>25461</v>
      </c>
      <c r="J3957" s="10" t="s">
        <v>25462</v>
      </c>
      <c r="K3957" s="10" t="s">
        <v>25463</v>
      </c>
      <c r="L3957" s="11" t="s">
        <v>25464</v>
      </c>
      <c r="M3957" s="11" t="s">
        <v>25465</v>
      </c>
      <c r="N3957" s="12"/>
      <c r="O3957" s="12"/>
      <c r="P3957" s="13">
        <f>IFERROR(__xludf.DUMMYFUNCTION("VALUE(SUBSTITUTE((INDEX(SPLIT(A3957,"",""),1)),""."","","",1))"),56.83973)</f>
        <v>56.83973</v>
      </c>
      <c r="Q3957" s="13">
        <f>IFERROR(__xludf.DUMMYFUNCTION("VALUE(SUBSTITUTE((INDEX(SPLIT(A3957,"",""),2)),""."","","",1))"),60.623193)</f>
        <v>60.623193</v>
      </c>
      <c r="R3957" s="14" t="b">
        <f t="shared" si="1"/>
        <v>0</v>
      </c>
      <c r="S3957" s="14" t="str">
        <f t="shared" si="2"/>
        <v>56.83973,60.623193</v>
      </c>
      <c r="T3957" s="12"/>
    </row>
    <row r="3958">
      <c r="A3958" s="15" t="s">
        <v>25466</v>
      </c>
      <c r="B3958" s="16" t="s">
        <v>25467</v>
      </c>
      <c r="C3958" s="16" t="s">
        <v>25468</v>
      </c>
      <c r="D3958" s="16" t="s">
        <v>16</v>
      </c>
      <c r="E3958" s="17" t="s">
        <v>25469</v>
      </c>
      <c r="F3958" s="16" t="s">
        <v>23165</v>
      </c>
      <c r="G3958" s="16">
        <v>23.61</v>
      </c>
      <c r="H3958" s="16"/>
      <c r="I3958" s="16"/>
      <c r="J3958" s="16" t="s">
        <v>25470</v>
      </c>
      <c r="K3958" s="16" t="s">
        <v>25471</v>
      </c>
      <c r="L3958" s="16"/>
      <c r="M3958" s="16"/>
      <c r="N3958" s="12"/>
      <c r="O3958" s="12"/>
      <c r="P3958" s="13">
        <f>IFERROR(__xludf.DUMMYFUNCTION("VALUE(SUBSTITUTE((INDEX(SPLIT(A3958,"",""),1)),""."","","",1))"),56.787952)</f>
        <v>56.787952</v>
      </c>
      <c r="Q3958" s="13">
        <f>IFERROR(__xludf.DUMMYFUNCTION("VALUE(SUBSTITUTE((INDEX(SPLIT(A3958,"",""),2)),""."","","",1))"),60.625071)</f>
        <v>60.625071</v>
      </c>
      <c r="R3958" s="14" t="b">
        <f t="shared" si="1"/>
        <v>0</v>
      </c>
      <c r="S3958" s="14" t="str">
        <f t="shared" si="2"/>
        <v>56.787952,60.625071</v>
      </c>
      <c r="T3958" s="12"/>
    </row>
    <row r="3959">
      <c r="A3959" s="18" t="s">
        <v>25472</v>
      </c>
      <c r="B3959" s="8" t="s">
        <v>21463</v>
      </c>
      <c r="C3959" s="8" t="s">
        <v>21464</v>
      </c>
      <c r="D3959" s="8" t="s">
        <v>16</v>
      </c>
      <c r="E3959" s="19" t="s">
        <v>25473</v>
      </c>
      <c r="F3959" s="8" t="s">
        <v>3760</v>
      </c>
      <c r="G3959" s="8">
        <v>23.61</v>
      </c>
      <c r="H3959" s="8"/>
      <c r="I3959" s="8"/>
      <c r="J3959" s="8" t="s">
        <v>25474</v>
      </c>
      <c r="K3959" s="8" t="s">
        <v>25475</v>
      </c>
      <c r="L3959" s="8"/>
      <c r="M3959" s="8"/>
      <c r="N3959" s="12"/>
      <c r="O3959" s="12"/>
      <c r="P3959" s="13">
        <f>IFERROR(__xludf.DUMMYFUNCTION("VALUE(SUBSTITUTE((INDEX(SPLIT(A3959,"",""),1)),""."","","",1))"),56.896947)</f>
        <v>56.896947</v>
      </c>
      <c r="Q3959" s="13">
        <f>IFERROR(__xludf.DUMMYFUNCTION("VALUE(SUBSTITUTE((INDEX(SPLIT(A3959,"",""),2)),""."","","",1))"),60.625089)</f>
        <v>60.625089</v>
      </c>
      <c r="R3959" s="14" t="b">
        <f t="shared" si="1"/>
        <v>0</v>
      </c>
      <c r="S3959" s="14" t="str">
        <f t="shared" si="2"/>
        <v>56.896947,60.625089</v>
      </c>
      <c r="T3959" s="12"/>
    </row>
    <row r="3960">
      <c r="A3960" s="20" t="s">
        <v>25472</v>
      </c>
      <c r="B3960" s="16" t="s">
        <v>25476</v>
      </c>
      <c r="C3960" s="16" t="s">
        <v>25477</v>
      </c>
      <c r="D3960" s="16" t="s">
        <v>16</v>
      </c>
      <c r="E3960" s="21" t="s">
        <v>25478</v>
      </c>
      <c r="F3960" s="22" t="s">
        <v>23238</v>
      </c>
      <c r="G3960" s="16">
        <v>23.61</v>
      </c>
      <c r="H3960" s="16"/>
      <c r="I3960" s="22"/>
      <c r="J3960" s="22" t="s">
        <v>25479</v>
      </c>
      <c r="K3960" s="22" t="s">
        <v>25480</v>
      </c>
      <c r="L3960" s="23" t="s">
        <v>25481</v>
      </c>
      <c r="M3960" s="22"/>
      <c r="N3960" s="12"/>
      <c r="O3960" s="12"/>
      <c r="P3960" s="13">
        <f>IFERROR(__xludf.DUMMYFUNCTION("VALUE(SUBSTITUTE((INDEX(SPLIT(A3960,"",""),1)),""."","","",1))"),56.896947)</f>
        <v>56.896947</v>
      </c>
      <c r="Q3960" s="13">
        <f>IFERROR(__xludf.DUMMYFUNCTION("VALUE(SUBSTITUTE((INDEX(SPLIT(A3960,"",""),2)),""."","","",1))"),60.625089)</f>
        <v>60.625089</v>
      </c>
      <c r="R3960" s="14" t="b">
        <f t="shared" si="1"/>
        <v>0</v>
      </c>
      <c r="S3960" s="14" t="str">
        <f t="shared" si="2"/>
        <v>56.896947,60.625089</v>
      </c>
      <c r="T3960" s="12"/>
    </row>
    <row r="3961">
      <c r="A3961" s="7" t="s">
        <v>25482</v>
      </c>
      <c r="B3961" s="8" t="s">
        <v>25483</v>
      </c>
      <c r="C3961" s="8" t="s">
        <v>25484</v>
      </c>
      <c r="D3961" s="8" t="s">
        <v>16</v>
      </c>
      <c r="E3961" s="9" t="s">
        <v>25485</v>
      </c>
      <c r="F3961" s="10" t="s">
        <v>23238</v>
      </c>
      <c r="G3961" s="8">
        <v>23.61</v>
      </c>
      <c r="H3961" s="8"/>
      <c r="I3961" s="10"/>
      <c r="J3961" s="10" t="s">
        <v>25486</v>
      </c>
      <c r="K3961" s="10" t="s">
        <v>25487</v>
      </c>
      <c r="L3961" s="11" t="s">
        <v>25488</v>
      </c>
      <c r="M3961" s="10"/>
      <c r="N3961" s="12"/>
      <c r="O3961" s="12"/>
      <c r="P3961" s="13">
        <f>IFERROR(__xludf.DUMMYFUNCTION("VALUE(SUBSTITUTE((INDEX(SPLIT(A3961,"",""),1)),""."","","",1))"),56.843275)</f>
        <v>56.843275</v>
      </c>
      <c r="Q3961" s="13">
        <f>IFERROR(__xludf.DUMMYFUNCTION("VALUE(SUBSTITUTE((INDEX(SPLIT(A3961,"",""),2)),""."","","",1))"),60.626454)</f>
        <v>60.626454</v>
      </c>
      <c r="R3961" s="14" t="b">
        <f t="shared" si="1"/>
        <v>0</v>
      </c>
      <c r="S3961" s="14" t="str">
        <f t="shared" si="2"/>
        <v>56.843275,60.626454</v>
      </c>
      <c r="T3961" s="12"/>
    </row>
    <row r="3962">
      <c r="A3962" s="15" t="s">
        <v>25482</v>
      </c>
      <c r="B3962" s="16" t="s">
        <v>25489</v>
      </c>
      <c r="C3962" s="16" t="s">
        <v>25490</v>
      </c>
      <c r="D3962" s="16" t="s">
        <v>16</v>
      </c>
      <c r="E3962" s="17" t="s">
        <v>25491</v>
      </c>
      <c r="F3962" s="16" t="s">
        <v>3169</v>
      </c>
      <c r="G3962" s="16">
        <v>23.61</v>
      </c>
      <c r="H3962" s="16"/>
      <c r="I3962" s="16"/>
      <c r="J3962" s="16" t="s">
        <v>25492</v>
      </c>
      <c r="K3962" s="16" t="s">
        <v>25493</v>
      </c>
      <c r="L3962" s="16"/>
      <c r="M3962" s="16"/>
      <c r="N3962" s="12"/>
      <c r="O3962" s="12"/>
      <c r="P3962" s="13">
        <f>IFERROR(__xludf.DUMMYFUNCTION("VALUE(SUBSTITUTE((INDEX(SPLIT(A3962,"",""),1)),""."","","",1))"),56.843275)</f>
        <v>56.843275</v>
      </c>
      <c r="Q3962" s="13">
        <f>IFERROR(__xludf.DUMMYFUNCTION("VALUE(SUBSTITUTE((INDEX(SPLIT(A3962,"",""),2)),""."","","",1))"),60.626454)</f>
        <v>60.626454</v>
      </c>
      <c r="R3962" s="14" t="b">
        <f t="shared" si="1"/>
        <v>0</v>
      </c>
      <c r="S3962" s="14" t="str">
        <f t="shared" si="2"/>
        <v>56.843275,60.626454</v>
      </c>
      <c r="T3962" s="12"/>
    </row>
    <row r="3963">
      <c r="A3963" s="7" t="s">
        <v>25494</v>
      </c>
      <c r="B3963" s="8" t="s">
        <v>25495</v>
      </c>
      <c r="C3963" s="8" t="s">
        <v>25496</v>
      </c>
      <c r="D3963" s="8" t="s">
        <v>16</v>
      </c>
      <c r="E3963" s="9" t="s">
        <v>25497</v>
      </c>
      <c r="F3963" s="10" t="s">
        <v>9648</v>
      </c>
      <c r="G3963" s="8">
        <v>23.61</v>
      </c>
      <c r="H3963" s="8"/>
      <c r="I3963" s="31" t="s">
        <v>25498</v>
      </c>
      <c r="J3963" s="10" t="s">
        <v>25499</v>
      </c>
      <c r="K3963" s="10" t="s">
        <v>25500</v>
      </c>
      <c r="L3963" s="11" t="s">
        <v>25501</v>
      </c>
      <c r="M3963" s="11" t="s">
        <v>25502</v>
      </c>
      <c r="N3963" s="12"/>
      <c r="O3963" s="12"/>
      <c r="P3963" s="13">
        <f>IFERROR(__xludf.DUMMYFUNCTION("VALUE(SUBSTITUTE((INDEX(SPLIT(A3963,"",""),1)),""."","","",1))"),56.805569)</f>
        <v>56.805569</v>
      </c>
      <c r="Q3963" s="13">
        <f>IFERROR(__xludf.DUMMYFUNCTION("VALUE(SUBSTITUTE((INDEX(SPLIT(A3963,"",""),2)),""."","","",1))"),60.627254)</f>
        <v>60.627254</v>
      </c>
      <c r="R3963" s="14" t="b">
        <f t="shared" si="1"/>
        <v>0</v>
      </c>
      <c r="S3963" s="14" t="str">
        <f t="shared" si="2"/>
        <v>56.805569,60.627254</v>
      </c>
      <c r="T3963" s="12"/>
    </row>
    <row r="3964">
      <c r="A3964" s="15" t="s">
        <v>25503</v>
      </c>
      <c r="B3964" s="16" t="s">
        <v>25504</v>
      </c>
      <c r="C3964" s="16" t="s">
        <v>25505</v>
      </c>
      <c r="D3964" s="16" t="s">
        <v>16</v>
      </c>
      <c r="E3964" s="17" t="s">
        <v>25506</v>
      </c>
      <c r="F3964" s="16" t="s">
        <v>9648</v>
      </c>
      <c r="G3964" s="16">
        <v>23.61</v>
      </c>
      <c r="H3964" s="16"/>
      <c r="I3964" s="16"/>
      <c r="J3964" s="16" t="s">
        <v>25507</v>
      </c>
      <c r="K3964" s="16" t="s">
        <v>25508</v>
      </c>
      <c r="L3964" s="16"/>
      <c r="M3964" s="25" t="s">
        <v>25509</v>
      </c>
      <c r="N3964" s="12"/>
      <c r="O3964" s="12"/>
      <c r="P3964" s="13">
        <f>IFERROR(__xludf.DUMMYFUNCTION("VALUE(SUBSTITUTE((INDEX(SPLIT(A3964,"",""),1)),""."","","",1))"),56.857455)</f>
        <v>56.857455</v>
      </c>
      <c r="Q3964" s="13">
        <f>IFERROR(__xludf.DUMMYFUNCTION("VALUE(SUBSTITUTE((INDEX(SPLIT(A3964,"",""),2)),""."","","",1))"),60.627433)</f>
        <v>60.627433</v>
      </c>
      <c r="R3964" s="14" t="b">
        <f t="shared" si="1"/>
        <v>0</v>
      </c>
      <c r="S3964" s="14" t="str">
        <f t="shared" si="2"/>
        <v>56.857455,60.627433</v>
      </c>
      <c r="T3964" s="12"/>
    </row>
    <row r="3965">
      <c r="A3965" s="7" t="s">
        <v>25510</v>
      </c>
      <c r="B3965" s="8" t="s">
        <v>25511</v>
      </c>
      <c r="C3965" s="8" t="s">
        <v>25512</v>
      </c>
      <c r="D3965" s="8" t="s">
        <v>16</v>
      </c>
      <c r="E3965" s="9" t="s">
        <v>25513</v>
      </c>
      <c r="F3965" s="10" t="s">
        <v>9648</v>
      </c>
      <c r="G3965" s="8">
        <v>23.61</v>
      </c>
      <c r="H3965" s="8"/>
      <c r="I3965" s="31" t="s">
        <v>25514</v>
      </c>
      <c r="J3965" s="10" t="s">
        <v>25515</v>
      </c>
      <c r="K3965" s="10" t="s">
        <v>25516</v>
      </c>
      <c r="L3965" s="11" t="s">
        <v>25517</v>
      </c>
      <c r="M3965" s="11" t="s">
        <v>25518</v>
      </c>
      <c r="N3965" s="12"/>
      <c r="O3965" s="12"/>
      <c r="P3965" s="13">
        <f>IFERROR(__xludf.DUMMYFUNCTION("VALUE(SUBSTITUTE((INDEX(SPLIT(A3965,"",""),1)),""."","","",1))"),56.805087)</f>
        <v>56.805087</v>
      </c>
      <c r="Q3965" s="13">
        <f>IFERROR(__xludf.DUMMYFUNCTION("VALUE(SUBSTITUTE((INDEX(SPLIT(A3965,"",""),2)),""."","","",1))"),60.630613)</f>
        <v>60.630613</v>
      </c>
      <c r="R3965" s="14" t="b">
        <f t="shared" si="1"/>
        <v>0</v>
      </c>
      <c r="S3965" s="14" t="str">
        <f t="shared" si="2"/>
        <v>56.805087,60.630613</v>
      </c>
      <c r="T3965" s="12"/>
    </row>
    <row r="3966">
      <c r="A3966" s="20" t="s">
        <v>25510</v>
      </c>
      <c r="B3966" s="16" t="s">
        <v>25519</v>
      </c>
      <c r="C3966" s="16" t="s">
        <v>25520</v>
      </c>
      <c r="D3966" s="16" t="s">
        <v>16</v>
      </c>
      <c r="E3966" s="21" t="s">
        <v>25521</v>
      </c>
      <c r="F3966" s="22" t="s">
        <v>9648</v>
      </c>
      <c r="G3966" s="16">
        <v>23.61</v>
      </c>
      <c r="H3966" s="16"/>
      <c r="I3966" s="22"/>
      <c r="J3966" s="22" t="s">
        <v>25522</v>
      </c>
      <c r="K3966" s="22" t="s">
        <v>25523</v>
      </c>
      <c r="L3966" s="23" t="s">
        <v>25524</v>
      </c>
      <c r="M3966" s="22"/>
      <c r="N3966" s="12"/>
      <c r="O3966" s="12"/>
      <c r="P3966" s="13">
        <f>IFERROR(__xludf.DUMMYFUNCTION("VALUE(SUBSTITUTE((INDEX(SPLIT(A3966,"",""),1)),""."","","",1))"),56.805087)</f>
        <v>56.805087</v>
      </c>
      <c r="Q3966" s="13">
        <f>IFERROR(__xludf.DUMMYFUNCTION("VALUE(SUBSTITUTE((INDEX(SPLIT(A3966,"",""),2)),""."","","",1))"),60.630613)</f>
        <v>60.630613</v>
      </c>
      <c r="R3966" s="14" t="b">
        <f t="shared" si="1"/>
        <v>0</v>
      </c>
      <c r="S3966" s="14" t="str">
        <f t="shared" si="2"/>
        <v>56.805087,60.630613</v>
      </c>
      <c r="T3966" s="12"/>
    </row>
    <row r="3967">
      <c r="A3967" s="7" t="s">
        <v>25525</v>
      </c>
      <c r="B3967" s="8" t="s">
        <v>25526</v>
      </c>
      <c r="C3967" s="8" t="s">
        <v>25527</v>
      </c>
      <c r="D3967" s="8" t="s">
        <v>16</v>
      </c>
      <c r="E3967" s="9" t="s">
        <v>25528</v>
      </c>
      <c r="F3967" s="10" t="s">
        <v>9648</v>
      </c>
      <c r="G3967" s="8">
        <v>23.61</v>
      </c>
      <c r="H3967" s="8"/>
      <c r="I3967" s="10"/>
      <c r="J3967" s="10" t="s">
        <v>25529</v>
      </c>
      <c r="K3967" s="10" t="s">
        <v>25530</v>
      </c>
      <c r="L3967" s="11" t="s">
        <v>25531</v>
      </c>
      <c r="M3967" s="10"/>
      <c r="N3967" s="12"/>
      <c r="O3967" s="12"/>
      <c r="P3967" s="13">
        <f>IFERROR(__xludf.DUMMYFUNCTION("VALUE(SUBSTITUTE((INDEX(SPLIT(A3967,"",""),1)),""."","","",1))"),56.816843)</f>
        <v>56.816843</v>
      </c>
      <c r="Q3967" s="13">
        <f>IFERROR(__xludf.DUMMYFUNCTION("VALUE(SUBSTITUTE((INDEX(SPLIT(A3967,"",""),2)),""."","","",1))"),60.631422)</f>
        <v>60.631422</v>
      </c>
      <c r="R3967" s="14" t="b">
        <f t="shared" si="1"/>
        <v>0</v>
      </c>
      <c r="S3967" s="14" t="str">
        <f t="shared" si="2"/>
        <v>56.816843,60.631422</v>
      </c>
      <c r="T3967" s="12"/>
    </row>
    <row r="3968">
      <c r="A3968" s="20" t="s">
        <v>25532</v>
      </c>
      <c r="B3968" s="16" t="s">
        <v>3587</v>
      </c>
      <c r="C3968" s="16" t="s">
        <v>3588</v>
      </c>
      <c r="D3968" s="16" t="s">
        <v>16</v>
      </c>
      <c r="E3968" s="21" t="s">
        <v>25533</v>
      </c>
      <c r="F3968" s="22" t="s">
        <v>19948</v>
      </c>
      <c r="G3968" s="16">
        <v>23.61</v>
      </c>
      <c r="H3968" s="16"/>
      <c r="I3968" s="22"/>
      <c r="J3968" s="22" t="s">
        <v>25534</v>
      </c>
      <c r="K3968" s="22" t="s">
        <v>25535</v>
      </c>
      <c r="L3968" s="23" t="s">
        <v>25536</v>
      </c>
      <c r="M3968" s="23" t="s">
        <v>25537</v>
      </c>
      <c r="N3968" s="12"/>
      <c r="O3968" s="12"/>
      <c r="P3968" s="13">
        <f>IFERROR(__xludf.DUMMYFUNCTION("VALUE(SUBSTITUTE((INDEX(SPLIT(A3968,"",""),1)),""."","","",1))"),56.810724)</f>
        <v>56.810724</v>
      </c>
      <c r="Q3968" s="13">
        <f>IFERROR(__xludf.DUMMYFUNCTION("VALUE(SUBSTITUTE((INDEX(SPLIT(A3968,"",""),2)),""."","","",1))"),60.634431)</f>
        <v>60.634431</v>
      </c>
      <c r="R3968" s="14" t="b">
        <f t="shared" si="1"/>
        <v>0</v>
      </c>
      <c r="S3968" s="14" t="str">
        <f t="shared" si="2"/>
        <v>56.810724,60.634431</v>
      </c>
      <c r="T3968" s="12"/>
    </row>
    <row r="3969">
      <c r="A3969" s="7" t="s">
        <v>25538</v>
      </c>
      <c r="B3969" s="8" t="s">
        <v>25539</v>
      </c>
      <c r="C3969" s="8" t="s">
        <v>25540</v>
      </c>
      <c r="D3969" s="8" t="s">
        <v>16</v>
      </c>
      <c r="E3969" s="9" t="s">
        <v>25541</v>
      </c>
      <c r="F3969" s="10" t="s">
        <v>9648</v>
      </c>
      <c r="G3969" s="8">
        <v>23.61</v>
      </c>
      <c r="H3969" s="8"/>
      <c r="I3969" s="10"/>
      <c r="J3969" s="10" t="s">
        <v>25542</v>
      </c>
      <c r="K3969" s="10" t="s">
        <v>25543</v>
      </c>
      <c r="L3969" s="11" t="s">
        <v>25544</v>
      </c>
      <c r="M3969" s="11" t="s">
        <v>25545</v>
      </c>
      <c r="N3969" s="12"/>
      <c r="O3969" s="12"/>
      <c r="P3969" s="13">
        <f>IFERROR(__xludf.DUMMYFUNCTION("VALUE(SUBSTITUTE((INDEX(SPLIT(A3969,"",""),1)),""."","","",1))"),56.82934)</f>
        <v>56.82934</v>
      </c>
      <c r="Q3969" s="13">
        <f>IFERROR(__xludf.DUMMYFUNCTION("VALUE(SUBSTITUTE((INDEX(SPLIT(A3969,"",""),2)),""."","","",1))"),60.63479)</f>
        <v>60.63479</v>
      </c>
      <c r="R3969" s="14" t="b">
        <f t="shared" si="1"/>
        <v>0</v>
      </c>
      <c r="S3969" s="14" t="str">
        <f t="shared" si="2"/>
        <v>56.82934,60.63479</v>
      </c>
      <c r="T3969" s="12"/>
    </row>
    <row r="3970">
      <c r="A3970" s="20" t="s">
        <v>25546</v>
      </c>
      <c r="B3970" s="16" t="s">
        <v>25547</v>
      </c>
      <c r="C3970" s="16" t="s">
        <v>25548</v>
      </c>
      <c r="D3970" s="16" t="s">
        <v>16</v>
      </c>
      <c r="E3970" s="21" t="s">
        <v>25549</v>
      </c>
      <c r="F3970" s="22" t="s">
        <v>23238</v>
      </c>
      <c r="G3970" s="16">
        <v>23.61</v>
      </c>
      <c r="H3970" s="16"/>
      <c r="I3970" s="22"/>
      <c r="J3970" s="22" t="s">
        <v>25550</v>
      </c>
      <c r="K3970" s="22" t="s">
        <v>25551</v>
      </c>
      <c r="L3970" s="30" t="s">
        <v>25552</v>
      </c>
      <c r="M3970" s="22"/>
      <c r="N3970" s="12"/>
      <c r="O3970" s="12"/>
      <c r="P3970" s="13">
        <f>IFERROR(__xludf.DUMMYFUNCTION("VALUE(SUBSTITUTE((INDEX(SPLIT(A3970,"",""),1)),""."","","",1))"),56.801159)</f>
        <v>56.801159</v>
      </c>
      <c r="Q3970" s="13">
        <f>IFERROR(__xludf.DUMMYFUNCTION("VALUE(SUBSTITUTE((INDEX(SPLIT(A3970,"",""),2)),""."","","",1))"),60.634979)</f>
        <v>60.634979</v>
      </c>
      <c r="R3970" s="14" t="b">
        <f t="shared" si="1"/>
        <v>0</v>
      </c>
      <c r="S3970" s="14" t="str">
        <f t="shared" si="2"/>
        <v>56.801159,60.634979</v>
      </c>
      <c r="T3970" s="12"/>
    </row>
    <row r="3971">
      <c r="A3971" s="18" t="s">
        <v>25553</v>
      </c>
      <c r="B3971" s="8" t="s">
        <v>25554</v>
      </c>
      <c r="C3971" s="8" t="s">
        <v>25555</v>
      </c>
      <c r="D3971" s="8" t="s">
        <v>16</v>
      </c>
      <c r="E3971" s="19" t="s">
        <v>25556</v>
      </c>
      <c r="F3971" s="8" t="s">
        <v>23238</v>
      </c>
      <c r="G3971" s="8">
        <v>23.61</v>
      </c>
      <c r="H3971" s="8"/>
      <c r="I3971" s="8"/>
      <c r="J3971" s="8" t="s">
        <v>25557</v>
      </c>
      <c r="K3971" s="8" t="s">
        <v>25558</v>
      </c>
      <c r="L3971" s="8"/>
      <c r="M3971" s="8"/>
      <c r="N3971" s="12"/>
      <c r="O3971" s="12"/>
      <c r="P3971" s="13">
        <f>IFERROR(__xludf.DUMMYFUNCTION("VALUE(SUBSTITUTE((INDEX(SPLIT(A3971,"",""),1)),""."","","",1))"),56.8876)</f>
        <v>56.8876</v>
      </c>
      <c r="Q3971" s="13">
        <f>IFERROR(__xludf.DUMMYFUNCTION("VALUE(SUBSTITUTE((INDEX(SPLIT(A3971,"",""),2)),""."","","",1))"),60.636183)</f>
        <v>60.636183</v>
      </c>
      <c r="R3971" s="14" t="b">
        <f t="shared" si="1"/>
        <v>0</v>
      </c>
      <c r="S3971" s="14" t="str">
        <f t="shared" si="2"/>
        <v>56.8876,60.636183</v>
      </c>
      <c r="T3971" s="12"/>
    </row>
    <row r="3972">
      <c r="A3972" s="15" t="s">
        <v>25559</v>
      </c>
      <c r="B3972" s="16" t="s">
        <v>25560</v>
      </c>
      <c r="C3972" s="16" t="s">
        <v>25561</v>
      </c>
      <c r="D3972" s="16" t="s">
        <v>16</v>
      </c>
      <c r="E3972" s="17" t="s">
        <v>25562</v>
      </c>
      <c r="F3972" s="16" t="s">
        <v>953</v>
      </c>
      <c r="G3972" s="16">
        <v>23.61</v>
      </c>
      <c r="H3972" s="16"/>
      <c r="I3972" s="16"/>
      <c r="J3972" s="16" t="s">
        <v>25563</v>
      </c>
      <c r="K3972" s="16" t="s">
        <v>25564</v>
      </c>
      <c r="L3972" s="16"/>
      <c r="M3972" s="16"/>
      <c r="N3972" s="12"/>
      <c r="O3972" s="12"/>
      <c r="P3972" s="13">
        <f>IFERROR(__xludf.DUMMYFUNCTION("VALUE(SUBSTITUTE((INDEX(SPLIT(A3972,"",""),1)),""."","","",1))"),56.846041)</f>
        <v>56.846041</v>
      </c>
      <c r="Q3972" s="13">
        <f>IFERROR(__xludf.DUMMYFUNCTION("VALUE(SUBSTITUTE((INDEX(SPLIT(A3972,"",""),2)),""."","","",1))"),60.640782)</f>
        <v>60.640782</v>
      </c>
      <c r="R3972" s="14" t="b">
        <f t="shared" si="1"/>
        <v>0</v>
      </c>
      <c r="S3972" s="14" t="str">
        <f t="shared" si="2"/>
        <v>56.846041,60.640782</v>
      </c>
      <c r="T3972" s="12"/>
    </row>
    <row r="3973">
      <c r="A3973" s="7" t="s">
        <v>25565</v>
      </c>
      <c r="B3973" s="8" t="s">
        <v>25566</v>
      </c>
      <c r="C3973" s="8" t="s">
        <v>25567</v>
      </c>
      <c r="D3973" s="8" t="s">
        <v>16</v>
      </c>
      <c r="E3973" s="9" t="s">
        <v>25568</v>
      </c>
      <c r="F3973" s="10" t="s">
        <v>23165</v>
      </c>
      <c r="G3973" s="8">
        <v>23.61</v>
      </c>
      <c r="H3973" s="8"/>
      <c r="I3973" s="10"/>
      <c r="J3973" s="10" t="s">
        <v>25569</v>
      </c>
      <c r="K3973" s="10" t="s">
        <v>25570</v>
      </c>
      <c r="L3973" s="11" t="s">
        <v>25571</v>
      </c>
      <c r="M3973" s="10"/>
      <c r="N3973" s="12"/>
      <c r="O3973" s="12"/>
      <c r="P3973" s="13">
        <f>IFERROR(__xludf.DUMMYFUNCTION("VALUE(SUBSTITUTE((INDEX(SPLIT(A3973,"",""),1)),""."","","",1))"),56.849649)</f>
        <v>56.849649</v>
      </c>
      <c r="Q3973" s="13">
        <f>IFERROR(__xludf.DUMMYFUNCTION("VALUE(SUBSTITUTE((INDEX(SPLIT(A3973,"",""),2)),""."","","",1))"),60.644358)</f>
        <v>60.644358</v>
      </c>
      <c r="R3973" s="14" t="b">
        <f t="shared" si="1"/>
        <v>0</v>
      </c>
      <c r="S3973" s="14" t="str">
        <f t="shared" si="2"/>
        <v>56.849649,60.644358</v>
      </c>
      <c r="T3973" s="12"/>
    </row>
    <row r="3974">
      <c r="A3974" s="20" t="s">
        <v>25572</v>
      </c>
      <c r="B3974" s="16" t="s">
        <v>25573</v>
      </c>
      <c r="C3974" s="16" t="s">
        <v>25574</v>
      </c>
      <c r="D3974" s="16" t="s">
        <v>16</v>
      </c>
      <c r="E3974" s="21" t="s">
        <v>25575</v>
      </c>
      <c r="F3974" s="22" t="s">
        <v>9648</v>
      </c>
      <c r="G3974" s="16">
        <v>23.61</v>
      </c>
      <c r="H3974" s="16"/>
      <c r="I3974" s="22"/>
      <c r="J3974" s="22" t="s">
        <v>25576</v>
      </c>
      <c r="K3974" s="22" t="s">
        <v>25577</v>
      </c>
      <c r="L3974" s="23" t="s">
        <v>25578</v>
      </c>
      <c r="M3974" s="22"/>
      <c r="N3974" s="12"/>
      <c r="O3974" s="12"/>
      <c r="P3974" s="13">
        <f>IFERROR(__xludf.DUMMYFUNCTION("VALUE(SUBSTITUTE((INDEX(SPLIT(A3974,"",""),1)),""."","","",1))"),56.860442)</f>
        <v>56.860442</v>
      </c>
      <c r="Q3974" s="13">
        <f>IFERROR(__xludf.DUMMYFUNCTION("VALUE(SUBSTITUTE((INDEX(SPLIT(A3974,"",""),2)),""."","","",1))"),60.645436)</f>
        <v>60.645436</v>
      </c>
      <c r="R3974" s="14" t="b">
        <f t="shared" si="1"/>
        <v>0</v>
      </c>
      <c r="S3974" s="14" t="str">
        <f t="shared" si="2"/>
        <v>56.860442,60.645436</v>
      </c>
      <c r="T3974" s="12"/>
    </row>
    <row r="3975">
      <c r="A3975" s="18" t="s">
        <v>25579</v>
      </c>
      <c r="B3975" s="8" t="s">
        <v>15050</v>
      </c>
      <c r="C3975" s="8" t="s">
        <v>15051</v>
      </c>
      <c r="D3975" s="8" t="s">
        <v>16</v>
      </c>
      <c r="E3975" s="19" t="s">
        <v>25580</v>
      </c>
      <c r="F3975" s="8" t="s">
        <v>23165</v>
      </c>
      <c r="G3975" s="8">
        <v>23.61</v>
      </c>
      <c r="H3975" s="8"/>
      <c r="I3975" s="8"/>
      <c r="J3975" s="8" t="s">
        <v>25581</v>
      </c>
      <c r="K3975" s="8" t="s">
        <v>25582</v>
      </c>
      <c r="L3975" s="8"/>
      <c r="M3975" s="24" t="s">
        <v>25583</v>
      </c>
      <c r="N3975" s="12"/>
      <c r="O3975" s="12"/>
      <c r="P3975" s="13">
        <f>IFERROR(__xludf.DUMMYFUNCTION("VALUE(SUBSTITUTE((INDEX(SPLIT(A3975,"",""),1)),""."","","",1))"),56.886631)</f>
        <v>56.886631</v>
      </c>
      <c r="Q3975" s="13">
        <f>IFERROR(__xludf.DUMMYFUNCTION("VALUE(SUBSTITUTE((INDEX(SPLIT(A3975,"",""),2)),""."","","",1))"),60.647017)</f>
        <v>60.647017</v>
      </c>
      <c r="R3975" s="14" t="b">
        <f t="shared" si="1"/>
        <v>0</v>
      </c>
      <c r="S3975" s="14" t="str">
        <f t="shared" si="2"/>
        <v>56.886631,60.647017</v>
      </c>
      <c r="T3975" s="12"/>
    </row>
    <row r="3976">
      <c r="A3976" s="20" t="s">
        <v>25584</v>
      </c>
      <c r="B3976" s="16" t="s">
        <v>24320</v>
      </c>
      <c r="C3976" s="16" t="s">
        <v>24321</v>
      </c>
      <c r="D3976" s="16" t="s">
        <v>16</v>
      </c>
      <c r="E3976" s="21" t="s">
        <v>25585</v>
      </c>
      <c r="F3976" s="22" t="s">
        <v>9648</v>
      </c>
      <c r="G3976" s="16">
        <v>23.61</v>
      </c>
      <c r="H3976" s="16"/>
      <c r="I3976" s="22"/>
      <c r="J3976" s="22" t="s">
        <v>25586</v>
      </c>
      <c r="K3976" s="22" t="s">
        <v>25587</v>
      </c>
      <c r="L3976" s="23" t="s">
        <v>25588</v>
      </c>
      <c r="M3976" s="22"/>
      <c r="N3976" s="12"/>
      <c r="O3976" s="12"/>
      <c r="P3976" s="13">
        <f>IFERROR(__xludf.DUMMYFUNCTION("VALUE(SUBSTITUTE((INDEX(SPLIT(A3976,"",""),1)),""."","","",1))"),56.866839)</f>
        <v>56.866839</v>
      </c>
      <c r="Q3976" s="13">
        <f>IFERROR(__xludf.DUMMYFUNCTION("VALUE(SUBSTITUTE((INDEX(SPLIT(A3976,"",""),2)),""."","","",1))"),60.647547)</f>
        <v>60.647547</v>
      </c>
      <c r="R3976" s="14" t="b">
        <f t="shared" si="1"/>
        <v>0</v>
      </c>
      <c r="S3976" s="14" t="str">
        <f t="shared" si="2"/>
        <v>56.866839,60.647547</v>
      </c>
      <c r="T3976" s="12"/>
    </row>
    <row r="3977">
      <c r="A3977" s="7" t="s">
        <v>25589</v>
      </c>
      <c r="B3977" s="8" t="s">
        <v>25590</v>
      </c>
      <c r="C3977" s="8" t="s">
        <v>25591</v>
      </c>
      <c r="D3977" s="8" t="s">
        <v>16</v>
      </c>
      <c r="E3977" s="9" t="s">
        <v>25592</v>
      </c>
      <c r="F3977" s="10" t="s">
        <v>9648</v>
      </c>
      <c r="G3977" s="8">
        <v>23.61</v>
      </c>
      <c r="H3977" s="8"/>
      <c r="I3977" s="10"/>
      <c r="J3977" s="10" t="s">
        <v>25593</v>
      </c>
      <c r="K3977" s="10" t="s">
        <v>25594</v>
      </c>
      <c r="L3977" s="11" t="s">
        <v>25595</v>
      </c>
      <c r="M3977" s="10"/>
      <c r="N3977" s="12"/>
      <c r="O3977" s="12"/>
      <c r="P3977" s="13">
        <f>IFERROR(__xludf.DUMMYFUNCTION("VALUE(SUBSTITUTE((INDEX(SPLIT(A3977,"",""),1)),""."","","",1))"),56.832442)</f>
        <v>56.832442</v>
      </c>
      <c r="Q3977" s="13">
        <f>IFERROR(__xludf.DUMMYFUNCTION("VALUE(SUBSTITUTE((INDEX(SPLIT(A3977,"",""),2)),""."","","",1))"),60.652712)</f>
        <v>60.652712</v>
      </c>
      <c r="R3977" s="14" t="b">
        <f t="shared" si="1"/>
        <v>0</v>
      </c>
      <c r="S3977" s="14" t="str">
        <f t="shared" si="2"/>
        <v>56.832442,60.652712</v>
      </c>
      <c r="T3977" s="12"/>
    </row>
    <row r="3978">
      <c r="A3978" s="20" t="s">
        <v>25596</v>
      </c>
      <c r="B3978" s="16" t="s">
        <v>25597</v>
      </c>
      <c r="C3978" s="16" t="s">
        <v>25598</v>
      </c>
      <c r="D3978" s="16" t="s">
        <v>16</v>
      </c>
      <c r="E3978" s="21" t="s">
        <v>25599</v>
      </c>
      <c r="F3978" s="22" t="s">
        <v>23165</v>
      </c>
      <c r="G3978" s="16">
        <v>23.61</v>
      </c>
      <c r="H3978" s="16"/>
      <c r="I3978" s="22"/>
      <c r="J3978" s="22" t="s">
        <v>25600</v>
      </c>
      <c r="K3978" s="22" t="s">
        <v>25601</v>
      </c>
      <c r="L3978" s="23" t="s">
        <v>25602</v>
      </c>
      <c r="M3978" s="22"/>
      <c r="N3978" s="12"/>
      <c r="O3978" s="12"/>
      <c r="P3978" s="13">
        <f>IFERROR(__xludf.DUMMYFUNCTION("VALUE(SUBSTITUTE((INDEX(SPLIT(A3978,"",""),1)),""."","","",1))"),56.846553)</f>
        <v>56.846553</v>
      </c>
      <c r="Q3978" s="13">
        <f>IFERROR(__xludf.DUMMYFUNCTION("VALUE(SUBSTITUTE((INDEX(SPLIT(A3978,"",""),2)),""."","","",1))"),60.65803)</f>
        <v>60.65803</v>
      </c>
      <c r="R3978" s="14" t="b">
        <f t="shared" si="1"/>
        <v>0</v>
      </c>
      <c r="S3978" s="14" t="str">
        <f t="shared" si="2"/>
        <v>56.846553,60.65803</v>
      </c>
      <c r="T3978" s="12"/>
    </row>
    <row r="3979">
      <c r="A3979" s="7" t="s">
        <v>25603</v>
      </c>
      <c r="B3979" s="8" t="s">
        <v>25604</v>
      </c>
      <c r="C3979" s="8" t="s">
        <v>25605</v>
      </c>
      <c r="D3979" s="8" t="s">
        <v>16</v>
      </c>
      <c r="E3979" s="9" t="s">
        <v>25606</v>
      </c>
      <c r="F3979" s="10" t="s">
        <v>9648</v>
      </c>
      <c r="G3979" s="8">
        <v>23.61</v>
      </c>
      <c r="H3979" s="8"/>
      <c r="I3979" s="10"/>
      <c r="J3979" s="10" t="s">
        <v>25607</v>
      </c>
      <c r="K3979" s="10" t="s">
        <v>25608</v>
      </c>
      <c r="L3979" s="11" t="s">
        <v>25609</v>
      </c>
      <c r="M3979" s="11" t="s">
        <v>25610</v>
      </c>
      <c r="N3979" s="12"/>
      <c r="O3979" s="12"/>
      <c r="P3979" s="13">
        <f>IFERROR(__xludf.DUMMYFUNCTION("VALUE(SUBSTITUTE((INDEX(SPLIT(A3979,"",""),1)),""."","","",1))"),56.837588)</f>
        <v>56.837588</v>
      </c>
      <c r="Q3979" s="13">
        <f>IFERROR(__xludf.DUMMYFUNCTION("VALUE(SUBSTITUTE((INDEX(SPLIT(A3979,"",""),2)),""."","","",1))"),60.664067)</f>
        <v>60.664067</v>
      </c>
      <c r="R3979" s="14" t="b">
        <f t="shared" si="1"/>
        <v>0</v>
      </c>
      <c r="S3979" s="14" t="str">
        <f t="shared" si="2"/>
        <v>56.837588,60.664067</v>
      </c>
      <c r="T3979" s="12"/>
    </row>
    <row r="3980">
      <c r="A3980" s="20" t="s">
        <v>25611</v>
      </c>
      <c r="B3980" s="16" t="s">
        <v>25612</v>
      </c>
      <c r="C3980" s="16" t="s">
        <v>25613</v>
      </c>
      <c r="D3980" s="16" t="s">
        <v>16</v>
      </c>
      <c r="E3980" s="21" t="s">
        <v>25614</v>
      </c>
      <c r="F3980" s="22" t="s">
        <v>23165</v>
      </c>
      <c r="G3980" s="16">
        <v>23.61</v>
      </c>
      <c r="H3980" s="16"/>
      <c r="I3980" s="22"/>
      <c r="J3980" s="22" t="s">
        <v>25615</v>
      </c>
      <c r="K3980" s="22" t="s">
        <v>25616</v>
      </c>
      <c r="L3980" s="23" t="s">
        <v>25617</v>
      </c>
      <c r="M3980" s="22"/>
      <c r="N3980" s="12"/>
      <c r="O3980" s="12"/>
      <c r="P3980" s="13">
        <f>IFERROR(__xludf.DUMMYFUNCTION("VALUE(SUBSTITUTE((INDEX(SPLIT(A3980,"",""),1)),""."","","",1))"),56.862268)</f>
        <v>56.862268</v>
      </c>
      <c r="Q3980" s="13">
        <f>IFERROR(__xludf.DUMMYFUNCTION("VALUE(SUBSTITUTE((INDEX(SPLIT(A3980,"",""),2)),""."","","",1))"),60.665324)</f>
        <v>60.665324</v>
      </c>
      <c r="R3980" s="14" t="b">
        <f t="shared" si="1"/>
        <v>0</v>
      </c>
      <c r="S3980" s="14" t="str">
        <f t="shared" si="2"/>
        <v>56.862268,60.665324</v>
      </c>
      <c r="T3980" s="12"/>
    </row>
    <row r="3981">
      <c r="A3981" s="18" t="s">
        <v>25618</v>
      </c>
      <c r="B3981" s="8" t="s">
        <v>25619</v>
      </c>
      <c r="C3981" s="8" t="s">
        <v>25620</v>
      </c>
      <c r="D3981" s="8" t="s">
        <v>16</v>
      </c>
      <c r="E3981" s="19" t="s">
        <v>25621</v>
      </c>
      <c r="F3981" s="8" t="s">
        <v>23165</v>
      </c>
      <c r="G3981" s="8">
        <v>23.61</v>
      </c>
      <c r="H3981" s="8"/>
      <c r="I3981" s="8"/>
      <c r="J3981" s="8" t="s">
        <v>25622</v>
      </c>
      <c r="K3981" s="8" t="s">
        <v>25623</v>
      </c>
      <c r="L3981" s="8"/>
      <c r="M3981" s="8"/>
      <c r="N3981" s="12"/>
      <c r="O3981" s="12"/>
      <c r="P3981" s="13">
        <f>IFERROR(__xludf.DUMMYFUNCTION("VALUE(SUBSTITUTE((INDEX(SPLIT(A3981,"",""),1)),""."","","",1))"),56.870317)</f>
        <v>56.870317</v>
      </c>
      <c r="Q3981" s="13">
        <f>IFERROR(__xludf.DUMMYFUNCTION("VALUE(SUBSTITUTE((INDEX(SPLIT(A3981,"",""),2)),""."","","",1))"),60.667525)</f>
        <v>60.667525</v>
      </c>
      <c r="R3981" s="14" t="b">
        <f t="shared" si="1"/>
        <v>0</v>
      </c>
      <c r="S3981" s="14" t="str">
        <f t="shared" si="2"/>
        <v>56.870317,60.667525</v>
      </c>
      <c r="T3981" s="12"/>
    </row>
    <row r="3982">
      <c r="A3982" s="20" t="s">
        <v>25624</v>
      </c>
      <c r="B3982" s="16" t="s">
        <v>25625</v>
      </c>
      <c r="C3982" s="16" t="s">
        <v>25626</v>
      </c>
      <c r="D3982" s="16" t="s">
        <v>16</v>
      </c>
      <c r="E3982" s="21" t="s">
        <v>25627</v>
      </c>
      <c r="F3982" s="22" t="s">
        <v>19948</v>
      </c>
      <c r="G3982" s="16">
        <v>23.61</v>
      </c>
      <c r="H3982" s="16"/>
      <c r="I3982" s="22"/>
      <c r="J3982" s="22" t="s">
        <v>25628</v>
      </c>
      <c r="K3982" s="22" t="s">
        <v>25629</v>
      </c>
      <c r="L3982" s="23" t="s">
        <v>25630</v>
      </c>
      <c r="M3982" s="22"/>
      <c r="N3982" s="12"/>
      <c r="O3982" s="12"/>
      <c r="P3982" s="13">
        <f>IFERROR(__xludf.DUMMYFUNCTION("VALUE(SUBSTITUTE((INDEX(SPLIT(A3982,"",""),1)),""."","","",1))"),56.865259)</f>
        <v>56.865259</v>
      </c>
      <c r="Q3982" s="13">
        <f>IFERROR(__xludf.DUMMYFUNCTION("VALUE(SUBSTITUTE((INDEX(SPLIT(A3982,"",""),2)),""."","","",1))"),60.667983)</f>
        <v>60.667983</v>
      </c>
      <c r="R3982" s="14" t="b">
        <f t="shared" si="1"/>
        <v>0</v>
      </c>
      <c r="S3982" s="14" t="str">
        <f t="shared" si="2"/>
        <v>56.865259,60.667983</v>
      </c>
      <c r="T3982" s="12"/>
    </row>
    <row r="3983">
      <c r="A3983" s="7" t="s">
        <v>25631</v>
      </c>
      <c r="B3983" s="8" t="s">
        <v>25632</v>
      </c>
      <c r="C3983" s="8" t="s">
        <v>25633</v>
      </c>
      <c r="D3983" s="8" t="s">
        <v>16</v>
      </c>
      <c r="E3983" s="9" t="s">
        <v>25634</v>
      </c>
      <c r="F3983" s="10" t="s">
        <v>9648</v>
      </c>
      <c r="G3983" s="8">
        <v>23.61</v>
      </c>
      <c r="H3983" s="8"/>
      <c r="I3983" s="10"/>
      <c r="J3983" s="10" t="s">
        <v>25635</v>
      </c>
      <c r="K3983" s="10" t="s">
        <v>25636</v>
      </c>
      <c r="L3983" s="29" t="s">
        <v>25637</v>
      </c>
      <c r="M3983" s="10"/>
      <c r="N3983" s="12"/>
      <c r="O3983" s="12"/>
      <c r="P3983" s="13">
        <f>IFERROR(__xludf.DUMMYFUNCTION("VALUE(SUBSTITUTE((INDEX(SPLIT(A3983,"",""),1)),""."","","",1))"),56.827793)</f>
        <v>56.827793</v>
      </c>
      <c r="Q3983" s="13">
        <f>IFERROR(__xludf.DUMMYFUNCTION("VALUE(SUBSTITUTE((INDEX(SPLIT(A3983,"",""),2)),""."","","",1))"),60.67146)</f>
        <v>60.67146</v>
      </c>
      <c r="R3983" s="14" t="b">
        <f t="shared" si="1"/>
        <v>0</v>
      </c>
      <c r="S3983" s="14" t="str">
        <f t="shared" si="2"/>
        <v>56.827793,60.67146</v>
      </c>
      <c r="T3983" s="12"/>
    </row>
    <row r="3984">
      <c r="A3984" s="20" t="s">
        <v>25638</v>
      </c>
      <c r="B3984" s="16" t="s">
        <v>25639</v>
      </c>
      <c r="C3984" s="16" t="s">
        <v>25640</v>
      </c>
      <c r="D3984" s="16" t="s">
        <v>16</v>
      </c>
      <c r="E3984" s="21" t="s">
        <v>25641</v>
      </c>
      <c r="F3984" s="22" t="s">
        <v>23238</v>
      </c>
      <c r="G3984" s="16">
        <v>23.61</v>
      </c>
      <c r="H3984" s="16"/>
      <c r="I3984" s="22"/>
      <c r="J3984" s="22" t="s">
        <v>25642</v>
      </c>
      <c r="K3984" s="22" t="s">
        <v>25643</v>
      </c>
      <c r="L3984" s="23" t="s">
        <v>25644</v>
      </c>
      <c r="M3984" s="22"/>
      <c r="N3984" s="12"/>
      <c r="O3984" s="12"/>
      <c r="P3984" s="13">
        <f>IFERROR(__xludf.DUMMYFUNCTION("VALUE(SUBSTITUTE((INDEX(SPLIT(A3984,"",""),1)),""."","","",1))"),56.832408)</f>
        <v>56.832408</v>
      </c>
      <c r="Q3984" s="13">
        <f>IFERROR(__xludf.DUMMYFUNCTION("VALUE(SUBSTITUTE((INDEX(SPLIT(A3984,"",""),2)),""."","","",1))"),60.676634)</f>
        <v>60.676634</v>
      </c>
      <c r="R3984" s="14" t="b">
        <f t="shared" si="1"/>
        <v>0</v>
      </c>
      <c r="S3984" s="14" t="str">
        <f t="shared" si="2"/>
        <v>56.832408,60.676634</v>
      </c>
      <c r="T3984" s="12"/>
    </row>
    <row r="3985">
      <c r="A3985" s="7" t="s">
        <v>25645</v>
      </c>
      <c r="B3985" s="8" t="s">
        <v>25646</v>
      </c>
      <c r="C3985" s="8" t="s">
        <v>25647</v>
      </c>
      <c r="D3985" s="8" t="s">
        <v>16</v>
      </c>
      <c r="E3985" s="9" t="s">
        <v>25648</v>
      </c>
      <c r="F3985" s="10" t="s">
        <v>9648</v>
      </c>
      <c r="G3985" s="8">
        <v>23.61</v>
      </c>
      <c r="H3985" s="8"/>
      <c r="I3985" s="10"/>
      <c r="J3985" s="10" t="s">
        <v>25649</v>
      </c>
      <c r="K3985" s="10" t="s">
        <v>25650</v>
      </c>
      <c r="L3985" s="11" t="s">
        <v>25651</v>
      </c>
      <c r="M3985" s="10"/>
      <c r="N3985" s="12"/>
      <c r="O3985" s="12"/>
      <c r="P3985" s="13">
        <f>IFERROR(__xludf.DUMMYFUNCTION("VALUE(SUBSTITUTE((INDEX(SPLIT(A3985,"",""),1)),""."","","",1))"),56.84006)</f>
        <v>56.84006</v>
      </c>
      <c r="Q3985" s="13">
        <f>IFERROR(__xludf.DUMMYFUNCTION("VALUE(SUBSTITUTE((INDEX(SPLIT(A3985,"",""),2)),""."","","",1))"),60.694043)</f>
        <v>60.694043</v>
      </c>
      <c r="R3985" s="14" t="b">
        <f t="shared" si="1"/>
        <v>0</v>
      </c>
      <c r="S3985" s="14" t="str">
        <f t="shared" si="2"/>
        <v>56.84006,60.694043</v>
      </c>
      <c r="T3985" s="12"/>
    </row>
    <row r="3986">
      <c r="A3986" s="15" t="s">
        <v>25652</v>
      </c>
      <c r="B3986" s="16" t="s">
        <v>25653</v>
      </c>
      <c r="C3986" s="16" t="s">
        <v>25654</v>
      </c>
      <c r="D3986" s="16" t="s">
        <v>16</v>
      </c>
      <c r="E3986" s="17" t="s">
        <v>25655</v>
      </c>
      <c r="F3986" s="16" t="s">
        <v>23165</v>
      </c>
      <c r="G3986" s="16">
        <v>23.61</v>
      </c>
      <c r="H3986" s="16"/>
      <c r="I3986" s="16"/>
      <c r="J3986" s="16" t="s">
        <v>25656</v>
      </c>
      <c r="K3986" s="16" t="s">
        <v>25657</v>
      </c>
      <c r="L3986" s="16"/>
      <c r="M3986" s="16"/>
      <c r="N3986" s="12"/>
      <c r="O3986" s="12"/>
      <c r="P3986" s="13">
        <f>IFERROR(__xludf.DUMMYFUNCTION("VALUE(SUBSTITUTE((INDEX(SPLIT(A3986,"",""),1)),""."","","",1))"),55.762611)</f>
        <v>55.762611</v>
      </c>
      <c r="Q3986" s="13">
        <f>IFERROR(__xludf.DUMMYFUNCTION("VALUE(SUBSTITUTE((INDEX(SPLIT(A3986,"",""),2)),""."","","",1))"),60.698364)</f>
        <v>60.698364</v>
      </c>
      <c r="R3986" s="14" t="b">
        <f t="shared" si="1"/>
        <v>0</v>
      </c>
      <c r="S3986" s="14" t="str">
        <f t="shared" si="2"/>
        <v>55.762611,60.698364</v>
      </c>
      <c r="T3986" s="12"/>
    </row>
    <row r="3987">
      <c r="A3987" s="7" t="s">
        <v>25658</v>
      </c>
      <c r="B3987" s="8" t="s">
        <v>25659</v>
      </c>
      <c r="C3987" s="8" t="s">
        <v>25660</v>
      </c>
      <c r="D3987" s="8" t="s">
        <v>16</v>
      </c>
      <c r="E3987" s="9" t="s">
        <v>25661</v>
      </c>
      <c r="F3987" s="10" t="s">
        <v>9648</v>
      </c>
      <c r="G3987" s="8">
        <v>23.61</v>
      </c>
      <c r="H3987" s="8"/>
      <c r="I3987" s="10"/>
      <c r="J3987" s="10" t="s">
        <v>25662</v>
      </c>
      <c r="K3987" s="10" t="s">
        <v>25663</v>
      </c>
      <c r="L3987" s="11" t="s">
        <v>25664</v>
      </c>
      <c r="M3987" s="10"/>
      <c r="N3987" s="12"/>
      <c r="O3987" s="12"/>
      <c r="P3987" s="13">
        <f>IFERROR(__xludf.DUMMYFUNCTION("VALUE(SUBSTITUTE((INDEX(SPLIT(A3987,"",""),1)),""."","","",1))"),55.736508)</f>
        <v>55.736508</v>
      </c>
      <c r="Q3987" s="13">
        <f>IFERROR(__xludf.DUMMYFUNCTION("VALUE(SUBSTITUTE((INDEX(SPLIT(A3987,"",""),2)),""."","","",1))"),60.699254)</f>
        <v>60.699254</v>
      </c>
      <c r="R3987" s="14" t="b">
        <f t="shared" si="1"/>
        <v>0</v>
      </c>
      <c r="S3987" s="14" t="str">
        <f t="shared" si="2"/>
        <v>55.736508,60.699254</v>
      </c>
      <c r="T3987" s="12"/>
    </row>
    <row r="3988">
      <c r="A3988" s="20" t="s">
        <v>25665</v>
      </c>
      <c r="B3988" s="16" t="s">
        <v>25666</v>
      </c>
      <c r="C3988" s="16" t="s">
        <v>25667</v>
      </c>
      <c r="D3988" s="16" t="s">
        <v>16</v>
      </c>
      <c r="E3988" s="21" t="s">
        <v>25668</v>
      </c>
      <c r="F3988" s="22" t="s">
        <v>3760</v>
      </c>
      <c r="G3988" s="16">
        <v>23.61</v>
      </c>
      <c r="H3988" s="16"/>
      <c r="I3988" s="28" t="s">
        <v>25669</v>
      </c>
      <c r="J3988" s="22" t="s">
        <v>25670</v>
      </c>
      <c r="K3988" s="22" t="s">
        <v>14667</v>
      </c>
      <c r="L3988" s="23" t="s">
        <v>25671</v>
      </c>
      <c r="M3988" s="22"/>
      <c r="N3988" s="12"/>
      <c r="O3988" s="12"/>
      <c r="P3988" s="13">
        <f>IFERROR(__xludf.DUMMYFUNCTION("VALUE(SUBSTITUTE((INDEX(SPLIT(A3988,"",""),1)),""."","","",1))"),56.83581)</f>
        <v>56.83581</v>
      </c>
      <c r="Q3988" s="13">
        <f>IFERROR(__xludf.DUMMYFUNCTION("VALUE(SUBSTITUTE((INDEX(SPLIT(A3988,"",""),2)),""."","","",1))"),60.700583)</f>
        <v>60.700583</v>
      </c>
      <c r="R3988" s="14" t="b">
        <f t="shared" si="1"/>
        <v>0</v>
      </c>
      <c r="S3988" s="14" t="str">
        <f t="shared" si="2"/>
        <v>56.83581,60.700583</v>
      </c>
      <c r="T3988" s="12"/>
    </row>
    <row r="3989">
      <c r="A3989" s="18" t="s">
        <v>25672</v>
      </c>
      <c r="B3989" s="8" t="s">
        <v>25673</v>
      </c>
      <c r="C3989" s="8" t="s">
        <v>25674</v>
      </c>
      <c r="D3989" s="8" t="s">
        <v>16</v>
      </c>
      <c r="E3989" s="19" t="s">
        <v>25675</v>
      </c>
      <c r="F3989" s="8" t="s">
        <v>6724</v>
      </c>
      <c r="G3989" s="8">
        <v>23.61</v>
      </c>
      <c r="H3989" s="8"/>
      <c r="I3989" s="8"/>
      <c r="J3989" s="8" t="s">
        <v>25676</v>
      </c>
      <c r="K3989" s="8" t="s">
        <v>25677</v>
      </c>
      <c r="L3989" s="8"/>
      <c r="M3989" s="8"/>
      <c r="N3989" s="12"/>
      <c r="O3989" s="12"/>
      <c r="P3989" s="13">
        <f>IFERROR(__xludf.DUMMYFUNCTION("VALUE(SUBSTITUTE((INDEX(SPLIT(A3989,"",""),1)),""."","","",1))"),56.747107)</f>
        <v>56.747107</v>
      </c>
      <c r="Q3989" s="13">
        <f>IFERROR(__xludf.DUMMYFUNCTION("VALUE(SUBSTITUTE((INDEX(SPLIT(A3989,"",""),2)),""."","","",1))"),60.707437)</f>
        <v>60.707437</v>
      </c>
      <c r="R3989" s="14" t="b">
        <f t="shared" si="1"/>
        <v>0</v>
      </c>
      <c r="S3989" s="14" t="str">
        <f t="shared" si="2"/>
        <v>56.747107,60.707437</v>
      </c>
      <c r="T3989" s="12"/>
    </row>
    <row r="3990">
      <c r="A3990" s="20" t="s">
        <v>25678</v>
      </c>
      <c r="B3990" s="16" t="s">
        <v>25679</v>
      </c>
      <c r="C3990" s="16" t="s">
        <v>25680</v>
      </c>
      <c r="D3990" s="16" t="s">
        <v>16</v>
      </c>
      <c r="E3990" s="21" t="s">
        <v>25681</v>
      </c>
      <c r="F3990" s="22" t="s">
        <v>4327</v>
      </c>
      <c r="G3990" s="16">
        <v>23.61</v>
      </c>
      <c r="H3990" s="16"/>
      <c r="I3990" s="22"/>
      <c r="J3990" s="22" t="s">
        <v>25682</v>
      </c>
      <c r="K3990" s="22" t="s">
        <v>25683</v>
      </c>
      <c r="L3990" s="23" t="s">
        <v>25684</v>
      </c>
      <c r="M3990" s="22"/>
      <c r="N3990" s="12"/>
      <c r="O3990" s="12"/>
      <c r="P3990" s="13">
        <f>IFERROR(__xludf.DUMMYFUNCTION("VALUE(SUBSTITUTE((INDEX(SPLIT(A3990,"",""),1)),""."","","",1))"),56.753197)</f>
        <v>56.753197</v>
      </c>
      <c r="Q3990" s="13">
        <f>IFERROR(__xludf.DUMMYFUNCTION("VALUE(SUBSTITUTE((INDEX(SPLIT(A3990,"",""),2)),""."","","",1))"),60.713743)</f>
        <v>60.713743</v>
      </c>
      <c r="R3990" s="14" t="b">
        <f t="shared" si="1"/>
        <v>0</v>
      </c>
      <c r="S3990" s="14" t="str">
        <f t="shared" si="2"/>
        <v>56.753197,60.713743</v>
      </c>
      <c r="T3990" s="12"/>
    </row>
    <row r="3991">
      <c r="A3991" s="18" t="s">
        <v>25685</v>
      </c>
      <c r="B3991" s="8" t="s">
        <v>4622</v>
      </c>
      <c r="C3991" s="8" t="s">
        <v>4623</v>
      </c>
      <c r="D3991" s="8" t="s">
        <v>16</v>
      </c>
      <c r="E3991" s="19" t="s">
        <v>25686</v>
      </c>
      <c r="F3991" s="8" t="s">
        <v>23165</v>
      </c>
      <c r="G3991" s="8">
        <v>23.61</v>
      </c>
      <c r="H3991" s="8"/>
      <c r="I3991" s="8"/>
      <c r="J3991" s="8" t="s">
        <v>25687</v>
      </c>
      <c r="K3991" s="8" t="s">
        <v>25688</v>
      </c>
      <c r="L3991" s="8"/>
      <c r="M3991" s="8"/>
      <c r="N3991" s="12"/>
      <c r="O3991" s="12"/>
      <c r="P3991" s="13">
        <f>IFERROR(__xludf.DUMMYFUNCTION("VALUE(SUBSTITUTE((INDEX(SPLIT(A3991,"",""),1)),""."","","",1))"),56.753143)</f>
        <v>56.753143</v>
      </c>
      <c r="Q3991" s="13">
        <f>IFERROR(__xludf.DUMMYFUNCTION("VALUE(SUBSTITUTE((INDEX(SPLIT(A3991,"",""),2)),""."","","",1))"),60.714794)</f>
        <v>60.714794</v>
      </c>
      <c r="R3991" s="14" t="b">
        <f t="shared" si="1"/>
        <v>0</v>
      </c>
      <c r="S3991" s="14" t="str">
        <f t="shared" si="2"/>
        <v>56.753143,60.714794</v>
      </c>
      <c r="T3991" s="12"/>
    </row>
    <row r="3992">
      <c r="A3992" s="15" t="s">
        <v>25689</v>
      </c>
      <c r="B3992" s="16" t="s">
        <v>23451</v>
      </c>
      <c r="C3992" s="16" t="s">
        <v>23452</v>
      </c>
      <c r="D3992" s="16" t="s">
        <v>16</v>
      </c>
      <c r="E3992" s="17" t="s">
        <v>25690</v>
      </c>
      <c r="F3992" s="16" t="s">
        <v>23544</v>
      </c>
      <c r="G3992" s="16">
        <v>23.61</v>
      </c>
      <c r="H3992" s="16"/>
      <c r="I3992" s="16"/>
      <c r="J3992" s="16" t="s">
        <v>25691</v>
      </c>
      <c r="K3992" s="16" t="s">
        <v>25692</v>
      </c>
      <c r="L3992" s="16"/>
      <c r="M3992" s="25" t="s">
        <v>25693</v>
      </c>
      <c r="N3992" s="12"/>
      <c r="O3992" s="12"/>
      <c r="P3992" s="13">
        <f>IFERROR(__xludf.DUMMYFUNCTION("VALUE(SUBSTITUTE((INDEX(SPLIT(A3992,"",""),1)),""."","","",1))"),56.789402)</f>
        <v>56.789402</v>
      </c>
      <c r="Q3992" s="13">
        <f>IFERROR(__xludf.DUMMYFUNCTION("VALUE(SUBSTITUTE((INDEX(SPLIT(A3992,"",""),2)),""."","","",1))"),60.745211)</f>
        <v>60.745211</v>
      </c>
      <c r="R3992" s="14" t="b">
        <f t="shared" si="1"/>
        <v>0</v>
      </c>
      <c r="S3992" s="14" t="str">
        <f t="shared" si="2"/>
        <v>56.789402,60.745211</v>
      </c>
      <c r="T3992" s="12"/>
    </row>
    <row r="3993">
      <c r="A3993" s="18" t="s">
        <v>25694</v>
      </c>
      <c r="B3993" s="8" t="s">
        <v>9320</v>
      </c>
      <c r="C3993" s="8" t="s">
        <v>9321</v>
      </c>
      <c r="D3993" s="8" t="s">
        <v>16</v>
      </c>
      <c r="E3993" s="19" t="s">
        <v>25695</v>
      </c>
      <c r="F3993" s="8" t="s">
        <v>23165</v>
      </c>
      <c r="G3993" s="8">
        <v>23.61</v>
      </c>
      <c r="H3993" s="8"/>
      <c r="I3993" s="8"/>
      <c r="J3993" s="8" t="s">
        <v>25696</v>
      </c>
      <c r="K3993" s="8" t="s">
        <v>25697</v>
      </c>
      <c r="L3993" s="8"/>
      <c r="M3993" s="24" t="s">
        <v>25698</v>
      </c>
      <c r="N3993" s="12"/>
      <c r="O3993" s="12"/>
      <c r="P3993" s="13">
        <f>IFERROR(__xludf.DUMMYFUNCTION("VALUE(SUBSTITUTE((INDEX(SPLIT(A3993,"",""),1)),""."","","",1))"),56.725832)</f>
        <v>56.725832</v>
      </c>
      <c r="Q3993" s="13">
        <f>IFERROR(__xludf.DUMMYFUNCTION("VALUE(SUBSTITUTE((INDEX(SPLIT(A3993,"",""),2)),""."","","",1))"),60.756503)</f>
        <v>60.756503</v>
      </c>
      <c r="R3993" s="14" t="b">
        <f t="shared" si="1"/>
        <v>0</v>
      </c>
      <c r="S3993" s="14" t="str">
        <f t="shared" si="2"/>
        <v>56.725832,60.756503</v>
      </c>
      <c r="T3993" s="12"/>
    </row>
    <row r="3994">
      <c r="A3994" s="15" t="s">
        <v>25699</v>
      </c>
      <c r="B3994" s="16" t="s">
        <v>743</v>
      </c>
      <c r="C3994" s="16" t="s">
        <v>744</v>
      </c>
      <c r="D3994" s="16" t="s">
        <v>16</v>
      </c>
      <c r="E3994" s="17" t="s">
        <v>25700</v>
      </c>
      <c r="F3994" s="16" t="s">
        <v>23544</v>
      </c>
      <c r="G3994" s="16">
        <v>23.61</v>
      </c>
      <c r="H3994" s="16"/>
      <c r="I3994" s="16"/>
      <c r="J3994" s="16" t="s">
        <v>25701</v>
      </c>
      <c r="K3994" s="16" t="s">
        <v>25702</v>
      </c>
      <c r="L3994" s="16"/>
      <c r="M3994" s="16"/>
      <c r="N3994" s="12"/>
      <c r="O3994" s="12"/>
      <c r="P3994" s="13">
        <f>IFERROR(__xludf.DUMMYFUNCTION("VALUE(SUBSTITUTE((INDEX(SPLIT(A3994,"",""),1)),""."","","",1))"),56.798093)</f>
        <v>56.798093</v>
      </c>
      <c r="Q3994" s="13">
        <f>IFERROR(__xludf.DUMMYFUNCTION("VALUE(SUBSTITUTE((INDEX(SPLIT(A3994,"",""),2)),""."","","",1))"),60.764444)</f>
        <v>60.764444</v>
      </c>
      <c r="R3994" s="14" t="b">
        <f t="shared" si="1"/>
        <v>0</v>
      </c>
      <c r="S3994" s="14" t="str">
        <f t="shared" si="2"/>
        <v>56.798093,60.764444</v>
      </c>
      <c r="T3994" s="12"/>
    </row>
    <row r="3995">
      <c r="A3995" s="18" t="s">
        <v>25703</v>
      </c>
      <c r="B3995" s="8" t="s">
        <v>25704</v>
      </c>
      <c r="C3995" s="8" t="s">
        <v>25704</v>
      </c>
      <c r="D3995" s="8" t="s">
        <v>16</v>
      </c>
      <c r="E3995" s="19" t="s">
        <v>25705</v>
      </c>
      <c r="F3995" s="8" t="s">
        <v>23165</v>
      </c>
      <c r="G3995" s="8">
        <v>23.61</v>
      </c>
      <c r="H3995" s="8"/>
      <c r="I3995" s="8"/>
      <c r="J3995" s="8" t="s">
        <v>25706</v>
      </c>
      <c r="K3995" s="8" t="s">
        <v>25707</v>
      </c>
      <c r="L3995" s="8"/>
      <c r="M3995" s="8"/>
      <c r="N3995" s="12"/>
      <c r="O3995" s="12"/>
      <c r="P3995" s="13">
        <f>IFERROR(__xludf.DUMMYFUNCTION("VALUE(SUBSTITUTE((INDEX(SPLIT(A3995,"",""),1)),""."","","",1))"),56.070519)</f>
        <v>56.070519</v>
      </c>
      <c r="Q3995" s="13">
        <f>IFERROR(__xludf.DUMMYFUNCTION("VALUE(SUBSTITUTE((INDEX(SPLIT(A3995,"",""),2)),""."","","",1))"),60.765837)</f>
        <v>60.765837</v>
      </c>
      <c r="R3995" s="14" t="b">
        <f t="shared" si="1"/>
        <v>0</v>
      </c>
      <c r="S3995" s="14" t="str">
        <f t="shared" si="2"/>
        <v>56.070519,60.765837</v>
      </c>
      <c r="T3995" s="12"/>
    </row>
    <row r="3996">
      <c r="A3996" s="20" t="s">
        <v>25708</v>
      </c>
      <c r="B3996" s="16" t="s">
        <v>25709</v>
      </c>
      <c r="C3996" s="16" t="s">
        <v>25710</v>
      </c>
      <c r="D3996" s="16" t="s">
        <v>16</v>
      </c>
      <c r="E3996" s="21" t="s">
        <v>25711</v>
      </c>
      <c r="F3996" s="22" t="s">
        <v>23544</v>
      </c>
      <c r="G3996" s="16">
        <v>23.61</v>
      </c>
      <c r="H3996" s="16"/>
      <c r="I3996" s="22"/>
      <c r="J3996" s="22" t="s">
        <v>25712</v>
      </c>
      <c r="K3996" s="22" t="s">
        <v>25713</v>
      </c>
      <c r="L3996" s="23" t="s">
        <v>25714</v>
      </c>
      <c r="M3996" s="22"/>
      <c r="N3996" s="12"/>
      <c r="O3996" s="12"/>
      <c r="P3996" s="13">
        <f>IFERROR(__xludf.DUMMYFUNCTION("VALUE(SUBSTITUTE((INDEX(SPLIT(A3996,"",""),1)),""."","","",1))"),56.931996)</f>
        <v>56.931996</v>
      </c>
      <c r="Q3996" s="13">
        <f>IFERROR(__xludf.DUMMYFUNCTION("VALUE(SUBSTITUTE((INDEX(SPLIT(A3996,"",""),2)),""."","","",1))"),60.769951)</f>
        <v>60.769951</v>
      </c>
      <c r="R3996" s="14" t="b">
        <f t="shared" si="1"/>
        <v>0</v>
      </c>
      <c r="S3996" s="14" t="str">
        <f t="shared" si="2"/>
        <v>56.931996,60.769951</v>
      </c>
      <c r="T3996" s="12"/>
    </row>
    <row r="3997">
      <c r="A3997" s="7" t="s">
        <v>25715</v>
      </c>
      <c r="B3997" s="8" t="s">
        <v>25716</v>
      </c>
      <c r="C3997" s="8" t="s">
        <v>25717</v>
      </c>
      <c r="D3997" s="8" t="s">
        <v>16</v>
      </c>
      <c r="E3997" s="9" t="s">
        <v>25718</v>
      </c>
      <c r="F3997" s="10" t="s">
        <v>5134</v>
      </c>
      <c r="G3997" s="8">
        <v>23.61</v>
      </c>
      <c r="H3997" s="8"/>
      <c r="I3997" s="10"/>
      <c r="J3997" s="10" t="s">
        <v>25719</v>
      </c>
      <c r="K3997" s="10" t="s">
        <v>25720</v>
      </c>
      <c r="L3997" s="11" t="s">
        <v>25721</v>
      </c>
      <c r="M3997" s="11" t="s">
        <v>25722</v>
      </c>
      <c r="N3997" s="12"/>
      <c r="O3997" s="12"/>
      <c r="P3997" s="13">
        <f>IFERROR(__xludf.DUMMYFUNCTION("VALUE(SUBSTITUTE((INDEX(SPLIT(A3997,"",""),1)),""."","","",1))"),56.931347)</f>
        <v>56.931347</v>
      </c>
      <c r="Q3997" s="13">
        <f>IFERROR(__xludf.DUMMYFUNCTION("VALUE(SUBSTITUTE((INDEX(SPLIT(A3997,"",""),2)),""."","","",1))"),60.777272)</f>
        <v>60.777272</v>
      </c>
      <c r="R3997" s="14" t="b">
        <f t="shared" si="1"/>
        <v>0</v>
      </c>
      <c r="S3997" s="14" t="str">
        <f t="shared" si="2"/>
        <v>56.931347,60.777272</v>
      </c>
      <c r="T3997" s="12"/>
    </row>
    <row r="3998">
      <c r="A3998" s="20" t="s">
        <v>25723</v>
      </c>
      <c r="B3998" s="16" t="s">
        <v>25724</v>
      </c>
      <c r="C3998" s="16" t="s">
        <v>25725</v>
      </c>
      <c r="D3998" s="16" t="s">
        <v>16</v>
      </c>
      <c r="E3998" s="21" t="s">
        <v>25726</v>
      </c>
      <c r="F3998" s="22" t="s">
        <v>5134</v>
      </c>
      <c r="G3998" s="16">
        <v>23.61</v>
      </c>
      <c r="H3998" s="16"/>
      <c r="I3998" s="28" t="s">
        <v>25727</v>
      </c>
      <c r="J3998" s="22" t="s">
        <v>25728</v>
      </c>
      <c r="K3998" s="22" t="s">
        <v>25729</v>
      </c>
      <c r="L3998" s="23" t="s">
        <v>25730</v>
      </c>
      <c r="M3998" s="22"/>
      <c r="N3998" s="12"/>
      <c r="O3998" s="12"/>
      <c r="P3998" s="13">
        <f>IFERROR(__xludf.DUMMYFUNCTION("VALUE(SUBSTITUTE((INDEX(SPLIT(A3998,"",""),1)),""."","","",1))"),56.905745)</f>
        <v>56.905745</v>
      </c>
      <c r="Q3998" s="13">
        <f>IFERROR(__xludf.DUMMYFUNCTION("VALUE(SUBSTITUTE((INDEX(SPLIT(A3998,"",""),2)),""."","","",1))"),60.779401)</f>
        <v>60.779401</v>
      </c>
      <c r="R3998" s="14" t="b">
        <f t="shared" si="1"/>
        <v>0</v>
      </c>
      <c r="S3998" s="14" t="str">
        <f t="shared" si="2"/>
        <v>56.905745,60.779401</v>
      </c>
      <c r="T3998" s="12"/>
    </row>
    <row r="3999">
      <c r="A3999" s="7" t="s">
        <v>25731</v>
      </c>
      <c r="B3999" s="8" t="s">
        <v>25732</v>
      </c>
      <c r="C3999" s="8" t="s">
        <v>25733</v>
      </c>
      <c r="D3999" s="8" t="s">
        <v>16</v>
      </c>
      <c r="E3999" s="9" t="s">
        <v>25734</v>
      </c>
      <c r="F3999" s="10" t="s">
        <v>3760</v>
      </c>
      <c r="G3999" s="8">
        <v>23.61</v>
      </c>
      <c r="H3999" s="8"/>
      <c r="I3999" s="10"/>
      <c r="J3999" s="10" t="s">
        <v>25735</v>
      </c>
      <c r="K3999" s="10" t="s">
        <v>25736</v>
      </c>
      <c r="L3999" s="11" t="s">
        <v>25737</v>
      </c>
      <c r="M3999" s="10"/>
      <c r="N3999" s="12"/>
      <c r="O3999" s="12"/>
      <c r="P3999" s="13">
        <f>IFERROR(__xludf.DUMMYFUNCTION("VALUE(SUBSTITUTE((INDEX(SPLIT(A3999,"",""),1)),""."","","",1))"),56.932497)</f>
        <v>56.932497</v>
      </c>
      <c r="Q3999" s="13">
        <f>IFERROR(__xludf.DUMMYFUNCTION("VALUE(SUBSTITUTE((INDEX(SPLIT(A3999,"",""),2)),""."","","",1))"),60.789947)</f>
        <v>60.789947</v>
      </c>
      <c r="R3999" s="14" t="b">
        <f t="shared" si="1"/>
        <v>0</v>
      </c>
      <c r="S3999" s="14" t="str">
        <f t="shared" si="2"/>
        <v>56.932497,60.789947</v>
      </c>
      <c r="T3999" s="12"/>
    </row>
    <row r="4000">
      <c r="A4000" s="20" t="s">
        <v>25738</v>
      </c>
      <c r="B4000" s="16" t="s">
        <v>25739</v>
      </c>
      <c r="C4000" s="16" t="s">
        <v>25740</v>
      </c>
      <c r="D4000" s="16" t="s">
        <v>16</v>
      </c>
      <c r="E4000" s="21" t="s">
        <v>25741</v>
      </c>
      <c r="F4000" s="22" t="s">
        <v>23165</v>
      </c>
      <c r="G4000" s="16">
        <v>23.61</v>
      </c>
      <c r="H4000" s="16"/>
      <c r="I4000" s="22"/>
      <c r="J4000" s="22" t="s">
        <v>25742</v>
      </c>
      <c r="K4000" s="22" t="s">
        <v>25743</v>
      </c>
      <c r="L4000" s="23" t="s">
        <v>25744</v>
      </c>
      <c r="M4000" s="22"/>
      <c r="N4000" s="12"/>
      <c r="O4000" s="12"/>
      <c r="P4000" s="13">
        <f>IFERROR(__xludf.DUMMYFUNCTION("VALUE(SUBSTITUTE((INDEX(SPLIT(A4000,"",""),1)),""."","","",1))"),56.931023)</f>
        <v>56.931023</v>
      </c>
      <c r="Q4000" s="13">
        <f>IFERROR(__xludf.DUMMYFUNCTION("VALUE(SUBSTITUTE((INDEX(SPLIT(A4000,"",""),2)),""."","","",1))"),60.793765)</f>
        <v>60.793765</v>
      </c>
      <c r="R4000" s="14" t="b">
        <f t="shared" si="1"/>
        <v>0</v>
      </c>
      <c r="S4000" s="14" t="str">
        <f t="shared" si="2"/>
        <v>56.931023,60.793765</v>
      </c>
      <c r="T4000" s="12"/>
    </row>
    <row r="4001">
      <c r="A4001" s="18" t="s">
        <v>25745</v>
      </c>
      <c r="B4001" s="8" t="s">
        <v>25746</v>
      </c>
      <c r="C4001" s="8" t="s">
        <v>25747</v>
      </c>
      <c r="D4001" s="8" t="s">
        <v>16</v>
      </c>
      <c r="E4001" s="19" t="s">
        <v>25748</v>
      </c>
      <c r="F4001" s="8" t="s">
        <v>23165</v>
      </c>
      <c r="G4001" s="8">
        <v>23.61</v>
      </c>
      <c r="H4001" s="8"/>
      <c r="I4001" s="8"/>
      <c r="J4001" s="8" t="s">
        <v>25749</v>
      </c>
      <c r="K4001" s="8" t="s">
        <v>25750</v>
      </c>
      <c r="L4001" s="8"/>
      <c r="M4001" s="24" t="s">
        <v>25751</v>
      </c>
      <c r="N4001" s="12"/>
      <c r="O4001" s="12"/>
      <c r="P4001" s="13">
        <f>IFERROR(__xludf.DUMMYFUNCTION("VALUE(SUBSTITUTE((INDEX(SPLIT(A4001,"",""),1)),""."","","",1))"),56.908778)</f>
        <v>56.908778</v>
      </c>
      <c r="Q4001" s="13">
        <f>IFERROR(__xludf.DUMMYFUNCTION("VALUE(SUBSTITUTE((INDEX(SPLIT(A4001,"",""),2)),""."","","",1))"),60.7962)</f>
        <v>60.7962</v>
      </c>
      <c r="R4001" s="14" t="b">
        <f t="shared" si="1"/>
        <v>0</v>
      </c>
      <c r="S4001" s="14" t="str">
        <f t="shared" si="2"/>
        <v>56.908778,60.7962</v>
      </c>
      <c r="T4001" s="12"/>
    </row>
    <row r="4002">
      <c r="A4002" s="15" t="s">
        <v>25745</v>
      </c>
      <c r="B4002" s="16" t="s">
        <v>25752</v>
      </c>
      <c r="C4002" s="16" t="s">
        <v>25753</v>
      </c>
      <c r="D4002" s="16" t="s">
        <v>16</v>
      </c>
      <c r="E4002" s="17" t="s">
        <v>25754</v>
      </c>
      <c r="F4002" s="16" t="s">
        <v>23165</v>
      </c>
      <c r="G4002" s="16">
        <v>23.61</v>
      </c>
      <c r="H4002" s="16"/>
      <c r="I4002" s="16"/>
      <c r="J4002" s="16" t="s">
        <v>25755</v>
      </c>
      <c r="K4002" s="16" t="s">
        <v>25756</v>
      </c>
      <c r="L4002" s="16"/>
      <c r="M4002" s="16"/>
      <c r="N4002" s="12"/>
      <c r="O4002" s="12"/>
      <c r="P4002" s="13">
        <f>IFERROR(__xludf.DUMMYFUNCTION("VALUE(SUBSTITUTE((INDEX(SPLIT(A4002,"",""),1)),""."","","",1))"),56.908778)</f>
        <v>56.908778</v>
      </c>
      <c r="Q4002" s="13">
        <f>IFERROR(__xludf.DUMMYFUNCTION("VALUE(SUBSTITUTE((INDEX(SPLIT(A4002,"",""),2)),""."","","",1))"),60.7962)</f>
        <v>60.7962</v>
      </c>
      <c r="R4002" s="14" t="b">
        <f t="shared" si="1"/>
        <v>0</v>
      </c>
      <c r="S4002" s="14" t="str">
        <f t="shared" si="2"/>
        <v>56.908778,60.7962</v>
      </c>
      <c r="T4002" s="12"/>
    </row>
    <row r="4003">
      <c r="A4003" s="18" t="s">
        <v>25757</v>
      </c>
      <c r="B4003" s="8" t="s">
        <v>25758</v>
      </c>
      <c r="C4003" s="8" t="s">
        <v>25759</v>
      </c>
      <c r="D4003" s="8" t="s">
        <v>16</v>
      </c>
      <c r="E4003" s="19" t="s">
        <v>25760</v>
      </c>
      <c r="F4003" s="8" t="s">
        <v>23165</v>
      </c>
      <c r="G4003" s="8">
        <v>23.61</v>
      </c>
      <c r="H4003" s="8"/>
      <c r="I4003" s="8"/>
      <c r="J4003" s="8" t="s">
        <v>25761</v>
      </c>
      <c r="K4003" s="8" t="s">
        <v>25762</v>
      </c>
      <c r="L4003" s="8"/>
      <c r="M4003" s="8"/>
      <c r="N4003" s="12"/>
      <c r="O4003" s="12"/>
      <c r="P4003" s="13">
        <f>IFERROR(__xludf.DUMMYFUNCTION("VALUE(SUBSTITUTE((INDEX(SPLIT(A4003,"",""),1)),""."","","",1))"),56.750976)</f>
        <v>56.750976</v>
      </c>
      <c r="Q4003" s="13">
        <f>IFERROR(__xludf.DUMMYFUNCTION("VALUE(SUBSTITUTE((INDEX(SPLIT(A4003,"",""),2)),""."","","",1))"),60.807779)</f>
        <v>60.807779</v>
      </c>
      <c r="R4003" s="14" t="b">
        <f t="shared" si="1"/>
        <v>0</v>
      </c>
      <c r="S4003" s="14" t="str">
        <f t="shared" si="2"/>
        <v>56.750976,60.807779</v>
      </c>
      <c r="T4003" s="12"/>
    </row>
    <row r="4004">
      <c r="A4004" s="20" t="s">
        <v>25763</v>
      </c>
      <c r="B4004" s="16" t="s">
        <v>25764</v>
      </c>
      <c r="C4004" s="16" t="s">
        <v>25765</v>
      </c>
      <c r="D4004" s="16" t="s">
        <v>16</v>
      </c>
      <c r="E4004" s="21" t="s">
        <v>25766</v>
      </c>
      <c r="F4004" s="22" t="s">
        <v>23165</v>
      </c>
      <c r="G4004" s="16">
        <v>23.61</v>
      </c>
      <c r="H4004" s="16"/>
      <c r="I4004" s="22"/>
      <c r="J4004" s="22" t="s">
        <v>25767</v>
      </c>
      <c r="K4004" s="22" t="s">
        <v>25768</v>
      </c>
      <c r="L4004" s="23" t="s">
        <v>25769</v>
      </c>
      <c r="M4004" s="23" t="s">
        <v>25770</v>
      </c>
      <c r="N4004" s="12"/>
      <c r="O4004" s="12"/>
      <c r="P4004" s="13">
        <f>IFERROR(__xludf.DUMMYFUNCTION("VALUE(SUBSTITUTE((INDEX(SPLIT(A4004,"",""),1)),""."","","",1))"),56.7668)</f>
        <v>56.7668</v>
      </c>
      <c r="Q4004" s="13">
        <f>IFERROR(__xludf.DUMMYFUNCTION("VALUE(SUBSTITUTE((INDEX(SPLIT(A4004,"",""),2)),""."","","",1))"),60.811229)</f>
        <v>60.811229</v>
      </c>
      <c r="R4004" s="14" t="b">
        <f t="shared" si="1"/>
        <v>0</v>
      </c>
      <c r="S4004" s="14" t="str">
        <f t="shared" si="2"/>
        <v>56.7668,60.811229</v>
      </c>
      <c r="T4004" s="12"/>
    </row>
    <row r="4005">
      <c r="A4005" s="7" t="s">
        <v>25771</v>
      </c>
      <c r="B4005" s="8" t="s">
        <v>21089</v>
      </c>
      <c r="C4005" s="8" t="s">
        <v>17825</v>
      </c>
      <c r="D4005" s="8" t="s">
        <v>16</v>
      </c>
      <c r="E4005" s="9" t="s">
        <v>25772</v>
      </c>
      <c r="F4005" s="10" t="s">
        <v>23165</v>
      </c>
      <c r="G4005" s="8">
        <v>23.61</v>
      </c>
      <c r="H4005" s="8"/>
      <c r="I4005" s="10"/>
      <c r="J4005" s="10" t="s">
        <v>25773</v>
      </c>
      <c r="K4005" s="10" t="s">
        <v>25774</v>
      </c>
      <c r="L4005" s="11" t="s">
        <v>25775</v>
      </c>
      <c r="M4005" s="10"/>
      <c r="N4005" s="12"/>
      <c r="O4005" s="12"/>
      <c r="P4005" s="13">
        <f>IFERROR(__xludf.DUMMYFUNCTION("VALUE(SUBSTITUTE((INDEX(SPLIT(A4005,"",""),1)),""."","","",1))"),56.761901)</f>
        <v>56.761901</v>
      </c>
      <c r="Q4005" s="13">
        <f>IFERROR(__xludf.DUMMYFUNCTION("VALUE(SUBSTITUTE((INDEX(SPLIT(A4005,"",""),2)),""."","","",1))"),60.814696)</f>
        <v>60.814696</v>
      </c>
      <c r="R4005" s="14" t="b">
        <f t="shared" si="1"/>
        <v>0</v>
      </c>
      <c r="S4005" s="14" t="str">
        <f t="shared" si="2"/>
        <v>56.761901,60.814696</v>
      </c>
      <c r="T4005" s="12"/>
    </row>
    <row r="4006">
      <c r="A4006" s="15" t="s">
        <v>25776</v>
      </c>
      <c r="B4006" s="16" t="s">
        <v>25777</v>
      </c>
      <c r="C4006" s="16" t="s">
        <v>25778</v>
      </c>
      <c r="D4006" s="16" t="s">
        <v>16</v>
      </c>
      <c r="E4006" s="17" t="s">
        <v>25779</v>
      </c>
      <c r="F4006" s="16" t="s">
        <v>23165</v>
      </c>
      <c r="G4006" s="16">
        <v>23.61</v>
      </c>
      <c r="H4006" s="16"/>
      <c r="I4006" s="16"/>
      <c r="J4006" s="16" t="s">
        <v>25780</v>
      </c>
      <c r="K4006" s="16" t="s">
        <v>25781</v>
      </c>
      <c r="L4006" s="16"/>
      <c r="M4006" s="16"/>
      <c r="N4006" s="12"/>
      <c r="O4006" s="12"/>
      <c r="P4006" s="13">
        <f>IFERROR(__xludf.DUMMYFUNCTION("VALUE(SUBSTITUTE((INDEX(SPLIT(A4006,"",""),1)),""."","","",1))"),56.765463)</f>
        <v>56.765463</v>
      </c>
      <c r="Q4006" s="13">
        <f>IFERROR(__xludf.DUMMYFUNCTION("VALUE(SUBSTITUTE((INDEX(SPLIT(A4006,"",""),2)),""."","","",1))"),60.819754)</f>
        <v>60.819754</v>
      </c>
      <c r="R4006" s="14" t="b">
        <f t="shared" si="1"/>
        <v>0</v>
      </c>
      <c r="S4006" s="14" t="str">
        <f t="shared" si="2"/>
        <v>56.765463,60.819754</v>
      </c>
      <c r="T4006" s="12"/>
    </row>
    <row r="4007">
      <c r="A4007" s="7" t="s">
        <v>25776</v>
      </c>
      <c r="B4007" s="8" t="s">
        <v>25782</v>
      </c>
      <c r="C4007" s="8" t="s">
        <v>25783</v>
      </c>
      <c r="D4007" s="8" t="s">
        <v>16</v>
      </c>
      <c r="E4007" s="9" t="s">
        <v>25784</v>
      </c>
      <c r="F4007" s="10" t="s">
        <v>23165</v>
      </c>
      <c r="G4007" s="8">
        <v>23.61</v>
      </c>
      <c r="H4007" s="8"/>
      <c r="I4007" s="10"/>
      <c r="J4007" s="10" t="s">
        <v>25785</v>
      </c>
      <c r="K4007" s="10" t="s">
        <v>25786</v>
      </c>
      <c r="L4007" s="11" t="s">
        <v>25787</v>
      </c>
      <c r="M4007" s="10"/>
      <c r="N4007" s="12"/>
      <c r="O4007" s="12"/>
      <c r="P4007" s="13">
        <f>IFERROR(__xludf.DUMMYFUNCTION("VALUE(SUBSTITUTE((INDEX(SPLIT(A4007,"",""),1)),""."","","",1))"),56.765463)</f>
        <v>56.765463</v>
      </c>
      <c r="Q4007" s="13">
        <f>IFERROR(__xludf.DUMMYFUNCTION("VALUE(SUBSTITUTE((INDEX(SPLIT(A4007,"",""),2)),""."","","",1))"),60.819754)</f>
        <v>60.819754</v>
      </c>
      <c r="R4007" s="14" t="b">
        <f t="shared" si="1"/>
        <v>0</v>
      </c>
      <c r="S4007" s="14" t="str">
        <f t="shared" si="2"/>
        <v>56.765463,60.819754</v>
      </c>
      <c r="T4007" s="12"/>
    </row>
    <row r="4008">
      <c r="A4008" s="15" t="s">
        <v>25788</v>
      </c>
      <c r="B4008" s="16" t="s">
        <v>25789</v>
      </c>
      <c r="C4008" s="16" t="s">
        <v>25790</v>
      </c>
      <c r="D4008" s="16" t="s">
        <v>16</v>
      </c>
      <c r="E4008" s="17" t="s">
        <v>25791</v>
      </c>
      <c r="F4008" s="16" t="s">
        <v>19948</v>
      </c>
      <c r="G4008" s="16">
        <v>23.61</v>
      </c>
      <c r="H4008" s="16"/>
      <c r="I4008" s="16"/>
      <c r="J4008" s="16" t="s">
        <v>25792</v>
      </c>
      <c r="K4008" s="16" t="s">
        <v>25793</v>
      </c>
      <c r="L4008" s="16"/>
      <c r="M4008" s="25" t="s">
        <v>25794</v>
      </c>
      <c r="N4008" s="12"/>
      <c r="O4008" s="12"/>
      <c r="P4008" s="13">
        <f>IFERROR(__xludf.DUMMYFUNCTION("VALUE(SUBSTITUTE((INDEX(SPLIT(A4008,"",""),1)),""."","","",1))"),56.762745)</f>
        <v>56.762745</v>
      </c>
      <c r="Q4008" s="13">
        <f>IFERROR(__xludf.DUMMYFUNCTION("VALUE(SUBSTITUTE((INDEX(SPLIT(A4008,"",""),2)),""."","","",1))"),60.821433)</f>
        <v>60.821433</v>
      </c>
      <c r="R4008" s="14" t="b">
        <f t="shared" si="1"/>
        <v>0</v>
      </c>
      <c r="S4008" s="14" t="str">
        <f t="shared" si="2"/>
        <v>56.762745,60.821433</v>
      </c>
      <c r="T4008" s="12"/>
    </row>
    <row r="4009">
      <c r="A4009" s="7" t="s">
        <v>25795</v>
      </c>
      <c r="B4009" s="8" t="s">
        <v>25796</v>
      </c>
      <c r="C4009" s="8" t="s">
        <v>25797</v>
      </c>
      <c r="D4009" s="8" t="s">
        <v>16</v>
      </c>
      <c r="E4009" s="9" t="s">
        <v>25798</v>
      </c>
      <c r="F4009" s="10" t="s">
        <v>23544</v>
      </c>
      <c r="G4009" s="8">
        <v>23.61</v>
      </c>
      <c r="H4009" s="8"/>
      <c r="I4009" s="10"/>
      <c r="J4009" s="10" t="s">
        <v>25799</v>
      </c>
      <c r="K4009" s="10" t="s">
        <v>25800</v>
      </c>
      <c r="L4009" s="11" t="s">
        <v>25801</v>
      </c>
      <c r="M4009" s="10"/>
      <c r="N4009" s="12"/>
      <c r="O4009" s="12"/>
      <c r="P4009" s="13">
        <f>IFERROR(__xludf.DUMMYFUNCTION("VALUE(SUBSTITUTE((INDEX(SPLIT(A4009,"",""),1)),""."","","",1))"),56.755867)</f>
        <v>56.755867</v>
      </c>
      <c r="Q4009" s="13">
        <f>IFERROR(__xludf.DUMMYFUNCTION("VALUE(SUBSTITUTE((INDEX(SPLIT(A4009,"",""),2)),""."","","",1))"),60.821766)</f>
        <v>60.821766</v>
      </c>
      <c r="R4009" s="14" t="b">
        <f t="shared" si="1"/>
        <v>0</v>
      </c>
      <c r="S4009" s="14" t="str">
        <f t="shared" si="2"/>
        <v>56.755867,60.821766</v>
      </c>
      <c r="T4009" s="12"/>
    </row>
    <row r="4010">
      <c r="A4010" s="15" t="s">
        <v>25802</v>
      </c>
      <c r="B4010" s="16" t="s">
        <v>25803</v>
      </c>
      <c r="C4010" s="16" t="s">
        <v>25804</v>
      </c>
      <c r="D4010" s="16" t="s">
        <v>16</v>
      </c>
      <c r="E4010" s="17" t="s">
        <v>25805</v>
      </c>
      <c r="F4010" s="16" t="s">
        <v>23165</v>
      </c>
      <c r="G4010" s="16">
        <v>23.61</v>
      </c>
      <c r="H4010" s="16"/>
      <c r="I4010" s="16"/>
      <c r="J4010" s="16" t="s">
        <v>25806</v>
      </c>
      <c r="K4010" s="16" t="s">
        <v>25807</v>
      </c>
      <c r="L4010" s="16"/>
      <c r="M4010" s="16"/>
      <c r="N4010" s="12"/>
      <c r="O4010" s="12"/>
      <c r="P4010" s="13">
        <f>IFERROR(__xludf.DUMMYFUNCTION("VALUE(SUBSTITUTE((INDEX(SPLIT(A4010,"",""),1)),""."","","",1))"),56.766825)</f>
        <v>56.766825</v>
      </c>
      <c r="Q4010" s="13">
        <f>IFERROR(__xludf.DUMMYFUNCTION("VALUE(SUBSTITUTE((INDEX(SPLIT(A4010,"",""),2)),""."","","",1))"),60.8235)</f>
        <v>60.8235</v>
      </c>
      <c r="R4010" s="14" t="b">
        <f t="shared" si="1"/>
        <v>0</v>
      </c>
      <c r="S4010" s="14" t="str">
        <f t="shared" si="2"/>
        <v>56.766825,60.8235</v>
      </c>
      <c r="T4010" s="12"/>
    </row>
    <row r="4011">
      <c r="A4011" s="18" t="s">
        <v>25808</v>
      </c>
      <c r="B4011" s="8" t="s">
        <v>25809</v>
      </c>
      <c r="C4011" s="8" t="s">
        <v>25810</v>
      </c>
      <c r="D4011" s="8" t="s">
        <v>16</v>
      </c>
      <c r="E4011" s="19" t="s">
        <v>25811</v>
      </c>
      <c r="F4011" s="8" t="s">
        <v>23165</v>
      </c>
      <c r="G4011" s="8">
        <v>23.61</v>
      </c>
      <c r="H4011" s="8"/>
      <c r="I4011" s="8"/>
      <c r="J4011" s="8" t="s">
        <v>25812</v>
      </c>
      <c r="K4011" s="8" t="s">
        <v>25813</v>
      </c>
      <c r="L4011" s="8"/>
      <c r="M4011" s="8"/>
      <c r="N4011" s="12"/>
      <c r="O4011" s="12"/>
      <c r="P4011" s="13">
        <f>IFERROR(__xludf.DUMMYFUNCTION("VALUE(SUBSTITUTE((INDEX(SPLIT(A4011,"",""),1)),""."","","",1))"),56.508565)</f>
        <v>56.508565</v>
      </c>
      <c r="Q4011" s="13">
        <f>IFERROR(__xludf.DUMMYFUNCTION("VALUE(SUBSTITUTE((INDEX(SPLIT(A4011,"",""),2)),""."","","",1))"),60.833785)</f>
        <v>60.833785</v>
      </c>
      <c r="R4011" s="14" t="b">
        <f t="shared" si="1"/>
        <v>0</v>
      </c>
      <c r="S4011" s="14" t="str">
        <f t="shared" si="2"/>
        <v>56.508565,60.833785</v>
      </c>
      <c r="T4011" s="12"/>
    </row>
    <row r="4012">
      <c r="A4012" s="15" t="s">
        <v>25814</v>
      </c>
      <c r="B4012" s="16" t="s">
        <v>22180</v>
      </c>
      <c r="C4012" s="16" t="s">
        <v>22181</v>
      </c>
      <c r="D4012" s="16" t="s">
        <v>16</v>
      </c>
      <c r="E4012" s="17" t="s">
        <v>25815</v>
      </c>
      <c r="F4012" s="16" t="s">
        <v>10183</v>
      </c>
      <c r="G4012" s="16">
        <v>23.61</v>
      </c>
      <c r="H4012" s="16"/>
      <c r="I4012" s="16"/>
      <c r="J4012" s="16" t="s">
        <v>25816</v>
      </c>
      <c r="K4012" s="16" t="s">
        <v>25817</v>
      </c>
      <c r="L4012" s="16"/>
      <c r="M4012" s="25" t="s">
        <v>25818</v>
      </c>
      <c r="N4012" s="12"/>
      <c r="O4012" s="12"/>
      <c r="P4012" s="13">
        <f>IFERROR(__xludf.DUMMYFUNCTION("VALUE(SUBSTITUTE((INDEX(SPLIT(A4012,"",""),1)),""."","","",1))"),50.823772)</f>
        <v>50.823772</v>
      </c>
      <c r="Q4012" s="13">
        <f>IFERROR(__xludf.DUMMYFUNCTION("VALUE(SUBSTITUTE((INDEX(SPLIT(A4012,"",""),2)),""."","","",1))"),60.853665)</f>
        <v>60.853665</v>
      </c>
      <c r="R4012" s="14" t="b">
        <f t="shared" si="1"/>
        <v>0</v>
      </c>
      <c r="S4012" s="14" t="str">
        <f t="shared" si="2"/>
        <v>50.823772,60.853665</v>
      </c>
      <c r="T4012" s="12"/>
    </row>
    <row r="4013">
      <c r="A4013" s="7" t="s">
        <v>25819</v>
      </c>
      <c r="B4013" s="8" t="s">
        <v>25820</v>
      </c>
      <c r="C4013" s="8" t="s">
        <v>25821</v>
      </c>
      <c r="D4013" s="8" t="s">
        <v>16</v>
      </c>
      <c r="E4013" s="9" t="s">
        <v>25822</v>
      </c>
      <c r="F4013" s="10" t="s">
        <v>23165</v>
      </c>
      <c r="G4013" s="8">
        <v>23.61</v>
      </c>
      <c r="H4013" s="8"/>
      <c r="I4013" s="10"/>
      <c r="J4013" s="10" t="s">
        <v>25823</v>
      </c>
      <c r="K4013" s="10" t="s">
        <v>25824</v>
      </c>
      <c r="L4013" s="11" t="s">
        <v>25825</v>
      </c>
      <c r="M4013" s="11" t="s">
        <v>25826</v>
      </c>
      <c r="N4013" s="12"/>
      <c r="O4013" s="12"/>
      <c r="P4013" s="13">
        <f>IFERROR(__xludf.DUMMYFUNCTION("VALUE(SUBSTITUTE((INDEX(SPLIT(A4013,"",""),1)),""."","","",1))"),55.499357)</f>
        <v>55.499357</v>
      </c>
      <c r="Q4013" s="13">
        <f>IFERROR(__xludf.DUMMYFUNCTION("VALUE(SUBSTITUTE((INDEX(SPLIT(A4013,"",""),2)),""."","","",1))"),60.876078)</f>
        <v>60.876078</v>
      </c>
      <c r="R4013" s="14" t="b">
        <f t="shared" si="1"/>
        <v>0</v>
      </c>
      <c r="S4013" s="14" t="str">
        <f t="shared" si="2"/>
        <v>55.499357,60.876078</v>
      </c>
      <c r="T4013" s="12"/>
    </row>
    <row r="4014">
      <c r="A4014" s="20" t="s">
        <v>25827</v>
      </c>
      <c r="B4014" s="16" t="s">
        <v>25828</v>
      </c>
      <c r="C4014" s="16" t="s">
        <v>25829</v>
      </c>
      <c r="D4014" s="16" t="s">
        <v>16</v>
      </c>
      <c r="E4014" s="21" t="s">
        <v>25830</v>
      </c>
      <c r="F4014" s="22" t="s">
        <v>23165</v>
      </c>
      <c r="G4014" s="16">
        <v>23.61</v>
      </c>
      <c r="H4014" s="16"/>
      <c r="I4014" s="22"/>
      <c r="J4014" s="22" t="s">
        <v>25831</v>
      </c>
      <c r="K4014" s="22" t="s">
        <v>23344</v>
      </c>
      <c r="L4014" s="23" t="s">
        <v>25832</v>
      </c>
      <c r="M4014" s="23" t="s">
        <v>25833</v>
      </c>
      <c r="N4014" s="12"/>
      <c r="O4014" s="12"/>
      <c r="P4014" s="13">
        <f>IFERROR(__xludf.DUMMYFUNCTION("VALUE(SUBSTITUTE((INDEX(SPLIT(A4014,"",""),1)),""."","","",1))"),56.484158)</f>
        <v>56.484158</v>
      </c>
      <c r="Q4014" s="13">
        <f>IFERROR(__xludf.DUMMYFUNCTION("VALUE(SUBSTITUTE((INDEX(SPLIT(A4014,"",""),2)),""."","","",1))"),60.916089)</f>
        <v>60.916089</v>
      </c>
      <c r="R4014" s="14" t="b">
        <f t="shared" si="1"/>
        <v>0</v>
      </c>
      <c r="S4014" s="14" t="str">
        <f t="shared" si="2"/>
        <v>56.484158,60.916089</v>
      </c>
      <c r="T4014" s="12"/>
    </row>
    <row r="4015">
      <c r="A4015" s="18" t="s">
        <v>25834</v>
      </c>
      <c r="B4015" s="8" t="s">
        <v>25835</v>
      </c>
      <c r="C4015" s="8" t="s">
        <v>25836</v>
      </c>
      <c r="D4015" s="8" t="s">
        <v>16</v>
      </c>
      <c r="E4015" s="19" t="s">
        <v>25837</v>
      </c>
      <c r="F4015" s="8" t="s">
        <v>23165</v>
      </c>
      <c r="G4015" s="8">
        <v>23.61</v>
      </c>
      <c r="H4015" s="8"/>
      <c r="I4015" s="8"/>
      <c r="J4015" s="8" t="s">
        <v>25838</v>
      </c>
      <c r="K4015" s="8" t="s">
        <v>25839</v>
      </c>
      <c r="L4015" s="8"/>
      <c r="M4015" s="8"/>
      <c r="N4015" s="12"/>
      <c r="O4015" s="12"/>
      <c r="P4015" s="13">
        <f>IFERROR(__xludf.DUMMYFUNCTION("VALUE(SUBSTITUTE((INDEX(SPLIT(A4015,"",""),1)),""."","","",1))"),56.747047)</f>
        <v>56.747047</v>
      </c>
      <c r="Q4015" s="13">
        <f>IFERROR(__xludf.DUMMYFUNCTION("VALUE(SUBSTITUTE((INDEX(SPLIT(A4015,"",""),2)),""."","","",1))"),60.939113)</f>
        <v>60.939113</v>
      </c>
      <c r="R4015" s="14" t="b">
        <f t="shared" si="1"/>
        <v>0</v>
      </c>
      <c r="S4015" s="14" t="str">
        <f t="shared" si="2"/>
        <v>56.747047,60.939113</v>
      </c>
      <c r="T4015" s="12"/>
    </row>
    <row r="4016">
      <c r="A4016" s="20" t="s">
        <v>25840</v>
      </c>
      <c r="B4016" s="16" t="s">
        <v>25841</v>
      </c>
      <c r="C4016" s="16" t="s">
        <v>25842</v>
      </c>
      <c r="D4016" s="16" t="s">
        <v>16</v>
      </c>
      <c r="E4016" s="21" t="s">
        <v>25843</v>
      </c>
      <c r="F4016" s="22" t="s">
        <v>23165</v>
      </c>
      <c r="G4016" s="16">
        <v>23.61</v>
      </c>
      <c r="H4016" s="16"/>
      <c r="I4016" s="22"/>
      <c r="J4016" s="22" t="s">
        <v>25844</v>
      </c>
      <c r="K4016" s="22" t="s">
        <v>25845</v>
      </c>
      <c r="L4016" s="23" t="s">
        <v>25846</v>
      </c>
      <c r="M4016" s="22"/>
      <c r="N4016" s="12"/>
      <c r="O4016" s="12"/>
      <c r="P4016" s="13">
        <f>IFERROR(__xludf.DUMMYFUNCTION("VALUE(SUBSTITUTE((INDEX(SPLIT(A4016,"",""),1)),""."","","",1))"),56.710347)</f>
        <v>56.710347</v>
      </c>
      <c r="Q4016" s="13">
        <f>IFERROR(__xludf.DUMMYFUNCTION("VALUE(SUBSTITUTE((INDEX(SPLIT(A4016,"",""),2)),""."","","",1))"),60.963412)</f>
        <v>60.963412</v>
      </c>
      <c r="R4016" s="14" t="b">
        <f t="shared" si="1"/>
        <v>0</v>
      </c>
      <c r="S4016" s="14" t="str">
        <f t="shared" si="2"/>
        <v>56.710347,60.963412</v>
      </c>
      <c r="T4016" s="12"/>
    </row>
    <row r="4017">
      <c r="A4017" s="7" t="s">
        <v>25847</v>
      </c>
      <c r="B4017" s="8" t="s">
        <v>25848</v>
      </c>
      <c r="C4017" s="8" t="s">
        <v>25849</v>
      </c>
      <c r="D4017" s="8" t="s">
        <v>16</v>
      </c>
      <c r="E4017" s="9" t="s">
        <v>25850</v>
      </c>
      <c r="F4017" s="10" t="s">
        <v>5134</v>
      </c>
      <c r="G4017" s="8">
        <v>23.61</v>
      </c>
      <c r="H4017" s="8"/>
      <c r="I4017" s="10"/>
      <c r="J4017" s="10" t="s">
        <v>25851</v>
      </c>
      <c r="K4017" s="10" t="s">
        <v>25852</v>
      </c>
      <c r="L4017" s="11" t="s">
        <v>25853</v>
      </c>
      <c r="M4017" s="11" t="s">
        <v>25854</v>
      </c>
      <c r="N4017" s="12"/>
      <c r="O4017" s="12"/>
      <c r="P4017" s="13">
        <f>IFERROR(__xludf.DUMMYFUNCTION("VALUE(SUBSTITUTE((INDEX(SPLIT(A4017,"",""),1)),""."","","",1))"),56.710421)</f>
        <v>56.710421</v>
      </c>
      <c r="Q4017" s="13">
        <f>IFERROR(__xludf.DUMMYFUNCTION("VALUE(SUBSTITUTE((INDEX(SPLIT(A4017,"",""),2)),""."","","",1))"),60.965694)</f>
        <v>60.965694</v>
      </c>
      <c r="R4017" s="14" t="b">
        <f t="shared" si="1"/>
        <v>0</v>
      </c>
      <c r="S4017" s="14" t="str">
        <f t="shared" si="2"/>
        <v>56.710421,60.965694</v>
      </c>
      <c r="T4017" s="12"/>
    </row>
    <row r="4018">
      <c r="A4018" s="20" t="s">
        <v>25855</v>
      </c>
      <c r="B4018" s="16" t="s">
        <v>25856</v>
      </c>
      <c r="C4018" s="16" t="s">
        <v>25857</v>
      </c>
      <c r="D4018" s="16" t="s">
        <v>16</v>
      </c>
      <c r="E4018" s="21" t="s">
        <v>25858</v>
      </c>
      <c r="F4018" s="22" t="s">
        <v>3760</v>
      </c>
      <c r="G4018" s="16">
        <v>23.61</v>
      </c>
      <c r="H4018" s="16"/>
      <c r="I4018" s="22"/>
      <c r="J4018" s="22" t="s">
        <v>25859</v>
      </c>
      <c r="K4018" s="22" t="s">
        <v>25860</v>
      </c>
      <c r="L4018" s="23" t="s">
        <v>25861</v>
      </c>
      <c r="M4018" s="22"/>
      <c r="N4018" s="12"/>
      <c r="O4018" s="12"/>
      <c r="P4018" s="13">
        <f>IFERROR(__xludf.DUMMYFUNCTION("VALUE(SUBSTITUTE((INDEX(SPLIT(A4018,"",""),1)),""."","","",1))"),56.621073)</f>
        <v>56.621073</v>
      </c>
      <c r="Q4018" s="13">
        <f>IFERROR(__xludf.DUMMYFUNCTION("VALUE(SUBSTITUTE((INDEX(SPLIT(A4018,"",""),2)),""."","","",1))"),61.068138)</f>
        <v>61.068138</v>
      </c>
      <c r="R4018" s="14" t="b">
        <f t="shared" si="1"/>
        <v>0</v>
      </c>
      <c r="S4018" s="14" t="str">
        <f t="shared" si="2"/>
        <v>56.621073,61.068138</v>
      </c>
      <c r="T4018" s="12"/>
    </row>
    <row r="4019">
      <c r="A4019" s="18" t="s">
        <v>25862</v>
      </c>
      <c r="B4019" s="8" t="s">
        <v>25863</v>
      </c>
      <c r="C4019" s="8" t="s">
        <v>25864</v>
      </c>
      <c r="D4019" s="8" t="s">
        <v>16</v>
      </c>
      <c r="E4019" s="19" t="s">
        <v>25865</v>
      </c>
      <c r="F4019" s="8" t="s">
        <v>23165</v>
      </c>
      <c r="G4019" s="8">
        <v>23.61</v>
      </c>
      <c r="H4019" s="8"/>
      <c r="I4019" s="8"/>
      <c r="J4019" s="8" t="s">
        <v>25866</v>
      </c>
      <c r="K4019" s="8" t="s">
        <v>25867</v>
      </c>
      <c r="L4019" s="8"/>
      <c r="M4019" s="8"/>
      <c r="N4019" s="12"/>
      <c r="O4019" s="12"/>
      <c r="P4019" s="13">
        <f>IFERROR(__xludf.DUMMYFUNCTION("VALUE(SUBSTITUTE((INDEX(SPLIT(A4019,"",""),1)),""."","","",1))"),55.253553)</f>
        <v>55.253553</v>
      </c>
      <c r="Q4019" s="13">
        <f>IFERROR(__xludf.DUMMYFUNCTION("VALUE(SUBSTITUTE((INDEX(SPLIT(A4019,"",""),2)),""."","","",1))"),61.110736)</f>
        <v>61.110736</v>
      </c>
      <c r="R4019" s="14" t="b">
        <f t="shared" si="1"/>
        <v>0</v>
      </c>
      <c r="S4019" s="14" t="str">
        <f t="shared" si="2"/>
        <v>55.253553,61.110736</v>
      </c>
      <c r="T4019" s="12"/>
    </row>
    <row r="4020">
      <c r="A4020" s="20" t="s">
        <v>25868</v>
      </c>
      <c r="B4020" s="16" t="s">
        <v>25869</v>
      </c>
      <c r="C4020" s="16" t="s">
        <v>25870</v>
      </c>
      <c r="D4020" s="16" t="s">
        <v>16</v>
      </c>
      <c r="E4020" s="21" t="s">
        <v>25871</v>
      </c>
      <c r="F4020" s="22" t="s">
        <v>23544</v>
      </c>
      <c r="G4020" s="16">
        <v>23.61</v>
      </c>
      <c r="H4020" s="16"/>
      <c r="I4020" s="22"/>
      <c r="J4020" s="22" t="s">
        <v>25872</v>
      </c>
      <c r="K4020" s="22" t="s">
        <v>25873</v>
      </c>
      <c r="L4020" s="23" t="s">
        <v>25874</v>
      </c>
      <c r="M4020" s="23" t="s">
        <v>25875</v>
      </c>
      <c r="N4020" s="12"/>
      <c r="O4020" s="12"/>
      <c r="P4020" s="13">
        <f>IFERROR(__xludf.DUMMYFUNCTION("VALUE(SUBSTITUTE((INDEX(SPLIT(A4020,"",""),1)),""."","","",1))"),54.790521)</f>
        <v>54.790521</v>
      </c>
      <c r="Q4020" s="13">
        <f>IFERROR(__xludf.DUMMYFUNCTION("VALUE(SUBSTITUTE((INDEX(SPLIT(A4020,"",""),2)),""."","","",1))"),61.231676)</f>
        <v>61.231676</v>
      </c>
      <c r="R4020" s="14" t="b">
        <f t="shared" si="1"/>
        <v>0</v>
      </c>
      <c r="S4020" s="14" t="str">
        <f t="shared" si="2"/>
        <v>54.790521,61.231676</v>
      </c>
      <c r="T4020" s="12"/>
    </row>
    <row r="4021">
      <c r="A4021" s="7" t="s">
        <v>25876</v>
      </c>
      <c r="B4021" s="8" t="s">
        <v>25877</v>
      </c>
      <c r="C4021" s="8" t="s">
        <v>25878</v>
      </c>
      <c r="D4021" s="8" t="s">
        <v>16</v>
      </c>
      <c r="E4021" s="9" t="s">
        <v>25879</v>
      </c>
      <c r="F4021" s="10" t="s">
        <v>23544</v>
      </c>
      <c r="G4021" s="8">
        <v>23.61</v>
      </c>
      <c r="H4021" s="8"/>
      <c r="I4021" s="10"/>
      <c r="J4021" s="10" t="s">
        <v>25880</v>
      </c>
      <c r="K4021" s="10" t="s">
        <v>25881</v>
      </c>
      <c r="L4021" s="29" t="s">
        <v>25882</v>
      </c>
      <c r="M4021" s="10"/>
      <c r="N4021" s="12"/>
      <c r="O4021" s="12"/>
      <c r="P4021" s="13">
        <f>IFERROR(__xludf.DUMMYFUNCTION("VALUE(SUBSTITUTE((INDEX(SPLIT(A4021,"",""),1)),""."","","",1))"),54.454313)</f>
        <v>54.454313</v>
      </c>
      <c r="Q4021" s="13">
        <f>IFERROR(__xludf.DUMMYFUNCTION("VALUE(SUBSTITUTE((INDEX(SPLIT(A4021,"",""),2)),""."","","",1))"),61.251592)</f>
        <v>61.251592</v>
      </c>
      <c r="R4021" s="14" t="b">
        <f t="shared" si="1"/>
        <v>0</v>
      </c>
      <c r="S4021" s="14" t="str">
        <f t="shared" si="2"/>
        <v>54.454313,61.251592</v>
      </c>
      <c r="T4021" s="12"/>
    </row>
    <row r="4022">
      <c r="A4022" s="20" t="s">
        <v>25883</v>
      </c>
      <c r="B4022" s="16" t="s">
        <v>25884</v>
      </c>
      <c r="C4022" s="16" t="s">
        <v>25885</v>
      </c>
      <c r="D4022" s="16" t="s">
        <v>16</v>
      </c>
      <c r="E4022" s="21" t="s">
        <v>25886</v>
      </c>
      <c r="F4022" s="22" t="s">
        <v>23544</v>
      </c>
      <c r="G4022" s="16">
        <v>23.61</v>
      </c>
      <c r="H4022" s="16"/>
      <c r="I4022" s="22"/>
      <c r="J4022" s="22" t="s">
        <v>25887</v>
      </c>
      <c r="K4022" s="22" t="s">
        <v>25888</v>
      </c>
      <c r="L4022" s="30" t="s">
        <v>25889</v>
      </c>
      <c r="M4022" s="22"/>
      <c r="N4022" s="12"/>
      <c r="O4022" s="12"/>
      <c r="P4022" s="13">
        <f>IFERROR(__xludf.DUMMYFUNCTION("VALUE(SUBSTITUTE((INDEX(SPLIT(A4022,"",""),1)),""."","","",1))"),55.154877)</f>
        <v>55.154877</v>
      </c>
      <c r="Q4022" s="13">
        <f>IFERROR(__xludf.DUMMYFUNCTION("VALUE(SUBSTITUTE((INDEX(SPLIT(A4022,"",""),2)),""."","","",1))"),61.259793)</f>
        <v>61.259793</v>
      </c>
      <c r="R4022" s="14" t="b">
        <f t="shared" si="1"/>
        <v>0</v>
      </c>
      <c r="S4022" s="14" t="str">
        <f t="shared" si="2"/>
        <v>55.154877,61.259793</v>
      </c>
      <c r="T4022" s="12"/>
    </row>
    <row r="4023">
      <c r="A4023" s="7" t="s">
        <v>25890</v>
      </c>
      <c r="B4023" s="8" t="s">
        <v>25891</v>
      </c>
      <c r="C4023" s="8" t="s">
        <v>25892</v>
      </c>
      <c r="D4023" s="8" t="s">
        <v>16</v>
      </c>
      <c r="E4023" s="9" t="s">
        <v>25893</v>
      </c>
      <c r="F4023" s="10" t="s">
        <v>23165</v>
      </c>
      <c r="G4023" s="8">
        <v>23.61</v>
      </c>
      <c r="H4023" s="8"/>
      <c r="I4023" s="10"/>
      <c r="J4023" s="10" t="s">
        <v>25894</v>
      </c>
      <c r="K4023" s="10" t="s">
        <v>25895</v>
      </c>
      <c r="L4023" s="11" t="s">
        <v>25896</v>
      </c>
      <c r="M4023" s="10"/>
      <c r="N4023" s="12"/>
      <c r="O4023" s="12"/>
      <c r="P4023" s="13">
        <f>IFERROR(__xludf.DUMMYFUNCTION("VALUE(SUBSTITUTE((INDEX(SPLIT(A4023,"",""),1)),""."","","",1))"),55.169617)</f>
        <v>55.169617</v>
      </c>
      <c r="Q4023" s="13">
        <f>IFERROR(__xludf.DUMMYFUNCTION("VALUE(SUBSTITUTE((INDEX(SPLIT(A4023,"",""),2)),""."","","",1))"),61.283015)</f>
        <v>61.283015</v>
      </c>
      <c r="R4023" s="14" t="b">
        <f t="shared" si="1"/>
        <v>0</v>
      </c>
      <c r="S4023" s="14" t="str">
        <f t="shared" si="2"/>
        <v>55.169617,61.283015</v>
      </c>
      <c r="T4023" s="12"/>
    </row>
    <row r="4024">
      <c r="A4024" s="15" t="s">
        <v>25897</v>
      </c>
      <c r="B4024" s="16" t="s">
        <v>25898</v>
      </c>
      <c r="C4024" s="16" t="s">
        <v>25899</v>
      </c>
      <c r="D4024" s="16" t="s">
        <v>16</v>
      </c>
      <c r="E4024" s="17" t="s">
        <v>25900</v>
      </c>
      <c r="F4024" s="16" t="s">
        <v>23165</v>
      </c>
      <c r="G4024" s="16">
        <v>23.61</v>
      </c>
      <c r="H4024" s="16"/>
      <c r="I4024" s="16"/>
      <c r="J4024" s="16" t="s">
        <v>25901</v>
      </c>
      <c r="K4024" s="16" t="s">
        <v>25902</v>
      </c>
      <c r="L4024" s="16"/>
      <c r="M4024" s="16"/>
      <c r="N4024" s="12"/>
      <c r="O4024" s="12"/>
      <c r="P4024" s="13">
        <f>IFERROR(__xludf.DUMMYFUNCTION("VALUE(SUBSTITUTE((INDEX(SPLIT(A4024,"",""),1)),""."","","",1))"),55.218677)</f>
        <v>55.218677</v>
      </c>
      <c r="Q4024" s="13">
        <f>IFERROR(__xludf.DUMMYFUNCTION("VALUE(SUBSTITUTE((INDEX(SPLIT(A4024,"",""),2)),""."","","",1))"),61.289384)</f>
        <v>61.289384</v>
      </c>
      <c r="R4024" s="14" t="b">
        <f t="shared" si="1"/>
        <v>0</v>
      </c>
      <c r="S4024" s="14" t="str">
        <f t="shared" si="2"/>
        <v>55.218677,61.289384</v>
      </c>
      <c r="T4024" s="12"/>
    </row>
    <row r="4025">
      <c r="A4025" s="18" t="s">
        <v>25903</v>
      </c>
      <c r="B4025" s="8" t="s">
        <v>25904</v>
      </c>
      <c r="C4025" s="8" t="s">
        <v>25905</v>
      </c>
      <c r="D4025" s="8" t="s">
        <v>16</v>
      </c>
      <c r="E4025" s="19" t="s">
        <v>25906</v>
      </c>
      <c r="F4025" s="8" t="s">
        <v>953</v>
      </c>
      <c r="G4025" s="8">
        <v>23.61</v>
      </c>
      <c r="H4025" s="8"/>
      <c r="I4025" s="8"/>
      <c r="J4025" s="8" t="s">
        <v>25907</v>
      </c>
      <c r="K4025" s="8" t="s">
        <v>25908</v>
      </c>
      <c r="L4025" s="8"/>
      <c r="M4025" s="8"/>
      <c r="N4025" s="12"/>
      <c r="O4025" s="12"/>
      <c r="P4025" s="13">
        <f>IFERROR(__xludf.DUMMYFUNCTION("VALUE(SUBSTITUTE((INDEX(SPLIT(A4025,"",""),1)),""."","","",1))"),55.20524)</f>
        <v>55.20524</v>
      </c>
      <c r="Q4025" s="13">
        <f>IFERROR(__xludf.DUMMYFUNCTION("VALUE(SUBSTITUTE((INDEX(SPLIT(A4025,"",""),2)),""."","","",1))"),61.291306)</f>
        <v>61.291306</v>
      </c>
      <c r="R4025" s="14" t="b">
        <f t="shared" si="1"/>
        <v>0</v>
      </c>
      <c r="S4025" s="14" t="str">
        <f t="shared" si="2"/>
        <v>55.20524,61.291306</v>
      </c>
      <c r="T4025" s="12"/>
    </row>
    <row r="4026">
      <c r="A4026" s="20" t="s">
        <v>25909</v>
      </c>
      <c r="B4026" s="16" t="s">
        <v>25910</v>
      </c>
      <c r="C4026" s="16" t="s">
        <v>25911</v>
      </c>
      <c r="D4026" s="16" t="s">
        <v>16</v>
      </c>
      <c r="E4026" s="21" t="s">
        <v>25912</v>
      </c>
      <c r="F4026" s="22" t="s">
        <v>23165</v>
      </c>
      <c r="G4026" s="16">
        <v>23.61</v>
      </c>
      <c r="H4026" s="16"/>
      <c r="I4026" s="22"/>
      <c r="J4026" s="22" t="s">
        <v>25913</v>
      </c>
      <c r="K4026" s="22" t="s">
        <v>25914</v>
      </c>
      <c r="L4026" s="23" t="s">
        <v>25915</v>
      </c>
      <c r="M4026" s="23" t="s">
        <v>25916</v>
      </c>
      <c r="N4026" s="12"/>
      <c r="O4026" s="12"/>
      <c r="P4026" s="13">
        <f>IFERROR(__xludf.DUMMYFUNCTION("VALUE(SUBSTITUTE((INDEX(SPLIT(A4026,"",""),1)),""."","","",1))"),55.218975)</f>
        <v>55.218975</v>
      </c>
      <c r="Q4026" s="13">
        <f>IFERROR(__xludf.DUMMYFUNCTION("VALUE(SUBSTITUTE((INDEX(SPLIT(A4026,"",""),2)),""."","","",1))"),61.298062)</f>
        <v>61.298062</v>
      </c>
      <c r="R4026" s="14" t="b">
        <f t="shared" si="1"/>
        <v>0</v>
      </c>
      <c r="S4026" s="14" t="str">
        <f t="shared" si="2"/>
        <v>55.218975,61.298062</v>
      </c>
      <c r="T4026" s="12"/>
    </row>
    <row r="4027">
      <c r="A4027" s="18" t="s">
        <v>25917</v>
      </c>
      <c r="B4027" s="8" t="s">
        <v>25918</v>
      </c>
      <c r="C4027" s="8" t="s">
        <v>25919</v>
      </c>
      <c r="D4027" s="8" t="s">
        <v>16</v>
      </c>
      <c r="E4027" s="19" t="s">
        <v>25920</v>
      </c>
      <c r="F4027" s="8" t="s">
        <v>23165</v>
      </c>
      <c r="G4027" s="8">
        <v>23.61</v>
      </c>
      <c r="H4027" s="8"/>
      <c r="I4027" s="8"/>
      <c r="J4027" s="8" t="s">
        <v>25921</v>
      </c>
      <c r="K4027" s="8" t="s">
        <v>25922</v>
      </c>
      <c r="L4027" s="8"/>
      <c r="M4027" s="8"/>
      <c r="N4027" s="12"/>
      <c r="O4027" s="12"/>
      <c r="P4027" s="13">
        <f>IFERROR(__xludf.DUMMYFUNCTION("VALUE(SUBSTITUTE((INDEX(SPLIT(A4027,"",""),1)),""."","","",1))"),55.160283)</f>
        <v>55.160283</v>
      </c>
      <c r="Q4027" s="13">
        <f>IFERROR(__xludf.DUMMYFUNCTION("VALUE(SUBSTITUTE((INDEX(SPLIT(A4027,"",""),2)),""."","","",1))"),61.301242)</f>
        <v>61.301242</v>
      </c>
      <c r="R4027" s="14" t="b">
        <f t="shared" si="1"/>
        <v>0</v>
      </c>
      <c r="S4027" s="14" t="str">
        <f t="shared" si="2"/>
        <v>55.160283,61.301242</v>
      </c>
      <c r="T4027" s="12"/>
    </row>
    <row r="4028">
      <c r="A4028" s="20" t="s">
        <v>25923</v>
      </c>
      <c r="B4028" s="16" t="s">
        <v>25924</v>
      </c>
      <c r="C4028" s="16" t="s">
        <v>25925</v>
      </c>
      <c r="D4028" s="16" t="s">
        <v>16</v>
      </c>
      <c r="E4028" s="21" t="s">
        <v>25926</v>
      </c>
      <c r="F4028" s="22" t="s">
        <v>23165</v>
      </c>
      <c r="G4028" s="16">
        <v>23.61</v>
      </c>
      <c r="H4028" s="16"/>
      <c r="I4028" s="22"/>
      <c r="J4028" s="22" t="s">
        <v>25927</v>
      </c>
      <c r="K4028" s="22" t="s">
        <v>25928</v>
      </c>
      <c r="L4028" s="23" t="s">
        <v>25929</v>
      </c>
      <c r="M4028" s="23" t="s">
        <v>25833</v>
      </c>
      <c r="N4028" s="12"/>
      <c r="O4028" s="12"/>
      <c r="P4028" s="13">
        <f>IFERROR(__xludf.DUMMYFUNCTION("VALUE(SUBSTITUTE((INDEX(SPLIT(A4028,"",""),1)),""."","","",1))"),55.17592)</f>
        <v>55.17592</v>
      </c>
      <c r="Q4028" s="13">
        <f>IFERROR(__xludf.DUMMYFUNCTION("VALUE(SUBSTITUTE((INDEX(SPLIT(A4028,"",""),2)),""."","","",1))"),61.303227)</f>
        <v>61.303227</v>
      </c>
      <c r="R4028" s="14" t="b">
        <f t="shared" si="1"/>
        <v>0</v>
      </c>
      <c r="S4028" s="14" t="str">
        <f t="shared" si="2"/>
        <v>55.17592,61.303227</v>
      </c>
      <c r="T4028" s="12"/>
    </row>
    <row r="4029">
      <c r="A4029" s="18" t="s">
        <v>25930</v>
      </c>
      <c r="B4029" s="8" t="s">
        <v>25931</v>
      </c>
      <c r="C4029" s="8" t="s">
        <v>25932</v>
      </c>
      <c r="D4029" s="8" t="s">
        <v>16</v>
      </c>
      <c r="E4029" s="19" t="s">
        <v>25933</v>
      </c>
      <c r="F4029" s="8" t="s">
        <v>953</v>
      </c>
      <c r="G4029" s="8">
        <v>23.61</v>
      </c>
      <c r="H4029" s="8"/>
      <c r="I4029" s="8"/>
      <c r="J4029" s="8" t="s">
        <v>25934</v>
      </c>
      <c r="K4029" s="8" t="s">
        <v>25935</v>
      </c>
      <c r="L4029" s="8"/>
      <c r="M4029" s="8"/>
      <c r="N4029" s="12"/>
      <c r="O4029" s="12"/>
      <c r="P4029" s="13">
        <f>IFERROR(__xludf.DUMMYFUNCTION("VALUE(SUBSTITUTE((INDEX(SPLIT(A4029,"",""),1)),""."","","",1))"),56.799291)</f>
        <v>56.799291</v>
      </c>
      <c r="Q4029" s="13">
        <f>IFERROR(__xludf.DUMMYFUNCTION("VALUE(SUBSTITUTE((INDEX(SPLIT(A4029,"",""),2)),""."","","",1))"),61.309228)</f>
        <v>61.309228</v>
      </c>
      <c r="R4029" s="14" t="b">
        <f t="shared" si="1"/>
        <v>0</v>
      </c>
      <c r="S4029" s="14" t="str">
        <f t="shared" si="2"/>
        <v>56.799291,61.309228</v>
      </c>
      <c r="T4029" s="12"/>
    </row>
    <row r="4030">
      <c r="A4030" s="15" t="s">
        <v>25936</v>
      </c>
      <c r="B4030" s="16" t="s">
        <v>25937</v>
      </c>
      <c r="C4030" s="16" t="s">
        <v>25938</v>
      </c>
      <c r="D4030" s="16" t="s">
        <v>16</v>
      </c>
      <c r="E4030" s="17" t="s">
        <v>25939</v>
      </c>
      <c r="F4030" s="16" t="s">
        <v>19378</v>
      </c>
      <c r="G4030" s="16">
        <v>23.61</v>
      </c>
      <c r="H4030" s="16"/>
      <c r="I4030" s="16"/>
      <c r="J4030" s="16" t="s">
        <v>25940</v>
      </c>
      <c r="K4030" s="16" t="s">
        <v>25941</v>
      </c>
      <c r="L4030" s="16"/>
      <c r="M4030" s="16"/>
      <c r="N4030" s="12"/>
      <c r="O4030" s="12"/>
      <c r="P4030" s="13">
        <f>IFERROR(__xludf.DUMMYFUNCTION("VALUE(SUBSTITUTE((INDEX(SPLIT(A4030,"",""),1)),""."","","",1))"),55.231709)</f>
        <v>55.231709</v>
      </c>
      <c r="Q4030" s="13">
        <f>IFERROR(__xludf.DUMMYFUNCTION("VALUE(SUBSTITUTE((INDEX(SPLIT(A4030,"",""),2)),""."","","",1))"),61.317277)</f>
        <v>61.317277</v>
      </c>
      <c r="R4030" s="14" t="b">
        <f t="shared" si="1"/>
        <v>0</v>
      </c>
      <c r="S4030" s="14" t="str">
        <f t="shared" si="2"/>
        <v>55.231709,61.317277</v>
      </c>
      <c r="T4030" s="12"/>
    </row>
    <row r="4031">
      <c r="A4031" s="18" t="s">
        <v>25942</v>
      </c>
      <c r="B4031" s="8" t="s">
        <v>25943</v>
      </c>
      <c r="C4031" s="8" t="s">
        <v>25944</v>
      </c>
      <c r="D4031" s="8" t="s">
        <v>16</v>
      </c>
      <c r="E4031" s="19" t="s">
        <v>25945</v>
      </c>
      <c r="F4031" s="8" t="s">
        <v>23165</v>
      </c>
      <c r="G4031" s="8">
        <v>23.61</v>
      </c>
      <c r="H4031" s="8"/>
      <c r="I4031" s="8"/>
      <c r="J4031" s="8" t="s">
        <v>25946</v>
      </c>
      <c r="K4031" s="8" t="s">
        <v>25947</v>
      </c>
      <c r="L4031" s="8"/>
      <c r="M4031" s="8"/>
      <c r="N4031" s="12"/>
      <c r="O4031" s="12"/>
      <c r="P4031" s="13">
        <f>IFERROR(__xludf.DUMMYFUNCTION("VALUE(SUBSTITUTE((INDEX(SPLIT(A4031,"",""),1)),""."","","",1))"),55.207531)</f>
        <v>55.207531</v>
      </c>
      <c r="Q4031" s="13">
        <f>IFERROR(__xludf.DUMMYFUNCTION("VALUE(SUBSTITUTE((INDEX(SPLIT(A4031,"",""),2)),""."","","",1))"),61.323484)</f>
        <v>61.323484</v>
      </c>
      <c r="R4031" s="14" t="b">
        <f t="shared" si="1"/>
        <v>0</v>
      </c>
      <c r="S4031" s="14" t="str">
        <f t="shared" si="2"/>
        <v>55.207531,61.323484</v>
      </c>
      <c r="T4031" s="12"/>
    </row>
    <row r="4032">
      <c r="A4032" s="20" t="s">
        <v>25948</v>
      </c>
      <c r="B4032" s="16" t="s">
        <v>1293</v>
      </c>
      <c r="C4032" s="16" t="s">
        <v>1294</v>
      </c>
      <c r="D4032" s="16" t="s">
        <v>16</v>
      </c>
      <c r="E4032" s="21" t="s">
        <v>25949</v>
      </c>
      <c r="F4032" s="22" t="s">
        <v>23544</v>
      </c>
      <c r="G4032" s="16">
        <v>23.61</v>
      </c>
      <c r="H4032" s="16"/>
      <c r="I4032" s="22"/>
      <c r="J4032" s="22" t="s">
        <v>25950</v>
      </c>
      <c r="K4032" s="22" t="s">
        <v>25951</v>
      </c>
      <c r="L4032" s="23" t="s">
        <v>25952</v>
      </c>
      <c r="M4032" s="23" t="s">
        <v>25953</v>
      </c>
      <c r="N4032" s="12"/>
      <c r="O4032" s="12"/>
      <c r="P4032" s="13">
        <f>IFERROR(__xludf.DUMMYFUNCTION("VALUE(SUBSTITUTE((INDEX(SPLIT(A4032,"",""),1)),""."","","",1))"),57.321776)</f>
        <v>57.321776</v>
      </c>
      <c r="Q4032" s="13">
        <f>IFERROR(__xludf.DUMMYFUNCTION("VALUE(SUBSTITUTE((INDEX(SPLIT(A4032,"",""),2)),""."","","",1))"),61.328595)</f>
        <v>61.328595</v>
      </c>
      <c r="R4032" s="14" t="b">
        <f t="shared" si="1"/>
        <v>0</v>
      </c>
      <c r="S4032" s="14" t="str">
        <f t="shared" si="2"/>
        <v>57.321776,61.328595</v>
      </c>
      <c r="T4032" s="12"/>
    </row>
    <row r="4033">
      <c r="A4033" s="7" t="s">
        <v>25954</v>
      </c>
      <c r="B4033" s="8" t="s">
        <v>25955</v>
      </c>
      <c r="C4033" s="8" t="s">
        <v>25956</v>
      </c>
      <c r="D4033" s="8" t="s">
        <v>16</v>
      </c>
      <c r="E4033" s="9" t="s">
        <v>25957</v>
      </c>
      <c r="F4033" s="10" t="s">
        <v>23544</v>
      </c>
      <c r="G4033" s="8">
        <v>23.61</v>
      </c>
      <c r="H4033" s="8"/>
      <c r="I4033" s="10"/>
      <c r="J4033" s="10" t="s">
        <v>25958</v>
      </c>
      <c r="K4033" s="10" t="s">
        <v>25959</v>
      </c>
      <c r="L4033" s="11" t="s">
        <v>25960</v>
      </c>
      <c r="M4033" s="10"/>
      <c r="N4033" s="12"/>
      <c r="O4033" s="12"/>
      <c r="P4033" s="13">
        <f>IFERROR(__xludf.DUMMYFUNCTION("VALUE(SUBSTITUTE((INDEX(SPLIT(A4033,"",""),1)),""."","","",1))"),55.175046)</f>
        <v>55.175046</v>
      </c>
      <c r="Q4033" s="13">
        <f>IFERROR(__xludf.DUMMYFUNCTION("VALUE(SUBSTITUTE((INDEX(SPLIT(A4033,"",""),2)),""."","","",1))"),61.337803)</f>
        <v>61.337803</v>
      </c>
      <c r="R4033" s="14" t="b">
        <f t="shared" si="1"/>
        <v>0</v>
      </c>
      <c r="S4033" s="14" t="str">
        <f t="shared" si="2"/>
        <v>55.175046,61.337803</v>
      </c>
      <c r="T4033" s="12"/>
    </row>
    <row r="4034">
      <c r="A4034" s="20" t="s">
        <v>25961</v>
      </c>
      <c r="B4034" s="16" t="s">
        <v>25962</v>
      </c>
      <c r="C4034" s="16" t="s">
        <v>25963</v>
      </c>
      <c r="D4034" s="16" t="s">
        <v>16</v>
      </c>
      <c r="E4034" s="21" t="s">
        <v>25964</v>
      </c>
      <c r="F4034" s="22" t="s">
        <v>23544</v>
      </c>
      <c r="G4034" s="16">
        <v>23.61</v>
      </c>
      <c r="H4034" s="16"/>
      <c r="I4034" s="22"/>
      <c r="J4034" s="22" t="s">
        <v>25965</v>
      </c>
      <c r="K4034" s="22" t="s">
        <v>25966</v>
      </c>
      <c r="L4034" s="23" t="s">
        <v>25967</v>
      </c>
      <c r="M4034" s="23" t="s">
        <v>25968</v>
      </c>
      <c r="N4034" s="12"/>
      <c r="O4034" s="12"/>
      <c r="P4034" s="13">
        <f>IFERROR(__xludf.DUMMYFUNCTION("VALUE(SUBSTITUTE((INDEX(SPLIT(A4034,"",""),1)),""."","","",1))"),55.111845)</f>
        <v>55.111845</v>
      </c>
      <c r="Q4034" s="13">
        <f>IFERROR(__xludf.DUMMYFUNCTION("VALUE(SUBSTITUTE((INDEX(SPLIT(A4034,"",""),2)),""."","","",1))"),61.337866)</f>
        <v>61.337866</v>
      </c>
      <c r="R4034" s="14" t="b">
        <f t="shared" si="1"/>
        <v>0</v>
      </c>
      <c r="S4034" s="14" t="str">
        <f t="shared" si="2"/>
        <v>55.111845,61.337866</v>
      </c>
      <c r="T4034" s="12"/>
    </row>
    <row r="4035">
      <c r="A4035" s="7" t="s">
        <v>25969</v>
      </c>
      <c r="B4035" s="8" t="s">
        <v>22167</v>
      </c>
      <c r="C4035" s="8" t="s">
        <v>22168</v>
      </c>
      <c r="D4035" s="8" t="s">
        <v>16</v>
      </c>
      <c r="E4035" s="9" t="s">
        <v>25970</v>
      </c>
      <c r="F4035" s="10" t="s">
        <v>23544</v>
      </c>
      <c r="G4035" s="8">
        <v>23.61</v>
      </c>
      <c r="H4035" s="8"/>
      <c r="I4035" s="10"/>
      <c r="J4035" s="10" t="s">
        <v>25971</v>
      </c>
      <c r="K4035" s="10" t="s">
        <v>25972</v>
      </c>
      <c r="L4035" s="11" t="s">
        <v>25973</v>
      </c>
      <c r="M4035" s="10"/>
      <c r="N4035" s="12"/>
      <c r="O4035" s="12"/>
      <c r="P4035" s="13">
        <f>IFERROR(__xludf.DUMMYFUNCTION("VALUE(SUBSTITUTE((INDEX(SPLIT(A4035,"",""),1)),""."","","",1))"),55.178115)</f>
        <v>55.178115</v>
      </c>
      <c r="Q4035" s="13">
        <f>IFERROR(__xludf.DUMMYFUNCTION("VALUE(SUBSTITUTE((INDEX(SPLIT(A4035,"",""),2)),""."","","",1))"),61.344208)</f>
        <v>61.344208</v>
      </c>
      <c r="R4035" s="14" t="b">
        <f t="shared" si="1"/>
        <v>0</v>
      </c>
      <c r="S4035" s="14" t="str">
        <f t="shared" si="2"/>
        <v>55.178115,61.344208</v>
      </c>
      <c r="T4035" s="12"/>
    </row>
    <row r="4036">
      <c r="A4036" s="15" t="s">
        <v>25974</v>
      </c>
      <c r="B4036" s="16" t="s">
        <v>25975</v>
      </c>
      <c r="C4036" s="16" t="s">
        <v>25976</v>
      </c>
      <c r="D4036" s="16" t="s">
        <v>16</v>
      </c>
      <c r="E4036" s="17" t="s">
        <v>25977</v>
      </c>
      <c r="F4036" s="16" t="s">
        <v>6724</v>
      </c>
      <c r="G4036" s="16">
        <v>23.61</v>
      </c>
      <c r="H4036" s="16"/>
      <c r="I4036" s="16"/>
      <c r="J4036" s="16" t="s">
        <v>25978</v>
      </c>
      <c r="K4036" s="16" t="s">
        <v>25979</v>
      </c>
      <c r="L4036" s="16"/>
      <c r="M4036" s="16"/>
      <c r="N4036" s="12"/>
      <c r="O4036" s="12"/>
      <c r="P4036" s="13">
        <f>IFERROR(__xludf.DUMMYFUNCTION("VALUE(SUBSTITUTE((INDEX(SPLIT(A4036,"",""),1)),""."","","",1))"),55.113679)</f>
        <v>55.113679</v>
      </c>
      <c r="Q4036" s="13">
        <f>IFERROR(__xludf.DUMMYFUNCTION("VALUE(SUBSTITUTE((INDEX(SPLIT(A4036,"",""),2)),""."","","",1))"),61.345915)</f>
        <v>61.345915</v>
      </c>
      <c r="R4036" s="14" t="b">
        <f t="shared" si="1"/>
        <v>0</v>
      </c>
      <c r="S4036" s="14" t="str">
        <f t="shared" si="2"/>
        <v>55.113679,61.345915</v>
      </c>
      <c r="T4036" s="12"/>
    </row>
    <row r="4037">
      <c r="A4037" s="7" t="s">
        <v>25980</v>
      </c>
      <c r="B4037" s="8" t="s">
        <v>25981</v>
      </c>
      <c r="C4037" s="8" t="s">
        <v>25982</v>
      </c>
      <c r="D4037" s="8" t="s">
        <v>16</v>
      </c>
      <c r="E4037" s="9" t="s">
        <v>25983</v>
      </c>
      <c r="F4037" s="10" t="s">
        <v>23544</v>
      </c>
      <c r="G4037" s="8">
        <v>23.61</v>
      </c>
      <c r="H4037" s="8"/>
      <c r="I4037" s="10"/>
      <c r="J4037" s="10" t="s">
        <v>25984</v>
      </c>
      <c r="K4037" s="10" t="s">
        <v>25985</v>
      </c>
      <c r="L4037" s="11" t="s">
        <v>25986</v>
      </c>
      <c r="M4037" s="10"/>
      <c r="N4037" s="12"/>
      <c r="O4037" s="12"/>
      <c r="P4037" s="13">
        <f>IFERROR(__xludf.DUMMYFUNCTION("VALUE(SUBSTITUTE((INDEX(SPLIT(A4037,"",""),1)),""."","","",1))"),55.195555)</f>
        <v>55.195555</v>
      </c>
      <c r="Q4037" s="13">
        <f>IFERROR(__xludf.DUMMYFUNCTION("VALUE(SUBSTITUTE((INDEX(SPLIT(A4037,"",""),2)),""."","","",1))"),61.346355)</f>
        <v>61.346355</v>
      </c>
      <c r="R4037" s="14" t="b">
        <f t="shared" si="1"/>
        <v>0</v>
      </c>
      <c r="S4037" s="14" t="str">
        <f t="shared" si="2"/>
        <v>55.195555,61.346355</v>
      </c>
      <c r="T4037" s="12"/>
    </row>
    <row r="4038">
      <c r="A4038" s="20" t="s">
        <v>25987</v>
      </c>
      <c r="B4038" s="16" t="s">
        <v>25988</v>
      </c>
      <c r="C4038" s="16" t="s">
        <v>25989</v>
      </c>
      <c r="D4038" s="16" t="s">
        <v>16</v>
      </c>
      <c r="E4038" s="21" t="s">
        <v>25990</v>
      </c>
      <c r="F4038" s="22" t="s">
        <v>23544</v>
      </c>
      <c r="G4038" s="16">
        <v>23.61</v>
      </c>
      <c r="H4038" s="16"/>
      <c r="I4038" s="22"/>
      <c r="J4038" s="22" t="s">
        <v>25991</v>
      </c>
      <c r="K4038" s="22" t="s">
        <v>25992</v>
      </c>
      <c r="L4038" s="23" t="s">
        <v>25993</v>
      </c>
      <c r="M4038" s="22"/>
      <c r="N4038" s="12"/>
      <c r="O4038" s="12"/>
      <c r="P4038" s="13">
        <f>IFERROR(__xludf.DUMMYFUNCTION("VALUE(SUBSTITUTE((INDEX(SPLIT(A4038,"",""),1)),""."","","",1))"),55.174949)</f>
        <v>55.174949</v>
      </c>
      <c r="Q4038" s="13">
        <f>IFERROR(__xludf.DUMMYFUNCTION("VALUE(SUBSTITUTE((INDEX(SPLIT(A4038,"",""),2)),""."","","",1))"),61.352194)</f>
        <v>61.352194</v>
      </c>
      <c r="R4038" s="14" t="b">
        <f t="shared" si="1"/>
        <v>0</v>
      </c>
      <c r="S4038" s="14" t="str">
        <f t="shared" si="2"/>
        <v>55.174949,61.352194</v>
      </c>
      <c r="T4038" s="12"/>
    </row>
    <row r="4039">
      <c r="A4039" s="7" t="s">
        <v>25994</v>
      </c>
      <c r="B4039" s="8" t="s">
        <v>25995</v>
      </c>
      <c r="C4039" s="8" t="s">
        <v>25996</v>
      </c>
      <c r="D4039" s="8" t="s">
        <v>16</v>
      </c>
      <c r="E4039" s="9" t="s">
        <v>25997</v>
      </c>
      <c r="F4039" s="10" t="s">
        <v>23544</v>
      </c>
      <c r="G4039" s="8">
        <v>23.61</v>
      </c>
      <c r="H4039" s="8"/>
      <c r="I4039" s="10"/>
      <c r="J4039" s="10" t="s">
        <v>25998</v>
      </c>
      <c r="K4039" s="10" t="s">
        <v>25999</v>
      </c>
      <c r="L4039" s="11" t="s">
        <v>26000</v>
      </c>
      <c r="M4039" s="10"/>
      <c r="N4039" s="12"/>
      <c r="O4039" s="12"/>
      <c r="P4039" s="13">
        <f>IFERROR(__xludf.DUMMYFUNCTION("VALUE(SUBSTITUTE((INDEX(SPLIT(A4039,"",""),1)),""."","","",1))"),55.108081)</f>
        <v>55.108081</v>
      </c>
      <c r="Q4039" s="13">
        <f>IFERROR(__xludf.DUMMYFUNCTION("VALUE(SUBSTITUTE((INDEX(SPLIT(A4039,"",""),2)),""."","","",1))"),61.353389)</f>
        <v>61.353389</v>
      </c>
      <c r="R4039" s="14" t="b">
        <f t="shared" si="1"/>
        <v>0</v>
      </c>
      <c r="S4039" s="14" t="str">
        <f t="shared" si="2"/>
        <v>55.108081,61.353389</v>
      </c>
      <c r="T4039" s="12"/>
    </row>
    <row r="4040">
      <c r="A4040" s="15" t="s">
        <v>26001</v>
      </c>
      <c r="B4040" s="16" t="s">
        <v>26002</v>
      </c>
      <c r="C4040" s="16" t="s">
        <v>26003</v>
      </c>
      <c r="D4040" s="16" t="s">
        <v>16</v>
      </c>
      <c r="E4040" s="17" t="s">
        <v>26004</v>
      </c>
      <c r="F4040" s="16" t="s">
        <v>23165</v>
      </c>
      <c r="G4040" s="16">
        <v>23.61</v>
      </c>
      <c r="H4040" s="16"/>
      <c r="I4040" s="16"/>
      <c r="J4040" s="16" t="s">
        <v>26005</v>
      </c>
      <c r="K4040" s="16" t="s">
        <v>26006</v>
      </c>
      <c r="L4040" s="16"/>
      <c r="M4040" s="25" t="s">
        <v>26007</v>
      </c>
      <c r="N4040" s="12"/>
      <c r="O4040" s="12"/>
      <c r="P4040" s="13">
        <f>IFERROR(__xludf.DUMMYFUNCTION("VALUE(SUBSTITUTE((INDEX(SPLIT(A4040,"",""),1)),""."","","",1))"),55.099191)</f>
        <v>55.099191</v>
      </c>
      <c r="Q4040" s="13">
        <f>IFERROR(__xludf.DUMMYFUNCTION("VALUE(SUBSTITUTE((INDEX(SPLIT(A4040,"",""),2)),""."","","",1))"),61.355141)</f>
        <v>61.355141</v>
      </c>
      <c r="R4040" s="14" t="b">
        <f t="shared" si="1"/>
        <v>0</v>
      </c>
      <c r="S4040" s="14" t="str">
        <f t="shared" si="2"/>
        <v>55.099191,61.355141</v>
      </c>
      <c r="T4040" s="12"/>
    </row>
    <row r="4041">
      <c r="A4041" s="18" t="s">
        <v>26008</v>
      </c>
      <c r="B4041" s="8" t="s">
        <v>5083</v>
      </c>
      <c r="C4041" s="8" t="s">
        <v>5084</v>
      </c>
      <c r="D4041" s="8" t="s">
        <v>16</v>
      </c>
      <c r="E4041" s="19" t="s">
        <v>26009</v>
      </c>
      <c r="F4041" s="8" t="s">
        <v>10183</v>
      </c>
      <c r="G4041" s="8">
        <v>23.61</v>
      </c>
      <c r="H4041" s="8"/>
      <c r="I4041" s="8"/>
      <c r="J4041" s="8" t="s">
        <v>26010</v>
      </c>
      <c r="K4041" s="8" t="s">
        <v>26011</v>
      </c>
      <c r="L4041" s="8"/>
      <c r="M4041" s="8"/>
      <c r="N4041" s="12"/>
      <c r="O4041" s="12"/>
      <c r="P4041" s="13">
        <f>IFERROR(__xludf.DUMMYFUNCTION("VALUE(SUBSTITUTE((INDEX(SPLIT(A4041,"",""),1)),""."","","",1))"),55.205137)</f>
        <v>55.205137</v>
      </c>
      <c r="Q4041" s="13">
        <f>IFERROR(__xludf.DUMMYFUNCTION("VALUE(SUBSTITUTE((INDEX(SPLIT(A4041,"",""),2)),""."","","",1))"),61.355868)</f>
        <v>61.355868</v>
      </c>
      <c r="R4041" s="14" t="b">
        <f t="shared" si="1"/>
        <v>0</v>
      </c>
      <c r="S4041" s="14" t="str">
        <f t="shared" si="2"/>
        <v>55.205137,61.355868</v>
      </c>
      <c r="T4041" s="12"/>
    </row>
    <row r="4042">
      <c r="A4042" s="15" t="s">
        <v>26008</v>
      </c>
      <c r="B4042" s="16" t="s">
        <v>26012</v>
      </c>
      <c r="C4042" s="16" t="s">
        <v>26013</v>
      </c>
      <c r="D4042" s="16" t="s">
        <v>16</v>
      </c>
      <c r="E4042" s="17" t="s">
        <v>26014</v>
      </c>
      <c r="F4042" s="16" t="s">
        <v>23165</v>
      </c>
      <c r="G4042" s="16">
        <v>23.61</v>
      </c>
      <c r="H4042" s="16"/>
      <c r="I4042" s="16"/>
      <c r="J4042" s="16" t="s">
        <v>26015</v>
      </c>
      <c r="K4042" s="16" t="s">
        <v>26016</v>
      </c>
      <c r="L4042" s="16"/>
      <c r="M4042" s="16"/>
      <c r="N4042" s="12"/>
      <c r="O4042" s="12"/>
      <c r="P4042" s="13">
        <f>IFERROR(__xludf.DUMMYFUNCTION("VALUE(SUBSTITUTE((INDEX(SPLIT(A4042,"",""),1)),""."","","",1))"),55.205137)</f>
        <v>55.205137</v>
      </c>
      <c r="Q4042" s="13">
        <f>IFERROR(__xludf.DUMMYFUNCTION("VALUE(SUBSTITUTE((INDEX(SPLIT(A4042,"",""),2)),""."","","",1))"),61.355868)</f>
        <v>61.355868</v>
      </c>
      <c r="R4042" s="14" t="b">
        <f t="shared" si="1"/>
        <v>0</v>
      </c>
      <c r="S4042" s="14" t="str">
        <f t="shared" si="2"/>
        <v>55.205137,61.355868</v>
      </c>
      <c r="T4042" s="12"/>
    </row>
    <row r="4043">
      <c r="A4043" s="18" t="s">
        <v>26017</v>
      </c>
      <c r="B4043" s="8" t="s">
        <v>26018</v>
      </c>
      <c r="C4043" s="8" t="s">
        <v>26019</v>
      </c>
      <c r="D4043" s="8" t="s">
        <v>16</v>
      </c>
      <c r="E4043" s="19" t="s">
        <v>26020</v>
      </c>
      <c r="F4043" s="8" t="s">
        <v>23165</v>
      </c>
      <c r="G4043" s="8">
        <v>23.61</v>
      </c>
      <c r="H4043" s="8"/>
      <c r="I4043" s="8"/>
      <c r="J4043" s="8" t="s">
        <v>26021</v>
      </c>
      <c r="K4043" s="8" t="s">
        <v>26022</v>
      </c>
      <c r="L4043" s="8"/>
      <c r="M4043" s="8"/>
      <c r="N4043" s="12"/>
      <c r="O4043" s="12"/>
      <c r="P4043" s="13">
        <f>IFERROR(__xludf.DUMMYFUNCTION("VALUE(SUBSTITUTE((INDEX(SPLIT(A4043,"",""),1)),""."","","",1))"),55.181349)</f>
        <v>55.181349</v>
      </c>
      <c r="Q4043" s="13">
        <f>IFERROR(__xludf.DUMMYFUNCTION("VALUE(SUBSTITUTE((INDEX(SPLIT(A4043,"",""),2)),""."","","",1))"),61.359605)</f>
        <v>61.359605</v>
      </c>
      <c r="R4043" s="14" t="b">
        <f t="shared" si="1"/>
        <v>0</v>
      </c>
      <c r="S4043" s="14" t="str">
        <f t="shared" si="2"/>
        <v>55.181349,61.359605</v>
      </c>
      <c r="T4043" s="12"/>
    </row>
    <row r="4044">
      <c r="A4044" s="15" t="s">
        <v>26023</v>
      </c>
      <c r="B4044" s="16" t="s">
        <v>26024</v>
      </c>
      <c r="C4044" s="16" t="s">
        <v>26025</v>
      </c>
      <c r="D4044" s="16" t="s">
        <v>16</v>
      </c>
      <c r="E4044" s="17" t="s">
        <v>26026</v>
      </c>
      <c r="F4044" s="16" t="s">
        <v>5134</v>
      </c>
      <c r="G4044" s="16">
        <v>23.61</v>
      </c>
      <c r="H4044" s="16"/>
      <c r="I4044" s="16"/>
      <c r="J4044" s="16" t="s">
        <v>26027</v>
      </c>
      <c r="K4044" s="16" t="s">
        <v>26028</v>
      </c>
      <c r="L4044" s="16"/>
      <c r="M4044" s="25" t="s">
        <v>26029</v>
      </c>
      <c r="N4044" s="12"/>
      <c r="O4044" s="12"/>
      <c r="P4044" s="13">
        <f>IFERROR(__xludf.DUMMYFUNCTION("VALUE(SUBSTITUTE((INDEX(SPLIT(A4044,"",""),1)),""."","","",1))"),55.184659)</f>
        <v>55.184659</v>
      </c>
      <c r="Q4044" s="13">
        <f>IFERROR(__xludf.DUMMYFUNCTION("VALUE(SUBSTITUTE((INDEX(SPLIT(A4044,"",""),2)),""."","","",1))"),61.367295)</f>
        <v>61.367295</v>
      </c>
      <c r="R4044" s="14" t="b">
        <f t="shared" si="1"/>
        <v>0</v>
      </c>
      <c r="S4044" s="14" t="str">
        <f t="shared" si="2"/>
        <v>55.184659,61.367295</v>
      </c>
      <c r="T4044" s="12"/>
    </row>
    <row r="4045">
      <c r="A4045" s="18" t="s">
        <v>26030</v>
      </c>
      <c r="B4045" s="8" t="s">
        <v>26031</v>
      </c>
      <c r="C4045" s="8" t="s">
        <v>26032</v>
      </c>
      <c r="D4045" s="8" t="s">
        <v>16</v>
      </c>
      <c r="E4045" s="19" t="s">
        <v>26033</v>
      </c>
      <c r="F4045" s="8" t="s">
        <v>5134</v>
      </c>
      <c r="G4045" s="8">
        <v>23.61</v>
      </c>
      <c r="H4045" s="8"/>
      <c r="I4045" s="27" t="s">
        <v>26034</v>
      </c>
      <c r="J4045" s="8" t="s">
        <v>26035</v>
      </c>
      <c r="K4045" s="8" t="s">
        <v>26036</v>
      </c>
      <c r="L4045" s="8"/>
      <c r="M4045" s="24" t="s">
        <v>26037</v>
      </c>
      <c r="N4045" s="12"/>
      <c r="O4045" s="12"/>
      <c r="P4045" s="13">
        <f>IFERROR(__xludf.DUMMYFUNCTION("VALUE(SUBSTITUTE((INDEX(SPLIT(A4045,"",""),1)),""."","","",1))"),55.13039)</f>
        <v>55.13039</v>
      </c>
      <c r="Q4045" s="13">
        <f>IFERROR(__xludf.DUMMYFUNCTION("VALUE(SUBSTITUTE((INDEX(SPLIT(A4045,"",""),2)),""."","","",1))"),61.368732)</f>
        <v>61.368732</v>
      </c>
      <c r="R4045" s="14" t="b">
        <f t="shared" si="1"/>
        <v>0</v>
      </c>
      <c r="S4045" s="14" t="str">
        <f t="shared" si="2"/>
        <v>55.13039,61.368732</v>
      </c>
      <c r="T4045" s="12"/>
    </row>
    <row r="4046">
      <c r="A4046" s="20" t="s">
        <v>26030</v>
      </c>
      <c r="B4046" s="16" t="s">
        <v>26038</v>
      </c>
      <c r="C4046" s="16" t="s">
        <v>26039</v>
      </c>
      <c r="D4046" s="16" t="s">
        <v>16</v>
      </c>
      <c r="E4046" s="21" t="s">
        <v>26040</v>
      </c>
      <c r="F4046" s="22" t="s">
        <v>23544</v>
      </c>
      <c r="G4046" s="16">
        <v>23.61</v>
      </c>
      <c r="H4046" s="16"/>
      <c r="I4046" s="22"/>
      <c r="J4046" s="22" t="s">
        <v>26041</v>
      </c>
      <c r="K4046" s="22" t="s">
        <v>26042</v>
      </c>
      <c r="L4046" s="23" t="s">
        <v>26043</v>
      </c>
      <c r="M4046" s="22"/>
      <c r="N4046" s="12"/>
      <c r="O4046" s="12"/>
      <c r="P4046" s="13">
        <f>IFERROR(__xludf.DUMMYFUNCTION("VALUE(SUBSTITUTE((INDEX(SPLIT(A4046,"",""),1)),""."","","",1))"),55.13039)</f>
        <v>55.13039</v>
      </c>
      <c r="Q4046" s="13">
        <f>IFERROR(__xludf.DUMMYFUNCTION("VALUE(SUBSTITUTE((INDEX(SPLIT(A4046,"",""),2)),""."","","",1))"),61.368732)</f>
        <v>61.368732</v>
      </c>
      <c r="R4046" s="14" t="b">
        <f t="shared" si="1"/>
        <v>0</v>
      </c>
      <c r="S4046" s="14" t="str">
        <f t="shared" si="2"/>
        <v>55.13039,61.368732</v>
      </c>
      <c r="T4046" s="12"/>
    </row>
    <row r="4047">
      <c r="A4047" s="18" t="s">
        <v>26030</v>
      </c>
      <c r="B4047" s="8" t="s">
        <v>26044</v>
      </c>
      <c r="C4047" s="8" t="s">
        <v>26045</v>
      </c>
      <c r="D4047" s="8" t="s">
        <v>16</v>
      </c>
      <c r="E4047" s="19" t="s">
        <v>26046</v>
      </c>
      <c r="F4047" s="8" t="s">
        <v>3760</v>
      </c>
      <c r="G4047" s="8">
        <v>23.61</v>
      </c>
      <c r="H4047" s="8"/>
      <c r="I4047" s="8"/>
      <c r="J4047" s="8" t="s">
        <v>26047</v>
      </c>
      <c r="K4047" s="8" t="s">
        <v>26048</v>
      </c>
      <c r="L4047" s="8"/>
      <c r="M4047" s="8"/>
      <c r="N4047" s="12"/>
      <c r="O4047" s="12"/>
      <c r="P4047" s="13">
        <f>IFERROR(__xludf.DUMMYFUNCTION("VALUE(SUBSTITUTE((INDEX(SPLIT(A4047,"",""),1)),""."","","",1))"),55.13039)</f>
        <v>55.13039</v>
      </c>
      <c r="Q4047" s="13">
        <f>IFERROR(__xludf.DUMMYFUNCTION("VALUE(SUBSTITUTE((INDEX(SPLIT(A4047,"",""),2)),""."","","",1))"),61.368732)</f>
        <v>61.368732</v>
      </c>
      <c r="R4047" s="14" t="b">
        <f t="shared" si="1"/>
        <v>0</v>
      </c>
      <c r="S4047" s="14" t="str">
        <f t="shared" si="2"/>
        <v>55.13039,61.368732</v>
      </c>
      <c r="T4047" s="12"/>
    </row>
    <row r="4048">
      <c r="A4048" s="15" t="s">
        <v>26049</v>
      </c>
      <c r="B4048" s="16" t="s">
        <v>26050</v>
      </c>
      <c r="C4048" s="16" t="s">
        <v>26051</v>
      </c>
      <c r="D4048" s="16" t="s">
        <v>16</v>
      </c>
      <c r="E4048" s="17" t="s">
        <v>26052</v>
      </c>
      <c r="F4048" s="16" t="s">
        <v>3760</v>
      </c>
      <c r="G4048" s="16">
        <v>23.61</v>
      </c>
      <c r="H4048" s="16"/>
      <c r="I4048" s="32" t="s">
        <v>26053</v>
      </c>
      <c r="J4048" s="16" t="s">
        <v>26054</v>
      </c>
      <c r="K4048" s="16" t="s">
        <v>26055</v>
      </c>
      <c r="L4048" s="16"/>
      <c r="M4048" s="25" t="s">
        <v>26056</v>
      </c>
      <c r="N4048" s="12"/>
      <c r="O4048" s="12"/>
      <c r="P4048" s="13">
        <f>IFERROR(__xludf.DUMMYFUNCTION("VALUE(SUBSTITUTE((INDEX(SPLIT(A4048,"",""),1)),""."","","",1))"),55.089578)</f>
        <v>55.089578</v>
      </c>
      <c r="Q4048" s="13">
        <f>IFERROR(__xludf.DUMMYFUNCTION("VALUE(SUBSTITUTE((INDEX(SPLIT(A4048,"",""),2)),""."","","",1))"),61.373996)</f>
        <v>61.373996</v>
      </c>
      <c r="R4048" s="14" t="b">
        <f t="shared" si="1"/>
        <v>0</v>
      </c>
      <c r="S4048" s="14" t="str">
        <f t="shared" si="2"/>
        <v>55.089578,61.373996</v>
      </c>
      <c r="T4048" s="12"/>
    </row>
    <row r="4049">
      <c r="A4049" s="18" t="s">
        <v>26057</v>
      </c>
      <c r="B4049" s="8" t="s">
        <v>26058</v>
      </c>
      <c r="C4049" s="8" t="s">
        <v>26059</v>
      </c>
      <c r="D4049" s="8" t="s">
        <v>16</v>
      </c>
      <c r="E4049" s="19" t="s">
        <v>26060</v>
      </c>
      <c r="F4049" s="8" t="s">
        <v>3760</v>
      </c>
      <c r="G4049" s="8">
        <v>23.61</v>
      </c>
      <c r="H4049" s="8"/>
      <c r="I4049" s="8"/>
      <c r="J4049" s="8" t="s">
        <v>26061</v>
      </c>
      <c r="K4049" s="8" t="s">
        <v>26062</v>
      </c>
      <c r="L4049" s="8"/>
      <c r="M4049" s="8"/>
      <c r="N4049" s="12"/>
      <c r="O4049" s="12"/>
      <c r="P4049" s="13">
        <f>IFERROR(__xludf.DUMMYFUNCTION("VALUE(SUBSTITUTE((INDEX(SPLIT(A4049,"",""),1)),""."","","",1))"),55.157701)</f>
        <v>55.157701</v>
      </c>
      <c r="Q4049" s="13">
        <f>IFERROR(__xludf.DUMMYFUNCTION("VALUE(SUBSTITUTE((INDEX(SPLIT(A4049,"",""),2)),""."","","",1))"),61.374742)</f>
        <v>61.374742</v>
      </c>
      <c r="R4049" s="14" t="b">
        <f t="shared" si="1"/>
        <v>0</v>
      </c>
      <c r="S4049" s="14" t="str">
        <f t="shared" si="2"/>
        <v>55.157701,61.374742</v>
      </c>
      <c r="T4049" s="12"/>
    </row>
    <row r="4050">
      <c r="A4050" s="20" t="s">
        <v>26063</v>
      </c>
      <c r="B4050" s="16" t="s">
        <v>26064</v>
      </c>
      <c r="C4050" s="16" t="s">
        <v>26065</v>
      </c>
      <c r="D4050" s="16" t="s">
        <v>16</v>
      </c>
      <c r="E4050" s="21" t="s">
        <v>26066</v>
      </c>
      <c r="F4050" s="22" t="s">
        <v>23544</v>
      </c>
      <c r="G4050" s="16">
        <v>23.61</v>
      </c>
      <c r="H4050" s="16"/>
      <c r="I4050" s="22"/>
      <c r="J4050" s="22" t="s">
        <v>26067</v>
      </c>
      <c r="K4050" s="22" t="s">
        <v>26068</v>
      </c>
      <c r="L4050" s="30" t="s">
        <v>26069</v>
      </c>
      <c r="M4050" s="22"/>
      <c r="N4050" s="12"/>
      <c r="O4050" s="12"/>
      <c r="P4050" s="13">
        <f>IFERROR(__xludf.DUMMYFUNCTION("VALUE(SUBSTITUTE((INDEX(SPLIT(A4050,"",""),1)),""."","","",1))"),55.148102)</f>
        <v>55.148102</v>
      </c>
      <c r="Q4050" s="13">
        <f>IFERROR(__xludf.DUMMYFUNCTION("VALUE(SUBSTITUTE((INDEX(SPLIT(A4050,"",""),2)),""."","","",1))"),61.375568)</f>
        <v>61.375568</v>
      </c>
      <c r="R4050" s="14" t="b">
        <f t="shared" si="1"/>
        <v>0</v>
      </c>
      <c r="S4050" s="14" t="str">
        <f t="shared" si="2"/>
        <v>55.148102,61.375568</v>
      </c>
      <c r="T4050" s="12"/>
    </row>
    <row r="4051">
      <c r="A4051" s="18" t="s">
        <v>26070</v>
      </c>
      <c r="B4051" s="8" t="s">
        <v>26071</v>
      </c>
      <c r="C4051" s="8" t="s">
        <v>26072</v>
      </c>
      <c r="D4051" s="8" t="s">
        <v>16</v>
      </c>
      <c r="E4051" s="19" t="s">
        <v>26073</v>
      </c>
      <c r="F4051" s="8" t="s">
        <v>23165</v>
      </c>
      <c r="G4051" s="8">
        <v>23.61</v>
      </c>
      <c r="H4051" s="8"/>
      <c r="I4051" s="8"/>
      <c r="J4051" s="8" t="s">
        <v>26074</v>
      </c>
      <c r="K4051" s="8" t="s">
        <v>26075</v>
      </c>
      <c r="L4051" s="8"/>
      <c r="M4051" s="8"/>
      <c r="N4051" s="12"/>
      <c r="O4051" s="12"/>
      <c r="P4051" s="13">
        <f>IFERROR(__xludf.DUMMYFUNCTION("VALUE(SUBSTITUTE((INDEX(SPLIT(A4051,"",""),1)),""."","","",1))"),55.168861)</f>
        <v>55.168861</v>
      </c>
      <c r="Q4051" s="13">
        <f>IFERROR(__xludf.DUMMYFUNCTION("VALUE(SUBSTITUTE((INDEX(SPLIT(A4051,"",""),2)),""."","","",1))"),61.378829)</f>
        <v>61.378829</v>
      </c>
      <c r="R4051" s="14" t="b">
        <f t="shared" si="1"/>
        <v>0</v>
      </c>
      <c r="S4051" s="14" t="str">
        <f t="shared" si="2"/>
        <v>55.168861,61.378829</v>
      </c>
      <c r="T4051" s="12"/>
    </row>
    <row r="4052">
      <c r="A4052" s="20" t="s">
        <v>26076</v>
      </c>
      <c r="B4052" s="16" t="s">
        <v>26077</v>
      </c>
      <c r="C4052" s="16" t="s">
        <v>26078</v>
      </c>
      <c r="D4052" s="16" t="s">
        <v>16</v>
      </c>
      <c r="E4052" s="21" t="s">
        <v>26079</v>
      </c>
      <c r="F4052" s="22" t="s">
        <v>3760</v>
      </c>
      <c r="G4052" s="16">
        <v>23.61</v>
      </c>
      <c r="H4052" s="16"/>
      <c r="I4052" s="22"/>
      <c r="J4052" s="22" t="s">
        <v>26080</v>
      </c>
      <c r="K4052" s="22" t="s">
        <v>26081</v>
      </c>
      <c r="L4052" s="23" t="s">
        <v>26082</v>
      </c>
      <c r="M4052" s="22"/>
      <c r="N4052" s="12"/>
      <c r="O4052" s="12"/>
      <c r="P4052" s="13">
        <f>IFERROR(__xludf.DUMMYFUNCTION("VALUE(SUBSTITUTE((INDEX(SPLIT(A4052,"",""),1)),""."","","",1))"),55.12394)</f>
        <v>55.12394</v>
      </c>
      <c r="Q4052" s="13">
        <f>IFERROR(__xludf.DUMMYFUNCTION("VALUE(SUBSTITUTE((INDEX(SPLIT(A4052,"",""),2)),""."","","",1))"),61.379179)</f>
        <v>61.379179</v>
      </c>
      <c r="R4052" s="14" t="b">
        <f t="shared" si="1"/>
        <v>0</v>
      </c>
      <c r="S4052" s="14" t="str">
        <f t="shared" si="2"/>
        <v>55.12394,61.379179</v>
      </c>
      <c r="T4052" s="12"/>
    </row>
    <row r="4053">
      <c r="A4053" s="7" t="s">
        <v>26083</v>
      </c>
      <c r="B4053" s="8" t="s">
        <v>26084</v>
      </c>
      <c r="C4053" s="8" t="s">
        <v>26085</v>
      </c>
      <c r="D4053" s="8" t="s">
        <v>16</v>
      </c>
      <c r="E4053" s="9" t="s">
        <v>26086</v>
      </c>
      <c r="F4053" s="10" t="s">
        <v>12912</v>
      </c>
      <c r="G4053" s="8">
        <v>23.61</v>
      </c>
      <c r="H4053" s="8"/>
      <c r="I4053" s="10"/>
      <c r="J4053" s="10" t="s">
        <v>26087</v>
      </c>
      <c r="K4053" s="10" t="s">
        <v>13991</v>
      </c>
      <c r="L4053" s="11" t="s">
        <v>13992</v>
      </c>
      <c r="M4053" s="11" t="s">
        <v>26088</v>
      </c>
      <c r="N4053" s="12"/>
      <c r="O4053" s="12"/>
      <c r="P4053" s="13">
        <f>IFERROR(__xludf.DUMMYFUNCTION("VALUE(SUBSTITUTE((INDEX(SPLIT(A4053,"",""),1)),""."","","",1))"),55.189902)</f>
        <v>55.189902</v>
      </c>
      <c r="Q4053" s="13">
        <f>IFERROR(__xludf.DUMMYFUNCTION("VALUE(SUBSTITUTE((INDEX(SPLIT(A4053,"",""),2)),""."","","",1))"),61.379916)</f>
        <v>61.379916</v>
      </c>
      <c r="R4053" s="14" t="b">
        <f t="shared" si="1"/>
        <v>0</v>
      </c>
      <c r="S4053" s="14" t="str">
        <f t="shared" si="2"/>
        <v>55.189902,61.379916</v>
      </c>
      <c r="T4053" s="12"/>
    </row>
    <row r="4054">
      <c r="A4054" s="15" t="s">
        <v>26089</v>
      </c>
      <c r="B4054" s="16" t="s">
        <v>26090</v>
      </c>
      <c r="C4054" s="16" t="s">
        <v>26091</v>
      </c>
      <c r="D4054" s="16" t="s">
        <v>16</v>
      </c>
      <c r="E4054" s="17" t="s">
        <v>26092</v>
      </c>
      <c r="F4054" s="16" t="s">
        <v>24698</v>
      </c>
      <c r="G4054" s="16">
        <v>23.61</v>
      </c>
      <c r="H4054" s="16"/>
      <c r="I4054" s="32" t="s">
        <v>26093</v>
      </c>
      <c r="J4054" s="16" t="s">
        <v>26094</v>
      </c>
      <c r="K4054" s="16" t="s">
        <v>26095</v>
      </c>
      <c r="L4054" s="16"/>
      <c r="M4054" s="16"/>
      <c r="N4054" s="12"/>
      <c r="O4054" s="12"/>
      <c r="P4054" s="13">
        <f>IFERROR(__xludf.DUMMYFUNCTION("VALUE(SUBSTITUTE((INDEX(SPLIT(A4054,"",""),1)),""."","","",1))"),55.039791)</f>
        <v>55.039791</v>
      </c>
      <c r="Q4054" s="13">
        <f>IFERROR(__xludf.DUMMYFUNCTION("VALUE(SUBSTITUTE((INDEX(SPLIT(A4054,"",""),2)),""."","","",1))"),61.38112)</f>
        <v>61.38112</v>
      </c>
      <c r="R4054" s="14" t="b">
        <f t="shared" si="1"/>
        <v>0</v>
      </c>
      <c r="S4054" s="14" t="str">
        <f t="shared" si="2"/>
        <v>55.039791,61.38112</v>
      </c>
      <c r="T4054" s="12"/>
    </row>
    <row r="4055">
      <c r="A4055" s="18" t="s">
        <v>26096</v>
      </c>
      <c r="B4055" s="8" t="s">
        <v>26097</v>
      </c>
      <c r="C4055" s="8" t="s">
        <v>26098</v>
      </c>
      <c r="D4055" s="8" t="s">
        <v>16</v>
      </c>
      <c r="E4055" s="19" t="s">
        <v>26099</v>
      </c>
      <c r="F4055" s="8" t="s">
        <v>23165</v>
      </c>
      <c r="G4055" s="8">
        <v>23.61</v>
      </c>
      <c r="H4055" s="8"/>
      <c r="I4055" s="8"/>
      <c r="J4055" s="8" t="s">
        <v>26100</v>
      </c>
      <c r="K4055" s="8" t="s">
        <v>26101</v>
      </c>
      <c r="L4055" s="8"/>
      <c r="M4055" s="8"/>
      <c r="N4055" s="12"/>
      <c r="O4055" s="12"/>
      <c r="P4055" s="13">
        <f>IFERROR(__xludf.DUMMYFUNCTION("VALUE(SUBSTITUTE((INDEX(SPLIT(A4055,"",""),1)),""."","","",1))"),55.092108)</f>
        <v>55.092108</v>
      </c>
      <c r="Q4055" s="13">
        <f>IFERROR(__xludf.DUMMYFUNCTION("VALUE(SUBSTITUTE((INDEX(SPLIT(A4055,"",""),2)),""."","","",1))"),61.384444)</f>
        <v>61.384444</v>
      </c>
      <c r="R4055" s="14" t="b">
        <f t="shared" si="1"/>
        <v>0</v>
      </c>
      <c r="S4055" s="14" t="str">
        <f t="shared" si="2"/>
        <v>55.092108,61.384444</v>
      </c>
      <c r="T4055" s="12"/>
    </row>
    <row r="4056">
      <c r="A4056" s="20" t="s">
        <v>26102</v>
      </c>
      <c r="B4056" s="16" t="s">
        <v>26103</v>
      </c>
      <c r="C4056" s="16" t="s">
        <v>26104</v>
      </c>
      <c r="D4056" s="16" t="s">
        <v>16</v>
      </c>
      <c r="E4056" s="21" t="s">
        <v>26105</v>
      </c>
      <c r="F4056" s="22" t="s">
        <v>24698</v>
      </c>
      <c r="G4056" s="16">
        <v>23.61</v>
      </c>
      <c r="H4056" s="16"/>
      <c r="I4056" s="22"/>
      <c r="J4056" s="22" t="s">
        <v>26106</v>
      </c>
      <c r="K4056" s="22" t="s">
        <v>26107</v>
      </c>
      <c r="L4056" s="23" t="s">
        <v>26108</v>
      </c>
      <c r="M4056" s="22"/>
      <c r="N4056" s="12"/>
      <c r="O4056" s="12"/>
      <c r="P4056" s="13">
        <f>IFERROR(__xludf.DUMMYFUNCTION("VALUE(SUBSTITUTE((INDEX(SPLIT(A4056,"",""),1)),""."","","",1))"),55.162263)</f>
        <v>55.162263</v>
      </c>
      <c r="Q4056" s="13">
        <f>IFERROR(__xludf.DUMMYFUNCTION("VALUE(SUBSTITUTE((INDEX(SPLIT(A4056,"",""),2)),""."","","",1))"),61.387965)</f>
        <v>61.387965</v>
      </c>
      <c r="R4056" s="14" t="b">
        <f t="shared" si="1"/>
        <v>0</v>
      </c>
      <c r="S4056" s="14" t="str">
        <f t="shared" si="2"/>
        <v>55.162263,61.387965</v>
      </c>
      <c r="T4056" s="12"/>
    </row>
    <row r="4057">
      <c r="A4057" s="7" t="s">
        <v>26109</v>
      </c>
      <c r="B4057" s="8" t="s">
        <v>26110</v>
      </c>
      <c r="C4057" s="8" t="s">
        <v>26111</v>
      </c>
      <c r="D4057" s="8" t="s">
        <v>16</v>
      </c>
      <c r="E4057" s="9" t="s">
        <v>26112</v>
      </c>
      <c r="F4057" s="10" t="s">
        <v>19948</v>
      </c>
      <c r="G4057" s="8">
        <v>23.61</v>
      </c>
      <c r="H4057" s="8"/>
      <c r="I4057" s="10"/>
      <c r="J4057" s="10" t="s">
        <v>26113</v>
      </c>
      <c r="K4057" s="10" t="s">
        <v>26114</v>
      </c>
      <c r="L4057" s="29" t="s">
        <v>26115</v>
      </c>
      <c r="M4057" s="10"/>
      <c r="N4057" s="12"/>
      <c r="O4057" s="12"/>
      <c r="P4057" s="13">
        <f>IFERROR(__xludf.DUMMYFUNCTION("VALUE(SUBSTITUTE((INDEX(SPLIT(A4057,"",""),1)),""."","","",1))"),55.105753)</f>
        <v>55.105753</v>
      </c>
      <c r="Q4057" s="13">
        <f>IFERROR(__xludf.DUMMYFUNCTION("VALUE(SUBSTITUTE((INDEX(SPLIT(A4057,"",""),2)),""."","","",1))"),61.388064)</f>
        <v>61.388064</v>
      </c>
      <c r="R4057" s="14" t="b">
        <f t="shared" si="1"/>
        <v>0</v>
      </c>
      <c r="S4057" s="14" t="str">
        <f t="shared" si="2"/>
        <v>55.105753,61.388064</v>
      </c>
      <c r="T4057" s="12"/>
    </row>
    <row r="4058">
      <c r="A4058" s="20" t="s">
        <v>26109</v>
      </c>
      <c r="B4058" s="16" t="s">
        <v>24008</v>
      </c>
      <c r="C4058" s="16" t="s">
        <v>24009</v>
      </c>
      <c r="D4058" s="16" t="s">
        <v>16</v>
      </c>
      <c r="E4058" s="21" t="s">
        <v>26116</v>
      </c>
      <c r="F4058" s="22" t="s">
        <v>16486</v>
      </c>
      <c r="G4058" s="16">
        <v>23.61</v>
      </c>
      <c r="H4058" s="16"/>
      <c r="I4058" s="22"/>
      <c r="J4058" s="22" t="s">
        <v>26117</v>
      </c>
      <c r="K4058" s="22" t="s">
        <v>26118</v>
      </c>
      <c r="L4058" s="23" t="s">
        <v>26119</v>
      </c>
      <c r="M4058" s="23" t="s">
        <v>26120</v>
      </c>
      <c r="N4058" s="12"/>
      <c r="O4058" s="12"/>
      <c r="P4058" s="13">
        <f>IFERROR(__xludf.DUMMYFUNCTION("VALUE(SUBSTITUTE((INDEX(SPLIT(A4058,"",""),1)),""."","","",1))"),55.105753)</f>
        <v>55.105753</v>
      </c>
      <c r="Q4058" s="13">
        <f>IFERROR(__xludf.DUMMYFUNCTION("VALUE(SUBSTITUTE((INDEX(SPLIT(A4058,"",""),2)),""."","","",1))"),61.388064)</f>
        <v>61.388064</v>
      </c>
      <c r="R4058" s="14" t="b">
        <f t="shared" si="1"/>
        <v>0</v>
      </c>
      <c r="S4058" s="14" t="str">
        <f t="shared" si="2"/>
        <v>55.105753,61.388064</v>
      </c>
      <c r="T4058" s="12"/>
    </row>
    <row r="4059">
      <c r="A4059" s="18" t="s">
        <v>26121</v>
      </c>
      <c r="B4059" s="8" t="s">
        <v>26122</v>
      </c>
      <c r="C4059" s="8" t="s">
        <v>26123</v>
      </c>
      <c r="D4059" s="8" t="s">
        <v>16</v>
      </c>
      <c r="E4059" s="19" t="s">
        <v>26124</v>
      </c>
      <c r="F4059" s="8" t="s">
        <v>3760</v>
      </c>
      <c r="G4059" s="8">
        <v>23.61</v>
      </c>
      <c r="H4059" s="8"/>
      <c r="I4059" s="8"/>
      <c r="J4059" s="8" t="s">
        <v>26125</v>
      </c>
      <c r="K4059" s="8" t="s">
        <v>26126</v>
      </c>
      <c r="L4059" s="8"/>
      <c r="M4059" s="8"/>
      <c r="N4059" s="12"/>
      <c r="O4059" s="12"/>
      <c r="P4059" s="13">
        <f>IFERROR(__xludf.DUMMYFUNCTION("VALUE(SUBSTITUTE((INDEX(SPLIT(A4059,"",""),1)),""."","","",1))"),55.166701)</f>
        <v>55.166701</v>
      </c>
      <c r="Q4059" s="13">
        <f>IFERROR(__xludf.DUMMYFUNCTION("VALUE(SUBSTITUTE((INDEX(SPLIT(A4059,"",""),2)),""."","","",1))"),61.392259)</f>
        <v>61.392259</v>
      </c>
      <c r="R4059" s="14" t="b">
        <f t="shared" si="1"/>
        <v>0</v>
      </c>
      <c r="S4059" s="14" t="str">
        <f t="shared" si="2"/>
        <v>55.166701,61.392259</v>
      </c>
      <c r="T4059" s="12"/>
    </row>
    <row r="4060">
      <c r="A4060" s="20" t="s">
        <v>26127</v>
      </c>
      <c r="B4060" s="16" t="s">
        <v>26128</v>
      </c>
      <c r="C4060" s="16" t="s">
        <v>26129</v>
      </c>
      <c r="D4060" s="16" t="s">
        <v>16</v>
      </c>
      <c r="E4060" s="21" t="s">
        <v>26130</v>
      </c>
      <c r="F4060" s="22" t="s">
        <v>3760</v>
      </c>
      <c r="G4060" s="16">
        <v>23.61</v>
      </c>
      <c r="H4060" s="16"/>
      <c r="I4060" s="22"/>
      <c r="J4060" s="22" t="s">
        <v>26131</v>
      </c>
      <c r="K4060" s="22" t="s">
        <v>10015</v>
      </c>
      <c r="L4060" s="23" t="s">
        <v>26132</v>
      </c>
      <c r="M4060" s="22"/>
      <c r="N4060" s="12"/>
      <c r="O4060" s="12"/>
      <c r="P4060" s="13">
        <f>IFERROR(__xludf.DUMMYFUNCTION("VALUE(SUBSTITUTE((INDEX(SPLIT(A4060,"",""),1)),""."","","",1))"),55.267297)</f>
        <v>55.267297</v>
      </c>
      <c r="Q4060" s="13">
        <f>IFERROR(__xludf.DUMMYFUNCTION("VALUE(SUBSTITUTE((INDEX(SPLIT(A4060,"",""),2)),""."","","",1))"),61.392789)</f>
        <v>61.392789</v>
      </c>
      <c r="R4060" s="14" t="b">
        <f t="shared" si="1"/>
        <v>0</v>
      </c>
      <c r="S4060" s="14" t="str">
        <f t="shared" si="2"/>
        <v>55.267297,61.392789</v>
      </c>
      <c r="T4060" s="12"/>
    </row>
    <row r="4061">
      <c r="A4061" s="18" t="s">
        <v>26133</v>
      </c>
      <c r="B4061" s="8" t="s">
        <v>26134</v>
      </c>
      <c r="C4061" s="8" t="s">
        <v>26135</v>
      </c>
      <c r="D4061" s="8" t="s">
        <v>16</v>
      </c>
      <c r="E4061" s="19" t="s">
        <v>26136</v>
      </c>
      <c r="F4061" s="8" t="s">
        <v>19948</v>
      </c>
      <c r="G4061" s="8">
        <v>23.61</v>
      </c>
      <c r="H4061" s="8"/>
      <c r="I4061" s="8"/>
      <c r="J4061" s="8" t="s">
        <v>26137</v>
      </c>
      <c r="K4061" s="8" t="s">
        <v>26138</v>
      </c>
      <c r="L4061" s="8"/>
      <c r="M4061" s="8"/>
      <c r="N4061" s="12"/>
      <c r="O4061" s="12"/>
      <c r="P4061" s="13">
        <f>IFERROR(__xludf.DUMMYFUNCTION("VALUE(SUBSTITUTE((INDEX(SPLIT(A4061,"",""),1)),""."","","",1))"),55.160504)</f>
        <v>55.160504</v>
      </c>
      <c r="Q4061" s="13">
        <f>IFERROR(__xludf.DUMMYFUNCTION("VALUE(SUBSTITUTE((INDEX(SPLIT(A4061,"",""),2)),""."","","",1))"),61.394828)</f>
        <v>61.394828</v>
      </c>
      <c r="R4061" s="14" t="b">
        <f t="shared" si="1"/>
        <v>0</v>
      </c>
      <c r="S4061" s="14" t="str">
        <f t="shared" si="2"/>
        <v>55.160504,61.394828</v>
      </c>
      <c r="T4061" s="12"/>
    </row>
    <row r="4062">
      <c r="A4062" s="15" t="s">
        <v>26139</v>
      </c>
      <c r="B4062" s="16" t="s">
        <v>26140</v>
      </c>
      <c r="C4062" s="16" t="s">
        <v>26141</v>
      </c>
      <c r="D4062" s="16" t="s">
        <v>16</v>
      </c>
      <c r="E4062" s="17" t="s">
        <v>26142</v>
      </c>
      <c r="F4062" s="16" t="s">
        <v>3760</v>
      </c>
      <c r="G4062" s="16">
        <v>23.61</v>
      </c>
      <c r="H4062" s="16"/>
      <c r="I4062" s="16"/>
      <c r="J4062" s="16" t="s">
        <v>26143</v>
      </c>
      <c r="K4062" s="16" t="s">
        <v>26144</v>
      </c>
      <c r="L4062" s="16"/>
      <c r="M4062" s="25" t="s">
        <v>26145</v>
      </c>
      <c r="N4062" s="12"/>
      <c r="O4062" s="12"/>
      <c r="P4062" s="13">
        <f>IFERROR(__xludf.DUMMYFUNCTION("VALUE(SUBSTITUTE((INDEX(SPLIT(A4062,"",""),1)),""."","","",1))"),55.178558)</f>
        <v>55.178558</v>
      </c>
      <c r="Q4062" s="13">
        <f>IFERROR(__xludf.DUMMYFUNCTION("VALUE(SUBSTITUTE((INDEX(SPLIT(A4062,"",""),2)),""."","","",1))"),61.39525)</f>
        <v>61.39525</v>
      </c>
      <c r="R4062" s="14" t="b">
        <f t="shared" si="1"/>
        <v>0</v>
      </c>
      <c r="S4062" s="14" t="str">
        <f t="shared" si="2"/>
        <v>55.178558,61.39525</v>
      </c>
      <c r="T4062" s="12"/>
    </row>
    <row r="4063">
      <c r="A4063" s="7" t="s">
        <v>26146</v>
      </c>
      <c r="B4063" s="8" t="s">
        <v>26147</v>
      </c>
      <c r="C4063" s="8" t="s">
        <v>26148</v>
      </c>
      <c r="D4063" s="8" t="s">
        <v>16</v>
      </c>
      <c r="E4063" s="9" t="s">
        <v>26149</v>
      </c>
      <c r="F4063" s="10" t="s">
        <v>3760</v>
      </c>
      <c r="G4063" s="8">
        <v>23.61</v>
      </c>
      <c r="H4063" s="8"/>
      <c r="I4063" s="10"/>
      <c r="J4063" s="10" t="s">
        <v>26150</v>
      </c>
      <c r="K4063" s="10" t="s">
        <v>26151</v>
      </c>
      <c r="L4063" s="11" t="s">
        <v>26152</v>
      </c>
      <c r="M4063" s="10"/>
      <c r="N4063" s="12"/>
      <c r="O4063" s="12"/>
      <c r="P4063" s="13">
        <f>IFERROR(__xludf.DUMMYFUNCTION("VALUE(SUBSTITUTE((INDEX(SPLIT(A4063,"",""),1)),""."","","",1))"),55.159912)</f>
        <v>55.159912</v>
      </c>
      <c r="Q4063" s="13">
        <f>IFERROR(__xludf.DUMMYFUNCTION("VALUE(SUBSTITUTE((INDEX(SPLIT(A4063,"",""),2)),""."","","",1))"),61.398951)</f>
        <v>61.398951</v>
      </c>
      <c r="R4063" s="14" t="b">
        <f t="shared" si="1"/>
        <v>0</v>
      </c>
      <c r="S4063" s="14" t="str">
        <f t="shared" si="2"/>
        <v>55.159912,61.398951</v>
      </c>
      <c r="T4063" s="12"/>
    </row>
    <row r="4064">
      <c r="A4064" s="15" t="s">
        <v>26153</v>
      </c>
      <c r="B4064" s="16" t="s">
        <v>26154</v>
      </c>
      <c r="C4064" s="16" t="s">
        <v>26155</v>
      </c>
      <c r="D4064" s="16" t="s">
        <v>16</v>
      </c>
      <c r="E4064" s="17" t="s">
        <v>26156</v>
      </c>
      <c r="F4064" s="16" t="s">
        <v>3883</v>
      </c>
      <c r="G4064" s="16">
        <v>23.61</v>
      </c>
      <c r="H4064" s="16"/>
      <c r="I4064" s="16"/>
      <c r="J4064" s="16" t="s">
        <v>26157</v>
      </c>
      <c r="K4064" s="16" t="s">
        <v>9953</v>
      </c>
      <c r="L4064" s="16"/>
      <c r="M4064" s="16"/>
      <c r="N4064" s="12"/>
      <c r="O4064" s="12"/>
      <c r="P4064" s="13">
        <f>IFERROR(__xludf.DUMMYFUNCTION("VALUE(SUBSTITUTE((INDEX(SPLIT(A4064,"",""),1)),""."","","",1))"),55.149177)</f>
        <v>55.149177</v>
      </c>
      <c r="Q4064" s="13">
        <f>IFERROR(__xludf.DUMMYFUNCTION("VALUE(SUBSTITUTE((INDEX(SPLIT(A4064,"",""),2)),""."","","",1))"),61.399185)</f>
        <v>61.399185</v>
      </c>
      <c r="R4064" s="14" t="b">
        <f t="shared" si="1"/>
        <v>0</v>
      </c>
      <c r="S4064" s="14" t="str">
        <f t="shared" si="2"/>
        <v>55.149177,61.399185</v>
      </c>
      <c r="T4064" s="12"/>
    </row>
    <row r="4065">
      <c r="A4065" s="18" t="s">
        <v>26153</v>
      </c>
      <c r="B4065" s="8" t="s">
        <v>26158</v>
      </c>
      <c r="C4065" s="8" t="s">
        <v>26159</v>
      </c>
      <c r="D4065" s="8" t="s">
        <v>16</v>
      </c>
      <c r="E4065" s="19" t="s">
        <v>26160</v>
      </c>
      <c r="F4065" s="8" t="s">
        <v>19948</v>
      </c>
      <c r="G4065" s="8">
        <v>23.61</v>
      </c>
      <c r="H4065" s="8"/>
      <c r="I4065" s="8"/>
      <c r="J4065" s="8" t="s">
        <v>26161</v>
      </c>
      <c r="K4065" s="8" t="s">
        <v>26162</v>
      </c>
      <c r="L4065" s="8"/>
      <c r="M4065" s="24" t="s">
        <v>26163</v>
      </c>
      <c r="N4065" s="12"/>
      <c r="O4065" s="12"/>
      <c r="P4065" s="13">
        <f>IFERROR(__xludf.DUMMYFUNCTION("VALUE(SUBSTITUTE((INDEX(SPLIT(A4065,"",""),1)),""."","","",1))"),55.149177)</f>
        <v>55.149177</v>
      </c>
      <c r="Q4065" s="13">
        <f>IFERROR(__xludf.DUMMYFUNCTION("VALUE(SUBSTITUTE((INDEX(SPLIT(A4065,"",""),2)),""."","","",1))"),61.399185)</f>
        <v>61.399185</v>
      </c>
      <c r="R4065" s="14" t="b">
        <f t="shared" si="1"/>
        <v>0</v>
      </c>
      <c r="S4065" s="14" t="str">
        <f t="shared" si="2"/>
        <v>55.149177,61.399185</v>
      </c>
      <c r="T4065" s="12"/>
    </row>
    <row r="4066">
      <c r="A4066" s="20" t="s">
        <v>26164</v>
      </c>
      <c r="B4066" s="16" t="s">
        <v>26165</v>
      </c>
      <c r="C4066" s="16" t="s">
        <v>26166</v>
      </c>
      <c r="D4066" s="16" t="s">
        <v>16</v>
      </c>
      <c r="E4066" s="21" t="s">
        <v>26167</v>
      </c>
      <c r="F4066" s="22" t="s">
        <v>3760</v>
      </c>
      <c r="G4066" s="16">
        <v>23.61</v>
      </c>
      <c r="H4066" s="16"/>
      <c r="I4066" s="28" t="s">
        <v>26168</v>
      </c>
      <c r="J4066" s="22" t="s">
        <v>26169</v>
      </c>
      <c r="K4066" s="22" t="s">
        <v>26170</v>
      </c>
      <c r="L4066" s="23" t="s">
        <v>26171</v>
      </c>
      <c r="M4066" s="23" t="s">
        <v>26172</v>
      </c>
      <c r="N4066" s="12"/>
      <c r="O4066" s="12"/>
      <c r="P4066" s="13">
        <f>IFERROR(__xludf.DUMMYFUNCTION("VALUE(SUBSTITUTE((INDEX(SPLIT(A4066,"",""),1)),""."","","",1))"),55.164639)</f>
        <v>55.164639</v>
      </c>
      <c r="Q4066" s="13">
        <f>IFERROR(__xludf.DUMMYFUNCTION("VALUE(SUBSTITUTE((INDEX(SPLIT(A4066,"",""),2)),""."","","",1))"),61.401224)</f>
        <v>61.401224</v>
      </c>
      <c r="R4066" s="14" t="b">
        <f t="shared" si="1"/>
        <v>0</v>
      </c>
      <c r="S4066" s="14" t="str">
        <f t="shared" si="2"/>
        <v>55.164639,61.401224</v>
      </c>
      <c r="T4066" s="12"/>
    </row>
    <row r="4067">
      <c r="A4067" s="7" t="s">
        <v>26173</v>
      </c>
      <c r="B4067" s="8" t="s">
        <v>26174</v>
      </c>
      <c r="C4067" s="8" t="s">
        <v>26175</v>
      </c>
      <c r="D4067" s="8" t="s">
        <v>16</v>
      </c>
      <c r="E4067" s="9" t="s">
        <v>26176</v>
      </c>
      <c r="F4067" s="10" t="s">
        <v>3760</v>
      </c>
      <c r="G4067" s="8">
        <v>23.61</v>
      </c>
      <c r="H4067" s="8"/>
      <c r="I4067" s="10"/>
      <c r="J4067" s="10" t="s">
        <v>26177</v>
      </c>
      <c r="K4067" s="10" t="s">
        <v>26178</v>
      </c>
      <c r="L4067" s="11" t="s">
        <v>26179</v>
      </c>
      <c r="M4067" s="10"/>
      <c r="N4067" s="12"/>
      <c r="O4067" s="12"/>
      <c r="P4067" s="13">
        <f>IFERROR(__xludf.DUMMYFUNCTION("VALUE(SUBSTITUTE((INDEX(SPLIT(A4067,"",""),1)),""."","","",1))"),55.159902)</f>
        <v>55.159902</v>
      </c>
      <c r="Q4067" s="13">
        <f>IFERROR(__xludf.DUMMYFUNCTION("VALUE(SUBSTITUTE((INDEX(SPLIT(A4067,"",""),2)),""."","","",1))"),61.402554)</f>
        <v>61.402554</v>
      </c>
      <c r="R4067" s="14" t="b">
        <f t="shared" si="1"/>
        <v>0</v>
      </c>
      <c r="S4067" s="14" t="str">
        <f t="shared" si="2"/>
        <v>55.159902,61.402554</v>
      </c>
      <c r="T4067" s="12"/>
    </row>
    <row r="4068">
      <c r="A4068" s="15" t="s">
        <v>26180</v>
      </c>
      <c r="B4068" s="16" t="s">
        <v>26181</v>
      </c>
      <c r="C4068" s="16" t="s">
        <v>26182</v>
      </c>
      <c r="D4068" s="16" t="s">
        <v>16</v>
      </c>
      <c r="E4068" s="17" t="s">
        <v>26183</v>
      </c>
      <c r="F4068" s="16" t="s">
        <v>3760</v>
      </c>
      <c r="G4068" s="16">
        <v>23.61</v>
      </c>
      <c r="H4068" s="16"/>
      <c r="I4068" s="16"/>
      <c r="J4068" s="16" t="s">
        <v>26184</v>
      </c>
      <c r="K4068" s="16" t="s">
        <v>26185</v>
      </c>
      <c r="L4068" s="16"/>
      <c r="M4068" s="16"/>
      <c r="N4068" s="12"/>
      <c r="O4068" s="12"/>
      <c r="P4068" s="13">
        <f>IFERROR(__xludf.DUMMYFUNCTION("VALUE(SUBSTITUTE((INDEX(SPLIT(A4068,"",""),1)),""."","","",1))"),55.251932)</f>
        <v>55.251932</v>
      </c>
      <c r="Q4068" s="13">
        <f>IFERROR(__xludf.DUMMYFUNCTION("VALUE(SUBSTITUTE((INDEX(SPLIT(A4068,"",""),2)),""."","","",1))"),61.408177)</f>
        <v>61.408177</v>
      </c>
      <c r="R4068" s="14" t="b">
        <f t="shared" si="1"/>
        <v>0</v>
      </c>
      <c r="S4068" s="14" t="str">
        <f t="shared" si="2"/>
        <v>55.251932,61.408177</v>
      </c>
      <c r="T4068" s="12"/>
    </row>
    <row r="4069">
      <c r="A4069" s="7" t="s">
        <v>26186</v>
      </c>
      <c r="B4069" s="8" t="s">
        <v>17326</v>
      </c>
      <c r="C4069" s="8" t="s">
        <v>17327</v>
      </c>
      <c r="D4069" s="8" t="s">
        <v>16</v>
      </c>
      <c r="E4069" s="9" t="s">
        <v>26187</v>
      </c>
      <c r="F4069" s="10" t="s">
        <v>23544</v>
      </c>
      <c r="G4069" s="8">
        <v>23.61</v>
      </c>
      <c r="H4069" s="8"/>
      <c r="I4069" s="10"/>
      <c r="J4069" s="10" t="s">
        <v>26188</v>
      </c>
      <c r="K4069" s="10" t="s">
        <v>26189</v>
      </c>
      <c r="L4069" s="11" t="s">
        <v>26190</v>
      </c>
      <c r="M4069" s="10"/>
      <c r="N4069" s="12"/>
      <c r="O4069" s="12"/>
      <c r="P4069" s="13">
        <f>IFERROR(__xludf.DUMMYFUNCTION("VALUE(SUBSTITUTE((INDEX(SPLIT(A4069,"",""),1)),""."","","",1))"),55.162073)</f>
        <v>55.162073</v>
      </c>
      <c r="Q4069" s="13">
        <f>IFERROR(__xludf.DUMMYFUNCTION("VALUE(SUBSTITUTE((INDEX(SPLIT(A4069,"",""),2)),""."","","",1))"),61.408473)</f>
        <v>61.408473</v>
      </c>
      <c r="R4069" s="14" t="b">
        <f t="shared" si="1"/>
        <v>0</v>
      </c>
      <c r="S4069" s="14" t="str">
        <f t="shared" si="2"/>
        <v>55.162073,61.408473</v>
      </c>
      <c r="T4069" s="12"/>
    </row>
    <row r="4070">
      <c r="A4070" s="20" t="s">
        <v>26191</v>
      </c>
      <c r="B4070" s="16" t="s">
        <v>26192</v>
      </c>
      <c r="C4070" s="16" t="s">
        <v>26193</v>
      </c>
      <c r="D4070" s="16" t="s">
        <v>16</v>
      </c>
      <c r="E4070" s="21" t="s">
        <v>26194</v>
      </c>
      <c r="F4070" s="22" t="s">
        <v>19948</v>
      </c>
      <c r="G4070" s="16">
        <v>23.61</v>
      </c>
      <c r="H4070" s="16"/>
      <c r="I4070" s="22"/>
      <c r="J4070" s="22" t="s">
        <v>26195</v>
      </c>
      <c r="K4070" s="22" t="s">
        <v>26196</v>
      </c>
      <c r="L4070" s="23" t="s">
        <v>26197</v>
      </c>
      <c r="M4070" s="22"/>
      <c r="N4070" s="12"/>
      <c r="O4070" s="12"/>
      <c r="P4070" s="13">
        <f>IFERROR(__xludf.DUMMYFUNCTION("VALUE(SUBSTITUTE((INDEX(SPLIT(A4070,"",""),1)),""."","","",1))"),55.253481)</f>
        <v>55.253481</v>
      </c>
      <c r="Q4070" s="13">
        <f>IFERROR(__xludf.DUMMYFUNCTION("VALUE(SUBSTITUTE((INDEX(SPLIT(A4070,"",""),2)),""."","","",1))"),61.409462)</f>
        <v>61.409462</v>
      </c>
      <c r="R4070" s="14" t="b">
        <f t="shared" si="1"/>
        <v>0</v>
      </c>
      <c r="S4070" s="14" t="str">
        <f t="shared" si="2"/>
        <v>55.253481,61.409462</v>
      </c>
      <c r="T4070" s="12"/>
    </row>
    <row r="4071">
      <c r="A4071" s="7" t="s">
        <v>26198</v>
      </c>
      <c r="B4071" s="8" t="s">
        <v>26199</v>
      </c>
      <c r="C4071" s="8" t="s">
        <v>26200</v>
      </c>
      <c r="D4071" s="8" t="s">
        <v>16</v>
      </c>
      <c r="E4071" s="9" t="s">
        <v>26201</v>
      </c>
      <c r="F4071" s="10" t="s">
        <v>3760</v>
      </c>
      <c r="G4071" s="8">
        <v>23.61</v>
      </c>
      <c r="H4071" s="8"/>
      <c r="I4071" s="31" t="s">
        <v>26202</v>
      </c>
      <c r="J4071" s="10" t="s">
        <v>26203</v>
      </c>
      <c r="K4071" s="10" t="s">
        <v>26204</v>
      </c>
      <c r="L4071" s="11" t="s">
        <v>26205</v>
      </c>
      <c r="M4071" s="10"/>
      <c r="N4071" s="12"/>
      <c r="O4071" s="12"/>
      <c r="P4071" s="13">
        <f>IFERROR(__xludf.DUMMYFUNCTION("VALUE(SUBSTITUTE((INDEX(SPLIT(A4071,"",""),1)),""."","","",1))"),55.255021)</f>
        <v>55.255021</v>
      </c>
      <c r="Q4071" s="13">
        <f>IFERROR(__xludf.DUMMYFUNCTION("VALUE(SUBSTITUTE((INDEX(SPLIT(A4071,"",""),2)),""."","","",1))"),61.412264)</f>
        <v>61.412264</v>
      </c>
      <c r="R4071" s="14" t="b">
        <f t="shared" si="1"/>
        <v>0</v>
      </c>
      <c r="S4071" s="14" t="str">
        <f t="shared" si="2"/>
        <v>55.255021,61.412264</v>
      </c>
      <c r="T4071" s="12"/>
    </row>
    <row r="4072">
      <c r="A4072" s="20" t="s">
        <v>26206</v>
      </c>
      <c r="B4072" s="16" t="s">
        <v>26207</v>
      </c>
      <c r="C4072" s="16" t="s">
        <v>26208</v>
      </c>
      <c r="D4072" s="16" t="s">
        <v>16</v>
      </c>
      <c r="E4072" s="21" t="s">
        <v>26209</v>
      </c>
      <c r="F4072" s="22" t="s">
        <v>3760</v>
      </c>
      <c r="G4072" s="16">
        <v>23.61</v>
      </c>
      <c r="H4072" s="16"/>
      <c r="I4072" s="28" t="s">
        <v>26210</v>
      </c>
      <c r="J4072" s="22" t="s">
        <v>26211</v>
      </c>
      <c r="K4072" s="22" t="s">
        <v>12237</v>
      </c>
      <c r="L4072" s="23" t="s">
        <v>26212</v>
      </c>
      <c r="M4072" s="23" t="s">
        <v>26213</v>
      </c>
      <c r="N4072" s="12"/>
      <c r="O4072" s="12"/>
      <c r="P4072" s="13">
        <f>IFERROR(__xludf.DUMMYFUNCTION("VALUE(SUBSTITUTE((INDEX(SPLIT(A4072,"",""),1)),""."","","",1))"),56.76202)</f>
        <v>56.76202</v>
      </c>
      <c r="Q4072" s="13">
        <f>IFERROR(__xludf.DUMMYFUNCTION("VALUE(SUBSTITUTE((INDEX(SPLIT(A4072,"",""),2)),""."","","",1))"),61.41557)</f>
        <v>61.41557</v>
      </c>
      <c r="R4072" s="14" t="b">
        <f t="shared" si="1"/>
        <v>0</v>
      </c>
      <c r="S4072" s="14" t="str">
        <f t="shared" si="2"/>
        <v>56.76202,61.41557</v>
      </c>
      <c r="T4072" s="12"/>
    </row>
    <row r="4073">
      <c r="A4073" s="7" t="s">
        <v>26214</v>
      </c>
      <c r="B4073" s="8" t="s">
        <v>26215</v>
      </c>
      <c r="C4073" s="8" t="s">
        <v>26216</v>
      </c>
      <c r="D4073" s="8" t="s">
        <v>16</v>
      </c>
      <c r="E4073" s="9" t="s">
        <v>26217</v>
      </c>
      <c r="F4073" s="10" t="s">
        <v>16486</v>
      </c>
      <c r="G4073" s="8">
        <v>23.61</v>
      </c>
      <c r="H4073" s="8"/>
      <c r="I4073" s="31" t="s">
        <v>26218</v>
      </c>
      <c r="J4073" s="10" t="s">
        <v>26219</v>
      </c>
      <c r="K4073" s="10" t="s">
        <v>26220</v>
      </c>
      <c r="L4073" s="11" t="s">
        <v>26221</v>
      </c>
      <c r="M4073" s="11" t="s">
        <v>26222</v>
      </c>
      <c r="N4073" s="12"/>
      <c r="O4073" s="12"/>
      <c r="P4073" s="13">
        <f>IFERROR(__xludf.DUMMYFUNCTION("VALUE(SUBSTITUTE((INDEX(SPLIT(A4073,"",""),1)),""."","","",1))"),55.151652)</f>
        <v>55.151652</v>
      </c>
      <c r="Q4073" s="13">
        <f>IFERROR(__xludf.DUMMYFUNCTION("VALUE(SUBSTITUTE((INDEX(SPLIT(A4073,"",""),2)),""."","","",1))"),61.417627)</f>
        <v>61.417627</v>
      </c>
      <c r="R4073" s="14" t="b">
        <f t="shared" si="1"/>
        <v>0</v>
      </c>
      <c r="S4073" s="14" t="str">
        <f t="shared" si="2"/>
        <v>55.151652,61.417627</v>
      </c>
      <c r="T4073" s="12"/>
    </row>
    <row r="4074">
      <c r="A4074" s="15" t="s">
        <v>26223</v>
      </c>
      <c r="B4074" s="16" t="s">
        <v>26224</v>
      </c>
      <c r="C4074" s="16" t="s">
        <v>26225</v>
      </c>
      <c r="D4074" s="16" t="s">
        <v>16</v>
      </c>
      <c r="E4074" s="17" t="s">
        <v>26226</v>
      </c>
      <c r="F4074" s="16" t="s">
        <v>19948</v>
      </c>
      <c r="G4074" s="16">
        <v>23.61</v>
      </c>
      <c r="H4074" s="16"/>
      <c r="I4074" s="16"/>
      <c r="J4074" s="16" t="s">
        <v>26227</v>
      </c>
      <c r="K4074" s="16" t="s">
        <v>26228</v>
      </c>
      <c r="L4074" s="16"/>
      <c r="M4074" s="16"/>
      <c r="N4074" s="12"/>
      <c r="O4074" s="12"/>
      <c r="P4074" s="13">
        <f>IFERROR(__xludf.DUMMYFUNCTION("VALUE(SUBSTITUTE((INDEX(SPLIT(A4074,"",""),1)),""."","","",1))"),55.133951)</f>
        <v>55.133951</v>
      </c>
      <c r="Q4074" s="13">
        <f>IFERROR(__xludf.DUMMYFUNCTION("VALUE(SUBSTITUTE((INDEX(SPLIT(A4074,"",""),2)),""."","","",1))"),61.417735)</f>
        <v>61.417735</v>
      </c>
      <c r="R4074" s="14" t="b">
        <f t="shared" si="1"/>
        <v>0</v>
      </c>
      <c r="S4074" s="14" t="str">
        <f t="shared" si="2"/>
        <v>55.133951,61.417735</v>
      </c>
      <c r="T4074" s="12"/>
    </row>
    <row r="4075">
      <c r="A4075" s="18" t="s">
        <v>26229</v>
      </c>
      <c r="B4075" s="8" t="s">
        <v>26230</v>
      </c>
      <c r="C4075" s="8" t="s">
        <v>26231</v>
      </c>
      <c r="D4075" s="8" t="s">
        <v>16</v>
      </c>
      <c r="E4075" s="19" t="s">
        <v>26232</v>
      </c>
      <c r="F4075" s="8" t="s">
        <v>19948</v>
      </c>
      <c r="G4075" s="8">
        <v>23.61</v>
      </c>
      <c r="H4075" s="8"/>
      <c r="I4075" s="8"/>
      <c r="J4075" s="8" t="s">
        <v>26233</v>
      </c>
      <c r="K4075" s="8" t="s">
        <v>26228</v>
      </c>
      <c r="L4075" s="8"/>
      <c r="M4075" s="8"/>
      <c r="N4075" s="12"/>
      <c r="O4075" s="12"/>
      <c r="P4075" s="13">
        <f>IFERROR(__xludf.DUMMYFUNCTION("VALUE(SUBSTITUTE((INDEX(SPLIT(A4075,"",""),1)),""."","","",1))"),55.187049)</f>
        <v>55.187049</v>
      </c>
      <c r="Q4075" s="13">
        <f>IFERROR(__xludf.DUMMYFUNCTION("VALUE(SUBSTITUTE((INDEX(SPLIT(A4075,"",""),2)),""."","","",1))"),61.420789)</f>
        <v>61.420789</v>
      </c>
      <c r="R4075" s="14" t="b">
        <f t="shared" si="1"/>
        <v>0</v>
      </c>
      <c r="S4075" s="14" t="str">
        <f t="shared" si="2"/>
        <v>55.187049,61.420789</v>
      </c>
      <c r="T4075" s="12"/>
    </row>
    <row r="4076">
      <c r="A4076" s="15" t="s">
        <v>26234</v>
      </c>
      <c r="B4076" s="16" t="s">
        <v>21463</v>
      </c>
      <c r="C4076" s="16" t="s">
        <v>21464</v>
      </c>
      <c r="D4076" s="16" t="s">
        <v>16</v>
      </c>
      <c r="E4076" s="17" t="s">
        <v>26235</v>
      </c>
      <c r="F4076" s="16" t="s">
        <v>5134</v>
      </c>
      <c r="G4076" s="16">
        <v>23.61</v>
      </c>
      <c r="H4076" s="16"/>
      <c r="I4076" s="16"/>
      <c r="J4076" s="16" t="s">
        <v>7024</v>
      </c>
      <c r="K4076" s="16" t="s">
        <v>26236</v>
      </c>
      <c r="L4076" s="16"/>
      <c r="M4076" s="16"/>
      <c r="N4076" s="12"/>
      <c r="O4076" s="12"/>
      <c r="P4076" s="13">
        <f>IFERROR(__xludf.DUMMYFUNCTION("VALUE(SUBSTITUTE((INDEX(SPLIT(A4076,"",""),1)),""."","","",1))"),55.24757)</f>
        <v>55.24757</v>
      </c>
      <c r="Q4076" s="13">
        <f>IFERROR(__xludf.DUMMYFUNCTION("VALUE(SUBSTITUTE((INDEX(SPLIT(A4076,"",""),2)),""."","","",1))"),61.424769)</f>
        <v>61.424769</v>
      </c>
      <c r="R4076" s="14" t="b">
        <f t="shared" si="1"/>
        <v>0</v>
      </c>
      <c r="S4076" s="14" t="str">
        <f t="shared" si="2"/>
        <v>55.24757,61.424769</v>
      </c>
      <c r="T4076" s="12"/>
    </row>
    <row r="4077">
      <c r="A4077" s="18" t="s">
        <v>26237</v>
      </c>
      <c r="B4077" s="8" t="s">
        <v>26238</v>
      </c>
      <c r="C4077" s="8" t="s">
        <v>26239</v>
      </c>
      <c r="D4077" s="8" t="s">
        <v>16</v>
      </c>
      <c r="E4077" s="19" t="s">
        <v>26240</v>
      </c>
      <c r="F4077" s="8" t="s">
        <v>3760</v>
      </c>
      <c r="G4077" s="8">
        <v>23.61</v>
      </c>
      <c r="H4077" s="8"/>
      <c r="I4077" s="8"/>
      <c r="J4077" s="8" t="s">
        <v>26241</v>
      </c>
      <c r="K4077" s="8" t="s">
        <v>26242</v>
      </c>
      <c r="L4077" s="8"/>
      <c r="M4077" s="8"/>
      <c r="N4077" s="12"/>
      <c r="O4077" s="12"/>
      <c r="P4077" s="13">
        <f>IFERROR(__xludf.DUMMYFUNCTION("VALUE(SUBSTITUTE((INDEX(SPLIT(A4077,"",""),1)),""."","","",1))"),55.142545)</f>
        <v>55.142545</v>
      </c>
      <c r="Q4077" s="13">
        <f>IFERROR(__xludf.DUMMYFUNCTION("VALUE(SUBSTITUTE((INDEX(SPLIT(A4077,"",""),2)),""."","","",1))"),61.43377)</f>
        <v>61.43377</v>
      </c>
      <c r="R4077" s="14" t="b">
        <f t="shared" si="1"/>
        <v>0</v>
      </c>
      <c r="S4077" s="14" t="str">
        <f t="shared" si="2"/>
        <v>55.142545,61.43377</v>
      </c>
      <c r="T4077" s="12"/>
    </row>
    <row r="4078">
      <c r="A4078" s="15" t="s">
        <v>26243</v>
      </c>
      <c r="B4078" s="16" t="s">
        <v>26244</v>
      </c>
      <c r="C4078" s="16" t="s">
        <v>26245</v>
      </c>
      <c r="D4078" s="16" t="s">
        <v>16</v>
      </c>
      <c r="E4078" s="17" t="s">
        <v>26246</v>
      </c>
      <c r="F4078" s="16" t="s">
        <v>3760</v>
      </c>
      <c r="G4078" s="16">
        <v>23.61</v>
      </c>
      <c r="H4078" s="16"/>
      <c r="I4078" s="16"/>
      <c r="J4078" s="16" t="s">
        <v>26247</v>
      </c>
      <c r="K4078" s="16" t="s">
        <v>26248</v>
      </c>
      <c r="L4078" s="16"/>
      <c r="M4078" s="16"/>
      <c r="N4078" s="12"/>
      <c r="O4078" s="12"/>
      <c r="P4078" s="13">
        <f>IFERROR(__xludf.DUMMYFUNCTION("VALUE(SUBSTITUTE((INDEX(SPLIT(A4078,"",""),1)),""."","","",1))"),55.203072)</f>
        <v>55.203072</v>
      </c>
      <c r="Q4078" s="13">
        <f>IFERROR(__xludf.DUMMYFUNCTION("VALUE(SUBSTITUTE((INDEX(SPLIT(A4078,"",""),2)),""."","","",1))"),61.438819)</f>
        <v>61.438819</v>
      </c>
      <c r="R4078" s="14" t="b">
        <f t="shared" si="1"/>
        <v>0</v>
      </c>
      <c r="S4078" s="14" t="str">
        <f t="shared" si="2"/>
        <v>55.203072,61.438819</v>
      </c>
      <c r="T4078" s="12"/>
    </row>
    <row r="4079">
      <c r="A4079" s="18" t="s">
        <v>26243</v>
      </c>
      <c r="B4079" s="8" t="s">
        <v>26249</v>
      </c>
      <c r="C4079" s="8" t="s">
        <v>26250</v>
      </c>
      <c r="D4079" s="8" t="s">
        <v>16</v>
      </c>
      <c r="E4079" s="19" t="s">
        <v>26251</v>
      </c>
      <c r="F4079" s="8" t="s">
        <v>12717</v>
      </c>
      <c r="G4079" s="8">
        <v>23.61</v>
      </c>
      <c r="H4079" s="8"/>
      <c r="I4079" s="8"/>
      <c r="J4079" s="8" t="s">
        <v>26252</v>
      </c>
      <c r="K4079" s="8" t="s">
        <v>26253</v>
      </c>
      <c r="L4079" s="8"/>
      <c r="M4079" s="24" t="s">
        <v>15409</v>
      </c>
      <c r="N4079" s="12"/>
      <c r="O4079" s="12"/>
      <c r="P4079" s="13">
        <f>IFERROR(__xludf.DUMMYFUNCTION("VALUE(SUBSTITUTE((INDEX(SPLIT(A4079,"",""),1)),""."","","",1))"),55.203072)</f>
        <v>55.203072</v>
      </c>
      <c r="Q4079" s="13">
        <f>IFERROR(__xludf.DUMMYFUNCTION("VALUE(SUBSTITUTE((INDEX(SPLIT(A4079,"",""),2)),""."","","",1))"),61.438819)</f>
        <v>61.438819</v>
      </c>
      <c r="R4079" s="14" t="b">
        <f t="shared" si="1"/>
        <v>0</v>
      </c>
      <c r="S4079" s="14" t="str">
        <f t="shared" si="2"/>
        <v>55.203072,61.438819</v>
      </c>
      <c r="T4079" s="12"/>
    </row>
    <row r="4080">
      <c r="A4080" s="20" t="s">
        <v>26254</v>
      </c>
      <c r="B4080" s="16" t="s">
        <v>26255</v>
      </c>
      <c r="C4080" s="16" t="s">
        <v>26256</v>
      </c>
      <c r="D4080" s="16" t="s">
        <v>16</v>
      </c>
      <c r="E4080" s="21" t="s">
        <v>26257</v>
      </c>
      <c r="F4080" s="22" t="s">
        <v>3760</v>
      </c>
      <c r="G4080" s="16">
        <v>23.61</v>
      </c>
      <c r="H4080" s="16"/>
      <c r="I4080" s="22"/>
      <c r="J4080" s="22" t="s">
        <v>26258</v>
      </c>
      <c r="K4080" s="22" t="s">
        <v>26259</v>
      </c>
      <c r="L4080" s="23" t="s">
        <v>26260</v>
      </c>
      <c r="M4080" s="22"/>
      <c r="N4080" s="12"/>
      <c r="O4080" s="12"/>
      <c r="P4080" s="13">
        <f>IFERROR(__xludf.DUMMYFUNCTION("VALUE(SUBSTITUTE((INDEX(SPLIT(A4080,"",""),1)),""."","","",1))"),55.139653)</f>
        <v>55.139653</v>
      </c>
      <c r="Q4080" s="13">
        <f>IFERROR(__xludf.DUMMYFUNCTION("VALUE(SUBSTITUTE((INDEX(SPLIT(A4080,"",""),2)),""."","","",1))"),61.440606)</f>
        <v>61.440606</v>
      </c>
      <c r="R4080" s="14" t="b">
        <f t="shared" si="1"/>
        <v>0</v>
      </c>
      <c r="S4080" s="14" t="str">
        <f t="shared" si="2"/>
        <v>55.139653,61.440606</v>
      </c>
      <c r="T4080" s="12"/>
    </row>
    <row r="4081">
      <c r="A4081" s="18" t="s">
        <v>26261</v>
      </c>
      <c r="B4081" s="8" t="s">
        <v>26262</v>
      </c>
      <c r="C4081" s="8" t="s">
        <v>26263</v>
      </c>
      <c r="D4081" s="8" t="s">
        <v>16</v>
      </c>
      <c r="E4081" s="19" t="s">
        <v>26264</v>
      </c>
      <c r="F4081" s="8" t="s">
        <v>10183</v>
      </c>
      <c r="G4081" s="8">
        <v>23.61</v>
      </c>
      <c r="H4081" s="8"/>
      <c r="I4081" s="8"/>
      <c r="J4081" s="8" t="s">
        <v>26265</v>
      </c>
      <c r="K4081" s="8" t="s">
        <v>26266</v>
      </c>
      <c r="L4081" s="8"/>
      <c r="M4081" s="8"/>
      <c r="N4081" s="12"/>
      <c r="O4081" s="12"/>
      <c r="P4081" s="13">
        <f>IFERROR(__xludf.DUMMYFUNCTION("VALUE(SUBSTITUTE((INDEX(SPLIT(A4081,"",""),1)),""."","","",1))"),55.209195)</f>
        <v>55.209195</v>
      </c>
      <c r="Q4081" s="13">
        <f>IFERROR(__xludf.DUMMYFUNCTION("VALUE(SUBSTITUTE((INDEX(SPLIT(A4081,"",""),2)),""."","","",1))"),61.441792)</f>
        <v>61.441792</v>
      </c>
      <c r="R4081" s="14" t="b">
        <f t="shared" si="1"/>
        <v>0</v>
      </c>
      <c r="S4081" s="14" t="str">
        <f t="shared" si="2"/>
        <v>55.209195,61.441792</v>
      </c>
      <c r="T4081" s="12"/>
    </row>
    <row r="4082">
      <c r="A4082" s="20" t="s">
        <v>26267</v>
      </c>
      <c r="B4082" s="16" t="s">
        <v>26268</v>
      </c>
      <c r="C4082" s="16" t="s">
        <v>26269</v>
      </c>
      <c r="D4082" s="16" t="s">
        <v>16</v>
      </c>
      <c r="E4082" s="21" t="s">
        <v>26270</v>
      </c>
      <c r="F4082" s="22" t="s">
        <v>3760</v>
      </c>
      <c r="G4082" s="16">
        <v>23.61</v>
      </c>
      <c r="H4082" s="16"/>
      <c r="I4082" s="22"/>
      <c r="J4082" s="22" t="s">
        <v>26271</v>
      </c>
      <c r="K4082" s="22" t="s">
        <v>26272</v>
      </c>
      <c r="L4082" s="23" t="s">
        <v>26273</v>
      </c>
      <c r="M4082" s="22"/>
      <c r="N4082" s="12"/>
      <c r="O4082" s="12"/>
      <c r="P4082" s="13">
        <f>IFERROR(__xludf.DUMMYFUNCTION("VALUE(SUBSTITUTE((INDEX(SPLIT(A4082,"",""),1)),""."","","",1))"),55.126735)</f>
        <v>55.126735</v>
      </c>
      <c r="Q4082" s="13">
        <f>IFERROR(__xludf.DUMMYFUNCTION("VALUE(SUBSTITUTE((INDEX(SPLIT(A4082,"",""),2)),""."","","",1))"),61.442268)</f>
        <v>61.442268</v>
      </c>
      <c r="R4082" s="14" t="b">
        <f t="shared" si="1"/>
        <v>0</v>
      </c>
      <c r="S4082" s="14" t="str">
        <f t="shared" si="2"/>
        <v>55.126735,61.442268</v>
      </c>
      <c r="T4082" s="12"/>
    </row>
    <row r="4083">
      <c r="A4083" s="7" t="s">
        <v>26274</v>
      </c>
      <c r="B4083" s="8" t="s">
        <v>26275</v>
      </c>
      <c r="C4083" s="8" t="s">
        <v>26276</v>
      </c>
      <c r="D4083" s="8" t="s">
        <v>16</v>
      </c>
      <c r="E4083" s="9" t="s">
        <v>26277</v>
      </c>
      <c r="F4083" s="10" t="s">
        <v>3760</v>
      </c>
      <c r="G4083" s="8">
        <v>23.61</v>
      </c>
      <c r="H4083" s="8"/>
      <c r="I4083" s="10"/>
      <c r="J4083" s="10" t="s">
        <v>26278</v>
      </c>
      <c r="K4083" s="10" t="s">
        <v>26279</v>
      </c>
      <c r="L4083" s="11" t="s">
        <v>26280</v>
      </c>
      <c r="M4083" s="10"/>
      <c r="N4083" s="12"/>
      <c r="O4083" s="12"/>
      <c r="P4083" s="13">
        <f>IFERROR(__xludf.DUMMYFUNCTION("VALUE(SUBSTITUTE((INDEX(SPLIT(A4083,"",""),1)),""."","","",1))"),55.192086)</f>
        <v>55.192086</v>
      </c>
      <c r="Q4083" s="13">
        <f>IFERROR(__xludf.DUMMYFUNCTION("VALUE(SUBSTITUTE((INDEX(SPLIT(A4083,"",""),2)),""."","","",1))"),61.444244)</f>
        <v>61.444244</v>
      </c>
      <c r="R4083" s="14" t="b">
        <f t="shared" si="1"/>
        <v>0</v>
      </c>
      <c r="S4083" s="14" t="str">
        <f t="shared" si="2"/>
        <v>55.192086,61.444244</v>
      </c>
      <c r="T4083" s="12"/>
    </row>
    <row r="4084">
      <c r="A4084" s="15" t="s">
        <v>26274</v>
      </c>
      <c r="B4084" s="16" t="s">
        <v>26281</v>
      </c>
      <c r="C4084" s="16" t="s">
        <v>26282</v>
      </c>
      <c r="D4084" s="16" t="s">
        <v>16</v>
      </c>
      <c r="E4084" s="17" t="s">
        <v>26283</v>
      </c>
      <c r="F4084" s="16" t="s">
        <v>10183</v>
      </c>
      <c r="G4084" s="16">
        <v>23.61</v>
      </c>
      <c r="H4084" s="16"/>
      <c r="I4084" s="16"/>
      <c r="J4084" s="16" t="s">
        <v>26284</v>
      </c>
      <c r="K4084" s="16" t="s">
        <v>26285</v>
      </c>
      <c r="L4084" s="16"/>
      <c r="M4084" s="16"/>
      <c r="N4084" s="12"/>
      <c r="O4084" s="12"/>
      <c r="P4084" s="13">
        <f>IFERROR(__xludf.DUMMYFUNCTION("VALUE(SUBSTITUTE((INDEX(SPLIT(A4084,"",""),1)),""."","","",1))"),55.192086)</f>
        <v>55.192086</v>
      </c>
      <c r="Q4084" s="13">
        <f>IFERROR(__xludf.DUMMYFUNCTION("VALUE(SUBSTITUTE((INDEX(SPLIT(A4084,"",""),2)),""."","","",1))"),61.444244)</f>
        <v>61.444244</v>
      </c>
      <c r="R4084" s="14" t="b">
        <f t="shared" si="1"/>
        <v>0</v>
      </c>
      <c r="S4084" s="14" t="str">
        <f t="shared" si="2"/>
        <v>55.192086,61.444244</v>
      </c>
      <c r="T4084" s="12"/>
    </row>
    <row r="4085">
      <c r="A4085" s="7" t="s">
        <v>26286</v>
      </c>
      <c r="B4085" s="8" t="s">
        <v>3880</v>
      </c>
      <c r="C4085" s="8" t="s">
        <v>3881</v>
      </c>
      <c r="D4085" s="8" t="s">
        <v>16</v>
      </c>
      <c r="E4085" s="9" t="s">
        <v>26287</v>
      </c>
      <c r="F4085" s="10" t="s">
        <v>12717</v>
      </c>
      <c r="G4085" s="8">
        <v>23.61</v>
      </c>
      <c r="H4085" s="8"/>
      <c r="I4085" s="10"/>
      <c r="J4085" s="10" t="s">
        <v>26288</v>
      </c>
      <c r="K4085" s="10" t="s">
        <v>26289</v>
      </c>
      <c r="L4085" s="11" t="s">
        <v>26290</v>
      </c>
      <c r="M4085" s="10"/>
      <c r="N4085" s="12"/>
      <c r="O4085" s="12"/>
      <c r="P4085" s="13">
        <f>IFERROR(__xludf.DUMMYFUNCTION("VALUE(SUBSTITUTE((INDEX(SPLIT(A4085,"",""),1)),""."","","",1))"),55.159156)</f>
        <v>55.159156</v>
      </c>
      <c r="Q4085" s="13">
        <f>IFERROR(__xludf.DUMMYFUNCTION("VALUE(SUBSTITUTE((INDEX(SPLIT(A4085,"",""),2)),""."","","",1))"),61.44711)</f>
        <v>61.44711</v>
      </c>
      <c r="R4085" s="14" t="b">
        <f t="shared" si="1"/>
        <v>0</v>
      </c>
      <c r="S4085" s="14" t="str">
        <f t="shared" si="2"/>
        <v>55.159156,61.44711</v>
      </c>
      <c r="T4085" s="12"/>
    </row>
    <row r="4086">
      <c r="A4086" s="20" t="s">
        <v>26291</v>
      </c>
      <c r="B4086" s="16" t="s">
        <v>26292</v>
      </c>
      <c r="C4086" s="16" t="s">
        <v>26293</v>
      </c>
      <c r="D4086" s="16" t="s">
        <v>16</v>
      </c>
      <c r="E4086" s="21" t="s">
        <v>26294</v>
      </c>
      <c r="F4086" s="22" t="s">
        <v>3760</v>
      </c>
      <c r="G4086" s="16">
        <v>23.61</v>
      </c>
      <c r="H4086" s="16"/>
      <c r="I4086" s="22"/>
      <c r="J4086" s="22" t="s">
        <v>26295</v>
      </c>
      <c r="K4086" s="22" t="s">
        <v>26296</v>
      </c>
      <c r="L4086" s="23" t="s">
        <v>26297</v>
      </c>
      <c r="M4086" s="23" t="s">
        <v>26298</v>
      </c>
      <c r="N4086" s="12"/>
      <c r="O4086" s="12"/>
      <c r="P4086" s="13">
        <f>IFERROR(__xludf.DUMMYFUNCTION("VALUE(SUBSTITUTE((INDEX(SPLIT(A4086,"",""),1)),""."","","",1))"),55.170095)</f>
        <v>55.170095</v>
      </c>
      <c r="Q4086" s="13">
        <f>IFERROR(__xludf.DUMMYFUNCTION("VALUE(SUBSTITUTE((INDEX(SPLIT(A4086,"",""),2)),""."","","",1))"),61.448601)</f>
        <v>61.448601</v>
      </c>
      <c r="R4086" s="14" t="b">
        <f t="shared" si="1"/>
        <v>0</v>
      </c>
      <c r="S4086" s="14" t="str">
        <f t="shared" si="2"/>
        <v>55.170095,61.448601</v>
      </c>
      <c r="T4086" s="12"/>
    </row>
    <row r="4087">
      <c r="A4087" s="18" t="s">
        <v>26299</v>
      </c>
      <c r="B4087" s="8" t="s">
        <v>26300</v>
      </c>
      <c r="C4087" s="8" t="s">
        <v>26301</v>
      </c>
      <c r="D4087" s="8" t="s">
        <v>16</v>
      </c>
      <c r="E4087" s="19" t="s">
        <v>26302</v>
      </c>
      <c r="F4087" s="8" t="s">
        <v>10183</v>
      </c>
      <c r="G4087" s="8">
        <v>23.61</v>
      </c>
      <c r="H4087" s="8"/>
      <c r="I4087" s="8"/>
      <c r="J4087" s="8" t="s">
        <v>26303</v>
      </c>
      <c r="K4087" s="8" t="s">
        <v>26304</v>
      </c>
      <c r="L4087" s="8"/>
      <c r="M4087" s="8"/>
      <c r="N4087" s="12"/>
      <c r="O4087" s="12"/>
      <c r="P4087" s="13">
        <f>IFERROR(__xludf.DUMMYFUNCTION("VALUE(SUBSTITUTE((INDEX(SPLIT(A4087,"",""),1)),""."","","",1))"),55.199758)</f>
        <v>55.199758</v>
      </c>
      <c r="Q4087" s="13">
        <f>IFERROR(__xludf.DUMMYFUNCTION("VALUE(SUBSTITUTE((INDEX(SPLIT(A4087,"",""),2)),""."","","",1))"),61.45577)</f>
        <v>61.45577</v>
      </c>
      <c r="R4087" s="14" t="b">
        <f t="shared" si="1"/>
        <v>0</v>
      </c>
      <c r="S4087" s="14" t="str">
        <f t="shared" si="2"/>
        <v>55.199758,61.45577</v>
      </c>
      <c r="T4087" s="12"/>
    </row>
    <row r="4088">
      <c r="A4088" s="15" t="s">
        <v>26299</v>
      </c>
      <c r="B4088" s="16" t="s">
        <v>8193</v>
      </c>
      <c r="C4088" s="16" t="s">
        <v>8194</v>
      </c>
      <c r="D4088" s="16" t="s">
        <v>16</v>
      </c>
      <c r="E4088" s="17" t="s">
        <v>26305</v>
      </c>
      <c r="F4088" s="16" t="s">
        <v>26306</v>
      </c>
      <c r="G4088" s="16">
        <v>23.61</v>
      </c>
      <c r="H4088" s="16"/>
      <c r="I4088" s="16"/>
      <c r="J4088" s="16" t="s">
        <v>26307</v>
      </c>
      <c r="K4088" s="16" t="s">
        <v>26308</v>
      </c>
      <c r="L4088" s="16"/>
      <c r="M4088" s="16"/>
      <c r="N4088" s="12"/>
      <c r="O4088" s="12"/>
      <c r="P4088" s="13">
        <f>IFERROR(__xludf.DUMMYFUNCTION("VALUE(SUBSTITUTE((INDEX(SPLIT(A4088,"",""),1)),""."","","",1))"),55.199758)</f>
        <v>55.199758</v>
      </c>
      <c r="Q4088" s="13">
        <f>IFERROR(__xludf.DUMMYFUNCTION("VALUE(SUBSTITUTE((INDEX(SPLIT(A4088,"",""),2)),""."","","",1))"),61.45577)</f>
        <v>61.45577</v>
      </c>
      <c r="R4088" s="14" t="b">
        <f t="shared" si="1"/>
        <v>0</v>
      </c>
      <c r="S4088" s="14" t="str">
        <f t="shared" si="2"/>
        <v>55.199758,61.45577</v>
      </c>
      <c r="T4088" s="12"/>
    </row>
    <row r="4089">
      <c r="A4089" s="7" t="s">
        <v>26309</v>
      </c>
      <c r="B4089" s="8" t="s">
        <v>26310</v>
      </c>
      <c r="C4089" s="8" t="s">
        <v>26311</v>
      </c>
      <c r="D4089" s="8" t="s">
        <v>16</v>
      </c>
      <c r="E4089" s="9" t="s">
        <v>26312</v>
      </c>
      <c r="F4089" s="10" t="s">
        <v>19948</v>
      </c>
      <c r="G4089" s="8">
        <v>23.61</v>
      </c>
      <c r="H4089" s="8"/>
      <c r="I4089" s="10"/>
      <c r="J4089" s="10" t="s">
        <v>26313</v>
      </c>
      <c r="K4089" s="10" t="s">
        <v>26314</v>
      </c>
      <c r="L4089" s="11" t="s">
        <v>26315</v>
      </c>
      <c r="M4089" s="10"/>
      <c r="N4089" s="12"/>
      <c r="O4089" s="12"/>
      <c r="P4089" s="13">
        <f>IFERROR(__xludf.DUMMYFUNCTION("VALUE(SUBSTITUTE((INDEX(SPLIT(A4089,"",""),1)),""."","","",1))"),55.197389)</f>
        <v>55.197389</v>
      </c>
      <c r="Q4089" s="13">
        <f>IFERROR(__xludf.DUMMYFUNCTION("VALUE(SUBSTITUTE((INDEX(SPLIT(A4089,"",""),2)),""."","","",1))"),61.458815)</f>
        <v>61.458815</v>
      </c>
      <c r="R4089" s="14" t="b">
        <f t="shared" si="1"/>
        <v>0</v>
      </c>
      <c r="S4089" s="14" t="str">
        <f t="shared" si="2"/>
        <v>55.197389,61.458815</v>
      </c>
      <c r="T4089" s="12"/>
    </row>
    <row r="4090">
      <c r="A4090" s="20" t="s">
        <v>26316</v>
      </c>
      <c r="B4090" s="16" t="s">
        <v>26317</v>
      </c>
      <c r="C4090" s="16" t="s">
        <v>26318</v>
      </c>
      <c r="D4090" s="16" t="s">
        <v>16</v>
      </c>
      <c r="E4090" s="21" t="s">
        <v>26319</v>
      </c>
      <c r="F4090" s="22" t="s">
        <v>3760</v>
      </c>
      <c r="G4090" s="16">
        <v>23.61</v>
      </c>
      <c r="H4090" s="16"/>
      <c r="I4090" s="28" t="s">
        <v>26320</v>
      </c>
      <c r="J4090" s="22" t="s">
        <v>26321</v>
      </c>
      <c r="K4090" s="22" t="s">
        <v>26322</v>
      </c>
      <c r="L4090" s="23" t="s">
        <v>26323</v>
      </c>
      <c r="M4090" s="23" t="s">
        <v>26324</v>
      </c>
      <c r="N4090" s="12"/>
      <c r="O4090" s="12"/>
      <c r="P4090" s="13">
        <f>IFERROR(__xludf.DUMMYFUNCTION("VALUE(SUBSTITUTE((INDEX(SPLIT(A4090,"",""),1)),""."","","",1))"),55.187599)</f>
        <v>55.187599</v>
      </c>
      <c r="Q4090" s="13">
        <f>IFERROR(__xludf.DUMMYFUNCTION("VALUE(SUBSTITUTE((INDEX(SPLIT(A4090,"",""),2)),""."","","",1))"),61.467699)</f>
        <v>61.467699</v>
      </c>
      <c r="R4090" s="14" t="b">
        <f t="shared" si="1"/>
        <v>0</v>
      </c>
      <c r="S4090" s="14" t="str">
        <f t="shared" si="2"/>
        <v>55.187599,61.467699</v>
      </c>
      <c r="T4090" s="12"/>
    </row>
    <row r="4091">
      <c r="A4091" s="18" t="s">
        <v>26325</v>
      </c>
      <c r="B4091" s="8" t="s">
        <v>26326</v>
      </c>
      <c r="C4091" s="8" t="s">
        <v>26327</v>
      </c>
      <c r="D4091" s="8" t="s">
        <v>16</v>
      </c>
      <c r="E4091" s="19" t="s">
        <v>26328</v>
      </c>
      <c r="F4091" s="8" t="s">
        <v>3883</v>
      </c>
      <c r="G4091" s="8">
        <v>23.61</v>
      </c>
      <c r="H4091" s="8"/>
      <c r="I4091" s="8"/>
      <c r="J4091" s="8" t="s">
        <v>26329</v>
      </c>
      <c r="K4091" s="8" t="s">
        <v>26330</v>
      </c>
      <c r="L4091" s="8"/>
      <c r="M4091" s="8"/>
      <c r="N4091" s="12"/>
      <c r="O4091" s="12"/>
      <c r="P4091" s="13">
        <f>IFERROR(__xludf.DUMMYFUNCTION("VALUE(SUBSTITUTE((INDEX(SPLIT(A4091,"",""),1)),""."","","",1))"),55.224254)</f>
        <v>55.224254</v>
      </c>
      <c r="Q4091" s="13">
        <f>IFERROR(__xludf.DUMMYFUNCTION("VALUE(SUBSTITUTE((INDEX(SPLIT(A4091,"",""),2)),""."","","",1))"),61.470942)</f>
        <v>61.470942</v>
      </c>
      <c r="R4091" s="14" t="b">
        <f t="shared" si="1"/>
        <v>0</v>
      </c>
      <c r="S4091" s="14" t="str">
        <f t="shared" si="2"/>
        <v>55.224254,61.470942</v>
      </c>
      <c r="T4091" s="12"/>
    </row>
    <row r="4092">
      <c r="A4092" s="15" t="s">
        <v>26331</v>
      </c>
      <c r="B4092" s="16" t="s">
        <v>26332</v>
      </c>
      <c r="C4092" s="16" t="s">
        <v>26333</v>
      </c>
      <c r="D4092" s="16" t="s">
        <v>16</v>
      </c>
      <c r="E4092" s="17" t="s">
        <v>26334</v>
      </c>
      <c r="F4092" s="16" t="s">
        <v>10183</v>
      </c>
      <c r="G4092" s="16">
        <v>23.61</v>
      </c>
      <c r="H4092" s="16"/>
      <c r="I4092" s="16"/>
      <c r="J4092" s="16" t="s">
        <v>26335</v>
      </c>
      <c r="K4092" s="16" t="s">
        <v>26336</v>
      </c>
      <c r="L4092" s="16"/>
      <c r="M4092" s="16"/>
      <c r="N4092" s="12"/>
      <c r="O4092" s="12"/>
      <c r="P4092" s="13">
        <f>IFERROR(__xludf.DUMMYFUNCTION("VALUE(SUBSTITUTE((INDEX(SPLIT(A4092,"",""),1)),""."","","",1))"),55.180239)</f>
        <v>55.180239</v>
      </c>
      <c r="Q4092" s="13">
        <f>IFERROR(__xludf.DUMMYFUNCTION("VALUE(SUBSTITUTE((INDEX(SPLIT(A4092,"",""),2)),""."","","",1))"),61.486564)</f>
        <v>61.486564</v>
      </c>
      <c r="R4092" s="14" t="b">
        <f t="shared" si="1"/>
        <v>0</v>
      </c>
      <c r="S4092" s="14" t="str">
        <f t="shared" si="2"/>
        <v>55.180239,61.486564</v>
      </c>
      <c r="T4092" s="12"/>
    </row>
    <row r="4093">
      <c r="A4093" s="18" t="s">
        <v>26337</v>
      </c>
      <c r="B4093" s="8" t="s">
        <v>26338</v>
      </c>
      <c r="C4093" s="8" t="s">
        <v>26339</v>
      </c>
      <c r="D4093" s="8" t="s">
        <v>16</v>
      </c>
      <c r="E4093" s="19" t="s">
        <v>26340</v>
      </c>
      <c r="F4093" s="8" t="s">
        <v>10183</v>
      </c>
      <c r="G4093" s="8">
        <v>23.61</v>
      </c>
      <c r="H4093" s="8"/>
      <c r="I4093" s="8"/>
      <c r="J4093" s="8" t="s">
        <v>26341</v>
      </c>
      <c r="K4093" s="8" t="s">
        <v>26342</v>
      </c>
      <c r="L4093" s="8"/>
      <c r="M4093" s="8"/>
      <c r="N4093" s="12"/>
      <c r="O4093" s="12"/>
      <c r="P4093" s="13">
        <f>IFERROR(__xludf.DUMMYFUNCTION("VALUE(SUBSTITUTE((INDEX(SPLIT(A4093,"",""),1)),""."","","",1))"),55.121283)</f>
        <v>55.121283</v>
      </c>
      <c r="Q4093" s="13">
        <f>IFERROR(__xludf.DUMMYFUNCTION("VALUE(SUBSTITUTE((INDEX(SPLIT(A4093,"",""),2)),""."","","",1))"),61.489124)</f>
        <v>61.489124</v>
      </c>
      <c r="R4093" s="14" t="b">
        <f t="shared" si="1"/>
        <v>0</v>
      </c>
      <c r="S4093" s="14" t="str">
        <f t="shared" si="2"/>
        <v>55.121283,61.489124</v>
      </c>
      <c r="T4093" s="12"/>
    </row>
    <row r="4094">
      <c r="A4094" s="20" t="s">
        <v>26343</v>
      </c>
      <c r="B4094" s="16" t="s">
        <v>26344</v>
      </c>
      <c r="C4094" s="16" t="s">
        <v>26345</v>
      </c>
      <c r="D4094" s="16" t="s">
        <v>16</v>
      </c>
      <c r="E4094" s="21" t="s">
        <v>26346</v>
      </c>
      <c r="F4094" s="22" t="s">
        <v>18995</v>
      </c>
      <c r="G4094" s="16">
        <v>23.61</v>
      </c>
      <c r="H4094" s="16"/>
      <c r="I4094" s="22"/>
      <c r="J4094" s="22" t="s">
        <v>26347</v>
      </c>
      <c r="K4094" s="22" t="s">
        <v>26348</v>
      </c>
      <c r="L4094" s="23" t="s">
        <v>26349</v>
      </c>
      <c r="M4094" s="22"/>
      <c r="N4094" s="12"/>
      <c r="O4094" s="12"/>
      <c r="P4094" s="13">
        <f>IFERROR(__xludf.DUMMYFUNCTION("VALUE(SUBSTITUTE((INDEX(SPLIT(A4094,"",""),1)),""."","","",1))"),55.158524)</f>
        <v>55.158524</v>
      </c>
      <c r="Q4094" s="13">
        <f>IFERROR(__xludf.DUMMYFUNCTION("VALUE(SUBSTITUTE((INDEX(SPLIT(A4094,"",""),2)),""."","","",1))"),61.492798)</f>
        <v>61.492798</v>
      </c>
      <c r="R4094" s="14" t="b">
        <f t="shared" si="1"/>
        <v>0</v>
      </c>
      <c r="S4094" s="14" t="str">
        <f t="shared" si="2"/>
        <v>55.158524,61.492798</v>
      </c>
      <c r="T4094" s="12"/>
    </row>
    <row r="4095">
      <c r="A4095" s="18" t="s">
        <v>26350</v>
      </c>
      <c r="B4095" s="8" t="s">
        <v>26351</v>
      </c>
      <c r="C4095" s="8" t="s">
        <v>26352</v>
      </c>
      <c r="D4095" s="8" t="s">
        <v>16</v>
      </c>
      <c r="E4095" s="19" t="s">
        <v>26353</v>
      </c>
      <c r="F4095" s="8" t="s">
        <v>24698</v>
      </c>
      <c r="G4095" s="8">
        <v>23.61</v>
      </c>
      <c r="H4095" s="8"/>
      <c r="I4095" s="8"/>
      <c r="J4095" s="8" t="s">
        <v>26354</v>
      </c>
      <c r="K4095" s="8" t="s">
        <v>26355</v>
      </c>
      <c r="L4095" s="8"/>
      <c r="M4095" s="24" t="s">
        <v>26356</v>
      </c>
      <c r="N4095" s="12"/>
      <c r="O4095" s="12"/>
      <c r="P4095" s="13">
        <f>IFERROR(__xludf.DUMMYFUNCTION("VALUE(SUBSTITUTE((INDEX(SPLIT(A4095,"",""),1)),""."","","",1))"),54.089597)</f>
        <v>54.089597</v>
      </c>
      <c r="Q4095" s="13">
        <f>IFERROR(__xludf.DUMMYFUNCTION("VALUE(SUBSTITUTE((INDEX(SPLIT(A4095,"",""),2)),""."","","",1))"),61.569137)</f>
        <v>61.569137</v>
      </c>
      <c r="R4095" s="14" t="b">
        <f t="shared" si="1"/>
        <v>0</v>
      </c>
      <c r="S4095" s="14" t="str">
        <f t="shared" si="2"/>
        <v>54.089597,61.569137</v>
      </c>
      <c r="T4095" s="12"/>
    </row>
    <row r="4096">
      <c r="A4096" s="20" t="s">
        <v>26357</v>
      </c>
      <c r="B4096" s="16" t="s">
        <v>26358</v>
      </c>
      <c r="C4096" s="16" t="s">
        <v>970</v>
      </c>
      <c r="D4096" s="16" t="s">
        <v>16</v>
      </c>
      <c r="E4096" s="21" t="s">
        <v>26359</v>
      </c>
      <c r="F4096" s="22" t="s">
        <v>3760</v>
      </c>
      <c r="G4096" s="16">
        <v>23.61</v>
      </c>
      <c r="H4096" s="16"/>
      <c r="I4096" s="22"/>
      <c r="J4096" s="22" t="s">
        <v>26360</v>
      </c>
      <c r="K4096" s="22" t="s">
        <v>26361</v>
      </c>
      <c r="L4096" s="23" t="s">
        <v>26362</v>
      </c>
      <c r="M4096" s="22"/>
      <c r="N4096" s="12"/>
      <c r="O4096" s="12"/>
      <c r="P4096" s="13">
        <f>IFERROR(__xludf.DUMMYFUNCTION("VALUE(SUBSTITUTE((INDEX(SPLIT(A4096,"",""),1)),""."","","",1))"),55.058652)</f>
        <v>55.058652</v>
      </c>
      <c r="Q4096" s="13">
        <f>IFERROR(__xludf.DUMMYFUNCTION("VALUE(SUBSTITUTE((INDEX(SPLIT(A4096,"",""),2)),""."","","",1))"),61.597093)</f>
        <v>61.597093</v>
      </c>
      <c r="R4096" s="14" t="b">
        <f t="shared" si="1"/>
        <v>0</v>
      </c>
      <c r="S4096" s="14" t="str">
        <f t="shared" si="2"/>
        <v>55.058652,61.597093</v>
      </c>
      <c r="T4096" s="12"/>
    </row>
    <row r="4097">
      <c r="A4097" s="7" t="s">
        <v>26363</v>
      </c>
      <c r="B4097" s="8" t="s">
        <v>26364</v>
      </c>
      <c r="C4097" s="8" t="s">
        <v>26365</v>
      </c>
      <c r="D4097" s="8" t="s">
        <v>16</v>
      </c>
      <c r="E4097" s="9" t="s">
        <v>26366</v>
      </c>
      <c r="F4097" s="10" t="s">
        <v>3883</v>
      </c>
      <c r="G4097" s="8">
        <v>23.61</v>
      </c>
      <c r="H4097" s="8"/>
      <c r="I4097" s="10"/>
      <c r="J4097" s="10" t="s">
        <v>26367</v>
      </c>
      <c r="K4097" s="10" t="s">
        <v>26368</v>
      </c>
      <c r="L4097" s="11" t="s">
        <v>26369</v>
      </c>
      <c r="M4097" s="10"/>
      <c r="N4097" s="12"/>
      <c r="O4097" s="12"/>
      <c r="P4097" s="13">
        <f>IFERROR(__xludf.DUMMYFUNCTION("VALUE(SUBSTITUTE((INDEX(SPLIT(A4097,"",""),1)),""."","","",1))"),55.101854)</f>
        <v>55.101854</v>
      </c>
      <c r="Q4097" s="13">
        <f>IFERROR(__xludf.DUMMYFUNCTION("VALUE(SUBSTITUTE((INDEX(SPLIT(A4097,"",""),2)),""."","","",1))"),61.605932)</f>
        <v>61.605932</v>
      </c>
      <c r="R4097" s="14" t="b">
        <f t="shared" si="1"/>
        <v>0</v>
      </c>
      <c r="S4097" s="14" t="str">
        <f t="shared" si="2"/>
        <v>55.101854,61.605932</v>
      </c>
      <c r="T4097" s="12"/>
    </row>
    <row r="4098">
      <c r="A4098" s="20" t="s">
        <v>26370</v>
      </c>
      <c r="B4098" s="16" t="s">
        <v>26371</v>
      </c>
      <c r="C4098" s="16" t="s">
        <v>26372</v>
      </c>
      <c r="D4098" s="16" t="s">
        <v>16</v>
      </c>
      <c r="E4098" s="21" t="s">
        <v>26373</v>
      </c>
      <c r="F4098" s="22" t="s">
        <v>3883</v>
      </c>
      <c r="G4098" s="16">
        <v>23.61</v>
      </c>
      <c r="H4098" s="16"/>
      <c r="I4098" s="22"/>
      <c r="J4098" s="22" t="s">
        <v>26374</v>
      </c>
      <c r="K4098" s="22" t="s">
        <v>26375</v>
      </c>
      <c r="L4098" s="23" t="s">
        <v>26376</v>
      </c>
      <c r="M4098" s="22"/>
      <c r="N4098" s="12"/>
      <c r="O4098" s="12"/>
      <c r="P4098" s="13">
        <f>IFERROR(__xludf.DUMMYFUNCTION("VALUE(SUBSTITUTE((INDEX(SPLIT(A4098,"",""),1)),""."","","",1))"),57.35322)</f>
        <v>57.35322</v>
      </c>
      <c r="Q4098" s="13">
        <f>IFERROR(__xludf.DUMMYFUNCTION("VALUE(SUBSTITUTE((INDEX(SPLIT(A4098,"",""),2)),""."","","",1))"),61.883035)</f>
        <v>61.883035</v>
      </c>
      <c r="R4098" s="14" t="b">
        <f t="shared" si="1"/>
        <v>0</v>
      </c>
      <c r="S4098" s="14" t="str">
        <f t="shared" si="2"/>
        <v>57.35322,61.883035</v>
      </c>
      <c r="T4098" s="12"/>
    </row>
    <row r="4099">
      <c r="A4099" s="7" t="s">
        <v>26377</v>
      </c>
      <c r="B4099" s="8" t="s">
        <v>26378</v>
      </c>
      <c r="C4099" s="8" t="s">
        <v>26379</v>
      </c>
      <c r="D4099" s="8" t="s">
        <v>16</v>
      </c>
      <c r="E4099" s="9" t="s">
        <v>26380</v>
      </c>
      <c r="F4099" s="10" t="s">
        <v>3883</v>
      </c>
      <c r="G4099" s="8">
        <v>23.61</v>
      </c>
      <c r="H4099" s="8"/>
      <c r="I4099" s="10"/>
      <c r="J4099" s="10" t="s">
        <v>26381</v>
      </c>
      <c r="K4099" s="10" t="s">
        <v>26382</v>
      </c>
      <c r="L4099" s="11" t="s">
        <v>26383</v>
      </c>
      <c r="M4099" s="10"/>
      <c r="N4099" s="12"/>
      <c r="O4099" s="12"/>
      <c r="P4099" s="13">
        <f>IFERROR(__xludf.DUMMYFUNCTION("VALUE(SUBSTITUTE((INDEX(SPLIT(A4099,"",""),1)),""."","","",1))"),56.426871)</f>
        <v>56.426871</v>
      </c>
      <c r="Q4099" s="13">
        <f>IFERROR(__xludf.DUMMYFUNCTION("VALUE(SUBSTITUTE((INDEX(SPLIT(A4099,"",""),2)),""."","","",1))"),61.893734)</f>
        <v>61.893734</v>
      </c>
      <c r="R4099" s="14" t="b">
        <f t="shared" si="1"/>
        <v>0</v>
      </c>
      <c r="S4099" s="14" t="str">
        <f t="shared" si="2"/>
        <v>56.426871,61.893734</v>
      </c>
      <c r="T4099" s="12"/>
    </row>
    <row r="4100">
      <c r="A4100" s="20" t="s">
        <v>26384</v>
      </c>
      <c r="B4100" s="16" t="s">
        <v>26385</v>
      </c>
      <c r="C4100" s="16" t="s">
        <v>26386</v>
      </c>
      <c r="D4100" s="16" t="s">
        <v>16</v>
      </c>
      <c r="E4100" s="21" t="s">
        <v>26387</v>
      </c>
      <c r="F4100" s="22" t="s">
        <v>3883</v>
      </c>
      <c r="G4100" s="16">
        <v>23.61</v>
      </c>
      <c r="H4100" s="16"/>
      <c r="I4100" s="22"/>
      <c r="J4100" s="22" t="s">
        <v>26388</v>
      </c>
      <c r="K4100" s="22" t="s">
        <v>26389</v>
      </c>
      <c r="L4100" s="23" t="s">
        <v>26390</v>
      </c>
      <c r="M4100" s="23" t="s">
        <v>26391</v>
      </c>
      <c r="N4100" s="12"/>
      <c r="O4100" s="12"/>
      <c r="P4100" s="13">
        <f>IFERROR(__xludf.DUMMYFUNCTION("VALUE(SUBSTITUTE((INDEX(SPLIT(A4100,"",""),1)),""."","","",1))"),57.335988)</f>
        <v>57.335988</v>
      </c>
      <c r="Q4100" s="13">
        <f>IFERROR(__xludf.DUMMYFUNCTION("VALUE(SUBSTITUTE((INDEX(SPLIT(A4100,"",""),2)),""."","","",1))"),61.901577)</f>
        <v>61.901577</v>
      </c>
      <c r="R4100" s="14" t="b">
        <f t="shared" si="1"/>
        <v>0</v>
      </c>
      <c r="S4100" s="14" t="str">
        <f t="shared" si="2"/>
        <v>57.335988,61.901577</v>
      </c>
      <c r="T4100" s="12"/>
    </row>
    <row r="4101">
      <c r="A4101" s="18" t="s">
        <v>26392</v>
      </c>
      <c r="B4101" s="8" t="s">
        <v>26393</v>
      </c>
      <c r="C4101" s="8" t="s">
        <v>26394</v>
      </c>
      <c r="D4101" s="8" t="s">
        <v>16</v>
      </c>
      <c r="E4101" s="19" t="s">
        <v>26395</v>
      </c>
      <c r="F4101" s="8" t="s">
        <v>18</v>
      </c>
      <c r="G4101" s="8">
        <v>23.61</v>
      </c>
      <c r="H4101" s="8"/>
      <c r="I4101" s="8"/>
      <c r="J4101" s="8" t="s">
        <v>26396</v>
      </c>
      <c r="K4101" s="8" t="s">
        <v>309</v>
      </c>
      <c r="L4101" s="8"/>
      <c r="M4101" s="8"/>
      <c r="N4101" s="12"/>
      <c r="O4101" s="12"/>
      <c r="P4101" s="13">
        <f>IFERROR(__xludf.DUMMYFUNCTION("VALUE(SUBSTITUTE((INDEX(SPLIT(A4101,"",""),1)),""."","","",1))"),57.299235)</f>
        <v>57.299235</v>
      </c>
      <c r="Q4101" s="13">
        <f>IFERROR(__xludf.DUMMYFUNCTION("VALUE(SUBSTITUTE((INDEX(SPLIT(A4101,"",""),2)),""."","","",1))"),61.915177)</f>
        <v>61.915177</v>
      </c>
      <c r="R4101" s="14" t="b">
        <f t="shared" si="1"/>
        <v>0</v>
      </c>
      <c r="S4101" s="14" t="str">
        <f t="shared" si="2"/>
        <v>57.299235,61.915177</v>
      </c>
      <c r="T4101" s="12"/>
    </row>
    <row r="4102">
      <c r="A4102" s="15" t="s">
        <v>26397</v>
      </c>
      <c r="B4102" s="16" t="s">
        <v>26398</v>
      </c>
      <c r="C4102" s="16" t="s">
        <v>26399</v>
      </c>
      <c r="D4102" s="16" t="s">
        <v>16</v>
      </c>
      <c r="E4102" s="17" t="s">
        <v>26400</v>
      </c>
      <c r="F4102" s="16" t="s">
        <v>19948</v>
      </c>
      <c r="G4102" s="16">
        <v>23.61</v>
      </c>
      <c r="H4102" s="16"/>
      <c r="I4102" s="16"/>
      <c r="J4102" s="16" t="s">
        <v>26401</v>
      </c>
      <c r="K4102" s="16" t="s">
        <v>26402</v>
      </c>
      <c r="L4102" s="16"/>
      <c r="M4102" s="16"/>
      <c r="N4102" s="12"/>
      <c r="O4102" s="12"/>
      <c r="P4102" s="13">
        <f>IFERROR(__xludf.DUMMYFUNCTION("VALUE(SUBSTITUTE((INDEX(SPLIT(A4102,"",""),1)),""."","","",1))"),56.385143)</f>
        <v>56.385143</v>
      </c>
      <c r="Q4102" s="13">
        <f>IFERROR(__xludf.DUMMYFUNCTION("VALUE(SUBSTITUTE((INDEX(SPLIT(A4102,"",""),2)),""."","","",1))"),61.91877)</f>
        <v>61.91877</v>
      </c>
      <c r="R4102" s="14" t="b">
        <f t="shared" si="1"/>
        <v>0</v>
      </c>
      <c r="S4102" s="14" t="str">
        <f t="shared" si="2"/>
        <v>56.385143,61.91877</v>
      </c>
      <c r="T4102" s="12"/>
    </row>
    <row r="4103">
      <c r="A4103" s="7" t="s">
        <v>26403</v>
      </c>
      <c r="B4103" s="8" t="s">
        <v>26404</v>
      </c>
      <c r="C4103" s="8" t="s">
        <v>26405</v>
      </c>
      <c r="D4103" s="8" t="s">
        <v>16</v>
      </c>
      <c r="E4103" s="9" t="s">
        <v>26406</v>
      </c>
      <c r="F4103" s="10" t="s">
        <v>19948</v>
      </c>
      <c r="G4103" s="8">
        <v>23.61</v>
      </c>
      <c r="H4103" s="8"/>
      <c r="I4103" s="10"/>
      <c r="J4103" s="10" t="s">
        <v>26407</v>
      </c>
      <c r="K4103" s="10" t="s">
        <v>26408</v>
      </c>
      <c r="L4103" s="29" t="s">
        <v>26409</v>
      </c>
      <c r="M4103" s="10"/>
      <c r="N4103" s="12"/>
      <c r="O4103" s="12"/>
      <c r="P4103" s="13">
        <f>IFERROR(__xludf.DUMMYFUNCTION("VALUE(SUBSTITUTE((INDEX(SPLIT(A4103,"",""),1)),""."","","",1))"),56.393085)</f>
        <v>56.393085</v>
      </c>
      <c r="Q4103" s="13">
        <f>IFERROR(__xludf.DUMMYFUNCTION("VALUE(SUBSTITUTE((INDEX(SPLIT(A4103,"",""),2)),""."","","",1))"),61.935228)</f>
        <v>61.935228</v>
      </c>
      <c r="R4103" s="14" t="b">
        <f t="shared" si="1"/>
        <v>0</v>
      </c>
      <c r="S4103" s="14" t="str">
        <f t="shared" si="2"/>
        <v>56.393085,61.935228</v>
      </c>
      <c r="T4103" s="12"/>
    </row>
    <row r="4104">
      <c r="A4104" s="15" t="s">
        <v>26410</v>
      </c>
      <c r="B4104" s="16" t="s">
        <v>26411</v>
      </c>
      <c r="C4104" s="16" t="s">
        <v>26412</v>
      </c>
      <c r="D4104" s="16" t="s">
        <v>16</v>
      </c>
      <c r="E4104" s="17" t="s">
        <v>26413</v>
      </c>
      <c r="F4104" s="16" t="s">
        <v>4881</v>
      </c>
      <c r="G4104" s="16">
        <v>23.61</v>
      </c>
      <c r="H4104" s="16"/>
      <c r="I4104" s="16"/>
      <c r="J4104" s="16" t="s">
        <v>26414</v>
      </c>
      <c r="K4104" s="16" t="s">
        <v>26415</v>
      </c>
      <c r="L4104" s="16"/>
      <c r="M4104" s="16"/>
      <c r="N4104" s="12"/>
      <c r="O4104" s="12"/>
      <c r="P4104" s="13">
        <f>IFERROR(__xludf.DUMMYFUNCTION("VALUE(SUBSTITUTE((INDEX(SPLIT(A4104,"",""),1)),""."","","",1))"),56.404603)</f>
        <v>56.404603</v>
      </c>
      <c r="Q4104" s="13">
        <f>IFERROR(__xludf.DUMMYFUNCTION("VALUE(SUBSTITUTE((INDEX(SPLIT(A4104,"",""),2)),""."","","",1))"),61.946349)</f>
        <v>61.946349</v>
      </c>
      <c r="R4104" s="14" t="b">
        <f t="shared" si="1"/>
        <v>0</v>
      </c>
      <c r="S4104" s="14" t="str">
        <f t="shared" si="2"/>
        <v>56.404603,61.946349</v>
      </c>
      <c r="T4104" s="12"/>
    </row>
    <row r="4105">
      <c r="A4105" s="7" t="s">
        <v>26416</v>
      </c>
      <c r="B4105" s="8" t="s">
        <v>3744</v>
      </c>
      <c r="C4105" s="8" t="s">
        <v>3745</v>
      </c>
      <c r="D4105" s="8" t="s">
        <v>16</v>
      </c>
      <c r="E4105" s="9" t="s">
        <v>26417</v>
      </c>
      <c r="F4105" s="10" t="s">
        <v>3760</v>
      </c>
      <c r="G4105" s="8">
        <v>23.61</v>
      </c>
      <c r="H4105" s="8"/>
      <c r="I4105" s="10"/>
      <c r="J4105" s="10" t="s">
        <v>26418</v>
      </c>
      <c r="K4105" s="10" t="s">
        <v>26419</v>
      </c>
      <c r="L4105" s="11" t="s">
        <v>26420</v>
      </c>
      <c r="M4105" s="10"/>
      <c r="N4105" s="12"/>
      <c r="O4105" s="12"/>
      <c r="P4105" s="13">
        <f>IFERROR(__xludf.DUMMYFUNCTION("VALUE(SUBSTITUTE((INDEX(SPLIT(A4105,"",""),1)),""."","","",1))"),56.252892)</f>
        <v>56.252892</v>
      </c>
      <c r="Q4105" s="13">
        <f>IFERROR(__xludf.DUMMYFUNCTION("VALUE(SUBSTITUTE((INDEX(SPLIT(A4105,"",""),2)),""."","","",1))"),62.968137)</f>
        <v>62.968137</v>
      </c>
      <c r="R4105" s="14" t="b">
        <f t="shared" si="1"/>
        <v>0</v>
      </c>
      <c r="S4105" s="14" t="str">
        <f t="shared" si="2"/>
        <v>56.252892,62.968137</v>
      </c>
      <c r="T4105" s="12"/>
    </row>
    <row r="4106">
      <c r="A4106" s="15" t="s">
        <v>26421</v>
      </c>
      <c r="B4106" s="16" t="s">
        <v>26422</v>
      </c>
      <c r="C4106" s="16" t="s">
        <v>26423</v>
      </c>
      <c r="D4106" s="16" t="s">
        <v>16</v>
      </c>
      <c r="E4106" s="17" t="s">
        <v>26424</v>
      </c>
      <c r="F4106" s="16" t="s">
        <v>19948</v>
      </c>
      <c r="G4106" s="16">
        <v>23.61</v>
      </c>
      <c r="H4106" s="16"/>
      <c r="I4106" s="16"/>
      <c r="J4106" s="16" t="s">
        <v>26425</v>
      </c>
      <c r="K4106" s="16" t="s">
        <v>26426</v>
      </c>
      <c r="L4106" s="16"/>
      <c r="M4106" s="16"/>
      <c r="N4106" s="12"/>
      <c r="O4106" s="12"/>
      <c r="P4106" s="13">
        <f>IFERROR(__xludf.DUMMYFUNCTION("VALUE(SUBSTITUTE((INDEX(SPLIT(A4106,"",""),1)),""."","","",1))"),57.668741)</f>
        <v>57.668741</v>
      </c>
      <c r="Q4106" s="13">
        <f>IFERROR(__xludf.DUMMYFUNCTION("VALUE(SUBSTITUTE((INDEX(SPLIT(A4106,"",""),2)),""."","","",1))"),63.092096)</f>
        <v>63.092096</v>
      </c>
      <c r="R4106" s="14" t="b">
        <f t="shared" si="1"/>
        <v>0</v>
      </c>
      <c r="S4106" s="14" t="str">
        <f t="shared" si="2"/>
        <v>57.668741,63.092096</v>
      </c>
      <c r="T4106" s="12"/>
    </row>
    <row r="4107">
      <c r="A4107" s="7" t="s">
        <v>26427</v>
      </c>
      <c r="B4107" s="8" t="s">
        <v>26428</v>
      </c>
      <c r="C4107" s="8" t="s">
        <v>26429</v>
      </c>
      <c r="D4107" s="8" t="s">
        <v>16</v>
      </c>
      <c r="E4107" s="9" t="s">
        <v>26430</v>
      </c>
      <c r="F4107" s="10" t="s">
        <v>3883</v>
      </c>
      <c r="G4107" s="8">
        <v>23.61</v>
      </c>
      <c r="H4107" s="8"/>
      <c r="I4107" s="10"/>
      <c r="J4107" s="10" t="s">
        <v>26431</v>
      </c>
      <c r="K4107" s="10" t="s">
        <v>26432</v>
      </c>
      <c r="L4107" s="11" t="s">
        <v>26433</v>
      </c>
      <c r="M4107" s="10"/>
      <c r="N4107" s="12"/>
      <c r="O4107" s="12"/>
      <c r="P4107" s="13">
        <f>IFERROR(__xludf.DUMMYFUNCTION("VALUE(SUBSTITUTE((INDEX(SPLIT(A4107,"",""),1)),""."","","",1))"),56.196071)</f>
        <v>56.196071</v>
      </c>
      <c r="Q4107" s="13">
        <f>IFERROR(__xludf.DUMMYFUNCTION("VALUE(SUBSTITUTE((INDEX(SPLIT(A4107,"",""),2)),""."","","",1))"),63.470943)</f>
        <v>63.470943</v>
      </c>
      <c r="R4107" s="14" t="b">
        <f t="shared" si="1"/>
        <v>0</v>
      </c>
      <c r="S4107" s="14" t="str">
        <f t="shared" si="2"/>
        <v>56.196071,63.470943</v>
      </c>
      <c r="T4107" s="12"/>
    </row>
    <row r="4108">
      <c r="A4108" s="15" t="s">
        <v>26434</v>
      </c>
      <c r="B4108" s="16" t="s">
        <v>26435</v>
      </c>
      <c r="C4108" s="16" t="s">
        <v>26436</v>
      </c>
      <c r="D4108" s="16" t="s">
        <v>16</v>
      </c>
      <c r="E4108" s="17" t="s">
        <v>26437</v>
      </c>
      <c r="F4108" s="16" t="s">
        <v>23544</v>
      </c>
      <c r="G4108" s="16">
        <v>23.61</v>
      </c>
      <c r="H4108" s="16"/>
      <c r="I4108" s="16"/>
      <c r="J4108" s="16" t="s">
        <v>26438</v>
      </c>
      <c r="K4108" s="16" t="s">
        <v>26439</v>
      </c>
      <c r="L4108" s="16"/>
      <c r="M4108" s="16"/>
      <c r="N4108" s="12"/>
      <c r="O4108" s="12"/>
      <c r="P4108" s="13">
        <f>IFERROR(__xludf.DUMMYFUNCTION("VALUE(SUBSTITUTE((INDEX(SPLIT(A4108,"",""),1)),""."","","",1))"),61.366787)</f>
        <v>61.366787</v>
      </c>
      <c r="Q4108" s="13">
        <f>IFERROR(__xludf.DUMMYFUNCTION("VALUE(SUBSTITUTE((INDEX(SPLIT(A4108,"",""),2)),""."","","",1))"),63.49906)</f>
        <v>63.49906</v>
      </c>
      <c r="R4108" s="14" t="b">
        <f t="shared" si="1"/>
        <v>0</v>
      </c>
      <c r="S4108" s="14" t="str">
        <f t="shared" si="2"/>
        <v>61.366787,63.49906</v>
      </c>
      <c r="T4108" s="12"/>
    </row>
    <row r="4109">
      <c r="A4109" s="7" t="s">
        <v>26440</v>
      </c>
      <c r="B4109" s="8" t="s">
        <v>26441</v>
      </c>
      <c r="C4109" s="8" t="s">
        <v>26442</v>
      </c>
      <c r="D4109" s="8" t="s">
        <v>16</v>
      </c>
      <c r="E4109" s="9" t="s">
        <v>26443</v>
      </c>
      <c r="F4109" s="10" t="s">
        <v>3883</v>
      </c>
      <c r="G4109" s="8">
        <v>23.61</v>
      </c>
      <c r="H4109" s="8"/>
      <c r="I4109" s="10"/>
      <c r="J4109" s="10" t="s">
        <v>26444</v>
      </c>
      <c r="K4109" s="10" t="s">
        <v>26445</v>
      </c>
      <c r="L4109" s="11" t="s">
        <v>26446</v>
      </c>
      <c r="M4109" s="10"/>
      <c r="N4109" s="12"/>
      <c r="O4109" s="12"/>
      <c r="P4109" s="13">
        <f>IFERROR(__xludf.DUMMYFUNCTION("VALUE(SUBSTITUTE((INDEX(SPLIT(A4109,"",""),1)),""."","","",1))"),61.365748)</f>
        <v>61.365748</v>
      </c>
      <c r="Q4109" s="13">
        <f>IFERROR(__xludf.DUMMYFUNCTION("VALUE(SUBSTITUTE((INDEX(SPLIT(A4109,"",""),2)),""."","","",1))"),63.501117)</f>
        <v>63.501117</v>
      </c>
      <c r="R4109" s="14" t="b">
        <f t="shared" si="1"/>
        <v>0</v>
      </c>
      <c r="S4109" s="14" t="str">
        <f t="shared" si="2"/>
        <v>61.365748,63.501117</v>
      </c>
      <c r="T4109" s="12"/>
    </row>
    <row r="4110">
      <c r="A4110" s="20" t="s">
        <v>26447</v>
      </c>
      <c r="B4110" s="16" t="s">
        <v>26448</v>
      </c>
      <c r="C4110" s="16" t="s">
        <v>26449</v>
      </c>
      <c r="D4110" s="16" t="s">
        <v>16</v>
      </c>
      <c r="E4110" s="21" t="s">
        <v>26450</v>
      </c>
      <c r="F4110" s="22" t="s">
        <v>10183</v>
      </c>
      <c r="G4110" s="16">
        <v>23.61</v>
      </c>
      <c r="H4110" s="16"/>
      <c r="I4110" s="22"/>
      <c r="J4110" s="22" t="s">
        <v>26451</v>
      </c>
      <c r="K4110" s="22" t="s">
        <v>26452</v>
      </c>
      <c r="L4110" s="23" t="s">
        <v>26453</v>
      </c>
      <c r="M4110" s="22"/>
      <c r="N4110" s="12"/>
      <c r="O4110" s="12"/>
      <c r="P4110" s="13">
        <f>IFERROR(__xludf.DUMMYFUNCTION("VALUE(SUBSTITUTE((INDEX(SPLIT(A4110,"",""),1)),""."","","",1))"),61.370766)</f>
        <v>61.370766</v>
      </c>
      <c r="Q4110" s="13">
        <f>IFERROR(__xludf.DUMMYFUNCTION("VALUE(SUBSTITUTE((INDEX(SPLIT(A4110,"",""),2)),""."","","",1))"),63.566802)</f>
        <v>63.566802</v>
      </c>
      <c r="R4110" s="14" t="b">
        <f t="shared" si="1"/>
        <v>0</v>
      </c>
      <c r="S4110" s="14" t="str">
        <f t="shared" si="2"/>
        <v>61.370766,63.566802</v>
      </c>
      <c r="T4110" s="12"/>
    </row>
    <row r="4111">
      <c r="A4111" s="7" t="s">
        <v>26454</v>
      </c>
      <c r="B4111" s="8" t="s">
        <v>26455</v>
      </c>
      <c r="C4111" s="8" t="s">
        <v>26456</v>
      </c>
      <c r="D4111" s="8" t="s">
        <v>16</v>
      </c>
      <c r="E4111" s="9" t="s">
        <v>26457</v>
      </c>
      <c r="F4111" s="10" t="s">
        <v>4881</v>
      </c>
      <c r="G4111" s="8">
        <v>23.61</v>
      </c>
      <c r="H4111" s="8"/>
      <c r="I4111" s="10"/>
      <c r="J4111" s="10" t="s">
        <v>26458</v>
      </c>
      <c r="K4111" s="10" t="s">
        <v>26459</v>
      </c>
      <c r="L4111" s="29" t="s">
        <v>26460</v>
      </c>
      <c r="M4111" s="10"/>
      <c r="N4111" s="12"/>
      <c r="O4111" s="12"/>
      <c r="P4111" s="13">
        <f>IFERROR(__xludf.DUMMYFUNCTION("VALUE(SUBSTITUTE((INDEX(SPLIT(A4111,"",""),1)),""."","","",1))"),56.133633)</f>
        <v>56.133633</v>
      </c>
      <c r="Q4111" s="13">
        <f>IFERROR(__xludf.DUMMYFUNCTION("VALUE(SUBSTITUTE((INDEX(SPLIT(A4111,"",""),2)),""."","","",1))"),63.675219)</f>
        <v>63.675219</v>
      </c>
      <c r="R4111" s="14" t="b">
        <f t="shared" si="1"/>
        <v>0</v>
      </c>
      <c r="S4111" s="14" t="str">
        <f t="shared" si="2"/>
        <v>56.133633,63.675219</v>
      </c>
      <c r="T4111" s="12"/>
    </row>
    <row r="4112">
      <c r="A4112" s="20" t="s">
        <v>26461</v>
      </c>
      <c r="B4112" s="16" t="s">
        <v>26462</v>
      </c>
      <c r="C4112" s="16" t="s">
        <v>26463</v>
      </c>
      <c r="D4112" s="16" t="s">
        <v>16</v>
      </c>
      <c r="E4112" s="21" t="s">
        <v>26464</v>
      </c>
      <c r="F4112" s="22" t="s">
        <v>3883</v>
      </c>
      <c r="G4112" s="16">
        <v>23.61</v>
      </c>
      <c r="H4112" s="16"/>
      <c r="I4112" s="22"/>
      <c r="J4112" s="22" t="s">
        <v>26465</v>
      </c>
      <c r="K4112" s="22" t="s">
        <v>26126</v>
      </c>
      <c r="L4112" s="23" t="s">
        <v>26466</v>
      </c>
      <c r="M4112" s="23" t="s">
        <v>26467</v>
      </c>
      <c r="N4112" s="12"/>
      <c r="O4112" s="12"/>
      <c r="P4112" s="13">
        <f>IFERROR(__xludf.DUMMYFUNCTION("VALUE(SUBSTITUTE((INDEX(SPLIT(A4112,"",""),1)),""."","","",1))"),67.501856)</f>
        <v>67.501856</v>
      </c>
      <c r="Q4112" s="13">
        <f>IFERROR(__xludf.DUMMYFUNCTION("VALUE(SUBSTITUTE((INDEX(SPLIT(A4112,"",""),2)),""."","","",1))"),64.061845)</f>
        <v>64.061845</v>
      </c>
      <c r="R4112" s="14" t="b">
        <f t="shared" si="1"/>
        <v>0</v>
      </c>
      <c r="S4112" s="14" t="str">
        <f t="shared" si="2"/>
        <v>67.501856,64.061845</v>
      </c>
      <c r="T4112" s="12"/>
    </row>
    <row r="4113">
      <c r="A4113" s="7" t="s">
        <v>26461</v>
      </c>
      <c r="B4113" s="8" t="s">
        <v>26468</v>
      </c>
      <c r="C4113" s="8" t="s">
        <v>26469</v>
      </c>
      <c r="D4113" s="8" t="s">
        <v>16</v>
      </c>
      <c r="E4113" s="9" t="s">
        <v>26470</v>
      </c>
      <c r="F4113" s="10" t="s">
        <v>19948</v>
      </c>
      <c r="G4113" s="8">
        <v>23.61</v>
      </c>
      <c r="H4113" s="8"/>
      <c r="I4113" s="10"/>
      <c r="J4113" s="10" t="s">
        <v>26471</v>
      </c>
      <c r="K4113" s="10" t="s">
        <v>26472</v>
      </c>
      <c r="L4113" s="11" t="s">
        <v>26473</v>
      </c>
      <c r="M4113" s="10"/>
      <c r="N4113" s="12"/>
      <c r="O4113" s="12"/>
      <c r="P4113" s="13">
        <f>IFERROR(__xludf.DUMMYFUNCTION("VALUE(SUBSTITUTE((INDEX(SPLIT(A4113,"",""),1)),""."","","",1))"),67.501856)</f>
        <v>67.501856</v>
      </c>
      <c r="Q4113" s="13">
        <f>IFERROR(__xludf.DUMMYFUNCTION("VALUE(SUBSTITUTE((INDEX(SPLIT(A4113,"",""),2)),""."","","",1))"),64.061845)</f>
        <v>64.061845</v>
      </c>
      <c r="R4113" s="14" t="b">
        <f t="shared" si="1"/>
        <v>0</v>
      </c>
      <c r="S4113" s="14" t="str">
        <f t="shared" si="2"/>
        <v>67.501856,64.061845</v>
      </c>
      <c r="T4113" s="12"/>
    </row>
    <row r="4114">
      <c r="A4114" s="20" t="s">
        <v>26474</v>
      </c>
      <c r="B4114" s="16" t="s">
        <v>26475</v>
      </c>
      <c r="C4114" s="16" t="s">
        <v>26476</v>
      </c>
      <c r="D4114" s="16" t="s">
        <v>16</v>
      </c>
      <c r="E4114" s="21" t="s">
        <v>26477</v>
      </c>
      <c r="F4114" s="22" t="s">
        <v>3883</v>
      </c>
      <c r="G4114" s="16">
        <v>23.61</v>
      </c>
      <c r="H4114" s="16"/>
      <c r="I4114" s="22"/>
      <c r="J4114" s="22" t="s">
        <v>26478</v>
      </c>
      <c r="K4114" s="22" t="s">
        <v>26479</v>
      </c>
      <c r="L4114" s="23" t="s">
        <v>26480</v>
      </c>
      <c r="M4114" s="22"/>
      <c r="N4114" s="12"/>
      <c r="O4114" s="12"/>
      <c r="P4114" s="13">
        <f>IFERROR(__xludf.DUMMYFUNCTION("VALUE(SUBSTITUTE((INDEX(SPLIT(A4114,"",""),1)),""."","","",1))"),57.262517)</f>
        <v>57.262517</v>
      </c>
      <c r="Q4114" s="13">
        <f>IFERROR(__xludf.DUMMYFUNCTION("VALUE(SUBSTITUTE((INDEX(SPLIT(A4114,"",""),2)),""."","","",1))"),65.121229)</f>
        <v>65.121229</v>
      </c>
      <c r="R4114" s="14" t="b">
        <f t="shared" si="1"/>
        <v>0</v>
      </c>
      <c r="S4114" s="14" t="str">
        <f t="shared" si="2"/>
        <v>57.262517,65.121229</v>
      </c>
      <c r="T4114" s="12"/>
    </row>
    <row r="4115">
      <c r="A4115" s="7" t="s">
        <v>26481</v>
      </c>
      <c r="B4115" s="8" t="s">
        <v>26482</v>
      </c>
      <c r="C4115" s="8" t="s">
        <v>26483</v>
      </c>
      <c r="D4115" s="8" t="s">
        <v>16</v>
      </c>
      <c r="E4115" s="9" t="s">
        <v>26484</v>
      </c>
      <c r="F4115" s="10" t="s">
        <v>3883</v>
      </c>
      <c r="G4115" s="8">
        <v>23.61</v>
      </c>
      <c r="H4115" s="8"/>
      <c r="I4115" s="10"/>
      <c r="J4115" s="10" t="s">
        <v>26485</v>
      </c>
      <c r="K4115" s="10" t="s">
        <v>26486</v>
      </c>
      <c r="L4115" s="11" t="s">
        <v>26487</v>
      </c>
      <c r="M4115" s="11" t="s">
        <v>26488</v>
      </c>
      <c r="N4115" s="12"/>
      <c r="O4115" s="12"/>
      <c r="P4115" s="13">
        <f>IFERROR(__xludf.DUMMYFUNCTION("VALUE(SUBSTITUTE((INDEX(SPLIT(A4115,"",""),1)),""."","","",1))"),58.079875)</f>
        <v>58.079875</v>
      </c>
      <c r="Q4115" s="13">
        <f>IFERROR(__xludf.DUMMYFUNCTION("VALUE(SUBSTITUTE((INDEX(SPLIT(A4115,"",""),2)),""."","","",1))"),65.234506)</f>
        <v>65.234506</v>
      </c>
      <c r="R4115" s="14" t="b">
        <f t="shared" si="1"/>
        <v>0</v>
      </c>
      <c r="S4115" s="14" t="str">
        <f t="shared" si="2"/>
        <v>58.079875,65.234506</v>
      </c>
      <c r="T4115" s="12"/>
    </row>
    <row r="4116">
      <c r="A4116" s="20" t="s">
        <v>26489</v>
      </c>
      <c r="B4116" s="16" t="s">
        <v>26490</v>
      </c>
      <c r="C4116" s="16" t="s">
        <v>26491</v>
      </c>
      <c r="D4116" s="16" t="s">
        <v>16</v>
      </c>
      <c r="E4116" s="21" t="s">
        <v>26492</v>
      </c>
      <c r="F4116" s="22" t="s">
        <v>3883</v>
      </c>
      <c r="G4116" s="16">
        <v>23.61</v>
      </c>
      <c r="H4116" s="16"/>
      <c r="I4116" s="22"/>
      <c r="J4116" s="22" t="s">
        <v>26493</v>
      </c>
      <c r="K4116" s="22" t="s">
        <v>26494</v>
      </c>
      <c r="L4116" s="23" t="s">
        <v>26495</v>
      </c>
      <c r="M4116" s="23" t="s">
        <v>26496</v>
      </c>
      <c r="N4116" s="12"/>
      <c r="O4116" s="12"/>
      <c r="P4116" s="13">
        <f>IFERROR(__xludf.DUMMYFUNCTION("VALUE(SUBSTITUTE((INDEX(SPLIT(A4116,"",""),1)),""."","","",1))"),57.143786)</f>
        <v>57.143786</v>
      </c>
      <c r="Q4116" s="13">
        <f>IFERROR(__xludf.DUMMYFUNCTION("VALUE(SUBSTITUTE((INDEX(SPLIT(A4116,"",""),2)),""."","","",1))"),65.265112)</f>
        <v>65.265112</v>
      </c>
      <c r="R4116" s="14" t="b">
        <f t="shared" si="1"/>
        <v>0</v>
      </c>
      <c r="S4116" s="14" t="str">
        <f t="shared" si="2"/>
        <v>57.143786,65.265112</v>
      </c>
      <c r="T4116" s="12"/>
    </row>
    <row r="4117">
      <c r="A4117" s="7" t="s">
        <v>26497</v>
      </c>
      <c r="B4117" s="8" t="s">
        <v>7514</v>
      </c>
      <c r="C4117" s="8" t="s">
        <v>7515</v>
      </c>
      <c r="D4117" s="8" t="s">
        <v>16</v>
      </c>
      <c r="E4117" s="9" t="s">
        <v>26498</v>
      </c>
      <c r="F4117" s="10" t="s">
        <v>3760</v>
      </c>
      <c r="G4117" s="8">
        <v>23.61</v>
      </c>
      <c r="H4117" s="8"/>
      <c r="I4117" s="10"/>
      <c r="J4117" s="10" t="s">
        <v>26499</v>
      </c>
      <c r="K4117" s="10" t="s">
        <v>26500</v>
      </c>
      <c r="L4117" s="11" t="s">
        <v>26501</v>
      </c>
      <c r="M4117" s="11" t="s">
        <v>26502</v>
      </c>
      <c r="N4117" s="12"/>
      <c r="O4117" s="12"/>
      <c r="P4117" s="13">
        <f>IFERROR(__xludf.DUMMYFUNCTION("VALUE(SUBSTITUTE((INDEX(SPLIT(A4117,"",""),1)),""."","","",1))"),55.425088)</f>
        <v>55.425088</v>
      </c>
      <c r="Q4117" s="13">
        <f>IFERROR(__xludf.DUMMYFUNCTION("VALUE(SUBSTITUTE((INDEX(SPLIT(A4117,"",""),2)),""."","","",1))"),65.283006)</f>
        <v>65.283006</v>
      </c>
      <c r="R4117" s="14" t="b">
        <f t="shared" si="1"/>
        <v>0</v>
      </c>
      <c r="S4117" s="14" t="str">
        <f t="shared" si="2"/>
        <v>55.425088,65.283006</v>
      </c>
      <c r="T4117" s="12"/>
    </row>
    <row r="4118">
      <c r="A4118" s="20" t="s">
        <v>26503</v>
      </c>
      <c r="B4118" s="16" t="s">
        <v>26504</v>
      </c>
      <c r="C4118" s="16" t="s">
        <v>26505</v>
      </c>
      <c r="D4118" s="16" t="s">
        <v>16</v>
      </c>
      <c r="E4118" s="21" t="s">
        <v>26506</v>
      </c>
      <c r="F4118" s="22" t="s">
        <v>3883</v>
      </c>
      <c r="G4118" s="16">
        <v>23.61</v>
      </c>
      <c r="H4118" s="16"/>
      <c r="I4118" s="22"/>
      <c r="J4118" s="22" t="s">
        <v>26507</v>
      </c>
      <c r="K4118" s="22" t="s">
        <v>26508</v>
      </c>
      <c r="L4118" s="23" t="s">
        <v>26509</v>
      </c>
      <c r="M4118" s="23" t="s">
        <v>26510</v>
      </c>
      <c r="N4118" s="12"/>
      <c r="O4118" s="12"/>
      <c r="P4118" s="13">
        <f>IFERROR(__xludf.DUMMYFUNCTION("VALUE(SUBSTITUTE((INDEX(SPLIT(A4118,"",""),1)),""."","","",1))"),55.448673)</f>
        <v>55.448673</v>
      </c>
      <c r="Q4118" s="13">
        <f>IFERROR(__xludf.DUMMYFUNCTION("VALUE(SUBSTITUTE((INDEX(SPLIT(A4118,"",""),2)),""."","","",1))"),65.319639)</f>
        <v>65.319639</v>
      </c>
      <c r="R4118" s="14" t="b">
        <f t="shared" si="1"/>
        <v>0</v>
      </c>
      <c r="S4118" s="14" t="str">
        <f t="shared" si="2"/>
        <v>55.448673,65.319639</v>
      </c>
      <c r="T4118" s="12"/>
    </row>
    <row r="4119">
      <c r="A4119" s="7" t="s">
        <v>26511</v>
      </c>
      <c r="B4119" s="8" t="s">
        <v>26512</v>
      </c>
      <c r="C4119" s="8" t="s">
        <v>26513</v>
      </c>
      <c r="D4119" s="8" t="s">
        <v>16</v>
      </c>
      <c r="E4119" s="9" t="s">
        <v>26514</v>
      </c>
      <c r="F4119" s="10" t="s">
        <v>10183</v>
      </c>
      <c r="G4119" s="8">
        <v>23.61</v>
      </c>
      <c r="H4119" s="8"/>
      <c r="I4119" s="10"/>
      <c r="J4119" s="10" t="s">
        <v>26515</v>
      </c>
      <c r="K4119" s="10" t="s">
        <v>26516</v>
      </c>
      <c r="L4119" s="11" t="s">
        <v>26517</v>
      </c>
      <c r="M4119" s="10"/>
      <c r="N4119" s="12"/>
      <c r="O4119" s="12"/>
      <c r="P4119" s="13">
        <f>IFERROR(__xludf.DUMMYFUNCTION("VALUE(SUBSTITUTE((INDEX(SPLIT(A4119,"",""),1)),""."","","",1))"),55.493079)</f>
        <v>55.493079</v>
      </c>
      <c r="Q4119" s="13">
        <f>IFERROR(__xludf.DUMMYFUNCTION("VALUE(SUBSTITUTE((INDEX(SPLIT(A4119,"",""),2)),""."","","",1))"),65.322496)</f>
        <v>65.322496</v>
      </c>
      <c r="R4119" s="14" t="b">
        <f t="shared" si="1"/>
        <v>0</v>
      </c>
      <c r="S4119" s="14" t="str">
        <f t="shared" si="2"/>
        <v>55.493079,65.322496</v>
      </c>
      <c r="T4119" s="12"/>
    </row>
    <row r="4120">
      <c r="A4120" s="15" t="s">
        <v>26518</v>
      </c>
      <c r="B4120" s="16" t="s">
        <v>26519</v>
      </c>
      <c r="C4120" s="16" t="s">
        <v>26520</v>
      </c>
      <c r="D4120" s="16" t="s">
        <v>16</v>
      </c>
      <c r="E4120" s="17" t="s">
        <v>26521</v>
      </c>
      <c r="F4120" s="16" t="s">
        <v>10183</v>
      </c>
      <c r="G4120" s="16">
        <v>23.61</v>
      </c>
      <c r="H4120" s="16"/>
      <c r="I4120" s="16"/>
      <c r="J4120" s="16" t="s">
        <v>26522</v>
      </c>
      <c r="K4120" s="16" t="s">
        <v>26523</v>
      </c>
      <c r="L4120" s="16"/>
      <c r="M4120" s="16"/>
      <c r="N4120" s="12"/>
      <c r="O4120" s="12"/>
      <c r="P4120" s="13">
        <f>IFERROR(__xludf.DUMMYFUNCTION("VALUE(SUBSTITUTE((INDEX(SPLIT(A4120,"",""),1)),""."","","",1))"),55.472801)</f>
        <v>55.472801</v>
      </c>
      <c r="Q4120" s="13">
        <f>IFERROR(__xludf.DUMMYFUNCTION("VALUE(SUBSTITUTE((INDEX(SPLIT(A4120,"",""),2)),""."","","",1))"),65.328676)</f>
        <v>65.328676</v>
      </c>
      <c r="R4120" s="14" t="b">
        <f t="shared" si="1"/>
        <v>0</v>
      </c>
      <c r="S4120" s="14" t="str">
        <f t="shared" si="2"/>
        <v>55.472801,65.328676</v>
      </c>
      <c r="T4120" s="12"/>
    </row>
    <row r="4121">
      <c r="A4121" s="18" t="s">
        <v>26524</v>
      </c>
      <c r="B4121" s="8" t="s">
        <v>26525</v>
      </c>
      <c r="C4121" s="8" t="s">
        <v>26526</v>
      </c>
      <c r="D4121" s="8" t="s">
        <v>16</v>
      </c>
      <c r="E4121" s="19" t="s">
        <v>26527</v>
      </c>
      <c r="F4121" s="8" t="s">
        <v>4881</v>
      </c>
      <c r="G4121" s="8">
        <v>23.61</v>
      </c>
      <c r="H4121" s="8"/>
      <c r="I4121" s="8"/>
      <c r="J4121" s="8" t="s">
        <v>26528</v>
      </c>
      <c r="K4121" s="8" t="s">
        <v>26529</v>
      </c>
      <c r="L4121" s="8"/>
      <c r="M4121" s="8"/>
      <c r="N4121" s="12"/>
      <c r="O4121" s="12"/>
      <c r="P4121" s="13">
        <f>IFERROR(__xludf.DUMMYFUNCTION("VALUE(SUBSTITUTE((INDEX(SPLIT(A4121,"",""),1)),""."","","",1))"),55.498143)</f>
        <v>55.498143</v>
      </c>
      <c r="Q4121" s="13">
        <f>IFERROR(__xludf.DUMMYFUNCTION("VALUE(SUBSTITUTE((INDEX(SPLIT(A4121,"",""),2)),""."","","",1))"),65.336959)</f>
        <v>65.336959</v>
      </c>
      <c r="R4121" s="14" t="b">
        <f t="shared" si="1"/>
        <v>0</v>
      </c>
      <c r="S4121" s="14" t="str">
        <f t="shared" si="2"/>
        <v>55.498143,65.336959</v>
      </c>
      <c r="T4121" s="12"/>
    </row>
    <row r="4122">
      <c r="A4122" s="15" t="s">
        <v>26530</v>
      </c>
      <c r="B4122" s="16" t="s">
        <v>26531</v>
      </c>
      <c r="C4122" s="16" t="s">
        <v>26532</v>
      </c>
      <c r="D4122" s="16" t="s">
        <v>16</v>
      </c>
      <c r="E4122" s="17" t="s">
        <v>26533</v>
      </c>
      <c r="F4122" s="16" t="s">
        <v>10183</v>
      </c>
      <c r="G4122" s="16">
        <v>23.61</v>
      </c>
      <c r="H4122" s="16"/>
      <c r="I4122" s="16"/>
      <c r="J4122" s="16" t="s">
        <v>26534</v>
      </c>
      <c r="K4122" s="16" t="s">
        <v>26535</v>
      </c>
      <c r="L4122" s="16"/>
      <c r="M4122" s="16"/>
      <c r="N4122" s="12"/>
      <c r="O4122" s="12"/>
      <c r="P4122" s="13">
        <f>IFERROR(__xludf.DUMMYFUNCTION("VALUE(SUBSTITUTE((INDEX(SPLIT(A4122,"",""),1)),""."","","",1))"),55.436586)</f>
        <v>55.436586</v>
      </c>
      <c r="Q4122" s="13">
        <f>IFERROR(__xludf.DUMMYFUNCTION("VALUE(SUBSTITUTE((INDEX(SPLIT(A4122,"",""),2)),""."","","",1))"),65.337336)</f>
        <v>65.337336</v>
      </c>
      <c r="R4122" s="14" t="b">
        <f t="shared" si="1"/>
        <v>0</v>
      </c>
      <c r="S4122" s="14" t="str">
        <f t="shared" si="2"/>
        <v>55.436586,65.337336</v>
      </c>
      <c r="T4122" s="12"/>
    </row>
    <row r="4123">
      <c r="A4123" s="18" t="s">
        <v>26536</v>
      </c>
      <c r="B4123" s="8" t="s">
        <v>26537</v>
      </c>
      <c r="C4123" s="8" t="s">
        <v>26538</v>
      </c>
      <c r="D4123" s="8" t="s">
        <v>16</v>
      </c>
      <c r="E4123" s="19" t="s">
        <v>26539</v>
      </c>
      <c r="F4123" s="8" t="s">
        <v>10183</v>
      </c>
      <c r="G4123" s="8">
        <v>23.61</v>
      </c>
      <c r="H4123" s="8"/>
      <c r="I4123" s="8"/>
      <c r="J4123" s="8" t="s">
        <v>26540</v>
      </c>
      <c r="K4123" s="8" t="s">
        <v>26541</v>
      </c>
      <c r="L4123" s="8"/>
      <c r="M4123" s="8"/>
      <c r="N4123" s="12"/>
      <c r="O4123" s="12"/>
      <c r="P4123" s="13">
        <f>IFERROR(__xludf.DUMMYFUNCTION("VALUE(SUBSTITUTE((INDEX(SPLIT(A4123,"",""),1)),""."","","",1))"),55.441668)</f>
        <v>55.441668</v>
      </c>
      <c r="Q4123" s="13">
        <f>IFERROR(__xludf.DUMMYFUNCTION("VALUE(SUBSTITUTE((INDEX(SPLIT(A4123,"",""),2)),""."","","",1))"),65.345053)</f>
        <v>65.345053</v>
      </c>
      <c r="R4123" s="14" t="b">
        <f t="shared" si="1"/>
        <v>0</v>
      </c>
      <c r="S4123" s="14" t="str">
        <f t="shared" si="2"/>
        <v>55.441668,65.345053</v>
      </c>
      <c r="T4123" s="12"/>
    </row>
    <row r="4124">
      <c r="A4124" s="20" t="s">
        <v>26542</v>
      </c>
      <c r="B4124" s="16" t="s">
        <v>89</v>
      </c>
      <c r="C4124" s="16" t="s">
        <v>90</v>
      </c>
      <c r="D4124" s="16" t="s">
        <v>16</v>
      </c>
      <c r="E4124" s="21" t="s">
        <v>26543</v>
      </c>
      <c r="F4124" s="22" t="s">
        <v>10183</v>
      </c>
      <c r="G4124" s="16">
        <v>23.61</v>
      </c>
      <c r="H4124" s="16"/>
      <c r="I4124" s="22"/>
      <c r="J4124" s="22" t="s">
        <v>26544</v>
      </c>
      <c r="K4124" s="22" t="s">
        <v>26545</v>
      </c>
      <c r="L4124" s="23" t="s">
        <v>26546</v>
      </c>
      <c r="M4124" s="22"/>
      <c r="N4124" s="12"/>
      <c r="O4124" s="12"/>
      <c r="P4124" s="13">
        <f>IFERROR(__xludf.DUMMYFUNCTION("VALUE(SUBSTITUTE((INDEX(SPLIT(A4124,"",""),1)),""."","","",1))"),55.473847)</f>
        <v>55.473847</v>
      </c>
      <c r="Q4124" s="13">
        <f>IFERROR(__xludf.DUMMYFUNCTION("VALUE(SUBSTITUTE((INDEX(SPLIT(A4124,"",""),2)),""."","","",1))"),65.347397)</f>
        <v>65.347397</v>
      </c>
      <c r="R4124" s="14" t="b">
        <f t="shared" si="1"/>
        <v>0</v>
      </c>
      <c r="S4124" s="14" t="str">
        <f t="shared" si="2"/>
        <v>55.473847,65.347397</v>
      </c>
      <c r="T4124" s="12"/>
    </row>
    <row r="4125">
      <c r="A4125" s="7" t="s">
        <v>26547</v>
      </c>
      <c r="B4125" s="8" t="s">
        <v>26548</v>
      </c>
      <c r="C4125" s="8" t="s">
        <v>11446</v>
      </c>
      <c r="D4125" s="8" t="s">
        <v>16</v>
      </c>
      <c r="E4125" s="9" t="s">
        <v>26549</v>
      </c>
      <c r="F4125" s="10" t="s">
        <v>3760</v>
      </c>
      <c r="G4125" s="8">
        <v>23.61</v>
      </c>
      <c r="H4125" s="8"/>
      <c r="I4125" s="10"/>
      <c r="J4125" s="10" t="s">
        <v>26550</v>
      </c>
      <c r="K4125" s="10" t="s">
        <v>26551</v>
      </c>
      <c r="L4125" s="11" t="s">
        <v>26552</v>
      </c>
      <c r="M4125" s="10"/>
      <c r="N4125" s="12"/>
      <c r="O4125" s="12"/>
      <c r="P4125" s="13">
        <f>IFERROR(__xludf.DUMMYFUNCTION("VALUE(SUBSTITUTE((INDEX(SPLIT(A4125,"",""),1)),""."","","",1))"),57.257723)</f>
        <v>57.257723</v>
      </c>
      <c r="Q4125" s="13">
        <f>IFERROR(__xludf.DUMMYFUNCTION("VALUE(SUBSTITUTE((INDEX(SPLIT(A4125,"",""),2)),""."","","",1))"),65.356893)</f>
        <v>65.356893</v>
      </c>
      <c r="R4125" s="14" t="b">
        <f t="shared" si="1"/>
        <v>0</v>
      </c>
      <c r="S4125" s="14" t="str">
        <f t="shared" si="2"/>
        <v>57.257723,65.356893</v>
      </c>
      <c r="T4125" s="12"/>
    </row>
    <row r="4126">
      <c r="A4126" s="20" t="s">
        <v>26553</v>
      </c>
      <c r="B4126" s="16" t="s">
        <v>26554</v>
      </c>
      <c r="C4126" s="16" t="s">
        <v>26555</v>
      </c>
      <c r="D4126" s="16" t="s">
        <v>16</v>
      </c>
      <c r="E4126" s="21" t="s">
        <v>26556</v>
      </c>
      <c r="F4126" s="22" t="s">
        <v>10183</v>
      </c>
      <c r="G4126" s="16">
        <v>23.61</v>
      </c>
      <c r="H4126" s="16"/>
      <c r="I4126" s="22"/>
      <c r="J4126" s="22" t="s">
        <v>26557</v>
      </c>
      <c r="K4126" s="22" t="s">
        <v>26558</v>
      </c>
      <c r="L4126" s="23" t="s">
        <v>26559</v>
      </c>
      <c r="M4126" s="22"/>
      <c r="N4126" s="12"/>
      <c r="O4126" s="12"/>
      <c r="P4126" s="13">
        <f>IFERROR(__xludf.DUMMYFUNCTION("VALUE(SUBSTITUTE((INDEX(SPLIT(A4126,"",""),1)),""."","","",1))"),57.216958)</f>
        <v>57.216958</v>
      </c>
      <c r="Q4126" s="13">
        <f>IFERROR(__xludf.DUMMYFUNCTION("VALUE(SUBSTITUTE((INDEX(SPLIT(A4126,"",""),2)),""."","","",1))"),65.360306)</f>
        <v>65.360306</v>
      </c>
      <c r="R4126" s="14" t="b">
        <f t="shared" si="1"/>
        <v>0</v>
      </c>
      <c r="S4126" s="14" t="str">
        <f t="shared" si="2"/>
        <v>57.216958,65.360306</v>
      </c>
      <c r="T4126" s="12"/>
    </row>
    <row r="4127">
      <c r="A4127" s="7" t="s">
        <v>26560</v>
      </c>
      <c r="B4127" s="8" t="s">
        <v>26561</v>
      </c>
      <c r="C4127" s="8" t="s">
        <v>26562</v>
      </c>
      <c r="D4127" s="8" t="s">
        <v>16</v>
      </c>
      <c r="E4127" s="9" t="s">
        <v>26563</v>
      </c>
      <c r="F4127" s="10" t="s">
        <v>3883</v>
      </c>
      <c r="G4127" s="8">
        <v>23.61</v>
      </c>
      <c r="H4127" s="8"/>
      <c r="I4127" s="31" t="s">
        <v>10013</v>
      </c>
      <c r="J4127" s="10" t="s">
        <v>26564</v>
      </c>
      <c r="K4127" s="10" t="s">
        <v>10015</v>
      </c>
      <c r="L4127" s="11" t="s">
        <v>26565</v>
      </c>
      <c r="M4127" s="11" t="s">
        <v>26566</v>
      </c>
      <c r="N4127" s="12"/>
      <c r="O4127" s="12"/>
      <c r="P4127" s="13">
        <f>IFERROR(__xludf.DUMMYFUNCTION("VALUE(SUBSTITUTE((INDEX(SPLIT(A4127,"",""),1)),""."","","",1))"),62.14681)</f>
        <v>62.14681</v>
      </c>
      <c r="Q4127" s="13">
        <f>IFERROR(__xludf.DUMMYFUNCTION("VALUE(SUBSTITUTE((INDEX(SPLIT(A4127,"",""),2)),""."","","",1))"),65.433393)</f>
        <v>65.433393</v>
      </c>
      <c r="R4127" s="14" t="b">
        <f t="shared" si="1"/>
        <v>0</v>
      </c>
      <c r="S4127" s="14" t="str">
        <f t="shared" si="2"/>
        <v>62.14681,65.433393</v>
      </c>
      <c r="T4127" s="12"/>
    </row>
    <row r="4128">
      <c r="A4128" s="20" t="s">
        <v>26567</v>
      </c>
      <c r="B4128" s="16" t="s">
        <v>26568</v>
      </c>
      <c r="C4128" s="16" t="s">
        <v>26569</v>
      </c>
      <c r="D4128" s="16" t="s">
        <v>16</v>
      </c>
      <c r="E4128" s="21" t="s">
        <v>26570</v>
      </c>
      <c r="F4128" s="22" t="s">
        <v>3760</v>
      </c>
      <c r="G4128" s="16">
        <v>23.61</v>
      </c>
      <c r="H4128" s="16"/>
      <c r="I4128" s="22"/>
      <c r="J4128" s="22" t="s">
        <v>26571</v>
      </c>
      <c r="K4128" s="22" t="s">
        <v>26572</v>
      </c>
      <c r="L4128" s="30" t="s">
        <v>26573</v>
      </c>
      <c r="M4128" s="22"/>
      <c r="N4128" s="12"/>
      <c r="O4128" s="12"/>
      <c r="P4128" s="13">
        <f>IFERROR(__xludf.DUMMYFUNCTION("VALUE(SUBSTITUTE((INDEX(SPLIT(A4128,"",""),1)),""."","","",1))"),57.154317)</f>
        <v>57.154317</v>
      </c>
      <c r="Q4128" s="13">
        <f>IFERROR(__xludf.DUMMYFUNCTION("VALUE(SUBSTITUTE((INDEX(SPLIT(A4128,"",""),2)),""."","","",1))"),65.441415)</f>
        <v>65.441415</v>
      </c>
      <c r="R4128" s="14" t="b">
        <f t="shared" si="1"/>
        <v>0</v>
      </c>
      <c r="S4128" s="14" t="str">
        <f t="shared" si="2"/>
        <v>57.154317,65.441415</v>
      </c>
      <c r="T4128" s="12"/>
    </row>
    <row r="4129">
      <c r="A4129" s="18" t="s">
        <v>26574</v>
      </c>
      <c r="B4129" s="8" t="s">
        <v>26575</v>
      </c>
      <c r="C4129" s="8" t="s">
        <v>26576</v>
      </c>
      <c r="D4129" s="8" t="s">
        <v>16</v>
      </c>
      <c r="E4129" s="19" t="s">
        <v>26577</v>
      </c>
      <c r="F4129" s="8" t="s">
        <v>10183</v>
      </c>
      <c r="G4129" s="8">
        <v>23.61</v>
      </c>
      <c r="H4129" s="8"/>
      <c r="I4129" s="8"/>
      <c r="J4129" s="8" t="s">
        <v>26578</v>
      </c>
      <c r="K4129" s="8" t="s">
        <v>26579</v>
      </c>
      <c r="L4129" s="8"/>
      <c r="M4129" s="8"/>
      <c r="N4129" s="12"/>
      <c r="O4129" s="12"/>
      <c r="P4129" s="13">
        <f>IFERROR(__xludf.DUMMYFUNCTION("VALUE(SUBSTITUTE((INDEX(SPLIT(A4129,"",""),1)),""."","","",1))"),57.172742)</f>
        <v>57.172742</v>
      </c>
      <c r="Q4129" s="13">
        <f>IFERROR(__xludf.DUMMYFUNCTION("VALUE(SUBSTITUTE((INDEX(SPLIT(A4129,"",""),2)),""."","","",1))"),65.457423)</f>
        <v>65.457423</v>
      </c>
      <c r="R4129" s="14" t="b">
        <f t="shared" si="1"/>
        <v>0</v>
      </c>
      <c r="S4129" s="14" t="str">
        <f t="shared" si="2"/>
        <v>57.172742,65.457423</v>
      </c>
      <c r="T4129" s="12"/>
    </row>
    <row r="4130">
      <c r="A4130" s="20" t="s">
        <v>26580</v>
      </c>
      <c r="B4130" s="16" t="s">
        <v>26581</v>
      </c>
      <c r="C4130" s="16" t="s">
        <v>26582</v>
      </c>
      <c r="D4130" s="16" t="s">
        <v>16</v>
      </c>
      <c r="E4130" s="21" t="s">
        <v>26583</v>
      </c>
      <c r="F4130" s="22" t="s">
        <v>3760</v>
      </c>
      <c r="G4130" s="16">
        <v>23.61</v>
      </c>
      <c r="H4130" s="16"/>
      <c r="I4130" s="28" t="s">
        <v>26584</v>
      </c>
      <c r="J4130" s="22" t="s">
        <v>26585</v>
      </c>
      <c r="K4130" s="22" t="s">
        <v>14667</v>
      </c>
      <c r="L4130" s="23" t="s">
        <v>26586</v>
      </c>
      <c r="M4130" s="23" t="s">
        <v>26587</v>
      </c>
      <c r="N4130" s="12"/>
      <c r="O4130" s="12"/>
      <c r="P4130" s="13">
        <f>IFERROR(__xludf.DUMMYFUNCTION("VALUE(SUBSTITUTE((INDEX(SPLIT(A4130,"",""),1)),""."","","",1))"),57.156949)</f>
        <v>57.156949</v>
      </c>
      <c r="Q4130" s="13">
        <f>IFERROR(__xludf.DUMMYFUNCTION("VALUE(SUBSTITUTE((INDEX(SPLIT(A4130,"",""),2)),""."","","",1))"),65.465804)</f>
        <v>65.465804</v>
      </c>
      <c r="R4130" s="14" t="b">
        <f t="shared" si="1"/>
        <v>0</v>
      </c>
      <c r="S4130" s="14" t="str">
        <f t="shared" si="2"/>
        <v>57.156949,65.465804</v>
      </c>
      <c r="T4130" s="12"/>
    </row>
    <row r="4131">
      <c r="A4131" s="7" t="s">
        <v>26580</v>
      </c>
      <c r="B4131" s="8" t="s">
        <v>26588</v>
      </c>
      <c r="C4131" s="8" t="s">
        <v>26589</v>
      </c>
      <c r="D4131" s="8" t="s">
        <v>16</v>
      </c>
      <c r="E4131" s="9" t="s">
        <v>26590</v>
      </c>
      <c r="F4131" s="10" t="s">
        <v>19948</v>
      </c>
      <c r="G4131" s="8">
        <v>23.61</v>
      </c>
      <c r="H4131" s="8"/>
      <c r="I4131" s="10"/>
      <c r="J4131" s="10" t="s">
        <v>26591</v>
      </c>
      <c r="K4131" s="10" t="s">
        <v>26592</v>
      </c>
      <c r="L4131" s="11" t="s">
        <v>26593</v>
      </c>
      <c r="M4131" s="11" t="s">
        <v>26594</v>
      </c>
      <c r="N4131" s="12"/>
      <c r="O4131" s="12"/>
      <c r="P4131" s="13">
        <f>IFERROR(__xludf.DUMMYFUNCTION("VALUE(SUBSTITUTE((INDEX(SPLIT(A4131,"",""),1)),""."","","",1))"),57.156949)</f>
        <v>57.156949</v>
      </c>
      <c r="Q4131" s="13">
        <f>IFERROR(__xludf.DUMMYFUNCTION("VALUE(SUBSTITUTE((INDEX(SPLIT(A4131,"",""),2)),""."","","",1))"),65.465804)</f>
        <v>65.465804</v>
      </c>
      <c r="R4131" s="14" t="b">
        <f t="shared" si="1"/>
        <v>0</v>
      </c>
      <c r="S4131" s="14" t="str">
        <f t="shared" si="2"/>
        <v>57.156949,65.465804</v>
      </c>
      <c r="T4131" s="12"/>
    </row>
    <row r="4132">
      <c r="A4132" s="20" t="s">
        <v>26595</v>
      </c>
      <c r="B4132" s="16" t="s">
        <v>7365</v>
      </c>
      <c r="C4132" s="16" t="s">
        <v>7366</v>
      </c>
      <c r="D4132" s="16" t="s">
        <v>16</v>
      </c>
      <c r="E4132" s="21" t="s">
        <v>26596</v>
      </c>
      <c r="F4132" s="22" t="s">
        <v>19948</v>
      </c>
      <c r="G4132" s="16">
        <v>23.61</v>
      </c>
      <c r="H4132" s="16"/>
      <c r="I4132" s="22"/>
      <c r="J4132" s="22" t="s">
        <v>26597</v>
      </c>
      <c r="K4132" s="22" t="s">
        <v>26598</v>
      </c>
      <c r="L4132" s="30" t="s">
        <v>26599</v>
      </c>
      <c r="M4132" s="22"/>
      <c r="N4132" s="12"/>
      <c r="O4132" s="12"/>
      <c r="P4132" s="13">
        <f>IFERROR(__xludf.DUMMYFUNCTION("VALUE(SUBSTITUTE((INDEX(SPLIT(A4132,"",""),1)),""."","","",1))"),57.177455)</f>
        <v>57.177455</v>
      </c>
      <c r="Q4132" s="13">
        <f>IFERROR(__xludf.DUMMYFUNCTION("VALUE(SUBSTITUTE((INDEX(SPLIT(A4132,"",""),2)),""."","","",1))"),65.475291)</f>
        <v>65.475291</v>
      </c>
      <c r="R4132" s="14" t="b">
        <f t="shared" si="1"/>
        <v>0</v>
      </c>
      <c r="S4132" s="14" t="str">
        <f t="shared" si="2"/>
        <v>57.177455,65.475291</v>
      </c>
      <c r="T4132" s="12"/>
    </row>
    <row r="4133">
      <c r="A4133" s="7" t="s">
        <v>26600</v>
      </c>
      <c r="B4133" s="8" t="s">
        <v>26601</v>
      </c>
      <c r="C4133" s="8" t="s">
        <v>26602</v>
      </c>
      <c r="D4133" s="8" t="s">
        <v>16</v>
      </c>
      <c r="E4133" s="9" t="s">
        <v>26603</v>
      </c>
      <c r="F4133" s="10" t="s">
        <v>10183</v>
      </c>
      <c r="G4133" s="8">
        <v>23.61</v>
      </c>
      <c r="H4133" s="8"/>
      <c r="I4133" s="10"/>
      <c r="J4133" s="10" t="s">
        <v>26604</v>
      </c>
      <c r="K4133" s="10" t="s">
        <v>26605</v>
      </c>
      <c r="L4133" s="11" t="s">
        <v>26606</v>
      </c>
      <c r="M4133" s="10"/>
      <c r="N4133" s="12"/>
      <c r="O4133" s="12"/>
      <c r="P4133" s="13">
        <f>IFERROR(__xludf.DUMMYFUNCTION("VALUE(SUBSTITUTE((INDEX(SPLIT(A4133,"",""),1)),""."","","",1))"),57.135283)</f>
        <v>57.135283</v>
      </c>
      <c r="Q4133" s="13">
        <f>IFERROR(__xludf.DUMMYFUNCTION("VALUE(SUBSTITUTE((INDEX(SPLIT(A4133,"",""),2)),""."","","",1))"),65.476575)</f>
        <v>65.476575</v>
      </c>
      <c r="R4133" s="14" t="b">
        <f t="shared" si="1"/>
        <v>0</v>
      </c>
      <c r="S4133" s="14" t="str">
        <f t="shared" si="2"/>
        <v>57.135283,65.476575</v>
      </c>
      <c r="T4133" s="12"/>
    </row>
    <row r="4134">
      <c r="A4134" s="20" t="s">
        <v>26607</v>
      </c>
      <c r="B4134" s="16" t="s">
        <v>10121</v>
      </c>
      <c r="C4134" s="16" t="s">
        <v>10122</v>
      </c>
      <c r="D4134" s="16" t="s">
        <v>16</v>
      </c>
      <c r="E4134" s="21" t="s">
        <v>26608</v>
      </c>
      <c r="F4134" s="22" t="s">
        <v>10183</v>
      </c>
      <c r="G4134" s="16">
        <v>23.61</v>
      </c>
      <c r="H4134" s="16"/>
      <c r="I4134" s="22"/>
      <c r="J4134" s="22" t="s">
        <v>26609</v>
      </c>
      <c r="K4134" s="22" t="s">
        <v>26610</v>
      </c>
      <c r="L4134" s="23" t="s">
        <v>26611</v>
      </c>
      <c r="M4134" s="22"/>
      <c r="N4134" s="12"/>
      <c r="O4134" s="12"/>
      <c r="P4134" s="13">
        <f>IFERROR(__xludf.DUMMYFUNCTION("VALUE(SUBSTITUTE((INDEX(SPLIT(A4134,"",""),1)),""."","","",1))"),57.095067)</f>
        <v>57.095067</v>
      </c>
      <c r="Q4134" s="13">
        <f>IFERROR(__xludf.DUMMYFUNCTION("VALUE(SUBSTITUTE((INDEX(SPLIT(A4134,"",""),2)),""."","","",1))"),65.478489)</f>
        <v>65.478489</v>
      </c>
      <c r="R4134" s="14" t="b">
        <f t="shared" si="1"/>
        <v>0</v>
      </c>
      <c r="S4134" s="14" t="str">
        <f t="shared" si="2"/>
        <v>57.095067,65.478489</v>
      </c>
      <c r="T4134" s="12"/>
    </row>
    <row r="4135">
      <c r="A4135" s="18" t="s">
        <v>26607</v>
      </c>
      <c r="B4135" s="8" t="s">
        <v>26612</v>
      </c>
      <c r="C4135" s="8" t="s">
        <v>26613</v>
      </c>
      <c r="D4135" s="8" t="s">
        <v>16</v>
      </c>
      <c r="E4135" s="19" t="s">
        <v>26614</v>
      </c>
      <c r="F4135" s="8" t="s">
        <v>3760</v>
      </c>
      <c r="G4135" s="8">
        <v>23.61</v>
      </c>
      <c r="H4135" s="8"/>
      <c r="I4135" s="8"/>
      <c r="J4135" s="8" t="s">
        <v>26615</v>
      </c>
      <c r="K4135" s="8" t="s">
        <v>26616</v>
      </c>
      <c r="L4135" s="8"/>
      <c r="M4135" s="8"/>
      <c r="N4135" s="12"/>
      <c r="O4135" s="12"/>
      <c r="P4135" s="13">
        <f>IFERROR(__xludf.DUMMYFUNCTION("VALUE(SUBSTITUTE((INDEX(SPLIT(A4135,"",""),1)),""."","","",1))"),57.095067)</f>
        <v>57.095067</v>
      </c>
      <c r="Q4135" s="13">
        <f>IFERROR(__xludf.DUMMYFUNCTION("VALUE(SUBSTITUTE((INDEX(SPLIT(A4135,"",""),2)),""."","","",1))"),65.478489)</f>
        <v>65.478489</v>
      </c>
      <c r="R4135" s="14" t="b">
        <f t="shared" si="1"/>
        <v>0</v>
      </c>
      <c r="S4135" s="14" t="str">
        <f t="shared" si="2"/>
        <v>57.095067,65.478489</v>
      </c>
      <c r="T4135" s="12"/>
    </row>
    <row r="4136">
      <c r="A4136" s="15" t="s">
        <v>26617</v>
      </c>
      <c r="B4136" s="16" t="s">
        <v>26618</v>
      </c>
      <c r="C4136" s="16" t="s">
        <v>26619</v>
      </c>
      <c r="D4136" s="16" t="s">
        <v>16</v>
      </c>
      <c r="E4136" s="17" t="s">
        <v>26620</v>
      </c>
      <c r="F4136" s="16" t="s">
        <v>26306</v>
      </c>
      <c r="G4136" s="16">
        <v>23.61</v>
      </c>
      <c r="H4136" s="16"/>
      <c r="I4136" s="16"/>
      <c r="J4136" s="16" t="s">
        <v>26621</v>
      </c>
      <c r="K4136" s="16" t="s">
        <v>26622</v>
      </c>
      <c r="L4136" s="16"/>
      <c r="M4136" s="25" t="s">
        <v>26623</v>
      </c>
      <c r="N4136" s="12"/>
      <c r="O4136" s="12"/>
      <c r="P4136" s="13">
        <f>IFERROR(__xludf.DUMMYFUNCTION("VALUE(SUBSTITUTE((INDEX(SPLIT(A4136,"",""),1)),""."","","",1))"),57.164666)</f>
        <v>57.164666</v>
      </c>
      <c r="Q4136" s="13">
        <f>IFERROR(__xludf.DUMMYFUNCTION("VALUE(SUBSTITUTE((INDEX(SPLIT(A4136,"",""),2)),""."","","",1))"),65.487211)</f>
        <v>65.487211</v>
      </c>
      <c r="R4136" s="14" t="b">
        <f t="shared" si="1"/>
        <v>0</v>
      </c>
      <c r="S4136" s="14" t="str">
        <f t="shared" si="2"/>
        <v>57.164666,65.487211</v>
      </c>
      <c r="T4136" s="12"/>
    </row>
    <row r="4137">
      <c r="A4137" s="18" t="s">
        <v>26624</v>
      </c>
      <c r="B4137" s="8" t="s">
        <v>26625</v>
      </c>
      <c r="C4137" s="8" t="s">
        <v>26626</v>
      </c>
      <c r="D4137" s="8" t="s">
        <v>16</v>
      </c>
      <c r="E4137" s="19" t="s">
        <v>26627</v>
      </c>
      <c r="F4137" s="8" t="s">
        <v>3883</v>
      </c>
      <c r="G4137" s="8">
        <v>23.61</v>
      </c>
      <c r="H4137" s="8"/>
      <c r="I4137" s="8"/>
      <c r="J4137" s="8" t="s">
        <v>26628</v>
      </c>
      <c r="K4137" s="8" t="s">
        <v>26629</v>
      </c>
      <c r="L4137" s="8"/>
      <c r="M4137" s="8"/>
      <c r="N4137" s="12"/>
      <c r="O4137" s="12"/>
      <c r="P4137" s="13">
        <f>IFERROR(__xludf.DUMMYFUNCTION("VALUE(SUBSTITUTE((INDEX(SPLIT(A4137,"",""),1)),""."","","",1))"),57.1254)</f>
        <v>57.1254</v>
      </c>
      <c r="Q4137" s="13">
        <f>IFERROR(__xludf.DUMMYFUNCTION("VALUE(SUBSTITUTE((INDEX(SPLIT(A4137,"",""),2)),""."","","",1))"),65.511969)</f>
        <v>65.511969</v>
      </c>
      <c r="R4137" s="14" t="b">
        <f t="shared" si="1"/>
        <v>0</v>
      </c>
      <c r="S4137" s="14" t="str">
        <f t="shared" si="2"/>
        <v>57.1254,65.511969</v>
      </c>
      <c r="T4137" s="12"/>
    </row>
    <row r="4138">
      <c r="A4138" s="20" t="s">
        <v>26630</v>
      </c>
      <c r="B4138" s="16" t="s">
        <v>1670</v>
      </c>
      <c r="C4138" s="16" t="s">
        <v>1671</v>
      </c>
      <c r="D4138" s="16" t="s">
        <v>16</v>
      </c>
      <c r="E4138" s="21" t="s">
        <v>26631</v>
      </c>
      <c r="F4138" s="22" t="s">
        <v>19948</v>
      </c>
      <c r="G4138" s="16">
        <v>23.61</v>
      </c>
      <c r="H4138" s="16"/>
      <c r="I4138" s="22"/>
      <c r="J4138" s="22" t="s">
        <v>26632</v>
      </c>
      <c r="K4138" s="22" t="s">
        <v>26633</v>
      </c>
      <c r="L4138" s="23" t="s">
        <v>26634</v>
      </c>
      <c r="M4138" s="23" t="s">
        <v>26635</v>
      </c>
      <c r="N4138" s="12"/>
      <c r="O4138" s="12"/>
      <c r="P4138" s="13">
        <f>IFERROR(__xludf.DUMMYFUNCTION("VALUE(SUBSTITUTE((INDEX(SPLIT(A4138,"",""),1)),""."","","",1))"),57.131258)</f>
        <v>57.131258</v>
      </c>
      <c r="Q4138" s="13">
        <f>IFERROR(__xludf.DUMMYFUNCTION("VALUE(SUBSTITUTE((INDEX(SPLIT(A4138,"",""),2)),""."","","",1))"),65.528309)</f>
        <v>65.528309</v>
      </c>
      <c r="R4138" s="14" t="b">
        <f t="shared" si="1"/>
        <v>0</v>
      </c>
      <c r="S4138" s="14" t="str">
        <f t="shared" si="2"/>
        <v>57.131258,65.528309</v>
      </c>
      <c r="T4138" s="12"/>
    </row>
    <row r="4139">
      <c r="A4139" s="18" t="s">
        <v>26636</v>
      </c>
      <c r="B4139" s="8" t="s">
        <v>26637</v>
      </c>
      <c r="C4139" s="8" t="s">
        <v>26638</v>
      </c>
      <c r="D4139" s="8" t="s">
        <v>16</v>
      </c>
      <c r="E4139" s="19" t="s">
        <v>26639</v>
      </c>
      <c r="F4139" s="8" t="s">
        <v>10183</v>
      </c>
      <c r="G4139" s="8">
        <v>23.61</v>
      </c>
      <c r="H4139" s="8"/>
      <c r="I4139" s="8"/>
      <c r="J4139" s="8" t="s">
        <v>26640</v>
      </c>
      <c r="K4139" s="8" t="s">
        <v>26641</v>
      </c>
      <c r="L4139" s="8"/>
      <c r="M4139" s="8"/>
      <c r="N4139" s="12"/>
      <c r="O4139" s="12"/>
      <c r="P4139" s="13">
        <f>IFERROR(__xludf.DUMMYFUNCTION("VALUE(SUBSTITUTE((INDEX(SPLIT(A4139,"",""),1)),""."","","",1))"),57.090822)</f>
        <v>57.090822</v>
      </c>
      <c r="Q4139" s="13">
        <f>IFERROR(__xludf.DUMMYFUNCTION("VALUE(SUBSTITUTE((INDEX(SPLIT(A4139,"",""),2)),""."","","",1))"),65.531004)</f>
        <v>65.531004</v>
      </c>
      <c r="R4139" s="14" t="b">
        <f t="shared" si="1"/>
        <v>0</v>
      </c>
      <c r="S4139" s="14" t="str">
        <f t="shared" si="2"/>
        <v>57.090822,65.531004</v>
      </c>
      <c r="T4139" s="12"/>
    </row>
    <row r="4140">
      <c r="A4140" s="20" t="s">
        <v>26642</v>
      </c>
      <c r="B4140" s="16" t="s">
        <v>26643</v>
      </c>
      <c r="C4140" s="16" t="s">
        <v>26644</v>
      </c>
      <c r="D4140" s="16" t="s">
        <v>16</v>
      </c>
      <c r="E4140" s="21" t="s">
        <v>26645</v>
      </c>
      <c r="F4140" s="22" t="s">
        <v>10183</v>
      </c>
      <c r="G4140" s="16">
        <v>23.61</v>
      </c>
      <c r="H4140" s="16"/>
      <c r="I4140" s="22"/>
      <c r="J4140" s="22" t="s">
        <v>26646</v>
      </c>
      <c r="K4140" s="22" t="s">
        <v>26647</v>
      </c>
      <c r="L4140" s="23" t="s">
        <v>26648</v>
      </c>
      <c r="M4140" s="22"/>
      <c r="N4140" s="12"/>
      <c r="O4140" s="12"/>
      <c r="P4140" s="13">
        <f>IFERROR(__xludf.DUMMYFUNCTION("VALUE(SUBSTITUTE((INDEX(SPLIT(A4140,"",""),1)),""."","","",1))"),57.156138)</f>
        <v>57.156138</v>
      </c>
      <c r="Q4140" s="13">
        <f>IFERROR(__xludf.DUMMYFUNCTION("VALUE(SUBSTITUTE((INDEX(SPLIT(A4140,"",""),2)),""."","","",1))"),65.539349)</f>
        <v>65.539349</v>
      </c>
      <c r="R4140" s="14" t="b">
        <f t="shared" si="1"/>
        <v>0</v>
      </c>
      <c r="S4140" s="14" t="str">
        <f t="shared" si="2"/>
        <v>57.156138,65.539349</v>
      </c>
      <c r="T4140" s="12"/>
    </row>
    <row r="4141">
      <c r="A4141" s="7" t="s">
        <v>26649</v>
      </c>
      <c r="B4141" s="8" t="s">
        <v>26650</v>
      </c>
      <c r="C4141" s="8" t="s">
        <v>26651</v>
      </c>
      <c r="D4141" s="8" t="s">
        <v>16</v>
      </c>
      <c r="E4141" s="9" t="s">
        <v>26652</v>
      </c>
      <c r="F4141" s="10" t="s">
        <v>19948</v>
      </c>
      <c r="G4141" s="8">
        <v>23.61</v>
      </c>
      <c r="H4141" s="8"/>
      <c r="I4141" s="10"/>
      <c r="J4141" s="10" t="s">
        <v>26653</v>
      </c>
      <c r="K4141" s="10" t="s">
        <v>26654</v>
      </c>
      <c r="L4141" s="11" t="s">
        <v>26655</v>
      </c>
      <c r="M4141" s="10"/>
      <c r="N4141" s="12"/>
      <c r="O4141" s="12"/>
      <c r="P4141" s="13">
        <f>IFERROR(__xludf.DUMMYFUNCTION("VALUE(SUBSTITUTE((INDEX(SPLIT(A4141,"",""),1)),""."","","",1))"),57.152985)</f>
        <v>57.152985</v>
      </c>
      <c r="Q4141" s="13">
        <f>IFERROR(__xludf.DUMMYFUNCTION("VALUE(SUBSTITUTE((INDEX(SPLIT(A4141,"",""),2)),""."","","",1))"),65.541227)</f>
        <v>65.541227</v>
      </c>
      <c r="R4141" s="14" t="b">
        <f t="shared" si="1"/>
        <v>0</v>
      </c>
      <c r="S4141" s="14" t="str">
        <f t="shared" si="2"/>
        <v>57.152985,65.541227</v>
      </c>
      <c r="T4141" s="12"/>
    </row>
    <row r="4142">
      <c r="A4142" s="20" t="s">
        <v>26649</v>
      </c>
      <c r="B4142" s="16" t="s">
        <v>26656</v>
      </c>
      <c r="C4142" s="16" t="s">
        <v>26657</v>
      </c>
      <c r="D4142" s="16" t="s">
        <v>16</v>
      </c>
      <c r="E4142" s="21" t="s">
        <v>26658</v>
      </c>
      <c r="F4142" s="22" t="s">
        <v>10183</v>
      </c>
      <c r="G4142" s="16">
        <v>23.61</v>
      </c>
      <c r="H4142" s="16"/>
      <c r="I4142" s="22"/>
      <c r="J4142" s="22" t="s">
        <v>26659</v>
      </c>
      <c r="K4142" s="22" t="s">
        <v>26660</v>
      </c>
      <c r="L4142" s="23" t="s">
        <v>26661</v>
      </c>
      <c r="M4142" s="22"/>
      <c r="N4142" s="12"/>
      <c r="O4142" s="12"/>
      <c r="P4142" s="13">
        <f>IFERROR(__xludf.DUMMYFUNCTION("VALUE(SUBSTITUTE((INDEX(SPLIT(A4142,"",""),1)),""."","","",1))"),57.152985)</f>
        <v>57.152985</v>
      </c>
      <c r="Q4142" s="13">
        <f>IFERROR(__xludf.DUMMYFUNCTION("VALUE(SUBSTITUTE((INDEX(SPLIT(A4142,"",""),2)),""."","","",1))"),65.541227)</f>
        <v>65.541227</v>
      </c>
      <c r="R4142" s="14" t="b">
        <f t="shared" si="1"/>
        <v>0</v>
      </c>
      <c r="S4142" s="14" t="str">
        <f t="shared" si="2"/>
        <v>57.152985,65.541227</v>
      </c>
      <c r="T4142" s="12"/>
    </row>
    <row r="4143">
      <c r="A4143" s="7" t="s">
        <v>26662</v>
      </c>
      <c r="B4143" s="8" t="s">
        <v>26663</v>
      </c>
      <c r="C4143" s="8" t="s">
        <v>26664</v>
      </c>
      <c r="D4143" s="8" t="s">
        <v>16</v>
      </c>
      <c r="E4143" s="9" t="s">
        <v>26665</v>
      </c>
      <c r="F4143" s="10" t="s">
        <v>10183</v>
      </c>
      <c r="G4143" s="8">
        <v>23.61</v>
      </c>
      <c r="H4143" s="8"/>
      <c r="I4143" s="10"/>
      <c r="J4143" s="10" t="s">
        <v>26666</v>
      </c>
      <c r="K4143" s="10" t="s">
        <v>26667</v>
      </c>
      <c r="L4143" s="11" t="s">
        <v>26668</v>
      </c>
      <c r="M4143" s="10"/>
      <c r="N4143" s="12"/>
      <c r="O4143" s="12"/>
      <c r="P4143" s="13">
        <f>IFERROR(__xludf.DUMMYFUNCTION("VALUE(SUBSTITUTE((INDEX(SPLIT(A4143,"",""),1)),""."","","",1))"),57.147184)</f>
        <v>57.147184</v>
      </c>
      <c r="Q4143" s="13">
        <f>IFERROR(__xludf.DUMMYFUNCTION("VALUE(SUBSTITUTE((INDEX(SPLIT(A4143,"",""),2)),""."","","",1))"),65.545889)</f>
        <v>65.545889</v>
      </c>
      <c r="R4143" s="14" t="b">
        <f t="shared" si="1"/>
        <v>0</v>
      </c>
      <c r="S4143" s="14" t="str">
        <f t="shared" si="2"/>
        <v>57.147184,65.545889</v>
      </c>
      <c r="T4143" s="12"/>
    </row>
    <row r="4144">
      <c r="A4144" s="15" t="s">
        <v>26669</v>
      </c>
      <c r="B4144" s="16" t="s">
        <v>26670</v>
      </c>
      <c r="C4144" s="16" t="s">
        <v>26671</v>
      </c>
      <c r="D4144" s="16" t="s">
        <v>16</v>
      </c>
      <c r="E4144" s="17" t="s">
        <v>26672</v>
      </c>
      <c r="F4144" s="16" t="s">
        <v>10183</v>
      </c>
      <c r="G4144" s="16">
        <v>23.61</v>
      </c>
      <c r="H4144" s="16"/>
      <c r="I4144" s="16"/>
      <c r="J4144" s="16" t="s">
        <v>26673</v>
      </c>
      <c r="K4144" s="16" t="s">
        <v>26674</v>
      </c>
      <c r="L4144" s="16"/>
      <c r="M4144" s="16"/>
      <c r="N4144" s="12"/>
      <c r="O4144" s="12"/>
      <c r="P4144" s="13">
        <f>IFERROR(__xludf.DUMMYFUNCTION("VALUE(SUBSTITUTE((INDEX(SPLIT(A4144,"",""),1)),""."","","",1))"),57.139141)</f>
        <v>57.139141</v>
      </c>
      <c r="Q4144" s="13">
        <f>IFERROR(__xludf.DUMMYFUNCTION("VALUE(SUBSTITUTE((INDEX(SPLIT(A4144,"",""),2)),""."","","",1))"),65.546967)</f>
        <v>65.546967</v>
      </c>
      <c r="R4144" s="14" t="b">
        <f t="shared" si="1"/>
        <v>0</v>
      </c>
      <c r="S4144" s="14" t="str">
        <f t="shared" si="2"/>
        <v>57.139141,65.546967</v>
      </c>
      <c r="T4144" s="12"/>
    </row>
    <row r="4145">
      <c r="A4145" s="7" t="s">
        <v>26675</v>
      </c>
      <c r="B4145" s="8" t="s">
        <v>26676</v>
      </c>
      <c r="C4145" s="8" t="s">
        <v>26677</v>
      </c>
      <c r="D4145" s="8" t="s">
        <v>16</v>
      </c>
      <c r="E4145" s="9" t="s">
        <v>26678</v>
      </c>
      <c r="F4145" s="10" t="s">
        <v>3883</v>
      </c>
      <c r="G4145" s="8">
        <v>23.61</v>
      </c>
      <c r="H4145" s="8"/>
      <c r="I4145" s="10"/>
      <c r="J4145" s="10" t="s">
        <v>26679</v>
      </c>
      <c r="K4145" s="10" t="s">
        <v>26680</v>
      </c>
      <c r="L4145" s="11" t="s">
        <v>26681</v>
      </c>
      <c r="M4145" s="10"/>
      <c r="N4145" s="12"/>
      <c r="O4145" s="12"/>
      <c r="P4145" s="13">
        <f>IFERROR(__xludf.DUMMYFUNCTION("VALUE(SUBSTITUTE((INDEX(SPLIT(A4145,"",""),1)),""."","","",1))"),57.150612)</f>
        <v>57.150612</v>
      </c>
      <c r="Q4145" s="13">
        <f>IFERROR(__xludf.DUMMYFUNCTION("VALUE(SUBSTITUTE((INDEX(SPLIT(A4145,"",""),2)),""."","","",1))"),65.547308)</f>
        <v>65.547308</v>
      </c>
      <c r="R4145" s="14" t="b">
        <f t="shared" si="1"/>
        <v>0</v>
      </c>
      <c r="S4145" s="14" t="str">
        <f t="shared" si="2"/>
        <v>57.150612,65.547308</v>
      </c>
      <c r="T4145" s="12"/>
    </row>
    <row r="4146">
      <c r="A4146" s="20" t="s">
        <v>26682</v>
      </c>
      <c r="B4146" s="16" t="s">
        <v>26683</v>
      </c>
      <c r="C4146" s="16" t="s">
        <v>26684</v>
      </c>
      <c r="D4146" s="16" t="s">
        <v>16</v>
      </c>
      <c r="E4146" s="21" t="s">
        <v>26685</v>
      </c>
      <c r="F4146" s="22" t="s">
        <v>3883</v>
      </c>
      <c r="G4146" s="16">
        <v>23.61</v>
      </c>
      <c r="H4146" s="16"/>
      <c r="I4146" s="22"/>
      <c r="J4146" s="22" t="s">
        <v>26686</v>
      </c>
      <c r="K4146" s="22" t="s">
        <v>26687</v>
      </c>
      <c r="L4146" s="23" t="s">
        <v>26688</v>
      </c>
      <c r="M4146" s="22"/>
      <c r="N4146" s="12"/>
      <c r="O4146" s="12"/>
      <c r="P4146" s="13">
        <f>IFERROR(__xludf.DUMMYFUNCTION("VALUE(SUBSTITUTE((INDEX(SPLIT(A4146,"",""),1)),""."","","",1))"),57.155279)</f>
        <v>57.155279</v>
      </c>
      <c r="Q4146" s="13">
        <f>IFERROR(__xludf.DUMMYFUNCTION("VALUE(SUBSTITUTE((INDEX(SPLIT(A4146,"",""),2)),""."","","",1))"),65.547946)</f>
        <v>65.547946</v>
      </c>
      <c r="R4146" s="14" t="b">
        <f t="shared" si="1"/>
        <v>0</v>
      </c>
      <c r="S4146" s="14" t="str">
        <f t="shared" si="2"/>
        <v>57.155279,65.547946</v>
      </c>
      <c r="T4146" s="12"/>
    </row>
    <row r="4147">
      <c r="A4147" s="7" t="s">
        <v>26689</v>
      </c>
      <c r="B4147" s="8" t="s">
        <v>26690</v>
      </c>
      <c r="C4147" s="8" t="s">
        <v>26691</v>
      </c>
      <c r="D4147" s="8" t="s">
        <v>16</v>
      </c>
      <c r="E4147" s="9" t="s">
        <v>26692</v>
      </c>
      <c r="F4147" s="10" t="s">
        <v>19948</v>
      </c>
      <c r="G4147" s="8">
        <v>23.61</v>
      </c>
      <c r="H4147" s="8"/>
      <c r="I4147" s="31" t="s">
        <v>26693</v>
      </c>
      <c r="J4147" s="10" t="s">
        <v>26694</v>
      </c>
      <c r="K4147" s="10" t="s">
        <v>26695</v>
      </c>
      <c r="L4147" s="11" t="s">
        <v>26696</v>
      </c>
      <c r="M4147" s="10"/>
      <c r="N4147" s="12"/>
      <c r="O4147" s="12"/>
      <c r="P4147" s="13">
        <f>IFERROR(__xludf.DUMMYFUNCTION("VALUE(SUBSTITUTE((INDEX(SPLIT(A4147,"",""),1)),""."","","",1))"),57.122166)</f>
        <v>57.122166</v>
      </c>
      <c r="Q4147" s="13">
        <f>IFERROR(__xludf.DUMMYFUNCTION("VALUE(SUBSTITUTE((INDEX(SPLIT(A4147,"",""),2)),""."","","",1))"),65.548027)</f>
        <v>65.548027</v>
      </c>
      <c r="R4147" s="14" t="b">
        <f t="shared" si="1"/>
        <v>0</v>
      </c>
      <c r="S4147" s="14" t="str">
        <f t="shared" si="2"/>
        <v>57.122166,65.548027</v>
      </c>
      <c r="T4147" s="12"/>
    </row>
    <row r="4148">
      <c r="A4148" s="20" t="s">
        <v>26697</v>
      </c>
      <c r="B4148" s="16" t="s">
        <v>26698</v>
      </c>
      <c r="C4148" s="16" t="s">
        <v>26698</v>
      </c>
      <c r="D4148" s="16" t="s">
        <v>16</v>
      </c>
      <c r="E4148" s="21" t="s">
        <v>26699</v>
      </c>
      <c r="F4148" s="22" t="s">
        <v>3883</v>
      </c>
      <c r="G4148" s="16">
        <v>23.61</v>
      </c>
      <c r="H4148" s="16"/>
      <c r="I4148" s="22"/>
      <c r="J4148" s="22" t="s">
        <v>26700</v>
      </c>
      <c r="K4148" s="22" t="s">
        <v>26701</v>
      </c>
      <c r="L4148" s="23" t="s">
        <v>26702</v>
      </c>
      <c r="M4148" s="22"/>
      <c r="N4148" s="12"/>
      <c r="O4148" s="12"/>
      <c r="P4148" s="13">
        <f>IFERROR(__xludf.DUMMYFUNCTION("VALUE(SUBSTITUTE((INDEX(SPLIT(A4148,"",""),1)),""."","","",1))"),57.146344)</f>
        <v>57.146344</v>
      </c>
      <c r="Q4148" s="13">
        <f>IFERROR(__xludf.DUMMYFUNCTION("VALUE(SUBSTITUTE((INDEX(SPLIT(A4148,"",""),2)),""."","","",1))"),65.549195)</f>
        <v>65.549195</v>
      </c>
      <c r="R4148" s="14" t="b">
        <f t="shared" si="1"/>
        <v>0</v>
      </c>
      <c r="S4148" s="14" t="str">
        <f t="shared" si="2"/>
        <v>57.146344,65.549195</v>
      </c>
      <c r="T4148" s="12"/>
    </row>
    <row r="4149">
      <c r="A4149" s="7" t="s">
        <v>26703</v>
      </c>
      <c r="B4149" s="8" t="s">
        <v>26704</v>
      </c>
      <c r="C4149" s="8" t="s">
        <v>26705</v>
      </c>
      <c r="D4149" s="8" t="s">
        <v>16</v>
      </c>
      <c r="E4149" s="9" t="s">
        <v>26706</v>
      </c>
      <c r="F4149" s="10" t="s">
        <v>10183</v>
      </c>
      <c r="G4149" s="8">
        <v>23.61</v>
      </c>
      <c r="H4149" s="8"/>
      <c r="I4149" s="10"/>
      <c r="J4149" s="10" t="s">
        <v>26707</v>
      </c>
      <c r="K4149" s="10" t="s">
        <v>26708</v>
      </c>
      <c r="L4149" s="11" t="s">
        <v>26709</v>
      </c>
      <c r="M4149" s="11" t="s">
        <v>26710</v>
      </c>
      <c r="N4149" s="12"/>
      <c r="O4149" s="12"/>
      <c r="P4149" s="13">
        <f>IFERROR(__xludf.DUMMYFUNCTION("VALUE(SUBSTITUTE((INDEX(SPLIT(A4149,"",""),1)),""."","","",1))"),57.156597)</f>
        <v>57.156597</v>
      </c>
      <c r="Q4149" s="13">
        <f>IFERROR(__xludf.DUMMYFUNCTION("VALUE(SUBSTITUTE((INDEX(SPLIT(A4149,"",""),2)),""."","","",1))"),65.557064)</f>
        <v>65.557064</v>
      </c>
      <c r="R4149" s="14" t="b">
        <f t="shared" si="1"/>
        <v>0</v>
      </c>
      <c r="S4149" s="14" t="str">
        <f t="shared" si="2"/>
        <v>57.156597,65.557064</v>
      </c>
      <c r="T4149" s="12"/>
    </row>
    <row r="4150">
      <c r="A4150" s="15" t="s">
        <v>26711</v>
      </c>
      <c r="B4150" s="16" t="s">
        <v>26712</v>
      </c>
      <c r="C4150" s="16" t="s">
        <v>26713</v>
      </c>
      <c r="D4150" s="16" t="s">
        <v>16</v>
      </c>
      <c r="E4150" s="17" t="s">
        <v>26714</v>
      </c>
      <c r="F4150" s="16" t="s">
        <v>3760</v>
      </c>
      <c r="G4150" s="16">
        <v>23.61</v>
      </c>
      <c r="H4150" s="16"/>
      <c r="I4150" s="32" t="s">
        <v>26715</v>
      </c>
      <c r="J4150" s="16" t="s">
        <v>26716</v>
      </c>
      <c r="K4150" s="16" t="s">
        <v>26717</v>
      </c>
      <c r="L4150" s="16"/>
      <c r="M4150" s="16"/>
      <c r="N4150" s="12"/>
      <c r="O4150" s="12"/>
      <c r="P4150" s="13">
        <f>IFERROR(__xludf.DUMMYFUNCTION("VALUE(SUBSTITUTE((INDEX(SPLIT(A4150,"",""),1)),""."","","",1))"),57.122991)</f>
        <v>57.122991</v>
      </c>
      <c r="Q4150" s="13">
        <f>IFERROR(__xludf.DUMMYFUNCTION("VALUE(SUBSTITUTE((INDEX(SPLIT(A4150,"",""),2)),""."","","",1))"),65.557927)</f>
        <v>65.557927</v>
      </c>
      <c r="R4150" s="14" t="b">
        <f t="shared" si="1"/>
        <v>0</v>
      </c>
      <c r="S4150" s="14" t="str">
        <f t="shared" si="2"/>
        <v>57.122991,65.557927</v>
      </c>
      <c r="T4150" s="12"/>
    </row>
    <row r="4151">
      <c r="A4151" s="7" t="s">
        <v>26718</v>
      </c>
      <c r="B4151" s="8" t="s">
        <v>26719</v>
      </c>
      <c r="C4151" s="8" t="s">
        <v>26720</v>
      </c>
      <c r="D4151" s="8" t="s">
        <v>16</v>
      </c>
      <c r="E4151" s="9" t="s">
        <v>26721</v>
      </c>
      <c r="F4151" s="10" t="s">
        <v>3883</v>
      </c>
      <c r="G4151" s="8">
        <v>23.61</v>
      </c>
      <c r="H4151" s="8"/>
      <c r="I4151" s="10"/>
      <c r="J4151" s="10" t="s">
        <v>26716</v>
      </c>
      <c r="K4151" s="10" t="s">
        <v>26722</v>
      </c>
      <c r="L4151" s="11" t="s">
        <v>26723</v>
      </c>
      <c r="M4151" s="10"/>
      <c r="N4151" s="12"/>
      <c r="O4151" s="12"/>
      <c r="P4151" s="13">
        <f>IFERROR(__xludf.DUMMYFUNCTION("VALUE(SUBSTITUTE((INDEX(SPLIT(A4151,"",""),1)),""."","","",1))"),57.134809)</f>
        <v>57.134809</v>
      </c>
      <c r="Q4151" s="13">
        <f>IFERROR(__xludf.DUMMYFUNCTION("VALUE(SUBSTITUTE((INDEX(SPLIT(A4151,"",""),2)),""."","","",1))"),65.557971)</f>
        <v>65.557971</v>
      </c>
      <c r="R4151" s="14" t="b">
        <f t="shared" si="1"/>
        <v>0</v>
      </c>
      <c r="S4151" s="14" t="str">
        <f t="shared" si="2"/>
        <v>57.134809,65.557971</v>
      </c>
      <c r="T4151" s="12"/>
    </row>
    <row r="4152">
      <c r="A4152" s="15" t="s">
        <v>26724</v>
      </c>
      <c r="B4152" s="16" t="s">
        <v>26725</v>
      </c>
      <c r="C4152" s="16" t="s">
        <v>26726</v>
      </c>
      <c r="D4152" s="16" t="s">
        <v>16</v>
      </c>
      <c r="E4152" s="17" t="s">
        <v>26727</v>
      </c>
      <c r="F4152" s="16" t="s">
        <v>3760</v>
      </c>
      <c r="G4152" s="16">
        <v>23.61</v>
      </c>
      <c r="H4152" s="16"/>
      <c r="I4152" s="16"/>
      <c r="J4152" s="16" t="s">
        <v>26728</v>
      </c>
      <c r="K4152" s="16" t="s">
        <v>26729</v>
      </c>
      <c r="L4152" s="16"/>
      <c r="M4152" s="16"/>
      <c r="N4152" s="12"/>
      <c r="O4152" s="12"/>
      <c r="P4152" s="13">
        <f>IFERROR(__xludf.DUMMYFUNCTION("VALUE(SUBSTITUTE((INDEX(SPLIT(A4152,"",""),1)),""."","","",1))"),57.136714)</f>
        <v>57.136714</v>
      </c>
      <c r="Q4152" s="13">
        <f>IFERROR(__xludf.DUMMYFUNCTION("VALUE(SUBSTITUTE((INDEX(SPLIT(A4152,"",""),2)),""."","","",1))"),65.559561)</f>
        <v>65.559561</v>
      </c>
      <c r="R4152" s="14" t="b">
        <f t="shared" si="1"/>
        <v>0</v>
      </c>
      <c r="S4152" s="14" t="str">
        <f t="shared" si="2"/>
        <v>57.136714,65.559561</v>
      </c>
      <c r="T4152" s="12"/>
    </row>
    <row r="4153">
      <c r="A4153" s="7" t="s">
        <v>26730</v>
      </c>
      <c r="B4153" s="8" t="s">
        <v>26731</v>
      </c>
      <c r="C4153" s="8" t="s">
        <v>26732</v>
      </c>
      <c r="D4153" s="8" t="s">
        <v>16</v>
      </c>
      <c r="E4153" s="9" t="s">
        <v>26733</v>
      </c>
      <c r="F4153" s="10" t="s">
        <v>13482</v>
      </c>
      <c r="G4153" s="8">
        <v>23.61</v>
      </c>
      <c r="H4153" s="8"/>
      <c r="I4153" s="10"/>
      <c r="J4153" s="10" t="s">
        <v>26734</v>
      </c>
      <c r="K4153" s="10" t="s">
        <v>26735</v>
      </c>
      <c r="L4153" s="11" t="s">
        <v>26736</v>
      </c>
      <c r="M4153" s="10"/>
      <c r="N4153" s="12"/>
      <c r="O4153" s="12"/>
      <c r="P4153" s="13">
        <f>IFERROR(__xludf.DUMMYFUNCTION("VALUE(SUBSTITUTE((INDEX(SPLIT(A4153,"",""),1)),""."","","",1))"),57.125332)</f>
        <v>57.125332</v>
      </c>
      <c r="Q4153" s="13">
        <f>IFERROR(__xludf.DUMMYFUNCTION("VALUE(SUBSTITUTE((INDEX(SPLIT(A4153,"",""),2)),""."","","",1))"),65.567709)</f>
        <v>65.567709</v>
      </c>
      <c r="R4153" s="14" t="b">
        <f t="shared" si="1"/>
        <v>0</v>
      </c>
      <c r="S4153" s="14" t="str">
        <f t="shared" si="2"/>
        <v>57.125332,65.567709</v>
      </c>
      <c r="T4153" s="12"/>
    </row>
    <row r="4154">
      <c r="A4154" s="15" t="s">
        <v>26737</v>
      </c>
      <c r="B4154" s="16" t="s">
        <v>26738</v>
      </c>
      <c r="C4154" s="16" t="s">
        <v>26739</v>
      </c>
      <c r="D4154" s="16" t="s">
        <v>16</v>
      </c>
      <c r="E4154" s="17" t="s">
        <v>26740</v>
      </c>
      <c r="F4154" s="16" t="s">
        <v>10183</v>
      </c>
      <c r="G4154" s="16">
        <v>23.61</v>
      </c>
      <c r="H4154" s="16"/>
      <c r="I4154" s="16"/>
      <c r="J4154" s="16" t="s">
        <v>26741</v>
      </c>
      <c r="K4154" s="16" t="s">
        <v>21570</v>
      </c>
      <c r="L4154" s="16"/>
      <c r="M4154" s="16"/>
      <c r="N4154" s="12"/>
      <c r="O4154" s="12"/>
      <c r="P4154" s="13">
        <f>IFERROR(__xludf.DUMMYFUNCTION("VALUE(SUBSTITUTE((INDEX(SPLIT(A4154,"",""),1)),""."","","",1))"),57.099858)</f>
        <v>57.099858</v>
      </c>
      <c r="Q4154" s="13">
        <f>IFERROR(__xludf.DUMMYFUNCTION("VALUE(SUBSTITUTE((INDEX(SPLIT(A4154,"",""),2)),""."","","",1))"),65.569407)</f>
        <v>65.569407</v>
      </c>
      <c r="R4154" s="14" t="b">
        <f t="shared" si="1"/>
        <v>0</v>
      </c>
      <c r="S4154" s="14" t="str">
        <f t="shared" si="2"/>
        <v>57.099858,65.569407</v>
      </c>
      <c r="T4154" s="12"/>
    </row>
    <row r="4155">
      <c r="A4155" s="7" t="s">
        <v>26742</v>
      </c>
      <c r="B4155" s="8" t="s">
        <v>26743</v>
      </c>
      <c r="C4155" s="8" t="s">
        <v>26744</v>
      </c>
      <c r="D4155" s="8" t="s">
        <v>16</v>
      </c>
      <c r="E4155" s="9" t="s">
        <v>26745</v>
      </c>
      <c r="F4155" s="10" t="s">
        <v>19948</v>
      </c>
      <c r="G4155" s="8">
        <v>23.61</v>
      </c>
      <c r="H4155" s="8"/>
      <c r="I4155" s="10"/>
      <c r="J4155" s="10" t="s">
        <v>26746</v>
      </c>
      <c r="K4155" s="10" t="s">
        <v>26747</v>
      </c>
      <c r="L4155" s="11" t="s">
        <v>26748</v>
      </c>
      <c r="M4155" s="10"/>
      <c r="N4155" s="12"/>
      <c r="O4155" s="12"/>
      <c r="P4155" s="13">
        <f>IFERROR(__xludf.DUMMYFUNCTION("VALUE(SUBSTITUTE((INDEX(SPLIT(A4155,"",""),1)),""."","","",1))"),57.112372)</f>
        <v>57.112372</v>
      </c>
      <c r="Q4155" s="13">
        <f>IFERROR(__xludf.DUMMYFUNCTION("VALUE(SUBSTITUTE((INDEX(SPLIT(A4155,"",""),2)),""."","","",1))"),65.589242)</f>
        <v>65.589242</v>
      </c>
      <c r="R4155" s="14" t="b">
        <f t="shared" si="1"/>
        <v>0</v>
      </c>
      <c r="S4155" s="14" t="str">
        <f t="shared" si="2"/>
        <v>57.112372,65.589242</v>
      </c>
      <c r="T4155" s="12"/>
    </row>
    <row r="4156">
      <c r="A4156" s="15" t="s">
        <v>26749</v>
      </c>
      <c r="B4156" s="16" t="s">
        <v>26750</v>
      </c>
      <c r="C4156" s="16" t="s">
        <v>26751</v>
      </c>
      <c r="D4156" s="16" t="s">
        <v>16</v>
      </c>
      <c r="E4156" s="17" t="s">
        <v>26752</v>
      </c>
      <c r="F4156" s="16" t="s">
        <v>3883</v>
      </c>
      <c r="G4156" s="16">
        <v>23.61</v>
      </c>
      <c r="H4156" s="16"/>
      <c r="I4156" s="16"/>
      <c r="J4156" s="16" t="s">
        <v>26753</v>
      </c>
      <c r="K4156" s="16" t="s">
        <v>9609</v>
      </c>
      <c r="L4156" s="16"/>
      <c r="M4156" s="16"/>
      <c r="N4156" s="12"/>
      <c r="O4156" s="12"/>
      <c r="P4156" s="13">
        <f>IFERROR(__xludf.DUMMYFUNCTION("VALUE(SUBSTITUTE((INDEX(SPLIT(A4156,"",""),1)),""."","","",1))"),57.204699)</f>
        <v>57.204699</v>
      </c>
      <c r="Q4156" s="13">
        <f>IFERROR(__xludf.DUMMYFUNCTION("VALUE(SUBSTITUTE((INDEX(SPLIT(A4156,"",""),2)),""."","","",1))"),65.594021)</f>
        <v>65.594021</v>
      </c>
      <c r="R4156" s="14" t="b">
        <f t="shared" si="1"/>
        <v>0</v>
      </c>
      <c r="S4156" s="14" t="str">
        <f t="shared" si="2"/>
        <v>57.204699,65.594021</v>
      </c>
      <c r="T4156" s="12"/>
    </row>
    <row r="4157">
      <c r="A4157" s="7" t="s">
        <v>26754</v>
      </c>
      <c r="B4157" s="8" t="s">
        <v>26755</v>
      </c>
      <c r="C4157" s="8" t="s">
        <v>26756</v>
      </c>
      <c r="D4157" s="8" t="s">
        <v>16</v>
      </c>
      <c r="E4157" s="9" t="s">
        <v>26757</v>
      </c>
      <c r="F4157" s="10" t="s">
        <v>19948</v>
      </c>
      <c r="G4157" s="8">
        <v>23.61</v>
      </c>
      <c r="H4157" s="8"/>
      <c r="I4157" s="10"/>
      <c r="J4157" s="10" t="s">
        <v>26758</v>
      </c>
      <c r="K4157" s="10" t="s">
        <v>26759</v>
      </c>
      <c r="L4157" s="11" t="s">
        <v>26760</v>
      </c>
      <c r="M4157" s="10"/>
      <c r="N4157" s="12"/>
      <c r="O4157" s="12"/>
      <c r="P4157" s="13">
        <f>IFERROR(__xludf.DUMMYFUNCTION("VALUE(SUBSTITUTE((INDEX(SPLIT(A4157,"",""),1)),""."","","",1))"),57.142809)</f>
        <v>57.142809</v>
      </c>
      <c r="Q4157" s="13">
        <f>IFERROR(__xludf.DUMMYFUNCTION("VALUE(SUBSTITUTE((INDEX(SPLIT(A4157,"",""),2)),""."","","",1))"),65.597003)</f>
        <v>65.597003</v>
      </c>
      <c r="R4157" s="14" t="b">
        <f t="shared" si="1"/>
        <v>0</v>
      </c>
      <c r="S4157" s="14" t="str">
        <f t="shared" si="2"/>
        <v>57.142809,65.597003</v>
      </c>
      <c r="T4157" s="12"/>
    </row>
    <row r="4158">
      <c r="A4158" s="20" t="s">
        <v>26754</v>
      </c>
      <c r="B4158" s="16" t="s">
        <v>26761</v>
      </c>
      <c r="C4158" s="16" t="s">
        <v>26762</v>
      </c>
      <c r="D4158" s="16" t="s">
        <v>16</v>
      </c>
      <c r="E4158" s="21" t="s">
        <v>26763</v>
      </c>
      <c r="F4158" s="22" t="s">
        <v>3760</v>
      </c>
      <c r="G4158" s="16">
        <v>23.61</v>
      </c>
      <c r="H4158" s="16"/>
      <c r="I4158" s="22"/>
      <c r="J4158" s="22" t="s">
        <v>26764</v>
      </c>
      <c r="K4158" s="22" t="s">
        <v>26765</v>
      </c>
      <c r="L4158" s="23" t="s">
        <v>26766</v>
      </c>
      <c r="M4158" s="22"/>
      <c r="N4158" s="12"/>
      <c r="O4158" s="12"/>
      <c r="P4158" s="13">
        <f>IFERROR(__xludf.DUMMYFUNCTION("VALUE(SUBSTITUTE((INDEX(SPLIT(A4158,"",""),1)),""."","","",1))"),57.142809)</f>
        <v>57.142809</v>
      </c>
      <c r="Q4158" s="13">
        <f>IFERROR(__xludf.DUMMYFUNCTION("VALUE(SUBSTITUTE((INDEX(SPLIT(A4158,"",""),2)),""."","","",1))"),65.597003)</f>
        <v>65.597003</v>
      </c>
      <c r="R4158" s="14" t="b">
        <f t="shared" si="1"/>
        <v>0</v>
      </c>
      <c r="S4158" s="14" t="str">
        <f t="shared" si="2"/>
        <v>57.142809,65.597003</v>
      </c>
      <c r="T4158" s="12"/>
    </row>
    <row r="4159">
      <c r="A4159" s="7" t="s">
        <v>26767</v>
      </c>
      <c r="B4159" s="8" t="s">
        <v>26768</v>
      </c>
      <c r="C4159" s="8" t="s">
        <v>26769</v>
      </c>
      <c r="D4159" s="8" t="s">
        <v>16</v>
      </c>
      <c r="E4159" s="9" t="s">
        <v>26770</v>
      </c>
      <c r="F4159" s="10" t="s">
        <v>3883</v>
      </c>
      <c r="G4159" s="8">
        <v>23.61</v>
      </c>
      <c r="H4159" s="8"/>
      <c r="I4159" s="10"/>
      <c r="J4159" s="10" t="s">
        <v>26771</v>
      </c>
      <c r="K4159" s="10" t="s">
        <v>26772</v>
      </c>
      <c r="L4159" s="11" t="s">
        <v>26773</v>
      </c>
      <c r="M4159" s="11" t="s">
        <v>26774</v>
      </c>
      <c r="N4159" s="12"/>
      <c r="O4159" s="12"/>
      <c r="P4159" s="13">
        <f>IFERROR(__xludf.DUMMYFUNCTION("VALUE(SUBSTITUTE((INDEX(SPLIT(A4159,"",""),1)),""."","","",1))"),57.212513)</f>
        <v>57.212513</v>
      </c>
      <c r="Q4159" s="13">
        <f>IFERROR(__xludf.DUMMYFUNCTION("VALUE(SUBSTITUTE((INDEX(SPLIT(A4159,"",""),2)),""."","","",1))"),65.599069)</f>
        <v>65.599069</v>
      </c>
      <c r="R4159" s="14" t="b">
        <f t="shared" si="1"/>
        <v>0</v>
      </c>
      <c r="S4159" s="14" t="str">
        <f t="shared" si="2"/>
        <v>57.212513,65.599069</v>
      </c>
      <c r="T4159" s="12"/>
    </row>
    <row r="4160">
      <c r="A4160" s="15" t="s">
        <v>26775</v>
      </c>
      <c r="B4160" s="16" t="s">
        <v>26776</v>
      </c>
      <c r="C4160" s="16" t="s">
        <v>26777</v>
      </c>
      <c r="D4160" s="16" t="s">
        <v>16</v>
      </c>
      <c r="E4160" s="17" t="s">
        <v>26778</v>
      </c>
      <c r="F4160" s="16" t="s">
        <v>3760</v>
      </c>
      <c r="G4160" s="16">
        <v>23.61</v>
      </c>
      <c r="H4160" s="16"/>
      <c r="I4160" s="16"/>
      <c r="J4160" s="16" t="s">
        <v>26779</v>
      </c>
      <c r="K4160" s="16" t="s">
        <v>26780</v>
      </c>
      <c r="L4160" s="16"/>
      <c r="M4160" s="16"/>
      <c r="N4160" s="12"/>
      <c r="O4160" s="12"/>
      <c r="P4160" s="13">
        <f>IFERROR(__xludf.DUMMYFUNCTION("VALUE(SUBSTITUTE((INDEX(SPLIT(A4160,"",""),1)),""."","","",1))"),57.114748)</f>
        <v>57.114748</v>
      </c>
      <c r="Q4160" s="13">
        <f>IFERROR(__xludf.DUMMYFUNCTION("VALUE(SUBSTITUTE((INDEX(SPLIT(A4160,"",""),2)),""."","","",1))"),65.599195)</f>
        <v>65.599195</v>
      </c>
      <c r="R4160" s="14" t="b">
        <f t="shared" si="1"/>
        <v>0</v>
      </c>
      <c r="S4160" s="14" t="str">
        <f t="shared" si="2"/>
        <v>57.114748,65.599195</v>
      </c>
      <c r="T4160" s="12"/>
    </row>
    <row r="4161">
      <c r="A4161" s="7" t="s">
        <v>26781</v>
      </c>
      <c r="B4161" s="8" t="s">
        <v>26782</v>
      </c>
      <c r="C4161" s="8" t="s">
        <v>26783</v>
      </c>
      <c r="D4161" s="8" t="s">
        <v>16</v>
      </c>
      <c r="E4161" s="9" t="s">
        <v>26784</v>
      </c>
      <c r="F4161" s="10" t="s">
        <v>19948</v>
      </c>
      <c r="G4161" s="8">
        <v>23.61</v>
      </c>
      <c r="H4161" s="8"/>
      <c r="I4161" s="10"/>
      <c r="J4161" s="10" t="s">
        <v>26785</v>
      </c>
      <c r="K4161" s="10" t="s">
        <v>26786</v>
      </c>
      <c r="L4161" s="11" t="s">
        <v>26787</v>
      </c>
      <c r="M4161" s="11" t="s">
        <v>26788</v>
      </c>
      <c r="N4161" s="12"/>
      <c r="O4161" s="12"/>
      <c r="P4161" s="13">
        <f>IFERROR(__xludf.DUMMYFUNCTION("VALUE(SUBSTITUTE((INDEX(SPLIT(A4161,"",""),1)),""."","","",1))"),57.132396)</f>
        <v>57.132396</v>
      </c>
      <c r="Q4161" s="13">
        <f>IFERROR(__xludf.DUMMYFUNCTION("VALUE(SUBSTITUTE((INDEX(SPLIT(A4161,"",""),2)),""."","","",1))"),65.601621)</f>
        <v>65.601621</v>
      </c>
      <c r="R4161" s="14" t="b">
        <f t="shared" si="1"/>
        <v>0</v>
      </c>
      <c r="S4161" s="14" t="str">
        <f t="shared" si="2"/>
        <v>57.132396,65.601621</v>
      </c>
      <c r="T4161" s="12"/>
    </row>
    <row r="4162">
      <c r="A4162" s="20" t="s">
        <v>26789</v>
      </c>
      <c r="B4162" s="16" t="s">
        <v>26790</v>
      </c>
      <c r="C4162" s="16" t="s">
        <v>26791</v>
      </c>
      <c r="D4162" s="16" t="s">
        <v>16</v>
      </c>
      <c r="E4162" s="21" t="s">
        <v>26792</v>
      </c>
      <c r="F4162" s="22" t="s">
        <v>3760</v>
      </c>
      <c r="G4162" s="16">
        <v>23.61</v>
      </c>
      <c r="H4162" s="16"/>
      <c r="I4162" s="22"/>
      <c r="J4162" s="22" t="s">
        <v>26793</v>
      </c>
      <c r="K4162" s="22" t="s">
        <v>26794</v>
      </c>
      <c r="L4162" s="23" t="s">
        <v>26795</v>
      </c>
      <c r="M4162" s="22"/>
      <c r="N4162" s="12"/>
      <c r="O4162" s="12"/>
      <c r="P4162" s="13">
        <f>IFERROR(__xludf.DUMMYFUNCTION("VALUE(SUBSTITUTE((INDEX(SPLIT(A4162,"",""),1)),""."","","",1))"),55.479312)</f>
        <v>55.479312</v>
      </c>
      <c r="Q4162" s="13">
        <f>IFERROR(__xludf.DUMMYFUNCTION("VALUE(SUBSTITUTE((INDEX(SPLIT(A4162,"",""),2)),""."","","",1))"),65.605941)</f>
        <v>65.605941</v>
      </c>
      <c r="R4162" s="14" t="b">
        <f t="shared" si="1"/>
        <v>0</v>
      </c>
      <c r="S4162" s="14" t="str">
        <f t="shared" si="2"/>
        <v>55.479312,65.605941</v>
      </c>
      <c r="T4162" s="12"/>
    </row>
    <row r="4163">
      <c r="A4163" s="18" t="s">
        <v>26796</v>
      </c>
      <c r="B4163" s="8" t="s">
        <v>26797</v>
      </c>
      <c r="C4163" s="8" t="s">
        <v>26798</v>
      </c>
      <c r="D4163" s="8" t="s">
        <v>16</v>
      </c>
      <c r="E4163" s="19" t="s">
        <v>26799</v>
      </c>
      <c r="F4163" s="8" t="s">
        <v>19948</v>
      </c>
      <c r="G4163" s="8">
        <v>23.61</v>
      </c>
      <c r="H4163" s="8"/>
      <c r="I4163" s="8"/>
      <c r="J4163" s="8" t="s">
        <v>26800</v>
      </c>
      <c r="K4163" s="8" t="s">
        <v>26801</v>
      </c>
      <c r="L4163" s="8"/>
      <c r="M4163" s="8"/>
      <c r="N4163" s="12"/>
      <c r="O4163" s="12"/>
      <c r="P4163" s="13">
        <f>IFERROR(__xludf.DUMMYFUNCTION("VALUE(SUBSTITUTE((INDEX(SPLIT(A4163,"",""),1)),""."","","",1))"),57.127828)</f>
        <v>57.127828</v>
      </c>
      <c r="Q4163" s="13">
        <f>IFERROR(__xludf.DUMMYFUNCTION("VALUE(SUBSTITUTE((INDEX(SPLIT(A4163,"",""),2)),""."","","",1))"),65.606193)</f>
        <v>65.606193</v>
      </c>
      <c r="R4163" s="14" t="b">
        <f t="shared" si="1"/>
        <v>0</v>
      </c>
      <c r="S4163" s="14" t="str">
        <f t="shared" si="2"/>
        <v>57.127828,65.606193</v>
      </c>
      <c r="T4163" s="12"/>
    </row>
    <row r="4164">
      <c r="A4164" s="20" t="s">
        <v>26802</v>
      </c>
      <c r="B4164" s="16" t="s">
        <v>26803</v>
      </c>
      <c r="C4164" s="16" t="s">
        <v>26804</v>
      </c>
      <c r="D4164" s="16" t="s">
        <v>16</v>
      </c>
      <c r="E4164" s="21" t="s">
        <v>26805</v>
      </c>
      <c r="F4164" s="22" t="s">
        <v>19948</v>
      </c>
      <c r="G4164" s="16">
        <v>23.61</v>
      </c>
      <c r="H4164" s="16"/>
      <c r="I4164" s="22"/>
      <c r="J4164" s="22" t="s">
        <v>26806</v>
      </c>
      <c r="K4164" s="22" t="s">
        <v>26807</v>
      </c>
      <c r="L4164" s="23" t="s">
        <v>26808</v>
      </c>
      <c r="M4164" s="23" t="s">
        <v>26809</v>
      </c>
      <c r="N4164" s="12"/>
      <c r="O4164" s="12"/>
      <c r="P4164" s="13">
        <f>IFERROR(__xludf.DUMMYFUNCTION("VALUE(SUBSTITUTE((INDEX(SPLIT(A4164,"",""),1)),""."","","",1))"),57.209993)</f>
        <v>57.209993</v>
      </c>
      <c r="Q4164" s="13">
        <f>IFERROR(__xludf.DUMMYFUNCTION("VALUE(SUBSTITUTE((INDEX(SPLIT(A4164,"",""),2)),""."","","",1))"),65.607316)</f>
        <v>65.607316</v>
      </c>
      <c r="R4164" s="14" t="b">
        <f t="shared" si="1"/>
        <v>0</v>
      </c>
      <c r="S4164" s="14" t="str">
        <f t="shared" si="2"/>
        <v>57.209993,65.607316</v>
      </c>
      <c r="T4164" s="12"/>
    </row>
    <row r="4165">
      <c r="A4165" s="7" t="s">
        <v>26810</v>
      </c>
      <c r="B4165" s="8" t="s">
        <v>26811</v>
      </c>
      <c r="C4165" s="8" t="s">
        <v>26812</v>
      </c>
      <c r="D4165" s="8" t="s">
        <v>16</v>
      </c>
      <c r="E4165" s="9" t="s">
        <v>26813</v>
      </c>
      <c r="F4165" s="10" t="s">
        <v>19948</v>
      </c>
      <c r="G4165" s="8">
        <v>23.61</v>
      </c>
      <c r="H4165" s="8"/>
      <c r="I4165" s="31" t="s">
        <v>26814</v>
      </c>
      <c r="J4165" s="10" t="s">
        <v>26815</v>
      </c>
      <c r="K4165" s="10" t="s">
        <v>26816</v>
      </c>
      <c r="L4165" s="11" t="s">
        <v>26817</v>
      </c>
      <c r="M4165" s="11" t="s">
        <v>26818</v>
      </c>
      <c r="N4165" s="12"/>
      <c r="O4165" s="12"/>
      <c r="P4165" s="13">
        <f>IFERROR(__xludf.DUMMYFUNCTION("VALUE(SUBSTITUTE((INDEX(SPLIT(A4165,"",""),1)),""."","","",1))"),57.108643)</f>
        <v>57.108643</v>
      </c>
      <c r="Q4165" s="13">
        <f>IFERROR(__xludf.DUMMYFUNCTION("VALUE(SUBSTITUTE((INDEX(SPLIT(A4165,"",""),2)),""."","","",1))"),65.608538)</f>
        <v>65.608538</v>
      </c>
      <c r="R4165" s="14" t="b">
        <f t="shared" si="1"/>
        <v>0</v>
      </c>
      <c r="S4165" s="14" t="str">
        <f t="shared" si="2"/>
        <v>57.108643,65.608538</v>
      </c>
      <c r="T4165" s="12"/>
    </row>
    <row r="4166">
      <c r="A4166" s="15" t="s">
        <v>26819</v>
      </c>
      <c r="B4166" s="16" t="s">
        <v>26820</v>
      </c>
      <c r="C4166" s="16" t="s">
        <v>26821</v>
      </c>
      <c r="D4166" s="16" t="s">
        <v>16</v>
      </c>
      <c r="E4166" s="17" t="s">
        <v>26822</v>
      </c>
      <c r="F4166" s="16" t="s">
        <v>19948</v>
      </c>
      <c r="G4166" s="16">
        <v>23.61</v>
      </c>
      <c r="H4166" s="16"/>
      <c r="I4166" s="16"/>
      <c r="J4166" s="16" t="s">
        <v>26823</v>
      </c>
      <c r="K4166" s="16" t="s">
        <v>26824</v>
      </c>
      <c r="L4166" s="16"/>
      <c r="M4166" s="16"/>
      <c r="N4166" s="12"/>
      <c r="O4166" s="12"/>
      <c r="P4166" s="13">
        <f>IFERROR(__xludf.DUMMYFUNCTION("VALUE(SUBSTITUTE((INDEX(SPLIT(A4166,"",""),1)),""."","","",1))"),57.131204)</f>
        <v>57.131204</v>
      </c>
      <c r="Q4166" s="13">
        <f>IFERROR(__xludf.DUMMYFUNCTION("VALUE(SUBSTITUTE((INDEX(SPLIT(A4166,"",""),2)),""."","","",1))"),65.614493)</f>
        <v>65.614493</v>
      </c>
      <c r="R4166" s="14" t="b">
        <f t="shared" si="1"/>
        <v>0</v>
      </c>
      <c r="S4166" s="14" t="str">
        <f t="shared" si="2"/>
        <v>57.131204,65.614493</v>
      </c>
      <c r="T4166" s="12"/>
    </row>
    <row r="4167">
      <c r="A4167" s="7" t="s">
        <v>26825</v>
      </c>
      <c r="B4167" s="8" t="s">
        <v>26826</v>
      </c>
      <c r="C4167" s="8" t="s">
        <v>26827</v>
      </c>
      <c r="D4167" s="8" t="s">
        <v>16</v>
      </c>
      <c r="E4167" s="9" t="s">
        <v>26828</v>
      </c>
      <c r="F4167" s="10" t="s">
        <v>19948</v>
      </c>
      <c r="G4167" s="8">
        <v>23.61</v>
      </c>
      <c r="H4167" s="8"/>
      <c r="I4167" s="10"/>
      <c r="J4167" s="10" t="s">
        <v>26829</v>
      </c>
      <c r="K4167" s="10" t="s">
        <v>26830</v>
      </c>
      <c r="L4167" s="11" t="s">
        <v>26831</v>
      </c>
      <c r="M4167" s="10"/>
      <c r="N4167" s="12"/>
      <c r="O4167" s="12"/>
      <c r="P4167" s="13">
        <f>IFERROR(__xludf.DUMMYFUNCTION("VALUE(SUBSTITUTE((INDEX(SPLIT(A4167,"",""),1)),""."","","",1))"),57.12774)</f>
        <v>57.12774</v>
      </c>
      <c r="Q4167" s="13">
        <f>IFERROR(__xludf.DUMMYFUNCTION("VALUE(SUBSTITUTE((INDEX(SPLIT(A4167,"",""),2)),""."","","",1))"),65.617763)</f>
        <v>65.617763</v>
      </c>
      <c r="R4167" s="14" t="b">
        <f t="shared" si="1"/>
        <v>0</v>
      </c>
      <c r="S4167" s="14" t="str">
        <f t="shared" si="2"/>
        <v>57.12774,65.617763</v>
      </c>
      <c r="T4167" s="12"/>
    </row>
    <row r="4168">
      <c r="A4168" s="15" t="s">
        <v>26832</v>
      </c>
      <c r="B4168" s="16" t="s">
        <v>26833</v>
      </c>
      <c r="C4168" s="16" t="s">
        <v>26834</v>
      </c>
      <c r="D4168" s="16" t="s">
        <v>16</v>
      </c>
      <c r="E4168" s="17" t="s">
        <v>26835</v>
      </c>
      <c r="F4168" s="16" t="s">
        <v>19948</v>
      </c>
      <c r="G4168" s="16">
        <v>23.61</v>
      </c>
      <c r="H4168" s="16"/>
      <c r="I4168" s="16"/>
      <c r="J4168" s="16" t="s">
        <v>26836</v>
      </c>
      <c r="K4168" s="16" t="s">
        <v>26837</v>
      </c>
      <c r="L4168" s="16"/>
      <c r="M4168" s="25" t="s">
        <v>26838</v>
      </c>
      <c r="N4168" s="12"/>
      <c r="O4168" s="12"/>
      <c r="P4168" s="13">
        <f>IFERROR(__xludf.DUMMYFUNCTION("VALUE(SUBSTITUTE((INDEX(SPLIT(A4168,"",""),1)),""."","","",1))"),57.121506)</f>
        <v>57.121506</v>
      </c>
      <c r="Q4168" s="13">
        <f>IFERROR(__xludf.DUMMYFUNCTION("VALUE(SUBSTITUTE((INDEX(SPLIT(A4168,"",""),2)),""."","","",1))"),65.618922)</f>
        <v>65.618922</v>
      </c>
      <c r="R4168" s="14" t="b">
        <f t="shared" si="1"/>
        <v>0</v>
      </c>
      <c r="S4168" s="14" t="str">
        <f t="shared" si="2"/>
        <v>57.121506,65.618922</v>
      </c>
      <c r="T4168" s="12"/>
    </row>
    <row r="4169">
      <c r="A4169" s="18" t="s">
        <v>26839</v>
      </c>
      <c r="B4169" s="8" t="s">
        <v>26840</v>
      </c>
      <c r="C4169" s="8" t="s">
        <v>26841</v>
      </c>
      <c r="D4169" s="8" t="s">
        <v>16</v>
      </c>
      <c r="E4169" s="19" t="s">
        <v>26842</v>
      </c>
      <c r="F4169" s="8" t="s">
        <v>19948</v>
      </c>
      <c r="G4169" s="8">
        <v>23.61</v>
      </c>
      <c r="H4169" s="8"/>
      <c r="I4169" s="8"/>
      <c r="J4169" s="8" t="s">
        <v>26843</v>
      </c>
      <c r="K4169" s="8" t="s">
        <v>26844</v>
      </c>
      <c r="L4169" s="8"/>
      <c r="M4169" s="24" t="s">
        <v>26845</v>
      </c>
      <c r="N4169" s="12"/>
      <c r="O4169" s="12"/>
      <c r="P4169" s="13">
        <f>IFERROR(__xludf.DUMMYFUNCTION("VALUE(SUBSTITUTE((INDEX(SPLIT(A4169,"",""),1)),""."","","",1))"),57.139889)</f>
        <v>57.139889</v>
      </c>
      <c r="Q4169" s="13">
        <f>IFERROR(__xludf.DUMMYFUNCTION("VALUE(SUBSTITUTE((INDEX(SPLIT(A4169,"",""),2)),""."","","",1))"),65.619488)</f>
        <v>65.619488</v>
      </c>
      <c r="R4169" s="14" t="b">
        <f t="shared" si="1"/>
        <v>0</v>
      </c>
      <c r="S4169" s="14" t="str">
        <f t="shared" si="2"/>
        <v>57.139889,65.619488</v>
      </c>
      <c r="T4169" s="12"/>
    </row>
    <row r="4170">
      <c r="A4170" s="15" t="s">
        <v>26846</v>
      </c>
      <c r="B4170" s="16" t="s">
        <v>26847</v>
      </c>
      <c r="C4170" s="16" t="s">
        <v>26848</v>
      </c>
      <c r="D4170" s="16" t="s">
        <v>16</v>
      </c>
      <c r="E4170" s="17" t="s">
        <v>26849</v>
      </c>
      <c r="F4170" s="16" t="s">
        <v>12717</v>
      </c>
      <c r="G4170" s="16">
        <v>23.61</v>
      </c>
      <c r="H4170" s="16"/>
      <c r="I4170" s="32" t="s">
        <v>26850</v>
      </c>
      <c r="J4170" s="16" t="s">
        <v>26851</v>
      </c>
      <c r="K4170" s="16" t="s">
        <v>26852</v>
      </c>
      <c r="L4170" s="16"/>
      <c r="M4170" s="25" t="s">
        <v>26853</v>
      </c>
      <c r="N4170" s="12"/>
      <c r="O4170" s="12"/>
      <c r="P4170" s="13">
        <f>IFERROR(__xludf.DUMMYFUNCTION("VALUE(SUBSTITUTE((INDEX(SPLIT(A4170,"",""),1)),""."","","",1))"),57.116776)</f>
        <v>57.116776</v>
      </c>
      <c r="Q4170" s="13">
        <f>IFERROR(__xludf.DUMMYFUNCTION("VALUE(SUBSTITUTE((INDEX(SPLIT(A4170,"",""),2)),""."","","",1))"),65.624052)</f>
        <v>65.624052</v>
      </c>
      <c r="R4170" s="14" t="b">
        <f t="shared" si="1"/>
        <v>0</v>
      </c>
      <c r="S4170" s="14" t="str">
        <f t="shared" si="2"/>
        <v>57.116776,65.624052</v>
      </c>
      <c r="T4170" s="12"/>
    </row>
    <row r="4171">
      <c r="A4171" s="7" t="s">
        <v>26854</v>
      </c>
      <c r="B4171" s="8" t="s">
        <v>13209</v>
      </c>
      <c r="C4171" s="8" t="s">
        <v>13210</v>
      </c>
      <c r="D4171" s="8" t="s">
        <v>16</v>
      </c>
      <c r="E4171" s="9" t="s">
        <v>26855</v>
      </c>
      <c r="F4171" s="10" t="s">
        <v>19948</v>
      </c>
      <c r="G4171" s="8">
        <v>23.61</v>
      </c>
      <c r="H4171" s="8"/>
      <c r="I4171" s="10"/>
      <c r="J4171" s="10" t="s">
        <v>26856</v>
      </c>
      <c r="K4171" s="10" t="s">
        <v>26857</v>
      </c>
      <c r="L4171" s="11" t="s">
        <v>26858</v>
      </c>
      <c r="M4171" s="10"/>
      <c r="N4171" s="12"/>
      <c r="O4171" s="12"/>
      <c r="P4171" s="13">
        <f>IFERROR(__xludf.DUMMYFUNCTION("VALUE(SUBSTITUTE((INDEX(SPLIT(A4171,"",""),1)),""."","","",1))"),57.211572)</f>
        <v>57.211572</v>
      </c>
      <c r="Q4171" s="13">
        <f>IFERROR(__xludf.DUMMYFUNCTION("VALUE(SUBSTITUTE((INDEX(SPLIT(A4171,"",""),2)),""."","","",1))"),65.638892)</f>
        <v>65.638892</v>
      </c>
      <c r="R4171" s="14" t="b">
        <f t="shared" si="1"/>
        <v>0</v>
      </c>
      <c r="S4171" s="14" t="str">
        <f t="shared" si="2"/>
        <v>57.211572,65.638892</v>
      </c>
      <c r="T4171" s="12"/>
    </row>
    <row r="4172">
      <c r="A4172" s="20" t="s">
        <v>26859</v>
      </c>
      <c r="B4172" s="16" t="s">
        <v>26860</v>
      </c>
      <c r="C4172" s="16" t="s">
        <v>26861</v>
      </c>
      <c r="D4172" s="16" t="s">
        <v>16</v>
      </c>
      <c r="E4172" s="21" t="s">
        <v>26862</v>
      </c>
      <c r="F4172" s="22" t="s">
        <v>3760</v>
      </c>
      <c r="G4172" s="16">
        <v>23.61</v>
      </c>
      <c r="H4172" s="16"/>
      <c r="I4172" s="22"/>
      <c r="J4172" s="22" t="s">
        <v>26863</v>
      </c>
      <c r="K4172" s="22" t="s">
        <v>26864</v>
      </c>
      <c r="L4172" s="23" t="s">
        <v>26865</v>
      </c>
      <c r="M4172" s="22"/>
      <c r="N4172" s="12"/>
      <c r="O4172" s="12"/>
      <c r="P4172" s="13">
        <f>IFERROR(__xludf.DUMMYFUNCTION("VALUE(SUBSTITUTE((INDEX(SPLIT(A4172,"",""),1)),""."","","",1))"),57.114753)</f>
        <v>57.114753</v>
      </c>
      <c r="Q4172" s="13">
        <f>IFERROR(__xludf.DUMMYFUNCTION("VALUE(SUBSTITUTE((INDEX(SPLIT(A4172,"",""),2)),""."","","",1))"),65.645431)</f>
        <v>65.645431</v>
      </c>
      <c r="R4172" s="14" t="b">
        <f t="shared" si="1"/>
        <v>0</v>
      </c>
      <c r="S4172" s="14" t="str">
        <f t="shared" si="2"/>
        <v>57.114753,65.645431</v>
      </c>
      <c r="T4172" s="12"/>
    </row>
    <row r="4173">
      <c r="A4173" s="7" t="s">
        <v>26866</v>
      </c>
      <c r="B4173" s="8" t="s">
        <v>26867</v>
      </c>
      <c r="C4173" s="8" t="s">
        <v>26868</v>
      </c>
      <c r="D4173" s="8" t="s">
        <v>16</v>
      </c>
      <c r="E4173" s="9" t="s">
        <v>26869</v>
      </c>
      <c r="F4173" s="10" t="s">
        <v>3760</v>
      </c>
      <c r="G4173" s="8">
        <v>23.61</v>
      </c>
      <c r="H4173" s="8"/>
      <c r="I4173" s="10"/>
      <c r="J4173" s="10" t="s">
        <v>26870</v>
      </c>
      <c r="K4173" s="10" t="s">
        <v>26871</v>
      </c>
      <c r="L4173" s="11" t="s">
        <v>26872</v>
      </c>
      <c r="M4173" s="10"/>
      <c r="N4173" s="12"/>
      <c r="O4173" s="12"/>
      <c r="P4173" s="13">
        <f>IFERROR(__xludf.DUMMYFUNCTION("VALUE(SUBSTITUTE((INDEX(SPLIT(A4173,"",""),1)),""."","","",1))"),57.190075)</f>
        <v>57.190075</v>
      </c>
      <c r="Q4173" s="13">
        <f>IFERROR(__xludf.DUMMYFUNCTION("VALUE(SUBSTITUTE((INDEX(SPLIT(A4173,"",""),2)),""."","","",1))"),65.648216)</f>
        <v>65.648216</v>
      </c>
      <c r="R4173" s="14" t="b">
        <f t="shared" si="1"/>
        <v>0</v>
      </c>
      <c r="S4173" s="14" t="str">
        <f t="shared" si="2"/>
        <v>57.190075,65.648216</v>
      </c>
      <c r="T4173" s="12"/>
    </row>
    <row r="4174">
      <c r="A4174" s="15" t="s">
        <v>26873</v>
      </c>
      <c r="B4174" s="16" t="s">
        <v>26874</v>
      </c>
      <c r="C4174" s="16" t="s">
        <v>26875</v>
      </c>
      <c r="D4174" s="16" t="s">
        <v>16</v>
      </c>
      <c r="E4174" s="17" t="s">
        <v>26876</v>
      </c>
      <c r="F4174" s="16" t="s">
        <v>19948</v>
      </c>
      <c r="G4174" s="16">
        <v>23.61</v>
      </c>
      <c r="H4174" s="16"/>
      <c r="I4174" s="16"/>
      <c r="J4174" s="16" t="s">
        <v>26877</v>
      </c>
      <c r="K4174" s="16" t="s">
        <v>26878</v>
      </c>
      <c r="L4174" s="16"/>
      <c r="M4174" s="16"/>
      <c r="N4174" s="12"/>
      <c r="O4174" s="12"/>
      <c r="P4174" s="13">
        <f>IFERROR(__xludf.DUMMYFUNCTION("VALUE(SUBSTITUTE((INDEX(SPLIT(A4174,"",""),1)),""."","","",1))"),57.106595)</f>
        <v>57.106595</v>
      </c>
      <c r="Q4174" s="13">
        <f>IFERROR(__xludf.DUMMYFUNCTION("VALUE(SUBSTITUTE((INDEX(SPLIT(A4174,"",""),2)),""."","","",1))"),65.649222)</f>
        <v>65.649222</v>
      </c>
      <c r="R4174" s="14" t="b">
        <f t="shared" si="1"/>
        <v>0</v>
      </c>
      <c r="S4174" s="14" t="str">
        <f t="shared" si="2"/>
        <v>57.106595,65.649222</v>
      </c>
      <c r="T4174" s="12"/>
    </row>
    <row r="4175">
      <c r="A4175" s="18" t="s">
        <v>26879</v>
      </c>
      <c r="B4175" s="8" t="s">
        <v>26880</v>
      </c>
      <c r="C4175" s="8" t="s">
        <v>26881</v>
      </c>
      <c r="D4175" s="8" t="s">
        <v>16</v>
      </c>
      <c r="E4175" s="19" t="s">
        <v>26882</v>
      </c>
      <c r="F4175" s="8" t="s">
        <v>19948</v>
      </c>
      <c r="G4175" s="8">
        <v>23.61</v>
      </c>
      <c r="H4175" s="8"/>
      <c r="I4175" s="8"/>
      <c r="J4175" s="8" t="s">
        <v>26883</v>
      </c>
      <c r="K4175" s="8" t="s">
        <v>26878</v>
      </c>
      <c r="L4175" s="8"/>
      <c r="M4175" s="8"/>
      <c r="N4175" s="12"/>
      <c r="O4175" s="12"/>
      <c r="P4175" s="13">
        <f>IFERROR(__xludf.DUMMYFUNCTION("VALUE(SUBSTITUTE((INDEX(SPLIT(A4175,"",""),1)),""."","","",1))"),57.115183)</f>
        <v>57.115183</v>
      </c>
      <c r="Q4175" s="13">
        <f>IFERROR(__xludf.DUMMYFUNCTION("VALUE(SUBSTITUTE((INDEX(SPLIT(A4175,"",""),2)),""."","","",1))"),65.656301)</f>
        <v>65.656301</v>
      </c>
      <c r="R4175" s="14" t="b">
        <f t="shared" si="1"/>
        <v>0</v>
      </c>
      <c r="S4175" s="14" t="str">
        <f t="shared" si="2"/>
        <v>57.115183,65.656301</v>
      </c>
      <c r="T4175" s="12"/>
    </row>
    <row r="4176">
      <c r="A4176" s="15" t="s">
        <v>26884</v>
      </c>
      <c r="B4176" s="16" t="s">
        <v>16693</v>
      </c>
      <c r="C4176" s="16" t="s">
        <v>16694</v>
      </c>
      <c r="D4176" s="16" t="s">
        <v>16</v>
      </c>
      <c r="E4176" s="17" t="s">
        <v>26885</v>
      </c>
      <c r="F4176" s="16" t="s">
        <v>19948</v>
      </c>
      <c r="G4176" s="16">
        <v>23.61</v>
      </c>
      <c r="H4176" s="16"/>
      <c r="I4176" s="16"/>
      <c r="J4176" s="16" t="s">
        <v>26886</v>
      </c>
      <c r="K4176" s="16" t="s">
        <v>26801</v>
      </c>
      <c r="L4176" s="16"/>
      <c r="M4176" s="25" t="s">
        <v>26887</v>
      </c>
      <c r="N4176" s="12"/>
      <c r="O4176" s="12"/>
      <c r="P4176" s="13">
        <f>IFERROR(__xludf.DUMMYFUNCTION("VALUE(SUBSTITUTE((INDEX(SPLIT(A4176,"",""),1)),""."","","",1))"),57.118506)</f>
        <v>57.118506</v>
      </c>
      <c r="Q4176" s="13">
        <f>IFERROR(__xludf.DUMMYFUNCTION("VALUE(SUBSTITUTE((INDEX(SPLIT(A4176,"",""),2)),""."","","",1))"),65.664952)</f>
        <v>65.664952</v>
      </c>
      <c r="R4176" s="14" t="b">
        <f t="shared" si="1"/>
        <v>0</v>
      </c>
      <c r="S4176" s="14" t="str">
        <f t="shared" si="2"/>
        <v>57.118506,65.664952</v>
      </c>
      <c r="T4176" s="12"/>
    </row>
    <row r="4177">
      <c r="A4177" s="18" t="s">
        <v>26884</v>
      </c>
      <c r="B4177" s="8" t="s">
        <v>26888</v>
      </c>
      <c r="C4177" s="8" t="s">
        <v>26889</v>
      </c>
      <c r="D4177" s="8" t="s">
        <v>16</v>
      </c>
      <c r="E4177" s="19" t="s">
        <v>26890</v>
      </c>
      <c r="F4177" s="8" t="s">
        <v>3760</v>
      </c>
      <c r="G4177" s="8">
        <v>23.61</v>
      </c>
      <c r="H4177" s="8"/>
      <c r="I4177" s="8"/>
      <c r="J4177" s="8" t="s">
        <v>26891</v>
      </c>
      <c r="K4177" s="8" t="s">
        <v>26892</v>
      </c>
      <c r="L4177" s="8"/>
      <c r="M4177" s="8"/>
      <c r="N4177" s="12"/>
      <c r="O4177" s="12"/>
      <c r="P4177" s="13">
        <f>IFERROR(__xludf.DUMMYFUNCTION("VALUE(SUBSTITUTE((INDEX(SPLIT(A4177,"",""),1)),""."","","",1))"),57.118506)</f>
        <v>57.118506</v>
      </c>
      <c r="Q4177" s="13">
        <f>IFERROR(__xludf.DUMMYFUNCTION("VALUE(SUBSTITUTE((INDEX(SPLIT(A4177,"",""),2)),""."","","",1))"),65.664952)</f>
        <v>65.664952</v>
      </c>
      <c r="R4177" s="14" t="b">
        <f t="shared" si="1"/>
        <v>0</v>
      </c>
      <c r="S4177" s="14" t="str">
        <f t="shared" si="2"/>
        <v>57.118506,65.664952</v>
      </c>
      <c r="T4177" s="12"/>
    </row>
    <row r="4178">
      <c r="A4178" s="20" t="s">
        <v>26884</v>
      </c>
      <c r="B4178" s="16" t="s">
        <v>26893</v>
      </c>
      <c r="C4178" s="16" t="s">
        <v>26894</v>
      </c>
      <c r="D4178" s="16" t="s">
        <v>16</v>
      </c>
      <c r="E4178" s="21" t="s">
        <v>26895</v>
      </c>
      <c r="F4178" s="22" t="s">
        <v>19948</v>
      </c>
      <c r="G4178" s="16">
        <v>23.61</v>
      </c>
      <c r="H4178" s="16"/>
      <c r="I4178" s="28" t="s">
        <v>26896</v>
      </c>
      <c r="J4178" s="22" t="s">
        <v>26897</v>
      </c>
      <c r="K4178" s="22" t="s">
        <v>26898</v>
      </c>
      <c r="L4178" s="23" t="s">
        <v>26899</v>
      </c>
      <c r="M4178" s="23" t="s">
        <v>26900</v>
      </c>
      <c r="N4178" s="12"/>
      <c r="O4178" s="12"/>
      <c r="P4178" s="13">
        <f>IFERROR(__xludf.DUMMYFUNCTION("VALUE(SUBSTITUTE((INDEX(SPLIT(A4178,"",""),1)),""."","","",1))"),57.118506)</f>
        <v>57.118506</v>
      </c>
      <c r="Q4178" s="13">
        <f>IFERROR(__xludf.DUMMYFUNCTION("VALUE(SUBSTITUTE((INDEX(SPLIT(A4178,"",""),2)),""."","","",1))"),65.664952)</f>
        <v>65.664952</v>
      </c>
      <c r="R4178" s="14" t="b">
        <f t="shared" si="1"/>
        <v>0</v>
      </c>
      <c r="S4178" s="14" t="str">
        <f t="shared" si="2"/>
        <v>57.118506,65.664952</v>
      </c>
      <c r="T4178" s="12"/>
    </row>
    <row r="4179">
      <c r="A4179" s="7" t="s">
        <v>26901</v>
      </c>
      <c r="B4179" s="8" t="s">
        <v>26134</v>
      </c>
      <c r="C4179" s="8" t="s">
        <v>26135</v>
      </c>
      <c r="D4179" s="8" t="s">
        <v>16</v>
      </c>
      <c r="E4179" s="9" t="s">
        <v>26902</v>
      </c>
      <c r="F4179" s="10" t="s">
        <v>19948</v>
      </c>
      <c r="G4179" s="8">
        <v>23.61</v>
      </c>
      <c r="H4179" s="8"/>
      <c r="I4179" s="10"/>
      <c r="J4179" s="10" t="s">
        <v>26903</v>
      </c>
      <c r="K4179" s="10" t="s">
        <v>26904</v>
      </c>
      <c r="L4179" s="11" t="s">
        <v>26905</v>
      </c>
      <c r="M4179" s="10"/>
      <c r="N4179" s="12"/>
      <c r="O4179" s="12"/>
      <c r="P4179" s="13">
        <f>IFERROR(__xludf.DUMMYFUNCTION("VALUE(SUBSTITUTE((INDEX(SPLIT(A4179,"",""),1)),""."","","",1))"),57.15605)</f>
        <v>57.15605</v>
      </c>
      <c r="Q4179" s="13">
        <f>IFERROR(__xludf.DUMMYFUNCTION("VALUE(SUBSTITUTE((INDEX(SPLIT(A4179,"",""),2)),""."","","",1))"),65.676684)</f>
        <v>65.676684</v>
      </c>
      <c r="R4179" s="14" t="b">
        <f t="shared" si="1"/>
        <v>0</v>
      </c>
      <c r="S4179" s="14" t="str">
        <f t="shared" si="2"/>
        <v>57.15605,65.676684</v>
      </c>
      <c r="T4179" s="12"/>
    </row>
    <row r="4180">
      <c r="A4180" s="20" t="s">
        <v>26906</v>
      </c>
      <c r="B4180" s="16" t="s">
        <v>9587</v>
      </c>
      <c r="C4180" s="16" t="s">
        <v>9588</v>
      </c>
      <c r="D4180" s="16" t="s">
        <v>16</v>
      </c>
      <c r="E4180" s="21" t="s">
        <v>26907</v>
      </c>
      <c r="F4180" s="22" t="s">
        <v>19948</v>
      </c>
      <c r="G4180" s="16">
        <v>23.61</v>
      </c>
      <c r="H4180" s="16"/>
      <c r="I4180" s="22"/>
      <c r="J4180" s="22" t="s">
        <v>26908</v>
      </c>
      <c r="K4180" s="22" t="s">
        <v>26909</v>
      </c>
      <c r="L4180" s="23" t="s">
        <v>26910</v>
      </c>
      <c r="M4180" s="22"/>
      <c r="N4180" s="12"/>
      <c r="O4180" s="12"/>
      <c r="P4180" s="13">
        <f>IFERROR(__xludf.DUMMYFUNCTION("VALUE(SUBSTITUTE((INDEX(SPLIT(A4180,"",""),1)),""."","","",1))"),57.032914)</f>
        <v>57.032914</v>
      </c>
      <c r="Q4180" s="13">
        <f>IFERROR(__xludf.DUMMYFUNCTION("VALUE(SUBSTITUTE((INDEX(SPLIT(A4180,"",""),2)),""."","","",1))"),65.719848)</f>
        <v>65.719848</v>
      </c>
      <c r="R4180" s="14" t="b">
        <f t="shared" si="1"/>
        <v>0</v>
      </c>
      <c r="S4180" s="14" t="str">
        <f t="shared" si="2"/>
        <v>57.032914,65.719848</v>
      </c>
      <c r="T4180" s="12"/>
    </row>
    <row r="4181">
      <c r="A4181" s="7" t="s">
        <v>26911</v>
      </c>
      <c r="B4181" s="8" t="s">
        <v>26912</v>
      </c>
      <c r="C4181" s="8" t="s">
        <v>26913</v>
      </c>
      <c r="D4181" s="8" t="s">
        <v>16</v>
      </c>
      <c r="E4181" s="9" t="s">
        <v>26914</v>
      </c>
      <c r="F4181" s="10" t="s">
        <v>19948</v>
      </c>
      <c r="G4181" s="8">
        <v>23.61</v>
      </c>
      <c r="H4181" s="8"/>
      <c r="I4181" s="10"/>
      <c r="J4181" s="10" t="s">
        <v>26915</v>
      </c>
      <c r="K4181" s="10" t="s">
        <v>26916</v>
      </c>
      <c r="L4181" s="11" t="s">
        <v>26917</v>
      </c>
      <c r="M4181" s="10"/>
      <c r="N4181" s="12"/>
      <c r="O4181" s="12"/>
      <c r="P4181" s="13">
        <f>IFERROR(__xludf.DUMMYFUNCTION("VALUE(SUBSTITUTE((INDEX(SPLIT(A4181,"",""),1)),""."","","",1))"),56.979924)</f>
        <v>56.979924</v>
      </c>
      <c r="Q4181" s="13">
        <f>IFERROR(__xludf.DUMMYFUNCTION("VALUE(SUBSTITUTE((INDEX(SPLIT(A4181,"",""),2)),""."","","",1))"),65.777807)</f>
        <v>65.777807</v>
      </c>
      <c r="R4181" s="14" t="b">
        <f t="shared" si="1"/>
        <v>0</v>
      </c>
      <c r="S4181" s="14" t="str">
        <f t="shared" si="2"/>
        <v>56.979924,65.777807</v>
      </c>
      <c r="T4181" s="12"/>
    </row>
    <row r="4182">
      <c r="A4182" s="20" t="s">
        <v>26918</v>
      </c>
      <c r="B4182" s="16" t="s">
        <v>26919</v>
      </c>
      <c r="C4182" s="16" t="s">
        <v>26920</v>
      </c>
      <c r="D4182" s="16" t="s">
        <v>16</v>
      </c>
      <c r="E4182" s="21" t="s">
        <v>26921</v>
      </c>
      <c r="F4182" s="22" t="s">
        <v>19378</v>
      </c>
      <c r="G4182" s="16">
        <v>23.61</v>
      </c>
      <c r="H4182" s="16"/>
      <c r="I4182" s="22"/>
      <c r="J4182" s="22" t="s">
        <v>26922</v>
      </c>
      <c r="K4182" s="22" t="s">
        <v>26923</v>
      </c>
      <c r="L4182" s="23" t="s">
        <v>26924</v>
      </c>
      <c r="M4182" s="23" t="s">
        <v>26925</v>
      </c>
      <c r="N4182" s="12"/>
      <c r="O4182" s="12"/>
      <c r="P4182" s="13">
        <f>IFERROR(__xludf.DUMMYFUNCTION("VALUE(SUBSTITUTE((INDEX(SPLIT(A4182,"",""),1)),""."","","",1))"),55.374759)</f>
        <v>55.374759</v>
      </c>
      <c r="Q4182" s="13">
        <f>IFERROR(__xludf.DUMMYFUNCTION("VALUE(SUBSTITUTE((INDEX(SPLIT(A4182,"",""),2)),""."","","",1))"),65.815923)</f>
        <v>65.815923</v>
      </c>
      <c r="R4182" s="14" t="b">
        <f t="shared" si="1"/>
        <v>0</v>
      </c>
      <c r="S4182" s="14" t="str">
        <f t="shared" si="2"/>
        <v>55.374759,65.815923</v>
      </c>
      <c r="T4182" s="12"/>
    </row>
    <row r="4183">
      <c r="A4183" s="7" t="s">
        <v>26926</v>
      </c>
      <c r="B4183" s="8" t="s">
        <v>89</v>
      </c>
      <c r="C4183" s="8" t="s">
        <v>90</v>
      </c>
      <c r="D4183" s="8" t="s">
        <v>16</v>
      </c>
      <c r="E4183" s="9" t="s">
        <v>26927</v>
      </c>
      <c r="F4183" s="10" t="s">
        <v>19948</v>
      </c>
      <c r="G4183" s="8">
        <v>23.61</v>
      </c>
      <c r="H4183" s="8"/>
      <c r="I4183" s="10"/>
      <c r="J4183" s="10" t="s">
        <v>26928</v>
      </c>
      <c r="K4183" s="10" t="s">
        <v>26929</v>
      </c>
      <c r="L4183" s="11" t="s">
        <v>26930</v>
      </c>
      <c r="M4183" s="11" t="s">
        <v>26931</v>
      </c>
      <c r="N4183" s="12"/>
      <c r="O4183" s="12"/>
      <c r="P4183" s="13">
        <f>IFERROR(__xludf.DUMMYFUNCTION("VALUE(SUBSTITUTE((INDEX(SPLIT(A4183,"",""),1)),""."","","",1))"),57.173938)</f>
        <v>57.173938</v>
      </c>
      <c r="Q4183" s="13">
        <f>IFERROR(__xludf.DUMMYFUNCTION("VALUE(SUBSTITUTE((INDEX(SPLIT(A4183,"",""),2)),""."","","",1))"),65.891516)</f>
        <v>65.891516</v>
      </c>
      <c r="R4183" s="14" t="b">
        <f t="shared" si="1"/>
        <v>0</v>
      </c>
      <c r="S4183" s="14" t="str">
        <f t="shared" si="2"/>
        <v>57.173938,65.891516</v>
      </c>
      <c r="T4183" s="12"/>
    </row>
    <row r="4184">
      <c r="A4184" s="20" t="s">
        <v>26932</v>
      </c>
      <c r="B4184" s="16" t="s">
        <v>26933</v>
      </c>
      <c r="C4184" s="16" t="s">
        <v>26934</v>
      </c>
      <c r="D4184" s="16" t="s">
        <v>16</v>
      </c>
      <c r="E4184" s="21" t="s">
        <v>26935</v>
      </c>
      <c r="F4184" s="22" t="s">
        <v>19948</v>
      </c>
      <c r="G4184" s="16">
        <v>23.61</v>
      </c>
      <c r="H4184" s="16"/>
      <c r="I4184" s="22"/>
      <c r="J4184" s="22" t="s">
        <v>26936</v>
      </c>
      <c r="K4184" s="22" t="s">
        <v>26937</v>
      </c>
      <c r="L4184" s="23" t="s">
        <v>26938</v>
      </c>
      <c r="M4184" s="23" t="s">
        <v>26939</v>
      </c>
      <c r="N4184" s="12"/>
      <c r="O4184" s="12"/>
      <c r="P4184" s="13">
        <f>IFERROR(__xludf.DUMMYFUNCTION("VALUE(SUBSTITUTE((INDEX(SPLIT(A4184,"",""),1)),""."","","",1))"),57.660099)</f>
        <v>57.660099</v>
      </c>
      <c r="Q4184" s="13">
        <f>IFERROR(__xludf.DUMMYFUNCTION("VALUE(SUBSTITUTE((INDEX(SPLIT(A4184,"",""),2)),""."","","",1))"),66.161217)</f>
        <v>66.161217</v>
      </c>
      <c r="R4184" s="14" t="b">
        <f t="shared" si="1"/>
        <v>0</v>
      </c>
      <c r="S4184" s="14" t="str">
        <f t="shared" si="2"/>
        <v>57.660099,66.161217</v>
      </c>
      <c r="T4184" s="12"/>
    </row>
    <row r="4185">
      <c r="A4185" s="7" t="s">
        <v>26940</v>
      </c>
      <c r="B4185" s="8" t="s">
        <v>26941</v>
      </c>
      <c r="C4185" s="8" t="s">
        <v>26942</v>
      </c>
      <c r="D4185" s="8" t="s">
        <v>16</v>
      </c>
      <c r="E4185" s="9" t="s">
        <v>26943</v>
      </c>
      <c r="F4185" s="10" t="s">
        <v>19948</v>
      </c>
      <c r="G4185" s="8">
        <v>23.61</v>
      </c>
      <c r="H4185" s="8"/>
      <c r="I4185" s="10"/>
      <c r="J4185" s="10" t="s">
        <v>26944</v>
      </c>
      <c r="K4185" s="10" t="s">
        <v>26945</v>
      </c>
      <c r="L4185" s="11" t="s">
        <v>26946</v>
      </c>
      <c r="M4185" s="11" t="s">
        <v>26947</v>
      </c>
      <c r="N4185" s="12"/>
      <c r="O4185" s="12"/>
      <c r="P4185" s="13">
        <f>IFERROR(__xludf.DUMMYFUNCTION("VALUE(SUBSTITUTE((INDEX(SPLIT(A4185,"",""),1)),""."","","",1))"),56.660037)</f>
        <v>56.660037</v>
      </c>
      <c r="Q4185" s="13">
        <f>IFERROR(__xludf.DUMMYFUNCTION("VALUE(SUBSTITUTE((INDEX(SPLIT(A4185,"",""),2)),""."","","",1))"),66.269976)</f>
        <v>66.269976</v>
      </c>
      <c r="R4185" s="14" t="b">
        <f t="shared" si="1"/>
        <v>0</v>
      </c>
      <c r="S4185" s="14" t="str">
        <f t="shared" si="2"/>
        <v>56.660037,66.269976</v>
      </c>
      <c r="T4185" s="12"/>
    </row>
    <row r="4186">
      <c r="A4186" s="20" t="s">
        <v>26948</v>
      </c>
      <c r="B4186" s="16" t="s">
        <v>26949</v>
      </c>
      <c r="C4186" s="16" t="s">
        <v>26950</v>
      </c>
      <c r="D4186" s="16" t="s">
        <v>16</v>
      </c>
      <c r="E4186" s="21" t="s">
        <v>26951</v>
      </c>
      <c r="F4186" s="22" t="s">
        <v>19948</v>
      </c>
      <c r="G4186" s="16">
        <v>23.61</v>
      </c>
      <c r="H4186" s="16"/>
      <c r="I4186" s="22"/>
      <c r="J4186" s="22" t="s">
        <v>26952</v>
      </c>
      <c r="K4186" s="22" t="s">
        <v>26953</v>
      </c>
      <c r="L4186" s="23" t="s">
        <v>26938</v>
      </c>
      <c r="M4186" s="23" t="s">
        <v>26939</v>
      </c>
      <c r="N4186" s="12"/>
      <c r="O4186" s="12"/>
      <c r="P4186" s="13">
        <f>IFERROR(__xludf.DUMMYFUNCTION("VALUE(SUBSTITUTE((INDEX(SPLIT(A4186,"",""),1)),""."","","",1))"),56.327271)</f>
        <v>56.327271</v>
      </c>
      <c r="Q4186" s="13">
        <f>IFERROR(__xludf.DUMMYFUNCTION("VALUE(SUBSTITUTE((INDEX(SPLIT(A4186,"",""),2)),""."","","",1))"),66.284421)</f>
        <v>66.284421</v>
      </c>
      <c r="R4186" s="14" t="b">
        <f t="shared" si="1"/>
        <v>0</v>
      </c>
      <c r="S4186" s="14" t="str">
        <f t="shared" si="2"/>
        <v>56.327271,66.284421</v>
      </c>
      <c r="T4186" s="12"/>
    </row>
    <row r="4187">
      <c r="A4187" s="18" t="s">
        <v>26954</v>
      </c>
      <c r="B4187" s="8" t="s">
        <v>9706</v>
      </c>
      <c r="C4187" s="8" t="s">
        <v>9707</v>
      </c>
      <c r="D4187" s="8" t="s">
        <v>16</v>
      </c>
      <c r="E4187" s="19" t="s">
        <v>26955</v>
      </c>
      <c r="F4187" s="8" t="s">
        <v>19948</v>
      </c>
      <c r="G4187" s="8">
        <v>23.61</v>
      </c>
      <c r="H4187" s="8"/>
      <c r="I4187" s="8"/>
      <c r="J4187" s="8" t="s">
        <v>26956</v>
      </c>
      <c r="K4187" s="8" t="s">
        <v>26957</v>
      </c>
      <c r="L4187" s="8"/>
      <c r="M4187" s="8"/>
      <c r="N4187" s="12"/>
      <c r="O4187" s="12"/>
      <c r="P4187" s="13">
        <f>IFERROR(__xludf.DUMMYFUNCTION("VALUE(SUBSTITUTE((INDEX(SPLIT(A4187,"",""),1)),""."","","",1))"),56.663253)</f>
        <v>56.663253</v>
      </c>
      <c r="Q4187" s="13">
        <f>IFERROR(__xludf.DUMMYFUNCTION("VALUE(SUBSTITUTE((INDEX(SPLIT(A4187,"",""),2)),""."","","",1))"),66.284691)</f>
        <v>66.284691</v>
      </c>
      <c r="R4187" s="14" t="b">
        <f t="shared" si="1"/>
        <v>0</v>
      </c>
      <c r="S4187" s="14" t="str">
        <f t="shared" si="2"/>
        <v>56.663253,66.284691</v>
      </c>
      <c r="T4187" s="12"/>
    </row>
    <row r="4188">
      <c r="A4188" s="20" t="s">
        <v>26958</v>
      </c>
      <c r="B4188" s="16" t="s">
        <v>26959</v>
      </c>
      <c r="C4188" s="16" t="s">
        <v>26960</v>
      </c>
      <c r="D4188" s="16" t="s">
        <v>16</v>
      </c>
      <c r="E4188" s="21" t="s">
        <v>26961</v>
      </c>
      <c r="F4188" s="22" t="s">
        <v>19948</v>
      </c>
      <c r="G4188" s="16">
        <v>23.61</v>
      </c>
      <c r="H4188" s="16"/>
      <c r="I4188" s="22"/>
      <c r="J4188" s="22" t="s">
        <v>26962</v>
      </c>
      <c r="K4188" s="22" t="s">
        <v>26963</v>
      </c>
      <c r="L4188" s="23" t="s">
        <v>26964</v>
      </c>
      <c r="M4188" s="22"/>
      <c r="N4188" s="12"/>
      <c r="O4188" s="12"/>
      <c r="P4188" s="13">
        <f>IFERROR(__xludf.DUMMYFUNCTION("VALUE(SUBSTITUTE((INDEX(SPLIT(A4188,"",""),1)),""."","","",1))"),56.630966)</f>
        <v>56.630966</v>
      </c>
      <c r="Q4188" s="13">
        <f>IFERROR(__xludf.DUMMYFUNCTION("VALUE(SUBSTITUTE((INDEX(SPLIT(A4188,"",""),2)),""."","","",1))"),66.287448)</f>
        <v>66.287448</v>
      </c>
      <c r="R4188" s="14" t="b">
        <f t="shared" si="1"/>
        <v>0</v>
      </c>
      <c r="S4188" s="14" t="str">
        <f t="shared" si="2"/>
        <v>56.630966,66.287448</v>
      </c>
      <c r="T4188" s="12"/>
    </row>
    <row r="4189">
      <c r="A4189" s="18" t="s">
        <v>26965</v>
      </c>
      <c r="B4189" s="8" t="s">
        <v>26966</v>
      </c>
      <c r="C4189" s="8" t="s">
        <v>26967</v>
      </c>
      <c r="D4189" s="8" t="s">
        <v>16</v>
      </c>
      <c r="E4189" s="19" t="s">
        <v>26968</v>
      </c>
      <c r="F4189" s="8" t="s">
        <v>19948</v>
      </c>
      <c r="G4189" s="8">
        <v>23.61</v>
      </c>
      <c r="H4189" s="8"/>
      <c r="I4189" s="8"/>
      <c r="J4189" s="8" t="s">
        <v>26969</v>
      </c>
      <c r="K4189" s="8" t="s">
        <v>26970</v>
      </c>
      <c r="L4189" s="8"/>
      <c r="M4189" s="24" t="s">
        <v>26971</v>
      </c>
      <c r="N4189" s="12"/>
      <c r="O4189" s="12"/>
      <c r="P4189" s="13">
        <f>IFERROR(__xludf.DUMMYFUNCTION("VALUE(SUBSTITUTE((INDEX(SPLIT(A4189,"",""),1)),""."","","",1))"),56.524347)</f>
        <v>56.524347</v>
      </c>
      <c r="Q4189" s="13">
        <f>IFERROR(__xludf.DUMMYFUNCTION("VALUE(SUBSTITUTE((INDEX(SPLIT(A4189,"",""),2)),""."","","",1))"),66.476912)</f>
        <v>66.476912</v>
      </c>
      <c r="R4189" s="14" t="b">
        <f t="shared" si="1"/>
        <v>0</v>
      </c>
      <c r="S4189" s="14" t="str">
        <f t="shared" si="2"/>
        <v>56.524347,66.476912</v>
      </c>
      <c r="T4189" s="12"/>
    </row>
    <row r="4190">
      <c r="A4190" s="20" t="s">
        <v>26972</v>
      </c>
      <c r="B4190" s="16" t="s">
        <v>26973</v>
      </c>
      <c r="C4190" s="16" t="s">
        <v>26974</v>
      </c>
      <c r="D4190" s="16" t="s">
        <v>16</v>
      </c>
      <c r="E4190" s="21" t="s">
        <v>26975</v>
      </c>
      <c r="F4190" s="22" t="s">
        <v>19948</v>
      </c>
      <c r="G4190" s="16">
        <v>23.61</v>
      </c>
      <c r="H4190" s="16"/>
      <c r="I4190" s="22"/>
      <c r="J4190" s="22" t="s">
        <v>26976</v>
      </c>
      <c r="K4190" s="22" t="s">
        <v>26977</v>
      </c>
      <c r="L4190" s="23" t="s">
        <v>26978</v>
      </c>
      <c r="M4190" s="23" t="s">
        <v>26979</v>
      </c>
      <c r="N4190" s="12"/>
      <c r="O4190" s="12"/>
      <c r="P4190" s="13">
        <f>IFERROR(__xludf.DUMMYFUNCTION("VALUE(SUBSTITUTE((INDEX(SPLIT(A4190,"",""),1)),""."","","",1))"),56.483457)</f>
        <v>56.483457</v>
      </c>
      <c r="Q4190" s="13">
        <f>IFERROR(__xludf.DUMMYFUNCTION("VALUE(SUBSTITUTE((INDEX(SPLIT(A4190,"",""),2)),""."","","",1))"),66.575861)</f>
        <v>66.575861</v>
      </c>
      <c r="R4190" s="14" t="b">
        <f t="shared" si="1"/>
        <v>0</v>
      </c>
      <c r="S4190" s="14" t="str">
        <f t="shared" si="2"/>
        <v>56.483457,66.575861</v>
      </c>
      <c r="T4190" s="12"/>
    </row>
    <row r="4191">
      <c r="A4191" s="7" t="s">
        <v>26980</v>
      </c>
      <c r="B4191" s="8" t="s">
        <v>3834</v>
      </c>
      <c r="C4191" s="8" t="s">
        <v>3835</v>
      </c>
      <c r="D4191" s="8" t="s">
        <v>16</v>
      </c>
      <c r="E4191" s="9" t="s">
        <v>26981</v>
      </c>
      <c r="F4191" s="10" t="s">
        <v>19948</v>
      </c>
      <c r="G4191" s="8">
        <v>23.61</v>
      </c>
      <c r="H4191" s="8"/>
      <c r="I4191" s="10"/>
      <c r="J4191" s="10" t="s">
        <v>26982</v>
      </c>
      <c r="K4191" s="10" t="s">
        <v>26983</v>
      </c>
      <c r="L4191" s="11" t="s">
        <v>26984</v>
      </c>
      <c r="M4191" s="10"/>
      <c r="N4191" s="12"/>
      <c r="O4191" s="12"/>
      <c r="P4191" s="13">
        <f>IFERROR(__xludf.DUMMYFUNCTION("VALUE(SUBSTITUTE((INDEX(SPLIT(A4191,"",""),1)),""."","","",1))"),66.528552)</f>
        <v>66.528552</v>
      </c>
      <c r="Q4191" s="13">
        <f>IFERROR(__xludf.DUMMYFUNCTION("VALUE(SUBSTITUTE((INDEX(SPLIT(A4191,"",""),2)),""."","","",1))"),66.638735)</f>
        <v>66.638735</v>
      </c>
      <c r="R4191" s="14" t="b">
        <f t="shared" si="1"/>
        <v>0</v>
      </c>
      <c r="S4191" s="14" t="str">
        <f t="shared" si="2"/>
        <v>66.528552,66.638735</v>
      </c>
      <c r="T4191" s="12"/>
    </row>
    <row r="4192">
      <c r="A4192" s="15" t="s">
        <v>26985</v>
      </c>
      <c r="B4192" s="16" t="s">
        <v>26986</v>
      </c>
      <c r="C4192" s="16" t="s">
        <v>26987</v>
      </c>
      <c r="D4192" s="16" t="s">
        <v>16</v>
      </c>
      <c r="E4192" s="17" t="s">
        <v>26988</v>
      </c>
      <c r="F4192" s="16" t="s">
        <v>19948</v>
      </c>
      <c r="G4192" s="16">
        <v>23.61</v>
      </c>
      <c r="H4192" s="16"/>
      <c r="I4192" s="16"/>
      <c r="J4192" s="16" t="s">
        <v>26989</v>
      </c>
      <c r="K4192" s="16" t="s">
        <v>26990</v>
      </c>
      <c r="L4192" s="16"/>
      <c r="M4192" s="16"/>
      <c r="N4192" s="12"/>
      <c r="O4192" s="12"/>
      <c r="P4192" s="13">
        <f>IFERROR(__xludf.DUMMYFUNCTION("VALUE(SUBSTITUTE((INDEX(SPLIT(A4192,"",""),1)),""."","","",1))"),66.539516)</f>
        <v>66.539516</v>
      </c>
      <c r="Q4192" s="13">
        <f>IFERROR(__xludf.DUMMYFUNCTION("VALUE(SUBSTITUTE((INDEX(SPLIT(A4192,"",""),2)),""."","","",1))"),66.644133)</f>
        <v>66.644133</v>
      </c>
      <c r="R4192" s="14" t="b">
        <f t="shared" si="1"/>
        <v>0</v>
      </c>
      <c r="S4192" s="14" t="str">
        <f t="shared" si="2"/>
        <v>66.539516,66.644133</v>
      </c>
      <c r="T4192" s="12"/>
    </row>
    <row r="4193">
      <c r="A4193" s="7" t="s">
        <v>26991</v>
      </c>
      <c r="B4193" s="8" t="s">
        <v>26992</v>
      </c>
      <c r="C4193" s="8" t="s">
        <v>26993</v>
      </c>
      <c r="D4193" s="8" t="s">
        <v>16</v>
      </c>
      <c r="E4193" s="9" t="s">
        <v>26994</v>
      </c>
      <c r="F4193" s="10" t="s">
        <v>19948</v>
      </c>
      <c r="G4193" s="8">
        <v>23.61</v>
      </c>
      <c r="H4193" s="8"/>
      <c r="I4193" s="10"/>
      <c r="J4193" s="10" t="s">
        <v>26995</v>
      </c>
      <c r="K4193" s="10" t="s">
        <v>26996</v>
      </c>
      <c r="L4193" s="11" t="s">
        <v>26997</v>
      </c>
      <c r="M4193" s="10"/>
      <c r="N4193" s="12"/>
      <c r="O4193" s="12"/>
      <c r="P4193" s="13">
        <f>IFERROR(__xludf.DUMMYFUNCTION("VALUE(SUBSTITUTE((INDEX(SPLIT(A4193,"",""),1)),""."","","",1))"),63.709474)</f>
        <v>63.709474</v>
      </c>
      <c r="Q4193" s="13">
        <f>IFERROR(__xludf.DUMMYFUNCTION("VALUE(SUBSTITUTE((INDEX(SPLIT(A4193,"",""),2)),""."","","",1))"),66.684908)</f>
        <v>66.684908</v>
      </c>
      <c r="R4193" s="14" t="b">
        <f t="shared" si="1"/>
        <v>0</v>
      </c>
      <c r="S4193" s="14" t="str">
        <f t="shared" si="2"/>
        <v>63.709474,66.684908</v>
      </c>
      <c r="T4193" s="12"/>
    </row>
    <row r="4194">
      <c r="A4194" s="20" t="s">
        <v>26998</v>
      </c>
      <c r="B4194" s="16" t="s">
        <v>26999</v>
      </c>
      <c r="C4194" s="16" t="s">
        <v>27000</v>
      </c>
      <c r="D4194" s="16" t="s">
        <v>16</v>
      </c>
      <c r="E4194" s="21" t="s">
        <v>27001</v>
      </c>
      <c r="F4194" s="22" t="s">
        <v>3760</v>
      </c>
      <c r="G4194" s="16">
        <v>23.61</v>
      </c>
      <c r="H4194" s="16"/>
      <c r="I4194" s="22"/>
      <c r="J4194" s="22" t="s">
        <v>11523</v>
      </c>
      <c r="K4194" s="22" t="s">
        <v>27002</v>
      </c>
      <c r="L4194" s="23" t="s">
        <v>27003</v>
      </c>
      <c r="M4194" s="23" t="s">
        <v>27004</v>
      </c>
      <c r="N4194" s="12"/>
      <c r="O4194" s="12"/>
      <c r="P4194" s="13">
        <f>IFERROR(__xludf.DUMMYFUNCTION("VALUE(SUBSTITUTE((INDEX(SPLIT(A4194,"",""),1)),""."","","",1))"),58.185598)</f>
        <v>58.185598</v>
      </c>
      <c r="Q4194" s="13">
        <f>IFERROR(__xludf.DUMMYFUNCTION("VALUE(SUBSTITUTE((INDEX(SPLIT(A4194,"",""),2)),""."","","",1))"),68.260337)</f>
        <v>68.260337</v>
      </c>
      <c r="R4194" s="14" t="b">
        <f t="shared" si="1"/>
        <v>0</v>
      </c>
      <c r="S4194" s="14" t="str">
        <f t="shared" si="2"/>
        <v>58.185598,68.260337</v>
      </c>
      <c r="T4194" s="12"/>
    </row>
    <row r="4195">
      <c r="A4195" s="18" t="s">
        <v>27005</v>
      </c>
      <c r="B4195" s="8" t="s">
        <v>27006</v>
      </c>
      <c r="C4195" s="8" t="s">
        <v>27007</v>
      </c>
      <c r="D4195" s="8" t="s">
        <v>16</v>
      </c>
      <c r="E4195" s="19" t="s">
        <v>27008</v>
      </c>
      <c r="F4195" s="8" t="s">
        <v>18</v>
      </c>
      <c r="G4195" s="8">
        <v>23.61</v>
      </c>
      <c r="H4195" s="8"/>
      <c r="I4195" s="8"/>
      <c r="J4195" s="8" t="s">
        <v>27009</v>
      </c>
      <c r="K4195" s="8" t="s">
        <v>27010</v>
      </c>
      <c r="L4195" s="8"/>
      <c r="M4195" s="8"/>
      <c r="N4195" s="12"/>
      <c r="O4195" s="12"/>
      <c r="P4195" s="13">
        <f>IFERROR(__xludf.DUMMYFUNCTION("VALUE(SUBSTITUTE((INDEX(SPLIT(A4195,"",""),1)),""."","","",1))"),58.1757)</f>
        <v>58.1757</v>
      </c>
      <c r="Q4195" s="13">
        <f>IFERROR(__xludf.DUMMYFUNCTION("VALUE(SUBSTITUTE((INDEX(SPLIT(A4195,"",""),2)),""."","","",1))"),68.324594)</f>
        <v>68.324594</v>
      </c>
      <c r="R4195" s="14" t="b">
        <f t="shared" si="1"/>
        <v>0</v>
      </c>
      <c r="S4195" s="14" t="str">
        <f t="shared" si="2"/>
        <v>58.1757,68.324594</v>
      </c>
      <c r="T4195" s="12"/>
    </row>
    <row r="4196">
      <c r="A4196" s="20" t="s">
        <v>27011</v>
      </c>
      <c r="B4196" s="16" t="s">
        <v>27012</v>
      </c>
      <c r="C4196" s="16" t="s">
        <v>27013</v>
      </c>
      <c r="D4196" s="16" t="s">
        <v>16</v>
      </c>
      <c r="E4196" s="21" t="s">
        <v>27014</v>
      </c>
      <c r="F4196" s="22" t="s">
        <v>19948</v>
      </c>
      <c r="G4196" s="16">
        <v>23.61</v>
      </c>
      <c r="H4196" s="16"/>
      <c r="I4196" s="22"/>
      <c r="J4196" s="22" t="s">
        <v>27015</v>
      </c>
      <c r="K4196" s="22" t="s">
        <v>27016</v>
      </c>
      <c r="L4196" s="30" t="s">
        <v>27017</v>
      </c>
      <c r="M4196" s="22"/>
      <c r="N4196" s="12"/>
      <c r="O4196" s="12"/>
      <c r="P4196" s="13">
        <f>IFERROR(__xludf.DUMMYFUNCTION("VALUE(SUBSTITUTE((INDEX(SPLIT(A4196,"",""),1)),""."","","",1))"),56.407063)</f>
        <v>56.407063</v>
      </c>
      <c r="Q4196" s="13">
        <f>IFERROR(__xludf.DUMMYFUNCTION("VALUE(SUBSTITUTE((INDEX(SPLIT(A4196,"",""),2)),""."","","",1))"),68.360419)</f>
        <v>68.360419</v>
      </c>
      <c r="R4196" s="14" t="b">
        <f t="shared" si="1"/>
        <v>0</v>
      </c>
      <c r="S4196" s="14" t="str">
        <f t="shared" si="2"/>
        <v>56.407063,68.360419</v>
      </c>
      <c r="T4196" s="12"/>
    </row>
    <row r="4197">
      <c r="A4197" s="18" t="s">
        <v>27018</v>
      </c>
      <c r="B4197" s="8" t="s">
        <v>27019</v>
      </c>
      <c r="C4197" s="8" t="s">
        <v>27020</v>
      </c>
      <c r="D4197" s="8" t="s">
        <v>16</v>
      </c>
      <c r="E4197" s="19" t="s">
        <v>27021</v>
      </c>
      <c r="F4197" s="8" t="s">
        <v>19948</v>
      </c>
      <c r="G4197" s="8">
        <v>23.61</v>
      </c>
      <c r="H4197" s="8"/>
      <c r="I4197" s="8"/>
      <c r="J4197" s="8" t="s">
        <v>27022</v>
      </c>
      <c r="K4197" s="8" t="s">
        <v>27023</v>
      </c>
      <c r="L4197" s="8"/>
      <c r="M4197" s="8"/>
      <c r="N4197" s="12"/>
      <c r="O4197" s="12"/>
      <c r="P4197" s="13">
        <f>IFERROR(__xludf.DUMMYFUNCTION("VALUE(SUBSTITUTE((INDEX(SPLIT(A4197,"",""),1)),""."","","",1))"),61.005583)</f>
        <v>61.005583</v>
      </c>
      <c r="Q4197" s="13">
        <f>IFERROR(__xludf.DUMMYFUNCTION("VALUE(SUBSTITUTE((INDEX(SPLIT(A4197,"",""),2)),""."","","",1))"),69.018515)</f>
        <v>69.018515</v>
      </c>
      <c r="R4197" s="14" t="b">
        <f t="shared" si="1"/>
        <v>0</v>
      </c>
      <c r="S4197" s="14" t="str">
        <f t="shared" si="2"/>
        <v>61.005583,69.018515</v>
      </c>
      <c r="T4197" s="12"/>
    </row>
    <row r="4198">
      <c r="A4198" s="20" t="s">
        <v>27024</v>
      </c>
      <c r="B4198" s="16" t="s">
        <v>27025</v>
      </c>
      <c r="C4198" s="16" t="s">
        <v>27026</v>
      </c>
      <c r="D4198" s="16" t="s">
        <v>16</v>
      </c>
      <c r="E4198" s="21" t="s">
        <v>27027</v>
      </c>
      <c r="F4198" s="22" t="s">
        <v>19948</v>
      </c>
      <c r="G4198" s="16">
        <v>23.61</v>
      </c>
      <c r="H4198" s="16"/>
      <c r="I4198" s="22"/>
      <c r="J4198" s="22" t="s">
        <v>27028</v>
      </c>
      <c r="K4198" s="22" t="s">
        <v>27029</v>
      </c>
      <c r="L4198" s="23" t="s">
        <v>27030</v>
      </c>
      <c r="M4198" s="22"/>
      <c r="N4198" s="12"/>
      <c r="O4198" s="12"/>
      <c r="P4198" s="13">
        <f>IFERROR(__xludf.DUMMYFUNCTION("VALUE(SUBSTITUTE((INDEX(SPLIT(A4198,"",""),1)),""."","","",1))"),60.973123)</f>
        <v>60.973123</v>
      </c>
      <c r="Q4198" s="13">
        <f>IFERROR(__xludf.DUMMYFUNCTION("VALUE(SUBSTITUTE((INDEX(SPLIT(A4198,"",""),2)),""."","","",1))"),69.025612)</f>
        <v>69.025612</v>
      </c>
      <c r="R4198" s="14" t="b">
        <f t="shared" si="1"/>
        <v>0</v>
      </c>
      <c r="S4198" s="14" t="str">
        <f t="shared" si="2"/>
        <v>60.973123,69.025612</v>
      </c>
      <c r="T4198" s="12"/>
    </row>
    <row r="4199">
      <c r="A4199" s="18" t="s">
        <v>27031</v>
      </c>
      <c r="B4199" s="8" t="s">
        <v>27032</v>
      </c>
      <c r="C4199" s="8" t="s">
        <v>27033</v>
      </c>
      <c r="D4199" s="8" t="s">
        <v>16</v>
      </c>
      <c r="E4199" s="19" t="s">
        <v>27034</v>
      </c>
      <c r="F4199" s="8" t="s">
        <v>19948</v>
      </c>
      <c r="G4199" s="8">
        <v>23.61</v>
      </c>
      <c r="H4199" s="8"/>
      <c r="I4199" s="8"/>
      <c r="J4199" s="8" t="s">
        <v>27035</v>
      </c>
      <c r="K4199" s="8" t="s">
        <v>27036</v>
      </c>
      <c r="L4199" s="8"/>
      <c r="M4199" s="8"/>
      <c r="N4199" s="12"/>
      <c r="O4199" s="12"/>
      <c r="P4199" s="13">
        <f>IFERROR(__xludf.DUMMYFUNCTION("VALUE(SUBSTITUTE((INDEX(SPLIT(A4199,"",""),1)),""."","","",1))"),60.984847)</f>
        <v>60.984847</v>
      </c>
      <c r="Q4199" s="13">
        <f>IFERROR(__xludf.DUMMYFUNCTION("VALUE(SUBSTITUTE((INDEX(SPLIT(A4199,"",""),2)),""."","","",1))"),69.052041)</f>
        <v>69.052041</v>
      </c>
      <c r="R4199" s="14" t="b">
        <f t="shared" si="1"/>
        <v>0</v>
      </c>
      <c r="S4199" s="14" t="str">
        <f t="shared" si="2"/>
        <v>60.984847,69.052041</v>
      </c>
      <c r="T4199" s="12"/>
    </row>
    <row r="4200">
      <c r="A4200" s="20" t="s">
        <v>27037</v>
      </c>
      <c r="B4200" s="16" t="s">
        <v>27038</v>
      </c>
      <c r="C4200" s="16" t="s">
        <v>27039</v>
      </c>
      <c r="D4200" s="16" t="s">
        <v>16</v>
      </c>
      <c r="E4200" s="21" t="s">
        <v>27040</v>
      </c>
      <c r="F4200" s="22" t="s">
        <v>19948</v>
      </c>
      <c r="G4200" s="16">
        <v>23.61</v>
      </c>
      <c r="H4200" s="16"/>
      <c r="I4200" s="22"/>
      <c r="J4200" s="22" t="s">
        <v>27041</v>
      </c>
      <c r="K4200" s="22" t="s">
        <v>27042</v>
      </c>
      <c r="L4200" s="23" t="s">
        <v>27043</v>
      </c>
      <c r="M4200" s="23" t="s">
        <v>27044</v>
      </c>
      <c r="N4200" s="12"/>
      <c r="O4200" s="12"/>
      <c r="P4200" s="13">
        <f>IFERROR(__xludf.DUMMYFUNCTION("VALUE(SUBSTITUTE((INDEX(SPLIT(A4200,"",""),1)),""."","","",1))"),60.996506)</f>
        <v>60.996506</v>
      </c>
      <c r="Q4200" s="13">
        <f>IFERROR(__xludf.DUMMYFUNCTION("VALUE(SUBSTITUTE((INDEX(SPLIT(A4200,"",""),2)),""."","","",1))"),69.065623)</f>
        <v>69.065623</v>
      </c>
      <c r="R4200" s="14" t="b">
        <f t="shared" si="1"/>
        <v>0</v>
      </c>
      <c r="S4200" s="14" t="str">
        <f t="shared" si="2"/>
        <v>60.996506,69.065623</v>
      </c>
      <c r="T4200" s="12"/>
    </row>
    <row r="4201">
      <c r="A4201" s="18" t="s">
        <v>27045</v>
      </c>
      <c r="B4201" s="8" t="s">
        <v>27046</v>
      </c>
      <c r="C4201" s="8" t="s">
        <v>27047</v>
      </c>
      <c r="D4201" s="8" t="s">
        <v>16</v>
      </c>
      <c r="E4201" s="19" t="s">
        <v>27048</v>
      </c>
      <c r="F4201" s="8" t="s">
        <v>19948</v>
      </c>
      <c r="G4201" s="8">
        <v>23.61</v>
      </c>
      <c r="H4201" s="8"/>
      <c r="I4201" s="8"/>
      <c r="J4201" s="8" t="s">
        <v>27049</v>
      </c>
      <c r="K4201" s="8" t="s">
        <v>27050</v>
      </c>
      <c r="L4201" s="8"/>
      <c r="M4201" s="24" t="s">
        <v>4633</v>
      </c>
      <c r="N4201" s="12"/>
      <c r="O4201" s="12"/>
      <c r="P4201" s="13">
        <f>IFERROR(__xludf.DUMMYFUNCTION("VALUE(SUBSTITUTE((INDEX(SPLIT(A4201,"",""),1)),""."","","",1))"),56.10164)</f>
        <v>56.10164</v>
      </c>
      <c r="Q4201" s="13">
        <f>IFERROR(__xludf.DUMMYFUNCTION("VALUE(SUBSTITUTE((INDEX(SPLIT(A4201,"",""),2)),""."","","",1))"),69.465086)</f>
        <v>69.465086</v>
      </c>
      <c r="R4201" s="14" t="b">
        <f t="shared" si="1"/>
        <v>0</v>
      </c>
      <c r="S4201" s="14" t="str">
        <f t="shared" si="2"/>
        <v>56.10164,69.465086</v>
      </c>
      <c r="T4201" s="12"/>
    </row>
    <row r="4202">
      <c r="A4202" s="20" t="s">
        <v>27051</v>
      </c>
      <c r="B4202" s="16" t="s">
        <v>27052</v>
      </c>
      <c r="C4202" s="16" t="s">
        <v>27053</v>
      </c>
      <c r="D4202" s="16" t="s">
        <v>16</v>
      </c>
      <c r="E4202" s="21" t="s">
        <v>27054</v>
      </c>
      <c r="F4202" s="22" t="s">
        <v>19378</v>
      </c>
      <c r="G4202" s="16">
        <v>23.61</v>
      </c>
      <c r="H4202" s="16"/>
      <c r="I4202" s="22"/>
      <c r="J4202" s="22" t="s">
        <v>27055</v>
      </c>
      <c r="K4202" s="22" t="s">
        <v>27056</v>
      </c>
      <c r="L4202" s="23" t="s">
        <v>27057</v>
      </c>
      <c r="M4202" s="22"/>
      <c r="N4202" s="12"/>
      <c r="O4202" s="12"/>
      <c r="P4202" s="13">
        <f>IFERROR(__xludf.DUMMYFUNCTION("VALUE(SUBSTITUTE((INDEX(SPLIT(A4202,"",""),1)),""."","","",1))"),56.111629)</f>
        <v>56.111629</v>
      </c>
      <c r="Q4202" s="13">
        <f>IFERROR(__xludf.DUMMYFUNCTION("VALUE(SUBSTITUTE((INDEX(SPLIT(A4202,"",""),2)),""."","","",1))"),69.475327)</f>
        <v>69.475327</v>
      </c>
      <c r="R4202" s="14" t="b">
        <f t="shared" si="1"/>
        <v>0</v>
      </c>
      <c r="S4202" s="14" t="str">
        <f t="shared" si="2"/>
        <v>56.111629,69.475327</v>
      </c>
      <c r="T4202" s="12"/>
    </row>
    <row r="4203">
      <c r="A4203" s="7" t="s">
        <v>27058</v>
      </c>
      <c r="B4203" s="8" t="s">
        <v>27059</v>
      </c>
      <c r="C4203" s="8" t="s">
        <v>27060</v>
      </c>
      <c r="D4203" s="8" t="s">
        <v>16</v>
      </c>
      <c r="E4203" s="9" t="s">
        <v>27061</v>
      </c>
      <c r="F4203" s="10" t="s">
        <v>3760</v>
      </c>
      <c r="G4203" s="8">
        <v>23.61</v>
      </c>
      <c r="H4203" s="8"/>
      <c r="I4203" s="10"/>
      <c r="J4203" s="10" t="s">
        <v>27062</v>
      </c>
      <c r="K4203" s="10" t="s">
        <v>27063</v>
      </c>
      <c r="L4203" s="11" t="s">
        <v>26420</v>
      </c>
      <c r="M4203" s="10"/>
      <c r="N4203" s="12"/>
      <c r="O4203" s="12"/>
      <c r="P4203" s="13">
        <f>IFERROR(__xludf.DUMMYFUNCTION("VALUE(SUBSTITUTE((INDEX(SPLIT(A4203,"",""),1)),""."","","",1))"),56.111313)</f>
        <v>56.111313</v>
      </c>
      <c r="Q4203" s="13">
        <f>IFERROR(__xludf.DUMMYFUNCTION("VALUE(SUBSTITUTE((INDEX(SPLIT(A4203,"",""),2)),""."","","",1))"),69.489323)</f>
        <v>69.489323</v>
      </c>
      <c r="R4203" s="14" t="b">
        <f t="shared" si="1"/>
        <v>0</v>
      </c>
      <c r="S4203" s="14" t="str">
        <f t="shared" si="2"/>
        <v>56.111313,69.489323</v>
      </c>
      <c r="T4203" s="12"/>
    </row>
    <row r="4204">
      <c r="A4204" s="20" t="s">
        <v>27064</v>
      </c>
      <c r="B4204" s="16" t="s">
        <v>27065</v>
      </c>
      <c r="C4204" s="16" t="s">
        <v>27066</v>
      </c>
      <c r="D4204" s="16" t="s">
        <v>16</v>
      </c>
      <c r="E4204" s="21" t="s">
        <v>27067</v>
      </c>
      <c r="F4204" s="22" t="s">
        <v>19948</v>
      </c>
      <c r="G4204" s="16">
        <v>23.61</v>
      </c>
      <c r="H4204" s="16"/>
      <c r="I4204" s="22"/>
      <c r="J4204" s="22" t="s">
        <v>27068</v>
      </c>
      <c r="K4204" s="22" t="s">
        <v>27069</v>
      </c>
      <c r="L4204" s="23" t="s">
        <v>27070</v>
      </c>
      <c r="M4204" s="22"/>
      <c r="N4204" s="12"/>
      <c r="O4204" s="12"/>
      <c r="P4204" s="13">
        <f>IFERROR(__xludf.DUMMYFUNCTION("VALUE(SUBSTITUTE((INDEX(SPLIT(A4204,"",""),1)),""."","","",1))"),65.526705)</f>
        <v>65.526705</v>
      </c>
      <c r="Q4204" s="13">
        <f>IFERROR(__xludf.DUMMYFUNCTION("VALUE(SUBSTITUTE((INDEX(SPLIT(A4204,"",""),2)),""."","","",1))"),72.550062)</f>
        <v>72.550062</v>
      </c>
      <c r="R4204" s="14" t="b">
        <f t="shared" si="1"/>
        <v>0</v>
      </c>
      <c r="S4204" s="14" t="str">
        <f t="shared" si="2"/>
        <v>65.526705,72.550062</v>
      </c>
      <c r="T4204" s="12"/>
    </row>
    <row r="4205">
      <c r="A4205" s="18" t="s">
        <v>27071</v>
      </c>
      <c r="B4205" s="8" t="s">
        <v>27072</v>
      </c>
      <c r="C4205" s="8" t="s">
        <v>27073</v>
      </c>
      <c r="D4205" s="8" t="s">
        <v>16</v>
      </c>
      <c r="E4205" s="19" t="s">
        <v>27074</v>
      </c>
      <c r="F4205" s="8" t="s">
        <v>19948</v>
      </c>
      <c r="G4205" s="8">
        <v>23.61</v>
      </c>
      <c r="H4205" s="8"/>
      <c r="I4205" s="8"/>
      <c r="J4205" s="8" t="s">
        <v>27075</v>
      </c>
      <c r="K4205" s="8" t="s">
        <v>27076</v>
      </c>
      <c r="L4205" s="8"/>
      <c r="M4205" s="8"/>
      <c r="N4205" s="12"/>
      <c r="O4205" s="12"/>
      <c r="P4205" s="13">
        <f>IFERROR(__xludf.DUMMYFUNCTION("VALUE(SUBSTITUTE((INDEX(SPLIT(A4205,"",""),1)),""."","","",1))"),61.097258)</f>
        <v>61.097258</v>
      </c>
      <c r="Q4205" s="13">
        <f>IFERROR(__xludf.DUMMYFUNCTION("VALUE(SUBSTITUTE((INDEX(SPLIT(A4205,"",""),2)),""."","","",1))"),72.610932)</f>
        <v>72.610932</v>
      </c>
      <c r="R4205" s="14" t="b">
        <f t="shared" si="1"/>
        <v>0</v>
      </c>
      <c r="S4205" s="14" t="str">
        <f t="shared" si="2"/>
        <v>61.097258,72.610932</v>
      </c>
      <c r="T4205" s="12"/>
    </row>
    <row r="4206">
      <c r="A4206" s="15" t="s">
        <v>27077</v>
      </c>
      <c r="B4206" s="16" t="s">
        <v>7551</v>
      </c>
      <c r="C4206" s="16" t="s">
        <v>7552</v>
      </c>
      <c r="D4206" s="16" t="s">
        <v>16</v>
      </c>
      <c r="E4206" s="17" t="s">
        <v>27078</v>
      </c>
      <c r="F4206" s="16" t="s">
        <v>19948</v>
      </c>
      <c r="G4206" s="16">
        <v>23.61</v>
      </c>
      <c r="H4206" s="16"/>
      <c r="I4206" s="16"/>
      <c r="J4206" s="16" t="s">
        <v>27079</v>
      </c>
      <c r="K4206" s="16" t="s">
        <v>27080</v>
      </c>
      <c r="L4206" s="16"/>
      <c r="M4206" s="16"/>
      <c r="N4206" s="12"/>
      <c r="O4206" s="12"/>
      <c r="P4206" s="13">
        <f>IFERROR(__xludf.DUMMYFUNCTION("VALUE(SUBSTITUTE((INDEX(SPLIT(A4206,"",""),1)),""."","","",1))"),61.094897)</f>
        <v>61.094897</v>
      </c>
      <c r="Q4206" s="13">
        <f>IFERROR(__xludf.DUMMYFUNCTION("VALUE(SUBSTITUTE((INDEX(SPLIT(A4206,"",""),2)),""."","","",1))"),72.623365)</f>
        <v>72.623365</v>
      </c>
      <c r="R4206" s="14" t="b">
        <f t="shared" si="1"/>
        <v>0</v>
      </c>
      <c r="S4206" s="14" t="str">
        <f t="shared" si="2"/>
        <v>61.094897,72.623365</v>
      </c>
      <c r="T4206" s="12"/>
    </row>
    <row r="4207">
      <c r="A4207" s="7" t="s">
        <v>27081</v>
      </c>
      <c r="B4207" s="8" t="s">
        <v>27082</v>
      </c>
      <c r="C4207" s="8" t="s">
        <v>27083</v>
      </c>
      <c r="D4207" s="8" t="s">
        <v>16</v>
      </c>
      <c r="E4207" s="9" t="s">
        <v>27084</v>
      </c>
      <c r="F4207" s="10" t="s">
        <v>19948</v>
      </c>
      <c r="G4207" s="8">
        <v>23.61</v>
      </c>
      <c r="H4207" s="8"/>
      <c r="I4207" s="10"/>
      <c r="J4207" s="10" t="s">
        <v>27085</v>
      </c>
      <c r="K4207" s="10" t="s">
        <v>27086</v>
      </c>
      <c r="L4207" s="11" t="s">
        <v>27087</v>
      </c>
      <c r="M4207" s="11" t="s">
        <v>27088</v>
      </c>
      <c r="N4207" s="12"/>
      <c r="O4207" s="12"/>
      <c r="P4207" s="13">
        <f>IFERROR(__xludf.DUMMYFUNCTION("VALUE(SUBSTITUTE((INDEX(SPLIT(A4207,"",""),1)),""."","","",1))"),54.862731)</f>
        <v>54.862731</v>
      </c>
      <c r="Q4207" s="13">
        <f>IFERROR(__xludf.DUMMYFUNCTION("VALUE(SUBSTITUTE((INDEX(SPLIT(A4207,"",""),2)),""."","","",1))"),73.104161)</f>
        <v>73.104161</v>
      </c>
      <c r="R4207" s="14" t="b">
        <f t="shared" si="1"/>
        <v>0</v>
      </c>
      <c r="S4207" s="14" t="str">
        <f t="shared" si="2"/>
        <v>54.862731,73.104161</v>
      </c>
      <c r="T4207" s="12"/>
    </row>
    <row r="4208">
      <c r="A4208" s="20" t="s">
        <v>27089</v>
      </c>
      <c r="B4208" s="16" t="s">
        <v>27090</v>
      </c>
      <c r="C4208" s="16" t="s">
        <v>27091</v>
      </c>
      <c r="D4208" s="16" t="s">
        <v>16</v>
      </c>
      <c r="E4208" s="21" t="s">
        <v>27092</v>
      </c>
      <c r="F4208" s="22" t="s">
        <v>19948</v>
      </c>
      <c r="G4208" s="16">
        <v>23.61</v>
      </c>
      <c r="H4208" s="16"/>
      <c r="I4208" s="22"/>
      <c r="J4208" s="22" t="s">
        <v>27093</v>
      </c>
      <c r="K4208" s="22" t="s">
        <v>27094</v>
      </c>
      <c r="L4208" s="23" t="s">
        <v>27095</v>
      </c>
      <c r="M4208" s="22"/>
      <c r="N4208" s="12"/>
      <c r="O4208" s="12"/>
      <c r="P4208" s="13">
        <f>IFERROR(__xludf.DUMMYFUNCTION("VALUE(SUBSTITUTE((INDEX(SPLIT(A4208,"",""),1)),""."","","",1))"),61.286392)</f>
        <v>61.286392</v>
      </c>
      <c r="Q4208" s="13">
        <f>IFERROR(__xludf.DUMMYFUNCTION("VALUE(SUBSTITUTE((INDEX(SPLIT(A4208,"",""),2)),""."","","",1))"),73.178739)</f>
        <v>73.178739</v>
      </c>
      <c r="R4208" s="14" t="b">
        <f t="shared" si="1"/>
        <v>0</v>
      </c>
      <c r="S4208" s="14" t="str">
        <f t="shared" si="2"/>
        <v>61.286392,73.178739</v>
      </c>
      <c r="T4208" s="12"/>
    </row>
    <row r="4209">
      <c r="A4209" s="18" t="s">
        <v>27096</v>
      </c>
      <c r="B4209" s="8" t="s">
        <v>27097</v>
      </c>
      <c r="C4209" s="8" t="s">
        <v>27098</v>
      </c>
      <c r="D4209" s="8" t="s">
        <v>16</v>
      </c>
      <c r="E4209" s="19" t="s">
        <v>27099</v>
      </c>
      <c r="F4209" s="8" t="s">
        <v>19948</v>
      </c>
      <c r="G4209" s="8">
        <v>23.61</v>
      </c>
      <c r="H4209" s="8"/>
      <c r="I4209" s="8"/>
      <c r="J4209" s="8" t="s">
        <v>27100</v>
      </c>
      <c r="K4209" s="8" t="s">
        <v>27101</v>
      </c>
      <c r="L4209" s="8"/>
      <c r="M4209" s="8"/>
      <c r="N4209" s="12"/>
      <c r="O4209" s="12"/>
      <c r="P4209" s="13">
        <f>IFERROR(__xludf.DUMMYFUNCTION("VALUE(SUBSTITUTE((INDEX(SPLIT(A4209,"",""),1)),""."","","",1))"),54.991149)</f>
        <v>54.991149</v>
      </c>
      <c r="Q4209" s="13">
        <f>IFERROR(__xludf.DUMMYFUNCTION("VALUE(SUBSTITUTE((INDEX(SPLIT(A4209,"",""),2)),""."","","",1))"),73.194235)</f>
        <v>73.194235</v>
      </c>
      <c r="R4209" s="14" t="b">
        <f t="shared" si="1"/>
        <v>0</v>
      </c>
      <c r="S4209" s="14" t="str">
        <f t="shared" si="2"/>
        <v>54.991149,73.194235</v>
      </c>
      <c r="T4209" s="12"/>
    </row>
    <row r="4210">
      <c r="A4210" s="15" t="s">
        <v>27102</v>
      </c>
      <c r="B4210" s="16" t="s">
        <v>27103</v>
      </c>
      <c r="C4210" s="16" t="s">
        <v>27104</v>
      </c>
      <c r="D4210" s="16" t="s">
        <v>16</v>
      </c>
      <c r="E4210" s="17" t="s">
        <v>27105</v>
      </c>
      <c r="F4210" s="16" t="s">
        <v>19948</v>
      </c>
      <c r="G4210" s="16">
        <v>23.61</v>
      </c>
      <c r="H4210" s="16"/>
      <c r="I4210" s="16"/>
      <c r="J4210" s="16" t="s">
        <v>27106</v>
      </c>
      <c r="K4210" s="16" t="s">
        <v>27107</v>
      </c>
      <c r="L4210" s="16"/>
      <c r="M4210" s="25" t="s">
        <v>20285</v>
      </c>
      <c r="N4210" s="12"/>
      <c r="O4210" s="12"/>
      <c r="P4210" s="13">
        <f>IFERROR(__xludf.DUMMYFUNCTION("VALUE(SUBSTITUTE((INDEX(SPLIT(A4210,"",""),1)),""."","","",1))"),55.002072)</f>
        <v>55.002072</v>
      </c>
      <c r="Q4210" s="13">
        <f>IFERROR(__xludf.DUMMYFUNCTION("VALUE(SUBSTITUTE((INDEX(SPLIT(A4210,"",""),2)),""."","","",1))"),73.19764)</f>
        <v>73.19764</v>
      </c>
      <c r="R4210" s="14" t="b">
        <f t="shared" si="1"/>
        <v>0</v>
      </c>
      <c r="S4210" s="14" t="str">
        <f t="shared" si="2"/>
        <v>55.002072,73.19764</v>
      </c>
      <c r="T4210" s="12"/>
    </row>
    <row r="4211">
      <c r="A4211" s="18" t="s">
        <v>27108</v>
      </c>
      <c r="B4211" s="8" t="s">
        <v>27109</v>
      </c>
      <c r="C4211" s="8" t="s">
        <v>27110</v>
      </c>
      <c r="D4211" s="8" t="s">
        <v>16</v>
      </c>
      <c r="E4211" s="19" t="s">
        <v>27111</v>
      </c>
      <c r="F4211" s="8" t="s">
        <v>19948</v>
      </c>
      <c r="G4211" s="8">
        <v>23.61</v>
      </c>
      <c r="H4211" s="8"/>
      <c r="I4211" s="8"/>
      <c r="J4211" s="8" t="s">
        <v>27112</v>
      </c>
      <c r="K4211" s="8" t="s">
        <v>27113</v>
      </c>
      <c r="L4211" s="8"/>
      <c r="M4211" s="8"/>
      <c r="N4211" s="12"/>
      <c r="O4211" s="12"/>
      <c r="P4211" s="13">
        <f>IFERROR(__xludf.DUMMYFUNCTION("VALUE(SUBSTITUTE((INDEX(SPLIT(A4211,"",""),1)),""."","","",1))"),55.004742)</f>
        <v>55.004742</v>
      </c>
      <c r="Q4211" s="13">
        <f>IFERROR(__xludf.DUMMYFUNCTION("VALUE(SUBSTITUTE((INDEX(SPLIT(A4211,"",""),2)),""."","","",1))"),73.202293)</f>
        <v>73.202293</v>
      </c>
      <c r="R4211" s="14" t="b">
        <f t="shared" si="1"/>
        <v>0</v>
      </c>
      <c r="S4211" s="14" t="str">
        <f t="shared" si="2"/>
        <v>55.004742,73.202293</v>
      </c>
      <c r="T4211" s="12"/>
    </row>
    <row r="4212">
      <c r="A4212" s="15" t="s">
        <v>27114</v>
      </c>
      <c r="B4212" s="16" t="s">
        <v>27115</v>
      </c>
      <c r="C4212" s="16" t="s">
        <v>27116</v>
      </c>
      <c r="D4212" s="16" t="s">
        <v>16</v>
      </c>
      <c r="E4212" s="17" t="s">
        <v>27117</v>
      </c>
      <c r="F4212" s="16" t="s">
        <v>19948</v>
      </c>
      <c r="G4212" s="16">
        <v>23.61</v>
      </c>
      <c r="H4212" s="16"/>
      <c r="I4212" s="16"/>
      <c r="J4212" s="16" t="s">
        <v>27118</v>
      </c>
      <c r="K4212" s="16" t="s">
        <v>26830</v>
      </c>
      <c r="L4212" s="16"/>
      <c r="M4212" s="16"/>
      <c r="N4212" s="12"/>
      <c r="O4212" s="12"/>
      <c r="P4212" s="13">
        <f>IFERROR(__xludf.DUMMYFUNCTION("VALUE(SUBSTITUTE((INDEX(SPLIT(A4212,"",""),1)),""."","","",1))"),54.997068)</f>
        <v>54.997068</v>
      </c>
      <c r="Q4212" s="13">
        <f>IFERROR(__xludf.DUMMYFUNCTION("VALUE(SUBSTITUTE((INDEX(SPLIT(A4212,"",""),2)),""."","","",1))"),73.204844)</f>
        <v>73.204844</v>
      </c>
      <c r="R4212" s="14" t="b">
        <f t="shared" si="1"/>
        <v>0</v>
      </c>
      <c r="S4212" s="14" t="str">
        <f t="shared" si="2"/>
        <v>54.997068,73.204844</v>
      </c>
      <c r="T4212" s="12"/>
    </row>
    <row r="4213">
      <c r="A4213" s="7" t="s">
        <v>27119</v>
      </c>
      <c r="B4213" s="8" t="s">
        <v>27120</v>
      </c>
      <c r="C4213" s="8" t="s">
        <v>27121</v>
      </c>
      <c r="D4213" s="8" t="s">
        <v>16</v>
      </c>
      <c r="E4213" s="9" t="s">
        <v>27122</v>
      </c>
      <c r="F4213" s="10" t="s">
        <v>19948</v>
      </c>
      <c r="G4213" s="8">
        <v>23.61</v>
      </c>
      <c r="H4213" s="8"/>
      <c r="I4213" s="10"/>
      <c r="J4213" s="10" t="s">
        <v>27123</v>
      </c>
      <c r="K4213" s="10" t="s">
        <v>27124</v>
      </c>
      <c r="L4213" s="29" t="s">
        <v>27125</v>
      </c>
      <c r="M4213" s="10"/>
      <c r="N4213" s="12"/>
      <c r="O4213" s="12"/>
      <c r="P4213" s="13">
        <f>IFERROR(__xludf.DUMMYFUNCTION("VALUE(SUBSTITUTE((INDEX(SPLIT(A4213,"",""),1)),""."","","",1))"),55.037103)</f>
        <v>55.037103</v>
      </c>
      <c r="Q4213" s="13">
        <f>IFERROR(__xludf.DUMMYFUNCTION("VALUE(SUBSTITUTE((INDEX(SPLIT(A4213,"",""),2)),""."","","",1))"),73.207342)</f>
        <v>73.207342</v>
      </c>
      <c r="R4213" s="14" t="b">
        <f t="shared" si="1"/>
        <v>0</v>
      </c>
      <c r="S4213" s="14" t="str">
        <f t="shared" si="2"/>
        <v>55.037103,73.207342</v>
      </c>
      <c r="T4213" s="12"/>
    </row>
    <row r="4214">
      <c r="A4214" s="20" t="s">
        <v>27126</v>
      </c>
      <c r="B4214" s="16" t="s">
        <v>23583</v>
      </c>
      <c r="C4214" s="16" t="s">
        <v>23584</v>
      </c>
      <c r="D4214" s="16" t="s">
        <v>16</v>
      </c>
      <c r="E4214" s="21" t="s">
        <v>27127</v>
      </c>
      <c r="F4214" s="22" t="s">
        <v>19948</v>
      </c>
      <c r="G4214" s="16">
        <v>23.61</v>
      </c>
      <c r="H4214" s="16"/>
      <c r="I4214" s="22"/>
      <c r="J4214" s="22" t="s">
        <v>27128</v>
      </c>
      <c r="K4214" s="22" t="s">
        <v>27129</v>
      </c>
      <c r="L4214" s="23" t="s">
        <v>27130</v>
      </c>
      <c r="M4214" s="22"/>
      <c r="N4214" s="12"/>
      <c r="O4214" s="12"/>
      <c r="P4214" s="13">
        <f>IFERROR(__xludf.DUMMYFUNCTION("VALUE(SUBSTITUTE((INDEX(SPLIT(A4214,"",""),1)),""."","","",1))"),55.033821)</f>
        <v>55.033821</v>
      </c>
      <c r="Q4214" s="13">
        <f>IFERROR(__xludf.DUMMYFUNCTION("VALUE(SUBSTITUTE((INDEX(SPLIT(A4214,"",""),2)),""."","","",1))"),73.208177)</f>
        <v>73.208177</v>
      </c>
      <c r="R4214" s="14" t="b">
        <f t="shared" si="1"/>
        <v>0</v>
      </c>
      <c r="S4214" s="14" t="str">
        <f t="shared" si="2"/>
        <v>55.033821,73.208177</v>
      </c>
      <c r="T4214" s="12"/>
    </row>
    <row r="4215">
      <c r="A4215" s="7" t="s">
        <v>27131</v>
      </c>
      <c r="B4215" s="8" t="s">
        <v>27132</v>
      </c>
      <c r="C4215" s="8" t="s">
        <v>27133</v>
      </c>
      <c r="D4215" s="8" t="s">
        <v>16</v>
      </c>
      <c r="E4215" s="9" t="s">
        <v>27134</v>
      </c>
      <c r="F4215" s="10" t="s">
        <v>19948</v>
      </c>
      <c r="G4215" s="8">
        <v>23.61</v>
      </c>
      <c r="H4215" s="8"/>
      <c r="I4215" s="10"/>
      <c r="J4215" s="10" t="s">
        <v>27135</v>
      </c>
      <c r="K4215" s="10" t="s">
        <v>27136</v>
      </c>
      <c r="L4215" s="29" t="s">
        <v>27137</v>
      </c>
      <c r="M4215" s="10"/>
      <c r="N4215" s="12"/>
      <c r="O4215" s="12"/>
      <c r="P4215" s="13">
        <f>IFERROR(__xludf.DUMMYFUNCTION("VALUE(SUBSTITUTE((INDEX(SPLIT(A4215,"",""),1)),""."","","",1))"),55.03669)</f>
        <v>55.03669</v>
      </c>
      <c r="Q4215" s="13">
        <f>IFERROR(__xludf.DUMMYFUNCTION("VALUE(SUBSTITUTE((INDEX(SPLIT(A4215,"",""),2)),""."","","",1))"),73.210189)</f>
        <v>73.210189</v>
      </c>
      <c r="R4215" s="14" t="b">
        <f t="shared" si="1"/>
        <v>0</v>
      </c>
      <c r="S4215" s="14" t="str">
        <f t="shared" si="2"/>
        <v>55.03669,73.210189</v>
      </c>
      <c r="T4215" s="12"/>
    </row>
    <row r="4216">
      <c r="A4216" s="15" t="s">
        <v>27138</v>
      </c>
      <c r="B4216" s="16" t="s">
        <v>27139</v>
      </c>
      <c r="C4216" s="16" t="s">
        <v>27140</v>
      </c>
      <c r="D4216" s="16" t="s">
        <v>16</v>
      </c>
      <c r="E4216" s="17" t="s">
        <v>27141</v>
      </c>
      <c r="F4216" s="16" t="s">
        <v>19948</v>
      </c>
      <c r="G4216" s="16">
        <v>23.61</v>
      </c>
      <c r="H4216" s="16"/>
      <c r="I4216" s="16"/>
      <c r="J4216" s="16" t="s">
        <v>27142</v>
      </c>
      <c r="K4216" s="16" t="s">
        <v>27143</v>
      </c>
      <c r="L4216" s="16"/>
      <c r="M4216" s="16"/>
      <c r="N4216" s="12"/>
      <c r="O4216" s="12"/>
      <c r="P4216" s="13">
        <f>IFERROR(__xludf.DUMMYFUNCTION("VALUE(SUBSTITUTE((INDEX(SPLIT(A4216,"",""),1)),""."","","",1))"),55.035772)</f>
        <v>55.035772</v>
      </c>
      <c r="Q4216" s="13">
        <f>IFERROR(__xludf.DUMMYFUNCTION("VALUE(SUBSTITUTE((INDEX(SPLIT(A4216,"",""),2)),""."","","",1))"),73.214151)</f>
        <v>73.214151</v>
      </c>
      <c r="R4216" s="14" t="b">
        <f t="shared" si="1"/>
        <v>0</v>
      </c>
      <c r="S4216" s="14" t="str">
        <f t="shared" si="2"/>
        <v>55.035772,73.214151</v>
      </c>
      <c r="T4216" s="12"/>
    </row>
    <row r="4217">
      <c r="A4217" s="18" t="s">
        <v>27144</v>
      </c>
      <c r="B4217" s="8" t="s">
        <v>27145</v>
      </c>
      <c r="C4217" s="8" t="s">
        <v>27146</v>
      </c>
      <c r="D4217" s="8" t="s">
        <v>16</v>
      </c>
      <c r="E4217" s="19" t="s">
        <v>27147</v>
      </c>
      <c r="F4217" s="8" t="s">
        <v>19948</v>
      </c>
      <c r="G4217" s="8">
        <v>23.61</v>
      </c>
      <c r="H4217" s="8"/>
      <c r="I4217" s="8"/>
      <c r="J4217" s="8" t="s">
        <v>27148</v>
      </c>
      <c r="K4217" s="8" t="s">
        <v>27149</v>
      </c>
      <c r="L4217" s="8"/>
      <c r="M4217" s="24" t="s">
        <v>27150</v>
      </c>
      <c r="N4217" s="12"/>
      <c r="O4217" s="12"/>
      <c r="P4217" s="13">
        <f>IFERROR(__xludf.DUMMYFUNCTION("VALUE(SUBSTITUTE((INDEX(SPLIT(A4217,"",""),1)),""."","","",1))"),55.181385)</f>
        <v>55.181385</v>
      </c>
      <c r="Q4217" s="13">
        <f>IFERROR(__xludf.DUMMYFUNCTION("VALUE(SUBSTITUTE((INDEX(SPLIT(A4217,"",""),2)),""."","","",1))"),73.21504)</f>
        <v>73.21504</v>
      </c>
      <c r="R4217" s="14" t="b">
        <f t="shared" si="1"/>
        <v>0</v>
      </c>
      <c r="S4217" s="14" t="str">
        <f t="shared" si="2"/>
        <v>55.181385,73.21504</v>
      </c>
      <c r="T4217" s="12"/>
    </row>
    <row r="4218">
      <c r="A4218" s="15" t="s">
        <v>27151</v>
      </c>
      <c r="B4218" s="16" t="s">
        <v>27152</v>
      </c>
      <c r="C4218" s="16" t="s">
        <v>27153</v>
      </c>
      <c r="D4218" s="16" t="s">
        <v>16</v>
      </c>
      <c r="E4218" s="17" t="s">
        <v>27154</v>
      </c>
      <c r="F4218" s="16" t="s">
        <v>19948</v>
      </c>
      <c r="G4218" s="16">
        <v>23.61</v>
      </c>
      <c r="H4218" s="16"/>
      <c r="I4218" s="16"/>
      <c r="J4218" s="16" t="s">
        <v>27155</v>
      </c>
      <c r="K4218" s="16" t="s">
        <v>27156</v>
      </c>
      <c r="L4218" s="16"/>
      <c r="M4218" s="16"/>
      <c r="N4218" s="12"/>
      <c r="O4218" s="12"/>
      <c r="P4218" s="13">
        <f>IFERROR(__xludf.DUMMYFUNCTION("VALUE(SUBSTITUTE((INDEX(SPLIT(A4218,"",""),1)),""."","","",1))"),54.975047)</f>
        <v>54.975047</v>
      </c>
      <c r="Q4218" s="13">
        <f>IFERROR(__xludf.DUMMYFUNCTION("VALUE(SUBSTITUTE((INDEX(SPLIT(A4218,"",""),2)),""."","","",1))"),73.220466)</f>
        <v>73.220466</v>
      </c>
      <c r="R4218" s="14" t="b">
        <f t="shared" si="1"/>
        <v>0</v>
      </c>
      <c r="S4218" s="14" t="str">
        <f t="shared" si="2"/>
        <v>54.975047,73.220466</v>
      </c>
      <c r="T4218" s="12"/>
    </row>
    <row r="4219">
      <c r="A4219" s="18" t="s">
        <v>27157</v>
      </c>
      <c r="B4219" s="8" t="s">
        <v>27158</v>
      </c>
      <c r="C4219" s="8" t="s">
        <v>27159</v>
      </c>
      <c r="D4219" s="8" t="s">
        <v>16</v>
      </c>
      <c r="E4219" s="19" t="s">
        <v>27160</v>
      </c>
      <c r="F4219" s="8" t="s">
        <v>19948</v>
      </c>
      <c r="G4219" s="8">
        <v>23.61</v>
      </c>
      <c r="H4219" s="8"/>
      <c r="I4219" s="8"/>
      <c r="J4219" s="8" t="s">
        <v>27161</v>
      </c>
      <c r="K4219" s="8" t="s">
        <v>27162</v>
      </c>
      <c r="L4219" s="8"/>
      <c r="M4219" s="8"/>
      <c r="N4219" s="12"/>
      <c r="O4219" s="12"/>
      <c r="P4219" s="13">
        <f>IFERROR(__xludf.DUMMYFUNCTION("VALUE(SUBSTITUTE((INDEX(SPLIT(A4219,"",""),1)),""."","","",1))"),54.924112)</f>
        <v>54.924112</v>
      </c>
      <c r="Q4219" s="13">
        <f>IFERROR(__xludf.DUMMYFUNCTION("VALUE(SUBSTITUTE((INDEX(SPLIT(A4219,"",""),2)),""."","","",1))"),73.244487)</f>
        <v>73.244487</v>
      </c>
      <c r="R4219" s="14" t="b">
        <f t="shared" si="1"/>
        <v>0</v>
      </c>
      <c r="S4219" s="14" t="str">
        <f t="shared" si="2"/>
        <v>54.924112,73.244487</v>
      </c>
      <c r="T4219" s="12"/>
    </row>
    <row r="4220">
      <c r="A4220" s="15" t="s">
        <v>27163</v>
      </c>
      <c r="B4220" s="16" t="s">
        <v>27164</v>
      </c>
      <c r="C4220" s="16" t="s">
        <v>27165</v>
      </c>
      <c r="D4220" s="16" t="s">
        <v>16</v>
      </c>
      <c r="E4220" s="17" t="s">
        <v>27166</v>
      </c>
      <c r="F4220" s="16" t="s">
        <v>19948</v>
      </c>
      <c r="G4220" s="16">
        <v>23.61</v>
      </c>
      <c r="H4220" s="16"/>
      <c r="I4220" s="16"/>
      <c r="J4220" s="16" t="s">
        <v>27167</v>
      </c>
      <c r="K4220" s="16" t="s">
        <v>27168</v>
      </c>
      <c r="L4220" s="16"/>
      <c r="M4220" s="25" t="s">
        <v>27169</v>
      </c>
      <c r="N4220" s="12"/>
      <c r="O4220" s="12"/>
      <c r="P4220" s="13">
        <f>IFERROR(__xludf.DUMMYFUNCTION("VALUE(SUBSTITUTE((INDEX(SPLIT(A4220,"",""),1)),""."","","",1))"),55.062034)</f>
        <v>55.062034</v>
      </c>
      <c r="Q4220" s="13">
        <f>IFERROR(__xludf.DUMMYFUNCTION("VALUE(SUBSTITUTE((INDEX(SPLIT(A4220,"",""),2)),""."","","",1))"),73.254216)</f>
        <v>73.254216</v>
      </c>
      <c r="R4220" s="14" t="b">
        <f t="shared" si="1"/>
        <v>0</v>
      </c>
      <c r="S4220" s="14" t="str">
        <f t="shared" si="2"/>
        <v>55.062034,73.254216</v>
      </c>
      <c r="T4220" s="12"/>
    </row>
    <row r="4221">
      <c r="A4221" s="18" t="s">
        <v>27170</v>
      </c>
      <c r="B4221" s="8" t="s">
        <v>9706</v>
      </c>
      <c r="C4221" s="8" t="s">
        <v>9707</v>
      </c>
      <c r="D4221" s="8" t="s">
        <v>16</v>
      </c>
      <c r="E4221" s="19" t="s">
        <v>27171</v>
      </c>
      <c r="F4221" s="8" t="s">
        <v>19948</v>
      </c>
      <c r="G4221" s="8">
        <v>23.61</v>
      </c>
      <c r="H4221" s="8"/>
      <c r="I4221" s="8"/>
      <c r="J4221" s="8" t="s">
        <v>27172</v>
      </c>
      <c r="K4221" s="8" t="s">
        <v>27173</v>
      </c>
      <c r="L4221" s="8"/>
      <c r="M4221" s="8"/>
      <c r="N4221" s="12"/>
      <c r="O4221" s="12"/>
      <c r="P4221" s="13">
        <f>IFERROR(__xludf.DUMMYFUNCTION("VALUE(SUBSTITUTE((INDEX(SPLIT(A4221,"",""),1)),""."","","",1))"),55.049266)</f>
        <v>55.049266</v>
      </c>
      <c r="Q4221" s="13">
        <f>IFERROR(__xludf.DUMMYFUNCTION("VALUE(SUBSTITUTE((INDEX(SPLIT(A4221,"",""),2)),""."","","",1))"),73.261672)</f>
        <v>73.261672</v>
      </c>
      <c r="R4221" s="14" t="b">
        <f t="shared" si="1"/>
        <v>0</v>
      </c>
      <c r="S4221" s="14" t="str">
        <f t="shared" si="2"/>
        <v>55.049266,73.261672</v>
      </c>
      <c r="T4221" s="12"/>
    </row>
    <row r="4222">
      <c r="A4222" s="15" t="s">
        <v>27174</v>
      </c>
      <c r="B4222" s="16" t="s">
        <v>27175</v>
      </c>
      <c r="C4222" s="16" t="s">
        <v>27176</v>
      </c>
      <c r="D4222" s="16" t="s">
        <v>16</v>
      </c>
      <c r="E4222" s="17" t="s">
        <v>27177</v>
      </c>
      <c r="F4222" s="16" t="s">
        <v>19948</v>
      </c>
      <c r="G4222" s="16">
        <v>23.61</v>
      </c>
      <c r="H4222" s="16"/>
      <c r="I4222" s="16"/>
      <c r="J4222" s="16" t="s">
        <v>27178</v>
      </c>
      <c r="K4222" s="16" t="s">
        <v>27179</v>
      </c>
      <c r="L4222" s="16"/>
      <c r="M4222" s="16"/>
      <c r="N4222" s="12"/>
      <c r="O4222" s="12"/>
      <c r="P4222" s="13">
        <f>IFERROR(__xludf.DUMMYFUNCTION("VALUE(SUBSTITUTE((INDEX(SPLIT(A4222,"",""),1)),""."","","",1))"),55.083951)</f>
        <v>55.083951</v>
      </c>
      <c r="Q4222" s="13">
        <f>IFERROR(__xludf.DUMMYFUNCTION("VALUE(SUBSTITUTE((INDEX(SPLIT(A4222,"",""),2)),""."","","",1))"),73.26204)</f>
        <v>73.26204</v>
      </c>
      <c r="R4222" s="14" t="b">
        <f t="shared" si="1"/>
        <v>0</v>
      </c>
      <c r="S4222" s="14" t="str">
        <f t="shared" si="2"/>
        <v>55.083951,73.26204</v>
      </c>
      <c r="T4222" s="12"/>
    </row>
    <row r="4223">
      <c r="A4223" s="18" t="s">
        <v>27180</v>
      </c>
      <c r="B4223" s="8" t="s">
        <v>27181</v>
      </c>
      <c r="C4223" s="8" t="s">
        <v>27182</v>
      </c>
      <c r="D4223" s="8" t="s">
        <v>16</v>
      </c>
      <c r="E4223" s="19" t="s">
        <v>27183</v>
      </c>
      <c r="F4223" s="8" t="s">
        <v>19948</v>
      </c>
      <c r="G4223" s="8">
        <v>23.61</v>
      </c>
      <c r="H4223" s="8"/>
      <c r="I4223" s="8"/>
      <c r="J4223" s="8" t="s">
        <v>27178</v>
      </c>
      <c r="K4223" s="8" t="s">
        <v>27184</v>
      </c>
      <c r="L4223" s="8"/>
      <c r="M4223" s="8"/>
      <c r="N4223" s="12"/>
      <c r="O4223" s="12"/>
      <c r="P4223" s="13">
        <f>IFERROR(__xludf.DUMMYFUNCTION("VALUE(SUBSTITUTE((INDEX(SPLIT(A4223,"",""),1)),""."","","",1))"),54.997115)</f>
        <v>54.997115</v>
      </c>
      <c r="Q4223" s="13">
        <f>IFERROR(__xludf.DUMMYFUNCTION("VALUE(SUBSTITUTE((INDEX(SPLIT(A4223,"",""),2)),""."","","",1))"),73.264546)</f>
        <v>73.264546</v>
      </c>
      <c r="R4223" s="14" t="b">
        <f t="shared" si="1"/>
        <v>0</v>
      </c>
      <c r="S4223" s="14" t="str">
        <f t="shared" si="2"/>
        <v>54.997115,73.264546</v>
      </c>
      <c r="T4223" s="12"/>
    </row>
    <row r="4224">
      <c r="A4224" s="20" t="s">
        <v>27185</v>
      </c>
      <c r="B4224" s="16" t="s">
        <v>27186</v>
      </c>
      <c r="C4224" s="16" t="s">
        <v>27187</v>
      </c>
      <c r="D4224" s="16" t="s">
        <v>16</v>
      </c>
      <c r="E4224" s="21" t="s">
        <v>27188</v>
      </c>
      <c r="F4224" s="22" t="s">
        <v>19948</v>
      </c>
      <c r="G4224" s="16">
        <v>23.61</v>
      </c>
      <c r="H4224" s="16"/>
      <c r="I4224" s="22"/>
      <c r="J4224" s="22" t="s">
        <v>27178</v>
      </c>
      <c r="K4224" s="22" t="s">
        <v>27189</v>
      </c>
      <c r="L4224" s="23" t="s">
        <v>27190</v>
      </c>
      <c r="M4224" s="22"/>
      <c r="N4224" s="12"/>
      <c r="O4224" s="12"/>
      <c r="P4224" s="13">
        <f>IFERROR(__xludf.DUMMYFUNCTION("VALUE(SUBSTITUTE((INDEX(SPLIT(A4224,"",""),1)),""."","","",1))"),55.056383)</f>
        <v>55.056383</v>
      </c>
      <c r="Q4224" s="13">
        <f>IFERROR(__xludf.DUMMYFUNCTION("VALUE(SUBSTITUTE((INDEX(SPLIT(A4224,"",""),2)),""."","","",1))"),73.26487)</f>
        <v>73.26487</v>
      </c>
      <c r="R4224" s="14" t="b">
        <f t="shared" si="1"/>
        <v>0</v>
      </c>
      <c r="S4224" s="14" t="str">
        <f t="shared" si="2"/>
        <v>55.056383,73.26487</v>
      </c>
      <c r="T4224" s="12"/>
    </row>
    <row r="4225">
      <c r="A4225" s="7" t="s">
        <v>27185</v>
      </c>
      <c r="B4225" s="8" t="s">
        <v>27191</v>
      </c>
      <c r="C4225" s="8" t="s">
        <v>27192</v>
      </c>
      <c r="D4225" s="8" t="s">
        <v>16</v>
      </c>
      <c r="E4225" s="9" t="s">
        <v>27193</v>
      </c>
      <c r="F4225" s="10" t="s">
        <v>19948</v>
      </c>
      <c r="G4225" s="8">
        <v>23.61</v>
      </c>
      <c r="H4225" s="8"/>
      <c r="I4225" s="10"/>
      <c r="J4225" s="10" t="s">
        <v>27194</v>
      </c>
      <c r="K4225" s="10" t="s">
        <v>27195</v>
      </c>
      <c r="L4225" s="11" t="s">
        <v>27196</v>
      </c>
      <c r="M4225" s="10"/>
      <c r="N4225" s="12"/>
      <c r="O4225" s="12"/>
      <c r="P4225" s="13">
        <f>IFERROR(__xludf.DUMMYFUNCTION("VALUE(SUBSTITUTE((INDEX(SPLIT(A4225,"",""),1)),""."","","",1))"),55.056383)</f>
        <v>55.056383</v>
      </c>
      <c r="Q4225" s="13">
        <f>IFERROR(__xludf.DUMMYFUNCTION("VALUE(SUBSTITUTE((INDEX(SPLIT(A4225,"",""),2)),""."","","",1))"),73.26487)</f>
        <v>73.26487</v>
      </c>
      <c r="R4225" s="14" t="b">
        <f t="shared" si="1"/>
        <v>0</v>
      </c>
      <c r="S4225" s="14" t="str">
        <f t="shared" si="2"/>
        <v>55.056383,73.26487</v>
      </c>
      <c r="T4225" s="12"/>
    </row>
    <row r="4226">
      <c r="A4226" s="20" t="s">
        <v>27197</v>
      </c>
      <c r="B4226" s="16" t="s">
        <v>27198</v>
      </c>
      <c r="C4226" s="16" t="s">
        <v>27199</v>
      </c>
      <c r="D4226" s="16" t="s">
        <v>16</v>
      </c>
      <c r="E4226" s="21" t="s">
        <v>27200</v>
      </c>
      <c r="F4226" s="22" t="s">
        <v>26306</v>
      </c>
      <c r="G4226" s="16">
        <v>23.61</v>
      </c>
      <c r="H4226" s="16"/>
      <c r="I4226" s="22"/>
      <c r="J4226" s="22" t="s">
        <v>27201</v>
      </c>
      <c r="K4226" s="22" t="s">
        <v>27202</v>
      </c>
      <c r="L4226" s="30" t="s">
        <v>27203</v>
      </c>
      <c r="M4226" s="22"/>
      <c r="N4226" s="12"/>
      <c r="O4226" s="12"/>
      <c r="P4226" s="13">
        <f>IFERROR(__xludf.DUMMYFUNCTION("VALUE(SUBSTITUTE((INDEX(SPLIT(A4226,"",""),1)),""."","","",1))"),55.056151)</f>
        <v>55.056151</v>
      </c>
      <c r="Q4226" s="13">
        <f>IFERROR(__xludf.DUMMYFUNCTION("VALUE(SUBSTITUTE((INDEX(SPLIT(A4226,"",""),2)),""."","","",1))"),73.271068)</f>
        <v>73.271068</v>
      </c>
      <c r="R4226" s="14" t="b">
        <f t="shared" si="1"/>
        <v>0</v>
      </c>
      <c r="S4226" s="14" t="str">
        <f t="shared" si="2"/>
        <v>55.056151,73.271068</v>
      </c>
      <c r="T4226" s="12"/>
    </row>
    <row r="4227">
      <c r="A4227" s="7" t="s">
        <v>27204</v>
      </c>
      <c r="B4227" s="8" t="s">
        <v>27205</v>
      </c>
      <c r="C4227" s="8" t="s">
        <v>27206</v>
      </c>
      <c r="D4227" s="8" t="s">
        <v>16</v>
      </c>
      <c r="E4227" s="9" t="s">
        <v>27207</v>
      </c>
      <c r="F4227" s="10" t="s">
        <v>26306</v>
      </c>
      <c r="G4227" s="8">
        <v>23.61</v>
      </c>
      <c r="H4227" s="8"/>
      <c r="I4227" s="10"/>
      <c r="J4227" s="10" t="s">
        <v>27201</v>
      </c>
      <c r="K4227" s="10" t="s">
        <v>27208</v>
      </c>
      <c r="L4227" s="11" t="s">
        <v>27209</v>
      </c>
      <c r="M4227" s="11" t="s">
        <v>27210</v>
      </c>
      <c r="N4227" s="12"/>
      <c r="O4227" s="12"/>
      <c r="P4227" s="13">
        <f>IFERROR(__xludf.DUMMYFUNCTION("VALUE(SUBSTITUTE((INDEX(SPLIT(A4227,"",""),1)),""."","","",1))"),54.987012)</f>
        <v>54.987012</v>
      </c>
      <c r="Q4227" s="13">
        <f>IFERROR(__xludf.DUMMYFUNCTION("VALUE(SUBSTITUTE((INDEX(SPLIT(A4227,"",""),2)),""."","","",1))"),73.277419)</f>
        <v>73.277419</v>
      </c>
      <c r="R4227" s="14" t="b">
        <f t="shared" si="1"/>
        <v>0</v>
      </c>
      <c r="S4227" s="14" t="str">
        <f t="shared" si="2"/>
        <v>54.987012,73.277419</v>
      </c>
      <c r="T4227" s="12"/>
    </row>
    <row r="4228">
      <c r="A4228" s="15" t="s">
        <v>27211</v>
      </c>
      <c r="B4228" s="16" t="s">
        <v>27212</v>
      </c>
      <c r="C4228" s="16" t="s">
        <v>27213</v>
      </c>
      <c r="D4228" s="16" t="s">
        <v>16</v>
      </c>
      <c r="E4228" s="17" t="s">
        <v>27214</v>
      </c>
      <c r="F4228" s="16" t="s">
        <v>19948</v>
      </c>
      <c r="G4228" s="16">
        <v>23.61</v>
      </c>
      <c r="H4228" s="16"/>
      <c r="I4228" s="16"/>
      <c r="J4228" s="16" t="s">
        <v>27215</v>
      </c>
      <c r="K4228" s="16" t="s">
        <v>27216</v>
      </c>
      <c r="L4228" s="16"/>
      <c r="M4228" s="16"/>
      <c r="N4228" s="12"/>
      <c r="O4228" s="12"/>
      <c r="P4228" s="13">
        <f>IFERROR(__xludf.DUMMYFUNCTION("VALUE(SUBSTITUTE((INDEX(SPLIT(A4228,"",""),1)),""."","","",1))"),54.951353)</f>
        <v>54.951353</v>
      </c>
      <c r="Q4228" s="13">
        <f>IFERROR(__xludf.DUMMYFUNCTION("VALUE(SUBSTITUTE((INDEX(SPLIT(A4228,"",""),2)),""."","","",1))"),73.277931)</f>
        <v>73.277931</v>
      </c>
      <c r="R4228" s="14" t="b">
        <f t="shared" si="1"/>
        <v>0</v>
      </c>
      <c r="S4228" s="14" t="str">
        <f t="shared" si="2"/>
        <v>54.951353,73.277931</v>
      </c>
      <c r="T4228" s="12"/>
    </row>
    <row r="4229">
      <c r="A4229" s="18" t="s">
        <v>27217</v>
      </c>
      <c r="B4229" s="8" t="s">
        <v>27218</v>
      </c>
      <c r="C4229" s="8" t="s">
        <v>27219</v>
      </c>
      <c r="D4229" s="8" t="s">
        <v>16</v>
      </c>
      <c r="E4229" s="19" t="s">
        <v>27220</v>
      </c>
      <c r="F4229" s="8" t="s">
        <v>19948</v>
      </c>
      <c r="G4229" s="8">
        <v>23.61</v>
      </c>
      <c r="H4229" s="8"/>
      <c r="I4229" s="8"/>
      <c r="J4229" s="8" t="s">
        <v>27221</v>
      </c>
      <c r="K4229" s="8" t="s">
        <v>27222</v>
      </c>
      <c r="L4229" s="8"/>
      <c r="M4229" s="8"/>
      <c r="N4229" s="12"/>
      <c r="O4229" s="12"/>
      <c r="P4229" s="13">
        <f>IFERROR(__xludf.DUMMYFUNCTION("VALUE(SUBSTITUTE((INDEX(SPLIT(A4229,"",""),1)),""."","","",1))"),55.065463)</f>
        <v>55.065463</v>
      </c>
      <c r="Q4229" s="13">
        <f>IFERROR(__xludf.DUMMYFUNCTION("VALUE(SUBSTITUTE((INDEX(SPLIT(A4229,"",""),2)),""."","","",1))"),73.279719)</f>
        <v>73.279719</v>
      </c>
      <c r="R4229" s="14" t="b">
        <f t="shared" si="1"/>
        <v>0</v>
      </c>
      <c r="S4229" s="14" t="str">
        <f t="shared" si="2"/>
        <v>55.065463,73.279719</v>
      </c>
      <c r="T4229" s="12"/>
    </row>
    <row r="4230">
      <c r="A4230" s="15" t="s">
        <v>27223</v>
      </c>
      <c r="B4230" s="16" t="s">
        <v>27224</v>
      </c>
      <c r="C4230" s="16" t="s">
        <v>27225</v>
      </c>
      <c r="D4230" s="16" t="s">
        <v>16</v>
      </c>
      <c r="E4230" s="17" t="s">
        <v>27226</v>
      </c>
      <c r="F4230" s="16" t="s">
        <v>19948</v>
      </c>
      <c r="G4230" s="16">
        <v>23.61</v>
      </c>
      <c r="H4230" s="16"/>
      <c r="I4230" s="16"/>
      <c r="J4230" s="16" t="s">
        <v>27227</v>
      </c>
      <c r="K4230" s="16" t="s">
        <v>27222</v>
      </c>
      <c r="L4230" s="16"/>
      <c r="M4230" s="16"/>
      <c r="N4230" s="12"/>
      <c r="O4230" s="12"/>
      <c r="P4230" s="13">
        <f>IFERROR(__xludf.DUMMYFUNCTION("VALUE(SUBSTITUTE((INDEX(SPLIT(A4230,"",""),1)),""."","","",1))"),55.055599)</f>
        <v>55.055599</v>
      </c>
      <c r="Q4230" s="13">
        <f>IFERROR(__xludf.DUMMYFUNCTION("VALUE(SUBSTITUTE((INDEX(SPLIT(A4230,"",""),2)),""."","","",1))"),73.283743)</f>
        <v>73.283743</v>
      </c>
      <c r="R4230" s="14" t="b">
        <f t="shared" si="1"/>
        <v>0</v>
      </c>
      <c r="S4230" s="14" t="str">
        <f t="shared" si="2"/>
        <v>55.055599,73.283743</v>
      </c>
      <c r="T4230" s="12"/>
    </row>
    <row r="4231">
      <c r="A4231" s="18" t="s">
        <v>27228</v>
      </c>
      <c r="B4231" s="8" t="s">
        <v>27229</v>
      </c>
      <c r="C4231" s="8" t="s">
        <v>27230</v>
      </c>
      <c r="D4231" s="8" t="s">
        <v>16</v>
      </c>
      <c r="E4231" s="19" t="s">
        <v>27231</v>
      </c>
      <c r="F4231" s="8" t="s">
        <v>19948</v>
      </c>
      <c r="G4231" s="8">
        <v>23.61</v>
      </c>
      <c r="H4231" s="8"/>
      <c r="I4231" s="8"/>
      <c r="J4231" s="8" t="s">
        <v>27232</v>
      </c>
      <c r="K4231" s="8" t="s">
        <v>27233</v>
      </c>
      <c r="L4231" s="8"/>
      <c r="M4231" s="8"/>
      <c r="N4231" s="12"/>
      <c r="O4231" s="12"/>
      <c r="P4231" s="13">
        <f>IFERROR(__xludf.DUMMYFUNCTION("VALUE(SUBSTITUTE((INDEX(SPLIT(A4231,"",""),1)),""."","","",1))"),55.047064)</f>
        <v>55.047064</v>
      </c>
      <c r="Q4231" s="13">
        <f>IFERROR(__xludf.DUMMYFUNCTION("VALUE(SUBSTITUTE((INDEX(SPLIT(A4231,"",""),2)),""."","","",1))"),73.286043)</f>
        <v>73.286043</v>
      </c>
      <c r="R4231" s="14" t="b">
        <f t="shared" si="1"/>
        <v>0</v>
      </c>
      <c r="S4231" s="14" t="str">
        <f t="shared" si="2"/>
        <v>55.047064,73.286043</v>
      </c>
      <c r="T4231" s="12"/>
    </row>
    <row r="4232">
      <c r="A4232" s="20" t="s">
        <v>27234</v>
      </c>
      <c r="B4232" s="16" t="s">
        <v>27235</v>
      </c>
      <c r="C4232" s="16" t="s">
        <v>27236</v>
      </c>
      <c r="D4232" s="16" t="s">
        <v>16</v>
      </c>
      <c r="E4232" s="21" t="s">
        <v>27237</v>
      </c>
      <c r="F4232" s="22" t="s">
        <v>19948</v>
      </c>
      <c r="G4232" s="16">
        <v>23.61</v>
      </c>
      <c r="H4232" s="16"/>
      <c r="I4232" s="22"/>
      <c r="J4232" s="22" t="s">
        <v>27238</v>
      </c>
      <c r="K4232" s="22" t="s">
        <v>27239</v>
      </c>
      <c r="L4232" s="23" t="s">
        <v>27240</v>
      </c>
      <c r="M4232" s="22"/>
      <c r="N4232" s="12"/>
      <c r="O4232" s="12"/>
      <c r="P4232" s="13">
        <f>IFERROR(__xludf.DUMMYFUNCTION("VALUE(SUBSTITUTE((INDEX(SPLIT(A4232,"",""),1)),""."","","",1))"),54.938674)</f>
        <v>54.938674</v>
      </c>
      <c r="Q4232" s="13">
        <f>IFERROR(__xludf.DUMMYFUNCTION("VALUE(SUBSTITUTE((INDEX(SPLIT(A4232,"",""),2)),""."","","",1))"),73.290481)</f>
        <v>73.290481</v>
      </c>
      <c r="R4232" s="14" t="b">
        <f t="shared" si="1"/>
        <v>0</v>
      </c>
      <c r="S4232" s="14" t="str">
        <f t="shared" si="2"/>
        <v>54.938674,73.290481</v>
      </c>
      <c r="T4232" s="12"/>
    </row>
    <row r="4233">
      <c r="A4233" s="18" t="s">
        <v>27241</v>
      </c>
      <c r="B4233" s="8" t="s">
        <v>27242</v>
      </c>
      <c r="C4233" s="8" t="s">
        <v>27243</v>
      </c>
      <c r="D4233" s="8" t="s">
        <v>16</v>
      </c>
      <c r="E4233" s="19" t="s">
        <v>27244</v>
      </c>
      <c r="F4233" s="8" t="s">
        <v>19948</v>
      </c>
      <c r="G4233" s="8">
        <v>23.61</v>
      </c>
      <c r="H4233" s="8"/>
      <c r="I4233" s="8"/>
      <c r="J4233" s="8" t="s">
        <v>27245</v>
      </c>
      <c r="K4233" s="8" t="s">
        <v>27246</v>
      </c>
      <c r="L4233" s="8"/>
      <c r="M4233" s="8"/>
      <c r="N4233" s="12"/>
      <c r="O4233" s="12"/>
      <c r="P4233" s="13">
        <f>IFERROR(__xludf.DUMMYFUNCTION("VALUE(SUBSTITUTE((INDEX(SPLIT(A4233,"",""),1)),""."","","",1))"),54.948117)</f>
        <v>54.948117</v>
      </c>
      <c r="Q4233" s="13">
        <f>IFERROR(__xludf.DUMMYFUNCTION("VALUE(SUBSTITUTE((INDEX(SPLIT(A4233,"",""),2)),""."","","",1))"),73.292727)</f>
        <v>73.292727</v>
      </c>
      <c r="R4233" s="14" t="b">
        <f t="shared" si="1"/>
        <v>0</v>
      </c>
      <c r="S4233" s="14" t="str">
        <f t="shared" si="2"/>
        <v>54.948117,73.292727</v>
      </c>
      <c r="T4233" s="12"/>
    </row>
    <row r="4234">
      <c r="A4234" s="15" t="s">
        <v>27247</v>
      </c>
      <c r="B4234" s="16" t="s">
        <v>27248</v>
      </c>
      <c r="C4234" s="16" t="s">
        <v>27249</v>
      </c>
      <c r="D4234" s="16" t="s">
        <v>16</v>
      </c>
      <c r="E4234" s="17" t="s">
        <v>27250</v>
      </c>
      <c r="F4234" s="16" t="s">
        <v>19948</v>
      </c>
      <c r="G4234" s="16">
        <v>23.61</v>
      </c>
      <c r="H4234" s="16"/>
      <c r="I4234" s="16"/>
      <c r="J4234" s="16" t="s">
        <v>27251</v>
      </c>
      <c r="K4234" s="16" t="s">
        <v>27252</v>
      </c>
      <c r="L4234" s="16"/>
      <c r="M4234" s="16"/>
      <c r="N4234" s="12"/>
      <c r="O4234" s="12"/>
      <c r="P4234" s="13">
        <f>IFERROR(__xludf.DUMMYFUNCTION("VALUE(SUBSTITUTE((INDEX(SPLIT(A4234,"",""),1)),""."","","",1))"),55.04497)</f>
        <v>55.04497</v>
      </c>
      <c r="Q4234" s="13">
        <f>IFERROR(__xludf.DUMMYFUNCTION("VALUE(SUBSTITUTE((INDEX(SPLIT(A4234,"",""),2)),""."","","",1))"),73.294415)</f>
        <v>73.294415</v>
      </c>
      <c r="R4234" s="14" t="b">
        <f t="shared" si="1"/>
        <v>0</v>
      </c>
      <c r="S4234" s="14" t="str">
        <f t="shared" si="2"/>
        <v>55.04497,73.294415</v>
      </c>
      <c r="T4234" s="12"/>
    </row>
    <row r="4235">
      <c r="A4235" s="18" t="s">
        <v>27253</v>
      </c>
      <c r="B4235" s="8" t="s">
        <v>27254</v>
      </c>
      <c r="C4235" s="8" t="s">
        <v>27255</v>
      </c>
      <c r="D4235" s="8" t="s">
        <v>16</v>
      </c>
      <c r="E4235" s="19" t="s">
        <v>27256</v>
      </c>
      <c r="F4235" s="8" t="s">
        <v>19948</v>
      </c>
      <c r="G4235" s="8">
        <v>23.61</v>
      </c>
      <c r="H4235" s="8"/>
      <c r="I4235" s="8"/>
      <c r="J4235" s="8" t="s">
        <v>27257</v>
      </c>
      <c r="K4235" s="8" t="s">
        <v>27258</v>
      </c>
      <c r="L4235" s="8"/>
      <c r="M4235" s="24" t="s">
        <v>27259</v>
      </c>
      <c r="N4235" s="12"/>
      <c r="O4235" s="12"/>
      <c r="P4235" s="13">
        <f>IFERROR(__xludf.DUMMYFUNCTION("VALUE(SUBSTITUTE((INDEX(SPLIT(A4235,"",""),1)),""."","","",1))"),55.002583)</f>
        <v>55.002583</v>
      </c>
      <c r="Q4235" s="13">
        <f>IFERROR(__xludf.DUMMYFUNCTION("VALUE(SUBSTITUTE((INDEX(SPLIT(A4235,"",""),2)),""."","","",1))"),73.296491)</f>
        <v>73.296491</v>
      </c>
      <c r="R4235" s="14" t="b">
        <f t="shared" si="1"/>
        <v>0</v>
      </c>
      <c r="S4235" s="14" t="str">
        <f t="shared" si="2"/>
        <v>55.002583,73.296491</v>
      </c>
      <c r="T4235" s="12"/>
    </row>
    <row r="4236">
      <c r="A4236" s="15" t="s">
        <v>27260</v>
      </c>
      <c r="B4236" s="16" t="s">
        <v>5258</v>
      </c>
      <c r="C4236" s="16" t="s">
        <v>5259</v>
      </c>
      <c r="D4236" s="16" t="s">
        <v>16</v>
      </c>
      <c r="E4236" s="17" t="s">
        <v>27261</v>
      </c>
      <c r="F4236" s="16" t="s">
        <v>19948</v>
      </c>
      <c r="G4236" s="16">
        <v>23.61</v>
      </c>
      <c r="H4236" s="16"/>
      <c r="I4236" s="16"/>
      <c r="J4236" s="16" t="s">
        <v>27262</v>
      </c>
      <c r="K4236" s="16" t="s">
        <v>27263</v>
      </c>
      <c r="L4236" s="16"/>
      <c r="M4236" s="25" t="s">
        <v>27264</v>
      </c>
      <c r="N4236" s="12"/>
      <c r="O4236" s="12"/>
      <c r="P4236" s="13">
        <f>IFERROR(__xludf.DUMMYFUNCTION("VALUE(SUBSTITUTE((INDEX(SPLIT(A4236,"",""),1)),""."","","",1))"),54.979351)</f>
        <v>54.979351</v>
      </c>
      <c r="Q4236" s="13">
        <f>IFERROR(__xludf.DUMMYFUNCTION("VALUE(SUBSTITUTE((INDEX(SPLIT(A4236,"",""),2)),""."","","",1))"),73.299787)</f>
        <v>73.299787</v>
      </c>
      <c r="R4236" s="14" t="b">
        <f t="shared" si="1"/>
        <v>0</v>
      </c>
      <c r="S4236" s="14" t="str">
        <f t="shared" si="2"/>
        <v>54.979351,73.299787</v>
      </c>
      <c r="T4236" s="12"/>
    </row>
    <row r="4237">
      <c r="A4237" s="18" t="s">
        <v>27265</v>
      </c>
      <c r="B4237" s="8" t="s">
        <v>27266</v>
      </c>
      <c r="C4237" s="8" t="s">
        <v>27267</v>
      </c>
      <c r="D4237" s="8" t="s">
        <v>16</v>
      </c>
      <c r="E4237" s="19" t="s">
        <v>27268</v>
      </c>
      <c r="F4237" s="8" t="s">
        <v>19948</v>
      </c>
      <c r="G4237" s="8">
        <v>23.61</v>
      </c>
      <c r="H4237" s="8"/>
      <c r="I4237" s="8"/>
      <c r="J4237" s="8" t="s">
        <v>27269</v>
      </c>
      <c r="K4237" s="8" t="s">
        <v>27270</v>
      </c>
      <c r="L4237" s="8"/>
      <c r="M4237" s="8"/>
      <c r="N4237" s="12"/>
      <c r="O4237" s="12"/>
      <c r="P4237" s="13">
        <f>IFERROR(__xludf.DUMMYFUNCTION("VALUE(SUBSTITUTE((INDEX(SPLIT(A4237,"",""),1)),""."","","",1))"),55.072304)</f>
        <v>55.072304</v>
      </c>
      <c r="Q4237" s="13">
        <f>IFERROR(__xludf.DUMMYFUNCTION("VALUE(SUBSTITUTE((INDEX(SPLIT(A4237,"",""),2)),""."","","",1))"),73.30038)</f>
        <v>73.30038</v>
      </c>
      <c r="R4237" s="14" t="b">
        <f t="shared" si="1"/>
        <v>0</v>
      </c>
      <c r="S4237" s="14" t="str">
        <f t="shared" si="2"/>
        <v>55.072304,73.30038</v>
      </c>
      <c r="T4237" s="12"/>
    </row>
    <row r="4238">
      <c r="A4238" s="15" t="s">
        <v>27271</v>
      </c>
      <c r="B4238" s="16" t="s">
        <v>27272</v>
      </c>
      <c r="C4238" s="16" t="s">
        <v>27273</v>
      </c>
      <c r="D4238" s="16" t="s">
        <v>16</v>
      </c>
      <c r="E4238" s="17" t="s">
        <v>27274</v>
      </c>
      <c r="F4238" s="16" t="s">
        <v>19948</v>
      </c>
      <c r="G4238" s="16">
        <v>23.61</v>
      </c>
      <c r="H4238" s="16"/>
      <c r="I4238" s="16"/>
      <c r="J4238" s="16" t="s">
        <v>27275</v>
      </c>
      <c r="K4238" s="16" t="s">
        <v>27036</v>
      </c>
      <c r="L4238" s="16"/>
      <c r="M4238" s="25" t="s">
        <v>27276</v>
      </c>
      <c r="N4238" s="12"/>
      <c r="O4238" s="12"/>
      <c r="P4238" s="13">
        <f>IFERROR(__xludf.DUMMYFUNCTION("VALUE(SUBSTITUTE((INDEX(SPLIT(A4238,"",""),1)),""."","","",1))"),55.066587)</f>
        <v>55.066587</v>
      </c>
      <c r="Q4238" s="13">
        <f>IFERROR(__xludf.DUMMYFUNCTION("VALUE(SUBSTITUTE((INDEX(SPLIT(A4238,"",""),2)),""."","","",1))"),73.303533)</f>
        <v>73.303533</v>
      </c>
      <c r="R4238" s="14" t="b">
        <f t="shared" si="1"/>
        <v>0</v>
      </c>
      <c r="S4238" s="14" t="str">
        <f t="shared" si="2"/>
        <v>55.066587,73.303533</v>
      </c>
      <c r="T4238" s="12"/>
    </row>
    <row r="4239">
      <c r="A4239" s="7" t="s">
        <v>27277</v>
      </c>
      <c r="B4239" s="8" t="s">
        <v>27278</v>
      </c>
      <c r="C4239" s="8" t="s">
        <v>27279</v>
      </c>
      <c r="D4239" s="8" t="s">
        <v>16</v>
      </c>
      <c r="E4239" s="9" t="s">
        <v>27280</v>
      </c>
      <c r="F4239" s="10" t="s">
        <v>19948</v>
      </c>
      <c r="G4239" s="8">
        <v>23.61</v>
      </c>
      <c r="H4239" s="8"/>
      <c r="I4239" s="10"/>
      <c r="J4239" s="10" t="s">
        <v>27281</v>
      </c>
      <c r="K4239" s="10" t="s">
        <v>27282</v>
      </c>
      <c r="L4239" s="11" t="s">
        <v>27283</v>
      </c>
      <c r="M4239" s="10"/>
      <c r="N4239" s="12"/>
      <c r="O4239" s="12"/>
      <c r="P4239" s="13">
        <f>IFERROR(__xludf.DUMMYFUNCTION("VALUE(SUBSTITUTE((INDEX(SPLIT(A4239,"",""),1)),""."","","",1))"),55.003146)</f>
        <v>55.003146</v>
      </c>
      <c r="Q4239" s="13">
        <f>IFERROR(__xludf.DUMMYFUNCTION("VALUE(SUBSTITUTE((INDEX(SPLIT(A4239,"",""),2)),""."","","",1))"),73.304108)</f>
        <v>73.304108</v>
      </c>
      <c r="R4239" s="14" t="b">
        <f t="shared" si="1"/>
        <v>0</v>
      </c>
      <c r="S4239" s="14" t="str">
        <f t="shared" si="2"/>
        <v>55.003146,73.304108</v>
      </c>
      <c r="T4239" s="12"/>
    </row>
    <row r="4240">
      <c r="A4240" s="15" t="s">
        <v>27284</v>
      </c>
      <c r="B4240" s="16" t="s">
        <v>27285</v>
      </c>
      <c r="C4240" s="16" t="s">
        <v>27286</v>
      </c>
      <c r="D4240" s="16" t="s">
        <v>16</v>
      </c>
      <c r="E4240" s="17" t="s">
        <v>27287</v>
      </c>
      <c r="F4240" s="16" t="s">
        <v>6724</v>
      </c>
      <c r="G4240" s="16">
        <v>23.61</v>
      </c>
      <c r="H4240" s="16"/>
      <c r="I4240" s="16"/>
      <c r="J4240" s="16" t="s">
        <v>27288</v>
      </c>
      <c r="K4240" s="16" t="s">
        <v>27289</v>
      </c>
      <c r="L4240" s="16"/>
      <c r="M4240" s="16"/>
      <c r="N4240" s="12"/>
      <c r="O4240" s="12"/>
      <c r="P4240" s="13">
        <f>IFERROR(__xludf.DUMMYFUNCTION("VALUE(SUBSTITUTE((INDEX(SPLIT(A4240,"",""),1)),""."","","",1))"),54.994119)</f>
        <v>54.994119</v>
      </c>
      <c r="Q4240" s="13">
        <f>IFERROR(__xludf.DUMMYFUNCTION("VALUE(SUBSTITUTE((INDEX(SPLIT(A4240,"",""),2)),""."","","",1))"),73.307908)</f>
        <v>73.307908</v>
      </c>
      <c r="R4240" s="14" t="b">
        <f t="shared" si="1"/>
        <v>0</v>
      </c>
      <c r="S4240" s="14" t="str">
        <f t="shared" si="2"/>
        <v>54.994119,73.307908</v>
      </c>
      <c r="T4240" s="12"/>
    </row>
    <row r="4241">
      <c r="A4241" s="18" t="s">
        <v>27290</v>
      </c>
      <c r="B4241" s="8" t="s">
        <v>27291</v>
      </c>
      <c r="C4241" s="8" t="s">
        <v>27292</v>
      </c>
      <c r="D4241" s="8" t="s">
        <v>16</v>
      </c>
      <c r="E4241" s="19" t="s">
        <v>27293</v>
      </c>
      <c r="F4241" s="8" t="s">
        <v>19948</v>
      </c>
      <c r="G4241" s="8">
        <v>23.61</v>
      </c>
      <c r="H4241" s="8"/>
      <c r="I4241" s="8"/>
      <c r="J4241" s="8" t="s">
        <v>27294</v>
      </c>
      <c r="K4241" s="8" t="s">
        <v>27295</v>
      </c>
      <c r="L4241" s="8"/>
      <c r="M4241" s="8"/>
      <c r="N4241" s="12"/>
      <c r="O4241" s="12"/>
      <c r="P4241" s="13">
        <f>IFERROR(__xludf.DUMMYFUNCTION("VALUE(SUBSTITUTE((INDEX(SPLIT(A4241,"",""),1)),""."","","",1))"),54.946907)</f>
        <v>54.946907</v>
      </c>
      <c r="Q4241" s="13">
        <f>IFERROR(__xludf.DUMMYFUNCTION("VALUE(SUBSTITUTE((INDEX(SPLIT(A4241,"",""),2)),""."","","",1))"),73.310055)</f>
        <v>73.310055</v>
      </c>
      <c r="R4241" s="14" t="b">
        <f t="shared" si="1"/>
        <v>0</v>
      </c>
      <c r="S4241" s="14" t="str">
        <f t="shared" si="2"/>
        <v>54.946907,73.310055</v>
      </c>
      <c r="T4241" s="12"/>
    </row>
    <row r="4242">
      <c r="A4242" s="20" t="s">
        <v>27296</v>
      </c>
      <c r="B4242" s="16" t="s">
        <v>854</v>
      </c>
      <c r="C4242" s="16" t="s">
        <v>855</v>
      </c>
      <c r="D4242" s="16" t="s">
        <v>16</v>
      </c>
      <c r="E4242" s="21" t="s">
        <v>27297</v>
      </c>
      <c r="F4242" s="22" t="s">
        <v>19948</v>
      </c>
      <c r="G4242" s="16">
        <v>23.61</v>
      </c>
      <c r="H4242" s="16"/>
      <c r="I4242" s="22"/>
      <c r="J4242" s="22" t="s">
        <v>27298</v>
      </c>
      <c r="K4242" s="22" t="s">
        <v>27299</v>
      </c>
      <c r="L4242" s="30" t="s">
        <v>27300</v>
      </c>
      <c r="M4242" s="22"/>
      <c r="N4242" s="12"/>
      <c r="O4242" s="12"/>
      <c r="P4242" s="13">
        <f>IFERROR(__xludf.DUMMYFUNCTION("VALUE(SUBSTITUTE((INDEX(SPLIT(A4242,"",""),1)),""."","","",1))"),54.944223)</f>
        <v>54.944223</v>
      </c>
      <c r="Q4242" s="13">
        <f>IFERROR(__xludf.DUMMYFUNCTION("VALUE(SUBSTITUTE((INDEX(SPLIT(A4242,"",""),2)),""."","","",1))"),73.31372)</f>
        <v>73.31372</v>
      </c>
      <c r="R4242" s="14" t="b">
        <f t="shared" si="1"/>
        <v>0</v>
      </c>
      <c r="S4242" s="14" t="str">
        <f t="shared" si="2"/>
        <v>54.944223,73.31372</v>
      </c>
      <c r="T4242" s="12"/>
    </row>
    <row r="4243">
      <c r="A4243" s="7" t="s">
        <v>27301</v>
      </c>
      <c r="B4243" s="8" t="s">
        <v>27302</v>
      </c>
      <c r="C4243" s="8" t="s">
        <v>27303</v>
      </c>
      <c r="D4243" s="8" t="s">
        <v>16</v>
      </c>
      <c r="E4243" s="9" t="s">
        <v>27304</v>
      </c>
      <c r="F4243" s="10" t="s">
        <v>26306</v>
      </c>
      <c r="G4243" s="8">
        <v>23.61</v>
      </c>
      <c r="H4243" s="8"/>
      <c r="I4243" s="31" t="s">
        <v>27305</v>
      </c>
      <c r="J4243" s="10" t="s">
        <v>27306</v>
      </c>
      <c r="K4243" s="10" t="s">
        <v>27307</v>
      </c>
      <c r="L4243" s="29" t="s">
        <v>27308</v>
      </c>
      <c r="M4243" s="10"/>
      <c r="N4243" s="12"/>
      <c r="O4243" s="12"/>
      <c r="P4243" s="13">
        <f>IFERROR(__xludf.DUMMYFUNCTION("VALUE(SUBSTITUTE((INDEX(SPLIT(A4243,"",""),1)),""."","","",1))"),54.910125)</f>
        <v>54.910125</v>
      </c>
      <c r="Q4243" s="13">
        <f>IFERROR(__xludf.DUMMYFUNCTION("VALUE(SUBSTITUTE((INDEX(SPLIT(A4243,"",""),2)),""."","","",1))"),73.314421)</f>
        <v>73.314421</v>
      </c>
      <c r="R4243" s="14" t="b">
        <f t="shared" si="1"/>
        <v>0</v>
      </c>
      <c r="S4243" s="14" t="str">
        <f t="shared" si="2"/>
        <v>54.910125,73.314421</v>
      </c>
      <c r="T4243" s="12"/>
    </row>
    <row r="4244">
      <c r="A4244" s="20" t="s">
        <v>27309</v>
      </c>
      <c r="B4244" s="16" t="s">
        <v>27310</v>
      </c>
      <c r="C4244" s="16" t="s">
        <v>27311</v>
      </c>
      <c r="D4244" s="16" t="s">
        <v>16</v>
      </c>
      <c r="E4244" s="21" t="s">
        <v>27312</v>
      </c>
      <c r="F4244" s="22" t="s">
        <v>19378</v>
      </c>
      <c r="G4244" s="16">
        <v>23.61</v>
      </c>
      <c r="H4244" s="16"/>
      <c r="I4244" s="22"/>
      <c r="J4244" s="22" t="s">
        <v>27313</v>
      </c>
      <c r="K4244" s="22" t="s">
        <v>27314</v>
      </c>
      <c r="L4244" s="23" t="s">
        <v>27315</v>
      </c>
      <c r="M4244" s="22"/>
      <c r="N4244" s="12"/>
      <c r="O4244" s="12"/>
      <c r="P4244" s="13">
        <f>IFERROR(__xludf.DUMMYFUNCTION("VALUE(SUBSTITUTE((INDEX(SPLIT(A4244,"",""),1)),""."","","",1))"),54.990385)</f>
        <v>54.990385</v>
      </c>
      <c r="Q4244" s="13">
        <f>IFERROR(__xludf.DUMMYFUNCTION("VALUE(SUBSTITUTE((INDEX(SPLIT(A4244,"",""),2)),""."","","",1))"),73.315283)</f>
        <v>73.315283</v>
      </c>
      <c r="R4244" s="14" t="b">
        <f t="shared" si="1"/>
        <v>0</v>
      </c>
      <c r="S4244" s="14" t="str">
        <f t="shared" si="2"/>
        <v>54.990385,73.315283</v>
      </c>
      <c r="T4244" s="12"/>
    </row>
    <row r="4245">
      <c r="A4245" s="7" t="s">
        <v>27316</v>
      </c>
      <c r="B4245" s="8" t="s">
        <v>27317</v>
      </c>
      <c r="C4245" s="8" t="s">
        <v>27318</v>
      </c>
      <c r="D4245" s="8" t="s">
        <v>16</v>
      </c>
      <c r="E4245" s="9" t="s">
        <v>27319</v>
      </c>
      <c r="F4245" s="10" t="s">
        <v>19948</v>
      </c>
      <c r="G4245" s="8">
        <v>23.61</v>
      </c>
      <c r="H4245" s="8"/>
      <c r="I4245" s="10"/>
      <c r="J4245" s="10" t="s">
        <v>27320</v>
      </c>
      <c r="K4245" s="10" t="s">
        <v>27321</v>
      </c>
      <c r="L4245" s="11" t="s">
        <v>27322</v>
      </c>
      <c r="M4245" s="10"/>
      <c r="N4245" s="12"/>
      <c r="O4245" s="12"/>
      <c r="P4245" s="13">
        <f>IFERROR(__xludf.DUMMYFUNCTION("VALUE(SUBSTITUTE((INDEX(SPLIT(A4245,"",""),1)),""."","","",1))"),54.988185)</f>
        <v>54.988185</v>
      </c>
      <c r="Q4245" s="13">
        <f>IFERROR(__xludf.DUMMYFUNCTION("VALUE(SUBSTITUTE((INDEX(SPLIT(A4245,"",""),2)),""."","","",1))"),73.32185)</f>
        <v>73.32185</v>
      </c>
      <c r="R4245" s="14" t="b">
        <f t="shared" si="1"/>
        <v>0</v>
      </c>
      <c r="S4245" s="14" t="str">
        <f t="shared" si="2"/>
        <v>54.988185,73.32185</v>
      </c>
      <c r="T4245" s="12"/>
    </row>
    <row r="4246">
      <c r="A4246" s="15" t="s">
        <v>27323</v>
      </c>
      <c r="B4246" s="16" t="s">
        <v>27324</v>
      </c>
      <c r="C4246" s="16" t="s">
        <v>27325</v>
      </c>
      <c r="D4246" s="16" t="s">
        <v>16</v>
      </c>
      <c r="E4246" s="17" t="s">
        <v>27326</v>
      </c>
      <c r="F4246" s="16" t="s">
        <v>26306</v>
      </c>
      <c r="G4246" s="16">
        <v>23.61</v>
      </c>
      <c r="H4246" s="16"/>
      <c r="I4246" s="16"/>
      <c r="J4246" s="16" t="s">
        <v>27327</v>
      </c>
      <c r="K4246" s="16" t="s">
        <v>27328</v>
      </c>
      <c r="L4246" s="16"/>
      <c r="M4246" s="16"/>
      <c r="N4246" s="12"/>
      <c r="O4246" s="12"/>
      <c r="P4246" s="13">
        <f>IFERROR(__xludf.DUMMYFUNCTION("VALUE(SUBSTITUTE((INDEX(SPLIT(A4246,"",""),1)),""."","","",1))"),54.938995)</f>
        <v>54.938995</v>
      </c>
      <c r="Q4246" s="13">
        <f>IFERROR(__xludf.DUMMYFUNCTION("VALUE(SUBSTITUTE((INDEX(SPLIT(A4246,"",""),2)),""."","","",1))"),73.324895)</f>
        <v>73.324895</v>
      </c>
      <c r="R4246" s="14" t="b">
        <f t="shared" si="1"/>
        <v>0</v>
      </c>
      <c r="S4246" s="14" t="str">
        <f t="shared" si="2"/>
        <v>54.938995,73.324895</v>
      </c>
      <c r="T4246" s="12"/>
    </row>
    <row r="4247">
      <c r="A4247" s="7" t="s">
        <v>27329</v>
      </c>
      <c r="B4247" s="8" t="s">
        <v>27330</v>
      </c>
      <c r="C4247" s="8" t="s">
        <v>27331</v>
      </c>
      <c r="D4247" s="8" t="s">
        <v>16</v>
      </c>
      <c r="E4247" s="9" t="s">
        <v>27332</v>
      </c>
      <c r="F4247" s="10" t="s">
        <v>26306</v>
      </c>
      <c r="G4247" s="8">
        <v>23.61</v>
      </c>
      <c r="H4247" s="8"/>
      <c r="I4247" s="10"/>
      <c r="J4247" s="10" t="s">
        <v>27333</v>
      </c>
      <c r="K4247" s="10" t="s">
        <v>27334</v>
      </c>
      <c r="L4247" s="11" t="s">
        <v>27335</v>
      </c>
      <c r="M4247" s="10"/>
      <c r="N4247" s="12"/>
      <c r="O4247" s="12"/>
      <c r="P4247" s="13">
        <f>IFERROR(__xludf.DUMMYFUNCTION("VALUE(SUBSTITUTE((INDEX(SPLIT(A4247,"",""),1)),""."","","",1))"),55.003621)</f>
        <v>55.003621</v>
      </c>
      <c r="Q4247" s="13">
        <f>IFERROR(__xludf.DUMMYFUNCTION("VALUE(SUBSTITUTE((INDEX(SPLIT(A4247,"",""),2)),""."","","",1))"),73.343724)</f>
        <v>73.343724</v>
      </c>
      <c r="R4247" s="14" t="b">
        <f t="shared" si="1"/>
        <v>0</v>
      </c>
      <c r="S4247" s="14" t="str">
        <f t="shared" si="2"/>
        <v>55.003621,73.343724</v>
      </c>
      <c r="T4247" s="12"/>
    </row>
    <row r="4248">
      <c r="A4248" s="20" t="s">
        <v>27336</v>
      </c>
      <c r="B4248" s="16" t="s">
        <v>27337</v>
      </c>
      <c r="C4248" s="16" t="s">
        <v>27338</v>
      </c>
      <c r="D4248" s="16" t="s">
        <v>16</v>
      </c>
      <c r="E4248" s="21" t="s">
        <v>27339</v>
      </c>
      <c r="F4248" s="22" t="s">
        <v>26306</v>
      </c>
      <c r="G4248" s="16">
        <v>23.61</v>
      </c>
      <c r="H4248" s="16"/>
      <c r="I4248" s="22"/>
      <c r="J4248" s="22" t="s">
        <v>27333</v>
      </c>
      <c r="K4248" s="22" t="s">
        <v>27340</v>
      </c>
      <c r="L4248" s="23" t="s">
        <v>27335</v>
      </c>
      <c r="M4248" s="22"/>
      <c r="N4248" s="12"/>
      <c r="O4248" s="12"/>
      <c r="P4248" s="13">
        <f>IFERROR(__xludf.DUMMYFUNCTION("VALUE(SUBSTITUTE((INDEX(SPLIT(A4248,"",""),1)),""."","","",1))"),55.026938)</f>
        <v>55.026938</v>
      </c>
      <c r="Q4248" s="13">
        <f>IFERROR(__xludf.DUMMYFUNCTION("VALUE(SUBSTITUTE((INDEX(SPLIT(A4248,"",""),2)),""."","","",1))"),73.363864)</f>
        <v>73.363864</v>
      </c>
      <c r="R4248" s="14" t="b">
        <f t="shared" si="1"/>
        <v>0</v>
      </c>
      <c r="S4248" s="14" t="str">
        <f t="shared" si="2"/>
        <v>55.026938,73.363864</v>
      </c>
      <c r="T4248" s="12"/>
    </row>
    <row r="4249">
      <c r="A4249" s="18" t="s">
        <v>27341</v>
      </c>
      <c r="B4249" s="8" t="s">
        <v>27342</v>
      </c>
      <c r="C4249" s="8" t="s">
        <v>27343</v>
      </c>
      <c r="D4249" s="8" t="s">
        <v>16</v>
      </c>
      <c r="E4249" s="19" t="s">
        <v>27344</v>
      </c>
      <c r="F4249" s="8" t="s">
        <v>19378</v>
      </c>
      <c r="G4249" s="8">
        <v>23.61</v>
      </c>
      <c r="H4249" s="8"/>
      <c r="I4249" s="8"/>
      <c r="J4249" s="8" t="s">
        <v>27345</v>
      </c>
      <c r="K4249" s="8" t="s">
        <v>27346</v>
      </c>
      <c r="L4249" s="8"/>
      <c r="M4249" s="8"/>
      <c r="N4249" s="12"/>
      <c r="O4249" s="12"/>
      <c r="P4249" s="13">
        <f>IFERROR(__xludf.DUMMYFUNCTION("VALUE(SUBSTITUTE((INDEX(SPLIT(A4249,"",""),1)),""."","","",1))"),54.989347)</f>
        <v>54.989347</v>
      </c>
      <c r="Q4249" s="13">
        <f>IFERROR(__xludf.DUMMYFUNCTION("VALUE(SUBSTITUTE((INDEX(SPLIT(A4249,"",""),2)),""."","","",1))"),73.368221)</f>
        <v>73.368221</v>
      </c>
      <c r="R4249" s="14" t="b">
        <f t="shared" si="1"/>
        <v>0</v>
      </c>
      <c r="S4249" s="14" t="str">
        <f t="shared" si="2"/>
        <v>54.989347,73.368221</v>
      </c>
      <c r="T4249" s="12"/>
    </row>
    <row r="4250">
      <c r="A4250" s="15" t="s">
        <v>27347</v>
      </c>
      <c r="B4250" s="16" t="s">
        <v>27348</v>
      </c>
      <c r="C4250" s="16" t="s">
        <v>27349</v>
      </c>
      <c r="D4250" s="16" t="s">
        <v>16</v>
      </c>
      <c r="E4250" s="17" t="s">
        <v>27350</v>
      </c>
      <c r="F4250" s="16" t="s">
        <v>19948</v>
      </c>
      <c r="G4250" s="16">
        <v>23.61</v>
      </c>
      <c r="H4250" s="16"/>
      <c r="I4250" s="16"/>
      <c r="J4250" s="16" t="s">
        <v>27351</v>
      </c>
      <c r="K4250" s="16" t="s">
        <v>27352</v>
      </c>
      <c r="L4250" s="16"/>
      <c r="M4250" s="16"/>
      <c r="N4250" s="12"/>
      <c r="O4250" s="12"/>
      <c r="P4250" s="13">
        <f>IFERROR(__xludf.DUMMYFUNCTION("VALUE(SUBSTITUTE((INDEX(SPLIT(A4250,"",""),1)),""."","","",1))"),54.997817)</f>
        <v>54.997817</v>
      </c>
      <c r="Q4250" s="13">
        <f>IFERROR(__xludf.DUMMYFUNCTION("VALUE(SUBSTITUTE((INDEX(SPLIT(A4250,"",""),2)),""."","","",1))"),73.369919)</f>
        <v>73.369919</v>
      </c>
      <c r="R4250" s="14" t="b">
        <f t="shared" si="1"/>
        <v>0</v>
      </c>
      <c r="S4250" s="14" t="str">
        <f t="shared" si="2"/>
        <v>54.997817,73.369919</v>
      </c>
      <c r="T4250" s="12"/>
    </row>
    <row r="4251">
      <c r="A4251" s="18" t="s">
        <v>27353</v>
      </c>
      <c r="B4251" s="8" t="s">
        <v>27354</v>
      </c>
      <c r="C4251" s="8" t="s">
        <v>27355</v>
      </c>
      <c r="D4251" s="8" t="s">
        <v>16</v>
      </c>
      <c r="E4251" s="19" t="s">
        <v>27356</v>
      </c>
      <c r="F4251" s="8" t="s">
        <v>3760</v>
      </c>
      <c r="G4251" s="8">
        <v>23.61</v>
      </c>
      <c r="H4251" s="8"/>
      <c r="I4251" s="8"/>
      <c r="J4251" s="8" t="s">
        <v>27357</v>
      </c>
      <c r="K4251" s="8" t="s">
        <v>27358</v>
      </c>
      <c r="L4251" s="8"/>
      <c r="M4251" s="8"/>
      <c r="N4251" s="12"/>
      <c r="O4251" s="12"/>
      <c r="P4251" s="13">
        <f>IFERROR(__xludf.DUMMYFUNCTION("VALUE(SUBSTITUTE((INDEX(SPLIT(A4251,"",""),1)),""."","","",1))"),54.937898)</f>
        <v>54.937898</v>
      </c>
      <c r="Q4251" s="13">
        <f>IFERROR(__xludf.DUMMYFUNCTION("VALUE(SUBSTITUTE((INDEX(SPLIT(A4251,"",""),2)),""."","","",1))"),73.377042)</f>
        <v>73.377042</v>
      </c>
      <c r="R4251" s="14" t="b">
        <f t="shared" si="1"/>
        <v>0</v>
      </c>
      <c r="S4251" s="14" t="str">
        <f t="shared" si="2"/>
        <v>54.937898,73.377042</v>
      </c>
      <c r="T4251" s="12"/>
    </row>
    <row r="4252">
      <c r="A4252" s="20" t="s">
        <v>27359</v>
      </c>
      <c r="B4252" s="16" t="s">
        <v>27360</v>
      </c>
      <c r="C4252" s="16" t="s">
        <v>27361</v>
      </c>
      <c r="D4252" s="16" t="s">
        <v>16</v>
      </c>
      <c r="E4252" s="21" t="s">
        <v>27362</v>
      </c>
      <c r="F4252" s="22" t="s">
        <v>26306</v>
      </c>
      <c r="G4252" s="16">
        <v>23.61</v>
      </c>
      <c r="H4252" s="16"/>
      <c r="I4252" s="22"/>
      <c r="J4252" s="22" t="s">
        <v>27363</v>
      </c>
      <c r="K4252" s="22" t="s">
        <v>27364</v>
      </c>
      <c r="L4252" s="23" t="s">
        <v>27365</v>
      </c>
      <c r="M4252" s="22"/>
      <c r="N4252" s="12"/>
      <c r="O4252" s="12"/>
      <c r="P4252" s="13">
        <f>IFERROR(__xludf.DUMMYFUNCTION("VALUE(SUBSTITUTE((INDEX(SPLIT(A4252,"",""),1)),""."","","",1))"),54.964391)</f>
        <v>54.964391</v>
      </c>
      <c r="Q4252" s="13">
        <f>IFERROR(__xludf.DUMMYFUNCTION("VALUE(SUBSTITUTE((INDEX(SPLIT(A4252,"",""),2)),""."","","",1))"),73.386062)</f>
        <v>73.386062</v>
      </c>
      <c r="R4252" s="14" t="b">
        <f t="shared" si="1"/>
        <v>0</v>
      </c>
      <c r="S4252" s="14" t="str">
        <f t="shared" si="2"/>
        <v>54.964391,73.386062</v>
      </c>
      <c r="T4252" s="12"/>
    </row>
    <row r="4253">
      <c r="A4253" s="18" t="s">
        <v>27366</v>
      </c>
      <c r="B4253" s="8" t="s">
        <v>27367</v>
      </c>
      <c r="C4253" s="8" t="s">
        <v>27368</v>
      </c>
      <c r="D4253" s="8" t="s">
        <v>16</v>
      </c>
      <c r="E4253" s="19" t="s">
        <v>27369</v>
      </c>
      <c r="F4253" s="8" t="s">
        <v>13482</v>
      </c>
      <c r="G4253" s="8">
        <v>23.61</v>
      </c>
      <c r="H4253" s="8"/>
      <c r="I4253" s="8"/>
      <c r="J4253" s="8" t="s">
        <v>27370</v>
      </c>
      <c r="K4253" s="8" t="s">
        <v>27371</v>
      </c>
      <c r="L4253" s="8"/>
      <c r="M4253" s="8"/>
      <c r="N4253" s="12"/>
      <c r="O4253" s="12"/>
      <c r="P4253" s="13">
        <f>IFERROR(__xludf.DUMMYFUNCTION("VALUE(SUBSTITUTE((INDEX(SPLIT(A4253,"",""),1)),""."","","",1))"),54.982337)</f>
        <v>54.982337</v>
      </c>
      <c r="Q4253" s="13">
        <f>IFERROR(__xludf.DUMMYFUNCTION("VALUE(SUBSTITUTE((INDEX(SPLIT(A4253,"",""),2)),""."","","",1))"),73.386672)</f>
        <v>73.386672</v>
      </c>
      <c r="R4253" s="14" t="b">
        <f t="shared" si="1"/>
        <v>0</v>
      </c>
      <c r="S4253" s="14" t="str">
        <f t="shared" si="2"/>
        <v>54.982337,73.386672</v>
      </c>
      <c r="T4253" s="12"/>
    </row>
    <row r="4254">
      <c r="A4254" s="20" t="s">
        <v>27372</v>
      </c>
      <c r="B4254" s="16" t="s">
        <v>27373</v>
      </c>
      <c r="C4254" s="16" t="s">
        <v>27374</v>
      </c>
      <c r="D4254" s="16" t="s">
        <v>16</v>
      </c>
      <c r="E4254" s="21" t="s">
        <v>27375</v>
      </c>
      <c r="F4254" s="22" t="s">
        <v>19948</v>
      </c>
      <c r="G4254" s="16">
        <v>23.61</v>
      </c>
      <c r="H4254" s="16"/>
      <c r="I4254" s="22"/>
      <c r="J4254" s="22" t="s">
        <v>27376</v>
      </c>
      <c r="K4254" s="22" t="s">
        <v>27377</v>
      </c>
      <c r="L4254" s="23" t="s">
        <v>27378</v>
      </c>
      <c r="M4254" s="22"/>
      <c r="N4254" s="12"/>
      <c r="O4254" s="12"/>
      <c r="P4254" s="13">
        <f>IFERROR(__xludf.DUMMYFUNCTION("VALUE(SUBSTITUTE((INDEX(SPLIT(A4254,"",""),1)),""."","","",1))"),54.96945)</f>
        <v>54.96945</v>
      </c>
      <c r="Q4254" s="13">
        <f>IFERROR(__xludf.DUMMYFUNCTION("VALUE(SUBSTITUTE((INDEX(SPLIT(A4254,"",""),2)),""."","","",1))"),73.395045)</f>
        <v>73.395045</v>
      </c>
      <c r="R4254" s="14" t="b">
        <f t="shared" si="1"/>
        <v>0</v>
      </c>
      <c r="S4254" s="14" t="str">
        <f t="shared" si="2"/>
        <v>54.96945,73.395045</v>
      </c>
      <c r="T4254" s="12"/>
    </row>
    <row r="4255">
      <c r="A4255" s="18" t="s">
        <v>27379</v>
      </c>
      <c r="B4255" s="8" t="s">
        <v>27380</v>
      </c>
      <c r="C4255" s="8" t="s">
        <v>27381</v>
      </c>
      <c r="D4255" s="8" t="s">
        <v>16</v>
      </c>
      <c r="E4255" s="19" t="s">
        <v>27382</v>
      </c>
      <c r="F4255" s="8" t="s">
        <v>19948</v>
      </c>
      <c r="G4255" s="8">
        <v>23.61</v>
      </c>
      <c r="H4255" s="8"/>
      <c r="I4255" s="8"/>
      <c r="J4255" s="8" t="s">
        <v>27383</v>
      </c>
      <c r="K4255" s="8" t="s">
        <v>27384</v>
      </c>
      <c r="L4255" s="8"/>
      <c r="M4255" s="8"/>
      <c r="N4255" s="12"/>
      <c r="O4255" s="12"/>
      <c r="P4255" s="13">
        <f>IFERROR(__xludf.DUMMYFUNCTION("VALUE(SUBSTITUTE((INDEX(SPLIT(A4255,"",""),1)),""."","","",1))"),54.980973)</f>
        <v>54.980973</v>
      </c>
      <c r="Q4255" s="13">
        <f>IFERROR(__xludf.DUMMYFUNCTION("VALUE(SUBSTITUTE((INDEX(SPLIT(A4255,"",""),2)),""."","","",1))"),73.396419)</f>
        <v>73.396419</v>
      </c>
      <c r="R4255" s="14" t="b">
        <f t="shared" si="1"/>
        <v>0</v>
      </c>
      <c r="S4255" s="14" t="str">
        <f t="shared" si="2"/>
        <v>54.980973,73.396419</v>
      </c>
      <c r="T4255" s="12"/>
    </row>
    <row r="4256">
      <c r="A4256" s="15" t="s">
        <v>27385</v>
      </c>
      <c r="B4256" s="16" t="s">
        <v>27386</v>
      </c>
      <c r="C4256" s="16" t="s">
        <v>27387</v>
      </c>
      <c r="D4256" s="16" t="s">
        <v>16</v>
      </c>
      <c r="E4256" s="17" t="s">
        <v>27388</v>
      </c>
      <c r="F4256" s="16" t="s">
        <v>19948</v>
      </c>
      <c r="G4256" s="16">
        <v>23.61</v>
      </c>
      <c r="H4256" s="16"/>
      <c r="I4256" s="16"/>
      <c r="J4256" s="16" t="s">
        <v>27389</v>
      </c>
      <c r="K4256" s="16" t="s">
        <v>27390</v>
      </c>
      <c r="L4256" s="16"/>
      <c r="M4256" s="16"/>
      <c r="N4256" s="12"/>
      <c r="O4256" s="12"/>
      <c r="P4256" s="13">
        <f>IFERROR(__xludf.DUMMYFUNCTION("VALUE(SUBSTITUTE((INDEX(SPLIT(A4256,"",""),1)),""."","","",1))"),54.963248)</f>
        <v>54.963248</v>
      </c>
      <c r="Q4256" s="13">
        <f>IFERROR(__xludf.DUMMYFUNCTION("VALUE(SUBSTITUTE((INDEX(SPLIT(A4256,"",""),2)),""."","","",1))"),73.405753)</f>
        <v>73.405753</v>
      </c>
      <c r="R4256" s="14" t="b">
        <f t="shared" si="1"/>
        <v>0</v>
      </c>
      <c r="S4256" s="14" t="str">
        <f t="shared" si="2"/>
        <v>54.963248,73.405753</v>
      </c>
      <c r="T4256" s="12"/>
    </row>
    <row r="4257">
      <c r="A4257" s="18" t="s">
        <v>27391</v>
      </c>
      <c r="B4257" s="8" t="s">
        <v>27392</v>
      </c>
      <c r="C4257" s="8" t="s">
        <v>27393</v>
      </c>
      <c r="D4257" s="8" t="s">
        <v>16</v>
      </c>
      <c r="E4257" s="19" t="s">
        <v>27394</v>
      </c>
      <c r="F4257" s="8" t="s">
        <v>19948</v>
      </c>
      <c r="G4257" s="8">
        <v>23.61</v>
      </c>
      <c r="H4257" s="8"/>
      <c r="I4257" s="8"/>
      <c r="J4257" s="8" t="s">
        <v>27395</v>
      </c>
      <c r="K4257" s="8" t="s">
        <v>27396</v>
      </c>
      <c r="L4257" s="8"/>
      <c r="M4257" s="8"/>
      <c r="N4257" s="12"/>
      <c r="O4257" s="12"/>
      <c r="P4257" s="13">
        <f>IFERROR(__xludf.DUMMYFUNCTION("VALUE(SUBSTITUTE((INDEX(SPLIT(A4257,"",""),1)),""."","","",1))"),61.253247)</f>
        <v>61.253247</v>
      </c>
      <c r="Q4257" s="13">
        <f>IFERROR(__xludf.DUMMYFUNCTION("VALUE(SUBSTITUTE((INDEX(SPLIT(A4257,"",""),2)),""."","","",1))"),73.423665)</f>
        <v>73.423665</v>
      </c>
      <c r="R4257" s="14" t="b">
        <f t="shared" si="1"/>
        <v>0</v>
      </c>
      <c r="S4257" s="14" t="str">
        <f t="shared" si="2"/>
        <v>61.253247,73.423665</v>
      </c>
      <c r="T4257" s="12"/>
    </row>
    <row r="4258">
      <c r="A4258" s="20" t="s">
        <v>27397</v>
      </c>
      <c r="B4258" s="16" t="s">
        <v>27398</v>
      </c>
      <c r="C4258" s="16" t="s">
        <v>27399</v>
      </c>
      <c r="D4258" s="16" t="s">
        <v>16</v>
      </c>
      <c r="E4258" s="21" t="s">
        <v>27400</v>
      </c>
      <c r="F4258" s="22" t="s">
        <v>26306</v>
      </c>
      <c r="G4258" s="16">
        <v>23.61</v>
      </c>
      <c r="H4258" s="16"/>
      <c r="I4258" s="22"/>
      <c r="J4258" s="22" t="s">
        <v>27401</v>
      </c>
      <c r="K4258" s="22" t="s">
        <v>27402</v>
      </c>
      <c r="L4258" s="23" t="s">
        <v>27403</v>
      </c>
      <c r="M4258" s="22"/>
      <c r="N4258" s="12"/>
      <c r="O4258" s="12"/>
      <c r="P4258" s="13">
        <f>IFERROR(__xludf.DUMMYFUNCTION("VALUE(SUBSTITUTE((INDEX(SPLIT(A4258,"",""),1)),""."","","",1))"),54.937702)</f>
        <v>54.937702</v>
      </c>
      <c r="Q4258" s="13">
        <f>IFERROR(__xludf.DUMMYFUNCTION("VALUE(SUBSTITUTE((INDEX(SPLIT(A4258,"",""),2)),""."","","",1))"),73.431013)</f>
        <v>73.431013</v>
      </c>
      <c r="R4258" s="14" t="b">
        <f t="shared" si="1"/>
        <v>0</v>
      </c>
      <c r="S4258" s="14" t="str">
        <f t="shared" si="2"/>
        <v>54.937702,73.431013</v>
      </c>
      <c r="T4258" s="12"/>
    </row>
    <row r="4259">
      <c r="A4259" s="7" t="s">
        <v>27404</v>
      </c>
      <c r="B4259" s="8" t="s">
        <v>27405</v>
      </c>
      <c r="C4259" s="8" t="s">
        <v>27406</v>
      </c>
      <c r="D4259" s="8" t="s">
        <v>16</v>
      </c>
      <c r="E4259" s="9" t="s">
        <v>27407</v>
      </c>
      <c r="F4259" s="10" t="s">
        <v>19948</v>
      </c>
      <c r="G4259" s="8">
        <v>23.61</v>
      </c>
      <c r="H4259" s="8"/>
      <c r="I4259" s="10"/>
      <c r="J4259" s="10" t="s">
        <v>27408</v>
      </c>
      <c r="K4259" s="10" t="s">
        <v>27409</v>
      </c>
      <c r="L4259" s="11" t="s">
        <v>27410</v>
      </c>
      <c r="M4259" s="11" t="s">
        <v>27411</v>
      </c>
      <c r="N4259" s="12"/>
      <c r="O4259" s="12"/>
      <c r="P4259" s="13">
        <f>IFERROR(__xludf.DUMMYFUNCTION("VALUE(SUBSTITUTE((INDEX(SPLIT(A4259,"",""),1)),""."","","",1))"),55.016698)</f>
        <v>55.016698</v>
      </c>
      <c r="Q4259" s="13">
        <f>IFERROR(__xludf.DUMMYFUNCTION("VALUE(SUBSTITUTE((INDEX(SPLIT(A4259,"",""),2)),""."","","",1))"),73.431193)</f>
        <v>73.431193</v>
      </c>
      <c r="R4259" s="14" t="b">
        <f t="shared" si="1"/>
        <v>0</v>
      </c>
      <c r="S4259" s="14" t="str">
        <f t="shared" si="2"/>
        <v>55.016698,73.431193</v>
      </c>
      <c r="T4259" s="12"/>
    </row>
    <row r="4260">
      <c r="A4260" s="20" t="s">
        <v>27412</v>
      </c>
      <c r="B4260" s="16" t="s">
        <v>27413</v>
      </c>
      <c r="C4260" s="16" t="s">
        <v>27414</v>
      </c>
      <c r="D4260" s="16" t="s">
        <v>16</v>
      </c>
      <c r="E4260" s="21" t="s">
        <v>27415</v>
      </c>
      <c r="F4260" s="22" t="s">
        <v>19948</v>
      </c>
      <c r="G4260" s="16">
        <v>23.61</v>
      </c>
      <c r="H4260" s="16"/>
      <c r="I4260" s="22"/>
      <c r="J4260" s="22" t="s">
        <v>27416</v>
      </c>
      <c r="K4260" s="22" t="s">
        <v>27417</v>
      </c>
      <c r="L4260" s="23" t="s">
        <v>27418</v>
      </c>
      <c r="M4260" s="22"/>
      <c r="N4260" s="12"/>
      <c r="O4260" s="12"/>
      <c r="P4260" s="13">
        <f>IFERROR(__xludf.DUMMYFUNCTION("VALUE(SUBSTITUTE((INDEX(SPLIT(A4260,"",""),1)),""."","","",1))"),55.021798)</f>
        <v>55.021798</v>
      </c>
      <c r="Q4260" s="13">
        <f>IFERROR(__xludf.DUMMYFUNCTION("VALUE(SUBSTITUTE((INDEX(SPLIT(A4260,"",""),2)),""."","","",1))"),73.431579)</f>
        <v>73.431579</v>
      </c>
      <c r="R4260" s="14" t="b">
        <f t="shared" si="1"/>
        <v>0</v>
      </c>
      <c r="S4260" s="14" t="str">
        <f t="shared" si="2"/>
        <v>55.021798,73.431579</v>
      </c>
      <c r="T4260" s="12"/>
    </row>
    <row r="4261">
      <c r="A4261" s="7" t="s">
        <v>27419</v>
      </c>
      <c r="B4261" s="8" t="s">
        <v>27420</v>
      </c>
      <c r="C4261" s="8" t="s">
        <v>27421</v>
      </c>
      <c r="D4261" s="8" t="s">
        <v>16</v>
      </c>
      <c r="E4261" s="9" t="s">
        <v>27422</v>
      </c>
      <c r="F4261" s="10" t="s">
        <v>19948</v>
      </c>
      <c r="G4261" s="8">
        <v>23.61</v>
      </c>
      <c r="H4261" s="8"/>
      <c r="I4261" s="10"/>
      <c r="J4261" s="10" t="s">
        <v>27423</v>
      </c>
      <c r="K4261" s="10" t="s">
        <v>27424</v>
      </c>
      <c r="L4261" s="11" t="s">
        <v>27425</v>
      </c>
      <c r="M4261" s="10"/>
      <c r="N4261" s="12"/>
      <c r="O4261" s="12"/>
      <c r="P4261" s="13">
        <f>IFERROR(__xludf.DUMMYFUNCTION("VALUE(SUBSTITUTE((INDEX(SPLIT(A4261,"",""),1)),""."","","",1))"),54.984884)</f>
        <v>54.984884</v>
      </c>
      <c r="Q4261" s="13">
        <f>IFERROR(__xludf.DUMMYFUNCTION("VALUE(SUBSTITUTE((INDEX(SPLIT(A4261,"",""),2)),""."","","",1))"),73.43325)</f>
        <v>73.43325</v>
      </c>
      <c r="R4261" s="14" t="b">
        <f t="shared" si="1"/>
        <v>0</v>
      </c>
      <c r="S4261" s="14" t="str">
        <f t="shared" si="2"/>
        <v>54.984884,73.43325</v>
      </c>
      <c r="T4261" s="12"/>
    </row>
    <row r="4262">
      <c r="A4262" s="20" t="s">
        <v>27426</v>
      </c>
      <c r="B4262" s="16" t="s">
        <v>27427</v>
      </c>
      <c r="C4262" s="16" t="s">
        <v>27428</v>
      </c>
      <c r="D4262" s="16" t="s">
        <v>16</v>
      </c>
      <c r="E4262" s="21" t="s">
        <v>27429</v>
      </c>
      <c r="F4262" s="22" t="s">
        <v>12717</v>
      </c>
      <c r="G4262" s="16">
        <v>23.61</v>
      </c>
      <c r="H4262" s="16"/>
      <c r="I4262" s="22"/>
      <c r="J4262" s="22" t="s">
        <v>27430</v>
      </c>
      <c r="K4262" s="22" t="s">
        <v>27431</v>
      </c>
      <c r="L4262" s="23" t="s">
        <v>27432</v>
      </c>
      <c r="M4262" s="22"/>
      <c r="N4262" s="12"/>
      <c r="O4262" s="12"/>
      <c r="P4262" s="13">
        <f>IFERROR(__xludf.DUMMYFUNCTION("VALUE(SUBSTITUTE((INDEX(SPLIT(A4262,"",""),1)),""."","","",1))"),54.90762)</f>
        <v>54.90762</v>
      </c>
      <c r="Q4262" s="13">
        <f>IFERROR(__xludf.DUMMYFUNCTION("VALUE(SUBSTITUTE((INDEX(SPLIT(A4262,"",""),2)),""."","","",1))"),73.440437)</f>
        <v>73.440437</v>
      </c>
      <c r="R4262" s="14" t="b">
        <f t="shared" si="1"/>
        <v>0</v>
      </c>
      <c r="S4262" s="14" t="str">
        <f t="shared" si="2"/>
        <v>54.90762,73.440437</v>
      </c>
      <c r="T4262" s="12"/>
    </row>
    <row r="4263">
      <c r="A4263" s="7" t="s">
        <v>27433</v>
      </c>
      <c r="B4263" s="8" t="s">
        <v>27434</v>
      </c>
      <c r="C4263" s="8" t="s">
        <v>27435</v>
      </c>
      <c r="D4263" s="8" t="s">
        <v>16</v>
      </c>
      <c r="E4263" s="9" t="s">
        <v>27436</v>
      </c>
      <c r="F4263" s="10" t="s">
        <v>19948</v>
      </c>
      <c r="G4263" s="8">
        <v>23.61</v>
      </c>
      <c r="H4263" s="8"/>
      <c r="I4263" s="10"/>
      <c r="J4263" s="10" t="s">
        <v>27437</v>
      </c>
      <c r="K4263" s="10" t="s">
        <v>27438</v>
      </c>
      <c r="L4263" s="11" t="s">
        <v>27439</v>
      </c>
      <c r="M4263" s="10"/>
      <c r="N4263" s="12"/>
      <c r="O4263" s="12"/>
      <c r="P4263" s="13">
        <f>IFERROR(__xludf.DUMMYFUNCTION("VALUE(SUBSTITUTE((INDEX(SPLIT(A4263,"",""),1)),""."","","",1))"),61.280894)</f>
        <v>61.280894</v>
      </c>
      <c r="Q4263" s="13">
        <f>IFERROR(__xludf.DUMMYFUNCTION("VALUE(SUBSTITUTE((INDEX(SPLIT(A4263,"",""),2)),""."","","",1))"),73.443985)</f>
        <v>73.443985</v>
      </c>
      <c r="R4263" s="14" t="b">
        <f t="shared" si="1"/>
        <v>0</v>
      </c>
      <c r="S4263" s="14" t="str">
        <f t="shared" si="2"/>
        <v>61.280894,73.443985</v>
      </c>
      <c r="T4263" s="12"/>
    </row>
    <row r="4264">
      <c r="A4264" s="15" t="s">
        <v>27440</v>
      </c>
      <c r="B4264" s="16" t="s">
        <v>27441</v>
      </c>
      <c r="C4264" s="16" t="s">
        <v>27442</v>
      </c>
      <c r="D4264" s="16" t="s">
        <v>16</v>
      </c>
      <c r="E4264" s="17" t="s">
        <v>27443</v>
      </c>
      <c r="F4264" s="16" t="s">
        <v>19948</v>
      </c>
      <c r="G4264" s="16">
        <v>23.61</v>
      </c>
      <c r="H4264" s="16"/>
      <c r="I4264" s="16"/>
      <c r="J4264" s="16" t="s">
        <v>27444</v>
      </c>
      <c r="K4264" s="16" t="s">
        <v>27445</v>
      </c>
      <c r="L4264" s="16"/>
      <c r="M4264" s="25" t="s">
        <v>27446</v>
      </c>
      <c r="N4264" s="12"/>
      <c r="O4264" s="12"/>
      <c r="P4264" s="13">
        <f>IFERROR(__xludf.DUMMYFUNCTION("VALUE(SUBSTITUTE((INDEX(SPLIT(A4264,"",""),1)),""."","","",1))"),61.250984)</f>
        <v>61.250984</v>
      </c>
      <c r="Q4264" s="13">
        <f>IFERROR(__xludf.DUMMYFUNCTION("VALUE(SUBSTITUTE((INDEX(SPLIT(A4264,"",""),2)),""."","","",1))"),73.446797)</f>
        <v>73.446797</v>
      </c>
      <c r="R4264" s="14" t="b">
        <f t="shared" si="1"/>
        <v>0</v>
      </c>
      <c r="S4264" s="14" t="str">
        <f t="shared" si="2"/>
        <v>61.250984,73.446797</v>
      </c>
      <c r="T4264" s="12"/>
    </row>
    <row r="4265">
      <c r="A4265" s="18" t="s">
        <v>27447</v>
      </c>
      <c r="B4265" s="8" t="s">
        <v>27448</v>
      </c>
      <c r="C4265" s="8" t="s">
        <v>27449</v>
      </c>
      <c r="D4265" s="8" t="s">
        <v>16</v>
      </c>
      <c r="E4265" s="19" t="s">
        <v>27450</v>
      </c>
      <c r="F4265" s="8" t="s">
        <v>19948</v>
      </c>
      <c r="G4265" s="8">
        <v>23.61</v>
      </c>
      <c r="H4265" s="8"/>
      <c r="I4265" s="8"/>
      <c r="J4265" s="8" t="s">
        <v>27451</v>
      </c>
      <c r="K4265" s="8" t="s">
        <v>27452</v>
      </c>
      <c r="L4265" s="8"/>
      <c r="M4265" s="24" t="s">
        <v>27453</v>
      </c>
      <c r="N4265" s="12"/>
      <c r="O4265" s="12"/>
      <c r="P4265" s="13">
        <f>IFERROR(__xludf.DUMMYFUNCTION("VALUE(SUBSTITUTE((INDEX(SPLIT(A4265,"",""),1)),""."","","",1))"),61.267804)</f>
        <v>61.267804</v>
      </c>
      <c r="Q4265" s="13">
        <f>IFERROR(__xludf.DUMMYFUNCTION("VALUE(SUBSTITUTE((INDEX(SPLIT(A4265,"",""),2)),""."","","",1))"),73.454917)</f>
        <v>73.454917</v>
      </c>
      <c r="R4265" s="14" t="b">
        <f t="shared" si="1"/>
        <v>0</v>
      </c>
      <c r="S4265" s="14" t="str">
        <f t="shared" si="2"/>
        <v>61.267804,73.454917</v>
      </c>
      <c r="T4265" s="12"/>
    </row>
    <row r="4266">
      <c r="A4266" s="15" t="s">
        <v>27454</v>
      </c>
      <c r="B4266" s="16" t="s">
        <v>27455</v>
      </c>
      <c r="C4266" s="16" t="s">
        <v>27456</v>
      </c>
      <c r="D4266" s="16" t="s">
        <v>16</v>
      </c>
      <c r="E4266" s="17" t="s">
        <v>27457</v>
      </c>
      <c r="F4266" s="16" t="s">
        <v>13482</v>
      </c>
      <c r="G4266" s="16">
        <v>23.61</v>
      </c>
      <c r="H4266" s="16"/>
      <c r="I4266" s="16"/>
      <c r="J4266" s="16" t="s">
        <v>27458</v>
      </c>
      <c r="K4266" s="16" t="s">
        <v>27459</v>
      </c>
      <c r="L4266" s="16"/>
      <c r="M4266" s="16"/>
      <c r="N4266" s="12"/>
      <c r="O4266" s="12"/>
      <c r="P4266" s="13">
        <f>IFERROR(__xludf.DUMMYFUNCTION("VALUE(SUBSTITUTE((INDEX(SPLIT(A4266,"",""),1)),""."","","",1))"),55.028151)</f>
        <v>55.028151</v>
      </c>
      <c r="Q4266" s="13">
        <f>IFERROR(__xludf.DUMMYFUNCTION("VALUE(SUBSTITUTE((INDEX(SPLIT(A4266,"",""),2)),""."","","",1))"),73.466892)</f>
        <v>73.466892</v>
      </c>
      <c r="R4266" s="14" t="b">
        <f t="shared" si="1"/>
        <v>0</v>
      </c>
      <c r="S4266" s="14" t="str">
        <f t="shared" si="2"/>
        <v>55.028151,73.466892</v>
      </c>
      <c r="T4266" s="12"/>
    </row>
    <row r="4267">
      <c r="A4267" s="18" t="s">
        <v>27460</v>
      </c>
      <c r="B4267" s="8" t="s">
        <v>27461</v>
      </c>
      <c r="C4267" s="8" t="s">
        <v>27462</v>
      </c>
      <c r="D4267" s="8" t="s">
        <v>16</v>
      </c>
      <c r="E4267" s="19" t="s">
        <v>27463</v>
      </c>
      <c r="F4267" s="8" t="s">
        <v>19948</v>
      </c>
      <c r="G4267" s="8">
        <v>23.61</v>
      </c>
      <c r="H4267" s="8"/>
      <c r="I4267" s="8"/>
      <c r="J4267" s="8" t="s">
        <v>27464</v>
      </c>
      <c r="K4267" s="8" t="s">
        <v>27465</v>
      </c>
      <c r="L4267" s="8"/>
      <c r="M4267" s="8"/>
      <c r="N4267" s="12"/>
      <c r="O4267" s="12"/>
      <c r="P4267" s="13">
        <f>IFERROR(__xludf.DUMMYFUNCTION("VALUE(SUBSTITUTE((INDEX(SPLIT(A4267,"",""),1)),""."","","",1))"),54.971398)</f>
        <v>54.971398</v>
      </c>
      <c r="Q4267" s="13">
        <f>IFERROR(__xludf.DUMMYFUNCTION("VALUE(SUBSTITUTE((INDEX(SPLIT(A4267,"",""),2)),""."","","",1))"),73.473638)</f>
        <v>73.473638</v>
      </c>
      <c r="R4267" s="14" t="b">
        <f t="shared" si="1"/>
        <v>0</v>
      </c>
      <c r="S4267" s="14" t="str">
        <f t="shared" si="2"/>
        <v>54.971398,73.473638</v>
      </c>
      <c r="T4267" s="12"/>
    </row>
    <row r="4268">
      <c r="A4268" s="15" t="s">
        <v>27466</v>
      </c>
      <c r="B4268" s="16" t="s">
        <v>27467</v>
      </c>
      <c r="C4268" s="16" t="s">
        <v>27468</v>
      </c>
      <c r="D4268" s="16" t="s">
        <v>16</v>
      </c>
      <c r="E4268" s="17" t="s">
        <v>27469</v>
      </c>
      <c r="F4268" s="16" t="s">
        <v>19948</v>
      </c>
      <c r="G4268" s="16">
        <v>23.61</v>
      </c>
      <c r="H4268" s="16"/>
      <c r="I4268" s="16"/>
      <c r="J4268" s="16" t="s">
        <v>27470</v>
      </c>
      <c r="K4268" s="16" t="s">
        <v>27471</v>
      </c>
      <c r="L4268" s="16"/>
      <c r="M4268" s="16"/>
      <c r="N4268" s="12"/>
      <c r="O4268" s="12"/>
      <c r="P4268" s="13">
        <f>IFERROR(__xludf.DUMMYFUNCTION("VALUE(SUBSTITUTE((INDEX(SPLIT(A4268,"",""),1)),""."","","",1))"),61.259845)</f>
        <v>61.259845</v>
      </c>
      <c r="Q4268" s="13">
        <f>IFERROR(__xludf.DUMMYFUNCTION("VALUE(SUBSTITUTE((INDEX(SPLIT(A4268,"",""),2)),""."","","",1))"),73.48458)</f>
        <v>73.48458</v>
      </c>
      <c r="R4268" s="14" t="b">
        <f t="shared" si="1"/>
        <v>0</v>
      </c>
      <c r="S4268" s="14" t="str">
        <f t="shared" si="2"/>
        <v>61.259845,73.48458</v>
      </c>
      <c r="T4268" s="12"/>
    </row>
    <row r="4269">
      <c r="A4269" s="7" t="s">
        <v>27472</v>
      </c>
      <c r="B4269" s="8" t="s">
        <v>27473</v>
      </c>
      <c r="C4269" s="8" t="s">
        <v>27474</v>
      </c>
      <c r="D4269" s="8" t="s">
        <v>16</v>
      </c>
      <c r="E4269" s="9" t="s">
        <v>27475</v>
      </c>
      <c r="F4269" s="10" t="s">
        <v>26306</v>
      </c>
      <c r="G4269" s="8">
        <v>23.61</v>
      </c>
      <c r="H4269" s="8"/>
      <c r="I4269" s="10"/>
      <c r="J4269" s="10" t="s">
        <v>27476</v>
      </c>
      <c r="K4269" s="10" t="s">
        <v>27477</v>
      </c>
      <c r="L4269" s="11" t="s">
        <v>27478</v>
      </c>
      <c r="M4269" s="10"/>
      <c r="N4269" s="12"/>
      <c r="O4269" s="12"/>
      <c r="P4269" s="13">
        <f>IFERROR(__xludf.DUMMYFUNCTION("VALUE(SUBSTITUTE((INDEX(SPLIT(A4269,"",""),1)),""."","","",1))"),61.277469)</f>
        <v>61.277469</v>
      </c>
      <c r="Q4269" s="13">
        <f>IFERROR(__xludf.DUMMYFUNCTION("VALUE(SUBSTITUTE((INDEX(SPLIT(A4269,"",""),2)),""."","","",1))"),73.489583)</f>
        <v>73.489583</v>
      </c>
      <c r="R4269" s="14" t="b">
        <f t="shared" si="1"/>
        <v>0</v>
      </c>
      <c r="S4269" s="14" t="str">
        <f t="shared" si="2"/>
        <v>61.277469,73.489583</v>
      </c>
      <c r="T4269" s="12"/>
    </row>
    <row r="4270">
      <c r="A4270" s="15" t="s">
        <v>27479</v>
      </c>
      <c r="B4270" s="16" t="s">
        <v>27480</v>
      </c>
      <c r="C4270" s="16" t="s">
        <v>27481</v>
      </c>
      <c r="D4270" s="16" t="s">
        <v>16</v>
      </c>
      <c r="E4270" s="17" t="s">
        <v>27482</v>
      </c>
      <c r="F4270" s="16" t="s">
        <v>19948</v>
      </c>
      <c r="G4270" s="16">
        <v>23.61</v>
      </c>
      <c r="H4270" s="16"/>
      <c r="I4270" s="16"/>
      <c r="J4270" s="16" t="s">
        <v>27483</v>
      </c>
      <c r="K4270" s="16" t="s">
        <v>27484</v>
      </c>
      <c r="L4270" s="16"/>
      <c r="M4270" s="16"/>
      <c r="N4270" s="12"/>
      <c r="O4270" s="12"/>
      <c r="P4270" s="13">
        <f>IFERROR(__xludf.DUMMYFUNCTION("VALUE(SUBSTITUTE((INDEX(SPLIT(A4270,"",""),1)),""."","","",1))"),54.897588)</f>
        <v>54.897588</v>
      </c>
      <c r="Q4270" s="13">
        <f>IFERROR(__xludf.DUMMYFUNCTION("VALUE(SUBSTITUTE((INDEX(SPLIT(A4270,"",""),2)),""."","","",1))"),73.521348)</f>
        <v>73.521348</v>
      </c>
      <c r="R4270" s="14" t="b">
        <f t="shared" si="1"/>
        <v>0</v>
      </c>
      <c r="S4270" s="14" t="str">
        <f t="shared" si="2"/>
        <v>54.897588,73.521348</v>
      </c>
      <c r="T4270" s="12"/>
    </row>
    <row r="4271">
      <c r="A4271" s="18" t="s">
        <v>27485</v>
      </c>
      <c r="B4271" s="8" t="s">
        <v>27486</v>
      </c>
      <c r="C4271" s="8" t="s">
        <v>27487</v>
      </c>
      <c r="D4271" s="8" t="s">
        <v>16</v>
      </c>
      <c r="E4271" s="19" t="s">
        <v>27488</v>
      </c>
      <c r="F4271" s="8" t="s">
        <v>19948</v>
      </c>
      <c r="G4271" s="8">
        <v>23.61</v>
      </c>
      <c r="H4271" s="8"/>
      <c r="I4271" s="27" t="s">
        <v>27489</v>
      </c>
      <c r="J4271" s="8" t="s">
        <v>27490</v>
      </c>
      <c r="K4271" s="8" t="s">
        <v>27491</v>
      </c>
      <c r="L4271" s="8"/>
      <c r="M4271" s="8"/>
      <c r="N4271" s="12"/>
      <c r="O4271" s="12"/>
      <c r="P4271" s="13">
        <f>IFERROR(__xludf.DUMMYFUNCTION("VALUE(SUBSTITUTE((INDEX(SPLIT(A4271,"",""),1)),""."","","",1))"),61.590252)</f>
        <v>61.590252</v>
      </c>
      <c r="Q4271" s="13">
        <f>IFERROR(__xludf.DUMMYFUNCTION("VALUE(SUBSTITUTE((INDEX(SPLIT(A4271,"",""),2)),""."","","",1))"),73.727412)</f>
        <v>73.727412</v>
      </c>
      <c r="R4271" s="14" t="b">
        <f t="shared" si="1"/>
        <v>0</v>
      </c>
      <c r="S4271" s="14" t="str">
        <f t="shared" si="2"/>
        <v>61.590252,73.727412</v>
      </c>
      <c r="T4271" s="12"/>
    </row>
    <row r="4272">
      <c r="A4272" s="20" t="s">
        <v>27492</v>
      </c>
      <c r="B4272" s="16" t="s">
        <v>27493</v>
      </c>
      <c r="C4272" s="16" t="s">
        <v>27494</v>
      </c>
      <c r="D4272" s="16" t="s">
        <v>16</v>
      </c>
      <c r="E4272" s="21" t="s">
        <v>27495</v>
      </c>
      <c r="F4272" s="22" t="s">
        <v>19948</v>
      </c>
      <c r="G4272" s="16">
        <v>23.61</v>
      </c>
      <c r="H4272" s="16"/>
      <c r="I4272" s="22"/>
      <c r="J4272" s="22" t="s">
        <v>27496</v>
      </c>
      <c r="K4272" s="22" t="s">
        <v>27497</v>
      </c>
      <c r="L4272" s="23" t="s">
        <v>27498</v>
      </c>
      <c r="M4272" s="23" t="s">
        <v>27499</v>
      </c>
      <c r="N4272" s="12"/>
      <c r="O4272" s="12"/>
      <c r="P4272" s="13">
        <f>IFERROR(__xludf.DUMMYFUNCTION("VALUE(SUBSTITUTE((INDEX(SPLIT(A4272,"",""),1)),""."","","",1))"),56.660285)</f>
        <v>56.660285</v>
      </c>
      <c r="Q4272" s="13">
        <f>IFERROR(__xludf.DUMMYFUNCTION("VALUE(SUBSTITUTE((INDEX(SPLIT(A4272,"",""),2)),""."","","",1))"),74.071844)</f>
        <v>74.071844</v>
      </c>
      <c r="R4272" s="14" t="b">
        <f t="shared" si="1"/>
        <v>0</v>
      </c>
      <c r="S4272" s="14" t="str">
        <f t="shared" si="2"/>
        <v>56.660285,74.071844</v>
      </c>
      <c r="T4272" s="12"/>
    </row>
    <row r="4273">
      <c r="A4273" s="7" t="s">
        <v>27500</v>
      </c>
      <c r="B4273" s="8" t="s">
        <v>15806</v>
      </c>
      <c r="C4273" s="8" t="s">
        <v>15807</v>
      </c>
      <c r="D4273" s="8" t="s">
        <v>16</v>
      </c>
      <c r="E4273" s="9" t="s">
        <v>27501</v>
      </c>
      <c r="F4273" s="10" t="s">
        <v>19378</v>
      </c>
      <c r="G4273" s="8">
        <v>23.61</v>
      </c>
      <c r="H4273" s="8"/>
      <c r="I4273" s="10"/>
      <c r="J4273" s="10" t="s">
        <v>27502</v>
      </c>
      <c r="K4273" s="10" t="s">
        <v>27503</v>
      </c>
      <c r="L4273" s="29" t="s">
        <v>27504</v>
      </c>
      <c r="M4273" s="10"/>
      <c r="N4273" s="12"/>
      <c r="O4273" s="12"/>
      <c r="P4273" s="13">
        <f>IFERROR(__xludf.DUMMYFUNCTION("VALUE(SUBSTITUTE((INDEX(SPLIT(A4273,"",""),1)),""."","","",1))"),54.768786)</f>
        <v>54.768786</v>
      </c>
      <c r="Q4273" s="13">
        <f>IFERROR(__xludf.DUMMYFUNCTION("VALUE(SUBSTITUTE((INDEX(SPLIT(A4273,"",""),2)),""."","","",1))"),74.277424)</f>
        <v>74.277424</v>
      </c>
      <c r="R4273" s="14" t="b">
        <f t="shared" si="1"/>
        <v>0</v>
      </c>
      <c r="S4273" s="14" t="str">
        <f t="shared" si="2"/>
        <v>54.768786,74.277424</v>
      </c>
      <c r="T4273" s="12"/>
    </row>
    <row r="4274">
      <c r="A4274" s="20" t="s">
        <v>27505</v>
      </c>
      <c r="B4274" s="16" t="s">
        <v>27506</v>
      </c>
      <c r="C4274" s="16" t="s">
        <v>27507</v>
      </c>
      <c r="D4274" s="16" t="s">
        <v>16</v>
      </c>
      <c r="E4274" s="21" t="s">
        <v>27508</v>
      </c>
      <c r="F4274" s="22" t="s">
        <v>26306</v>
      </c>
      <c r="G4274" s="16">
        <v>23.61</v>
      </c>
      <c r="H4274" s="16"/>
      <c r="I4274" s="28" t="s">
        <v>27509</v>
      </c>
      <c r="J4274" s="22" t="s">
        <v>27510</v>
      </c>
      <c r="K4274" s="22" t="s">
        <v>27511</v>
      </c>
      <c r="L4274" s="23" t="s">
        <v>27512</v>
      </c>
      <c r="M4274" s="22"/>
      <c r="N4274" s="12"/>
      <c r="O4274" s="12"/>
      <c r="P4274" s="13">
        <f>IFERROR(__xludf.DUMMYFUNCTION("VALUE(SUBSTITUTE((INDEX(SPLIT(A4274,"",""),1)),""."","","",1))"),62.2956)</f>
        <v>62.2956</v>
      </c>
      <c r="Q4274" s="13">
        <f>IFERROR(__xludf.DUMMYFUNCTION("VALUE(SUBSTITUTE((INDEX(SPLIT(A4274,"",""),2)),""."","","",1))"),74.511336)</f>
        <v>74.511336</v>
      </c>
      <c r="R4274" s="14" t="b">
        <f t="shared" si="1"/>
        <v>0</v>
      </c>
      <c r="S4274" s="14" t="str">
        <f t="shared" si="2"/>
        <v>62.2956,74.511336</v>
      </c>
      <c r="T4274" s="12"/>
    </row>
    <row r="4275">
      <c r="A4275" s="18" t="s">
        <v>27513</v>
      </c>
      <c r="B4275" s="8" t="s">
        <v>27514</v>
      </c>
      <c r="C4275" s="8" t="s">
        <v>27515</v>
      </c>
      <c r="D4275" s="8" t="s">
        <v>16</v>
      </c>
      <c r="E4275" s="19" t="s">
        <v>27516</v>
      </c>
      <c r="F4275" s="8" t="s">
        <v>13482</v>
      </c>
      <c r="G4275" s="8">
        <v>23.61</v>
      </c>
      <c r="H4275" s="8"/>
      <c r="I4275" s="8"/>
      <c r="J4275" s="8" t="s">
        <v>27517</v>
      </c>
      <c r="K4275" s="8" t="s">
        <v>27518</v>
      </c>
      <c r="L4275" s="8"/>
      <c r="M4275" s="24" t="s">
        <v>27519</v>
      </c>
      <c r="N4275" s="12"/>
      <c r="O4275" s="12"/>
      <c r="P4275" s="13">
        <f>IFERROR(__xludf.DUMMYFUNCTION("VALUE(SUBSTITUTE((INDEX(SPLIT(A4275,"",""),1)),""."","","",1))"),61.13109)</f>
        <v>61.13109</v>
      </c>
      <c r="Q4275" s="13">
        <f>IFERROR(__xludf.DUMMYFUNCTION("VALUE(SUBSTITUTE((INDEX(SPLIT(A4275,"",""),2)),""."","","",1))"),74.851771)</f>
        <v>74.851771</v>
      </c>
      <c r="R4275" s="14" t="b">
        <f t="shared" si="1"/>
        <v>0</v>
      </c>
      <c r="S4275" s="14" t="str">
        <f t="shared" si="2"/>
        <v>61.13109,74.851771</v>
      </c>
      <c r="T4275" s="12"/>
    </row>
    <row r="4276">
      <c r="A4276" s="15" t="s">
        <v>27520</v>
      </c>
      <c r="B4276" s="16" t="s">
        <v>27521</v>
      </c>
      <c r="C4276" s="16" t="s">
        <v>27522</v>
      </c>
      <c r="D4276" s="16" t="s">
        <v>16</v>
      </c>
      <c r="E4276" s="17" t="s">
        <v>27523</v>
      </c>
      <c r="F4276" s="16" t="s">
        <v>19948</v>
      </c>
      <c r="G4276" s="16">
        <v>23.61</v>
      </c>
      <c r="H4276" s="16"/>
      <c r="I4276" s="16"/>
      <c r="J4276" s="16" t="s">
        <v>27524</v>
      </c>
      <c r="K4276" s="16" t="s">
        <v>27525</v>
      </c>
      <c r="L4276" s="16"/>
      <c r="M4276" s="25" t="s">
        <v>27526</v>
      </c>
      <c r="N4276" s="12"/>
      <c r="O4276" s="12"/>
      <c r="P4276" s="13">
        <f>IFERROR(__xludf.DUMMYFUNCTION("VALUE(SUBSTITUTE((INDEX(SPLIT(A4276,"",""),1)),""."","","",1))"),63.17298)</f>
        <v>63.17298</v>
      </c>
      <c r="Q4276" s="13">
        <f>IFERROR(__xludf.DUMMYFUNCTION("VALUE(SUBSTITUTE((INDEX(SPLIT(A4276,"",""),2)),""."","","",1))"),75.4503)</f>
        <v>75.4503</v>
      </c>
      <c r="R4276" s="14" t="b">
        <f t="shared" si="1"/>
        <v>0</v>
      </c>
      <c r="S4276" s="14" t="str">
        <f t="shared" si="2"/>
        <v>63.17298,75.4503</v>
      </c>
      <c r="T4276" s="12"/>
    </row>
    <row r="4277">
      <c r="A4277" s="18" t="s">
        <v>27527</v>
      </c>
      <c r="B4277" s="8" t="s">
        <v>27528</v>
      </c>
      <c r="C4277" s="8" t="s">
        <v>27529</v>
      </c>
      <c r="D4277" s="8" t="s">
        <v>16</v>
      </c>
      <c r="E4277" s="19" t="s">
        <v>27530</v>
      </c>
      <c r="F4277" s="8" t="s">
        <v>19948</v>
      </c>
      <c r="G4277" s="8">
        <v>23.61</v>
      </c>
      <c r="H4277" s="8"/>
      <c r="I4277" s="8"/>
      <c r="J4277" s="8" t="s">
        <v>27531</v>
      </c>
      <c r="K4277" s="8" t="s">
        <v>27532</v>
      </c>
      <c r="L4277" s="8"/>
      <c r="M4277" s="24" t="s">
        <v>27533</v>
      </c>
      <c r="N4277" s="12"/>
      <c r="O4277" s="12"/>
      <c r="P4277" s="13">
        <f>IFERROR(__xludf.DUMMYFUNCTION("VALUE(SUBSTITUTE((INDEX(SPLIT(A4277,"",""),1)),""."","","",1))"),61.025281)</f>
        <v>61.025281</v>
      </c>
      <c r="Q4277" s="13">
        <f>IFERROR(__xludf.DUMMYFUNCTION("VALUE(SUBSTITUTE((INDEX(SPLIT(A4277,"",""),2)),""."","","",1))"),76.110697)</f>
        <v>76.110697</v>
      </c>
      <c r="R4277" s="14" t="b">
        <f t="shared" si="1"/>
        <v>0</v>
      </c>
      <c r="S4277" s="14" t="str">
        <f t="shared" si="2"/>
        <v>61.025281,76.110697</v>
      </c>
      <c r="T4277" s="12"/>
    </row>
    <row r="4278">
      <c r="A4278" s="15" t="s">
        <v>27534</v>
      </c>
      <c r="B4278" s="16" t="s">
        <v>27535</v>
      </c>
      <c r="C4278" s="16" t="s">
        <v>27536</v>
      </c>
      <c r="D4278" s="16" t="s">
        <v>16</v>
      </c>
      <c r="E4278" s="17" t="s">
        <v>27537</v>
      </c>
      <c r="F4278" s="16" t="s">
        <v>19948</v>
      </c>
      <c r="G4278" s="16">
        <v>23.61</v>
      </c>
      <c r="H4278" s="16"/>
      <c r="I4278" s="16"/>
      <c r="J4278" s="16" t="s">
        <v>27538</v>
      </c>
      <c r="K4278" s="16" t="s">
        <v>27539</v>
      </c>
      <c r="L4278" s="16"/>
      <c r="M4278" s="16"/>
      <c r="N4278" s="12"/>
      <c r="O4278" s="12"/>
      <c r="P4278" s="13">
        <f>IFERROR(__xludf.DUMMYFUNCTION("VALUE(SUBSTITUTE((INDEX(SPLIT(A4278,"",""),1)),""."","","",1))"),61.024501)</f>
        <v>61.024501</v>
      </c>
      <c r="Q4278" s="13">
        <f>IFERROR(__xludf.DUMMYFUNCTION("VALUE(SUBSTITUTE((INDEX(SPLIT(A4278,"",""),2)),""."","","",1))"),76.119006)</f>
        <v>76.119006</v>
      </c>
      <c r="R4278" s="14" t="b">
        <f t="shared" si="1"/>
        <v>0</v>
      </c>
      <c r="S4278" s="14" t="str">
        <f t="shared" si="2"/>
        <v>61.024501,76.119006</v>
      </c>
      <c r="T4278" s="12"/>
    </row>
    <row r="4279">
      <c r="A4279" s="18" t="s">
        <v>27540</v>
      </c>
      <c r="B4279" s="8" t="s">
        <v>27541</v>
      </c>
      <c r="C4279" s="8" t="s">
        <v>27542</v>
      </c>
      <c r="D4279" s="8" t="s">
        <v>16</v>
      </c>
      <c r="E4279" s="19" t="s">
        <v>27543</v>
      </c>
      <c r="F4279" s="8" t="s">
        <v>19948</v>
      </c>
      <c r="G4279" s="8">
        <v>23.61</v>
      </c>
      <c r="H4279" s="8"/>
      <c r="I4279" s="8"/>
      <c r="J4279" s="8" t="s">
        <v>27544</v>
      </c>
      <c r="K4279" s="8" t="s">
        <v>27545</v>
      </c>
      <c r="L4279" s="8"/>
      <c r="M4279" s="8"/>
      <c r="N4279" s="12"/>
      <c r="O4279" s="12"/>
      <c r="P4279" s="13">
        <f>IFERROR(__xludf.DUMMYFUNCTION("VALUE(SUBSTITUTE((INDEX(SPLIT(A4279,"",""),1)),""."","","",1))"),64.438703)</f>
        <v>64.438703</v>
      </c>
      <c r="Q4279" s="13">
        <f>IFERROR(__xludf.DUMMYFUNCTION("VALUE(SUBSTITUTE((INDEX(SPLIT(A4279,"",""),2)),""."","","",1))"),76.462549)</f>
        <v>76.462549</v>
      </c>
      <c r="R4279" s="14" t="b">
        <f t="shared" si="1"/>
        <v>0</v>
      </c>
      <c r="S4279" s="14" t="str">
        <f t="shared" si="2"/>
        <v>64.438703,76.462549</v>
      </c>
      <c r="T4279" s="12"/>
    </row>
    <row r="4280">
      <c r="A4280" s="20" t="s">
        <v>27546</v>
      </c>
      <c r="B4280" s="16" t="s">
        <v>27547</v>
      </c>
      <c r="C4280" s="16" t="s">
        <v>27548</v>
      </c>
      <c r="D4280" s="16" t="s">
        <v>16</v>
      </c>
      <c r="E4280" s="21" t="s">
        <v>27549</v>
      </c>
      <c r="F4280" s="22" t="s">
        <v>26306</v>
      </c>
      <c r="G4280" s="16">
        <v>23.61</v>
      </c>
      <c r="H4280" s="16"/>
      <c r="I4280" s="22"/>
      <c r="J4280" s="22" t="s">
        <v>27550</v>
      </c>
      <c r="K4280" s="22" t="s">
        <v>27551</v>
      </c>
      <c r="L4280" s="23" t="s">
        <v>27552</v>
      </c>
      <c r="M4280" s="22"/>
      <c r="N4280" s="12"/>
      <c r="O4280" s="12"/>
      <c r="P4280" s="13">
        <f>IFERROR(__xludf.DUMMYFUNCTION("VALUE(SUBSTITUTE((INDEX(SPLIT(A4280,"",""),1)),""."","","",1))"),64.442037)</f>
        <v>64.442037</v>
      </c>
      <c r="Q4280" s="13">
        <f>IFERROR(__xludf.DUMMYFUNCTION("VALUE(SUBSTITUTE((INDEX(SPLIT(A4280,"",""),2)),""."","","",1))"),76.497862)</f>
        <v>76.497862</v>
      </c>
      <c r="R4280" s="14" t="b">
        <f t="shared" si="1"/>
        <v>0</v>
      </c>
      <c r="S4280" s="14" t="str">
        <f t="shared" si="2"/>
        <v>64.442037,76.497862</v>
      </c>
      <c r="T4280" s="12"/>
    </row>
    <row r="4281">
      <c r="A4281" s="18" t="s">
        <v>27553</v>
      </c>
      <c r="B4281" s="8" t="s">
        <v>3711</v>
      </c>
      <c r="C4281" s="8" t="s">
        <v>3712</v>
      </c>
      <c r="D4281" s="8" t="s">
        <v>16</v>
      </c>
      <c r="E4281" s="19" t="s">
        <v>27554</v>
      </c>
      <c r="F4281" s="8" t="s">
        <v>19948</v>
      </c>
      <c r="G4281" s="8">
        <v>23.61</v>
      </c>
      <c r="H4281" s="8"/>
      <c r="I4281" s="8"/>
      <c r="J4281" s="8" t="s">
        <v>27555</v>
      </c>
      <c r="K4281" s="8" t="s">
        <v>27556</v>
      </c>
      <c r="L4281" s="8"/>
      <c r="M4281" s="24" t="s">
        <v>27557</v>
      </c>
      <c r="N4281" s="12"/>
      <c r="O4281" s="12"/>
      <c r="P4281" s="13">
        <f>IFERROR(__xludf.DUMMYFUNCTION("VALUE(SUBSTITUTE((INDEX(SPLIT(A4281,"",""),1)),""."","","",1))"),60.952479)</f>
        <v>60.952479</v>
      </c>
      <c r="Q4281" s="13">
        <f>IFERROR(__xludf.DUMMYFUNCTION("VALUE(SUBSTITUTE((INDEX(SPLIT(A4281,"",""),2)),""."","","",1))"),76.501491)</f>
        <v>76.501491</v>
      </c>
      <c r="R4281" s="14" t="b">
        <f t="shared" si="1"/>
        <v>0</v>
      </c>
      <c r="S4281" s="14" t="str">
        <f t="shared" si="2"/>
        <v>60.952479,76.501491</v>
      </c>
      <c r="T4281" s="12"/>
    </row>
    <row r="4282">
      <c r="A4282" s="20" t="s">
        <v>27558</v>
      </c>
      <c r="B4282" s="16" t="s">
        <v>27559</v>
      </c>
      <c r="C4282" s="16" t="s">
        <v>27560</v>
      </c>
      <c r="D4282" s="16" t="s">
        <v>16</v>
      </c>
      <c r="E4282" s="21" t="s">
        <v>27561</v>
      </c>
      <c r="F4282" s="22" t="s">
        <v>19948</v>
      </c>
      <c r="G4282" s="16">
        <v>23.61</v>
      </c>
      <c r="H4282" s="16"/>
      <c r="I4282" s="22"/>
      <c r="J4282" s="22" t="s">
        <v>27562</v>
      </c>
      <c r="K4282" s="22" t="s">
        <v>27563</v>
      </c>
      <c r="L4282" s="23" t="s">
        <v>27564</v>
      </c>
      <c r="M4282" s="22"/>
      <c r="N4282" s="12"/>
      <c r="O4282" s="12"/>
      <c r="P4282" s="13">
        <f>IFERROR(__xludf.DUMMYFUNCTION("VALUE(SUBSTITUTE((INDEX(SPLIT(A4282,"",""),1)),""."","","",1))"),60.914021)</f>
        <v>60.914021</v>
      </c>
      <c r="Q4282" s="13">
        <f>IFERROR(__xludf.DUMMYFUNCTION("VALUE(SUBSTITUTE((INDEX(SPLIT(A4282,"",""),2)),""."","","",1))"),76.51183)</f>
        <v>76.51183</v>
      </c>
      <c r="R4282" s="14" t="b">
        <f t="shared" si="1"/>
        <v>0</v>
      </c>
      <c r="S4282" s="14" t="str">
        <f t="shared" si="2"/>
        <v>60.914021,76.51183</v>
      </c>
      <c r="T4282" s="12"/>
    </row>
    <row r="4283">
      <c r="A4283" s="7" t="s">
        <v>27565</v>
      </c>
      <c r="B4283" s="8" t="s">
        <v>27566</v>
      </c>
      <c r="C4283" s="8" t="s">
        <v>27567</v>
      </c>
      <c r="D4283" s="8" t="s">
        <v>16</v>
      </c>
      <c r="E4283" s="9" t="s">
        <v>27568</v>
      </c>
      <c r="F4283" s="10" t="s">
        <v>19948</v>
      </c>
      <c r="G4283" s="8">
        <v>23.61</v>
      </c>
      <c r="H4283" s="8"/>
      <c r="I4283" s="10"/>
      <c r="J4283" s="10" t="s">
        <v>27569</v>
      </c>
      <c r="K4283" s="10" t="s">
        <v>27570</v>
      </c>
      <c r="L4283" s="11" t="s">
        <v>27571</v>
      </c>
      <c r="M4283" s="10"/>
      <c r="N4283" s="12"/>
      <c r="O4283" s="12"/>
      <c r="P4283" s="13">
        <f>IFERROR(__xludf.DUMMYFUNCTION("VALUE(SUBSTITUTE((INDEX(SPLIT(A4283,"",""),1)),""."","","",1))"),60.944947)</f>
        <v>60.944947</v>
      </c>
      <c r="Q4283" s="13">
        <f>IFERROR(__xludf.DUMMYFUNCTION("VALUE(SUBSTITUTE((INDEX(SPLIT(A4283,"",""),2)),""."","","",1))"),76.518271)</f>
        <v>76.518271</v>
      </c>
      <c r="R4283" s="14" t="b">
        <f t="shared" si="1"/>
        <v>0</v>
      </c>
      <c r="S4283" s="14" t="str">
        <f t="shared" si="2"/>
        <v>60.944947,76.518271</v>
      </c>
      <c r="T4283" s="12"/>
    </row>
    <row r="4284">
      <c r="A4284" s="20" t="s">
        <v>27572</v>
      </c>
      <c r="B4284" s="16" t="s">
        <v>27573</v>
      </c>
      <c r="C4284" s="16" t="s">
        <v>27574</v>
      </c>
      <c r="D4284" s="16" t="s">
        <v>16</v>
      </c>
      <c r="E4284" s="21" t="s">
        <v>27575</v>
      </c>
      <c r="F4284" s="22" t="s">
        <v>19948</v>
      </c>
      <c r="G4284" s="16">
        <v>23.61</v>
      </c>
      <c r="H4284" s="16"/>
      <c r="I4284" s="22"/>
      <c r="J4284" s="22" t="s">
        <v>27576</v>
      </c>
      <c r="K4284" s="22" t="s">
        <v>27577</v>
      </c>
      <c r="L4284" s="30" t="s">
        <v>27578</v>
      </c>
      <c r="M4284" s="22"/>
      <c r="N4284" s="12"/>
      <c r="O4284" s="12"/>
      <c r="P4284" s="13">
        <f>IFERROR(__xludf.DUMMYFUNCTION("VALUE(SUBSTITUTE((INDEX(SPLIT(A4284,"",""),1)),""."","","",1))"),60.963124)</f>
        <v>60.963124</v>
      </c>
      <c r="Q4284" s="13">
        <f>IFERROR(__xludf.DUMMYFUNCTION("VALUE(SUBSTITUTE((INDEX(SPLIT(A4284,"",""),2)),""."","","",1))"),76.523688)</f>
        <v>76.523688</v>
      </c>
      <c r="R4284" s="14" t="b">
        <f t="shared" si="1"/>
        <v>0</v>
      </c>
      <c r="S4284" s="14" t="str">
        <f t="shared" si="2"/>
        <v>60.963124,76.523688</v>
      </c>
      <c r="T4284" s="12"/>
    </row>
    <row r="4285">
      <c r="A4285" s="7" t="s">
        <v>27579</v>
      </c>
      <c r="B4285" s="8" t="s">
        <v>27580</v>
      </c>
      <c r="C4285" s="8" t="s">
        <v>27581</v>
      </c>
      <c r="D4285" s="8" t="s">
        <v>16</v>
      </c>
      <c r="E4285" s="9" t="s">
        <v>27582</v>
      </c>
      <c r="F4285" s="10" t="s">
        <v>19948</v>
      </c>
      <c r="G4285" s="8">
        <v>23.61</v>
      </c>
      <c r="H4285" s="8"/>
      <c r="I4285" s="10"/>
      <c r="J4285" s="10" t="s">
        <v>27583</v>
      </c>
      <c r="K4285" s="10" t="s">
        <v>25320</v>
      </c>
      <c r="L4285" s="29" t="s">
        <v>27584</v>
      </c>
      <c r="M4285" s="10"/>
      <c r="N4285" s="12"/>
      <c r="O4285" s="12"/>
      <c r="P4285" s="13">
        <f>IFERROR(__xludf.DUMMYFUNCTION("VALUE(SUBSTITUTE((INDEX(SPLIT(A4285,"",""),1)),""."","","",1))"),60.938545)</f>
        <v>60.938545</v>
      </c>
      <c r="Q4285" s="13">
        <f>IFERROR(__xludf.DUMMYFUNCTION("VALUE(SUBSTITUTE((INDEX(SPLIT(A4285,"",""),2)),""."","","",1))"),76.558902)</f>
        <v>76.558902</v>
      </c>
      <c r="R4285" s="14" t="b">
        <f t="shared" si="1"/>
        <v>0</v>
      </c>
      <c r="S4285" s="14" t="str">
        <f t="shared" si="2"/>
        <v>60.938545,76.558902</v>
      </c>
      <c r="T4285" s="12"/>
    </row>
    <row r="4286">
      <c r="A4286" s="20" t="s">
        <v>27585</v>
      </c>
      <c r="B4286" s="16" t="s">
        <v>27586</v>
      </c>
      <c r="C4286" s="16" t="s">
        <v>27587</v>
      </c>
      <c r="D4286" s="16" t="s">
        <v>16</v>
      </c>
      <c r="E4286" s="21" t="s">
        <v>27588</v>
      </c>
      <c r="F4286" s="22" t="s">
        <v>19378</v>
      </c>
      <c r="G4286" s="16">
        <v>23.61</v>
      </c>
      <c r="H4286" s="16"/>
      <c r="I4286" s="22"/>
      <c r="J4286" s="22" t="s">
        <v>27589</v>
      </c>
      <c r="K4286" s="22" t="s">
        <v>27590</v>
      </c>
      <c r="L4286" s="23" t="s">
        <v>27591</v>
      </c>
      <c r="M4286" s="23" t="s">
        <v>27592</v>
      </c>
      <c r="N4286" s="12"/>
      <c r="O4286" s="12"/>
      <c r="P4286" s="13">
        <f>IFERROR(__xludf.DUMMYFUNCTION("VALUE(SUBSTITUTE((INDEX(SPLIT(A4286,"",""),1)),""."","","",1))"),66.081105)</f>
        <v>66.081105</v>
      </c>
      <c r="Q4286" s="13">
        <f>IFERROR(__xludf.DUMMYFUNCTION("VALUE(SUBSTITUTE((INDEX(SPLIT(A4286,"",""),2)),""."","","",1))"),76.649946)</f>
        <v>76.649946</v>
      </c>
      <c r="R4286" s="14" t="b">
        <f t="shared" si="1"/>
        <v>0</v>
      </c>
      <c r="S4286" s="14" t="str">
        <f t="shared" si="2"/>
        <v>66.081105,76.649946</v>
      </c>
      <c r="T4286" s="12"/>
    </row>
    <row r="4287">
      <c r="A4287" s="18" t="s">
        <v>27593</v>
      </c>
      <c r="B4287" s="8" t="s">
        <v>27594</v>
      </c>
      <c r="C4287" s="8" t="s">
        <v>27595</v>
      </c>
      <c r="D4287" s="8" t="s">
        <v>16</v>
      </c>
      <c r="E4287" s="19" t="s">
        <v>27596</v>
      </c>
      <c r="F4287" s="8" t="s">
        <v>19948</v>
      </c>
      <c r="G4287" s="8">
        <v>23.61</v>
      </c>
      <c r="H4287" s="8"/>
      <c r="I4287" s="8"/>
      <c r="J4287" s="8" t="s">
        <v>27597</v>
      </c>
      <c r="K4287" s="8" t="s">
        <v>27598</v>
      </c>
      <c r="L4287" s="8"/>
      <c r="M4287" s="24" t="s">
        <v>27599</v>
      </c>
      <c r="N4287" s="12"/>
      <c r="O4287" s="12"/>
      <c r="P4287" s="13">
        <f>IFERROR(__xludf.DUMMYFUNCTION("VALUE(SUBSTITUTE((INDEX(SPLIT(A4287,"",""),1)),""."","","",1))"),66.098324)</f>
        <v>66.098324</v>
      </c>
      <c r="Q4287" s="13">
        <f>IFERROR(__xludf.DUMMYFUNCTION("VALUE(SUBSTITUTE((INDEX(SPLIT(A4287,"",""),2)),""."","","",1))"),76.676878)</f>
        <v>76.676878</v>
      </c>
      <c r="R4287" s="14" t="b">
        <f t="shared" si="1"/>
        <v>0</v>
      </c>
      <c r="S4287" s="14" t="str">
        <f t="shared" si="2"/>
        <v>66.098324,76.676878</v>
      </c>
      <c r="T4287" s="12"/>
    </row>
    <row r="4288">
      <c r="A4288" s="20" t="s">
        <v>27600</v>
      </c>
      <c r="B4288" s="16" t="s">
        <v>27601</v>
      </c>
      <c r="C4288" s="16" t="s">
        <v>27602</v>
      </c>
      <c r="D4288" s="16" t="s">
        <v>16</v>
      </c>
      <c r="E4288" s="21" t="s">
        <v>27603</v>
      </c>
      <c r="F4288" s="22" t="s">
        <v>19378</v>
      </c>
      <c r="G4288" s="16">
        <v>23.61</v>
      </c>
      <c r="H4288" s="16"/>
      <c r="I4288" s="22"/>
      <c r="J4288" s="22" t="s">
        <v>27604</v>
      </c>
      <c r="K4288" s="22" t="s">
        <v>27605</v>
      </c>
      <c r="L4288" s="23" t="s">
        <v>27606</v>
      </c>
      <c r="M4288" s="23" t="s">
        <v>27607</v>
      </c>
      <c r="N4288" s="12"/>
      <c r="O4288" s="12"/>
      <c r="P4288" s="13">
        <f>IFERROR(__xludf.DUMMYFUNCTION("VALUE(SUBSTITUTE((INDEX(SPLIT(A4288,"",""),1)),""."","","",1))"),60.955131)</f>
        <v>60.955131</v>
      </c>
      <c r="Q4288" s="13">
        <f>IFERROR(__xludf.DUMMYFUNCTION("VALUE(SUBSTITUTE((INDEX(SPLIT(A4288,"",""),2)),""."","","",1))"),76.883984)</f>
        <v>76.883984</v>
      </c>
      <c r="R4288" s="14" t="b">
        <f t="shared" si="1"/>
        <v>0</v>
      </c>
      <c r="S4288" s="14" t="str">
        <f t="shared" si="2"/>
        <v>60.955131,76.883984</v>
      </c>
      <c r="T4288" s="12"/>
    </row>
    <row r="4289">
      <c r="A4289" s="7" t="s">
        <v>27608</v>
      </c>
      <c r="B4289" s="8" t="s">
        <v>27609</v>
      </c>
      <c r="C4289" s="8" t="s">
        <v>27610</v>
      </c>
      <c r="D4289" s="8" t="s">
        <v>16</v>
      </c>
      <c r="E4289" s="9" t="s">
        <v>27611</v>
      </c>
      <c r="F4289" s="10" t="s">
        <v>12717</v>
      </c>
      <c r="G4289" s="8">
        <v>23.61</v>
      </c>
      <c r="H4289" s="8"/>
      <c r="I4289" s="10"/>
      <c r="J4289" s="10" t="s">
        <v>27612</v>
      </c>
      <c r="K4289" s="10" t="s">
        <v>27613</v>
      </c>
      <c r="L4289" s="11" t="s">
        <v>27614</v>
      </c>
      <c r="M4289" s="11" t="s">
        <v>27615</v>
      </c>
      <c r="N4289" s="12"/>
      <c r="O4289" s="12"/>
      <c r="P4289" s="13">
        <f>IFERROR(__xludf.DUMMYFUNCTION("VALUE(SUBSTITUTE((INDEX(SPLIT(A4289,"",""),1)),""."","","",1))"),55.454055)</f>
        <v>55.454055</v>
      </c>
      <c r="Q4289" s="13">
        <f>IFERROR(__xludf.DUMMYFUNCTION("VALUE(SUBSTITUTE((INDEX(SPLIT(A4289,"",""),2)),""."","","",1))"),78.265459)</f>
        <v>78.265459</v>
      </c>
      <c r="R4289" s="14" t="b">
        <f t="shared" si="1"/>
        <v>0</v>
      </c>
      <c r="S4289" s="14" t="str">
        <f t="shared" si="2"/>
        <v>55.454055,78.265459</v>
      </c>
      <c r="T4289" s="12"/>
    </row>
    <row r="4290">
      <c r="A4290" s="15" t="s">
        <v>27616</v>
      </c>
      <c r="B4290" s="16" t="s">
        <v>27617</v>
      </c>
      <c r="C4290" s="16" t="s">
        <v>27618</v>
      </c>
      <c r="D4290" s="16" t="s">
        <v>16</v>
      </c>
      <c r="E4290" s="17" t="s">
        <v>27619</v>
      </c>
      <c r="F4290" s="16" t="s">
        <v>13482</v>
      </c>
      <c r="G4290" s="16">
        <v>23.61</v>
      </c>
      <c r="H4290" s="16"/>
      <c r="I4290" s="16"/>
      <c r="J4290" s="16" t="s">
        <v>27620</v>
      </c>
      <c r="K4290" s="16" t="s">
        <v>27621</v>
      </c>
      <c r="L4290" s="16"/>
      <c r="M4290" s="16"/>
      <c r="N4290" s="12"/>
      <c r="O4290" s="12"/>
      <c r="P4290" s="13">
        <f>IFERROR(__xludf.DUMMYFUNCTION("VALUE(SUBSTITUTE((INDEX(SPLIT(A4290,"",""),1)),""."","","",1))"),55.446749)</f>
        <v>55.446749</v>
      </c>
      <c r="Q4290" s="13">
        <f>IFERROR(__xludf.DUMMYFUNCTION("VALUE(SUBSTITUTE((INDEX(SPLIT(A4290,"",""),2)),""."","","",1))"),78.35653)</f>
        <v>78.35653</v>
      </c>
      <c r="R4290" s="14" t="b">
        <f t="shared" si="1"/>
        <v>0</v>
      </c>
      <c r="S4290" s="14" t="str">
        <f t="shared" si="2"/>
        <v>55.446749,78.35653</v>
      </c>
      <c r="T4290" s="12"/>
    </row>
    <row r="4291">
      <c r="A4291" s="18" t="s">
        <v>27616</v>
      </c>
      <c r="B4291" s="8" t="s">
        <v>7365</v>
      </c>
      <c r="C4291" s="8" t="s">
        <v>7366</v>
      </c>
      <c r="D4291" s="8" t="s">
        <v>16</v>
      </c>
      <c r="E4291" s="19" t="s">
        <v>27622</v>
      </c>
      <c r="F4291" s="8" t="s">
        <v>13482</v>
      </c>
      <c r="G4291" s="8">
        <v>23.61</v>
      </c>
      <c r="H4291" s="8"/>
      <c r="I4291" s="8"/>
      <c r="J4291" s="8" t="s">
        <v>27620</v>
      </c>
      <c r="K4291" s="8" t="s">
        <v>27621</v>
      </c>
      <c r="L4291" s="8"/>
      <c r="M4291" s="8"/>
      <c r="N4291" s="12"/>
      <c r="O4291" s="12"/>
      <c r="P4291" s="13">
        <f>IFERROR(__xludf.DUMMYFUNCTION("VALUE(SUBSTITUTE((INDEX(SPLIT(A4291,"",""),1)),""."","","",1))"),55.446749)</f>
        <v>55.446749</v>
      </c>
      <c r="Q4291" s="13">
        <f>IFERROR(__xludf.DUMMYFUNCTION("VALUE(SUBSTITUTE((INDEX(SPLIT(A4291,"",""),2)),""."","","",1))"),78.35653)</f>
        <v>78.35653</v>
      </c>
      <c r="R4291" s="14" t="b">
        <f t="shared" si="1"/>
        <v>0</v>
      </c>
      <c r="S4291" s="14" t="str">
        <f t="shared" si="2"/>
        <v>55.446749,78.35653</v>
      </c>
      <c r="T4291" s="12"/>
    </row>
    <row r="4292">
      <c r="A4292" s="20" t="s">
        <v>27623</v>
      </c>
      <c r="B4292" s="16" t="s">
        <v>27624</v>
      </c>
      <c r="C4292" s="16" t="s">
        <v>27625</v>
      </c>
      <c r="D4292" s="16" t="s">
        <v>16</v>
      </c>
      <c r="E4292" s="21" t="s">
        <v>27626</v>
      </c>
      <c r="F4292" s="22" t="s">
        <v>19948</v>
      </c>
      <c r="G4292" s="16">
        <v>23.61</v>
      </c>
      <c r="H4292" s="16"/>
      <c r="I4292" s="22"/>
      <c r="J4292" s="22" t="s">
        <v>27627</v>
      </c>
      <c r="K4292" s="22" t="s">
        <v>27628</v>
      </c>
      <c r="L4292" s="23" t="s">
        <v>27629</v>
      </c>
      <c r="M4292" s="23" t="s">
        <v>27630</v>
      </c>
      <c r="N4292" s="12"/>
      <c r="O4292" s="12"/>
      <c r="P4292" s="13">
        <f>IFERROR(__xludf.DUMMYFUNCTION("VALUE(SUBSTITUTE((INDEX(SPLIT(A4292,"",""),1)),""."","","",1))"),52.996296)</f>
        <v>52.996296</v>
      </c>
      <c r="Q4292" s="13">
        <f>IFERROR(__xludf.DUMMYFUNCTION("VALUE(SUBSTITUTE((INDEX(SPLIT(A4292,"",""),2)),""."","","",1))"),78.675243)</f>
        <v>78.675243</v>
      </c>
      <c r="R4292" s="14" t="b">
        <f t="shared" si="1"/>
        <v>0</v>
      </c>
      <c r="S4292" s="14" t="str">
        <f t="shared" si="2"/>
        <v>52.996296,78.675243</v>
      </c>
      <c r="T4292" s="12"/>
    </row>
    <row r="4293">
      <c r="A4293" s="18" t="s">
        <v>27631</v>
      </c>
      <c r="B4293" s="8" t="s">
        <v>27632</v>
      </c>
      <c r="C4293" s="8" t="s">
        <v>27633</v>
      </c>
      <c r="D4293" s="8" t="s">
        <v>16</v>
      </c>
      <c r="E4293" s="19" t="s">
        <v>27634</v>
      </c>
      <c r="F4293" s="8" t="s">
        <v>13482</v>
      </c>
      <c r="G4293" s="8">
        <v>23.61</v>
      </c>
      <c r="H4293" s="8"/>
      <c r="I4293" s="8"/>
      <c r="J4293" s="8" t="s">
        <v>27635</v>
      </c>
      <c r="K4293" s="8" t="s">
        <v>27636</v>
      </c>
      <c r="L4293" s="8"/>
      <c r="M4293" s="8"/>
      <c r="N4293" s="12"/>
      <c r="O4293" s="12"/>
      <c r="P4293" s="13">
        <f>IFERROR(__xludf.DUMMYFUNCTION("VALUE(SUBSTITUTE((INDEX(SPLIT(A4293,"",""),1)),""."","","",1))"),51.825375)</f>
        <v>51.825375</v>
      </c>
      <c r="Q4293" s="13">
        <f>IFERROR(__xludf.DUMMYFUNCTION("VALUE(SUBSTITUTE((INDEX(SPLIT(A4293,"",""),2)),""."","","",1))"),79.767828)</f>
        <v>79.767828</v>
      </c>
      <c r="R4293" s="14" t="b">
        <f t="shared" si="1"/>
        <v>0</v>
      </c>
      <c r="S4293" s="14" t="str">
        <f t="shared" si="2"/>
        <v>51.825375,79.767828</v>
      </c>
      <c r="T4293" s="12"/>
    </row>
    <row r="4294">
      <c r="A4294" s="20" t="s">
        <v>27637</v>
      </c>
      <c r="B4294" s="16" t="s">
        <v>27638</v>
      </c>
      <c r="C4294" s="16" t="s">
        <v>27639</v>
      </c>
      <c r="D4294" s="16" t="s">
        <v>16</v>
      </c>
      <c r="E4294" s="21" t="s">
        <v>27640</v>
      </c>
      <c r="F4294" s="22" t="s">
        <v>19948</v>
      </c>
      <c r="G4294" s="16">
        <v>23.61</v>
      </c>
      <c r="H4294" s="16"/>
      <c r="I4294" s="22"/>
      <c r="J4294" s="22" t="s">
        <v>27641</v>
      </c>
      <c r="K4294" s="22" t="s">
        <v>27642</v>
      </c>
      <c r="L4294" s="30" t="s">
        <v>27643</v>
      </c>
      <c r="M4294" s="22"/>
      <c r="N4294" s="12"/>
      <c r="O4294" s="12"/>
      <c r="P4294" s="13">
        <f>IFERROR(__xludf.DUMMYFUNCTION("VALUE(SUBSTITUTE((INDEX(SPLIT(A4294,"",""),1)),""."","","",1))"),51.548603)</f>
        <v>51.548603</v>
      </c>
      <c r="Q4294" s="13">
        <f>IFERROR(__xludf.DUMMYFUNCTION("VALUE(SUBSTITUTE((INDEX(SPLIT(A4294,"",""),2)),""."","","",1))"),81.21258)</f>
        <v>81.21258</v>
      </c>
      <c r="R4294" s="14" t="b">
        <f t="shared" si="1"/>
        <v>0</v>
      </c>
      <c r="S4294" s="14" t="str">
        <f t="shared" si="2"/>
        <v>51.548603,81.21258</v>
      </c>
      <c r="T4294" s="12"/>
    </row>
    <row r="4295">
      <c r="A4295" s="7" t="s">
        <v>27644</v>
      </c>
      <c r="B4295" s="8" t="s">
        <v>27645</v>
      </c>
      <c r="C4295" s="8" t="s">
        <v>27646</v>
      </c>
      <c r="D4295" s="8" t="s">
        <v>16</v>
      </c>
      <c r="E4295" s="9" t="s">
        <v>27647</v>
      </c>
      <c r="F4295" s="10" t="s">
        <v>26306</v>
      </c>
      <c r="G4295" s="8">
        <v>23.61</v>
      </c>
      <c r="H4295" s="8"/>
      <c r="I4295" s="10"/>
      <c r="J4295" s="10" t="s">
        <v>27648</v>
      </c>
      <c r="K4295" s="10" t="s">
        <v>27649</v>
      </c>
      <c r="L4295" s="11" t="s">
        <v>27650</v>
      </c>
      <c r="M4295" s="11" t="s">
        <v>27651</v>
      </c>
      <c r="N4295" s="12"/>
      <c r="O4295" s="12"/>
      <c r="P4295" s="13">
        <f>IFERROR(__xludf.DUMMYFUNCTION("VALUE(SUBSTITUTE((INDEX(SPLIT(A4295,"",""),1)),""."","","",1))"),50.955921)</f>
        <v>50.955921</v>
      </c>
      <c r="Q4295" s="13">
        <f>IFERROR(__xludf.DUMMYFUNCTION("VALUE(SUBSTITUTE((INDEX(SPLIT(A4295,"",""),2)),""."","","",1))"),81.792703)</f>
        <v>81.792703</v>
      </c>
      <c r="R4295" s="14" t="b">
        <f t="shared" si="1"/>
        <v>0</v>
      </c>
      <c r="S4295" s="14" t="str">
        <f t="shared" si="2"/>
        <v>50.955921,81.792703</v>
      </c>
      <c r="T4295" s="12"/>
    </row>
    <row r="4296">
      <c r="A4296" s="20" t="s">
        <v>27652</v>
      </c>
      <c r="B4296" s="16" t="s">
        <v>10121</v>
      </c>
      <c r="C4296" s="16" t="s">
        <v>10122</v>
      </c>
      <c r="D4296" s="16" t="s">
        <v>16</v>
      </c>
      <c r="E4296" s="21" t="s">
        <v>27653</v>
      </c>
      <c r="F4296" s="22" t="s">
        <v>19378</v>
      </c>
      <c r="G4296" s="16">
        <v>23.61</v>
      </c>
      <c r="H4296" s="16"/>
      <c r="I4296" s="22"/>
      <c r="J4296" s="22" t="s">
        <v>27654</v>
      </c>
      <c r="K4296" s="22" t="s">
        <v>27655</v>
      </c>
      <c r="L4296" s="23" t="s">
        <v>27656</v>
      </c>
      <c r="M4296" s="23" t="s">
        <v>27657</v>
      </c>
      <c r="N4296" s="12"/>
      <c r="O4296" s="12"/>
      <c r="P4296" s="13">
        <f>IFERROR(__xludf.DUMMYFUNCTION("VALUE(SUBSTITUTE((INDEX(SPLIT(A4296,"",""),1)),""."","","",1))"),54.355238)</f>
        <v>54.355238</v>
      </c>
      <c r="Q4296" s="13">
        <f>IFERROR(__xludf.DUMMYFUNCTION("VALUE(SUBSTITUTE((INDEX(SPLIT(A4296,"",""),2)),""."","","",1))"),81.871332)</f>
        <v>81.871332</v>
      </c>
      <c r="R4296" s="14" t="b">
        <f t="shared" si="1"/>
        <v>0</v>
      </c>
      <c r="S4296" s="14" t="str">
        <f t="shared" si="2"/>
        <v>54.355238,81.871332</v>
      </c>
      <c r="T4296" s="12"/>
    </row>
    <row r="4297">
      <c r="A4297" s="7" t="s">
        <v>27658</v>
      </c>
      <c r="B4297" s="8" t="s">
        <v>27659</v>
      </c>
      <c r="C4297" s="8" t="s">
        <v>27660</v>
      </c>
      <c r="D4297" s="8" t="s">
        <v>16</v>
      </c>
      <c r="E4297" s="9" t="s">
        <v>27661</v>
      </c>
      <c r="F4297" s="10" t="s">
        <v>12717</v>
      </c>
      <c r="G4297" s="8">
        <v>23.61</v>
      </c>
      <c r="H4297" s="8"/>
      <c r="I4297" s="10"/>
      <c r="J4297" s="10" t="s">
        <v>27662</v>
      </c>
      <c r="K4297" s="10" t="s">
        <v>27663</v>
      </c>
      <c r="L4297" s="11" t="s">
        <v>27664</v>
      </c>
      <c r="M4297" s="10"/>
      <c r="N4297" s="12"/>
      <c r="O4297" s="12"/>
      <c r="P4297" s="13">
        <f>IFERROR(__xludf.DUMMYFUNCTION("VALUE(SUBSTITUTE((INDEX(SPLIT(A4297,"",""),1)),""."","","",1))"),53.787098)</f>
        <v>53.787098</v>
      </c>
      <c r="Q4297" s="13">
        <f>IFERROR(__xludf.DUMMYFUNCTION("VALUE(SUBSTITUTE((INDEX(SPLIT(A4297,"",""),2)),""."","","",1))"),82.312746)</f>
        <v>82.312746</v>
      </c>
      <c r="R4297" s="14" t="b">
        <f t="shared" si="1"/>
        <v>0</v>
      </c>
      <c r="S4297" s="14" t="str">
        <f t="shared" si="2"/>
        <v>53.787098,82.312746</v>
      </c>
      <c r="T4297" s="12"/>
    </row>
    <row r="4298">
      <c r="A4298" s="20" t="s">
        <v>27665</v>
      </c>
      <c r="B4298" s="16" t="s">
        <v>26588</v>
      </c>
      <c r="C4298" s="16" t="s">
        <v>26589</v>
      </c>
      <c r="D4298" s="16" t="s">
        <v>16</v>
      </c>
      <c r="E4298" s="21" t="s">
        <v>27666</v>
      </c>
      <c r="F4298" s="22" t="s">
        <v>19948</v>
      </c>
      <c r="G4298" s="16">
        <v>23.61</v>
      </c>
      <c r="H4298" s="16"/>
      <c r="I4298" s="22"/>
      <c r="J4298" s="22" t="s">
        <v>27667</v>
      </c>
      <c r="K4298" s="22" t="s">
        <v>27668</v>
      </c>
      <c r="L4298" s="23" t="s">
        <v>27669</v>
      </c>
      <c r="M4298" s="23" t="s">
        <v>26594</v>
      </c>
      <c r="N4298" s="12"/>
      <c r="O4298" s="12"/>
      <c r="P4298" s="13">
        <f>IFERROR(__xludf.DUMMYFUNCTION("VALUE(SUBSTITUTE((INDEX(SPLIT(A4298,"",""),1)),""."","","",1))"),55.316744)</f>
        <v>55.316744</v>
      </c>
      <c r="Q4298" s="13">
        <f>IFERROR(__xludf.DUMMYFUNCTION("VALUE(SUBSTITUTE((INDEX(SPLIT(A4298,"",""),2)),""."","","",1))"),82.74268)</f>
        <v>82.74268</v>
      </c>
      <c r="R4298" s="14" t="b">
        <f t="shared" si="1"/>
        <v>0</v>
      </c>
      <c r="S4298" s="14" t="str">
        <f t="shared" si="2"/>
        <v>55.316744,82.74268</v>
      </c>
      <c r="T4298" s="12"/>
    </row>
    <row r="4299">
      <c r="A4299" s="7" t="s">
        <v>27670</v>
      </c>
      <c r="B4299" s="8" t="s">
        <v>11057</v>
      </c>
      <c r="C4299" s="8" t="s">
        <v>11058</v>
      </c>
      <c r="D4299" s="8" t="s">
        <v>16</v>
      </c>
      <c r="E4299" s="9" t="s">
        <v>27671</v>
      </c>
      <c r="F4299" s="10" t="s">
        <v>19948</v>
      </c>
      <c r="G4299" s="8">
        <v>23.61</v>
      </c>
      <c r="H4299" s="8"/>
      <c r="I4299" s="10"/>
      <c r="J4299" s="10" t="s">
        <v>27672</v>
      </c>
      <c r="K4299" s="10" t="s">
        <v>27673</v>
      </c>
      <c r="L4299" s="11" t="s">
        <v>27674</v>
      </c>
      <c r="M4299" s="10"/>
      <c r="N4299" s="12"/>
      <c r="O4299" s="12"/>
      <c r="P4299" s="13">
        <f>IFERROR(__xludf.DUMMYFUNCTION("VALUE(SUBSTITUTE((INDEX(SPLIT(A4299,"",""),1)),""."","","",1))"),55.30232)</f>
        <v>55.30232</v>
      </c>
      <c r="Q4299" s="13">
        <f>IFERROR(__xludf.DUMMYFUNCTION("VALUE(SUBSTITUTE((INDEX(SPLIT(A4299,"",""),2)),""."","","",1))"),82.743668)</f>
        <v>82.743668</v>
      </c>
      <c r="R4299" s="14" t="b">
        <f t="shared" si="1"/>
        <v>0</v>
      </c>
      <c r="S4299" s="14" t="str">
        <f t="shared" si="2"/>
        <v>55.30232,82.743668</v>
      </c>
      <c r="T4299" s="12"/>
    </row>
    <row r="4300">
      <c r="A4300" s="15" t="s">
        <v>27675</v>
      </c>
      <c r="B4300" s="16" t="s">
        <v>27676</v>
      </c>
      <c r="C4300" s="16" t="s">
        <v>27677</v>
      </c>
      <c r="D4300" s="16" t="s">
        <v>16</v>
      </c>
      <c r="E4300" s="17" t="s">
        <v>27678</v>
      </c>
      <c r="F4300" s="16" t="s">
        <v>19948</v>
      </c>
      <c r="G4300" s="16">
        <v>23.61</v>
      </c>
      <c r="H4300" s="16"/>
      <c r="I4300" s="16"/>
      <c r="J4300" s="16" t="s">
        <v>27679</v>
      </c>
      <c r="K4300" s="16" t="s">
        <v>27680</v>
      </c>
      <c r="L4300" s="16"/>
      <c r="M4300" s="16"/>
      <c r="N4300" s="12"/>
      <c r="O4300" s="12"/>
      <c r="P4300" s="13">
        <f>IFERROR(__xludf.DUMMYFUNCTION("VALUE(SUBSTITUTE((INDEX(SPLIT(A4300,"",""),1)),""."","","",1))"),55.302499)</f>
        <v>55.302499</v>
      </c>
      <c r="Q4300" s="13">
        <f>IFERROR(__xludf.DUMMYFUNCTION("VALUE(SUBSTITUTE((INDEX(SPLIT(A4300,"",""),2)),""."","","",1))"),82.743722)</f>
        <v>82.743722</v>
      </c>
      <c r="R4300" s="14" t="b">
        <f t="shared" si="1"/>
        <v>0</v>
      </c>
      <c r="S4300" s="14" t="str">
        <f t="shared" si="2"/>
        <v>55.302499,82.743722</v>
      </c>
      <c r="T4300" s="12"/>
    </row>
    <row r="4301">
      <c r="A4301" s="7" t="s">
        <v>27681</v>
      </c>
      <c r="B4301" s="8" t="s">
        <v>27682</v>
      </c>
      <c r="C4301" s="8" t="s">
        <v>27683</v>
      </c>
      <c r="D4301" s="8" t="s">
        <v>16</v>
      </c>
      <c r="E4301" s="9" t="s">
        <v>27684</v>
      </c>
      <c r="F4301" s="10" t="s">
        <v>19948</v>
      </c>
      <c r="G4301" s="8">
        <v>23.61</v>
      </c>
      <c r="H4301" s="8"/>
      <c r="I4301" s="10"/>
      <c r="J4301" s="10" t="s">
        <v>27685</v>
      </c>
      <c r="K4301" s="10" t="s">
        <v>27686</v>
      </c>
      <c r="L4301" s="29" t="s">
        <v>27687</v>
      </c>
      <c r="M4301" s="10"/>
      <c r="N4301" s="12"/>
      <c r="O4301" s="12"/>
      <c r="P4301" s="13">
        <f>IFERROR(__xludf.DUMMYFUNCTION("VALUE(SUBSTITUTE((INDEX(SPLIT(A4301,"",""),1)),""."","","",1))"),52.497403)</f>
        <v>52.497403</v>
      </c>
      <c r="Q4301" s="13">
        <f>IFERROR(__xludf.DUMMYFUNCTION("VALUE(SUBSTITUTE((INDEX(SPLIT(A4301,"",""),2)),""."","","",1))"),82.770438)</f>
        <v>82.770438</v>
      </c>
      <c r="R4301" s="14" t="b">
        <f t="shared" si="1"/>
        <v>0</v>
      </c>
      <c r="S4301" s="14" t="str">
        <f t="shared" si="2"/>
        <v>52.497403,82.770438</v>
      </c>
      <c r="T4301" s="12"/>
    </row>
    <row r="4302">
      <c r="A4302" s="20" t="s">
        <v>27688</v>
      </c>
      <c r="B4302" s="16" t="s">
        <v>27682</v>
      </c>
      <c r="C4302" s="16" t="s">
        <v>27683</v>
      </c>
      <c r="D4302" s="16" t="s">
        <v>16</v>
      </c>
      <c r="E4302" s="21" t="s">
        <v>27689</v>
      </c>
      <c r="F4302" s="22" t="s">
        <v>19948</v>
      </c>
      <c r="G4302" s="16">
        <v>23.61</v>
      </c>
      <c r="H4302" s="16"/>
      <c r="I4302" s="22"/>
      <c r="J4302" s="22" t="s">
        <v>27690</v>
      </c>
      <c r="K4302" s="22" t="s">
        <v>27691</v>
      </c>
      <c r="L4302" s="23" t="s">
        <v>27692</v>
      </c>
      <c r="M4302" s="22"/>
      <c r="N4302" s="12"/>
      <c r="O4302" s="12"/>
      <c r="P4302" s="13">
        <f>IFERROR(__xludf.DUMMYFUNCTION("VALUE(SUBSTITUTE((INDEX(SPLIT(A4302,"",""),1)),""."","","",1))"),54.888724)</f>
        <v>54.888724</v>
      </c>
      <c r="Q4302" s="13">
        <f>IFERROR(__xludf.DUMMYFUNCTION("VALUE(SUBSTITUTE((INDEX(SPLIT(A4302,"",""),2)),""."","","",1))"),82.781325)</f>
        <v>82.781325</v>
      </c>
      <c r="R4302" s="14" t="b">
        <f t="shared" si="1"/>
        <v>0</v>
      </c>
      <c r="S4302" s="14" t="str">
        <f t="shared" si="2"/>
        <v>54.888724,82.781325</v>
      </c>
      <c r="T4302" s="12"/>
    </row>
    <row r="4303">
      <c r="A4303" s="18" t="s">
        <v>27693</v>
      </c>
      <c r="B4303" s="8" t="s">
        <v>27694</v>
      </c>
      <c r="C4303" s="8" t="s">
        <v>27695</v>
      </c>
      <c r="D4303" s="8" t="s">
        <v>16</v>
      </c>
      <c r="E4303" s="19" t="s">
        <v>27696</v>
      </c>
      <c r="F4303" s="8" t="s">
        <v>19948</v>
      </c>
      <c r="G4303" s="8">
        <v>23.61</v>
      </c>
      <c r="H4303" s="8"/>
      <c r="I4303" s="8"/>
      <c r="J4303" s="8" t="s">
        <v>27697</v>
      </c>
      <c r="K4303" s="8" t="s">
        <v>27698</v>
      </c>
      <c r="L4303" s="8"/>
      <c r="M4303" s="8"/>
      <c r="N4303" s="12"/>
      <c r="O4303" s="12"/>
      <c r="P4303" s="13">
        <f>IFERROR(__xludf.DUMMYFUNCTION("VALUE(SUBSTITUTE((INDEX(SPLIT(A4303,"",""),1)),""."","","",1))"),55.006394)</f>
        <v>55.006394</v>
      </c>
      <c r="Q4303" s="13">
        <f>IFERROR(__xludf.DUMMYFUNCTION("VALUE(SUBSTITUTE((INDEX(SPLIT(A4303,"",""),2)),""."","","",1))"),82.782727)</f>
        <v>82.782727</v>
      </c>
      <c r="R4303" s="14" t="b">
        <f t="shared" si="1"/>
        <v>0</v>
      </c>
      <c r="S4303" s="14" t="str">
        <f t="shared" si="2"/>
        <v>55.006394,82.782727</v>
      </c>
      <c r="T4303" s="12"/>
    </row>
    <row r="4304">
      <c r="A4304" s="15" t="s">
        <v>27699</v>
      </c>
      <c r="B4304" s="16" t="s">
        <v>27700</v>
      </c>
      <c r="C4304" s="16" t="s">
        <v>27701</v>
      </c>
      <c r="D4304" s="16" t="s">
        <v>16</v>
      </c>
      <c r="E4304" s="17" t="s">
        <v>27702</v>
      </c>
      <c r="F4304" s="16" t="s">
        <v>13482</v>
      </c>
      <c r="G4304" s="16">
        <v>23.61</v>
      </c>
      <c r="H4304" s="16"/>
      <c r="I4304" s="32" t="s">
        <v>27703</v>
      </c>
      <c r="J4304" s="16" t="s">
        <v>27704</v>
      </c>
      <c r="K4304" s="16" t="s">
        <v>27705</v>
      </c>
      <c r="L4304" s="16"/>
      <c r="M4304" s="25" t="s">
        <v>27706</v>
      </c>
      <c r="N4304" s="12"/>
      <c r="O4304" s="12"/>
      <c r="P4304" s="13">
        <f>IFERROR(__xludf.DUMMYFUNCTION("VALUE(SUBSTITUTE((INDEX(SPLIT(A4304,"",""),1)),""."","","",1))"),54.971833)</f>
        <v>54.971833</v>
      </c>
      <c r="Q4304" s="13">
        <f>IFERROR(__xludf.DUMMYFUNCTION("VALUE(SUBSTITUTE((INDEX(SPLIT(A4304,"",""),2)),""."","","",1))"),82.788503)</f>
        <v>82.788503</v>
      </c>
      <c r="R4304" s="14" t="b">
        <f t="shared" si="1"/>
        <v>0</v>
      </c>
      <c r="S4304" s="14" t="str">
        <f t="shared" si="2"/>
        <v>54.971833,82.788503</v>
      </c>
      <c r="T4304" s="12"/>
    </row>
    <row r="4305">
      <c r="A4305" s="18" t="s">
        <v>27707</v>
      </c>
      <c r="B4305" s="8" t="s">
        <v>27708</v>
      </c>
      <c r="C4305" s="8" t="s">
        <v>27709</v>
      </c>
      <c r="D4305" s="8" t="s">
        <v>16</v>
      </c>
      <c r="E4305" s="19" t="s">
        <v>27710</v>
      </c>
      <c r="F4305" s="8" t="s">
        <v>19948</v>
      </c>
      <c r="G4305" s="8">
        <v>23.61</v>
      </c>
      <c r="H4305" s="8"/>
      <c r="I4305" s="8"/>
      <c r="J4305" s="8" t="s">
        <v>27711</v>
      </c>
      <c r="K4305" s="8" t="s">
        <v>27712</v>
      </c>
      <c r="L4305" s="8"/>
      <c r="M4305" s="8"/>
      <c r="N4305" s="12"/>
      <c r="O4305" s="12"/>
      <c r="P4305" s="13">
        <f>IFERROR(__xludf.DUMMYFUNCTION("VALUE(SUBSTITUTE((INDEX(SPLIT(A4305,"",""),1)),""."","","",1))"),55.053402)</f>
        <v>55.053402</v>
      </c>
      <c r="Q4305" s="13">
        <f>IFERROR(__xludf.DUMMYFUNCTION("VALUE(SUBSTITUTE((INDEX(SPLIT(A4305,"",""),2)),""."","","",1))"),82.793129)</f>
        <v>82.793129</v>
      </c>
      <c r="R4305" s="14" t="b">
        <f t="shared" si="1"/>
        <v>0</v>
      </c>
      <c r="S4305" s="14" t="str">
        <f t="shared" si="2"/>
        <v>55.053402,82.793129</v>
      </c>
      <c r="T4305" s="12"/>
    </row>
    <row r="4306">
      <c r="A4306" s="15" t="s">
        <v>27713</v>
      </c>
      <c r="B4306" s="16" t="s">
        <v>27714</v>
      </c>
      <c r="C4306" s="16" t="s">
        <v>27715</v>
      </c>
      <c r="D4306" s="16" t="s">
        <v>16</v>
      </c>
      <c r="E4306" s="17" t="s">
        <v>27716</v>
      </c>
      <c r="F4306" s="16" t="s">
        <v>19948</v>
      </c>
      <c r="G4306" s="16">
        <v>23.61</v>
      </c>
      <c r="H4306" s="16"/>
      <c r="I4306" s="16"/>
      <c r="J4306" s="16" t="s">
        <v>27717</v>
      </c>
      <c r="K4306" s="16" t="s">
        <v>27718</v>
      </c>
      <c r="L4306" s="16"/>
      <c r="M4306" s="25" t="s">
        <v>27719</v>
      </c>
      <c r="N4306" s="12"/>
      <c r="O4306" s="12"/>
      <c r="P4306" s="13">
        <f>IFERROR(__xludf.DUMMYFUNCTION("VALUE(SUBSTITUTE((INDEX(SPLIT(A4306,"",""),1)),""."","","",1))"),55.008769)</f>
        <v>55.008769</v>
      </c>
      <c r="Q4306" s="13">
        <f>IFERROR(__xludf.DUMMYFUNCTION("VALUE(SUBSTITUTE((INDEX(SPLIT(A4306,"",""),2)),""."","","",1))"),82.804897)</f>
        <v>82.804897</v>
      </c>
      <c r="R4306" s="14" t="b">
        <f t="shared" si="1"/>
        <v>0</v>
      </c>
      <c r="S4306" s="14" t="str">
        <f t="shared" si="2"/>
        <v>55.008769,82.804897</v>
      </c>
      <c r="T4306" s="12"/>
    </row>
    <row r="4307">
      <c r="A4307" s="18" t="s">
        <v>27720</v>
      </c>
      <c r="B4307" s="8" t="s">
        <v>27721</v>
      </c>
      <c r="C4307" s="8" t="s">
        <v>27722</v>
      </c>
      <c r="D4307" s="8" t="s">
        <v>16</v>
      </c>
      <c r="E4307" s="19" t="s">
        <v>27723</v>
      </c>
      <c r="F4307" s="8" t="s">
        <v>13482</v>
      </c>
      <c r="G4307" s="8">
        <v>23.61</v>
      </c>
      <c r="H4307" s="8"/>
      <c r="I4307" s="27" t="s">
        <v>27724</v>
      </c>
      <c r="J4307" s="8" t="s">
        <v>27725</v>
      </c>
      <c r="K4307" s="8" t="s">
        <v>27726</v>
      </c>
      <c r="L4307" s="8"/>
      <c r="M4307" s="24" t="s">
        <v>27727</v>
      </c>
      <c r="N4307" s="12"/>
      <c r="O4307" s="12"/>
      <c r="P4307" s="13">
        <f>IFERROR(__xludf.DUMMYFUNCTION("VALUE(SUBSTITUTE((INDEX(SPLIT(A4307,"",""),1)),""."","","",1))"),54.923999)</f>
        <v>54.923999</v>
      </c>
      <c r="Q4307" s="13">
        <f>IFERROR(__xludf.DUMMYFUNCTION("VALUE(SUBSTITUTE((INDEX(SPLIT(A4307,"",""),2)),""."","","",1))"),82.810925)</f>
        <v>82.810925</v>
      </c>
      <c r="R4307" s="14" t="b">
        <f t="shared" si="1"/>
        <v>0</v>
      </c>
      <c r="S4307" s="14" t="str">
        <f t="shared" si="2"/>
        <v>54.923999,82.810925</v>
      </c>
      <c r="T4307" s="12"/>
    </row>
    <row r="4308">
      <c r="A4308" s="20" t="s">
        <v>27728</v>
      </c>
      <c r="B4308" s="16" t="s">
        <v>27729</v>
      </c>
      <c r="C4308" s="16" t="s">
        <v>27730</v>
      </c>
      <c r="D4308" s="16" t="s">
        <v>16</v>
      </c>
      <c r="E4308" s="21" t="s">
        <v>27731</v>
      </c>
      <c r="F4308" s="22" t="s">
        <v>19378</v>
      </c>
      <c r="G4308" s="16">
        <v>23.61</v>
      </c>
      <c r="H4308" s="16"/>
      <c r="I4308" s="22"/>
      <c r="J4308" s="22" t="s">
        <v>27732</v>
      </c>
      <c r="K4308" s="22" t="s">
        <v>27733</v>
      </c>
      <c r="L4308" s="30" t="s">
        <v>27734</v>
      </c>
      <c r="M4308" s="22"/>
      <c r="N4308" s="12"/>
      <c r="O4308" s="12"/>
      <c r="P4308" s="13">
        <f>IFERROR(__xludf.DUMMYFUNCTION("VALUE(SUBSTITUTE((INDEX(SPLIT(A4308,"",""),1)),""."","","",1))"),55.000657)</f>
        <v>55.000657</v>
      </c>
      <c r="Q4308" s="13">
        <f>IFERROR(__xludf.DUMMYFUNCTION("VALUE(SUBSTITUTE((INDEX(SPLIT(A4308,"",""),2)),""."","","",1))"),82.81282)</f>
        <v>82.81282</v>
      </c>
      <c r="R4308" s="14" t="b">
        <f t="shared" si="1"/>
        <v>0</v>
      </c>
      <c r="S4308" s="14" t="str">
        <f t="shared" si="2"/>
        <v>55.000657,82.81282</v>
      </c>
      <c r="T4308" s="12"/>
    </row>
    <row r="4309">
      <c r="A4309" s="18" t="s">
        <v>27735</v>
      </c>
      <c r="B4309" s="8" t="s">
        <v>27736</v>
      </c>
      <c r="C4309" s="8" t="s">
        <v>27737</v>
      </c>
      <c r="D4309" s="8" t="s">
        <v>16</v>
      </c>
      <c r="E4309" s="19" t="s">
        <v>27738</v>
      </c>
      <c r="F4309" s="8" t="s">
        <v>13482</v>
      </c>
      <c r="G4309" s="8">
        <v>23.61</v>
      </c>
      <c r="H4309" s="8"/>
      <c r="I4309" s="8"/>
      <c r="J4309" s="8" t="s">
        <v>27739</v>
      </c>
      <c r="K4309" s="8" t="s">
        <v>20490</v>
      </c>
      <c r="L4309" s="8"/>
      <c r="M4309" s="8"/>
      <c r="N4309" s="12"/>
      <c r="O4309" s="12"/>
      <c r="P4309" s="13">
        <f>IFERROR(__xludf.DUMMYFUNCTION("VALUE(SUBSTITUTE((INDEX(SPLIT(A4309,"",""),1)),""."","","",1))"),54.998039)</f>
        <v>54.998039</v>
      </c>
      <c r="Q4309" s="13">
        <f>IFERROR(__xludf.DUMMYFUNCTION("VALUE(SUBSTITUTE((INDEX(SPLIT(A4309,"",""),2)),""."","","",1))"),82.82201)</f>
        <v>82.82201</v>
      </c>
      <c r="R4309" s="14" t="b">
        <f t="shared" si="1"/>
        <v>0</v>
      </c>
      <c r="S4309" s="14" t="str">
        <f t="shared" si="2"/>
        <v>54.998039,82.82201</v>
      </c>
      <c r="T4309" s="12"/>
    </row>
    <row r="4310">
      <c r="A4310" s="15" t="s">
        <v>27740</v>
      </c>
      <c r="B4310" s="16" t="s">
        <v>27741</v>
      </c>
      <c r="C4310" s="16" t="s">
        <v>27742</v>
      </c>
      <c r="D4310" s="16" t="s">
        <v>16</v>
      </c>
      <c r="E4310" s="17" t="s">
        <v>27743</v>
      </c>
      <c r="F4310" s="16" t="s">
        <v>19948</v>
      </c>
      <c r="G4310" s="16">
        <v>23.61</v>
      </c>
      <c r="H4310" s="16"/>
      <c r="I4310" s="16"/>
      <c r="J4310" s="16" t="s">
        <v>27744</v>
      </c>
      <c r="K4310" s="16" t="s">
        <v>27745</v>
      </c>
      <c r="L4310" s="16"/>
      <c r="M4310" s="16"/>
      <c r="N4310" s="12"/>
      <c r="O4310" s="12"/>
      <c r="P4310" s="13">
        <f>IFERROR(__xludf.DUMMYFUNCTION("VALUE(SUBSTITUTE((INDEX(SPLIT(A4310,"",""),1)),""."","","",1))"),55.008774)</f>
        <v>55.008774</v>
      </c>
      <c r="Q4310" s="13">
        <f>IFERROR(__xludf.DUMMYFUNCTION("VALUE(SUBSTITUTE((INDEX(SPLIT(A4310,"",""),2)),""."","","",1))"),82.827149)</f>
        <v>82.827149</v>
      </c>
      <c r="R4310" s="14" t="b">
        <f t="shared" si="1"/>
        <v>0</v>
      </c>
      <c r="S4310" s="14" t="str">
        <f t="shared" si="2"/>
        <v>55.008774,82.827149</v>
      </c>
      <c r="T4310" s="12"/>
    </row>
    <row r="4311">
      <c r="A4311" s="18" t="s">
        <v>27746</v>
      </c>
      <c r="B4311" s="8" t="s">
        <v>27747</v>
      </c>
      <c r="C4311" s="8" t="s">
        <v>27748</v>
      </c>
      <c r="D4311" s="8" t="s">
        <v>16</v>
      </c>
      <c r="E4311" s="19" t="s">
        <v>27749</v>
      </c>
      <c r="F4311" s="8" t="s">
        <v>19378</v>
      </c>
      <c r="G4311" s="8">
        <v>23.61</v>
      </c>
      <c r="H4311" s="8"/>
      <c r="I4311" s="8"/>
      <c r="J4311" s="8" t="s">
        <v>27750</v>
      </c>
      <c r="K4311" s="8" t="s">
        <v>27751</v>
      </c>
      <c r="L4311" s="8"/>
      <c r="M4311" s="8"/>
      <c r="N4311" s="12"/>
      <c r="O4311" s="12"/>
      <c r="P4311" s="13">
        <f>IFERROR(__xludf.DUMMYFUNCTION("VALUE(SUBSTITUTE((INDEX(SPLIT(A4311,"",""),1)),""."","","",1))"),54.997647)</f>
        <v>54.997647</v>
      </c>
      <c r="Q4311" s="13">
        <f>IFERROR(__xludf.DUMMYFUNCTION("VALUE(SUBSTITUTE((INDEX(SPLIT(A4311,"",""),2)),""."","","",1))"),82.831703)</f>
        <v>82.831703</v>
      </c>
      <c r="R4311" s="14" t="b">
        <f t="shared" si="1"/>
        <v>0</v>
      </c>
      <c r="S4311" s="14" t="str">
        <f t="shared" si="2"/>
        <v>54.997647,82.831703</v>
      </c>
      <c r="T4311" s="12"/>
    </row>
    <row r="4312">
      <c r="A4312" s="15" t="s">
        <v>27752</v>
      </c>
      <c r="B4312" s="16" t="s">
        <v>27753</v>
      </c>
      <c r="C4312" s="16" t="s">
        <v>27754</v>
      </c>
      <c r="D4312" s="16" t="s">
        <v>16</v>
      </c>
      <c r="E4312" s="17" t="s">
        <v>27755</v>
      </c>
      <c r="F4312" s="16" t="s">
        <v>12717</v>
      </c>
      <c r="G4312" s="16">
        <v>23.61</v>
      </c>
      <c r="H4312" s="16"/>
      <c r="I4312" s="32" t="s">
        <v>27756</v>
      </c>
      <c r="J4312" s="16" t="s">
        <v>27757</v>
      </c>
      <c r="K4312" s="16" t="s">
        <v>27758</v>
      </c>
      <c r="L4312" s="16"/>
      <c r="M4312" s="25" t="s">
        <v>27759</v>
      </c>
      <c r="N4312" s="12"/>
      <c r="O4312" s="12"/>
      <c r="P4312" s="13">
        <f>IFERROR(__xludf.DUMMYFUNCTION("VALUE(SUBSTITUTE((INDEX(SPLIT(A4312,"",""),1)),""."","","",1))"),54.985597)</f>
        <v>54.985597</v>
      </c>
      <c r="Q4312" s="13">
        <f>IFERROR(__xludf.DUMMYFUNCTION("VALUE(SUBSTITUTE((INDEX(SPLIT(A4312,"",""),2)),""."","","",1))"),82.841567)</f>
        <v>82.841567</v>
      </c>
      <c r="R4312" s="14" t="b">
        <f t="shared" si="1"/>
        <v>0</v>
      </c>
      <c r="S4312" s="14" t="str">
        <f t="shared" si="2"/>
        <v>54.985597,82.841567</v>
      </c>
      <c r="T4312" s="12"/>
    </row>
    <row r="4313">
      <c r="A4313" s="7" t="s">
        <v>27760</v>
      </c>
      <c r="B4313" s="8" t="s">
        <v>27761</v>
      </c>
      <c r="C4313" s="8" t="s">
        <v>27762</v>
      </c>
      <c r="D4313" s="8" t="s">
        <v>16</v>
      </c>
      <c r="E4313" s="9" t="s">
        <v>27763</v>
      </c>
      <c r="F4313" s="10" t="s">
        <v>13482</v>
      </c>
      <c r="G4313" s="8">
        <v>23.61</v>
      </c>
      <c r="H4313" s="8"/>
      <c r="I4313" s="10"/>
      <c r="J4313" s="10" t="s">
        <v>27764</v>
      </c>
      <c r="K4313" s="10" t="s">
        <v>27765</v>
      </c>
      <c r="L4313" s="11" t="s">
        <v>27766</v>
      </c>
      <c r="M4313" s="10"/>
      <c r="N4313" s="12"/>
      <c r="O4313" s="12"/>
      <c r="P4313" s="13">
        <f>IFERROR(__xludf.DUMMYFUNCTION("VALUE(SUBSTITUTE((INDEX(SPLIT(A4313,"",""),1)),""."","","",1))"),54.997528)</f>
        <v>54.997528</v>
      </c>
      <c r="Q4313" s="13">
        <f>IFERROR(__xludf.DUMMYFUNCTION("VALUE(SUBSTITUTE((INDEX(SPLIT(A4313,"",""),2)),""."","","",1))"),82.845941)</f>
        <v>82.845941</v>
      </c>
      <c r="R4313" s="14" t="b">
        <f t="shared" si="1"/>
        <v>0</v>
      </c>
      <c r="S4313" s="14" t="str">
        <f t="shared" si="2"/>
        <v>54.997528,82.845941</v>
      </c>
      <c r="T4313" s="12"/>
    </row>
    <row r="4314">
      <c r="A4314" s="20" t="s">
        <v>27767</v>
      </c>
      <c r="B4314" s="16" t="s">
        <v>27768</v>
      </c>
      <c r="C4314" s="16" t="s">
        <v>27769</v>
      </c>
      <c r="D4314" s="16" t="s">
        <v>16</v>
      </c>
      <c r="E4314" s="21" t="s">
        <v>27770</v>
      </c>
      <c r="F4314" s="22" t="s">
        <v>19948</v>
      </c>
      <c r="G4314" s="16">
        <v>23.61</v>
      </c>
      <c r="H4314" s="16"/>
      <c r="I4314" s="22"/>
      <c r="J4314" s="22" t="s">
        <v>27771</v>
      </c>
      <c r="K4314" s="22" t="s">
        <v>27772</v>
      </c>
      <c r="L4314" s="23" t="s">
        <v>27773</v>
      </c>
      <c r="M4314" s="22"/>
      <c r="N4314" s="12"/>
      <c r="O4314" s="12"/>
      <c r="P4314" s="13">
        <f>IFERROR(__xludf.DUMMYFUNCTION("VALUE(SUBSTITUTE((INDEX(SPLIT(A4314,"",""),1)),""."","","",1))"),54.942677)</f>
        <v>54.942677</v>
      </c>
      <c r="Q4314" s="13">
        <f>IFERROR(__xludf.DUMMYFUNCTION("VALUE(SUBSTITUTE((INDEX(SPLIT(A4314,"",""),2)),""."","","",1))"),82.847504)</f>
        <v>82.847504</v>
      </c>
      <c r="R4314" s="14" t="b">
        <f t="shared" si="1"/>
        <v>0</v>
      </c>
      <c r="S4314" s="14" t="str">
        <f t="shared" si="2"/>
        <v>54.942677,82.847504</v>
      </c>
      <c r="T4314" s="12"/>
    </row>
    <row r="4315">
      <c r="A4315" s="7" t="s">
        <v>27774</v>
      </c>
      <c r="B4315" s="8" t="s">
        <v>27775</v>
      </c>
      <c r="C4315" s="8" t="s">
        <v>27776</v>
      </c>
      <c r="D4315" s="8" t="s">
        <v>16</v>
      </c>
      <c r="E4315" s="9" t="s">
        <v>27777</v>
      </c>
      <c r="F4315" s="10" t="s">
        <v>19948</v>
      </c>
      <c r="G4315" s="8">
        <v>23.61</v>
      </c>
      <c r="H4315" s="8"/>
      <c r="I4315" s="10"/>
      <c r="J4315" s="10" t="s">
        <v>27778</v>
      </c>
      <c r="K4315" s="10" t="s">
        <v>27779</v>
      </c>
      <c r="L4315" s="11" t="s">
        <v>27780</v>
      </c>
      <c r="M4315" s="11" t="s">
        <v>27781</v>
      </c>
      <c r="N4315" s="12"/>
      <c r="O4315" s="12"/>
      <c r="P4315" s="13">
        <f>IFERROR(__xludf.DUMMYFUNCTION("VALUE(SUBSTITUTE((INDEX(SPLIT(A4315,"",""),1)),""."","","",1))"),54.999186)</f>
        <v>54.999186</v>
      </c>
      <c r="Q4315" s="13">
        <f>IFERROR(__xludf.DUMMYFUNCTION("VALUE(SUBSTITUTE((INDEX(SPLIT(A4315,"",""),2)),""."","","",1))"),82.85125)</f>
        <v>82.85125</v>
      </c>
      <c r="R4315" s="14" t="b">
        <f t="shared" si="1"/>
        <v>0</v>
      </c>
      <c r="S4315" s="14" t="str">
        <f t="shared" si="2"/>
        <v>54.999186,82.85125</v>
      </c>
      <c r="T4315" s="12"/>
    </row>
    <row r="4316">
      <c r="A4316" s="20" t="s">
        <v>27782</v>
      </c>
      <c r="B4316" s="16" t="s">
        <v>27783</v>
      </c>
      <c r="C4316" s="16" t="s">
        <v>27784</v>
      </c>
      <c r="D4316" s="16" t="s">
        <v>16</v>
      </c>
      <c r="E4316" s="21" t="s">
        <v>27785</v>
      </c>
      <c r="F4316" s="22" t="s">
        <v>19378</v>
      </c>
      <c r="G4316" s="16">
        <v>23.61</v>
      </c>
      <c r="H4316" s="16"/>
      <c r="I4316" s="22"/>
      <c r="J4316" s="22" t="s">
        <v>27786</v>
      </c>
      <c r="K4316" s="22" t="s">
        <v>27787</v>
      </c>
      <c r="L4316" s="30" t="s">
        <v>27788</v>
      </c>
      <c r="M4316" s="22"/>
      <c r="N4316" s="12"/>
      <c r="O4316" s="12"/>
      <c r="P4316" s="13">
        <f>IFERROR(__xludf.DUMMYFUNCTION("VALUE(SUBSTITUTE((INDEX(SPLIT(A4316,"",""),1)),""."","","",1))"),54.997951)</f>
        <v>54.997951</v>
      </c>
      <c r="Q4316" s="13">
        <f>IFERROR(__xludf.DUMMYFUNCTION("VALUE(SUBSTITUTE((INDEX(SPLIT(A4316,"",""),2)),""."","","",1))"),82.857395)</f>
        <v>82.857395</v>
      </c>
      <c r="R4316" s="14" t="b">
        <f t="shared" si="1"/>
        <v>0</v>
      </c>
      <c r="S4316" s="14" t="str">
        <f t="shared" si="2"/>
        <v>54.997951,82.857395</v>
      </c>
      <c r="T4316" s="12"/>
    </row>
    <row r="4317">
      <c r="A4317" s="18" t="s">
        <v>27789</v>
      </c>
      <c r="B4317" s="8" t="s">
        <v>27790</v>
      </c>
      <c r="C4317" s="8" t="s">
        <v>27791</v>
      </c>
      <c r="D4317" s="8" t="s">
        <v>16</v>
      </c>
      <c r="E4317" s="19" t="s">
        <v>27792</v>
      </c>
      <c r="F4317" s="8" t="s">
        <v>19378</v>
      </c>
      <c r="G4317" s="8">
        <v>23.61</v>
      </c>
      <c r="H4317" s="8"/>
      <c r="I4317" s="8"/>
      <c r="J4317" s="8" t="s">
        <v>27793</v>
      </c>
      <c r="K4317" s="8" t="s">
        <v>27794</v>
      </c>
      <c r="L4317" s="8"/>
      <c r="M4317" s="8"/>
      <c r="N4317" s="12"/>
      <c r="O4317" s="12"/>
      <c r="P4317" s="13">
        <f>IFERROR(__xludf.DUMMYFUNCTION("VALUE(SUBSTITUTE((INDEX(SPLIT(A4317,"",""),1)),""."","","",1))"),54.984992)</f>
        <v>54.984992</v>
      </c>
      <c r="Q4317" s="13">
        <f>IFERROR(__xludf.DUMMYFUNCTION("VALUE(SUBSTITUTE((INDEX(SPLIT(A4317,"",""),2)),""."","","",1))"),82.869828)</f>
        <v>82.869828</v>
      </c>
      <c r="R4317" s="14" t="b">
        <f t="shared" si="1"/>
        <v>0</v>
      </c>
      <c r="S4317" s="14" t="str">
        <f t="shared" si="2"/>
        <v>54.984992,82.869828</v>
      </c>
      <c r="T4317" s="12"/>
    </row>
    <row r="4318">
      <c r="A4318" s="20" t="s">
        <v>27795</v>
      </c>
      <c r="B4318" s="16" t="s">
        <v>27796</v>
      </c>
      <c r="C4318" s="16" t="s">
        <v>27797</v>
      </c>
      <c r="D4318" s="16" t="s">
        <v>16</v>
      </c>
      <c r="E4318" s="21" t="s">
        <v>27798</v>
      </c>
      <c r="F4318" s="22" t="s">
        <v>19378</v>
      </c>
      <c r="G4318" s="16">
        <v>23.61</v>
      </c>
      <c r="H4318" s="16"/>
      <c r="I4318" s="28" t="s">
        <v>27799</v>
      </c>
      <c r="J4318" s="22" t="s">
        <v>27800</v>
      </c>
      <c r="K4318" s="22" t="s">
        <v>27801</v>
      </c>
      <c r="L4318" s="23" t="s">
        <v>27802</v>
      </c>
      <c r="M4318" s="23" t="s">
        <v>27803</v>
      </c>
      <c r="N4318" s="12"/>
      <c r="O4318" s="12"/>
      <c r="P4318" s="13">
        <f>IFERROR(__xludf.DUMMYFUNCTION("VALUE(SUBSTITUTE((INDEX(SPLIT(A4318,"",""),1)),""."","","",1))"),55.042612)</f>
        <v>55.042612</v>
      </c>
      <c r="Q4318" s="13">
        <f>IFERROR(__xludf.DUMMYFUNCTION("VALUE(SUBSTITUTE((INDEX(SPLIT(A4318,"",""),2)),""."","","",1))"),82.871768)</f>
        <v>82.871768</v>
      </c>
      <c r="R4318" s="14" t="b">
        <f t="shared" si="1"/>
        <v>0</v>
      </c>
      <c r="S4318" s="14" t="str">
        <f t="shared" si="2"/>
        <v>55.042612,82.871768</v>
      </c>
      <c r="T4318" s="12"/>
    </row>
    <row r="4319">
      <c r="A4319" s="18" t="s">
        <v>27804</v>
      </c>
      <c r="B4319" s="8" t="s">
        <v>27805</v>
      </c>
      <c r="C4319" s="8" t="s">
        <v>27806</v>
      </c>
      <c r="D4319" s="8" t="s">
        <v>16</v>
      </c>
      <c r="E4319" s="19" t="s">
        <v>27807</v>
      </c>
      <c r="F4319" s="8" t="s">
        <v>12717</v>
      </c>
      <c r="G4319" s="8">
        <v>23.61</v>
      </c>
      <c r="H4319" s="8"/>
      <c r="I4319" s="8"/>
      <c r="J4319" s="8" t="s">
        <v>27808</v>
      </c>
      <c r="K4319" s="8" t="s">
        <v>27809</v>
      </c>
      <c r="L4319" s="8"/>
      <c r="M4319" s="24" t="s">
        <v>27810</v>
      </c>
      <c r="N4319" s="12"/>
      <c r="O4319" s="12"/>
      <c r="P4319" s="13">
        <f>IFERROR(__xludf.DUMMYFUNCTION("VALUE(SUBSTITUTE((INDEX(SPLIT(A4319,"",""),1)),""."","","",1))"),55.045702)</f>
        <v>55.045702</v>
      </c>
      <c r="Q4319" s="13">
        <f>IFERROR(__xludf.DUMMYFUNCTION("VALUE(SUBSTITUTE((INDEX(SPLIT(A4319,"",""),2)),""."","","",1))"),82.8767)</f>
        <v>82.8767</v>
      </c>
      <c r="R4319" s="14" t="b">
        <f t="shared" si="1"/>
        <v>0</v>
      </c>
      <c r="S4319" s="14" t="str">
        <f t="shared" si="2"/>
        <v>55.045702,82.8767</v>
      </c>
      <c r="T4319" s="12"/>
    </row>
    <row r="4320">
      <c r="A4320" s="20" t="s">
        <v>27811</v>
      </c>
      <c r="B4320" s="16" t="s">
        <v>27812</v>
      </c>
      <c r="C4320" s="16" t="s">
        <v>27813</v>
      </c>
      <c r="D4320" s="16" t="s">
        <v>16</v>
      </c>
      <c r="E4320" s="21" t="s">
        <v>27814</v>
      </c>
      <c r="F4320" s="22" t="s">
        <v>12717</v>
      </c>
      <c r="G4320" s="16">
        <v>23.61</v>
      </c>
      <c r="H4320" s="16"/>
      <c r="I4320" s="22"/>
      <c r="J4320" s="22" t="s">
        <v>27815</v>
      </c>
      <c r="K4320" s="22" t="s">
        <v>27816</v>
      </c>
      <c r="L4320" s="23" t="s">
        <v>27817</v>
      </c>
      <c r="M4320" s="23" t="s">
        <v>27818</v>
      </c>
      <c r="N4320" s="12"/>
      <c r="O4320" s="12"/>
      <c r="P4320" s="13">
        <f>IFERROR(__xludf.DUMMYFUNCTION("VALUE(SUBSTITUTE((INDEX(SPLIT(A4320,"",""),1)),""."","","",1))"),55.067654)</f>
        <v>55.067654</v>
      </c>
      <c r="Q4320" s="13">
        <f>IFERROR(__xludf.DUMMYFUNCTION("VALUE(SUBSTITUTE((INDEX(SPLIT(A4320,"",""),2)),""."","","",1))"),82.878748)</f>
        <v>82.878748</v>
      </c>
      <c r="R4320" s="14" t="b">
        <f t="shared" si="1"/>
        <v>0</v>
      </c>
      <c r="S4320" s="14" t="str">
        <f t="shared" si="2"/>
        <v>55.067654,82.878748</v>
      </c>
      <c r="T4320" s="12"/>
    </row>
    <row r="4321">
      <c r="A4321" s="7" t="s">
        <v>27819</v>
      </c>
      <c r="B4321" s="8" t="s">
        <v>27820</v>
      </c>
      <c r="C4321" s="8" t="s">
        <v>27821</v>
      </c>
      <c r="D4321" s="8" t="s">
        <v>16</v>
      </c>
      <c r="E4321" s="9" t="s">
        <v>27822</v>
      </c>
      <c r="F4321" s="10" t="s">
        <v>12717</v>
      </c>
      <c r="G4321" s="8">
        <v>23.61</v>
      </c>
      <c r="H4321" s="8"/>
      <c r="I4321" s="10"/>
      <c r="J4321" s="10" t="s">
        <v>27823</v>
      </c>
      <c r="K4321" s="10" t="s">
        <v>27824</v>
      </c>
      <c r="L4321" s="11" t="s">
        <v>27825</v>
      </c>
      <c r="M4321" s="10"/>
      <c r="N4321" s="12"/>
      <c r="O4321" s="12"/>
      <c r="P4321" s="13">
        <f>IFERROR(__xludf.DUMMYFUNCTION("VALUE(SUBSTITUTE((INDEX(SPLIT(A4321,"",""),1)),""."","","",1))"),54.99179)</f>
        <v>54.99179</v>
      </c>
      <c r="Q4321" s="13">
        <f>IFERROR(__xludf.DUMMYFUNCTION("VALUE(SUBSTITUTE((INDEX(SPLIT(A4321,"",""),2)),""."","","",1))"),82.893633)</f>
        <v>82.893633</v>
      </c>
      <c r="R4321" s="14" t="b">
        <f t="shared" si="1"/>
        <v>0</v>
      </c>
      <c r="S4321" s="14" t="str">
        <f t="shared" si="2"/>
        <v>54.99179,82.893633</v>
      </c>
      <c r="T4321" s="12"/>
    </row>
    <row r="4322">
      <c r="A4322" s="20" t="s">
        <v>27826</v>
      </c>
      <c r="B4322" s="16" t="s">
        <v>27827</v>
      </c>
      <c r="C4322" s="16" t="s">
        <v>27828</v>
      </c>
      <c r="D4322" s="16" t="s">
        <v>16</v>
      </c>
      <c r="E4322" s="21" t="s">
        <v>27829</v>
      </c>
      <c r="F4322" s="22" t="s">
        <v>19378</v>
      </c>
      <c r="G4322" s="16">
        <v>23.61</v>
      </c>
      <c r="H4322" s="16"/>
      <c r="I4322" s="22"/>
      <c r="J4322" s="22" t="s">
        <v>27830</v>
      </c>
      <c r="K4322" s="22" t="s">
        <v>27831</v>
      </c>
      <c r="L4322" s="23" t="s">
        <v>27832</v>
      </c>
      <c r="M4322" s="23" t="s">
        <v>15329</v>
      </c>
      <c r="N4322" s="12"/>
      <c r="O4322" s="12"/>
      <c r="P4322" s="13">
        <f>IFERROR(__xludf.DUMMYFUNCTION("VALUE(SUBSTITUTE((INDEX(SPLIT(A4322,"",""),1)),""."","","",1))"),55.129638)</f>
        <v>55.129638</v>
      </c>
      <c r="Q4322" s="13">
        <f>IFERROR(__xludf.DUMMYFUNCTION("VALUE(SUBSTITUTE((INDEX(SPLIT(A4322,"",""),2)),""."","","",1))"),82.898448)</f>
        <v>82.898448</v>
      </c>
      <c r="R4322" s="14" t="b">
        <f t="shared" si="1"/>
        <v>0</v>
      </c>
      <c r="S4322" s="14" t="str">
        <f t="shared" si="2"/>
        <v>55.129638,82.898448</v>
      </c>
      <c r="T4322" s="12"/>
    </row>
    <row r="4323">
      <c r="A4323" s="7" t="s">
        <v>27833</v>
      </c>
      <c r="B4323" s="8" t="s">
        <v>27834</v>
      </c>
      <c r="C4323" s="8" t="s">
        <v>27835</v>
      </c>
      <c r="D4323" s="8" t="s">
        <v>16</v>
      </c>
      <c r="E4323" s="9" t="s">
        <v>27836</v>
      </c>
      <c r="F4323" s="10" t="s">
        <v>19378</v>
      </c>
      <c r="G4323" s="8">
        <v>23.61</v>
      </c>
      <c r="H4323" s="8"/>
      <c r="I4323" s="10"/>
      <c r="J4323" s="10" t="s">
        <v>27837</v>
      </c>
      <c r="K4323" s="10" t="s">
        <v>27838</v>
      </c>
      <c r="L4323" s="11" t="s">
        <v>27839</v>
      </c>
      <c r="M4323" s="11" t="s">
        <v>27840</v>
      </c>
      <c r="N4323" s="12"/>
      <c r="O4323" s="12"/>
      <c r="P4323" s="13">
        <f>IFERROR(__xludf.DUMMYFUNCTION("VALUE(SUBSTITUTE((INDEX(SPLIT(A4323,"",""),1)),""."","","",1))"),55.030266)</f>
        <v>55.030266</v>
      </c>
      <c r="Q4323" s="13">
        <f>IFERROR(__xludf.DUMMYFUNCTION("VALUE(SUBSTITUTE((INDEX(SPLIT(A4323,"",""),2)),""."","","",1))"),82.900029)</f>
        <v>82.900029</v>
      </c>
      <c r="R4323" s="14" t="b">
        <f t="shared" si="1"/>
        <v>0</v>
      </c>
      <c r="S4323" s="14" t="str">
        <f t="shared" si="2"/>
        <v>55.030266,82.900029</v>
      </c>
      <c r="T4323" s="12"/>
    </row>
    <row r="4324">
      <c r="A4324" s="20" t="s">
        <v>27841</v>
      </c>
      <c r="B4324" s="16" t="s">
        <v>27842</v>
      </c>
      <c r="C4324" s="16" t="s">
        <v>27843</v>
      </c>
      <c r="D4324" s="16" t="s">
        <v>16</v>
      </c>
      <c r="E4324" s="21" t="s">
        <v>27844</v>
      </c>
      <c r="F4324" s="22" t="s">
        <v>3760</v>
      </c>
      <c r="G4324" s="16">
        <v>23.61</v>
      </c>
      <c r="H4324" s="16"/>
      <c r="I4324" s="22"/>
      <c r="J4324" s="22" t="s">
        <v>27845</v>
      </c>
      <c r="K4324" s="22" t="s">
        <v>27846</v>
      </c>
      <c r="L4324" s="23" t="s">
        <v>27847</v>
      </c>
      <c r="M4324" s="22"/>
      <c r="N4324" s="12"/>
      <c r="O4324" s="12"/>
      <c r="P4324" s="13">
        <f>IFERROR(__xludf.DUMMYFUNCTION("VALUE(SUBSTITUTE((INDEX(SPLIT(A4324,"",""),1)),""."","","",1))"),55.039945)</f>
        <v>55.039945</v>
      </c>
      <c r="Q4324" s="13">
        <f>IFERROR(__xludf.DUMMYFUNCTION("VALUE(SUBSTITUTE((INDEX(SPLIT(A4324,"",""),2)),""."","","",1))"),82.900209)</f>
        <v>82.900209</v>
      </c>
      <c r="R4324" s="14" t="b">
        <f t="shared" si="1"/>
        <v>0</v>
      </c>
      <c r="S4324" s="14" t="str">
        <f t="shared" si="2"/>
        <v>55.039945,82.900209</v>
      </c>
      <c r="T4324" s="12"/>
    </row>
    <row r="4325">
      <c r="A4325" s="7" t="s">
        <v>27848</v>
      </c>
      <c r="B4325" s="8" t="s">
        <v>27849</v>
      </c>
      <c r="C4325" s="8" t="s">
        <v>27850</v>
      </c>
      <c r="D4325" s="8" t="s">
        <v>16</v>
      </c>
      <c r="E4325" s="9" t="s">
        <v>27851</v>
      </c>
      <c r="F4325" s="10" t="s">
        <v>19378</v>
      </c>
      <c r="G4325" s="8">
        <v>23.61</v>
      </c>
      <c r="H4325" s="8"/>
      <c r="I4325" s="10"/>
      <c r="J4325" s="10" t="s">
        <v>27852</v>
      </c>
      <c r="K4325" s="10" t="s">
        <v>27853</v>
      </c>
      <c r="L4325" s="11" t="s">
        <v>27854</v>
      </c>
      <c r="M4325" s="10"/>
      <c r="N4325" s="12"/>
      <c r="O4325" s="12"/>
      <c r="P4325" s="13">
        <f>IFERROR(__xludf.DUMMYFUNCTION("VALUE(SUBSTITUTE((INDEX(SPLIT(A4325,"",""),1)),""."","","",1))"),54.956678)</f>
        <v>54.956678</v>
      </c>
      <c r="Q4325" s="13">
        <f>IFERROR(__xludf.DUMMYFUNCTION("VALUE(SUBSTITUTE((INDEX(SPLIT(A4325,"",""),2)),""."","","",1))"),82.902993)</f>
        <v>82.902993</v>
      </c>
      <c r="R4325" s="14" t="b">
        <f t="shared" si="1"/>
        <v>0</v>
      </c>
      <c r="S4325" s="14" t="str">
        <f t="shared" si="2"/>
        <v>54.956678,82.902993</v>
      </c>
      <c r="T4325" s="12"/>
    </row>
    <row r="4326">
      <c r="A4326" s="15" t="s">
        <v>27855</v>
      </c>
      <c r="B4326" s="16" t="s">
        <v>27856</v>
      </c>
      <c r="C4326" s="16" t="s">
        <v>27857</v>
      </c>
      <c r="D4326" s="16" t="s">
        <v>16</v>
      </c>
      <c r="E4326" s="17" t="s">
        <v>27858</v>
      </c>
      <c r="F4326" s="16" t="s">
        <v>19378</v>
      </c>
      <c r="G4326" s="16">
        <v>23.61</v>
      </c>
      <c r="H4326" s="16"/>
      <c r="I4326" s="16"/>
      <c r="J4326" s="16" t="s">
        <v>27859</v>
      </c>
      <c r="K4326" s="16" t="s">
        <v>27860</v>
      </c>
      <c r="L4326" s="16"/>
      <c r="M4326" s="16"/>
      <c r="N4326" s="12"/>
      <c r="O4326" s="12"/>
      <c r="P4326" s="13">
        <f>IFERROR(__xludf.DUMMYFUNCTION("VALUE(SUBSTITUTE((INDEX(SPLIT(A4326,"",""),1)),""."","","",1))"),55.028455)</f>
        <v>55.028455</v>
      </c>
      <c r="Q4326" s="13">
        <f>IFERROR(__xludf.DUMMYFUNCTION("VALUE(SUBSTITUTE((INDEX(SPLIT(A4326,"",""),2)),""."","","",1))"),82.905257)</f>
        <v>82.905257</v>
      </c>
      <c r="R4326" s="14" t="b">
        <f t="shared" si="1"/>
        <v>0</v>
      </c>
      <c r="S4326" s="14" t="str">
        <f t="shared" si="2"/>
        <v>55.028455,82.905257</v>
      </c>
      <c r="T4326" s="12"/>
    </row>
    <row r="4327">
      <c r="A4327" s="7" t="s">
        <v>27861</v>
      </c>
      <c r="B4327" s="8" t="s">
        <v>27862</v>
      </c>
      <c r="C4327" s="8" t="s">
        <v>27863</v>
      </c>
      <c r="D4327" s="8" t="s">
        <v>16</v>
      </c>
      <c r="E4327" s="9" t="s">
        <v>27864</v>
      </c>
      <c r="F4327" s="10" t="s">
        <v>19378</v>
      </c>
      <c r="G4327" s="8">
        <v>23.61</v>
      </c>
      <c r="H4327" s="8"/>
      <c r="I4327" s="10"/>
      <c r="J4327" s="10" t="s">
        <v>27865</v>
      </c>
      <c r="K4327" s="10" t="s">
        <v>27866</v>
      </c>
      <c r="L4327" s="11" t="s">
        <v>27867</v>
      </c>
      <c r="M4327" s="10"/>
      <c r="N4327" s="12"/>
      <c r="O4327" s="12"/>
      <c r="P4327" s="13">
        <f>IFERROR(__xludf.DUMMYFUNCTION("VALUE(SUBSTITUTE((INDEX(SPLIT(A4327,"",""),1)),""."","","",1))"),55.026778)</f>
        <v>55.026778</v>
      </c>
      <c r="Q4327" s="13">
        <f>IFERROR(__xludf.DUMMYFUNCTION("VALUE(SUBSTITUTE((INDEX(SPLIT(A4327,"",""),2)),""."","","",1))"),82.906092)</f>
        <v>82.906092</v>
      </c>
      <c r="R4327" s="14" t="b">
        <f t="shared" si="1"/>
        <v>0</v>
      </c>
      <c r="S4327" s="14" t="str">
        <f t="shared" si="2"/>
        <v>55.026778,82.906092</v>
      </c>
      <c r="T4327" s="12"/>
    </row>
    <row r="4328">
      <c r="A4328" s="20" t="s">
        <v>27868</v>
      </c>
      <c r="B4328" s="16" t="s">
        <v>27869</v>
      </c>
      <c r="C4328" s="16" t="s">
        <v>27870</v>
      </c>
      <c r="D4328" s="16" t="s">
        <v>16</v>
      </c>
      <c r="E4328" s="21" t="s">
        <v>27871</v>
      </c>
      <c r="F4328" s="22" t="s">
        <v>19378</v>
      </c>
      <c r="G4328" s="16">
        <v>23.61</v>
      </c>
      <c r="H4328" s="16"/>
      <c r="I4328" s="28" t="s">
        <v>27872</v>
      </c>
      <c r="J4328" s="22" t="s">
        <v>27873</v>
      </c>
      <c r="K4328" s="22" t="s">
        <v>27874</v>
      </c>
      <c r="L4328" s="23" t="s">
        <v>27875</v>
      </c>
      <c r="M4328" s="23" t="s">
        <v>27876</v>
      </c>
      <c r="N4328" s="12"/>
      <c r="O4328" s="12"/>
      <c r="P4328" s="13">
        <f>IFERROR(__xludf.DUMMYFUNCTION("VALUE(SUBSTITUTE((INDEX(SPLIT(A4328,"",""),1)),""."","","",1))"),55.053701)</f>
        <v>55.053701</v>
      </c>
      <c r="Q4328" s="13">
        <f>IFERROR(__xludf.DUMMYFUNCTION("VALUE(SUBSTITUTE((INDEX(SPLIT(A4328,"",""),2)),""."","","",1))"),82.907359)</f>
        <v>82.907359</v>
      </c>
      <c r="R4328" s="14" t="b">
        <f t="shared" si="1"/>
        <v>0</v>
      </c>
      <c r="S4328" s="14" t="str">
        <f t="shared" si="2"/>
        <v>55.053701,82.907359</v>
      </c>
      <c r="T4328" s="12"/>
    </row>
    <row r="4329">
      <c r="A4329" s="7" t="s">
        <v>27877</v>
      </c>
      <c r="B4329" s="8" t="s">
        <v>27878</v>
      </c>
      <c r="C4329" s="8" t="s">
        <v>27879</v>
      </c>
      <c r="D4329" s="8" t="s">
        <v>16</v>
      </c>
      <c r="E4329" s="9" t="s">
        <v>27880</v>
      </c>
      <c r="F4329" s="10" t="s">
        <v>19378</v>
      </c>
      <c r="G4329" s="8">
        <v>23.61</v>
      </c>
      <c r="H4329" s="8"/>
      <c r="I4329" s="10"/>
      <c r="J4329" s="10" t="s">
        <v>27881</v>
      </c>
      <c r="K4329" s="10" t="s">
        <v>27882</v>
      </c>
      <c r="L4329" s="11" t="s">
        <v>27883</v>
      </c>
      <c r="M4329" s="10"/>
      <c r="N4329" s="12"/>
      <c r="O4329" s="12"/>
      <c r="P4329" s="13">
        <f>IFERROR(__xludf.DUMMYFUNCTION("VALUE(SUBSTITUTE((INDEX(SPLIT(A4329,"",""),1)),""."","","",1))"),54.989213)</f>
        <v>54.989213</v>
      </c>
      <c r="Q4329" s="13">
        <f>IFERROR(__xludf.DUMMYFUNCTION("VALUE(SUBSTITUTE((INDEX(SPLIT(A4329,"",""),2)),""."","","",1))"),82.908222)</f>
        <v>82.908222</v>
      </c>
      <c r="R4329" s="14" t="b">
        <f t="shared" si="1"/>
        <v>0</v>
      </c>
      <c r="S4329" s="14" t="str">
        <f t="shared" si="2"/>
        <v>54.989213,82.908222</v>
      </c>
      <c r="T4329" s="12"/>
    </row>
    <row r="4330">
      <c r="A4330" s="20" t="s">
        <v>27877</v>
      </c>
      <c r="B4330" s="16" t="s">
        <v>27884</v>
      </c>
      <c r="C4330" s="16" t="s">
        <v>27885</v>
      </c>
      <c r="D4330" s="16" t="s">
        <v>16</v>
      </c>
      <c r="E4330" s="21" t="s">
        <v>27886</v>
      </c>
      <c r="F4330" s="22" t="s">
        <v>19378</v>
      </c>
      <c r="G4330" s="16">
        <v>23.61</v>
      </c>
      <c r="H4330" s="16"/>
      <c r="I4330" s="22"/>
      <c r="J4330" s="22" t="s">
        <v>27887</v>
      </c>
      <c r="K4330" s="22" t="s">
        <v>27888</v>
      </c>
      <c r="L4330" s="23" t="s">
        <v>27889</v>
      </c>
      <c r="M4330" s="23" t="s">
        <v>27890</v>
      </c>
      <c r="N4330" s="12"/>
      <c r="O4330" s="12"/>
      <c r="P4330" s="13">
        <f>IFERROR(__xludf.DUMMYFUNCTION("VALUE(SUBSTITUTE((INDEX(SPLIT(A4330,"",""),1)),""."","","",1))"),54.989213)</f>
        <v>54.989213</v>
      </c>
      <c r="Q4330" s="13">
        <f>IFERROR(__xludf.DUMMYFUNCTION("VALUE(SUBSTITUTE((INDEX(SPLIT(A4330,"",""),2)),""."","","",1))"),82.908222)</f>
        <v>82.908222</v>
      </c>
      <c r="R4330" s="14" t="b">
        <f t="shared" si="1"/>
        <v>0</v>
      </c>
      <c r="S4330" s="14" t="str">
        <f t="shared" si="2"/>
        <v>54.989213,82.908222</v>
      </c>
      <c r="T4330" s="12"/>
    </row>
    <row r="4331">
      <c r="A4331" s="7" t="s">
        <v>27891</v>
      </c>
      <c r="B4331" s="8" t="s">
        <v>27892</v>
      </c>
      <c r="C4331" s="8" t="s">
        <v>27893</v>
      </c>
      <c r="D4331" s="8" t="s">
        <v>16</v>
      </c>
      <c r="E4331" s="9" t="s">
        <v>27894</v>
      </c>
      <c r="F4331" s="10" t="s">
        <v>19378</v>
      </c>
      <c r="G4331" s="8">
        <v>23.61</v>
      </c>
      <c r="H4331" s="8"/>
      <c r="I4331" s="10"/>
      <c r="J4331" s="10" t="s">
        <v>27895</v>
      </c>
      <c r="K4331" s="10" t="s">
        <v>27896</v>
      </c>
      <c r="L4331" s="29" t="s">
        <v>27897</v>
      </c>
      <c r="M4331" s="10"/>
      <c r="N4331" s="12"/>
      <c r="O4331" s="12"/>
      <c r="P4331" s="13">
        <f>IFERROR(__xludf.DUMMYFUNCTION("VALUE(SUBSTITUTE((INDEX(SPLIT(A4331,"",""),1)),""."","","",1))"),54.958575)</f>
        <v>54.958575</v>
      </c>
      <c r="Q4331" s="13">
        <f>IFERROR(__xludf.DUMMYFUNCTION("VALUE(SUBSTITUTE((INDEX(SPLIT(A4331,"",""),2)),""."","","",1))"),82.90885)</f>
        <v>82.90885</v>
      </c>
      <c r="R4331" s="14" t="b">
        <f t="shared" si="1"/>
        <v>0</v>
      </c>
      <c r="S4331" s="14" t="str">
        <f t="shared" si="2"/>
        <v>54.958575,82.90885</v>
      </c>
      <c r="T4331" s="12"/>
    </row>
    <row r="4332">
      <c r="A4332" s="20" t="s">
        <v>27898</v>
      </c>
      <c r="B4332" s="16" t="s">
        <v>27899</v>
      </c>
      <c r="C4332" s="16" t="s">
        <v>27900</v>
      </c>
      <c r="D4332" s="16" t="s">
        <v>16</v>
      </c>
      <c r="E4332" s="21" t="s">
        <v>27901</v>
      </c>
      <c r="F4332" s="22" t="s">
        <v>19378</v>
      </c>
      <c r="G4332" s="16">
        <v>23.61</v>
      </c>
      <c r="H4332" s="16"/>
      <c r="I4332" s="22"/>
      <c r="J4332" s="22" t="s">
        <v>27902</v>
      </c>
      <c r="K4332" s="22" t="s">
        <v>27903</v>
      </c>
      <c r="L4332" s="23" t="s">
        <v>27904</v>
      </c>
      <c r="M4332" s="22"/>
      <c r="N4332" s="12"/>
      <c r="O4332" s="12"/>
      <c r="P4332" s="13">
        <f>IFERROR(__xludf.DUMMYFUNCTION("VALUE(SUBSTITUTE((INDEX(SPLIT(A4332,"",""),1)),""."","","",1))"),54.958756)</f>
        <v>54.958756</v>
      </c>
      <c r="Q4332" s="13">
        <f>IFERROR(__xludf.DUMMYFUNCTION("VALUE(SUBSTITUTE((INDEX(SPLIT(A4332,"",""),2)),""."","","",1))"),82.910359)</f>
        <v>82.910359</v>
      </c>
      <c r="R4332" s="14" t="b">
        <f t="shared" si="1"/>
        <v>0</v>
      </c>
      <c r="S4332" s="14" t="str">
        <f t="shared" si="2"/>
        <v>54.958756,82.910359</v>
      </c>
      <c r="T4332" s="12"/>
    </row>
    <row r="4333">
      <c r="A4333" s="7" t="s">
        <v>27905</v>
      </c>
      <c r="B4333" s="8" t="s">
        <v>27906</v>
      </c>
      <c r="C4333" s="8" t="s">
        <v>27907</v>
      </c>
      <c r="D4333" s="8" t="s">
        <v>16</v>
      </c>
      <c r="E4333" s="9" t="s">
        <v>27908</v>
      </c>
      <c r="F4333" s="10" t="s">
        <v>19378</v>
      </c>
      <c r="G4333" s="8">
        <v>23.61</v>
      </c>
      <c r="H4333" s="8"/>
      <c r="I4333" s="10"/>
      <c r="J4333" s="10" t="s">
        <v>27909</v>
      </c>
      <c r="K4333" s="10" t="s">
        <v>27910</v>
      </c>
      <c r="L4333" s="29" t="s">
        <v>27911</v>
      </c>
      <c r="M4333" s="10"/>
      <c r="N4333" s="12"/>
      <c r="O4333" s="12"/>
      <c r="P4333" s="13">
        <f>IFERROR(__xludf.DUMMYFUNCTION("VALUE(SUBSTITUTE((INDEX(SPLIT(A4333,"",""),1)),""."","","",1))"),55.063385)</f>
        <v>55.063385</v>
      </c>
      <c r="Q4333" s="13">
        <f>IFERROR(__xludf.DUMMYFUNCTION("VALUE(SUBSTITUTE((INDEX(SPLIT(A4333,"",""),2)),""."","","",1))"),82.912524)</f>
        <v>82.912524</v>
      </c>
      <c r="R4333" s="14" t="b">
        <f t="shared" si="1"/>
        <v>0</v>
      </c>
      <c r="S4333" s="14" t="str">
        <f t="shared" si="2"/>
        <v>55.063385,82.912524</v>
      </c>
      <c r="T4333" s="12"/>
    </row>
    <row r="4334">
      <c r="A4334" s="20" t="s">
        <v>27912</v>
      </c>
      <c r="B4334" s="16" t="s">
        <v>27913</v>
      </c>
      <c r="C4334" s="16" t="s">
        <v>27914</v>
      </c>
      <c r="D4334" s="16" t="s">
        <v>16</v>
      </c>
      <c r="E4334" s="21" t="s">
        <v>27915</v>
      </c>
      <c r="F4334" s="22" t="s">
        <v>19378</v>
      </c>
      <c r="G4334" s="16">
        <v>23.61</v>
      </c>
      <c r="H4334" s="16"/>
      <c r="I4334" s="22"/>
      <c r="J4334" s="22" t="s">
        <v>27916</v>
      </c>
      <c r="K4334" s="22" t="s">
        <v>27917</v>
      </c>
      <c r="L4334" s="30" t="s">
        <v>27918</v>
      </c>
      <c r="M4334" s="22"/>
      <c r="N4334" s="12"/>
      <c r="O4334" s="12"/>
      <c r="P4334" s="13">
        <f>IFERROR(__xludf.DUMMYFUNCTION("VALUE(SUBSTITUTE((INDEX(SPLIT(A4334,"",""),1)),""."","","",1))"),54.961279)</f>
        <v>54.961279</v>
      </c>
      <c r="Q4334" s="13">
        <f>IFERROR(__xludf.DUMMYFUNCTION("VALUE(SUBSTITUTE((INDEX(SPLIT(A4334,"",""),2)),""."","","",1))"),82.912767)</f>
        <v>82.912767</v>
      </c>
      <c r="R4334" s="14" t="b">
        <f t="shared" si="1"/>
        <v>0</v>
      </c>
      <c r="S4334" s="14" t="str">
        <f t="shared" si="2"/>
        <v>54.961279,82.912767</v>
      </c>
      <c r="T4334" s="12"/>
    </row>
    <row r="4335">
      <c r="A4335" s="7" t="s">
        <v>27919</v>
      </c>
      <c r="B4335" s="8" t="s">
        <v>27920</v>
      </c>
      <c r="C4335" s="8" t="s">
        <v>27921</v>
      </c>
      <c r="D4335" s="8" t="s">
        <v>16</v>
      </c>
      <c r="E4335" s="9" t="s">
        <v>27922</v>
      </c>
      <c r="F4335" s="10" t="s">
        <v>19948</v>
      </c>
      <c r="G4335" s="8">
        <v>23.61</v>
      </c>
      <c r="H4335" s="8"/>
      <c r="I4335" s="10"/>
      <c r="J4335" s="10" t="s">
        <v>27923</v>
      </c>
      <c r="K4335" s="10" t="s">
        <v>27924</v>
      </c>
      <c r="L4335" s="11" t="s">
        <v>27925</v>
      </c>
      <c r="M4335" s="10"/>
      <c r="N4335" s="12"/>
      <c r="O4335" s="12"/>
      <c r="P4335" s="13">
        <f>IFERROR(__xludf.DUMMYFUNCTION("VALUE(SUBSTITUTE((INDEX(SPLIT(A4335,"",""),1)),""."","","",1))"),55.043855)</f>
        <v>55.043855</v>
      </c>
      <c r="Q4335" s="13">
        <f>IFERROR(__xludf.DUMMYFUNCTION("VALUE(SUBSTITUTE((INDEX(SPLIT(A4335,"",""),2)),""."","","",1))"),82.912983)</f>
        <v>82.912983</v>
      </c>
      <c r="R4335" s="14" t="b">
        <f t="shared" si="1"/>
        <v>0</v>
      </c>
      <c r="S4335" s="14" t="str">
        <f t="shared" si="2"/>
        <v>55.043855,82.912983</v>
      </c>
      <c r="T4335" s="12"/>
    </row>
    <row r="4336">
      <c r="A4336" s="20" t="s">
        <v>27919</v>
      </c>
      <c r="B4336" s="16" t="s">
        <v>22032</v>
      </c>
      <c r="C4336" s="16" t="s">
        <v>22033</v>
      </c>
      <c r="D4336" s="16" t="s">
        <v>16</v>
      </c>
      <c r="E4336" s="21" t="s">
        <v>27926</v>
      </c>
      <c r="F4336" s="22" t="s">
        <v>19378</v>
      </c>
      <c r="G4336" s="16">
        <v>23.61</v>
      </c>
      <c r="H4336" s="16"/>
      <c r="I4336" s="22"/>
      <c r="J4336" s="22" t="s">
        <v>27927</v>
      </c>
      <c r="K4336" s="22" t="s">
        <v>27928</v>
      </c>
      <c r="L4336" s="23" t="s">
        <v>27929</v>
      </c>
      <c r="M4336" s="22"/>
      <c r="N4336" s="12"/>
      <c r="O4336" s="12"/>
      <c r="P4336" s="13">
        <f>IFERROR(__xludf.DUMMYFUNCTION("VALUE(SUBSTITUTE((INDEX(SPLIT(A4336,"",""),1)),""."","","",1))"),55.043855)</f>
        <v>55.043855</v>
      </c>
      <c r="Q4336" s="13">
        <f>IFERROR(__xludf.DUMMYFUNCTION("VALUE(SUBSTITUTE((INDEX(SPLIT(A4336,"",""),2)),""."","","",1))"),82.912983)</f>
        <v>82.912983</v>
      </c>
      <c r="R4336" s="14" t="b">
        <f t="shared" si="1"/>
        <v>0</v>
      </c>
      <c r="S4336" s="14" t="str">
        <f t="shared" si="2"/>
        <v>55.043855,82.912983</v>
      </c>
      <c r="T4336" s="12"/>
    </row>
    <row r="4337">
      <c r="A4337" s="7" t="s">
        <v>27919</v>
      </c>
      <c r="B4337" s="8" t="s">
        <v>27930</v>
      </c>
      <c r="C4337" s="8" t="s">
        <v>27931</v>
      </c>
      <c r="D4337" s="8" t="s">
        <v>16</v>
      </c>
      <c r="E4337" s="9" t="s">
        <v>27932</v>
      </c>
      <c r="F4337" s="10" t="s">
        <v>19948</v>
      </c>
      <c r="G4337" s="8">
        <v>23.61</v>
      </c>
      <c r="H4337" s="8"/>
      <c r="I4337" s="10"/>
      <c r="J4337" s="10" t="s">
        <v>27933</v>
      </c>
      <c r="K4337" s="10" t="s">
        <v>27934</v>
      </c>
      <c r="L4337" s="11" t="s">
        <v>27935</v>
      </c>
      <c r="M4337" s="11" t="s">
        <v>27936</v>
      </c>
      <c r="N4337" s="12"/>
      <c r="O4337" s="12"/>
      <c r="P4337" s="13">
        <f>IFERROR(__xludf.DUMMYFUNCTION("VALUE(SUBSTITUTE((INDEX(SPLIT(A4337,"",""),1)),""."","","",1))"),55.043855)</f>
        <v>55.043855</v>
      </c>
      <c r="Q4337" s="13">
        <f>IFERROR(__xludf.DUMMYFUNCTION("VALUE(SUBSTITUTE((INDEX(SPLIT(A4337,"",""),2)),""."","","",1))"),82.912983)</f>
        <v>82.912983</v>
      </c>
      <c r="R4337" s="14" t="b">
        <f t="shared" si="1"/>
        <v>0</v>
      </c>
      <c r="S4337" s="14" t="str">
        <f t="shared" si="2"/>
        <v>55.043855,82.912983</v>
      </c>
      <c r="T4337" s="12"/>
    </row>
    <row r="4338">
      <c r="A4338" s="15" t="s">
        <v>27937</v>
      </c>
      <c r="B4338" s="16" t="s">
        <v>27938</v>
      </c>
      <c r="C4338" s="16" t="s">
        <v>27939</v>
      </c>
      <c r="D4338" s="16" t="s">
        <v>16</v>
      </c>
      <c r="E4338" s="17" t="s">
        <v>27940</v>
      </c>
      <c r="F4338" s="16" t="s">
        <v>19948</v>
      </c>
      <c r="G4338" s="16">
        <v>23.61</v>
      </c>
      <c r="H4338" s="16"/>
      <c r="I4338" s="16"/>
      <c r="J4338" s="16" t="s">
        <v>27941</v>
      </c>
      <c r="K4338" s="16" t="s">
        <v>27942</v>
      </c>
      <c r="L4338" s="16"/>
      <c r="M4338" s="25" t="s">
        <v>27943</v>
      </c>
      <c r="N4338" s="12"/>
      <c r="O4338" s="12"/>
      <c r="P4338" s="13">
        <f>IFERROR(__xludf.DUMMYFUNCTION("VALUE(SUBSTITUTE((INDEX(SPLIT(A4338,"",""),1)),""."","","",1))"),55.024394)</f>
        <v>55.024394</v>
      </c>
      <c r="Q4338" s="13">
        <f>IFERROR(__xludf.DUMMYFUNCTION("VALUE(SUBSTITUTE((INDEX(SPLIT(A4338,"",""),2)),""."","","",1))"),82.920016)</f>
        <v>82.920016</v>
      </c>
      <c r="R4338" s="14" t="b">
        <f t="shared" si="1"/>
        <v>0</v>
      </c>
      <c r="S4338" s="14" t="str">
        <f t="shared" si="2"/>
        <v>55.024394,82.920016</v>
      </c>
      <c r="T4338" s="12"/>
    </row>
    <row r="4339">
      <c r="A4339" s="18" t="s">
        <v>27937</v>
      </c>
      <c r="B4339" s="8" t="s">
        <v>27944</v>
      </c>
      <c r="C4339" s="8" t="s">
        <v>27945</v>
      </c>
      <c r="D4339" s="8" t="s">
        <v>16</v>
      </c>
      <c r="E4339" s="19" t="s">
        <v>27946</v>
      </c>
      <c r="F4339" s="8" t="s">
        <v>19948</v>
      </c>
      <c r="G4339" s="8">
        <v>23.61</v>
      </c>
      <c r="H4339" s="8"/>
      <c r="I4339" s="8"/>
      <c r="J4339" s="8" t="s">
        <v>27947</v>
      </c>
      <c r="K4339" s="8" t="s">
        <v>27948</v>
      </c>
      <c r="L4339" s="8"/>
      <c r="M4339" s="24" t="s">
        <v>27949</v>
      </c>
      <c r="N4339" s="12"/>
      <c r="O4339" s="12"/>
      <c r="P4339" s="13">
        <f>IFERROR(__xludf.DUMMYFUNCTION("VALUE(SUBSTITUTE((INDEX(SPLIT(A4339,"",""),1)),""."","","",1))"),55.024394)</f>
        <v>55.024394</v>
      </c>
      <c r="Q4339" s="13">
        <f>IFERROR(__xludf.DUMMYFUNCTION("VALUE(SUBSTITUTE((INDEX(SPLIT(A4339,"",""),2)),""."","","",1))"),82.920016)</f>
        <v>82.920016</v>
      </c>
      <c r="R4339" s="14" t="b">
        <f t="shared" si="1"/>
        <v>0</v>
      </c>
      <c r="S4339" s="14" t="str">
        <f t="shared" si="2"/>
        <v>55.024394,82.920016</v>
      </c>
      <c r="T4339" s="12"/>
    </row>
    <row r="4340">
      <c r="A4340" s="15" t="s">
        <v>27950</v>
      </c>
      <c r="B4340" s="16" t="s">
        <v>27951</v>
      </c>
      <c r="C4340" s="16" t="s">
        <v>27952</v>
      </c>
      <c r="D4340" s="16" t="s">
        <v>16</v>
      </c>
      <c r="E4340" s="17" t="s">
        <v>27953</v>
      </c>
      <c r="F4340" s="16" t="s">
        <v>19948</v>
      </c>
      <c r="G4340" s="16">
        <v>23.61</v>
      </c>
      <c r="H4340" s="16"/>
      <c r="I4340" s="16"/>
      <c r="J4340" s="16" t="s">
        <v>27954</v>
      </c>
      <c r="K4340" s="16" t="s">
        <v>27955</v>
      </c>
      <c r="L4340" s="16"/>
      <c r="M4340" s="16"/>
      <c r="N4340" s="12"/>
      <c r="O4340" s="12"/>
      <c r="P4340" s="13">
        <f>IFERROR(__xludf.DUMMYFUNCTION("VALUE(SUBSTITUTE((INDEX(SPLIT(A4340,"",""),1)),""."","","",1))"),55.1271)</f>
        <v>55.1271</v>
      </c>
      <c r="Q4340" s="13">
        <f>IFERROR(__xludf.DUMMYFUNCTION("VALUE(SUBSTITUTE((INDEX(SPLIT(A4340,"",""),2)),""."","","",1))"),82.920376)</f>
        <v>82.920376</v>
      </c>
      <c r="R4340" s="14" t="b">
        <f t="shared" si="1"/>
        <v>0</v>
      </c>
      <c r="S4340" s="14" t="str">
        <f t="shared" si="2"/>
        <v>55.1271,82.920376</v>
      </c>
      <c r="T4340" s="12"/>
    </row>
    <row r="4341">
      <c r="A4341" s="7" t="s">
        <v>27956</v>
      </c>
      <c r="B4341" s="8" t="s">
        <v>27957</v>
      </c>
      <c r="C4341" s="8" t="s">
        <v>27958</v>
      </c>
      <c r="D4341" s="8" t="s">
        <v>16</v>
      </c>
      <c r="E4341" s="9" t="s">
        <v>27959</v>
      </c>
      <c r="F4341" s="10" t="s">
        <v>16486</v>
      </c>
      <c r="G4341" s="8">
        <v>23.61</v>
      </c>
      <c r="H4341" s="8"/>
      <c r="I4341" s="10"/>
      <c r="J4341" s="10" t="s">
        <v>27960</v>
      </c>
      <c r="K4341" s="10" t="s">
        <v>2760</v>
      </c>
      <c r="L4341" s="11" t="s">
        <v>27961</v>
      </c>
      <c r="M4341" s="10"/>
      <c r="N4341" s="12"/>
      <c r="O4341" s="12"/>
      <c r="P4341" s="13">
        <f>IFERROR(__xludf.DUMMYFUNCTION("VALUE(SUBSTITUTE((INDEX(SPLIT(A4341,"",""),1)),""."","","",1))"),55.025668)</f>
        <v>55.025668</v>
      </c>
      <c r="Q4341" s="13">
        <f>IFERROR(__xludf.DUMMYFUNCTION("VALUE(SUBSTITUTE((INDEX(SPLIT(A4341,"",""),2)),""."","","",1))"),82.923942)</f>
        <v>82.923942</v>
      </c>
      <c r="R4341" s="14" t="b">
        <f t="shared" si="1"/>
        <v>0</v>
      </c>
      <c r="S4341" s="14" t="str">
        <f t="shared" si="2"/>
        <v>55.025668,82.923942</v>
      </c>
      <c r="T4341" s="12"/>
    </row>
    <row r="4342">
      <c r="A4342" s="20" t="s">
        <v>27962</v>
      </c>
      <c r="B4342" s="16" t="s">
        <v>27963</v>
      </c>
      <c r="C4342" s="16" t="s">
        <v>27964</v>
      </c>
      <c r="D4342" s="16" t="s">
        <v>16</v>
      </c>
      <c r="E4342" s="21" t="s">
        <v>27965</v>
      </c>
      <c r="F4342" s="22" t="s">
        <v>19948</v>
      </c>
      <c r="G4342" s="16">
        <v>23.61</v>
      </c>
      <c r="H4342" s="16"/>
      <c r="I4342" s="22"/>
      <c r="J4342" s="22" t="s">
        <v>27966</v>
      </c>
      <c r="K4342" s="22" t="s">
        <v>27668</v>
      </c>
      <c r="L4342" s="23" t="s">
        <v>27967</v>
      </c>
      <c r="M4342" s="22"/>
      <c r="N4342" s="12"/>
      <c r="O4342" s="12"/>
      <c r="P4342" s="13">
        <f>IFERROR(__xludf.DUMMYFUNCTION("VALUE(SUBSTITUTE((INDEX(SPLIT(A4342,"",""),1)),""."","","",1))"),55.119662)</f>
        <v>55.119662</v>
      </c>
      <c r="Q4342" s="13">
        <f>IFERROR(__xludf.DUMMYFUNCTION("VALUE(SUBSTITUTE((INDEX(SPLIT(A4342,"",""),2)),""."","","",1))"),82.925496)</f>
        <v>82.925496</v>
      </c>
      <c r="R4342" s="14" t="b">
        <f t="shared" si="1"/>
        <v>0</v>
      </c>
      <c r="S4342" s="14" t="str">
        <f t="shared" si="2"/>
        <v>55.119662,82.925496</v>
      </c>
      <c r="T4342" s="12"/>
    </row>
    <row r="4343">
      <c r="A4343" s="7" t="s">
        <v>27968</v>
      </c>
      <c r="B4343" s="8" t="s">
        <v>27969</v>
      </c>
      <c r="C4343" s="8" t="s">
        <v>27970</v>
      </c>
      <c r="D4343" s="8" t="s">
        <v>16</v>
      </c>
      <c r="E4343" s="9" t="s">
        <v>27971</v>
      </c>
      <c r="F4343" s="10" t="s">
        <v>19378</v>
      </c>
      <c r="G4343" s="8">
        <v>23.61</v>
      </c>
      <c r="H4343" s="8"/>
      <c r="I4343" s="10"/>
      <c r="J4343" s="10" t="s">
        <v>27972</v>
      </c>
      <c r="K4343" s="10" t="s">
        <v>27973</v>
      </c>
      <c r="L4343" s="11" t="s">
        <v>27974</v>
      </c>
      <c r="M4343" s="11" t="s">
        <v>27975</v>
      </c>
      <c r="N4343" s="12"/>
      <c r="O4343" s="12"/>
      <c r="P4343" s="13">
        <f>IFERROR(__xludf.DUMMYFUNCTION("VALUE(SUBSTITUTE((INDEX(SPLIT(A4343,"",""),1)),""."","","",1))"),55.11045)</f>
        <v>55.11045</v>
      </c>
      <c r="Q4343" s="13">
        <f>IFERROR(__xludf.DUMMYFUNCTION("VALUE(SUBSTITUTE((INDEX(SPLIT(A4343,"",""),2)),""."","","",1))"),82.92732)</f>
        <v>82.92732</v>
      </c>
      <c r="R4343" s="14" t="b">
        <f t="shared" si="1"/>
        <v>0</v>
      </c>
      <c r="S4343" s="14" t="str">
        <f t="shared" si="2"/>
        <v>55.11045,82.92732</v>
      </c>
      <c r="T4343" s="12"/>
    </row>
    <row r="4344">
      <c r="A4344" s="20" t="s">
        <v>27976</v>
      </c>
      <c r="B4344" s="16" t="s">
        <v>27977</v>
      </c>
      <c r="C4344" s="16" t="s">
        <v>27978</v>
      </c>
      <c r="D4344" s="16" t="s">
        <v>16</v>
      </c>
      <c r="E4344" s="21" t="s">
        <v>27979</v>
      </c>
      <c r="F4344" s="22" t="s">
        <v>19378</v>
      </c>
      <c r="G4344" s="16">
        <v>23.61</v>
      </c>
      <c r="H4344" s="16"/>
      <c r="I4344" s="22"/>
      <c r="J4344" s="22" t="s">
        <v>27980</v>
      </c>
      <c r="K4344" s="22" t="s">
        <v>27981</v>
      </c>
      <c r="L4344" s="23" t="s">
        <v>27982</v>
      </c>
      <c r="M4344" s="22"/>
      <c r="N4344" s="12"/>
      <c r="O4344" s="12"/>
      <c r="P4344" s="13">
        <f>IFERROR(__xludf.DUMMYFUNCTION("VALUE(SUBSTITUTE((INDEX(SPLIT(A4344,"",""),1)),""."","","",1))"),55.080627)</f>
        <v>55.080627</v>
      </c>
      <c r="Q4344" s="13">
        <f>IFERROR(__xludf.DUMMYFUNCTION("VALUE(SUBSTITUTE((INDEX(SPLIT(A4344,"",""),2)),""."","","",1))"),82.929925)</f>
        <v>82.929925</v>
      </c>
      <c r="R4344" s="14" t="b">
        <f t="shared" si="1"/>
        <v>0</v>
      </c>
      <c r="S4344" s="14" t="str">
        <f t="shared" si="2"/>
        <v>55.080627,82.929925</v>
      </c>
      <c r="T4344" s="12"/>
    </row>
    <row r="4345">
      <c r="A4345" s="7" t="s">
        <v>27976</v>
      </c>
      <c r="B4345" s="8" t="s">
        <v>27983</v>
      </c>
      <c r="C4345" s="8" t="s">
        <v>27984</v>
      </c>
      <c r="D4345" s="8" t="s">
        <v>16</v>
      </c>
      <c r="E4345" s="9" t="s">
        <v>27985</v>
      </c>
      <c r="F4345" s="10" t="s">
        <v>3760</v>
      </c>
      <c r="G4345" s="8">
        <v>23.61</v>
      </c>
      <c r="H4345" s="8"/>
      <c r="I4345" s="10"/>
      <c r="J4345" s="10" t="s">
        <v>27986</v>
      </c>
      <c r="K4345" s="10" t="s">
        <v>27987</v>
      </c>
      <c r="L4345" s="11" t="s">
        <v>12286</v>
      </c>
      <c r="M4345" s="10"/>
      <c r="N4345" s="12"/>
      <c r="O4345" s="12"/>
      <c r="P4345" s="13">
        <f>IFERROR(__xludf.DUMMYFUNCTION("VALUE(SUBSTITUTE((INDEX(SPLIT(A4345,"",""),1)),""."","","",1))"),55.080627)</f>
        <v>55.080627</v>
      </c>
      <c r="Q4345" s="13">
        <f>IFERROR(__xludf.DUMMYFUNCTION("VALUE(SUBSTITUTE((INDEX(SPLIT(A4345,"",""),2)),""."","","",1))"),82.929925)</f>
        <v>82.929925</v>
      </c>
      <c r="R4345" s="14" t="b">
        <f t="shared" si="1"/>
        <v>0</v>
      </c>
      <c r="S4345" s="14" t="str">
        <f t="shared" si="2"/>
        <v>55.080627,82.929925</v>
      </c>
      <c r="T4345" s="12"/>
    </row>
    <row r="4346">
      <c r="A4346" s="15" t="s">
        <v>27988</v>
      </c>
      <c r="B4346" s="16" t="s">
        <v>27989</v>
      </c>
      <c r="C4346" s="16" t="s">
        <v>27990</v>
      </c>
      <c r="D4346" s="16" t="s">
        <v>16</v>
      </c>
      <c r="E4346" s="17" t="s">
        <v>27991</v>
      </c>
      <c r="F4346" s="16" t="s">
        <v>3760</v>
      </c>
      <c r="G4346" s="16">
        <v>23.61</v>
      </c>
      <c r="H4346" s="16"/>
      <c r="I4346" s="16"/>
      <c r="J4346" s="16" t="s">
        <v>27992</v>
      </c>
      <c r="K4346" s="16" t="s">
        <v>27993</v>
      </c>
      <c r="L4346" s="16"/>
      <c r="M4346" s="16"/>
      <c r="N4346" s="12"/>
      <c r="O4346" s="12"/>
      <c r="P4346" s="13">
        <f>IFERROR(__xludf.DUMMYFUNCTION("VALUE(SUBSTITUTE((INDEX(SPLIT(A4346,"",""),1)),""."","","",1))"),55.031659)</f>
        <v>55.031659</v>
      </c>
      <c r="Q4346" s="13">
        <f>IFERROR(__xludf.DUMMYFUNCTION("VALUE(SUBSTITUTE((INDEX(SPLIT(A4346,"",""),2)),""."","","",1))"),82.931093)</f>
        <v>82.931093</v>
      </c>
      <c r="R4346" s="14" t="b">
        <f t="shared" si="1"/>
        <v>0</v>
      </c>
      <c r="S4346" s="14" t="str">
        <f t="shared" si="2"/>
        <v>55.031659,82.931093</v>
      </c>
      <c r="T4346" s="12"/>
    </row>
    <row r="4347">
      <c r="A4347" s="18" t="s">
        <v>27994</v>
      </c>
      <c r="B4347" s="8" t="s">
        <v>27995</v>
      </c>
      <c r="C4347" s="8" t="s">
        <v>27996</v>
      </c>
      <c r="D4347" s="8" t="s">
        <v>16</v>
      </c>
      <c r="E4347" s="19" t="s">
        <v>27997</v>
      </c>
      <c r="F4347" s="8" t="s">
        <v>20146</v>
      </c>
      <c r="G4347" s="8">
        <v>23.61</v>
      </c>
      <c r="H4347" s="8"/>
      <c r="I4347" s="8"/>
      <c r="J4347" s="8" t="s">
        <v>27998</v>
      </c>
      <c r="K4347" s="8" t="s">
        <v>27999</v>
      </c>
      <c r="L4347" s="8"/>
      <c r="M4347" s="8"/>
      <c r="N4347" s="12"/>
      <c r="O4347" s="12"/>
      <c r="P4347" s="13">
        <f>IFERROR(__xludf.DUMMYFUNCTION("VALUE(SUBSTITUTE((INDEX(SPLIT(A4347,"",""),1)),""."","","",1))"),54.950697)</f>
        <v>54.950697</v>
      </c>
      <c r="Q4347" s="13">
        <f>IFERROR(__xludf.DUMMYFUNCTION("VALUE(SUBSTITUTE((INDEX(SPLIT(A4347,"",""),2)),""."","","",1))"),82.933302)</f>
        <v>82.933302</v>
      </c>
      <c r="R4347" s="14" t="b">
        <f t="shared" si="1"/>
        <v>0</v>
      </c>
      <c r="S4347" s="14" t="str">
        <f t="shared" si="2"/>
        <v>54.950697,82.933302</v>
      </c>
      <c r="T4347" s="12"/>
    </row>
    <row r="4348">
      <c r="A4348" s="20" t="s">
        <v>28000</v>
      </c>
      <c r="B4348" s="16" t="s">
        <v>28001</v>
      </c>
      <c r="C4348" s="16" t="s">
        <v>28002</v>
      </c>
      <c r="D4348" s="16" t="s">
        <v>16</v>
      </c>
      <c r="E4348" s="21" t="s">
        <v>28003</v>
      </c>
      <c r="F4348" s="22" t="s">
        <v>19378</v>
      </c>
      <c r="G4348" s="16">
        <v>23.61</v>
      </c>
      <c r="H4348" s="16"/>
      <c r="I4348" s="22"/>
      <c r="J4348" s="22" t="s">
        <v>28004</v>
      </c>
      <c r="K4348" s="22" t="s">
        <v>28005</v>
      </c>
      <c r="L4348" s="23" t="s">
        <v>28006</v>
      </c>
      <c r="M4348" s="22"/>
      <c r="N4348" s="12"/>
      <c r="O4348" s="12"/>
      <c r="P4348" s="13">
        <f>IFERROR(__xludf.DUMMYFUNCTION("VALUE(SUBSTITUTE((INDEX(SPLIT(A4348,"",""),1)),""."","","",1))"),55.02797)</f>
        <v>55.02797</v>
      </c>
      <c r="Q4348" s="13">
        <f>IFERROR(__xludf.DUMMYFUNCTION("VALUE(SUBSTITUTE((INDEX(SPLIT(A4348,"",""),2)),""."","","",1))"),82.935009)</f>
        <v>82.935009</v>
      </c>
      <c r="R4348" s="14" t="b">
        <f t="shared" si="1"/>
        <v>0</v>
      </c>
      <c r="S4348" s="14" t="str">
        <f t="shared" si="2"/>
        <v>55.02797,82.935009</v>
      </c>
      <c r="T4348" s="12"/>
    </row>
    <row r="4349">
      <c r="A4349" s="7" t="s">
        <v>28007</v>
      </c>
      <c r="B4349" s="8" t="s">
        <v>28008</v>
      </c>
      <c r="C4349" s="8" t="s">
        <v>28009</v>
      </c>
      <c r="D4349" s="8" t="s">
        <v>16</v>
      </c>
      <c r="E4349" s="9" t="s">
        <v>28010</v>
      </c>
      <c r="F4349" s="10" t="s">
        <v>16486</v>
      </c>
      <c r="G4349" s="8">
        <v>23.61</v>
      </c>
      <c r="H4349" s="8"/>
      <c r="I4349" s="10"/>
      <c r="J4349" s="10" t="s">
        <v>28011</v>
      </c>
      <c r="K4349" s="10" t="s">
        <v>28012</v>
      </c>
      <c r="L4349" s="11" t="s">
        <v>28013</v>
      </c>
      <c r="M4349" s="10"/>
      <c r="N4349" s="12"/>
      <c r="O4349" s="12"/>
      <c r="P4349" s="13">
        <f>IFERROR(__xludf.DUMMYFUNCTION("VALUE(SUBSTITUTE((INDEX(SPLIT(A4349,"",""),1)),""."","","",1))"),54.960126)</f>
        <v>54.960126</v>
      </c>
      <c r="Q4349" s="13">
        <f>IFERROR(__xludf.DUMMYFUNCTION("VALUE(SUBSTITUTE((INDEX(SPLIT(A4349,"",""),2)),""."","","",1))"),82.93553)</f>
        <v>82.93553</v>
      </c>
      <c r="R4349" s="14" t="b">
        <f t="shared" si="1"/>
        <v>0</v>
      </c>
      <c r="S4349" s="14" t="str">
        <f t="shared" si="2"/>
        <v>54.960126,82.93553</v>
      </c>
      <c r="T4349" s="12"/>
    </row>
    <row r="4350">
      <c r="A4350" s="20" t="s">
        <v>28014</v>
      </c>
      <c r="B4350" s="16" t="s">
        <v>28015</v>
      </c>
      <c r="C4350" s="16" t="s">
        <v>28016</v>
      </c>
      <c r="D4350" s="16" t="s">
        <v>16</v>
      </c>
      <c r="E4350" s="21" t="s">
        <v>28017</v>
      </c>
      <c r="F4350" s="22" t="s">
        <v>19948</v>
      </c>
      <c r="G4350" s="16">
        <v>23.61</v>
      </c>
      <c r="H4350" s="16"/>
      <c r="I4350" s="22"/>
      <c r="J4350" s="22" t="s">
        <v>28018</v>
      </c>
      <c r="K4350" s="22" t="s">
        <v>28019</v>
      </c>
      <c r="L4350" s="23" t="s">
        <v>28020</v>
      </c>
      <c r="M4350" s="23" t="s">
        <v>28021</v>
      </c>
      <c r="N4350" s="12"/>
      <c r="O4350" s="12"/>
      <c r="P4350" s="13">
        <f>IFERROR(__xludf.DUMMYFUNCTION("VALUE(SUBSTITUTE((INDEX(SPLIT(A4350,"",""),1)),""."","","",1))"),55.111351)</f>
        <v>55.111351</v>
      </c>
      <c r="Q4350" s="13">
        <f>IFERROR(__xludf.DUMMYFUNCTION("VALUE(SUBSTITUTE((INDEX(SPLIT(A4350,"",""),2)),""."","","",1))"),82.935701)</f>
        <v>82.935701</v>
      </c>
      <c r="R4350" s="14" t="b">
        <f t="shared" si="1"/>
        <v>0</v>
      </c>
      <c r="S4350" s="14" t="str">
        <f t="shared" si="2"/>
        <v>55.111351,82.935701</v>
      </c>
      <c r="T4350" s="12"/>
    </row>
    <row r="4351">
      <c r="A4351" s="7" t="s">
        <v>28022</v>
      </c>
      <c r="B4351" s="8" t="s">
        <v>28023</v>
      </c>
      <c r="C4351" s="8" t="s">
        <v>28024</v>
      </c>
      <c r="D4351" s="8" t="s">
        <v>16</v>
      </c>
      <c r="E4351" s="9" t="s">
        <v>28025</v>
      </c>
      <c r="F4351" s="10" t="s">
        <v>26306</v>
      </c>
      <c r="G4351" s="8">
        <v>23.61</v>
      </c>
      <c r="H4351" s="8"/>
      <c r="I4351" s="10"/>
      <c r="J4351" s="10" t="s">
        <v>28026</v>
      </c>
      <c r="K4351" s="10" t="s">
        <v>28027</v>
      </c>
      <c r="L4351" s="11" t="s">
        <v>28028</v>
      </c>
      <c r="M4351" s="10"/>
      <c r="N4351" s="12"/>
      <c r="O4351" s="12"/>
      <c r="P4351" s="13">
        <f>IFERROR(__xludf.DUMMYFUNCTION("VALUE(SUBSTITUTE((INDEX(SPLIT(A4351,"",""),1)),""."","","",1))"),55.071737)</f>
        <v>55.071737</v>
      </c>
      <c r="Q4351" s="13">
        <f>IFERROR(__xludf.DUMMYFUNCTION("VALUE(SUBSTITUTE((INDEX(SPLIT(A4351,"",""),2)),""."","","",1))"),82.936294)</f>
        <v>82.936294</v>
      </c>
      <c r="R4351" s="14" t="b">
        <f t="shared" si="1"/>
        <v>0</v>
      </c>
      <c r="S4351" s="14" t="str">
        <f t="shared" si="2"/>
        <v>55.071737,82.936294</v>
      </c>
      <c r="T4351" s="12"/>
    </row>
    <row r="4352">
      <c r="A4352" s="20" t="s">
        <v>28029</v>
      </c>
      <c r="B4352" s="16" t="s">
        <v>28030</v>
      </c>
      <c r="C4352" s="16" t="s">
        <v>28031</v>
      </c>
      <c r="D4352" s="16" t="s">
        <v>16</v>
      </c>
      <c r="E4352" s="21" t="s">
        <v>28032</v>
      </c>
      <c r="F4352" s="22" t="s">
        <v>16486</v>
      </c>
      <c r="G4352" s="16">
        <v>23.61</v>
      </c>
      <c r="H4352" s="16"/>
      <c r="I4352" s="22"/>
      <c r="J4352" s="22" t="s">
        <v>28033</v>
      </c>
      <c r="K4352" s="22" t="s">
        <v>28034</v>
      </c>
      <c r="L4352" s="23" t="s">
        <v>28035</v>
      </c>
      <c r="M4352" s="23" t="s">
        <v>28036</v>
      </c>
      <c r="N4352" s="12"/>
      <c r="O4352" s="12"/>
      <c r="P4352" s="13">
        <f>IFERROR(__xludf.DUMMYFUNCTION("VALUE(SUBSTITUTE((INDEX(SPLIT(A4352,"",""),1)),""."","","",1))"),55.050107)</f>
        <v>55.050107</v>
      </c>
      <c r="Q4352" s="13">
        <f>IFERROR(__xludf.DUMMYFUNCTION("VALUE(SUBSTITUTE((INDEX(SPLIT(A4352,"",""),2)),""."","","",1))"),82.941288)</f>
        <v>82.941288</v>
      </c>
      <c r="R4352" s="14" t="b">
        <f t="shared" si="1"/>
        <v>0</v>
      </c>
      <c r="S4352" s="14" t="str">
        <f t="shared" si="2"/>
        <v>55.050107,82.941288</v>
      </c>
      <c r="T4352" s="12"/>
    </row>
    <row r="4353">
      <c r="A4353" s="18" t="s">
        <v>28037</v>
      </c>
      <c r="B4353" s="8" t="s">
        <v>28038</v>
      </c>
      <c r="C4353" s="8" t="s">
        <v>28039</v>
      </c>
      <c r="D4353" s="8" t="s">
        <v>16</v>
      </c>
      <c r="E4353" s="19" t="s">
        <v>28040</v>
      </c>
      <c r="F4353" s="8" t="s">
        <v>16486</v>
      </c>
      <c r="G4353" s="8">
        <v>23.61</v>
      </c>
      <c r="H4353" s="8"/>
      <c r="I4353" s="8"/>
      <c r="J4353" s="8" t="s">
        <v>28041</v>
      </c>
      <c r="K4353" s="8" t="s">
        <v>28012</v>
      </c>
      <c r="L4353" s="8"/>
      <c r="M4353" s="8"/>
      <c r="N4353" s="12"/>
      <c r="O4353" s="12"/>
      <c r="P4353" s="13">
        <f>IFERROR(__xludf.DUMMYFUNCTION("VALUE(SUBSTITUTE((INDEX(SPLIT(A4353,"",""),1)),""."","","",1))"),55.049782)</f>
        <v>55.049782</v>
      </c>
      <c r="Q4353" s="13">
        <f>IFERROR(__xludf.DUMMYFUNCTION("VALUE(SUBSTITUTE((INDEX(SPLIT(A4353,"",""),2)),""."","","",1))"),82.94366)</f>
        <v>82.94366</v>
      </c>
      <c r="R4353" s="14" t="b">
        <f t="shared" si="1"/>
        <v>0</v>
      </c>
      <c r="S4353" s="14" t="str">
        <f t="shared" si="2"/>
        <v>55.049782,82.94366</v>
      </c>
      <c r="T4353" s="12"/>
    </row>
    <row r="4354">
      <c r="A4354" s="20" t="s">
        <v>28042</v>
      </c>
      <c r="B4354" s="16" t="s">
        <v>28043</v>
      </c>
      <c r="C4354" s="16" t="s">
        <v>28044</v>
      </c>
      <c r="D4354" s="16" t="s">
        <v>16</v>
      </c>
      <c r="E4354" s="21" t="s">
        <v>28045</v>
      </c>
      <c r="F4354" s="22" t="s">
        <v>19378</v>
      </c>
      <c r="G4354" s="16">
        <v>23.61</v>
      </c>
      <c r="H4354" s="16"/>
      <c r="I4354" s="22"/>
      <c r="J4354" s="22" t="s">
        <v>28046</v>
      </c>
      <c r="K4354" s="22" t="s">
        <v>28047</v>
      </c>
      <c r="L4354" s="23" t="s">
        <v>28048</v>
      </c>
      <c r="M4354" s="23" t="s">
        <v>28049</v>
      </c>
      <c r="N4354" s="12"/>
      <c r="O4354" s="12"/>
      <c r="P4354" s="13">
        <f>IFERROR(__xludf.DUMMYFUNCTION("VALUE(SUBSTITUTE((INDEX(SPLIT(A4354,"",""),1)),""."","","",1))"),55.025059)</f>
        <v>55.025059</v>
      </c>
      <c r="Q4354" s="13">
        <f>IFERROR(__xludf.DUMMYFUNCTION("VALUE(SUBSTITUTE((INDEX(SPLIT(A4354,"",""),2)),""."","","",1))"),82.945259)</f>
        <v>82.945259</v>
      </c>
      <c r="R4354" s="14" t="b">
        <f t="shared" si="1"/>
        <v>0</v>
      </c>
      <c r="S4354" s="14" t="str">
        <f t="shared" si="2"/>
        <v>55.025059,82.945259</v>
      </c>
      <c r="T4354" s="12"/>
    </row>
    <row r="4355">
      <c r="A4355" s="7" t="s">
        <v>28050</v>
      </c>
      <c r="B4355" s="8" t="s">
        <v>28051</v>
      </c>
      <c r="C4355" s="8" t="s">
        <v>28052</v>
      </c>
      <c r="D4355" s="8" t="s">
        <v>16</v>
      </c>
      <c r="E4355" s="9" t="s">
        <v>28053</v>
      </c>
      <c r="F4355" s="10" t="s">
        <v>19378</v>
      </c>
      <c r="G4355" s="8">
        <v>23.61</v>
      </c>
      <c r="H4355" s="8"/>
      <c r="I4355" s="10"/>
      <c r="J4355" s="10" t="s">
        <v>28054</v>
      </c>
      <c r="K4355" s="10" t="s">
        <v>28055</v>
      </c>
      <c r="L4355" s="11" t="s">
        <v>28056</v>
      </c>
      <c r="M4355" s="10"/>
      <c r="N4355" s="12"/>
      <c r="O4355" s="12"/>
      <c r="P4355" s="13">
        <f>IFERROR(__xludf.DUMMYFUNCTION("VALUE(SUBSTITUTE((INDEX(SPLIT(A4355,"",""),1)),""."","","",1))"),55.175087)</f>
        <v>55.175087</v>
      </c>
      <c r="Q4355" s="13">
        <f>IFERROR(__xludf.DUMMYFUNCTION("VALUE(SUBSTITUTE((INDEX(SPLIT(A4355,"",""),2)),""."","","",1))"),82.949876)</f>
        <v>82.949876</v>
      </c>
      <c r="R4355" s="14" t="b">
        <f t="shared" si="1"/>
        <v>0</v>
      </c>
      <c r="S4355" s="14" t="str">
        <f t="shared" si="2"/>
        <v>55.175087,82.949876</v>
      </c>
      <c r="T4355" s="12"/>
    </row>
    <row r="4356">
      <c r="A4356" s="15" t="s">
        <v>28057</v>
      </c>
      <c r="B4356" s="16" t="s">
        <v>28058</v>
      </c>
      <c r="C4356" s="16" t="s">
        <v>28059</v>
      </c>
      <c r="D4356" s="16" t="s">
        <v>16</v>
      </c>
      <c r="E4356" s="17" t="s">
        <v>28060</v>
      </c>
      <c r="F4356" s="16" t="s">
        <v>19378</v>
      </c>
      <c r="G4356" s="16">
        <v>23.61</v>
      </c>
      <c r="H4356" s="16"/>
      <c r="I4356" s="16"/>
      <c r="J4356" s="16" t="s">
        <v>28061</v>
      </c>
      <c r="K4356" s="16" t="s">
        <v>28062</v>
      </c>
      <c r="L4356" s="16"/>
      <c r="M4356" s="25" t="s">
        <v>28063</v>
      </c>
      <c r="N4356" s="12"/>
      <c r="O4356" s="12"/>
      <c r="P4356" s="13">
        <f>IFERROR(__xludf.DUMMYFUNCTION("VALUE(SUBSTITUTE((INDEX(SPLIT(A4356,"",""),1)),""."","","",1))"),53.328224)</f>
        <v>53.328224</v>
      </c>
      <c r="Q4356" s="13">
        <f>IFERROR(__xludf.DUMMYFUNCTION("VALUE(SUBSTITUTE((INDEX(SPLIT(A4356,"",""),2)),""."","","",1))"),82.950963)</f>
        <v>82.950963</v>
      </c>
      <c r="R4356" s="14" t="b">
        <f t="shared" si="1"/>
        <v>0</v>
      </c>
      <c r="S4356" s="14" t="str">
        <f t="shared" si="2"/>
        <v>53.328224,82.950963</v>
      </c>
      <c r="T4356" s="12"/>
    </row>
    <row r="4357">
      <c r="A4357" s="18" t="s">
        <v>28064</v>
      </c>
      <c r="B4357" s="8" t="s">
        <v>28065</v>
      </c>
      <c r="C4357" s="8" t="s">
        <v>28066</v>
      </c>
      <c r="D4357" s="8" t="s">
        <v>16</v>
      </c>
      <c r="E4357" s="19" t="s">
        <v>28067</v>
      </c>
      <c r="F4357" s="8" t="s">
        <v>12717</v>
      </c>
      <c r="G4357" s="8">
        <v>23.61</v>
      </c>
      <c r="H4357" s="8"/>
      <c r="I4357" s="8"/>
      <c r="J4357" s="8" t="s">
        <v>28068</v>
      </c>
      <c r="K4357" s="8" t="s">
        <v>28069</v>
      </c>
      <c r="L4357" s="8"/>
      <c r="M4357" s="8"/>
      <c r="N4357" s="12"/>
      <c r="O4357" s="12"/>
      <c r="P4357" s="13">
        <f>IFERROR(__xludf.DUMMYFUNCTION("VALUE(SUBSTITUTE((INDEX(SPLIT(A4357,"",""),1)),""."","","",1))"),54.852221)</f>
        <v>54.852221</v>
      </c>
      <c r="Q4357" s="13">
        <f>IFERROR(__xludf.DUMMYFUNCTION("VALUE(SUBSTITUTE((INDEX(SPLIT(A4357,"",""),2)),""."","","",1))"),82.953272)</f>
        <v>82.953272</v>
      </c>
      <c r="R4357" s="14" t="b">
        <f t="shared" si="1"/>
        <v>0</v>
      </c>
      <c r="S4357" s="14" t="str">
        <f t="shared" si="2"/>
        <v>54.852221,82.953272</v>
      </c>
      <c r="T4357" s="12"/>
    </row>
    <row r="4358">
      <c r="A4358" s="15" t="s">
        <v>28064</v>
      </c>
      <c r="B4358" s="16" t="s">
        <v>28070</v>
      </c>
      <c r="C4358" s="16" t="s">
        <v>28071</v>
      </c>
      <c r="D4358" s="16" t="s">
        <v>16</v>
      </c>
      <c r="E4358" s="17" t="s">
        <v>28072</v>
      </c>
      <c r="F4358" s="16" t="s">
        <v>26306</v>
      </c>
      <c r="G4358" s="16">
        <v>23.61</v>
      </c>
      <c r="H4358" s="16"/>
      <c r="I4358" s="16"/>
      <c r="J4358" s="16" t="s">
        <v>28073</v>
      </c>
      <c r="K4358" s="16" t="s">
        <v>28074</v>
      </c>
      <c r="L4358" s="16"/>
      <c r="M4358" s="16"/>
      <c r="N4358" s="12"/>
      <c r="O4358" s="12"/>
      <c r="P4358" s="13">
        <f>IFERROR(__xludf.DUMMYFUNCTION("VALUE(SUBSTITUTE((INDEX(SPLIT(A4358,"",""),1)),""."","","",1))"),54.852221)</f>
        <v>54.852221</v>
      </c>
      <c r="Q4358" s="13">
        <f>IFERROR(__xludf.DUMMYFUNCTION("VALUE(SUBSTITUTE((INDEX(SPLIT(A4358,"",""),2)),""."","","",1))"),82.953272)</f>
        <v>82.953272</v>
      </c>
      <c r="R4358" s="14" t="b">
        <f t="shared" si="1"/>
        <v>0</v>
      </c>
      <c r="S4358" s="14" t="str">
        <f t="shared" si="2"/>
        <v>54.852221,82.953272</v>
      </c>
      <c r="T4358" s="12"/>
    </row>
    <row r="4359">
      <c r="A4359" s="7" t="s">
        <v>28075</v>
      </c>
      <c r="B4359" s="8" t="s">
        <v>28076</v>
      </c>
      <c r="C4359" s="8" t="s">
        <v>28077</v>
      </c>
      <c r="D4359" s="8" t="s">
        <v>16</v>
      </c>
      <c r="E4359" s="9" t="s">
        <v>28078</v>
      </c>
      <c r="F4359" s="10" t="s">
        <v>16486</v>
      </c>
      <c r="G4359" s="8">
        <v>23.61</v>
      </c>
      <c r="H4359" s="8"/>
      <c r="I4359" s="10"/>
      <c r="J4359" s="10" t="s">
        <v>28079</v>
      </c>
      <c r="K4359" s="10" t="s">
        <v>28080</v>
      </c>
      <c r="L4359" s="11" t="s">
        <v>28081</v>
      </c>
      <c r="M4359" s="10"/>
      <c r="N4359" s="12"/>
      <c r="O4359" s="12"/>
      <c r="P4359" s="13">
        <f>IFERROR(__xludf.DUMMYFUNCTION("VALUE(SUBSTITUTE((INDEX(SPLIT(A4359,"",""),1)),""."","","",1))"),54.850801)</f>
        <v>54.850801</v>
      </c>
      <c r="Q4359" s="13">
        <f>IFERROR(__xludf.DUMMYFUNCTION("VALUE(SUBSTITUTE((INDEX(SPLIT(A4359,"",""),2)),""."","","",1))"),82.954269)</f>
        <v>82.954269</v>
      </c>
      <c r="R4359" s="14" t="b">
        <f t="shared" si="1"/>
        <v>0</v>
      </c>
      <c r="S4359" s="14" t="str">
        <f t="shared" si="2"/>
        <v>54.850801,82.954269</v>
      </c>
      <c r="T4359" s="12"/>
    </row>
    <row r="4360">
      <c r="A4360" s="20" t="s">
        <v>28082</v>
      </c>
      <c r="B4360" s="16" t="s">
        <v>28083</v>
      </c>
      <c r="C4360" s="16" t="s">
        <v>28084</v>
      </c>
      <c r="D4360" s="16" t="s">
        <v>16</v>
      </c>
      <c r="E4360" s="21" t="s">
        <v>28085</v>
      </c>
      <c r="F4360" s="22" t="s">
        <v>19378</v>
      </c>
      <c r="G4360" s="16">
        <v>23.61</v>
      </c>
      <c r="H4360" s="16"/>
      <c r="I4360" s="22"/>
      <c r="J4360" s="22" t="s">
        <v>28086</v>
      </c>
      <c r="K4360" s="22" t="s">
        <v>28087</v>
      </c>
      <c r="L4360" s="23" t="s">
        <v>28088</v>
      </c>
      <c r="M4360" s="22"/>
      <c r="N4360" s="12"/>
      <c r="O4360" s="12"/>
      <c r="P4360" s="13">
        <f>IFERROR(__xludf.DUMMYFUNCTION("VALUE(SUBSTITUTE((INDEX(SPLIT(A4360,"",""),1)),""."","","",1))"),54.862409)</f>
        <v>54.862409</v>
      </c>
      <c r="Q4360" s="13">
        <f>IFERROR(__xludf.DUMMYFUNCTION("VALUE(SUBSTITUTE((INDEX(SPLIT(A4360,"",""),2)),""."","","",1))"),82.955751)</f>
        <v>82.955751</v>
      </c>
      <c r="R4360" s="14" t="b">
        <f t="shared" si="1"/>
        <v>0</v>
      </c>
      <c r="S4360" s="14" t="str">
        <f t="shared" si="2"/>
        <v>54.862409,82.955751</v>
      </c>
      <c r="T4360" s="12"/>
    </row>
    <row r="4361">
      <c r="A4361" s="18" t="s">
        <v>28089</v>
      </c>
      <c r="B4361" s="8" t="s">
        <v>28090</v>
      </c>
      <c r="C4361" s="8" t="s">
        <v>28091</v>
      </c>
      <c r="D4361" s="8" t="s">
        <v>16</v>
      </c>
      <c r="E4361" s="19" t="s">
        <v>28092</v>
      </c>
      <c r="F4361" s="8" t="s">
        <v>13482</v>
      </c>
      <c r="G4361" s="8">
        <v>23.61</v>
      </c>
      <c r="H4361" s="8"/>
      <c r="I4361" s="8"/>
      <c r="J4361" s="8" t="s">
        <v>28093</v>
      </c>
      <c r="K4361" s="8" t="s">
        <v>28094</v>
      </c>
      <c r="L4361" s="8"/>
      <c r="M4361" s="8"/>
      <c r="N4361" s="12"/>
      <c r="O4361" s="12"/>
      <c r="P4361" s="13">
        <f>IFERROR(__xludf.DUMMYFUNCTION("VALUE(SUBSTITUTE((INDEX(SPLIT(A4361,"",""),1)),""."","","",1))"),55.012476)</f>
        <v>55.012476</v>
      </c>
      <c r="Q4361" s="13">
        <f>IFERROR(__xludf.DUMMYFUNCTION("VALUE(SUBSTITUTE((INDEX(SPLIT(A4361,"",""),2)),""."","","",1))"),82.961042)</f>
        <v>82.961042</v>
      </c>
      <c r="R4361" s="14" t="b">
        <f t="shared" si="1"/>
        <v>0</v>
      </c>
      <c r="S4361" s="14" t="str">
        <f t="shared" si="2"/>
        <v>55.012476,82.961042</v>
      </c>
      <c r="T4361" s="12"/>
    </row>
    <row r="4362">
      <c r="A4362" s="15" t="s">
        <v>28095</v>
      </c>
      <c r="B4362" s="16" t="s">
        <v>28096</v>
      </c>
      <c r="C4362" s="16" t="s">
        <v>28097</v>
      </c>
      <c r="D4362" s="16" t="s">
        <v>16</v>
      </c>
      <c r="E4362" s="17" t="s">
        <v>28098</v>
      </c>
      <c r="F4362" s="16" t="s">
        <v>3148</v>
      </c>
      <c r="G4362" s="16">
        <v>23.61</v>
      </c>
      <c r="H4362" s="16"/>
      <c r="I4362" s="16"/>
      <c r="J4362" s="16" t="s">
        <v>28099</v>
      </c>
      <c r="K4362" s="16" t="s">
        <v>28100</v>
      </c>
      <c r="L4362" s="16"/>
      <c r="M4362" s="16"/>
      <c r="N4362" s="12"/>
      <c r="O4362" s="12"/>
      <c r="P4362" s="13">
        <f>IFERROR(__xludf.DUMMYFUNCTION("VALUE(SUBSTITUTE((INDEX(SPLIT(A4362,"",""),1)),""."","","",1))"),54.957857)</f>
        <v>54.957857</v>
      </c>
      <c r="Q4362" s="13">
        <f>IFERROR(__xludf.DUMMYFUNCTION("VALUE(SUBSTITUTE((INDEX(SPLIT(A4362,"",""),2)),""."","","",1))"),82.963189)</f>
        <v>82.963189</v>
      </c>
      <c r="R4362" s="14" t="b">
        <f t="shared" si="1"/>
        <v>0</v>
      </c>
      <c r="S4362" s="14" t="str">
        <f t="shared" si="2"/>
        <v>54.957857,82.963189</v>
      </c>
      <c r="T4362" s="12"/>
    </row>
    <row r="4363">
      <c r="A4363" s="7" t="s">
        <v>28101</v>
      </c>
      <c r="B4363" s="8" t="s">
        <v>28102</v>
      </c>
      <c r="C4363" s="8" t="s">
        <v>28103</v>
      </c>
      <c r="D4363" s="8" t="s">
        <v>16</v>
      </c>
      <c r="E4363" s="9" t="s">
        <v>28104</v>
      </c>
      <c r="F4363" s="10" t="s">
        <v>16486</v>
      </c>
      <c r="G4363" s="8">
        <v>23.61</v>
      </c>
      <c r="H4363" s="8"/>
      <c r="I4363" s="31" t="s">
        <v>28105</v>
      </c>
      <c r="J4363" s="10" t="s">
        <v>28106</v>
      </c>
      <c r="K4363" s="10" t="s">
        <v>28107</v>
      </c>
      <c r="L4363" s="11" t="s">
        <v>28108</v>
      </c>
      <c r="M4363" s="11" t="s">
        <v>28109</v>
      </c>
      <c r="N4363" s="12"/>
      <c r="O4363" s="12"/>
      <c r="P4363" s="13">
        <f>IFERROR(__xludf.DUMMYFUNCTION("VALUE(SUBSTITUTE((INDEX(SPLIT(A4363,"",""),1)),""."","","",1))"),55.047182)</f>
        <v>55.047182</v>
      </c>
      <c r="Q4363" s="13">
        <f>IFERROR(__xludf.DUMMYFUNCTION("VALUE(SUBSTITUTE((INDEX(SPLIT(A4363,"",""),2)),""."","","",1))"),82.964869)</f>
        <v>82.964869</v>
      </c>
      <c r="R4363" s="14" t="b">
        <f t="shared" si="1"/>
        <v>0</v>
      </c>
      <c r="S4363" s="14" t="str">
        <f t="shared" si="2"/>
        <v>55.047182,82.964869</v>
      </c>
      <c r="T4363" s="12"/>
    </row>
    <row r="4364">
      <c r="A4364" s="15" t="s">
        <v>28110</v>
      </c>
      <c r="B4364" s="16" t="s">
        <v>789</v>
      </c>
      <c r="C4364" s="16" t="s">
        <v>790</v>
      </c>
      <c r="D4364" s="16" t="s">
        <v>16</v>
      </c>
      <c r="E4364" s="17" t="s">
        <v>28111</v>
      </c>
      <c r="F4364" s="16" t="s">
        <v>19378</v>
      </c>
      <c r="G4364" s="16">
        <v>23.61</v>
      </c>
      <c r="H4364" s="16"/>
      <c r="I4364" s="16"/>
      <c r="J4364" s="16" t="s">
        <v>28112</v>
      </c>
      <c r="K4364" s="16" t="s">
        <v>28113</v>
      </c>
      <c r="L4364" s="16"/>
      <c r="M4364" s="16"/>
      <c r="N4364" s="12"/>
      <c r="O4364" s="12"/>
      <c r="P4364" s="13">
        <f>IFERROR(__xludf.DUMMYFUNCTION("VALUE(SUBSTITUTE((INDEX(SPLIT(A4364,"",""),1)),""."","","",1))"),55.056775)</f>
        <v>55.056775</v>
      </c>
      <c r="Q4364" s="13">
        <f>IFERROR(__xludf.DUMMYFUNCTION("VALUE(SUBSTITUTE((INDEX(SPLIT(A4364,"",""),2)),""."","","",1))"),82.96795)</f>
        <v>82.96795</v>
      </c>
      <c r="R4364" s="14" t="b">
        <f t="shared" si="1"/>
        <v>0</v>
      </c>
      <c r="S4364" s="14" t="str">
        <f t="shared" si="2"/>
        <v>55.056775,82.96795</v>
      </c>
      <c r="T4364" s="12"/>
    </row>
    <row r="4365">
      <c r="A4365" s="18" t="s">
        <v>28114</v>
      </c>
      <c r="B4365" s="8" t="s">
        <v>28115</v>
      </c>
      <c r="C4365" s="8" t="s">
        <v>28116</v>
      </c>
      <c r="D4365" s="8" t="s">
        <v>16</v>
      </c>
      <c r="E4365" s="19" t="s">
        <v>28117</v>
      </c>
      <c r="F4365" s="8" t="s">
        <v>19961</v>
      </c>
      <c r="G4365" s="8">
        <v>23.61</v>
      </c>
      <c r="H4365" s="8"/>
      <c r="I4365" s="8"/>
      <c r="J4365" s="8" t="s">
        <v>28118</v>
      </c>
      <c r="K4365" s="8" t="s">
        <v>28119</v>
      </c>
      <c r="L4365" s="8"/>
      <c r="M4365" s="8"/>
      <c r="N4365" s="12"/>
      <c r="O4365" s="12"/>
      <c r="P4365" s="13">
        <f>IFERROR(__xludf.DUMMYFUNCTION("VALUE(SUBSTITUTE((INDEX(SPLIT(A4365,"",""),1)),""."","","",1))"),55.161044)</f>
        <v>55.161044</v>
      </c>
      <c r="Q4365" s="13">
        <f>IFERROR(__xludf.DUMMYFUNCTION("VALUE(SUBSTITUTE((INDEX(SPLIT(A4365,"",""),2)),""."","","",1))"),82.971858)</f>
        <v>82.971858</v>
      </c>
      <c r="R4365" s="14" t="b">
        <f t="shared" si="1"/>
        <v>0</v>
      </c>
      <c r="S4365" s="14" t="str">
        <f t="shared" si="2"/>
        <v>55.161044,82.971858</v>
      </c>
      <c r="T4365" s="12"/>
    </row>
    <row r="4366">
      <c r="A4366" s="20" t="s">
        <v>28114</v>
      </c>
      <c r="B4366" s="16" t="s">
        <v>28120</v>
      </c>
      <c r="C4366" s="16" t="s">
        <v>12041</v>
      </c>
      <c r="D4366" s="16" t="s">
        <v>16</v>
      </c>
      <c r="E4366" s="21" t="s">
        <v>28121</v>
      </c>
      <c r="F4366" s="22" t="s">
        <v>12717</v>
      </c>
      <c r="G4366" s="16">
        <v>23.61</v>
      </c>
      <c r="H4366" s="16"/>
      <c r="I4366" s="22"/>
      <c r="J4366" s="22" t="s">
        <v>28122</v>
      </c>
      <c r="K4366" s="22" t="s">
        <v>28123</v>
      </c>
      <c r="L4366" s="23" t="s">
        <v>28124</v>
      </c>
      <c r="M4366" s="23" t="s">
        <v>28125</v>
      </c>
      <c r="N4366" s="12"/>
      <c r="O4366" s="12"/>
      <c r="P4366" s="13">
        <f>IFERROR(__xludf.DUMMYFUNCTION("VALUE(SUBSTITUTE((INDEX(SPLIT(A4366,"",""),1)),""."","","",1))"),55.161044)</f>
        <v>55.161044</v>
      </c>
      <c r="Q4366" s="13">
        <f>IFERROR(__xludf.DUMMYFUNCTION("VALUE(SUBSTITUTE((INDEX(SPLIT(A4366,"",""),2)),""."","","",1))"),82.971858)</f>
        <v>82.971858</v>
      </c>
      <c r="R4366" s="14" t="b">
        <f t="shared" si="1"/>
        <v>0</v>
      </c>
      <c r="S4366" s="14" t="str">
        <f t="shared" si="2"/>
        <v>55.161044,82.971858</v>
      </c>
      <c r="T4366" s="12"/>
    </row>
    <row r="4367">
      <c r="A4367" s="18" t="s">
        <v>28126</v>
      </c>
      <c r="B4367" s="8" t="s">
        <v>27747</v>
      </c>
      <c r="C4367" s="8" t="s">
        <v>27748</v>
      </c>
      <c r="D4367" s="8" t="s">
        <v>16</v>
      </c>
      <c r="E4367" s="19" t="s">
        <v>28127</v>
      </c>
      <c r="F4367" s="8" t="s">
        <v>19378</v>
      </c>
      <c r="G4367" s="8">
        <v>23.61</v>
      </c>
      <c r="H4367" s="8"/>
      <c r="I4367" s="8"/>
      <c r="J4367" s="8" t="s">
        <v>28128</v>
      </c>
      <c r="K4367" s="8" t="s">
        <v>27751</v>
      </c>
      <c r="L4367" s="8"/>
      <c r="M4367" s="8"/>
      <c r="N4367" s="12"/>
      <c r="O4367" s="12"/>
      <c r="P4367" s="13">
        <f>IFERROR(__xludf.DUMMYFUNCTION("VALUE(SUBSTITUTE((INDEX(SPLIT(A4367,"",""),1)),""."","","",1))"),54.929829)</f>
        <v>54.929829</v>
      </c>
      <c r="Q4367" s="13">
        <f>IFERROR(__xludf.DUMMYFUNCTION("VALUE(SUBSTITUTE((INDEX(SPLIT(A4367,"",""),2)),""."","","",1))"),82.972352)</f>
        <v>82.972352</v>
      </c>
      <c r="R4367" s="14" t="b">
        <f t="shared" si="1"/>
        <v>0</v>
      </c>
      <c r="S4367" s="14" t="str">
        <f t="shared" si="2"/>
        <v>54.929829,82.972352</v>
      </c>
      <c r="T4367" s="12"/>
    </row>
    <row r="4368">
      <c r="A4368" s="20" t="s">
        <v>28129</v>
      </c>
      <c r="B4368" s="16" t="s">
        <v>28130</v>
      </c>
      <c r="C4368" s="16" t="s">
        <v>28131</v>
      </c>
      <c r="D4368" s="16" t="s">
        <v>16</v>
      </c>
      <c r="E4368" s="21" t="s">
        <v>28132</v>
      </c>
      <c r="F4368" s="22" t="s">
        <v>16486</v>
      </c>
      <c r="G4368" s="16">
        <v>23.61</v>
      </c>
      <c r="H4368" s="16"/>
      <c r="I4368" s="22"/>
      <c r="J4368" s="22" t="s">
        <v>28133</v>
      </c>
      <c r="K4368" s="22" t="s">
        <v>14667</v>
      </c>
      <c r="L4368" s="23" t="s">
        <v>28134</v>
      </c>
      <c r="M4368" s="22"/>
      <c r="N4368" s="12"/>
      <c r="O4368" s="12"/>
      <c r="P4368" s="13">
        <f>IFERROR(__xludf.DUMMYFUNCTION("VALUE(SUBSTITUTE((INDEX(SPLIT(A4368,"",""),1)),""."","","",1))"),55.021374)</f>
        <v>55.021374</v>
      </c>
      <c r="Q4368" s="13">
        <f>IFERROR(__xludf.DUMMYFUNCTION("VALUE(SUBSTITUTE((INDEX(SPLIT(A4368,"",""),2)),""."","","",1))"),82.972586)</f>
        <v>82.972586</v>
      </c>
      <c r="R4368" s="14" t="b">
        <f t="shared" si="1"/>
        <v>0</v>
      </c>
      <c r="S4368" s="14" t="str">
        <f t="shared" si="2"/>
        <v>55.021374,82.972586</v>
      </c>
      <c r="T4368" s="12"/>
    </row>
    <row r="4369">
      <c r="A4369" s="18" t="s">
        <v>28135</v>
      </c>
      <c r="B4369" s="8" t="s">
        <v>28136</v>
      </c>
      <c r="C4369" s="8" t="s">
        <v>28137</v>
      </c>
      <c r="D4369" s="8" t="s">
        <v>16</v>
      </c>
      <c r="E4369" s="19" t="s">
        <v>28138</v>
      </c>
      <c r="F4369" s="8" t="s">
        <v>12717</v>
      </c>
      <c r="G4369" s="8">
        <v>23.61</v>
      </c>
      <c r="H4369" s="8"/>
      <c r="I4369" s="8"/>
      <c r="J4369" s="8" t="s">
        <v>28139</v>
      </c>
      <c r="K4369" s="8" t="s">
        <v>16138</v>
      </c>
      <c r="L4369" s="8"/>
      <c r="M4369" s="8"/>
      <c r="N4369" s="12"/>
      <c r="O4369" s="12"/>
      <c r="P4369" s="13">
        <f>IFERROR(__xludf.DUMMYFUNCTION("VALUE(SUBSTITUTE((INDEX(SPLIT(A4369,"",""),1)),""."","","",1))"),55.061792)</f>
        <v>55.061792</v>
      </c>
      <c r="Q4369" s="13">
        <f>IFERROR(__xludf.DUMMYFUNCTION("VALUE(SUBSTITUTE((INDEX(SPLIT(A4369,"",""),2)),""."","","",1))"),82.97352)</f>
        <v>82.97352</v>
      </c>
      <c r="R4369" s="14" t="b">
        <f t="shared" si="1"/>
        <v>0</v>
      </c>
      <c r="S4369" s="14" t="str">
        <f t="shared" si="2"/>
        <v>55.061792,82.97352</v>
      </c>
      <c r="T4369" s="12"/>
    </row>
    <row r="4370">
      <c r="A4370" s="20" t="s">
        <v>28140</v>
      </c>
      <c r="B4370" s="16" t="s">
        <v>28141</v>
      </c>
      <c r="C4370" s="16" t="s">
        <v>28142</v>
      </c>
      <c r="D4370" s="16" t="s">
        <v>16</v>
      </c>
      <c r="E4370" s="21" t="s">
        <v>28143</v>
      </c>
      <c r="F4370" s="22" t="s">
        <v>19378</v>
      </c>
      <c r="G4370" s="16">
        <v>23.61</v>
      </c>
      <c r="H4370" s="16"/>
      <c r="I4370" s="22"/>
      <c r="J4370" s="22" t="s">
        <v>28144</v>
      </c>
      <c r="K4370" s="22" t="s">
        <v>28145</v>
      </c>
      <c r="L4370" s="30" t="s">
        <v>28146</v>
      </c>
      <c r="M4370" s="22"/>
      <c r="N4370" s="12"/>
      <c r="O4370" s="12"/>
      <c r="P4370" s="13">
        <f>IFERROR(__xludf.DUMMYFUNCTION("VALUE(SUBSTITUTE((INDEX(SPLIT(A4370,"",""),1)),""."","","",1))"),55.078427)</f>
        <v>55.078427</v>
      </c>
      <c r="Q4370" s="13">
        <f>IFERROR(__xludf.DUMMYFUNCTION("VALUE(SUBSTITUTE((INDEX(SPLIT(A4370,"",""),2)),""."","","",1))"),82.975622)</f>
        <v>82.975622</v>
      </c>
      <c r="R4370" s="14" t="b">
        <f t="shared" si="1"/>
        <v>0</v>
      </c>
      <c r="S4370" s="14" t="str">
        <f t="shared" si="2"/>
        <v>55.078427,82.975622</v>
      </c>
      <c r="T4370" s="12"/>
    </row>
    <row r="4371">
      <c r="A4371" s="18" t="s">
        <v>28147</v>
      </c>
      <c r="B4371" s="8" t="s">
        <v>28148</v>
      </c>
      <c r="C4371" s="8" t="s">
        <v>28149</v>
      </c>
      <c r="D4371" s="8" t="s">
        <v>16</v>
      </c>
      <c r="E4371" s="19" t="s">
        <v>28150</v>
      </c>
      <c r="F4371" s="8" t="s">
        <v>19378</v>
      </c>
      <c r="G4371" s="8">
        <v>23.61</v>
      </c>
      <c r="H4371" s="8"/>
      <c r="I4371" s="8"/>
      <c r="J4371" s="8" t="s">
        <v>28151</v>
      </c>
      <c r="K4371" s="8" t="s">
        <v>28152</v>
      </c>
      <c r="L4371" s="8"/>
      <c r="M4371" s="24" t="s">
        <v>28153</v>
      </c>
      <c r="N4371" s="12"/>
      <c r="O4371" s="12"/>
      <c r="P4371" s="13">
        <f>IFERROR(__xludf.DUMMYFUNCTION("VALUE(SUBSTITUTE((INDEX(SPLIT(A4371,"",""),1)),""."","","",1))"),55.085827)</f>
        <v>55.085827</v>
      </c>
      <c r="Q4371" s="13">
        <f>IFERROR(__xludf.DUMMYFUNCTION("VALUE(SUBSTITUTE((INDEX(SPLIT(A4371,"",""),2)),""."","","",1))"),82.976044)</f>
        <v>82.976044</v>
      </c>
      <c r="R4371" s="14" t="b">
        <f t="shared" si="1"/>
        <v>0</v>
      </c>
      <c r="S4371" s="14" t="str">
        <f t="shared" si="2"/>
        <v>55.085827,82.976044</v>
      </c>
      <c r="T4371" s="12"/>
    </row>
    <row r="4372">
      <c r="A4372" s="20" t="s">
        <v>28154</v>
      </c>
      <c r="B4372" s="16" t="s">
        <v>28155</v>
      </c>
      <c r="C4372" s="16" t="s">
        <v>28156</v>
      </c>
      <c r="D4372" s="16" t="s">
        <v>16</v>
      </c>
      <c r="E4372" s="21" t="s">
        <v>28157</v>
      </c>
      <c r="F4372" s="22" t="s">
        <v>19378</v>
      </c>
      <c r="G4372" s="16">
        <v>23.61</v>
      </c>
      <c r="H4372" s="16"/>
      <c r="I4372" s="22"/>
      <c r="J4372" s="22" t="s">
        <v>28158</v>
      </c>
      <c r="K4372" s="22" t="s">
        <v>28159</v>
      </c>
      <c r="L4372" s="30" t="s">
        <v>28160</v>
      </c>
      <c r="M4372" s="22"/>
      <c r="N4372" s="12"/>
      <c r="O4372" s="12"/>
      <c r="P4372" s="13">
        <f>IFERROR(__xludf.DUMMYFUNCTION("VALUE(SUBSTITUTE((INDEX(SPLIT(A4372,"",""),1)),""."","","",1))"),55.037134)</f>
        <v>55.037134</v>
      </c>
      <c r="Q4372" s="13">
        <f>IFERROR(__xludf.DUMMYFUNCTION("VALUE(SUBSTITUTE((INDEX(SPLIT(A4372,"",""),2)),""."","","",1))"),82.978497)</f>
        <v>82.978497</v>
      </c>
      <c r="R4372" s="14" t="b">
        <f t="shared" si="1"/>
        <v>0</v>
      </c>
      <c r="S4372" s="14" t="str">
        <f t="shared" si="2"/>
        <v>55.037134,82.978497</v>
      </c>
      <c r="T4372" s="12"/>
    </row>
    <row r="4373">
      <c r="A4373" s="18" t="s">
        <v>28161</v>
      </c>
      <c r="B4373" s="8" t="s">
        <v>28162</v>
      </c>
      <c r="C4373" s="8" t="s">
        <v>28163</v>
      </c>
      <c r="D4373" s="8" t="s">
        <v>16</v>
      </c>
      <c r="E4373" s="19" t="s">
        <v>28164</v>
      </c>
      <c r="F4373" s="8" t="s">
        <v>19948</v>
      </c>
      <c r="G4373" s="8">
        <v>23.61</v>
      </c>
      <c r="H4373" s="8"/>
      <c r="I4373" s="8"/>
      <c r="J4373" s="8" t="s">
        <v>28165</v>
      </c>
      <c r="K4373" s="8" t="s">
        <v>28166</v>
      </c>
      <c r="L4373" s="8"/>
      <c r="M4373" s="8"/>
      <c r="N4373" s="12"/>
      <c r="O4373" s="12"/>
      <c r="P4373" s="13">
        <f>IFERROR(__xludf.DUMMYFUNCTION("VALUE(SUBSTITUTE((INDEX(SPLIT(A4373,"",""),1)),""."","","",1))"),55.019728)</f>
        <v>55.019728</v>
      </c>
      <c r="Q4373" s="13">
        <f>IFERROR(__xludf.DUMMYFUNCTION("VALUE(SUBSTITUTE((INDEX(SPLIT(A4373,"",""),2)),""."","","",1))"),82.984713)</f>
        <v>82.984713</v>
      </c>
      <c r="R4373" s="14" t="b">
        <f t="shared" si="1"/>
        <v>0</v>
      </c>
      <c r="S4373" s="14" t="str">
        <f t="shared" si="2"/>
        <v>55.019728,82.984713</v>
      </c>
      <c r="T4373" s="12"/>
    </row>
    <row r="4374">
      <c r="A4374" s="20" t="s">
        <v>28167</v>
      </c>
      <c r="B4374" s="16" t="s">
        <v>28168</v>
      </c>
      <c r="C4374" s="16" t="s">
        <v>28169</v>
      </c>
      <c r="D4374" s="16" t="s">
        <v>16</v>
      </c>
      <c r="E4374" s="21" t="s">
        <v>28170</v>
      </c>
      <c r="F4374" s="22" t="s">
        <v>3760</v>
      </c>
      <c r="G4374" s="16">
        <v>23.61</v>
      </c>
      <c r="H4374" s="16"/>
      <c r="I4374" s="22"/>
      <c r="J4374" s="22" t="s">
        <v>28171</v>
      </c>
      <c r="K4374" s="22" t="s">
        <v>28172</v>
      </c>
      <c r="L4374" s="23" t="s">
        <v>28173</v>
      </c>
      <c r="M4374" s="22"/>
      <c r="N4374" s="12"/>
      <c r="O4374" s="12"/>
      <c r="P4374" s="13">
        <f>IFERROR(__xludf.DUMMYFUNCTION("VALUE(SUBSTITUTE((INDEX(SPLIT(A4374,"",""),1)),""."","","",1))"),55.109023)</f>
        <v>55.109023</v>
      </c>
      <c r="Q4374" s="13">
        <f>IFERROR(__xludf.DUMMYFUNCTION("VALUE(SUBSTITUTE((INDEX(SPLIT(A4374,"",""),2)),""."","","",1))"),82.989268)</f>
        <v>82.989268</v>
      </c>
      <c r="R4374" s="14" t="b">
        <f t="shared" si="1"/>
        <v>0</v>
      </c>
      <c r="S4374" s="14" t="str">
        <f t="shared" si="2"/>
        <v>55.109023,82.989268</v>
      </c>
      <c r="T4374" s="12"/>
    </row>
    <row r="4375">
      <c r="A4375" s="18" t="s">
        <v>28167</v>
      </c>
      <c r="B4375" s="8" t="s">
        <v>28174</v>
      </c>
      <c r="C4375" s="8" t="s">
        <v>28175</v>
      </c>
      <c r="D4375" s="8" t="s">
        <v>16</v>
      </c>
      <c r="E4375" s="19" t="s">
        <v>28176</v>
      </c>
      <c r="F4375" s="8" t="s">
        <v>12717</v>
      </c>
      <c r="G4375" s="8">
        <v>23.61</v>
      </c>
      <c r="H4375" s="8"/>
      <c r="I4375" s="8"/>
      <c r="J4375" s="8" t="s">
        <v>28177</v>
      </c>
      <c r="K4375" s="8" t="s">
        <v>28178</v>
      </c>
      <c r="L4375" s="8"/>
      <c r="M4375" s="8"/>
      <c r="N4375" s="12"/>
      <c r="O4375" s="12"/>
      <c r="P4375" s="13">
        <f>IFERROR(__xludf.DUMMYFUNCTION("VALUE(SUBSTITUTE((INDEX(SPLIT(A4375,"",""),1)),""."","","",1))"),55.109023)</f>
        <v>55.109023</v>
      </c>
      <c r="Q4375" s="13">
        <f>IFERROR(__xludf.DUMMYFUNCTION("VALUE(SUBSTITUTE((INDEX(SPLIT(A4375,"",""),2)),""."","","",1))"),82.989268)</f>
        <v>82.989268</v>
      </c>
      <c r="R4375" s="14" t="b">
        <f t="shared" si="1"/>
        <v>0</v>
      </c>
      <c r="S4375" s="14" t="str">
        <f t="shared" si="2"/>
        <v>55.109023,82.989268</v>
      </c>
      <c r="T4375" s="12"/>
    </row>
    <row r="4376">
      <c r="A4376" s="20" t="s">
        <v>28179</v>
      </c>
      <c r="B4376" s="16" t="s">
        <v>28180</v>
      </c>
      <c r="C4376" s="16" t="s">
        <v>28181</v>
      </c>
      <c r="D4376" s="16" t="s">
        <v>16</v>
      </c>
      <c r="E4376" s="21" t="s">
        <v>28182</v>
      </c>
      <c r="F4376" s="22" t="s">
        <v>19378</v>
      </c>
      <c r="G4376" s="16">
        <v>23.61</v>
      </c>
      <c r="H4376" s="16"/>
      <c r="I4376" s="22"/>
      <c r="J4376" s="22" t="s">
        <v>28183</v>
      </c>
      <c r="K4376" s="22" t="s">
        <v>28184</v>
      </c>
      <c r="L4376" s="23" t="s">
        <v>28185</v>
      </c>
      <c r="M4376" s="22"/>
      <c r="N4376" s="12"/>
      <c r="O4376" s="12"/>
      <c r="P4376" s="13">
        <f>IFERROR(__xludf.DUMMYFUNCTION("VALUE(SUBSTITUTE((INDEX(SPLIT(A4376,"",""),1)),""."","","",1))"),55.039904)</f>
        <v>55.039904</v>
      </c>
      <c r="Q4376" s="13">
        <f>IFERROR(__xludf.DUMMYFUNCTION("VALUE(SUBSTITUTE((INDEX(SPLIT(A4376,"",""),2)),""."","","",1))"),82.990759)</f>
        <v>82.990759</v>
      </c>
      <c r="R4376" s="14" t="b">
        <f t="shared" si="1"/>
        <v>0</v>
      </c>
      <c r="S4376" s="14" t="str">
        <f t="shared" si="2"/>
        <v>55.039904,82.990759</v>
      </c>
      <c r="T4376" s="12"/>
    </row>
    <row r="4377">
      <c r="A4377" s="18" t="s">
        <v>28186</v>
      </c>
      <c r="B4377" s="8" t="s">
        <v>28187</v>
      </c>
      <c r="C4377" s="8" t="s">
        <v>28188</v>
      </c>
      <c r="D4377" s="8" t="s">
        <v>16</v>
      </c>
      <c r="E4377" s="19" t="s">
        <v>28189</v>
      </c>
      <c r="F4377" s="8" t="s">
        <v>19948</v>
      </c>
      <c r="G4377" s="8">
        <v>23.61</v>
      </c>
      <c r="H4377" s="8"/>
      <c r="I4377" s="8"/>
      <c r="J4377" s="8" t="s">
        <v>28190</v>
      </c>
      <c r="K4377" s="8" t="s">
        <v>28191</v>
      </c>
      <c r="L4377" s="8"/>
      <c r="M4377" s="8"/>
      <c r="N4377" s="12"/>
      <c r="O4377" s="12"/>
      <c r="P4377" s="13">
        <f>IFERROR(__xludf.DUMMYFUNCTION("VALUE(SUBSTITUTE((INDEX(SPLIT(A4377,"",""),1)),""."","","",1))"),55.051685)</f>
        <v>55.051685</v>
      </c>
      <c r="Q4377" s="13">
        <f>IFERROR(__xludf.DUMMYFUNCTION("VALUE(SUBSTITUTE((INDEX(SPLIT(A4377,"",""),2)),""."","","",1))"),82.995789)</f>
        <v>82.995789</v>
      </c>
      <c r="R4377" s="14" t="b">
        <f t="shared" si="1"/>
        <v>0</v>
      </c>
      <c r="S4377" s="14" t="str">
        <f t="shared" si="2"/>
        <v>55.051685,82.995789</v>
      </c>
      <c r="T4377" s="12"/>
    </row>
    <row r="4378">
      <c r="A4378" s="20" t="s">
        <v>28192</v>
      </c>
      <c r="B4378" s="16" t="s">
        <v>28193</v>
      </c>
      <c r="C4378" s="16" t="s">
        <v>28194</v>
      </c>
      <c r="D4378" s="16" t="s">
        <v>16</v>
      </c>
      <c r="E4378" s="21" t="s">
        <v>28195</v>
      </c>
      <c r="F4378" s="22" t="s">
        <v>19378</v>
      </c>
      <c r="G4378" s="16">
        <v>23.61</v>
      </c>
      <c r="H4378" s="16"/>
      <c r="I4378" s="22"/>
      <c r="J4378" s="22" t="s">
        <v>28196</v>
      </c>
      <c r="K4378" s="22" t="s">
        <v>28197</v>
      </c>
      <c r="L4378" s="23" t="s">
        <v>28198</v>
      </c>
      <c r="M4378" s="22"/>
      <c r="N4378" s="12"/>
      <c r="O4378" s="12"/>
      <c r="P4378" s="13">
        <f>IFERROR(__xludf.DUMMYFUNCTION("VALUE(SUBSTITUTE((INDEX(SPLIT(A4378,"",""),1)),""."","","",1))"),55.046285)</f>
        <v>55.046285</v>
      </c>
      <c r="Q4378" s="13">
        <f>IFERROR(__xludf.DUMMYFUNCTION("VALUE(SUBSTITUTE((INDEX(SPLIT(A4378,"",""),2)),""."","","",1))"),82.999311)</f>
        <v>82.999311</v>
      </c>
      <c r="R4378" s="14" t="b">
        <f t="shared" si="1"/>
        <v>0</v>
      </c>
      <c r="S4378" s="14" t="str">
        <f t="shared" si="2"/>
        <v>55.046285,82.999311</v>
      </c>
      <c r="T4378" s="12"/>
    </row>
    <row r="4379">
      <c r="A4379" s="7" t="s">
        <v>28199</v>
      </c>
      <c r="B4379" s="8" t="s">
        <v>28200</v>
      </c>
      <c r="C4379" s="8" t="s">
        <v>28201</v>
      </c>
      <c r="D4379" s="8" t="s">
        <v>16</v>
      </c>
      <c r="E4379" s="9" t="s">
        <v>28202</v>
      </c>
      <c r="F4379" s="10" t="s">
        <v>22263</v>
      </c>
      <c r="G4379" s="8">
        <v>23.61</v>
      </c>
      <c r="H4379" s="8"/>
      <c r="I4379" s="10"/>
      <c r="J4379" s="10" t="s">
        <v>28203</v>
      </c>
      <c r="K4379" s="10" t="s">
        <v>28204</v>
      </c>
      <c r="L4379" s="29" t="s">
        <v>28205</v>
      </c>
      <c r="M4379" s="10"/>
      <c r="N4379" s="12"/>
      <c r="O4379" s="12"/>
      <c r="P4379" s="13">
        <f>IFERROR(__xludf.DUMMYFUNCTION("VALUE(SUBSTITUTE((INDEX(SPLIT(A4379,"",""),1)),""."","","",1))"),55.002764)</f>
        <v>55.002764</v>
      </c>
      <c r="Q4379" s="13">
        <f>IFERROR(__xludf.DUMMYFUNCTION("VALUE(SUBSTITUTE((INDEX(SPLIT(A4379,"",""),2)),""."","","",1))"),83.002033)</f>
        <v>83.002033</v>
      </c>
      <c r="R4379" s="14" t="b">
        <f t="shared" si="1"/>
        <v>0</v>
      </c>
      <c r="S4379" s="14" t="str">
        <f t="shared" si="2"/>
        <v>55.002764,83.002033</v>
      </c>
      <c r="T4379" s="12"/>
    </row>
    <row r="4380">
      <c r="A4380" s="20" t="s">
        <v>28206</v>
      </c>
      <c r="B4380" s="16" t="s">
        <v>28207</v>
      </c>
      <c r="C4380" s="16" t="s">
        <v>28208</v>
      </c>
      <c r="D4380" s="16" t="s">
        <v>16</v>
      </c>
      <c r="E4380" s="21" t="s">
        <v>28209</v>
      </c>
      <c r="F4380" s="22" t="s">
        <v>28210</v>
      </c>
      <c r="G4380" s="16">
        <v>23.61</v>
      </c>
      <c r="H4380" s="16"/>
      <c r="I4380" s="22"/>
      <c r="J4380" s="22" t="s">
        <v>28211</v>
      </c>
      <c r="K4380" s="22" t="s">
        <v>28212</v>
      </c>
      <c r="L4380" s="23" t="s">
        <v>28213</v>
      </c>
      <c r="M4380" s="22"/>
      <c r="N4380" s="12"/>
      <c r="O4380" s="12"/>
      <c r="P4380" s="13">
        <f>IFERROR(__xludf.DUMMYFUNCTION("VALUE(SUBSTITUTE((INDEX(SPLIT(A4380,"",""),1)),""."","","",1))"),55.003425)</f>
        <v>55.003425</v>
      </c>
      <c r="Q4380" s="13">
        <f>IFERROR(__xludf.DUMMYFUNCTION("VALUE(SUBSTITUTE((INDEX(SPLIT(A4380,"",""),2)),""."","","",1))"),83.028533)</f>
        <v>83.028533</v>
      </c>
      <c r="R4380" s="14" t="b">
        <f t="shared" si="1"/>
        <v>0</v>
      </c>
      <c r="S4380" s="14" t="str">
        <f t="shared" si="2"/>
        <v>55.003425,83.028533</v>
      </c>
      <c r="T4380" s="12"/>
    </row>
    <row r="4381">
      <c r="A4381" s="18" t="s">
        <v>28214</v>
      </c>
      <c r="B4381" s="8" t="s">
        <v>14</v>
      </c>
      <c r="C4381" s="8" t="s">
        <v>15</v>
      </c>
      <c r="D4381" s="8" t="s">
        <v>16</v>
      </c>
      <c r="E4381" s="19" t="s">
        <v>28215</v>
      </c>
      <c r="F4381" s="8" t="s">
        <v>28210</v>
      </c>
      <c r="G4381" s="8">
        <v>23.61</v>
      </c>
      <c r="H4381" s="8"/>
      <c r="I4381" s="8"/>
      <c r="J4381" s="8" t="s">
        <v>28216</v>
      </c>
      <c r="K4381" s="8" t="s">
        <v>28217</v>
      </c>
      <c r="L4381" s="8"/>
      <c r="M4381" s="8"/>
      <c r="N4381" s="12"/>
      <c r="O4381" s="12"/>
      <c r="P4381" s="13">
        <f>IFERROR(__xludf.DUMMYFUNCTION("VALUE(SUBSTITUTE((INDEX(SPLIT(A4381,"",""),1)),""."","","",1))"),54.848976)</f>
        <v>54.848976</v>
      </c>
      <c r="Q4381" s="13">
        <f>IFERROR(__xludf.DUMMYFUNCTION("VALUE(SUBSTITUTE((INDEX(SPLIT(A4381,"",""),2)),""."","","",1))"),83.031075)</f>
        <v>83.031075</v>
      </c>
      <c r="R4381" s="14" t="b">
        <f t="shared" si="1"/>
        <v>0</v>
      </c>
      <c r="S4381" s="14" t="str">
        <f t="shared" si="2"/>
        <v>54.848976,83.031075</v>
      </c>
      <c r="T4381" s="12"/>
    </row>
    <row r="4382">
      <c r="A4382" s="20" t="s">
        <v>28218</v>
      </c>
      <c r="B4382" s="16" t="s">
        <v>28219</v>
      </c>
      <c r="C4382" s="16" t="s">
        <v>28220</v>
      </c>
      <c r="D4382" s="16" t="s">
        <v>16</v>
      </c>
      <c r="E4382" s="21" t="s">
        <v>28221</v>
      </c>
      <c r="F4382" s="22" t="s">
        <v>28210</v>
      </c>
      <c r="G4382" s="16">
        <v>23.61</v>
      </c>
      <c r="H4382" s="16"/>
      <c r="I4382" s="22"/>
      <c r="J4382" s="22" t="s">
        <v>28222</v>
      </c>
      <c r="K4382" s="22" t="s">
        <v>28223</v>
      </c>
      <c r="L4382" s="23" t="s">
        <v>28224</v>
      </c>
      <c r="M4382" s="22"/>
      <c r="N4382" s="12"/>
      <c r="O4382" s="12"/>
      <c r="P4382" s="13">
        <f>IFERROR(__xludf.DUMMYFUNCTION("VALUE(SUBSTITUTE((INDEX(SPLIT(A4382,"",""),1)),""."","","",1))"),54.853262)</f>
        <v>54.853262</v>
      </c>
      <c r="Q4382" s="13">
        <f>IFERROR(__xludf.DUMMYFUNCTION("VALUE(SUBSTITUTE((INDEX(SPLIT(A4382,"",""),2)),""."","","",1))"),83.03845)</f>
        <v>83.03845</v>
      </c>
      <c r="R4382" s="14" t="b">
        <f t="shared" si="1"/>
        <v>0</v>
      </c>
      <c r="S4382" s="14" t="str">
        <f t="shared" si="2"/>
        <v>54.853262,83.03845</v>
      </c>
      <c r="T4382" s="12"/>
    </row>
    <row r="4383">
      <c r="A4383" s="7" t="s">
        <v>28225</v>
      </c>
      <c r="B4383" s="8" t="s">
        <v>5942</v>
      </c>
      <c r="C4383" s="8" t="s">
        <v>5943</v>
      </c>
      <c r="D4383" s="8" t="s">
        <v>16</v>
      </c>
      <c r="E4383" s="9" t="s">
        <v>28226</v>
      </c>
      <c r="F4383" s="10" t="s">
        <v>28210</v>
      </c>
      <c r="G4383" s="8">
        <v>23.61</v>
      </c>
      <c r="H4383" s="8"/>
      <c r="I4383" s="10"/>
      <c r="J4383" s="10" t="s">
        <v>28227</v>
      </c>
      <c r="K4383" s="10" t="s">
        <v>28228</v>
      </c>
      <c r="L4383" s="11" t="s">
        <v>28229</v>
      </c>
      <c r="M4383" s="10"/>
      <c r="N4383" s="12"/>
      <c r="O4383" s="12"/>
      <c r="P4383" s="13">
        <f>IFERROR(__xludf.DUMMYFUNCTION("VALUE(SUBSTITUTE((INDEX(SPLIT(A4383,"",""),1)),""."","","",1))"),54.739389)</f>
        <v>54.739389</v>
      </c>
      <c r="Q4383" s="13">
        <f>IFERROR(__xludf.DUMMYFUNCTION("VALUE(SUBSTITUTE((INDEX(SPLIT(A4383,"",""),2)),""."","","",1))"),83.044137)</f>
        <v>83.044137</v>
      </c>
      <c r="R4383" s="14" t="b">
        <f t="shared" si="1"/>
        <v>0</v>
      </c>
      <c r="S4383" s="14" t="str">
        <f t="shared" si="2"/>
        <v>54.739389,83.044137</v>
      </c>
      <c r="T4383" s="12"/>
    </row>
    <row r="4384">
      <c r="A4384" s="15" t="s">
        <v>28230</v>
      </c>
      <c r="B4384" s="16" t="s">
        <v>28231</v>
      </c>
      <c r="C4384" s="16" t="s">
        <v>28232</v>
      </c>
      <c r="D4384" s="16" t="s">
        <v>16</v>
      </c>
      <c r="E4384" s="17" t="s">
        <v>28233</v>
      </c>
      <c r="F4384" s="16" t="s">
        <v>6724</v>
      </c>
      <c r="G4384" s="16">
        <v>23.61</v>
      </c>
      <c r="H4384" s="16"/>
      <c r="I4384" s="16"/>
      <c r="J4384" s="16" t="s">
        <v>28234</v>
      </c>
      <c r="K4384" s="16" t="s">
        <v>14667</v>
      </c>
      <c r="L4384" s="16"/>
      <c r="M4384" s="16"/>
      <c r="N4384" s="12"/>
      <c r="O4384" s="12"/>
      <c r="P4384" s="13">
        <f>IFERROR(__xludf.DUMMYFUNCTION("VALUE(SUBSTITUTE((INDEX(SPLIT(A4384,"",""),1)),""."","","",1))"),55.089429)</f>
        <v>55.089429</v>
      </c>
      <c r="Q4384" s="13">
        <f>IFERROR(__xludf.DUMMYFUNCTION("VALUE(SUBSTITUTE((INDEX(SPLIT(A4384,"",""),2)),""."","","",1))"),83.045879)</f>
        <v>83.045879</v>
      </c>
      <c r="R4384" s="14" t="b">
        <f t="shared" si="1"/>
        <v>0</v>
      </c>
      <c r="S4384" s="14" t="str">
        <f t="shared" si="2"/>
        <v>55.089429,83.045879</v>
      </c>
      <c r="T4384" s="12"/>
    </row>
    <row r="4385">
      <c r="A4385" s="7" t="s">
        <v>28235</v>
      </c>
      <c r="B4385" s="8" t="s">
        <v>28236</v>
      </c>
      <c r="C4385" s="8" t="s">
        <v>28237</v>
      </c>
      <c r="D4385" s="8" t="s">
        <v>16</v>
      </c>
      <c r="E4385" s="9" t="s">
        <v>28238</v>
      </c>
      <c r="F4385" s="10" t="s">
        <v>19378</v>
      </c>
      <c r="G4385" s="8">
        <v>23.61</v>
      </c>
      <c r="H4385" s="8"/>
      <c r="I4385" s="10"/>
      <c r="J4385" s="10" t="s">
        <v>28239</v>
      </c>
      <c r="K4385" s="10" t="s">
        <v>28240</v>
      </c>
      <c r="L4385" s="29" t="s">
        <v>28241</v>
      </c>
      <c r="M4385" s="10"/>
      <c r="N4385" s="12"/>
      <c r="O4385" s="12"/>
      <c r="P4385" s="13">
        <f>IFERROR(__xludf.DUMMYFUNCTION("VALUE(SUBSTITUTE((INDEX(SPLIT(A4385,"",""),1)),""."","","",1))"),55.010746)</f>
        <v>55.010746</v>
      </c>
      <c r="Q4385" s="13">
        <f>IFERROR(__xludf.DUMMYFUNCTION("VALUE(SUBSTITUTE((INDEX(SPLIT(A4385,"",""),2)),""."","","",1))"),83.050488)</f>
        <v>83.050488</v>
      </c>
      <c r="R4385" s="14" t="b">
        <f t="shared" si="1"/>
        <v>0</v>
      </c>
      <c r="S4385" s="14" t="str">
        <f t="shared" si="2"/>
        <v>55.010746,83.050488</v>
      </c>
      <c r="T4385" s="12"/>
    </row>
    <row r="4386">
      <c r="A4386" s="15" t="s">
        <v>28242</v>
      </c>
      <c r="B4386" s="16" t="s">
        <v>28243</v>
      </c>
      <c r="C4386" s="16" t="s">
        <v>28244</v>
      </c>
      <c r="D4386" s="16" t="s">
        <v>16</v>
      </c>
      <c r="E4386" s="17" t="s">
        <v>28245</v>
      </c>
      <c r="F4386" s="16" t="s">
        <v>28210</v>
      </c>
      <c r="G4386" s="16">
        <v>23.61</v>
      </c>
      <c r="H4386" s="16"/>
      <c r="I4386" s="16"/>
      <c r="J4386" s="16" t="s">
        <v>28246</v>
      </c>
      <c r="K4386" s="16" t="s">
        <v>28247</v>
      </c>
      <c r="L4386" s="16"/>
      <c r="M4386" s="16"/>
      <c r="N4386" s="12"/>
      <c r="O4386" s="12"/>
      <c r="P4386" s="13">
        <f>IFERROR(__xludf.DUMMYFUNCTION("VALUE(SUBSTITUTE((INDEX(SPLIT(A4386,"",""),1)),""."","","",1))"),54.970628)</f>
        <v>54.970628</v>
      </c>
      <c r="Q4386" s="13">
        <f>IFERROR(__xludf.DUMMYFUNCTION("VALUE(SUBSTITUTE((INDEX(SPLIT(A4386,"",""),2)),""."","","",1))"),83.052114)</f>
        <v>83.052114</v>
      </c>
      <c r="R4386" s="14" t="b">
        <f t="shared" si="1"/>
        <v>0</v>
      </c>
      <c r="S4386" s="14" t="str">
        <f t="shared" si="2"/>
        <v>54.970628,83.052114</v>
      </c>
      <c r="T4386" s="12"/>
    </row>
    <row r="4387">
      <c r="A4387" s="18" t="s">
        <v>28242</v>
      </c>
      <c r="B4387" s="8" t="s">
        <v>28248</v>
      </c>
      <c r="C4387" s="8" t="s">
        <v>28249</v>
      </c>
      <c r="D4387" s="8" t="s">
        <v>16</v>
      </c>
      <c r="E4387" s="19" t="s">
        <v>28250</v>
      </c>
      <c r="F4387" s="8" t="s">
        <v>18995</v>
      </c>
      <c r="G4387" s="8">
        <v>23.61</v>
      </c>
      <c r="H4387" s="8"/>
      <c r="I4387" s="8"/>
      <c r="J4387" s="8" t="s">
        <v>28251</v>
      </c>
      <c r="K4387" s="8" t="s">
        <v>28252</v>
      </c>
      <c r="L4387" s="8"/>
      <c r="M4387" s="24" t="s">
        <v>28253</v>
      </c>
      <c r="N4387" s="12"/>
      <c r="O4387" s="12"/>
      <c r="P4387" s="13">
        <f>IFERROR(__xludf.DUMMYFUNCTION("VALUE(SUBSTITUTE((INDEX(SPLIT(A4387,"",""),1)),""."","","",1))"),54.970628)</f>
        <v>54.970628</v>
      </c>
      <c r="Q4387" s="13">
        <f>IFERROR(__xludf.DUMMYFUNCTION("VALUE(SUBSTITUTE((INDEX(SPLIT(A4387,"",""),2)),""."","","",1))"),83.052114)</f>
        <v>83.052114</v>
      </c>
      <c r="R4387" s="14" t="b">
        <f t="shared" si="1"/>
        <v>0</v>
      </c>
      <c r="S4387" s="14" t="str">
        <f t="shared" si="2"/>
        <v>54.970628,83.052114</v>
      </c>
      <c r="T4387" s="12"/>
    </row>
    <row r="4388">
      <c r="A4388" s="15" t="s">
        <v>28254</v>
      </c>
      <c r="B4388" s="16" t="s">
        <v>28255</v>
      </c>
      <c r="C4388" s="16" t="s">
        <v>28256</v>
      </c>
      <c r="D4388" s="16" t="s">
        <v>16</v>
      </c>
      <c r="E4388" s="17" t="s">
        <v>28257</v>
      </c>
      <c r="F4388" s="16" t="s">
        <v>28210</v>
      </c>
      <c r="G4388" s="16">
        <v>23.61</v>
      </c>
      <c r="H4388" s="16"/>
      <c r="I4388" s="32" t="s">
        <v>28258</v>
      </c>
      <c r="J4388" s="16" t="s">
        <v>28259</v>
      </c>
      <c r="K4388" s="16" t="s">
        <v>28260</v>
      </c>
      <c r="L4388" s="16"/>
      <c r="M4388" s="16"/>
      <c r="N4388" s="12"/>
      <c r="O4388" s="12"/>
      <c r="P4388" s="13">
        <f>IFERROR(__xludf.DUMMYFUNCTION("VALUE(SUBSTITUTE((INDEX(SPLIT(A4388,"",""),1)),""."","","",1))"),54.99383)</f>
        <v>54.99383</v>
      </c>
      <c r="Q4388" s="13">
        <f>IFERROR(__xludf.DUMMYFUNCTION("VALUE(SUBSTITUTE((INDEX(SPLIT(A4388,"",""),2)),""."","","",1))"),83.052536)</f>
        <v>83.052536</v>
      </c>
      <c r="R4388" s="14" t="b">
        <f t="shared" si="1"/>
        <v>0</v>
      </c>
      <c r="S4388" s="14" t="str">
        <f t="shared" si="2"/>
        <v>54.99383,83.052536</v>
      </c>
      <c r="T4388" s="12"/>
    </row>
    <row r="4389">
      <c r="A4389" s="7" t="s">
        <v>28261</v>
      </c>
      <c r="B4389" s="8" t="s">
        <v>28262</v>
      </c>
      <c r="C4389" s="8" t="s">
        <v>28263</v>
      </c>
      <c r="D4389" s="8" t="s">
        <v>16</v>
      </c>
      <c r="E4389" s="9" t="s">
        <v>28264</v>
      </c>
      <c r="F4389" s="10" t="s">
        <v>18995</v>
      </c>
      <c r="G4389" s="8">
        <v>23.61</v>
      </c>
      <c r="H4389" s="8"/>
      <c r="I4389" s="10"/>
      <c r="J4389" s="10" t="s">
        <v>28265</v>
      </c>
      <c r="K4389" s="10" t="s">
        <v>28266</v>
      </c>
      <c r="L4389" s="11" t="s">
        <v>28267</v>
      </c>
      <c r="M4389" s="10"/>
      <c r="N4389" s="12"/>
      <c r="O4389" s="12"/>
      <c r="P4389" s="13">
        <f>IFERROR(__xludf.DUMMYFUNCTION("VALUE(SUBSTITUTE((INDEX(SPLIT(A4389,"",""),1)),""."","","",1))"),54.970923)</f>
        <v>54.970923</v>
      </c>
      <c r="Q4389" s="13">
        <f>IFERROR(__xludf.DUMMYFUNCTION("VALUE(SUBSTITUTE((INDEX(SPLIT(A4389,"",""),2)),""."","","",1))"),83.056093)</f>
        <v>83.056093</v>
      </c>
      <c r="R4389" s="14" t="b">
        <f t="shared" si="1"/>
        <v>0</v>
      </c>
      <c r="S4389" s="14" t="str">
        <f t="shared" si="2"/>
        <v>54.970923,83.056093</v>
      </c>
      <c r="T4389" s="12"/>
    </row>
    <row r="4390">
      <c r="A4390" s="20" t="s">
        <v>28268</v>
      </c>
      <c r="B4390" s="16" t="s">
        <v>28269</v>
      </c>
      <c r="C4390" s="16" t="s">
        <v>28270</v>
      </c>
      <c r="D4390" s="16" t="s">
        <v>16</v>
      </c>
      <c r="E4390" s="21" t="s">
        <v>28271</v>
      </c>
      <c r="F4390" s="22" t="s">
        <v>19378</v>
      </c>
      <c r="G4390" s="16">
        <v>23.61</v>
      </c>
      <c r="H4390" s="16"/>
      <c r="I4390" s="22"/>
      <c r="J4390" s="22" t="s">
        <v>28272</v>
      </c>
      <c r="K4390" s="22" t="s">
        <v>28273</v>
      </c>
      <c r="L4390" s="23" t="s">
        <v>28274</v>
      </c>
      <c r="M4390" s="22"/>
      <c r="N4390" s="12"/>
      <c r="O4390" s="12"/>
      <c r="P4390" s="13">
        <f>IFERROR(__xludf.DUMMYFUNCTION("VALUE(SUBSTITUTE((INDEX(SPLIT(A4390,"",""),1)),""."","","",1))"),54.999557)</f>
        <v>54.999557</v>
      </c>
      <c r="Q4390" s="13">
        <f>IFERROR(__xludf.DUMMYFUNCTION("VALUE(SUBSTITUTE((INDEX(SPLIT(A4390,"",""),2)),""."","","",1))"),83.05736)</f>
        <v>83.05736</v>
      </c>
      <c r="R4390" s="14" t="b">
        <f t="shared" si="1"/>
        <v>0</v>
      </c>
      <c r="S4390" s="14" t="str">
        <f t="shared" si="2"/>
        <v>54.999557,83.05736</v>
      </c>
      <c r="T4390" s="12"/>
    </row>
    <row r="4391">
      <c r="A4391" s="7" t="s">
        <v>28275</v>
      </c>
      <c r="B4391" s="8" t="s">
        <v>28276</v>
      </c>
      <c r="C4391" s="8" t="s">
        <v>28277</v>
      </c>
      <c r="D4391" s="8" t="s">
        <v>16</v>
      </c>
      <c r="E4391" s="9" t="s">
        <v>28278</v>
      </c>
      <c r="F4391" s="10" t="s">
        <v>19378</v>
      </c>
      <c r="G4391" s="8">
        <v>23.61</v>
      </c>
      <c r="H4391" s="8"/>
      <c r="I4391" s="10"/>
      <c r="J4391" s="10" t="s">
        <v>28279</v>
      </c>
      <c r="K4391" s="10" t="s">
        <v>28280</v>
      </c>
      <c r="L4391" s="11" t="s">
        <v>28281</v>
      </c>
      <c r="M4391" s="11" t="s">
        <v>28282</v>
      </c>
      <c r="N4391" s="12"/>
      <c r="O4391" s="12"/>
      <c r="P4391" s="13">
        <f>IFERROR(__xludf.DUMMYFUNCTION("VALUE(SUBSTITUTE((INDEX(SPLIT(A4391,"",""),1)),""."","","",1))"),55.008475)</f>
        <v>55.008475</v>
      </c>
      <c r="Q4391" s="13">
        <f>IFERROR(__xludf.DUMMYFUNCTION("VALUE(SUBSTITUTE((INDEX(SPLIT(A4391,"",""),2)),""."","","",1))"),83.057477)</f>
        <v>83.057477</v>
      </c>
      <c r="R4391" s="14" t="b">
        <f t="shared" si="1"/>
        <v>0</v>
      </c>
      <c r="S4391" s="14" t="str">
        <f t="shared" si="2"/>
        <v>55.008475,83.057477</v>
      </c>
      <c r="T4391" s="12"/>
    </row>
    <row r="4392">
      <c r="A4392" s="15" t="s">
        <v>28283</v>
      </c>
      <c r="B4392" s="16" t="s">
        <v>28284</v>
      </c>
      <c r="C4392" s="16" t="s">
        <v>7366</v>
      </c>
      <c r="D4392" s="16" t="s">
        <v>16</v>
      </c>
      <c r="E4392" s="17" t="s">
        <v>28285</v>
      </c>
      <c r="F4392" s="16" t="s">
        <v>18995</v>
      </c>
      <c r="G4392" s="16">
        <v>23.61</v>
      </c>
      <c r="H4392" s="16"/>
      <c r="I4392" s="16"/>
      <c r="J4392" s="16" t="s">
        <v>28286</v>
      </c>
      <c r="K4392" s="16" t="s">
        <v>28287</v>
      </c>
      <c r="L4392" s="16"/>
      <c r="M4392" s="25" t="s">
        <v>28288</v>
      </c>
      <c r="N4392" s="12"/>
      <c r="O4392" s="12"/>
      <c r="P4392" s="13">
        <f>IFERROR(__xludf.DUMMYFUNCTION("VALUE(SUBSTITUTE((INDEX(SPLIT(A4392,"",""),1)),""."","","",1))"),54.970287)</f>
        <v>54.970287</v>
      </c>
      <c r="Q4392" s="13">
        <f>IFERROR(__xludf.DUMMYFUNCTION("VALUE(SUBSTITUTE((INDEX(SPLIT(A4392,"",""),2)),""."","","",1))"),83.058105)</f>
        <v>83.058105</v>
      </c>
      <c r="R4392" s="14" t="b">
        <f t="shared" si="1"/>
        <v>0</v>
      </c>
      <c r="S4392" s="14" t="str">
        <f t="shared" si="2"/>
        <v>54.970287,83.058105</v>
      </c>
      <c r="T4392" s="12"/>
    </row>
    <row r="4393">
      <c r="A4393" s="18" t="s">
        <v>28289</v>
      </c>
      <c r="B4393" s="8" t="s">
        <v>10121</v>
      </c>
      <c r="C4393" s="8" t="s">
        <v>10122</v>
      </c>
      <c r="D4393" s="8" t="s">
        <v>16</v>
      </c>
      <c r="E4393" s="19" t="s">
        <v>28290</v>
      </c>
      <c r="F4393" s="8" t="s">
        <v>19378</v>
      </c>
      <c r="G4393" s="8">
        <v>23.61</v>
      </c>
      <c r="H4393" s="8"/>
      <c r="I4393" s="8"/>
      <c r="J4393" s="8" t="s">
        <v>28291</v>
      </c>
      <c r="K4393" s="8" t="s">
        <v>28292</v>
      </c>
      <c r="L4393" s="8"/>
      <c r="M4393" s="8"/>
      <c r="N4393" s="12"/>
      <c r="O4393" s="12"/>
      <c r="P4393" s="13">
        <f>IFERROR(__xludf.DUMMYFUNCTION("VALUE(SUBSTITUTE((INDEX(SPLIT(A4393,"",""),1)),""."","","",1))"),55.007922)</f>
        <v>55.007922</v>
      </c>
      <c r="Q4393" s="13">
        <f>IFERROR(__xludf.DUMMYFUNCTION("VALUE(SUBSTITUTE((INDEX(SPLIT(A4393,"",""),2)),""."","","",1))"),83.058887)</f>
        <v>83.058887</v>
      </c>
      <c r="R4393" s="14" t="b">
        <f t="shared" si="1"/>
        <v>0</v>
      </c>
      <c r="S4393" s="14" t="str">
        <f t="shared" si="2"/>
        <v>55.007922,83.058887</v>
      </c>
      <c r="T4393" s="12"/>
    </row>
    <row r="4394">
      <c r="A4394" s="15" t="s">
        <v>28293</v>
      </c>
      <c r="B4394" s="16" t="s">
        <v>28294</v>
      </c>
      <c r="C4394" s="16" t="s">
        <v>28295</v>
      </c>
      <c r="D4394" s="16" t="s">
        <v>16</v>
      </c>
      <c r="E4394" s="17" t="s">
        <v>28296</v>
      </c>
      <c r="F4394" s="16" t="s">
        <v>19378</v>
      </c>
      <c r="G4394" s="16">
        <v>23.61</v>
      </c>
      <c r="H4394" s="16"/>
      <c r="I4394" s="16"/>
      <c r="J4394" s="16" t="s">
        <v>28297</v>
      </c>
      <c r="K4394" s="16" t="s">
        <v>28298</v>
      </c>
      <c r="L4394" s="16"/>
      <c r="M4394" s="25" t="s">
        <v>28299</v>
      </c>
      <c r="N4394" s="12"/>
      <c r="O4394" s="12"/>
      <c r="P4394" s="13">
        <f>IFERROR(__xludf.DUMMYFUNCTION("VALUE(SUBSTITUTE((INDEX(SPLIT(A4394,"",""),1)),""."","","",1))"),54.954838)</f>
        <v>54.954838</v>
      </c>
      <c r="Q4394" s="13">
        <f>IFERROR(__xludf.DUMMYFUNCTION("VALUE(SUBSTITUTE((INDEX(SPLIT(A4394,"",""),2)),""."","","",1))"),83.060019)</f>
        <v>83.060019</v>
      </c>
      <c r="R4394" s="14" t="b">
        <f t="shared" si="1"/>
        <v>0</v>
      </c>
      <c r="S4394" s="14" t="str">
        <f t="shared" si="2"/>
        <v>54.954838,83.060019</v>
      </c>
      <c r="T4394" s="12"/>
    </row>
    <row r="4395">
      <c r="A4395" s="7" t="s">
        <v>28300</v>
      </c>
      <c r="B4395" s="8" t="s">
        <v>28301</v>
      </c>
      <c r="C4395" s="8" t="s">
        <v>28302</v>
      </c>
      <c r="D4395" s="8" t="s">
        <v>16</v>
      </c>
      <c r="E4395" s="9" t="s">
        <v>28303</v>
      </c>
      <c r="F4395" s="10" t="s">
        <v>12763</v>
      </c>
      <c r="G4395" s="8">
        <v>23.61</v>
      </c>
      <c r="H4395" s="8"/>
      <c r="I4395" s="10"/>
      <c r="J4395" s="10" t="s">
        <v>28304</v>
      </c>
      <c r="K4395" s="10" t="s">
        <v>28305</v>
      </c>
      <c r="L4395" s="11" t="s">
        <v>28306</v>
      </c>
      <c r="M4395" s="10"/>
      <c r="N4395" s="12"/>
      <c r="O4395" s="12"/>
      <c r="P4395" s="13">
        <f>IFERROR(__xludf.DUMMYFUNCTION("VALUE(SUBSTITUTE((INDEX(SPLIT(A4395,"",""),1)),""."","","",1))"),54.938669)</f>
        <v>54.938669</v>
      </c>
      <c r="Q4395" s="13">
        <f>IFERROR(__xludf.DUMMYFUNCTION("VALUE(SUBSTITUTE((INDEX(SPLIT(A4395,"",""),2)),""."","","",1))"),83.068643)</f>
        <v>83.068643</v>
      </c>
      <c r="R4395" s="14" t="b">
        <f t="shared" si="1"/>
        <v>0</v>
      </c>
      <c r="S4395" s="14" t="str">
        <f t="shared" si="2"/>
        <v>54.938669,83.068643</v>
      </c>
      <c r="T4395" s="12"/>
    </row>
    <row r="4396">
      <c r="A4396" s="20" t="s">
        <v>28307</v>
      </c>
      <c r="B4396" s="16" t="s">
        <v>8367</v>
      </c>
      <c r="C4396" s="16" t="s">
        <v>8368</v>
      </c>
      <c r="D4396" s="16" t="s">
        <v>16</v>
      </c>
      <c r="E4396" s="21" t="s">
        <v>28308</v>
      </c>
      <c r="F4396" s="22" t="s">
        <v>19961</v>
      </c>
      <c r="G4396" s="16">
        <v>23.61</v>
      </c>
      <c r="H4396" s="16"/>
      <c r="I4396" s="22"/>
      <c r="J4396" s="22" t="s">
        <v>28309</v>
      </c>
      <c r="K4396" s="22" t="s">
        <v>20980</v>
      </c>
      <c r="L4396" s="23" t="s">
        <v>28310</v>
      </c>
      <c r="M4396" s="22"/>
      <c r="N4396" s="12"/>
      <c r="O4396" s="12"/>
      <c r="P4396" s="13">
        <f>IFERROR(__xludf.DUMMYFUNCTION("VALUE(SUBSTITUTE((INDEX(SPLIT(A4396,"",""),1)),""."","","",1))"),54.769638)</f>
        <v>54.769638</v>
      </c>
      <c r="Q4396" s="13">
        <f>IFERROR(__xludf.DUMMYFUNCTION("VALUE(SUBSTITUTE((INDEX(SPLIT(A4396,"",""),2)),""."","","",1))"),83.075236)</f>
        <v>83.075236</v>
      </c>
      <c r="R4396" s="14" t="b">
        <f t="shared" si="1"/>
        <v>0</v>
      </c>
      <c r="S4396" s="14" t="str">
        <f t="shared" si="2"/>
        <v>54.769638,83.075236</v>
      </c>
      <c r="T4396" s="12"/>
    </row>
    <row r="4397">
      <c r="A4397" s="7" t="s">
        <v>28311</v>
      </c>
      <c r="B4397" s="8" t="s">
        <v>28312</v>
      </c>
      <c r="C4397" s="8" t="s">
        <v>28313</v>
      </c>
      <c r="D4397" s="8" t="s">
        <v>16</v>
      </c>
      <c r="E4397" s="9" t="s">
        <v>28314</v>
      </c>
      <c r="F4397" s="10" t="s">
        <v>19961</v>
      </c>
      <c r="G4397" s="8">
        <v>23.61</v>
      </c>
      <c r="H4397" s="8"/>
      <c r="I4397" s="10"/>
      <c r="J4397" s="10" t="s">
        <v>28309</v>
      </c>
      <c r="K4397" s="10" t="s">
        <v>28315</v>
      </c>
      <c r="L4397" s="11" t="s">
        <v>28316</v>
      </c>
      <c r="M4397" s="10"/>
      <c r="N4397" s="12"/>
      <c r="O4397" s="12"/>
      <c r="P4397" s="13">
        <f>IFERROR(__xludf.DUMMYFUNCTION("VALUE(SUBSTITUTE((INDEX(SPLIT(A4397,"",""),1)),""."","","",1))"),54.991036)</f>
        <v>54.991036</v>
      </c>
      <c r="Q4397" s="13">
        <f>IFERROR(__xludf.DUMMYFUNCTION("VALUE(SUBSTITUTE((INDEX(SPLIT(A4397,"",""),2)),""."","","",1))"),83.083869)</f>
        <v>83.083869</v>
      </c>
      <c r="R4397" s="14" t="b">
        <f t="shared" si="1"/>
        <v>0</v>
      </c>
      <c r="S4397" s="14" t="str">
        <f t="shared" si="2"/>
        <v>54.991036,83.083869</v>
      </c>
      <c r="T4397" s="12"/>
    </row>
    <row r="4398">
      <c r="A4398" s="15" t="s">
        <v>28317</v>
      </c>
      <c r="B4398" s="16" t="s">
        <v>28318</v>
      </c>
      <c r="C4398" s="16" t="s">
        <v>28319</v>
      </c>
      <c r="D4398" s="16" t="s">
        <v>16</v>
      </c>
      <c r="E4398" s="17" t="s">
        <v>28320</v>
      </c>
      <c r="F4398" s="16" t="s">
        <v>19378</v>
      </c>
      <c r="G4398" s="16">
        <v>23.61</v>
      </c>
      <c r="H4398" s="16"/>
      <c r="I4398" s="16"/>
      <c r="J4398" s="16" t="s">
        <v>28321</v>
      </c>
      <c r="K4398" s="16" t="s">
        <v>28322</v>
      </c>
      <c r="L4398" s="16"/>
      <c r="M4398" s="25" t="s">
        <v>28323</v>
      </c>
      <c r="N4398" s="12"/>
      <c r="O4398" s="12"/>
      <c r="P4398" s="13">
        <f>IFERROR(__xludf.DUMMYFUNCTION("VALUE(SUBSTITUTE((INDEX(SPLIT(A4398,"",""),1)),""."","","",1))"),54.761914)</f>
        <v>54.761914</v>
      </c>
      <c r="Q4398" s="13">
        <f>IFERROR(__xludf.DUMMYFUNCTION("VALUE(SUBSTITUTE((INDEX(SPLIT(A4398,"",""),2)),""."","","",1))"),83.100569)</f>
        <v>83.100569</v>
      </c>
      <c r="R4398" s="14" t="b">
        <f t="shared" si="1"/>
        <v>0</v>
      </c>
      <c r="S4398" s="14" t="str">
        <f t="shared" si="2"/>
        <v>54.761914,83.100569</v>
      </c>
      <c r="T4398" s="12"/>
    </row>
    <row r="4399">
      <c r="A4399" s="7" t="s">
        <v>28324</v>
      </c>
      <c r="B4399" s="8" t="s">
        <v>28325</v>
      </c>
      <c r="C4399" s="8" t="s">
        <v>28326</v>
      </c>
      <c r="D4399" s="8" t="s">
        <v>16</v>
      </c>
      <c r="E4399" s="9" t="s">
        <v>28327</v>
      </c>
      <c r="F4399" s="10" t="s">
        <v>22263</v>
      </c>
      <c r="G4399" s="8">
        <v>23.61</v>
      </c>
      <c r="H4399" s="8"/>
      <c r="I4399" s="10"/>
      <c r="J4399" s="10" t="s">
        <v>28328</v>
      </c>
      <c r="K4399" s="10" t="s">
        <v>28329</v>
      </c>
      <c r="L4399" s="29" t="s">
        <v>28330</v>
      </c>
      <c r="M4399" s="10"/>
      <c r="N4399" s="12"/>
      <c r="O4399" s="12"/>
      <c r="P4399" s="13">
        <f>IFERROR(__xludf.DUMMYFUNCTION("VALUE(SUBSTITUTE((INDEX(SPLIT(A4399,"",""),1)),""."","","",1))"),54.751606)</f>
        <v>54.751606</v>
      </c>
      <c r="Q4399" s="13">
        <f>IFERROR(__xludf.DUMMYFUNCTION("VALUE(SUBSTITUTE((INDEX(SPLIT(A4399,"",""),2)),""."","","",1))"),83.128973)</f>
        <v>83.128973</v>
      </c>
      <c r="R4399" s="14" t="b">
        <f t="shared" si="1"/>
        <v>0</v>
      </c>
      <c r="S4399" s="14" t="str">
        <f t="shared" si="2"/>
        <v>54.751606,83.128973</v>
      </c>
      <c r="T4399" s="12"/>
    </row>
    <row r="4400">
      <c r="A4400" s="15" t="s">
        <v>28331</v>
      </c>
      <c r="B4400" s="16" t="s">
        <v>28332</v>
      </c>
      <c r="C4400" s="16" t="s">
        <v>28333</v>
      </c>
      <c r="D4400" s="16" t="s">
        <v>16</v>
      </c>
      <c r="E4400" s="17" t="s">
        <v>28334</v>
      </c>
      <c r="F4400" s="16" t="s">
        <v>5788</v>
      </c>
      <c r="G4400" s="16">
        <v>23.61</v>
      </c>
      <c r="H4400" s="16"/>
      <c r="I4400" s="16"/>
      <c r="J4400" s="16" t="s">
        <v>28335</v>
      </c>
      <c r="K4400" s="16" t="s">
        <v>28336</v>
      </c>
      <c r="L4400" s="16"/>
      <c r="M4400" s="25" t="s">
        <v>28337</v>
      </c>
      <c r="N4400" s="12"/>
      <c r="O4400" s="12"/>
      <c r="P4400" s="13">
        <f>IFERROR(__xludf.DUMMYFUNCTION("VALUE(SUBSTITUTE((INDEX(SPLIT(A4400,"",""),1)),""."","","",1))"),55.186109)</f>
        <v>55.186109</v>
      </c>
      <c r="Q4400" s="13">
        <f>IFERROR(__xludf.DUMMYFUNCTION("VALUE(SUBSTITUTE((INDEX(SPLIT(A4400,"",""),2)),""."","","",1))"),83.13545)</f>
        <v>83.13545</v>
      </c>
      <c r="R4400" s="14" t="b">
        <f t="shared" si="1"/>
        <v>0</v>
      </c>
      <c r="S4400" s="14" t="str">
        <f t="shared" si="2"/>
        <v>55.186109,83.13545</v>
      </c>
      <c r="T4400" s="12"/>
    </row>
    <row r="4401">
      <c r="A4401" s="7" t="s">
        <v>28338</v>
      </c>
      <c r="B4401" s="8" t="s">
        <v>28339</v>
      </c>
      <c r="C4401" s="8" t="s">
        <v>28340</v>
      </c>
      <c r="D4401" s="8" t="s">
        <v>16</v>
      </c>
      <c r="E4401" s="9" t="s">
        <v>28341</v>
      </c>
      <c r="F4401" s="10" t="s">
        <v>22263</v>
      </c>
      <c r="G4401" s="8">
        <v>23.61</v>
      </c>
      <c r="H4401" s="8"/>
      <c r="I4401" s="10"/>
      <c r="J4401" s="10" t="s">
        <v>28342</v>
      </c>
      <c r="K4401" s="10" t="s">
        <v>28343</v>
      </c>
      <c r="L4401" s="11" t="s">
        <v>28344</v>
      </c>
      <c r="M4401" s="10"/>
      <c r="N4401" s="12"/>
      <c r="O4401" s="12"/>
      <c r="P4401" s="13">
        <f>IFERROR(__xludf.DUMMYFUNCTION("VALUE(SUBSTITUTE((INDEX(SPLIT(A4401,"",""),1)),""."","","",1))"),54.748333)</f>
        <v>54.748333</v>
      </c>
      <c r="Q4401" s="13">
        <f>IFERROR(__xludf.DUMMYFUNCTION("VALUE(SUBSTITUTE((INDEX(SPLIT(A4401,"",""),2)),""."","","",1))"),83.138406)</f>
        <v>83.138406</v>
      </c>
      <c r="R4401" s="14" t="b">
        <f t="shared" si="1"/>
        <v>0</v>
      </c>
      <c r="S4401" s="14" t="str">
        <f t="shared" si="2"/>
        <v>54.748333,83.138406</v>
      </c>
      <c r="T4401" s="12"/>
    </row>
    <row r="4402">
      <c r="A4402" s="15" t="s">
        <v>28345</v>
      </c>
      <c r="B4402" s="16" t="s">
        <v>16887</v>
      </c>
      <c r="C4402" s="16" t="s">
        <v>16888</v>
      </c>
      <c r="D4402" s="16" t="s">
        <v>16</v>
      </c>
      <c r="E4402" s="17" t="s">
        <v>28346</v>
      </c>
      <c r="F4402" s="16" t="s">
        <v>19378</v>
      </c>
      <c r="G4402" s="16">
        <v>23.61</v>
      </c>
      <c r="H4402" s="16"/>
      <c r="I4402" s="16"/>
      <c r="J4402" s="16" t="s">
        <v>28347</v>
      </c>
      <c r="K4402" s="16" t="s">
        <v>28348</v>
      </c>
      <c r="L4402" s="16"/>
      <c r="M4402" s="25" t="s">
        <v>28349</v>
      </c>
      <c r="N4402" s="12"/>
      <c r="O4402" s="12"/>
      <c r="P4402" s="13">
        <f>IFERROR(__xludf.DUMMYFUNCTION("VALUE(SUBSTITUTE((INDEX(SPLIT(A4402,"",""),1)),""."","","",1))"),54.745713)</f>
        <v>54.745713</v>
      </c>
      <c r="Q4402" s="13">
        <f>IFERROR(__xludf.DUMMYFUNCTION("VALUE(SUBSTITUTE((INDEX(SPLIT(A4402,"",""),2)),""."","","",1))"),83.144101)</f>
        <v>83.144101</v>
      </c>
      <c r="R4402" s="14" t="b">
        <f t="shared" si="1"/>
        <v>0</v>
      </c>
      <c r="S4402" s="14" t="str">
        <f t="shared" si="2"/>
        <v>54.745713,83.144101</v>
      </c>
      <c r="T4402" s="12"/>
    </row>
    <row r="4403">
      <c r="A4403" s="7" t="s">
        <v>28350</v>
      </c>
      <c r="B4403" s="8" t="s">
        <v>28351</v>
      </c>
      <c r="C4403" s="8" t="s">
        <v>28352</v>
      </c>
      <c r="D4403" s="8" t="s">
        <v>16</v>
      </c>
      <c r="E4403" s="9" t="s">
        <v>28353</v>
      </c>
      <c r="F4403" s="10" t="s">
        <v>22263</v>
      </c>
      <c r="G4403" s="8">
        <v>23.61</v>
      </c>
      <c r="H4403" s="8"/>
      <c r="I4403" s="10"/>
      <c r="J4403" s="10" t="s">
        <v>28354</v>
      </c>
      <c r="K4403" s="10" t="s">
        <v>28355</v>
      </c>
      <c r="L4403" s="11" t="s">
        <v>28356</v>
      </c>
      <c r="M4403" s="11" t="s">
        <v>28357</v>
      </c>
      <c r="N4403" s="12"/>
      <c r="O4403" s="12"/>
      <c r="P4403" s="13">
        <f>IFERROR(__xludf.DUMMYFUNCTION("VALUE(SUBSTITUTE((INDEX(SPLIT(A4403,"",""),1)),""."","","",1))"),54.752593)</f>
        <v>54.752593</v>
      </c>
      <c r="Q4403" s="13">
        <f>IFERROR(__xludf.DUMMYFUNCTION("VALUE(SUBSTITUTE((INDEX(SPLIT(A4403,"",""),2)),""."","","",1))"),83.156731)</f>
        <v>83.156731</v>
      </c>
      <c r="R4403" s="14" t="b">
        <f t="shared" si="1"/>
        <v>0</v>
      </c>
      <c r="S4403" s="14" t="str">
        <f t="shared" si="2"/>
        <v>54.752593,83.156731</v>
      </c>
      <c r="T4403" s="12"/>
    </row>
    <row r="4404">
      <c r="A4404" s="20" t="s">
        <v>28350</v>
      </c>
      <c r="B4404" s="16" t="s">
        <v>28358</v>
      </c>
      <c r="C4404" s="16" t="s">
        <v>28359</v>
      </c>
      <c r="D4404" s="16" t="s">
        <v>16</v>
      </c>
      <c r="E4404" s="21" t="s">
        <v>28360</v>
      </c>
      <c r="F4404" s="22" t="s">
        <v>22263</v>
      </c>
      <c r="G4404" s="16">
        <v>23.61</v>
      </c>
      <c r="H4404" s="16"/>
      <c r="I4404" s="22"/>
      <c r="J4404" s="22" t="s">
        <v>28361</v>
      </c>
      <c r="K4404" s="22" t="s">
        <v>28362</v>
      </c>
      <c r="L4404" s="23" t="s">
        <v>28363</v>
      </c>
      <c r="M4404" s="22"/>
      <c r="N4404" s="12"/>
      <c r="O4404" s="12"/>
      <c r="P4404" s="13">
        <f>IFERROR(__xludf.DUMMYFUNCTION("VALUE(SUBSTITUTE((INDEX(SPLIT(A4404,"",""),1)),""."","","",1))"),54.752593)</f>
        <v>54.752593</v>
      </c>
      <c r="Q4404" s="13">
        <f>IFERROR(__xludf.DUMMYFUNCTION("VALUE(SUBSTITUTE((INDEX(SPLIT(A4404,"",""),2)),""."","","",1))"),83.156731)</f>
        <v>83.156731</v>
      </c>
      <c r="R4404" s="14" t="b">
        <f t="shared" si="1"/>
        <v>0</v>
      </c>
      <c r="S4404" s="14" t="str">
        <f t="shared" si="2"/>
        <v>54.752593,83.156731</v>
      </c>
      <c r="T4404" s="12"/>
    </row>
    <row r="4405">
      <c r="A4405" s="7" t="s">
        <v>28364</v>
      </c>
      <c r="B4405" s="8" t="s">
        <v>28365</v>
      </c>
      <c r="C4405" s="8" t="s">
        <v>28366</v>
      </c>
      <c r="D4405" s="8" t="s">
        <v>16</v>
      </c>
      <c r="E4405" s="9" t="s">
        <v>28367</v>
      </c>
      <c r="F4405" s="10" t="s">
        <v>22263</v>
      </c>
      <c r="G4405" s="8">
        <v>23.61</v>
      </c>
      <c r="H4405" s="8"/>
      <c r="I4405" s="10"/>
      <c r="J4405" s="10" t="s">
        <v>28368</v>
      </c>
      <c r="K4405" s="10" t="s">
        <v>28369</v>
      </c>
      <c r="L4405" s="11" t="s">
        <v>28370</v>
      </c>
      <c r="M4405" s="11" t="s">
        <v>28371</v>
      </c>
      <c r="N4405" s="12"/>
      <c r="O4405" s="12"/>
      <c r="P4405" s="13">
        <f>IFERROR(__xludf.DUMMYFUNCTION("VALUE(SUBSTITUTE((INDEX(SPLIT(A4405,"",""),1)),""."","","",1))"),54.961636)</f>
        <v>54.961636</v>
      </c>
      <c r="Q4405" s="13">
        <f>IFERROR(__xludf.DUMMYFUNCTION("VALUE(SUBSTITUTE((INDEX(SPLIT(A4405,"",""),2)),""."","","",1))"),83.218778)</f>
        <v>83.218778</v>
      </c>
      <c r="R4405" s="14" t="b">
        <f t="shared" si="1"/>
        <v>0</v>
      </c>
      <c r="S4405" s="14" t="str">
        <f t="shared" si="2"/>
        <v>54.961636,83.218778</v>
      </c>
      <c r="T4405" s="12"/>
    </row>
    <row r="4406">
      <c r="A4406" s="20" t="s">
        <v>28372</v>
      </c>
      <c r="B4406" s="16" t="s">
        <v>28373</v>
      </c>
      <c r="C4406" s="16" t="s">
        <v>28374</v>
      </c>
      <c r="D4406" s="16" t="s">
        <v>16</v>
      </c>
      <c r="E4406" s="21" t="s">
        <v>28375</v>
      </c>
      <c r="F4406" s="22" t="s">
        <v>22263</v>
      </c>
      <c r="G4406" s="16">
        <v>23.61</v>
      </c>
      <c r="H4406" s="16"/>
      <c r="I4406" s="22"/>
      <c r="J4406" s="22" t="s">
        <v>28376</v>
      </c>
      <c r="K4406" s="22" t="s">
        <v>28377</v>
      </c>
      <c r="L4406" s="23" t="s">
        <v>28378</v>
      </c>
      <c r="M4406" s="22"/>
      <c r="N4406" s="12"/>
      <c r="O4406" s="12"/>
      <c r="P4406" s="13">
        <f>IFERROR(__xludf.DUMMYFUNCTION("VALUE(SUBSTITUTE((INDEX(SPLIT(A4406,"",""),1)),""."","","",1))"),55.063091)</f>
        <v>55.063091</v>
      </c>
      <c r="Q4406" s="13">
        <f>IFERROR(__xludf.DUMMYFUNCTION("VALUE(SUBSTITUTE((INDEX(SPLIT(A4406,"",""),2)),""."","","",1))"),83.224204)</f>
        <v>83.224204</v>
      </c>
      <c r="R4406" s="14" t="b">
        <f t="shared" si="1"/>
        <v>0</v>
      </c>
      <c r="S4406" s="14" t="str">
        <f t="shared" si="2"/>
        <v>55.063091,83.224204</v>
      </c>
      <c r="T4406" s="12"/>
    </row>
    <row r="4407">
      <c r="A4407" s="7" t="s">
        <v>28379</v>
      </c>
      <c r="B4407" s="8" t="s">
        <v>28380</v>
      </c>
      <c r="C4407" s="8" t="s">
        <v>28381</v>
      </c>
      <c r="D4407" s="8" t="s">
        <v>16</v>
      </c>
      <c r="E4407" s="9" t="s">
        <v>28382</v>
      </c>
      <c r="F4407" s="10" t="s">
        <v>22263</v>
      </c>
      <c r="G4407" s="8">
        <v>23.61</v>
      </c>
      <c r="H4407" s="8"/>
      <c r="I4407" s="31" t="s">
        <v>28383</v>
      </c>
      <c r="J4407" s="10" t="s">
        <v>28384</v>
      </c>
      <c r="K4407" s="10" t="s">
        <v>28385</v>
      </c>
      <c r="L4407" s="29" t="s">
        <v>28386</v>
      </c>
      <c r="M4407" s="10"/>
      <c r="N4407" s="12"/>
      <c r="O4407" s="12"/>
      <c r="P4407" s="13">
        <f>IFERROR(__xludf.DUMMYFUNCTION("VALUE(SUBSTITUTE((INDEX(SPLIT(A4407,"",""),1)),""."","","",1))"),54.661979)</f>
        <v>54.661979</v>
      </c>
      <c r="Q4407" s="13">
        <f>IFERROR(__xludf.DUMMYFUNCTION("VALUE(SUBSTITUTE((INDEX(SPLIT(A4407,"",""),2)),""."","","",1))"),83.279298)</f>
        <v>83.279298</v>
      </c>
      <c r="R4407" s="14" t="b">
        <f t="shared" si="1"/>
        <v>0</v>
      </c>
      <c r="S4407" s="14" t="str">
        <f t="shared" si="2"/>
        <v>54.661979,83.279298</v>
      </c>
      <c r="T4407" s="12"/>
    </row>
    <row r="4408">
      <c r="A4408" s="20" t="s">
        <v>28387</v>
      </c>
      <c r="B4408" s="16" t="s">
        <v>28388</v>
      </c>
      <c r="C4408" s="16" t="s">
        <v>28389</v>
      </c>
      <c r="D4408" s="16" t="s">
        <v>16</v>
      </c>
      <c r="E4408" s="21" t="s">
        <v>28390</v>
      </c>
      <c r="F4408" s="22" t="s">
        <v>22263</v>
      </c>
      <c r="G4408" s="16">
        <v>23.61</v>
      </c>
      <c r="H4408" s="16"/>
      <c r="I4408" s="22"/>
      <c r="J4408" s="22" t="s">
        <v>28391</v>
      </c>
      <c r="K4408" s="22" t="s">
        <v>28392</v>
      </c>
      <c r="L4408" s="23" t="s">
        <v>28393</v>
      </c>
      <c r="M4408" s="23" t="s">
        <v>28394</v>
      </c>
      <c r="N4408" s="12"/>
      <c r="O4408" s="12"/>
      <c r="P4408" s="13">
        <f>IFERROR(__xludf.DUMMYFUNCTION("VALUE(SUBSTITUTE((INDEX(SPLIT(A4408,"",""),1)),""."","","",1))"),54.611867)</f>
        <v>54.611867</v>
      </c>
      <c r="Q4408" s="13">
        <f>IFERROR(__xludf.DUMMYFUNCTION("VALUE(SUBSTITUTE((INDEX(SPLIT(A4408,"",""),2)),""."","","",1))"),83.298135)</f>
        <v>83.298135</v>
      </c>
      <c r="R4408" s="14" t="b">
        <f t="shared" si="1"/>
        <v>0</v>
      </c>
      <c r="S4408" s="14" t="str">
        <f t="shared" si="2"/>
        <v>54.611867,83.298135</v>
      </c>
      <c r="T4408" s="12"/>
    </row>
    <row r="4409">
      <c r="A4409" s="7" t="s">
        <v>28395</v>
      </c>
      <c r="B4409" s="8" t="s">
        <v>28396</v>
      </c>
      <c r="C4409" s="8" t="s">
        <v>28397</v>
      </c>
      <c r="D4409" s="8" t="s">
        <v>16</v>
      </c>
      <c r="E4409" s="9" t="s">
        <v>28398</v>
      </c>
      <c r="F4409" s="10" t="s">
        <v>22263</v>
      </c>
      <c r="G4409" s="8">
        <v>23.61</v>
      </c>
      <c r="H4409" s="8"/>
      <c r="I4409" s="10"/>
      <c r="J4409" s="10" t="s">
        <v>28399</v>
      </c>
      <c r="K4409" s="10" t="s">
        <v>28400</v>
      </c>
      <c r="L4409" s="11" t="s">
        <v>28401</v>
      </c>
      <c r="M4409" s="10"/>
      <c r="N4409" s="12"/>
      <c r="O4409" s="12"/>
      <c r="P4409" s="13">
        <f>IFERROR(__xludf.DUMMYFUNCTION("VALUE(SUBSTITUTE((INDEX(SPLIT(A4409,"",""),1)),""."","","",1))"),54.624176)</f>
        <v>54.624176</v>
      </c>
      <c r="Q4409" s="13">
        <f>IFERROR(__xludf.DUMMYFUNCTION("VALUE(SUBSTITUTE((INDEX(SPLIT(A4409,"",""),2)),""."","","",1))"),83.301082)</f>
        <v>83.301082</v>
      </c>
      <c r="R4409" s="14" t="b">
        <f t="shared" si="1"/>
        <v>0</v>
      </c>
      <c r="S4409" s="14" t="str">
        <f t="shared" si="2"/>
        <v>54.624176,83.301082</v>
      </c>
      <c r="T4409" s="12"/>
    </row>
    <row r="4410">
      <c r="A4410" s="20" t="s">
        <v>28402</v>
      </c>
      <c r="B4410" s="16" t="s">
        <v>28403</v>
      </c>
      <c r="C4410" s="16" t="s">
        <v>28404</v>
      </c>
      <c r="D4410" s="16" t="s">
        <v>16</v>
      </c>
      <c r="E4410" s="21" t="s">
        <v>28405</v>
      </c>
      <c r="F4410" s="22" t="s">
        <v>22263</v>
      </c>
      <c r="G4410" s="16">
        <v>23.61</v>
      </c>
      <c r="H4410" s="16"/>
      <c r="I4410" s="22"/>
      <c r="J4410" s="22" t="s">
        <v>28406</v>
      </c>
      <c r="K4410" s="22" t="s">
        <v>28407</v>
      </c>
      <c r="L4410" s="23" t="s">
        <v>28408</v>
      </c>
      <c r="M4410" s="22"/>
      <c r="N4410" s="12"/>
      <c r="O4410" s="12"/>
      <c r="P4410" s="13">
        <f>IFERROR(__xludf.DUMMYFUNCTION("VALUE(SUBSTITUTE((INDEX(SPLIT(A4410,"",""),1)),""."","","",1))"),54.649182)</f>
        <v>54.649182</v>
      </c>
      <c r="Q4410" s="13">
        <f>IFERROR(__xludf.DUMMYFUNCTION("VALUE(SUBSTITUTE((INDEX(SPLIT(A4410,"",""),2)),""."","","",1))"),83.311367)</f>
        <v>83.311367</v>
      </c>
      <c r="R4410" s="14" t="b">
        <f t="shared" si="1"/>
        <v>0</v>
      </c>
      <c r="S4410" s="14" t="str">
        <f t="shared" si="2"/>
        <v>54.649182,83.311367</v>
      </c>
      <c r="T4410" s="12"/>
    </row>
    <row r="4411">
      <c r="A4411" s="7" t="s">
        <v>28409</v>
      </c>
      <c r="B4411" s="8" t="s">
        <v>28410</v>
      </c>
      <c r="C4411" s="8" t="s">
        <v>28411</v>
      </c>
      <c r="D4411" s="8" t="s">
        <v>16</v>
      </c>
      <c r="E4411" s="9" t="s">
        <v>28412</v>
      </c>
      <c r="F4411" s="10" t="s">
        <v>22263</v>
      </c>
      <c r="G4411" s="8">
        <v>23.61</v>
      </c>
      <c r="H4411" s="8"/>
      <c r="I4411" s="10"/>
      <c r="J4411" s="10" t="s">
        <v>28413</v>
      </c>
      <c r="K4411" s="10" t="s">
        <v>28414</v>
      </c>
      <c r="L4411" s="11" t="s">
        <v>28415</v>
      </c>
      <c r="M4411" s="10"/>
      <c r="N4411" s="12"/>
      <c r="O4411" s="12"/>
      <c r="P4411" s="13">
        <f>IFERROR(__xludf.DUMMYFUNCTION("VALUE(SUBSTITUTE((INDEX(SPLIT(A4411,"",""),1)),""."","","",1))"),54.650219)</f>
        <v>54.650219</v>
      </c>
      <c r="Q4411" s="13">
        <f>IFERROR(__xludf.DUMMYFUNCTION("VALUE(SUBSTITUTE((INDEX(SPLIT(A4411,"",""),2)),""."","","",1))"),83.314044)</f>
        <v>83.314044</v>
      </c>
      <c r="R4411" s="14" t="b">
        <f t="shared" si="1"/>
        <v>0</v>
      </c>
      <c r="S4411" s="14" t="str">
        <f t="shared" si="2"/>
        <v>54.650219,83.314044</v>
      </c>
      <c r="T4411" s="12"/>
    </row>
    <row r="4412">
      <c r="A4412" s="20" t="s">
        <v>28416</v>
      </c>
      <c r="B4412" s="16" t="s">
        <v>28417</v>
      </c>
      <c r="C4412" s="16" t="s">
        <v>28418</v>
      </c>
      <c r="D4412" s="16" t="s">
        <v>16</v>
      </c>
      <c r="E4412" s="21" t="s">
        <v>28419</v>
      </c>
      <c r="F4412" s="22" t="s">
        <v>22263</v>
      </c>
      <c r="G4412" s="16">
        <v>23.61</v>
      </c>
      <c r="H4412" s="16"/>
      <c r="I4412" s="22"/>
      <c r="J4412" s="22" t="s">
        <v>28420</v>
      </c>
      <c r="K4412" s="22" t="s">
        <v>28421</v>
      </c>
      <c r="L4412" s="30" t="s">
        <v>28422</v>
      </c>
      <c r="M4412" s="22"/>
      <c r="N4412" s="12"/>
      <c r="O4412" s="12"/>
      <c r="P4412" s="13">
        <f>IFERROR(__xludf.DUMMYFUNCTION("VALUE(SUBSTITUTE((INDEX(SPLIT(A4412,"",""),1)),""."","","",1))"),54.462236)</f>
        <v>54.462236</v>
      </c>
      <c r="Q4412" s="13">
        <f>IFERROR(__xludf.DUMMYFUNCTION("VALUE(SUBSTITUTE((INDEX(SPLIT(A4412,"",""),2)),""."","","",1))"),83.385559)</f>
        <v>83.385559</v>
      </c>
      <c r="R4412" s="14" t="b">
        <f t="shared" si="1"/>
        <v>0</v>
      </c>
      <c r="S4412" s="14" t="str">
        <f t="shared" si="2"/>
        <v>54.462236,83.385559</v>
      </c>
      <c r="T4412" s="12"/>
    </row>
    <row r="4413">
      <c r="A4413" s="7" t="s">
        <v>28423</v>
      </c>
      <c r="B4413" s="8" t="s">
        <v>28424</v>
      </c>
      <c r="C4413" s="8" t="s">
        <v>28425</v>
      </c>
      <c r="D4413" s="8" t="s">
        <v>16</v>
      </c>
      <c r="E4413" s="9" t="s">
        <v>28426</v>
      </c>
      <c r="F4413" s="10" t="s">
        <v>22263</v>
      </c>
      <c r="G4413" s="8">
        <v>23.61</v>
      </c>
      <c r="H4413" s="8"/>
      <c r="I4413" s="31" t="s">
        <v>28427</v>
      </c>
      <c r="J4413" s="10" t="s">
        <v>28428</v>
      </c>
      <c r="K4413" s="10" t="s">
        <v>28429</v>
      </c>
      <c r="L4413" s="11" t="s">
        <v>28430</v>
      </c>
      <c r="M4413" s="11" t="s">
        <v>28431</v>
      </c>
      <c r="N4413" s="12"/>
      <c r="O4413" s="12"/>
      <c r="P4413" s="13">
        <f>IFERROR(__xludf.DUMMYFUNCTION("VALUE(SUBSTITUTE((INDEX(SPLIT(A4413,"",""),1)),""."","","",1))"),55.036184)</f>
        <v>55.036184</v>
      </c>
      <c r="Q4413" s="13">
        <f>IFERROR(__xludf.DUMMYFUNCTION("VALUE(SUBSTITUTE((INDEX(SPLIT(A4413,"",""),2)),""."","","",1))"),83.420261)</f>
        <v>83.420261</v>
      </c>
      <c r="R4413" s="14" t="b">
        <f t="shared" si="1"/>
        <v>0</v>
      </c>
      <c r="S4413" s="14" t="str">
        <f t="shared" si="2"/>
        <v>55.036184,83.420261</v>
      </c>
      <c r="T4413" s="12"/>
    </row>
    <row r="4414">
      <c r="A4414" s="20" t="s">
        <v>28432</v>
      </c>
      <c r="B4414" s="16" t="s">
        <v>28433</v>
      </c>
      <c r="C4414" s="16" t="s">
        <v>28434</v>
      </c>
      <c r="D4414" s="16" t="s">
        <v>16</v>
      </c>
      <c r="E4414" s="21" t="s">
        <v>28435</v>
      </c>
      <c r="F4414" s="22" t="s">
        <v>5788</v>
      </c>
      <c r="G4414" s="16">
        <v>23.61</v>
      </c>
      <c r="H4414" s="16"/>
      <c r="I4414" s="22"/>
      <c r="J4414" s="22" t="s">
        <v>28436</v>
      </c>
      <c r="K4414" s="22" t="s">
        <v>28437</v>
      </c>
      <c r="L4414" s="23" t="s">
        <v>28438</v>
      </c>
      <c r="M4414" s="22"/>
      <c r="N4414" s="12"/>
      <c r="O4414" s="12"/>
      <c r="P4414" s="13">
        <f>IFERROR(__xludf.DUMMYFUNCTION("VALUE(SUBSTITUTE((INDEX(SPLIT(A4414,"",""),1)),""."","","",1))"),53.345387)</f>
        <v>53.345387</v>
      </c>
      <c r="Q4414" s="13">
        <f>IFERROR(__xludf.DUMMYFUNCTION("VALUE(SUBSTITUTE((INDEX(SPLIT(A4414,"",""),2)),""."","","",1))"),83.553877)</f>
        <v>83.553877</v>
      </c>
      <c r="R4414" s="14" t="b">
        <f t="shared" si="1"/>
        <v>0</v>
      </c>
      <c r="S4414" s="14" t="str">
        <f t="shared" si="2"/>
        <v>53.345387,83.553877</v>
      </c>
      <c r="T4414" s="12"/>
    </row>
    <row r="4415">
      <c r="A4415" s="7" t="s">
        <v>28439</v>
      </c>
      <c r="B4415" s="8" t="s">
        <v>17102</v>
      </c>
      <c r="C4415" s="8" t="s">
        <v>17103</v>
      </c>
      <c r="D4415" s="8" t="s">
        <v>16</v>
      </c>
      <c r="E4415" s="9" t="s">
        <v>28440</v>
      </c>
      <c r="F4415" s="10" t="s">
        <v>10609</v>
      </c>
      <c r="G4415" s="8">
        <v>23.61</v>
      </c>
      <c r="H4415" s="8"/>
      <c r="I4415" s="10"/>
      <c r="J4415" s="10" t="s">
        <v>28441</v>
      </c>
      <c r="K4415" s="10" t="s">
        <v>28442</v>
      </c>
      <c r="L4415" s="11" t="s">
        <v>28443</v>
      </c>
      <c r="M4415" s="10"/>
      <c r="N4415" s="12"/>
      <c r="O4415" s="12"/>
      <c r="P4415" s="13">
        <f>IFERROR(__xludf.DUMMYFUNCTION("VALUE(SUBSTITUTE((INDEX(SPLIT(A4415,"",""),1)),""."","","",1))"),53.288565)</f>
        <v>53.288565</v>
      </c>
      <c r="Q4415" s="13">
        <f>IFERROR(__xludf.DUMMYFUNCTION("VALUE(SUBSTITUTE((INDEX(SPLIT(A4415,"",""),2)),""."","","",1))"),83.567244)</f>
        <v>83.567244</v>
      </c>
      <c r="R4415" s="14" t="b">
        <f t="shared" si="1"/>
        <v>0</v>
      </c>
      <c r="S4415" s="14" t="str">
        <f t="shared" si="2"/>
        <v>53.288565,83.567244</v>
      </c>
      <c r="T4415" s="12"/>
    </row>
    <row r="4416">
      <c r="A4416" s="15" t="s">
        <v>28444</v>
      </c>
      <c r="B4416" s="16" t="s">
        <v>28445</v>
      </c>
      <c r="C4416" s="16" t="s">
        <v>28446</v>
      </c>
      <c r="D4416" s="16" t="s">
        <v>16</v>
      </c>
      <c r="E4416" s="17" t="s">
        <v>28447</v>
      </c>
      <c r="F4416" s="16" t="s">
        <v>5788</v>
      </c>
      <c r="G4416" s="16">
        <v>23.61</v>
      </c>
      <c r="H4416" s="16"/>
      <c r="I4416" s="16"/>
      <c r="J4416" s="16" t="s">
        <v>28448</v>
      </c>
      <c r="K4416" s="16" t="s">
        <v>28449</v>
      </c>
      <c r="L4416" s="16"/>
      <c r="M4416" s="16"/>
      <c r="N4416" s="12"/>
      <c r="O4416" s="12"/>
      <c r="P4416" s="13">
        <f>IFERROR(__xludf.DUMMYFUNCTION("VALUE(SUBSTITUTE((INDEX(SPLIT(A4416,"",""),1)),""."","","",1))"),53.340688)</f>
        <v>53.340688</v>
      </c>
      <c r="Q4416" s="13">
        <f>IFERROR(__xludf.DUMMYFUNCTION("VALUE(SUBSTITUTE((INDEX(SPLIT(A4416,"",""),2)),""."","","",1))"),83.610363)</f>
        <v>83.610363</v>
      </c>
      <c r="R4416" s="14" t="b">
        <f t="shared" si="1"/>
        <v>0</v>
      </c>
      <c r="S4416" s="14" t="str">
        <f t="shared" si="2"/>
        <v>53.340688,83.610363</v>
      </c>
      <c r="T4416" s="12"/>
    </row>
    <row r="4417">
      <c r="A4417" s="18" t="s">
        <v>28450</v>
      </c>
      <c r="B4417" s="8" t="s">
        <v>28451</v>
      </c>
      <c r="C4417" s="8" t="s">
        <v>28452</v>
      </c>
      <c r="D4417" s="8" t="s">
        <v>16</v>
      </c>
      <c r="E4417" s="19" t="s">
        <v>28453</v>
      </c>
      <c r="F4417" s="8" t="s">
        <v>5788</v>
      </c>
      <c r="G4417" s="8">
        <v>23.61</v>
      </c>
      <c r="H4417" s="8"/>
      <c r="I4417" s="8"/>
      <c r="J4417" s="8" t="s">
        <v>28454</v>
      </c>
      <c r="K4417" s="8" t="s">
        <v>28455</v>
      </c>
      <c r="L4417" s="8"/>
      <c r="M4417" s="8"/>
      <c r="N4417" s="12"/>
      <c r="O4417" s="12"/>
      <c r="P4417" s="13">
        <f>IFERROR(__xludf.DUMMYFUNCTION("VALUE(SUBSTITUTE((INDEX(SPLIT(A4417,"",""),1)),""."","","",1))"),53.344156)</f>
        <v>53.344156</v>
      </c>
      <c r="Q4417" s="13">
        <f>IFERROR(__xludf.DUMMYFUNCTION("VALUE(SUBSTITUTE((INDEX(SPLIT(A4417,"",""),2)),""."","","",1))"),83.610812)</f>
        <v>83.610812</v>
      </c>
      <c r="R4417" s="14" t="b">
        <f t="shared" si="1"/>
        <v>0</v>
      </c>
      <c r="S4417" s="14" t="str">
        <f t="shared" si="2"/>
        <v>53.344156,83.610812</v>
      </c>
      <c r="T4417" s="12"/>
    </row>
    <row r="4418">
      <c r="A4418" s="20" t="s">
        <v>28456</v>
      </c>
      <c r="B4418" s="16" t="s">
        <v>28457</v>
      </c>
      <c r="C4418" s="16" t="s">
        <v>28458</v>
      </c>
      <c r="D4418" s="16" t="s">
        <v>16</v>
      </c>
      <c r="E4418" s="21" t="s">
        <v>28459</v>
      </c>
      <c r="F4418" s="22" t="s">
        <v>19378</v>
      </c>
      <c r="G4418" s="16">
        <v>23.61</v>
      </c>
      <c r="H4418" s="16"/>
      <c r="I4418" s="22"/>
      <c r="J4418" s="22" t="s">
        <v>28460</v>
      </c>
      <c r="K4418" s="22" t="s">
        <v>28461</v>
      </c>
      <c r="L4418" s="23" t="s">
        <v>28462</v>
      </c>
      <c r="M4418" s="22"/>
      <c r="N4418" s="12"/>
      <c r="O4418" s="12"/>
      <c r="P4418" s="13">
        <f>IFERROR(__xludf.DUMMYFUNCTION("VALUE(SUBSTITUTE((INDEX(SPLIT(A4418,"",""),1)),""."","","",1))"),53.325137)</f>
        <v>53.325137</v>
      </c>
      <c r="Q4418" s="13">
        <f>IFERROR(__xludf.DUMMYFUNCTION("VALUE(SUBSTITUTE((INDEX(SPLIT(A4418,"",""),2)),""."","","",1))"),83.610857)</f>
        <v>83.610857</v>
      </c>
      <c r="R4418" s="14" t="b">
        <f t="shared" si="1"/>
        <v>0</v>
      </c>
      <c r="S4418" s="14" t="str">
        <f t="shared" si="2"/>
        <v>53.325137,83.610857</v>
      </c>
      <c r="T4418" s="12"/>
    </row>
    <row r="4419">
      <c r="A4419" s="7" t="s">
        <v>28456</v>
      </c>
      <c r="B4419" s="8" t="s">
        <v>28463</v>
      </c>
      <c r="C4419" s="8" t="s">
        <v>28464</v>
      </c>
      <c r="D4419" s="8" t="s">
        <v>16</v>
      </c>
      <c r="E4419" s="9" t="s">
        <v>28465</v>
      </c>
      <c r="F4419" s="10" t="s">
        <v>22263</v>
      </c>
      <c r="G4419" s="8">
        <v>23.61</v>
      </c>
      <c r="H4419" s="8"/>
      <c r="I4419" s="10"/>
      <c r="J4419" s="10" t="s">
        <v>28466</v>
      </c>
      <c r="K4419" s="10" t="s">
        <v>28467</v>
      </c>
      <c r="L4419" s="11" t="s">
        <v>28468</v>
      </c>
      <c r="M4419" s="10"/>
      <c r="N4419" s="12"/>
      <c r="O4419" s="12"/>
      <c r="P4419" s="13">
        <f>IFERROR(__xludf.DUMMYFUNCTION("VALUE(SUBSTITUTE((INDEX(SPLIT(A4419,"",""),1)),""."","","",1))"),53.325137)</f>
        <v>53.325137</v>
      </c>
      <c r="Q4419" s="13">
        <f>IFERROR(__xludf.DUMMYFUNCTION("VALUE(SUBSTITUTE((INDEX(SPLIT(A4419,"",""),2)),""."","","",1))"),83.610857)</f>
        <v>83.610857</v>
      </c>
      <c r="R4419" s="14" t="b">
        <f t="shared" si="1"/>
        <v>0</v>
      </c>
      <c r="S4419" s="14" t="str">
        <f t="shared" si="2"/>
        <v>53.325137,83.610857</v>
      </c>
      <c r="T4419" s="12"/>
    </row>
    <row r="4420">
      <c r="A4420" s="20" t="s">
        <v>28469</v>
      </c>
      <c r="B4420" s="16" t="s">
        <v>28470</v>
      </c>
      <c r="C4420" s="16" t="s">
        <v>28471</v>
      </c>
      <c r="D4420" s="16" t="s">
        <v>16</v>
      </c>
      <c r="E4420" s="21" t="s">
        <v>28472</v>
      </c>
      <c r="F4420" s="22" t="s">
        <v>738</v>
      </c>
      <c r="G4420" s="16">
        <v>23.61</v>
      </c>
      <c r="H4420" s="16"/>
      <c r="I4420" s="22"/>
      <c r="J4420" s="22" t="s">
        <v>28473</v>
      </c>
      <c r="K4420" s="22" t="s">
        <v>28474</v>
      </c>
      <c r="L4420" s="23" t="s">
        <v>28475</v>
      </c>
      <c r="M4420" s="22"/>
      <c r="N4420" s="12"/>
      <c r="O4420" s="12"/>
      <c r="P4420" s="13">
        <f>IFERROR(__xludf.DUMMYFUNCTION("VALUE(SUBSTITUTE((INDEX(SPLIT(A4420,"",""),1)),""."","","",1))"),53.324987)</f>
        <v>53.324987</v>
      </c>
      <c r="Q4420" s="13">
        <f>IFERROR(__xludf.DUMMYFUNCTION("VALUE(SUBSTITUTE((INDEX(SPLIT(A4420,"",""),2)),""."","","",1))"),83.614405)</f>
        <v>83.614405</v>
      </c>
      <c r="R4420" s="14" t="b">
        <f t="shared" si="1"/>
        <v>0</v>
      </c>
      <c r="S4420" s="14" t="str">
        <f t="shared" si="2"/>
        <v>53.324987,83.614405</v>
      </c>
      <c r="T4420" s="12"/>
    </row>
    <row r="4421">
      <c r="A4421" s="7" t="s">
        <v>28476</v>
      </c>
      <c r="B4421" s="8" t="s">
        <v>28477</v>
      </c>
      <c r="C4421" s="8" t="s">
        <v>11615</v>
      </c>
      <c r="D4421" s="8" t="s">
        <v>16</v>
      </c>
      <c r="E4421" s="9" t="s">
        <v>28478</v>
      </c>
      <c r="F4421" s="10" t="s">
        <v>10609</v>
      </c>
      <c r="G4421" s="8">
        <v>23.61</v>
      </c>
      <c r="H4421" s="8"/>
      <c r="I4421" s="10"/>
      <c r="J4421" s="10" t="s">
        <v>28479</v>
      </c>
      <c r="K4421" s="10" t="s">
        <v>28480</v>
      </c>
      <c r="L4421" s="11" t="s">
        <v>28481</v>
      </c>
      <c r="M4421" s="11" t="s">
        <v>28482</v>
      </c>
      <c r="N4421" s="12"/>
      <c r="O4421" s="12"/>
      <c r="P4421" s="13">
        <f>IFERROR(__xludf.DUMMYFUNCTION("VALUE(SUBSTITUTE((INDEX(SPLIT(A4421,"",""),1)),""."","","",1))"),53.328106)</f>
        <v>53.328106</v>
      </c>
      <c r="Q4421" s="13">
        <f>IFERROR(__xludf.DUMMYFUNCTION("VALUE(SUBSTITUTE((INDEX(SPLIT(A4421,"",""),2)),""."","","",1))"),83.619067)</f>
        <v>83.619067</v>
      </c>
      <c r="R4421" s="14" t="b">
        <f t="shared" si="1"/>
        <v>0</v>
      </c>
      <c r="S4421" s="14" t="str">
        <f t="shared" si="2"/>
        <v>53.328106,83.619067</v>
      </c>
      <c r="T4421" s="12"/>
    </row>
    <row r="4422">
      <c r="A4422" s="20" t="s">
        <v>28483</v>
      </c>
      <c r="B4422" s="16" t="s">
        <v>28484</v>
      </c>
      <c r="C4422" s="16" t="s">
        <v>28485</v>
      </c>
      <c r="D4422" s="16" t="s">
        <v>16</v>
      </c>
      <c r="E4422" s="21" t="s">
        <v>28486</v>
      </c>
      <c r="F4422" s="22" t="s">
        <v>22263</v>
      </c>
      <c r="G4422" s="16">
        <v>23.61</v>
      </c>
      <c r="H4422" s="16"/>
      <c r="I4422" s="22"/>
      <c r="J4422" s="22" t="s">
        <v>28487</v>
      </c>
      <c r="K4422" s="22" t="s">
        <v>28488</v>
      </c>
      <c r="L4422" s="23" t="s">
        <v>28489</v>
      </c>
      <c r="M4422" s="23" t="s">
        <v>28490</v>
      </c>
      <c r="N4422" s="12"/>
      <c r="O4422" s="12"/>
      <c r="P4422" s="13">
        <f>IFERROR(__xludf.DUMMYFUNCTION("VALUE(SUBSTITUTE((INDEX(SPLIT(A4422,"",""),1)),""."","","",1))"),53.306917)</f>
        <v>53.306917</v>
      </c>
      <c r="Q4422" s="13">
        <f>IFERROR(__xludf.DUMMYFUNCTION("VALUE(SUBSTITUTE((INDEX(SPLIT(A4422,"",""),2)),""."","","",1))"),83.619597)</f>
        <v>83.619597</v>
      </c>
      <c r="R4422" s="14" t="b">
        <f t="shared" si="1"/>
        <v>0</v>
      </c>
      <c r="S4422" s="14" t="str">
        <f t="shared" si="2"/>
        <v>53.306917,83.619597</v>
      </c>
      <c r="T4422" s="12"/>
    </row>
    <row r="4423">
      <c r="A4423" s="7" t="s">
        <v>28491</v>
      </c>
      <c r="B4423" s="8" t="s">
        <v>28492</v>
      </c>
      <c r="C4423" s="8" t="s">
        <v>28493</v>
      </c>
      <c r="D4423" s="8" t="s">
        <v>16</v>
      </c>
      <c r="E4423" s="9" t="s">
        <v>28494</v>
      </c>
      <c r="F4423" s="10" t="s">
        <v>22263</v>
      </c>
      <c r="G4423" s="8">
        <v>23.61</v>
      </c>
      <c r="H4423" s="8"/>
      <c r="I4423" s="10"/>
      <c r="J4423" s="10" t="s">
        <v>28495</v>
      </c>
      <c r="K4423" s="10" t="s">
        <v>28496</v>
      </c>
      <c r="L4423" s="11" t="s">
        <v>28497</v>
      </c>
      <c r="M4423" s="10"/>
      <c r="N4423" s="12"/>
      <c r="O4423" s="12"/>
      <c r="P4423" s="13">
        <f>IFERROR(__xludf.DUMMYFUNCTION("VALUE(SUBSTITUTE((INDEX(SPLIT(A4423,"",""),1)),""."","","",1))"),53.308225)</f>
        <v>53.308225</v>
      </c>
      <c r="Q4423" s="13">
        <f>IFERROR(__xludf.DUMMYFUNCTION("VALUE(SUBSTITUTE((INDEX(SPLIT(A4423,"",""),2)),""."","","",1))"),83.6239)</f>
        <v>83.6239</v>
      </c>
      <c r="R4423" s="14" t="b">
        <f t="shared" si="1"/>
        <v>0</v>
      </c>
      <c r="S4423" s="14" t="str">
        <f t="shared" si="2"/>
        <v>53.308225,83.6239</v>
      </c>
      <c r="T4423" s="12"/>
    </row>
    <row r="4424">
      <c r="A4424" s="20" t="s">
        <v>28491</v>
      </c>
      <c r="B4424" s="16" t="s">
        <v>28498</v>
      </c>
      <c r="C4424" s="16" t="s">
        <v>28499</v>
      </c>
      <c r="D4424" s="16" t="s">
        <v>16</v>
      </c>
      <c r="E4424" s="21" t="s">
        <v>28500</v>
      </c>
      <c r="F4424" s="22" t="s">
        <v>22263</v>
      </c>
      <c r="G4424" s="16">
        <v>23.61</v>
      </c>
      <c r="H4424" s="16"/>
      <c r="I4424" s="22"/>
      <c r="J4424" s="22" t="s">
        <v>28501</v>
      </c>
      <c r="K4424" s="22" t="s">
        <v>28502</v>
      </c>
      <c r="L4424" s="23" t="s">
        <v>28503</v>
      </c>
      <c r="M4424" s="22"/>
      <c r="N4424" s="12"/>
      <c r="O4424" s="12"/>
      <c r="P4424" s="13">
        <f>IFERROR(__xludf.DUMMYFUNCTION("VALUE(SUBSTITUTE((INDEX(SPLIT(A4424,"",""),1)),""."","","",1))"),53.308225)</f>
        <v>53.308225</v>
      </c>
      <c r="Q4424" s="13">
        <f>IFERROR(__xludf.DUMMYFUNCTION("VALUE(SUBSTITUTE((INDEX(SPLIT(A4424,"",""),2)),""."","","",1))"),83.6239)</f>
        <v>83.6239</v>
      </c>
      <c r="R4424" s="14" t="b">
        <f t="shared" si="1"/>
        <v>0</v>
      </c>
      <c r="S4424" s="14" t="str">
        <f t="shared" si="2"/>
        <v>53.308225,83.6239</v>
      </c>
      <c r="T4424" s="12"/>
    </row>
    <row r="4425">
      <c r="A4425" s="18" t="s">
        <v>28504</v>
      </c>
      <c r="B4425" s="8" t="s">
        <v>28505</v>
      </c>
      <c r="C4425" s="8" t="s">
        <v>28506</v>
      </c>
      <c r="D4425" s="8" t="s">
        <v>16</v>
      </c>
      <c r="E4425" s="19" t="s">
        <v>28507</v>
      </c>
      <c r="F4425" s="8" t="s">
        <v>19378</v>
      </c>
      <c r="G4425" s="8">
        <v>23.61</v>
      </c>
      <c r="H4425" s="8"/>
      <c r="I4425" s="8"/>
      <c r="J4425" s="8" t="s">
        <v>28508</v>
      </c>
      <c r="K4425" s="8" t="s">
        <v>28509</v>
      </c>
      <c r="L4425" s="8"/>
      <c r="M4425" s="8"/>
      <c r="N4425" s="12"/>
      <c r="O4425" s="12"/>
      <c r="P4425" s="13">
        <f>IFERROR(__xludf.DUMMYFUNCTION("VALUE(SUBSTITUTE((INDEX(SPLIT(A4425,"",""),1)),""."","","",1))"),53.310204)</f>
        <v>53.310204</v>
      </c>
      <c r="Q4425" s="13">
        <f>IFERROR(__xludf.DUMMYFUNCTION("VALUE(SUBSTITUTE((INDEX(SPLIT(A4425,"",""),2)),""."","","",1))"),83.625526)</f>
        <v>83.625526</v>
      </c>
      <c r="R4425" s="14" t="b">
        <f t="shared" si="1"/>
        <v>0</v>
      </c>
      <c r="S4425" s="14" t="str">
        <f t="shared" si="2"/>
        <v>53.310204,83.625526</v>
      </c>
      <c r="T4425" s="12"/>
    </row>
    <row r="4426">
      <c r="A4426" s="15" t="s">
        <v>28510</v>
      </c>
      <c r="B4426" s="16" t="s">
        <v>28511</v>
      </c>
      <c r="C4426" s="16" t="s">
        <v>28512</v>
      </c>
      <c r="D4426" s="16" t="s">
        <v>16</v>
      </c>
      <c r="E4426" s="17" t="s">
        <v>28513</v>
      </c>
      <c r="F4426" s="16" t="s">
        <v>10789</v>
      </c>
      <c r="G4426" s="16">
        <v>23.61</v>
      </c>
      <c r="H4426" s="16"/>
      <c r="I4426" s="32" t="s">
        <v>28514</v>
      </c>
      <c r="J4426" s="16" t="s">
        <v>28515</v>
      </c>
      <c r="K4426" s="16" t="s">
        <v>28516</v>
      </c>
      <c r="L4426" s="16"/>
      <c r="M4426" s="16"/>
      <c r="N4426" s="12"/>
      <c r="O4426" s="12"/>
      <c r="P4426" s="13">
        <f>IFERROR(__xludf.DUMMYFUNCTION("VALUE(SUBSTITUTE((INDEX(SPLIT(A4426,"",""),1)),""."","","",1))"),55.302889)</f>
        <v>55.302889</v>
      </c>
      <c r="Q4426" s="13">
        <f>IFERROR(__xludf.DUMMYFUNCTION("VALUE(SUBSTITUTE((INDEX(SPLIT(A4426,"",""),2)),""."","","",1))"),83.62761)</f>
        <v>83.62761</v>
      </c>
      <c r="R4426" s="14" t="b">
        <f t="shared" si="1"/>
        <v>0</v>
      </c>
      <c r="S4426" s="14" t="str">
        <f t="shared" si="2"/>
        <v>55.302889,83.62761</v>
      </c>
      <c r="T4426" s="12"/>
    </row>
    <row r="4427">
      <c r="A4427" s="18" t="s">
        <v>28517</v>
      </c>
      <c r="B4427" s="8" t="s">
        <v>22886</v>
      </c>
      <c r="C4427" s="8" t="s">
        <v>517</v>
      </c>
      <c r="D4427" s="8" t="s">
        <v>16</v>
      </c>
      <c r="E4427" s="19" t="s">
        <v>28518</v>
      </c>
      <c r="F4427" s="8" t="s">
        <v>10789</v>
      </c>
      <c r="G4427" s="8">
        <v>23.61</v>
      </c>
      <c r="H4427" s="8"/>
      <c r="I4427" s="8"/>
      <c r="J4427" s="8" t="s">
        <v>28519</v>
      </c>
      <c r="K4427" s="8" t="s">
        <v>28520</v>
      </c>
      <c r="L4427" s="8"/>
      <c r="M4427" s="24" t="s">
        <v>28521</v>
      </c>
      <c r="N4427" s="12"/>
      <c r="O4427" s="12"/>
      <c r="P4427" s="13">
        <f>IFERROR(__xludf.DUMMYFUNCTION("VALUE(SUBSTITUTE((INDEX(SPLIT(A4427,"",""),1)),""."","","",1))"),53.321313)</f>
        <v>53.321313</v>
      </c>
      <c r="Q4427" s="13">
        <f>IFERROR(__xludf.DUMMYFUNCTION("VALUE(SUBSTITUTE((INDEX(SPLIT(A4427,"",""),2)),""."","","",1))"),83.633198)</f>
        <v>83.633198</v>
      </c>
      <c r="R4427" s="14" t="b">
        <f t="shared" si="1"/>
        <v>0</v>
      </c>
      <c r="S4427" s="14" t="str">
        <f t="shared" si="2"/>
        <v>53.321313,83.633198</v>
      </c>
      <c r="T4427" s="12"/>
    </row>
    <row r="4428">
      <c r="A4428" s="20" t="s">
        <v>28522</v>
      </c>
      <c r="B4428" s="16" t="s">
        <v>28523</v>
      </c>
      <c r="C4428" s="16" t="s">
        <v>28524</v>
      </c>
      <c r="D4428" s="16" t="s">
        <v>16</v>
      </c>
      <c r="E4428" s="21" t="s">
        <v>28525</v>
      </c>
      <c r="F4428" s="22" t="s">
        <v>18995</v>
      </c>
      <c r="G4428" s="16">
        <v>23.61</v>
      </c>
      <c r="H4428" s="16"/>
      <c r="I4428" s="22"/>
      <c r="J4428" s="22" t="s">
        <v>28526</v>
      </c>
      <c r="K4428" s="22" t="s">
        <v>28266</v>
      </c>
      <c r="L4428" s="23" t="s">
        <v>28527</v>
      </c>
      <c r="M4428" s="22"/>
      <c r="N4428" s="12"/>
      <c r="O4428" s="12"/>
      <c r="P4428" s="13">
        <f>IFERROR(__xludf.DUMMYFUNCTION("VALUE(SUBSTITUTE((INDEX(SPLIT(A4428,"",""),1)),""."","","",1))"),53.307057)</f>
        <v>53.307057</v>
      </c>
      <c r="Q4428" s="13">
        <f>IFERROR(__xludf.DUMMYFUNCTION("VALUE(SUBSTITUTE((INDEX(SPLIT(A4428,"",""),2)),""."","","",1))"),83.633611)</f>
        <v>83.633611</v>
      </c>
      <c r="R4428" s="14" t="b">
        <f t="shared" si="1"/>
        <v>0</v>
      </c>
      <c r="S4428" s="14" t="str">
        <f t="shared" si="2"/>
        <v>53.307057,83.633611</v>
      </c>
      <c r="T4428" s="12"/>
    </row>
    <row r="4429">
      <c r="A4429" s="18" t="s">
        <v>28528</v>
      </c>
      <c r="B4429" s="8" t="s">
        <v>28529</v>
      </c>
      <c r="C4429" s="8" t="s">
        <v>28530</v>
      </c>
      <c r="D4429" s="8" t="s">
        <v>16</v>
      </c>
      <c r="E4429" s="19" t="s">
        <v>28531</v>
      </c>
      <c r="F4429" s="8" t="s">
        <v>22263</v>
      </c>
      <c r="G4429" s="8">
        <v>23.61</v>
      </c>
      <c r="H4429" s="8"/>
      <c r="I4429" s="8"/>
      <c r="J4429" s="8" t="s">
        <v>28532</v>
      </c>
      <c r="K4429" s="8" t="s">
        <v>28533</v>
      </c>
      <c r="L4429" s="8"/>
      <c r="M4429" s="24" t="s">
        <v>28534</v>
      </c>
      <c r="N4429" s="12"/>
      <c r="O4429" s="12"/>
      <c r="P4429" s="13">
        <f>IFERROR(__xludf.DUMMYFUNCTION("VALUE(SUBSTITUTE((INDEX(SPLIT(A4429,"",""),1)),""."","","",1))"),53.321932)</f>
        <v>53.321932</v>
      </c>
      <c r="Q4429" s="13">
        <f>IFERROR(__xludf.DUMMYFUNCTION("VALUE(SUBSTITUTE((INDEX(SPLIT(A4429,"",""),2)),""."","","",1))"),83.634141)</f>
        <v>83.634141</v>
      </c>
      <c r="R4429" s="14" t="b">
        <f t="shared" si="1"/>
        <v>0</v>
      </c>
      <c r="S4429" s="14" t="str">
        <f t="shared" si="2"/>
        <v>53.321932,83.634141</v>
      </c>
      <c r="T4429" s="12"/>
    </row>
    <row r="4430">
      <c r="A4430" s="15" t="s">
        <v>28528</v>
      </c>
      <c r="B4430" s="16" t="s">
        <v>28535</v>
      </c>
      <c r="C4430" s="16" t="s">
        <v>28536</v>
      </c>
      <c r="D4430" s="16" t="s">
        <v>16</v>
      </c>
      <c r="E4430" s="17" t="s">
        <v>28537</v>
      </c>
      <c r="F4430" s="16" t="s">
        <v>18995</v>
      </c>
      <c r="G4430" s="16">
        <v>23.61</v>
      </c>
      <c r="H4430" s="16"/>
      <c r="I4430" s="32" t="s">
        <v>28538</v>
      </c>
      <c r="J4430" s="16" t="s">
        <v>28539</v>
      </c>
      <c r="K4430" s="16" t="s">
        <v>28540</v>
      </c>
      <c r="L4430" s="16"/>
      <c r="M4430" s="25" t="s">
        <v>28541</v>
      </c>
      <c r="N4430" s="12"/>
      <c r="O4430" s="12"/>
      <c r="P4430" s="13">
        <f>IFERROR(__xludf.DUMMYFUNCTION("VALUE(SUBSTITUTE((INDEX(SPLIT(A4430,"",""),1)),""."","","",1))"),53.321932)</f>
        <v>53.321932</v>
      </c>
      <c r="Q4430" s="13">
        <f>IFERROR(__xludf.DUMMYFUNCTION("VALUE(SUBSTITUTE((INDEX(SPLIT(A4430,"",""),2)),""."","","",1))"),83.634141)</f>
        <v>83.634141</v>
      </c>
      <c r="R4430" s="14" t="b">
        <f t="shared" si="1"/>
        <v>0</v>
      </c>
      <c r="S4430" s="14" t="str">
        <f t="shared" si="2"/>
        <v>53.321932,83.634141</v>
      </c>
      <c r="T4430" s="12"/>
    </row>
    <row r="4431">
      <c r="A4431" s="18" t="s">
        <v>28542</v>
      </c>
      <c r="B4431" s="8" t="s">
        <v>28543</v>
      </c>
      <c r="C4431" s="8" t="s">
        <v>28544</v>
      </c>
      <c r="D4431" s="8" t="s">
        <v>16</v>
      </c>
      <c r="E4431" s="19" t="s">
        <v>28545</v>
      </c>
      <c r="F4431" s="8" t="s">
        <v>18995</v>
      </c>
      <c r="G4431" s="8">
        <v>23.61</v>
      </c>
      <c r="H4431" s="8"/>
      <c r="I4431" s="27" t="s">
        <v>28546</v>
      </c>
      <c r="J4431" s="8" t="s">
        <v>28547</v>
      </c>
      <c r="K4431" s="8" t="s">
        <v>28548</v>
      </c>
      <c r="L4431" s="8"/>
      <c r="M4431" s="8"/>
      <c r="N4431" s="12"/>
      <c r="O4431" s="12"/>
      <c r="P4431" s="13">
        <f>IFERROR(__xludf.DUMMYFUNCTION("VALUE(SUBSTITUTE((INDEX(SPLIT(A4431,"",""),1)),""."","","",1))"),53.332451)</f>
        <v>53.332451</v>
      </c>
      <c r="Q4431" s="13">
        <f>IFERROR(__xludf.DUMMYFUNCTION("VALUE(SUBSTITUTE((INDEX(SPLIT(A4431,"",""),2)),""."","","",1))"),83.636333)</f>
        <v>83.636333</v>
      </c>
      <c r="R4431" s="14" t="b">
        <f t="shared" si="1"/>
        <v>0</v>
      </c>
      <c r="S4431" s="14" t="str">
        <f t="shared" si="2"/>
        <v>53.332451,83.636333</v>
      </c>
      <c r="T4431" s="12"/>
    </row>
    <row r="4432">
      <c r="A4432" s="20" t="s">
        <v>28542</v>
      </c>
      <c r="B4432" s="16" t="s">
        <v>28549</v>
      </c>
      <c r="C4432" s="16" t="s">
        <v>28550</v>
      </c>
      <c r="D4432" s="16" t="s">
        <v>16</v>
      </c>
      <c r="E4432" s="21" t="s">
        <v>28551</v>
      </c>
      <c r="F4432" s="22" t="s">
        <v>18995</v>
      </c>
      <c r="G4432" s="16">
        <v>23.61</v>
      </c>
      <c r="H4432" s="16"/>
      <c r="I4432" s="22"/>
      <c r="J4432" s="22" t="s">
        <v>28552</v>
      </c>
      <c r="K4432" s="22" t="s">
        <v>28553</v>
      </c>
      <c r="L4432" s="30" t="s">
        <v>28554</v>
      </c>
      <c r="M4432" s="22"/>
      <c r="N4432" s="12"/>
      <c r="O4432" s="12"/>
      <c r="P4432" s="13">
        <f>IFERROR(__xludf.DUMMYFUNCTION("VALUE(SUBSTITUTE((INDEX(SPLIT(A4432,"",""),1)),""."","","",1))"),53.332451)</f>
        <v>53.332451</v>
      </c>
      <c r="Q4432" s="13">
        <f>IFERROR(__xludf.DUMMYFUNCTION("VALUE(SUBSTITUTE((INDEX(SPLIT(A4432,"",""),2)),""."","","",1))"),83.636333)</f>
        <v>83.636333</v>
      </c>
      <c r="R4432" s="14" t="b">
        <f t="shared" si="1"/>
        <v>0</v>
      </c>
      <c r="S4432" s="14" t="str">
        <f t="shared" si="2"/>
        <v>53.332451,83.636333</v>
      </c>
      <c r="T4432" s="12"/>
    </row>
    <row r="4433">
      <c r="A4433" s="18" t="s">
        <v>28555</v>
      </c>
      <c r="B4433" s="8" t="s">
        <v>28556</v>
      </c>
      <c r="C4433" s="8" t="s">
        <v>28557</v>
      </c>
      <c r="D4433" s="8" t="s">
        <v>16</v>
      </c>
      <c r="E4433" s="19" t="s">
        <v>28558</v>
      </c>
      <c r="F4433" s="8" t="s">
        <v>18995</v>
      </c>
      <c r="G4433" s="8">
        <v>23.61</v>
      </c>
      <c r="H4433" s="8"/>
      <c r="I4433" s="8"/>
      <c r="J4433" s="8" t="s">
        <v>28559</v>
      </c>
      <c r="K4433" s="8" t="s">
        <v>28560</v>
      </c>
      <c r="L4433" s="8"/>
      <c r="M4433" s="8"/>
      <c r="N4433" s="12"/>
      <c r="O4433" s="12"/>
      <c r="P4433" s="13">
        <f>IFERROR(__xludf.DUMMYFUNCTION("VALUE(SUBSTITUTE((INDEX(SPLIT(A4433,"",""),1)),""."","","",1))"),53.306433)</f>
        <v>53.306433</v>
      </c>
      <c r="Q4433" s="13">
        <f>IFERROR(__xludf.DUMMYFUNCTION("VALUE(SUBSTITUTE((INDEX(SPLIT(A4433,"",""),2)),""."","","",1))"),83.638812)</f>
        <v>83.638812</v>
      </c>
      <c r="R4433" s="14" t="b">
        <f t="shared" si="1"/>
        <v>0</v>
      </c>
      <c r="S4433" s="14" t="str">
        <f t="shared" si="2"/>
        <v>53.306433,83.638812</v>
      </c>
      <c r="T4433" s="12"/>
    </row>
    <row r="4434">
      <c r="A4434" s="20" t="s">
        <v>28561</v>
      </c>
      <c r="B4434" s="16" t="s">
        <v>28562</v>
      </c>
      <c r="C4434" s="16" t="s">
        <v>28563</v>
      </c>
      <c r="D4434" s="16" t="s">
        <v>16</v>
      </c>
      <c r="E4434" s="21" t="s">
        <v>28564</v>
      </c>
      <c r="F4434" s="22" t="s">
        <v>18995</v>
      </c>
      <c r="G4434" s="16">
        <v>23.61</v>
      </c>
      <c r="H4434" s="16"/>
      <c r="I4434" s="22"/>
      <c r="J4434" s="22" t="s">
        <v>28565</v>
      </c>
      <c r="K4434" s="22" t="s">
        <v>28566</v>
      </c>
      <c r="L4434" s="23" t="s">
        <v>28567</v>
      </c>
      <c r="M4434" s="22"/>
      <c r="N4434" s="12"/>
      <c r="O4434" s="12"/>
      <c r="P4434" s="13">
        <f>IFERROR(__xludf.DUMMYFUNCTION("VALUE(SUBSTITUTE((INDEX(SPLIT(A4434,"",""),1)),""."","","",1))"),53.345005)</f>
        <v>53.345005</v>
      </c>
      <c r="Q4434" s="13">
        <f>IFERROR(__xludf.DUMMYFUNCTION("VALUE(SUBSTITUTE((INDEX(SPLIT(A4434,"",""),2)),""."","","",1))"),83.655207)</f>
        <v>83.655207</v>
      </c>
      <c r="R4434" s="14" t="b">
        <f t="shared" si="1"/>
        <v>0</v>
      </c>
      <c r="S4434" s="14" t="str">
        <f t="shared" si="2"/>
        <v>53.345005,83.655207</v>
      </c>
      <c r="T4434" s="12"/>
    </row>
    <row r="4435">
      <c r="A4435" s="7" t="s">
        <v>28568</v>
      </c>
      <c r="B4435" s="8" t="s">
        <v>28569</v>
      </c>
      <c r="C4435" s="8" t="s">
        <v>28570</v>
      </c>
      <c r="D4435" s="8" t="s">
        <v>16</v>
      </c>
      <c r="E4435" s="9" t="s">
        <v>28571</v>
      </c>
      <c r="F4435" s="10" t="s">
        <v>18995</v>
      </c>
      <c r="G4435" s="8">
        <v>23.61</v>
      </c>
      <c r="H4435" s="8"/>
      <c r="I4435" s="10"/>
      <c r="J4435" s="10" t="s">
        <v>28572</v>
      </c>
      <c r="K4435" s="10" t="s">
        <v>28573</v>
      </c>
      <c r="L4435" s="11" t="s">
        <v>28574</v>
      </c>
      <c r="M4435" s="11" t="s">
        <v>28575</v>
      </c>
      <c r="N4435" s="12"/>
      <c r="O4435" s="12"/>
      <c r="P4435" s="13">
        <f>IFERROR(__xludf.DUMMYFUNCTION("VALUE(SUBSTITUTE((INDEX(SPLIT(A4435,"",""),1)),""."","","",1))"),53.372392)</f>
        <v>53.372392</v>
      </c>
      <c r="Q4435" s="13">
        <f>IFERROR(__xludf.DUMMYFUNCTION("VALUE(SUBSTITUTE((INDEX(SPLIT(A4435,"",""),2)),""."","","",1))"),83.669157)</f>
        <v>83.669157</v>
      </c>
      <c r="R4435" s="14" t="b">
        <f t="shared" si="1"/>
        <v>0</v>
      </c>
      <c r="S4435" s="14" t="str">
        <f t="shared" si="2"/>
        <v>53.372392,83.669157</v>
      </c>
      <c r="T4435" s="12"/>
    </row>
    <row r="4436">
      <c r="A4436" s="15" t="s">
        <v>28576</v>
      </c>
      <c r="B4436" s="16" t="s">
        <v>28577</v>
      </c>
      <c r="C4436" s="16" t="s">
        <v>28578</v>
      </c>
      <c r="D4436" s="16" t="s">
        <v>16</v>
      </c>
      <c r="E4436" s="17" t="s">
        <v>28579</v>
      </c>
      <c r="F4436" s="16" t="s">
        <v>18995</v>
      </c>
      <c r="G4436" s="16">
        <v>23.61</v>
      </c>
      <c r="H4436" s="16"/>
      <c r="I4436" s="16"/>
      <c r="J4436" s="16" t="s">
        <v>28580</v>
      </c>
      <c r="K4436" s="16" t="s">
        <v>28581</v>
      </c>
      <c r="L4436" s="16"/>
      <c r="M4436" s="16"/>
      <c r="N4436" s="12"/>
      <c r="O4436" s="12"/>
      <c r="P4436" s="13">
        <f>IFERROR(__xludf.DUMMYFUNCTION("VALUE(SUBSTITUTE((INDEX(SPLIT(A4436,"",""),1)),""."","","",1))"),53.326326)</f>
        <v>53.326326</v>
      </c>
      <c r="Q4436" s="13">
        <f>IFERROR(__xludf.DUMMYFUNCTION("VALUE(SUBSTITUTE((INDEX(SPLIT(A4436,"",""),2)),""."","","",1))"),83.669346)</f>
        <v>83.669346</v>
      </c>
      <c r="R4436" s="14" t="b">
        <f t="shared" si="1"/>
        <v>0</v>
      </c>
      <c r="S4436" s="14" t="str">
        <f t="shared" si="2"/>
        <v>53.326326,83.669346</v>
      </c>
      <c r="T4436" s="12"/>
    </row>
    <row r="4437">
      <c r="A4437" s="18" t="s">
        <v>28582</v>
      </c>
      <c r="B4437" s="8" t="s">
        <v>21089</v>
      </c>
      <c r="C4437" s="8" t="s">
        <v>17825</v>
      </c>
      <c r="D4437" s="8" t="s">
        <v>16</v>
      </c>
      <c r="E4437" s="19" t="s">
        <v>28583</v>
      </c>
      <c r="F4437" s="8" t="s">
        <v>23108</v>
      </c>
      <c r="G4437" s="8">
        <v>23.61</v>
      </c>
      <c r="H4437" s="8"/>
      <c r="I4437" s="8"/>
      <c r="J4437" s="8" t="s">
        <v>28584</v>
      </c>
      <c r="K4437" s="8" t="s">
        <v>28585</v>
      </c>
      <c r="L4437" s="8"/>
      <c r="M4437" s="8"/>
      <c r="N4437" s="12"/>
      <c r="O4437" s="12"/>
      <c r="P4437" s="13">
        <f>IFERROR(__xludf.DUMMYFUNCTION("VALUE(SUBSTITUTE((INDEX(SPLIT(A4437,"",""),1)),""."","","",1))"),53.328741)</f>
        <v>53.328741</v>
      </c>
      <c r="Q4437" s="13">
        <f>IFERROR(__xludf.DUMMYFUNCTION("VALUE(SUBSTITUTE((INDEX(SPLIT(A4437,"",""),2)),""."","","",1))"),83.684258)</f>
        <v>83.684258</v>
      </c>
      <c r="R4437" s="14" t="b">
        <f t="shared" si="1"/>
        <v>0</v>
      </c>
      <c r="S4437" s="14" t="str">
        <f t="shared" si="2"/>
        <v>53.328741,83.684258</v>
      </c>
      <c r="T4437" s="12"/>
    </row>
    <row r="4438">
      <c r="A4438" s="20" t="s">
        <v>28586</v>
      </c>
      <c r="B4438" s="16" t="s">
        <v>28587</v>
      </c>
      <c r="C4438" s="16" t="s">
        <v>28588</v>
      </c>
      <c r="D4438" s="16" t="s">
        <v>16</v>
      </c>
      <c r="E4438" s="21" t="s">
        <v>28589</v>
      </c>
      <c r="F4438" s="22" t="s">
        <v>22263</v>
      </c>
      <c r="G4438" s="16">
        <v>23.61</v>
      </c>
      <c r="H4438" s="16"/>
      <c r="I4438" s="28" t="s">
        <v>28590</v>
      </c>
      <c r="J4438" s="22" t="s">
        <v>28591</v>
      </c>
      <c r="K4438" s="22" t="s">
        <v>28592</v>
      </c>
      <c r="L4438" s="23" t="s">
        <v>28593</v>
      </c>
      <c r="M4438" s="22"/>
      <c r="N4438" s="12"/>
      <c r="O4438" s="12"/>
      <c r="P4438" s="13">
        <f>IFERROR(__xludf.DUMMYFUNCTION("VALUE(SUBSTITUTE((INDEX(SPLIT(A4438,"",""),1)),""."","","",1))"),53.390557)</f>
        <v>53.390557</v>
      </c>
      <c r="Q4438" s="13">
        <f>IFERROR(__xludf.DUMMYFUNCTION("VALUE(SUBSTITUTE((INDEX(SPLIT(A4438,"",""),2)),""."","","",1))"),83.68442)</f>
        <v>83.68442</v>
      </c>
      <c r="R4438" s="14" t="b">
        <f t="shared" si="1"/>
        <v>0</v>
      </c>
      <c r="S4438" s="14" t="str">
        <f t="shared" si="2"/>
        <v>53.390557,83.68442</v>
      </c>
      <c r="T4438" s="12"/>
    </row>
    <row r="4439">
      <c r="A4439" s="18" t="s">
        <v>28594</v>
      </c>
      <c r="B4439" s="8" t="s">
        <v>28595</v>
      </c>
      <c r="C4439" s="8" t="s">
        <v>28596</v>
      </c>
      <c r="D4439" s="8" t="s">
        <v>16</v>
      </c>
      <c r="E4439" s="19" t="s">
        <v>28597</v>
      </c>
      <c r="F4439" s="8" t="s">
        <v>22263</v>
      </c>
      <c r="G4439" s="8">
        <v>23.61</v>
      </c>
      <c r="H4439" s="8"/>
      <c r="I4439" s="8"/>
      <c r="J4439" s="8" t="s">
        <v>28598</v>
      </c>
      <c r="K4439" s="8" t="s">
        <v>28599</v>
      </c>
      <c r="L4439" s="8"/>
      <c r="M4439" s="24" t="s">
        <v>28600</v>
      </c>
      <c r="N4439" s="12"/>
      <c r="O4439" s="12"/>
      <c r="P4439" s="13">
        <f>IFERROR(__xludf.DUMMYFUNCTION("VALUE(SUBSTITUTE((INDEX(SPLIT(A4439,"",""),1)),""."","","",1))"),53.330332)</f>
        <v>53.330332</v>
      </c>
      <c r="Q4439" s="13">
        <f>IFERROR(__xludf.DUMMYFUNCTION("VALUE(SUBSTITUTE((INDEX(SPLIT(A4439,"",""),2)),""."","","",1))"),83.684608)</f>
        <v>83.684608</v>
      </c>
      <c r="R4439" s="14" t="b">
        <f t="shared" si="1"/>
        <v>0</v>
      </c>
      <c r="S4439" s="14" t="str">
        <f t="shared" si="2"/>
        <v>53.330332,83.684608</v>
      </c>
      <c r="T4439" s="12"/>
    </row>
    <row r="4440">
      <c r="A4440" s="15" t="s">
        <v>28601</v>
      </c>
      <c r="B4440" s="16" t="s">
        <v>28602</v>
      </c>
      <c r="C4440" s="16" t="s">
        <v>28603</v>
      </c>
      <c r="D4440" s="16" t="s">
        <v>16</v>
      </c>
      <c r="E4440" s="17" t="s">
        <v>28604</v>
      </c>
      <c r="F4440" s="16" t="s">
        <v>22263</v>
      </c>
      <c r="G4440" s="16">
        <v>23.61</v>
      </c>
      <c r="H4440" s="16"/>
      <c r="I4440" s="32" t="s">
        <v>28605</v>
      </c>
      <c r="J4440" s="16" t="s">
        <v>28606</v>
      </c>
      <c r="K4440" s="16" t="s">
        <v>28607</v>
      </c>
      <c r="L4440" s="16"/>
      <c r="M4440" s="25" t="s">
        <v>28608</v>
      </c>
      <c r="N4440" s="12"/>
      <c r="O4440" s="12"/>
      <c r="P4440" s="13">
        <f>IFERROR(__xludf.DUMMYFUNCTION("VALUE(SUBSTITUTE((INDEX(SPLIT(A4440,"",""),1)),""."","","",1))"),53.393548)</f>
        <v>53.393548</v>
      </c>
      <c r="Q4440" s="13">
        <f>IFERROR(__xludf.DUMMYFUNCTION("VALUE(SUBSTITUTE((INDEX(SPLIT(A4440,"",""),2)),""."","","",1))"),83.688013)</f>
        <v>83.688013</v>
      </c>
      <c r="R4440" s="14" t="b">
        <f t="shared" si="1"/>
        <v>0</v>
      </c>
      <c r="S4440" s="14" t="str">
        <f t="shared" si="2"/>
        <v>53.393548,83.688013</v>
      </c>
      <c r="T4440" s="12"/>
    </row>
    <row r="4441">
      <c r="A4441" s="7" t="s">
        <v>28609</v>
      </c>
      <c r="B4441" s="8" t="s">
        <v>28610</v>
      </c>
      <c r="C4441" s="8" t="s">
        <v>28611</v>
      </c>
      <c r="D4441" s="8" t="s">
        <v>16</v>
      </c>
      <c r="E4441" s="9" t="s">
        <v>28612</v>
      </c>
      <c r="F4441" s="10" t="s">
        <v>22263</v>
      </c>
      <c r="G4441" s="8">
        <v>23.61</v>
      </c>
      <c r="H4441" s="8"/>
      <c r="I4441" s="10"/>
      <c r="J4441" s="10" t="s">
        <v>28613</v>
      </c>
      <c r="K4441" s="10" t="s">
        <v>28614</v>
      </c>
      <c r="L4441" s="29" t="s">
        <v>28615</v>
      </c>
      <c r="M4441" s="10"/>
      <c r="N4441" s="12"/>
      <c r="O4441" s="12"/>
      <c r="P4441" s="13">
        <f>IFERROR(__xludf.DUMMYFUNCTION("VALUE(SUBSTITUTE((INDEX(SPLIT(A4441,"",""),1)),""."","","",1))"),53.67282)</f>
        <v>53.67282</v>
      </c>
      <c r="Q4441" s="13">
        <f>IFERROR(__xludf.DUMMYFUNCTION("VALUE(SUBSTITUTE((INDEX(SPLIT(A4441,"",""),2)),""."","","",1))"),83.69555)</f>
        <v>83.69555</v>
      </c>
      <c r="R4441" s="14" t="b">
        <f t="shared" si="1"/>
        <v>0</v>
      </c>
      <c r="S4441" s="14" t="str">
        <f t="shared" si="2"/>
        <v>53.67282,83.69555</v>
      </c>
      <c r="T4441" s="12"/>
    </row>
    <row r="4442">
      <c r="A4442" s="15" t="s">
        <v>28609</v>
      </c>
      <c r="B4442" s="16" t="s">
        <v>28616</v>
      </c>
      <c r="C4442" s="16" t="s">
        <v>28617</v>
      </c>
      <c r="D4442" s="16" t="s">
        <v>16</v>
      </c>
      <c r="E4442" s="17" t="s">
        <v>28618</v>
      </c>
      <c r="F4442" s="16" t="s">
        <v>19378</v>
      </c>
      <c r="G4442" s="16">
        <v>23.61</v>
      </c>
      <c r="H4442" s="16"/>
      <c r="I4442" s="16"/>
      <c r="J4442" s="16" t="s">
        <v>28619</v>
      </c>
      <c r="K4442" s="16" t="s">
        <v>28620</v>
      </c>
      <c r="L4442" s="16"/>
      <c r="M4442" s="16"/>
      <c r="N4442" s="12"/>
      <c r="O4442" s="12"/>
      <c r="P4442" s="13">
        <f>IFERROR(__xludf.DUMMYFUNCTION("VALUE(SUBSTITUTE((INDEX(SPLIT(A4442,"",""),1)),""."","","",1))"),53.67282)</f>
        <v>53.67282</v>
      </c>
      <c r="Q4442" s="13">
        <f>IFERROR(__xludf.DUMMYFUNCTION("VALUE(SUBSTITUTE((INDEX(SPLIT(A4442,"",""),2)),""."","","",1))"),83.69555)</f>
        <v>83.69555</v>
      </c>
      <c r="R4442" s="14" t="b">
        <f t="shared" si="1"/>
        <v>0</v>
      </c>
      <c r="S4442" s="14" t="str">
        <f t="shared" si="2"/>
        <v>53.67282,83.69555</v>
      </c>
      <c r="T4442" s="12"/>
    </row>
    <row r="4443">
      <c r="A4443" s="18" t="s">
        <v>28621</v>
      </c>
      <c r="B4443" s="8" t="s">
        <v>28622</v>
      </c>
      <c r="C4443" s="8" t="s">
        <v>28623</v>
      </c>
      <c r="D4443" s="8" t="s">
        <v>16</v>
      </c>
      <c r="E4443" s="19" t="s">
        <v>28624</v>
      </c>
      <c r="F4443" s="8" t="s">
        <v>13482</v>
      </c>
      <c r="G4443" s="8">
        <v>23.61</v>
      </c>
      <c r="H4443" s="8"/>
      <c r="I4443" s="8"/>
      <c r="J4443" s="8" t="s">
        <v>28625</v>
      </c>
      <c r="K4443" s="8" t="s">
        <v>28626</v>
      </c>
      <c r="L4443" s="8"/>
      <c r="M4443" s="8"/>
      <c r="N4443" s="12"/>
      <c r="O4443" s="12"/>
      <c r="P4443" s="13">
        <f>IFERROR(__xludf.DUMMYFUNCTION("VALUE(SUBSTITUTE((INDEX(SPLIT(A4443,"",""),1)),""."","","",1))"),53.394069)</f>
        <v>53.394069</v>
      </c>
      <c r="Q4443" s="13">
        <f>IFERROR(__xludf.DUMMYFUNCTION("VALUE(SUBSTITUTE((INDEX(SPLIT(A4443,"",""),2)),""."","","",1))"),83.71366)</f>
        <v>83.71366</v>
      </c>
      <c r="R4443" s="14" t="b">
        <f t="shared" si="1"/>
        <v>0</v>
      </c>
      <c r="S4443" s="14" t="str">
        <f t="shared" si="2"/>
        <v>53.394069,83.71366</v>
      </c>
      <c r="T4443" s="12"/>
    </row>
    <row r="4444">
      <c r="A4444" s="15" t="s">
        <v>28627</v>
      </c>
      <c r="B4444" s="16" t="s">
        <v>28628</v>
      </c>
      <c r="C4444" s="16" t="s">
        <v>28629</v>
      </c>
      <c r="D4444" s="16" t="s">
        <v>16</v>
      </c>
      <c r="E4444" s="17" t="s">
        <v>28630</v>
      </c>
      <c r="F4444" s="16" t="s">
        <v>16486</v>
      </c>
      <c r="G4444" s="16">
        <v>23.61</v>
      </c>
      <c r="H4444" s="16"/>
      <c r="I4444" s="16"/>
      <c r="J4444" s="16" t="s">
        <v>28631</v>
      </c>
      <c r="K4444" s="16" t="s">
        <v>28632</v>
      </c>
      <c r="L4444" s="16"/>
      <c r="M4444" s="25" t="s">
        <v>28633</v>
      </c>
      <c r="N4444" s="12"/>
      <c r="O4444" s="12"/>
      <c r="P4444" s="13">
        <f>IFERROR(__xludf.DUMMYFUNCTION("VALUE(SUBSTITUTE((INDEX(SPLIT(A4444,"",""),1)),""."","","",1))"),53.334054)</f>
        <v>53.334054</v>
      </c>
      <c r="Q4444" s="13">
        <f>IFERROR(__xludf.DUMMYFUNCTION("VALUE(SUBSTITUTE((INDEX(SPLIT(A4444,"",""),2)),""."","","",1))"),83.74635)</f>
        <v>83.74635</v>
      </c>
      <c r="R4444" s="14" t="b">
        <f t="shared" si="1"/>
        <v>0</v>
      </c>
      <c r="S4444" s="14" t="str">
        <f t="shared" si="2"/>
        <v>53.334054,83.74635</v>
      </c>
      <c r="T4444" s="12"/>
    </row>
    <row r="4445">
      <c r="A4445" s="7" t="s">
        <v>28627</v>
      </c>
      <c r="B4445" s="8" t="s">
        <v>28634</v>
      </c>
      <c r="C4445" s="8" t="s">
        <v>28635</v>
      </c>
      <c r="D4445" s="8" t="s">
        <v>16</v>
      </c>
      <c r="E4445" s="9" t="s">
        <v>28636</v>
      </c>
      <c r="F4445" s="10" t="s">
        <v>12763</v>
      </c>
      <c r="G4445" s="8">
        <v>23.61</v>
      </c>
      <c r="H4445" s="8"/>
      <c r="I4445" s="31" t="s">
        <v>28637</v>
      </c>
      <c r="J4445" s="10" t="s">
        <v>28638</v>
      </c>
      <c r="K4445" s="10" t="s">
        <v>14850</v>
      </c>
      <c r="L4445" s="11" t="s">
        <v>28639</v>
      </c>
      <c r="M4445" s="10"/>
      <c r="N4445" s="12"/>
      <c r="O4445" s="12"/>
      <c r="P4445" s="13">
        <f>IFERROR(__xludf.DUMMYFUNCTION("VALUE(SUBSTITUTE((INDEX(SPLIT(A4445,"",""),1)),""."","","",1))"),53.334054)</f>
        <v>53.334054</v>
      </c>
      <c r="Q4445" s="13">
        <f>IFERROR(__xludf.DUMMYFUNCTION("VALUE(SUBSTITUTE((INDEX(SPLIT(A4445,"",""),2)),""."","","",1))"),83.74635)</f>
        <v>83.74635</v>
      </c>
      <c r="R4445" s="14" t="b">
        <f t="shared" si="1"/>
        <v>0</v>
      </c>
      <c r="S4445" s="14" t="str">
        <f t="shared" si="2"/>
        <v>53.334054,83.74635</v>
      </c>
      <c r="T4445" s="12"/>
    </row>
    <row r="4446">
      <c r="A4446" s="20" t="s">
        <v>28627</v>
      </c>
      <c r="B4446" s="16" t="s">
        <v>28640</v>
      </c>
      <c r="C4446" s="16" t="s">
        <v>28641</v>
      </c>
      <c r="D4446" s="16" t="s">
        <v>16</v>
      </c>
      <c r="E4446" s="21" t="s">
        <v>28642</v>
      </c>
      <c r="F4446" s="22" t="s">
        <v>12763</v>
      </c>
      <c r="G4446" s="16">
        <v>23.61</v>
      </c>
      <c r="H4446" s="16"/>
      <c r="I4446" s="28" t="s">
        <v>28643</v>
      </c>
      <c r="J4446" s="22" t="s">
        <v>28644</v>
      </c>
      <c r="K4446" s="22" t="s">
        <v>28645</v>
      </c>
      <c r="L4446" s="23" t="s">
        <v>28646</v>
      </c>
      <c r="M4446" s="22"/>
      <c r="N4446" s="12"/>
      <c r="O4446" s="12"/>
      <c r="P4446" s="13">
        <f>IFERROR(__xludf.DUMMYFUNCTION("VALUE(SUBSTITUTE((INDEX(SPLIT(A4446,"",""),1)),""."","","",1))"),53.334054)</f>
        <v>53.334054</v>
      </c>
      <c r="Q4446" s="13">
        <f>IFERROR(__xludf.DUMMYFUNCTION("VALUE(SUBSTITUTE((INDEX(SPLIT(A4446,"",""),2)),""."","","",1))"),83.74635)</f>
        <v>83.74635</v>
      </c>
      <c r="R4446" s="14" t="b">
        <f t="shared" si="1"/>
        <v>0</v>
      </c>
      <c r="S4446" s="14" t="str">
        <f t="shared" si="2"/>
        <v>53.334054,83.74635</v>
      </c>
      <c r="T4446" s="12"/>
    </row>
    <row r="4447">
      <c r="A4447" s="18" t="s">
        <v>28647</v>
      </c>
      <c r="B4447" s="8" t="s">
        <v>28648</v>
      </c>
      <c r="C4447" s="8" t="s">
        <v>28649</v>
      </c>
      <c r="D4447" s="8" t="s">
        <v>16</v>
      </c>
      <c r="E4447" s="19" t="s">
        <v>28650</v>
      </c>
      <c r="F4447" s="8" t="s">
        <v>12763</v>
      </c>
      <c r="G4447" s="8">
        <v>23.61</v>
      </c>
      <c r="H4447" s="8"/>
      <c r="I4447" s="8"/>
      <c r="J4447" s="8" t="s">
        <v>28651</v>
      </c>
      <c r="K4447" s="8" t="s">
        <v>28652</v>
      </c>
      <c r="L4447" s="8"/>
      <c r="M4447" s="24" t="s">
        <v>28653</v>
      </c>
      <c r="N4447" s="12"/>
      <c r="O4447" s="12"/>
      <c r="P4447" s="13">
        <f>IFERROR(__xludf.DUMMYFUNCTION("VALUE(SUBSTITUTE((INDEX(SPLIT(A4447,"",""),1)),""."","","",1))"),53.340253)</f>
        <v>53.340253</v>
      </c>
      <c r="Q4447" s="13">
        <f>IFERROR(__xludf.DUMMYFUNCTION("VALUE(SUBSTITUTE((INDEX(SPLIT(A4447,"",""),2)),""."","","",1))"),83.75288)</f>
        <v>83.75288</v>
      </c>
      <c r="R4447" s="14" t="b">
        <f t="shared" si="1"/>
        <v>0</v>
      </c>
      <c r="S4447" s="14" t="str">
        <f t="shared" si="2"/>
        <v>53.340253,83.75288</v>
      </c>
      <c r="T4447" s="12"/>
    </row>
    <row r="4448">
      <c r="A4448" s="15" t="s">
        <v>28654</v>
      </c>
      <c r="B4448" s="16" t="s">
        <v>21479</v>
      </c>
      <c r="C4448" s="16" t="s">
        <v>21480</v>
      </c>
      <c r="D4448" s="16" t="s">
        <v>16</v>
      </c>
      <c r="E4448" s="17" t="s">
        <v>28655</v>
      </c>
      <c r="F4448" s="16" t="s">
        <v>23108</v>
      </c>
      <c r="G4448" s="16">
        <v>23.61</v>
      </c>
      <c r="H4448" s="16"/>
      <c r="I4448" s="16"/>
      <c r="J4448" s="16" t="s">
        <v>28656</v>
      </c>
      <c r="K4448" s="16" t="s">
        <v>28657</v>
      </c>
      <c r="L4448" s="16"/>
      <c r="M4448" s="16"/>
      <c r="N4448" s="12"/>
      <c r="O4448" s="12"/>
      <c r="P4448" s="13">
        <f>IFERROR(__xludf.DUMMYFUNCTION("VALUE(SUBSTITUTE((INDEX(SPLIT(A4448,"",""),1)),""."","","",1))"),53.34014)</f>
        <v>53.34014</v>
      </c>
      <c r="Q4448" s="13">
        <f>IFERROR(__xludf.DUMMYFUNCTION("VALUE(SUBSTITUTE((INDEX(SPLIT(A4448,"",""),2)),""."","","",1))"),83.753896)</f>
        <v>83.753896</v>
      </c>
      <c r="R4448" s="14" t="b">
        <f t="shared" si="1"/>
        <v>0</v>
      </c>
      <c r="S4448" s="14" t="str">
        <f t="shared" si="2"/>
        <v>53.34014,83.753896</v>
      </c>
      <c r="T4448" s="12"/>
    </row>
    <row r="4449">
      <c r="A4449" s="18" t="s">
        <v>28658</v>
      </c>
      <c r="B4449" s="8" t="s">
        <v>28659</v>
      </c>
      <c r="C4449" s="8" t="s">
        <v>28660</v>
      </c>
      <c r="D4449" s="8" t="s">
        <v>16</v>
      </c>
      <c r="E4449" s="19" t="s">
        <v>28661</v>
      </c>
      <c r="F4449" s="8" t="s">
        <v>12763</v>
      </c>
      <c r="G4449" s="8">
        <v>23.61</v>
      </c>
      <c r="H4449" s="8"/>
      <c r="I4449" s="27" t="s">
        <v>28662</v>
      </c>
      <c r="J4449" s="8" t="s">
        <v>28663</v>
      </c>
      <c r="K4449" s="8" t="s">
        <v>28664</v>
      </c>
      <c r="L4449" s="8"/>
      <c r="M4449" s="8"/>
      <c r="N4449" s="12"/>
      <c r="O4449" s="12"/>
      <c r="P4449" s="13">
        <f>IFERROR(__xludf.DUMMYFUNCTION("VALUE(SUBSTITUTE((INDEX(SPLIT(A4449,"",""),1)),""."","","",1))"),53.355815)</f>
        <v>53.355815</v>
      </c>
      <c r="Q4449" s="13">
        <f>IFERROR(__xludf.DUMMYFUNCTION("VALUE(SUBSTITUTE((INDEX(SPLIT(A4449,"",""),2)),""."","","",1))"),83.775581)</f>
        <v>83.775581</v>
      </c>
      <c r="R4449" s="14" t="b">
        <f t="shared" si="1"/>
        <v>0</v>
      </c>
      <c r="S4449" s="14" t="str">
        <f t="shared" si="2"/>
        <v>53.355815,83.775581</v>
      </c>
      <c r="T4449" s="12"/>
    </row>
    <row r="4450">
      <c r="A4450" s="15" t="s">
        <v>28665</v>
      </c>
      <c r="B4450" s="16" t="s">
        <v>28666</v>
      </c>
      <c r="C4450" s="16" t="s">
        <v>28667</v>
      </c>
      <c r="D4450" s="16" t="s">
        <v>16</v>
      </c>
      <c r="E4450" s="17" t="s">
        <v>28668</v>
      </c>
      <c r="F4450" s="16" t="s">
        <v>23165</v>
      </c>
      <c r="G4450" s="16">
        <v>23.61</v>
      </c>
      <c r="H4450" s="16"/>
      <c r="I4450" s="16"/>
      <c r="J4450" s="16" t="s">
        <v>28669</v>
      </c>
      <c r="K4450" s="16" t="s">
        <v>23167</v>
      </c>
      <c r="L4450" s="16"/>
      <c r="M4450" s="16"/>
      <c r="N4450" s="12"/>
      <c r="O4450" s="12"/>
      <c r="P4450" s="13">
        <f>IFERROR(__xludf.DUMMYFUNCTION("VALUE(SUBSTITUTE((INDEX(SPLIT(A4450,"",""),1)),""."","","",1))"),53.346785)</f>
        <v>53.346785</v>
      </c>
      <c r="Q4450" s="13">
        <f>IFERROR(__xludf.DUMMYFUNCTION("VALUE(SUBSTITUTE((INDEX(SPLIT(A4450,"",""),2)),""."","","",1))"),83.776856)</f>
        <v>83.776856</v>
      </c>
      <c r="R4450" s="14" t="b">
        <f t="shared" si="1"/>
        <v>0</v>
      </c>
      <c r="S4450" s="14" t="str">
        <f t="shared" si="2"/>
        <v>53.346785,83.776856</v>
      </c>
      <c r="T4450" s="12"/>
    </row>
    <row r="4451">
      <c r="A4451" s="18" t="s">
        <v>28665</v>
      </c>
      <c r="B4451" s="8" t="s">
        <v>28670</v>
      </c>
      <c r="C4451" s="8" t="s">
        <v>28671</v>
      </c>
      <c r="D4451" s="8" t="s">
        <v>16</v>
      </c>
      <c r="E4451" s="19" t="s">
        <v>28672</v>
      </c>
      <c r="F4451" s="8" t="s">
        <v>12763</v>
      </c>
      <c r="G4451" s="8">
        <v>23.61</v>
      </c>
      <c r="H4451" s="8"/>
      <c r="I4451" s="8"/>
      <c r="J4451" s="8" t="s">
        <v>28673</v>
      </c>
      <c r="K4451" s="8" t="s">
        <v>28674</v>
      </c>
      <c r="L4451" s="8"/>
      <c r="M4451" s="24" t="s">
        <v>28675</v>
      </c>
      <c r="N4451" s="12"/>
      <c r="O4451" s="12"/>
      <c r="P4451" s="13">
        <f>IFERROR(__xludf.DUMMYFUNCTION("VALUE(SUBSTITUTE((INDEX(SPLIT(A4451,"",""),1)),""."","","",1))"),53.346785)</f>
        <v>53.346785</v>
      </c>
      <c r="Q4451" s="13">
        <f>IFERROR(__xludf.DUMMYFUNCTION("VALUE(SUBSTITUTE((INDEX(SPLIT(A4451,"",""),2)),""."","","",1))"),83.776856)</f>
        <v>83.776856</v>
      </c>
      <c r="R4451" s="14" t="b">
        <f t="shared" si="1"/>
        <v>0</v>
      </c>
      <c r="S4451" s="14" t="str">
        <f t="shared" si="2"/>
        <v>53.346785,83.776856</v>
      </c>
      <c r="T4451" s="12"/>
    </row>
    <row r="4452">
      <c r="A4452" s="15" t="s">
        <v>28665</v>
      </c>
      <c r="B4452" s="16" t="s">
        <v>9587</v>
      </c>
      <c r="C4452" s="16" t="s">
        <v>9588</v>
      </c>
      <c r="D4452" s="16" t="s">
        <v>16</v>
      </c>
      <c r="E4452" s="17" t="s">
        <v>28676</v>
      </c>
      <c r="F4452" s="16" t="s">
        <v>12763</v>
      </c>
      <c r="G4452" s="16">
        <v>23.61</v>
      </c>
      <c r="H4452" s="16"/>
      <c r="I4452" s="16"/>
      <c r="J4452" s="16" t="s">
        <v>28677</v>
      </c>
      <c r="K4452" s="16" t="s">
        <v>28678</v>
      </c>
      <c r="L4452" s="16"/>
      <c r="M4452" s="16"/>
      <c r="N4452" s="12"/>
      <c r="O4452" s="12"/>
      <c r="P4452" s="13">
        <f>IFERROR(__xludf.DUMMYFUNCTION("VALUE(SUBSTITUTE((INDEX(SPLIT(A4452,"",""),1)),""."","","",1))"),53.346785)</f>
        <v>53.346785</v>
      </c>
      <c r="Q4452" s="13">
        <f>IFERROR(__xludf.DUMMYFUNCTION("VALUE(SUBSTITUTE((INDEX(SPLIT(A4452,"",""),2)),""."","","",1))"),83.776856)</f>
        <v>83.776856</v>
      </c>
      <c r="R4452" s="14" t="b">
        <f t="shared" si="1"/>
        <v>0</v>
      </c>
      <c r="S4452" s="14" t="str">
        <f t="shared" si="2"/>
        <v>53.346785,83.776856</v>
      </c>
      <c r="T4452" s="12"/>
    </row>
    <row r="4453">
      <c r="A4453" s="18" t="s">
        <v>28679</v>
      </c>
      <c r="B4453" s="8" t="s">
        <v>28680</v>
      </c>
      <c r="C4453" s="8" t="s">
        <v>28681</v>
      </c>
      <c r="D4453" s="8" t="s">
        <v>16</v>
      </c>
      <c r="E4453" s="19" t="s">
        <v>28682</v>
      </c>
      <c r="F4453" s="8" t="s">
        <v>12763</v>
      </c>
      <c r="G4453" s="8">
        <v>23.61</v>
      </c>
      <c r="H4453" s="8"/>
      <c r="I4453" s="8"/>
      <c r="J4453" s="8" t="s">
        <v>28683</v>
      </c>
      <c r="K4453" s="8" t="s">
        <v>28684</v>
      </c>
      <c r="L4453" s="8"/>
      <c r="M4453" s="24" t="s">
        <v>28685</v>
      </c>
      <c r="N4453" s="12"/>
      <c r="O4453" s="12"/>
      <c r="P4453" s="13">
        <f>IFERROR(__xludf.DUMMYFUNCTION("VALUE(SUBSTITUTE((INDEX(SPLIT(A4453,"",""),1)),""."","","",1))"),53.325508)</f>
        <v>53.325508</v>
      </c>
      <c r="Q4453" s="13">
        <f>IFERROR(__xludf.DUMMYFUNCTION("VALUE(SUBSTITUTE((INDEX(SPLIT(A4453,"",""),2)),""."","","",1))"),83.779084)</f>
        <v>83.779084</v>
      </c>
      <c r="R4453" s="14" t="b">
        <f t="shared" si="1"/>
        <v>0</v>
      </c>
      <c r="S4453" s="14" t="str">
        <f t="shared" si="2"/>
        <v>53.325508,83.779084</v>
      </c>
      <c r="T4453" s="12"/>
    </row>
    <row r="4454">
      <c r="A4454" s="15" t="s">
        <v>28686</v>
      </c>
      <c r="B4454" s="16" t="s">
        <v>28687</v>
      </c>
      <c r="C4454" s="16" t="s">
        <v>28688</v>
      </c>
      <c r="D4454" s="16" t="s">
        <v>16</v>
      </c>
      <c r="E4454" s="17" t="s">
        <v>28689</v>
      </c>
      <c r="F4454" s="16" t="s">
        <v>12763</v>
      </c>
      <c r="G4454" s="16">
        <v>23.61</v>
      </c>
      <c r="H4454" s="16"/>
      <c r="I4454" s="16"/>
      <c r="J4454" s="16" t="s">
        <v>28690</v>
      </c>
      <c r="K4454" s="16" t="s">
        <v>13697</v>
      </c>
      <c r="L4454" s="16"/>
      <c r="M4454" s="16"/>
      <c r="N4454" s="12"/>
      <c r="O4454" s="12"/>
      <c r="P4454" s="13">
        <f>IFERROR(__xludf.DUMMYFUNCTION("VALUE(SUBSTITUTE((INDEX(SPLIT(A4454,"",""),1)),""."","","",1))"),53.330827)</f>
        <v>53.330827</v>
      </c>
      <c r="Q4454" s="13">
        <f>IFERROR(__xludf.DUMMYFUNCTION("VALUE(SUBSTITUTE((INDEX(SPLIT(A4454,"",""),2)),""."","","",1))"),83.780108)</f>
        <v>83.780108</v>
      </c>
      <c r="R4454" s="14" t="b">
        <f t="shared" si="1"/>
        <v>0</v>
      </c>
      <c r="S4454" s="14" t="str">
        <f t="shared" si="2"/>
        <v>53.330827,83.780108</v>
      </c>
      <c r="T4454" s="12"/>
    </row>
    <row r="4455">
      <c r="A4455" s="7" t="s">
        <v>28691</v>
      </c>
      <c r="B4455" s="8" t="s">
        <v>28692</v>
      </c>
      <c r="C4455" s="8" t="s">
        <v>28693</v>
      </c>
      <c r="D4455" s="8" t="s">
        <v>16</v>
      </c>
      <c r="E4455" s="9" t="s">
        <v>28694</v>
      </c>
      <c r="F4455" s="10" t="s">
        <v>12763</v>
      </c>
      <c r="G4455" s="8">
        <v>23.61</v>
      </c>
      <c r="H4455" s="8"/>
      <c r="I4455" s="10"/>
      <c r="J4455" s="10" t="s">
        <v>28695</v>
      </c>
      <c r="K4455" s="10" t="s">
        <v>28696</v>
      </c>
      <c r="L4455" s="11" t="s">
        <v>28697</v>
      </c>
      <c r="M4455" s="10"/>
      <c r="N4455" s="12"/>
      <c r="O4455" s="12"/>
      <c r="P4455" s="13">
        <f>IFERROR(__xludf.DUMMYFUNCTION("VALUE(SUBSTITUTE((INDEX(SPLIT(A4455,"",""),1)),""."","","",1))"),53.339683)</f>
        <v>53.339683</v>
      </c>
      <c r="Q4455" s="13">
        <f>IFERROR(__xludf.DUMMYFUNCTION("VALUE(SUBSTITUTE((INDEX(SPLIT(A4455,"",""),2)),""."","","",1))"),83.782255)</f>
        <v>83.782255</v>
      </c>
      <c r="R4455" s="14" t="b">
        <f t="shared" si="1"/>
        <v>0</v>
      </c>
      <c r="S4455" s="14" t="str">
        <f t="shared" si="2"/>
        <v>53.339683,83.782255</v>
      </c>
      <c r="T4455" s="12"/>
    </row>
    <row r="4456">
      <c r="A4456" s="20" t="s">
        <v>28698</v>
      </c>
      <c r="B4456" s="16" t="s">
        <v>28699</v>
      </c>
      <c r="C4456" s="16" t="s">
        <v>28700</v>
      </c>
      <c r="D4456" s="16" t="s">
        <v>16</v>
      </c>
      <c r="E4456" s="21" t="s">
        <v>28701</v>
      </c>
      <c r="F4456" s="22" t="s">
        <v>12763</v>
      </c>
      <c r="G4456" s="16">
        <v>23.61</v>
      </c>
      <c r="H4456" s="16"/>
      <c r="I4456" s="22"/>
      <c r="J4456" s="22" t="s">
        <v>28702</v>
      </c>
      <c r="K4456" s="22" t="s">
        <v>28703</v>
      </c>
      <c r="L4456" s="23" t="s">
        <v>28704</v>
      </c>
      <c r="M4456" s="22"/>
      <c r="N4456" s="12"/>
      <c r="O4456" s="12"/>
      <c r="P4456" s="13">
        <f>IFERROR(__xludf.DUMMYFUNCTION("VALUE(SUBSTITUTE((INDEX(SPLIT(A4456,"",""),1)),""."","","",1))"),53.339156)</f>
        <v>53.339156</v>
      </c>
      <c r="Q4456" s="13">
        <f>IFERROR(__xludf.DUMMYFUNCTION("VALUE(SUBSTITUTE((INDEX(SPLIT(A4456,"",""),2)),""."","","",1))"),83.785435)</f>
        <v>83.785435</v>
      </c>
      <c r="R4456" s="14" t="b">
        <f t="shared" si="1"/>
        <v>0</v>
      </c>
      <c r="S4456" s="14" t="str">
        <f t="shared" si="2"/>
        <v>53.339156,83.785435</v>
      </c>
      <c r="T4456" s="12"/>
    </row>
    <row r="4457">
      <c r="A4457" s="18" t="s">
        <v>28705</v>
      </c>
      <c r="B4457" s="8" t="s">
        <v>21089</v>
      </c>
      <c r="C4457" s="8" t="s">
        <v>17825</v>
      </c>
      <c r="D4457" s="8" t="s">
        <v>16</v>
      </c>
      <c r="E4457" s="19" t="s">
        <v>28706</v>
      </c>
      <c r="F4457" s="8" t="s">
        <v>5788</v>
      </c>
      <c r="G4457" s="8">
        <v>23.61</v>
      </c>
      <c r="H4457" s="8"/>
      <c r="I4457" s="8"/>
      <c r="J4457" s="8" t="s">
        <v>28707</v>
      </c>
      <c r="K4457" s="8" t="s">
        <v>28708</v>
      </c>
      <c r="L4457" s="8"/>
      <c r="M4457" s="8"/>
      <c r="N4457" s="12"/>
      <c r="O4457" s="12"/>
      <c r="P4457" s="13">
        <f>IFERROR(__xludf.DUMMYFUNCTION("VALUE(SUBSTITUTE((INDEX(SPLIT(A4457,"",""),1)),""."","","",1))"),53.334209)</f>
        <v>53.334209</v>
      </c>
      <c r="Q4457" s="13">
        <f>IFERROR(__xludf.DUMMYFUNCTION("VALUE(SUBSTITUTE((INDEX(SPLIT(A4457,"",""),2)),""."","","",1))"),83.794419)</f>
        <v>83.794419</v>
      </c>
      <c r="R4457" s="14" t="b">
        <f t="shared" si="1"/>
        <v>0</v>
      </c>
      <c r="S4457" s="14" t="str">
        <f t="shared" si="2"/>
        <v>53.334209,83.794419</v>
      </c>
      <c r="T4457" s="12"/>
    </row>
    <row r="4458">
      <c r="A4458" s="15" t="s">
        <v>28709</v>
      </c>
      <c r="B4458" s="16" t="s">
        <v>26782</v>
      </c>
      <c r="C4458" s="16" t="s">
        <v>26783</v>
      </c>
      <c r="D4458" s="16" t="s">
        <v>16</v>
      </c>
      <c r="E4458" s="17" t="s">
        <v>28710</v>
      </c>
      <c r="F4458" s="16" t="s">
        <v>3760</v>
      </c>
      <c r="G4458" s="16">
        <v>23.61</v>
      </c>
      <c r="H4458" s="16"/>
      <c r="I4458" s="16"/>
      <c r="J4458" s="16" t="s">
        <v>28711</v>
      </c>
      <c r="K4458" s="16" t="s">
        <v>28712</v>
      </c>
      <c r="L4458" s="16"/>
      <c r="M4458" s="16"/>
      <c r="N4458" s="12"/>
      <c r="O4458" s="12"/>
      <c r="P4458" s="13">
        <f>IFERROR(__xludf.DUMMYFUNCTION("VALUE(SUBSTITUTE((INDEX(SPLIT(A4458,"",""),1)),""."","","",1))"),53.33479)</f>
        <v>53.33479</v>
      </c>
      <c r="Q4458" s="13">
        <f>IFERROR(__xludf.DUMMYFUNCTION("VALUE(SUBSTITUTE((INDEX(SPLIT(A4458,"",""),2)),""."","","",1))"),83.796727)</f>
        <v>83.796727</v>
      </c>
      <c r="R4458" s="14" t="b">
        <f t="shared" si="1"/>
        <v>0</v>
      </c>
      <c r="S4458" s="14" t="str">
        <f t="shared" si="2"/>
        <v>53.33479,83.796727</v>
      </c>
      <c r="T4458" s="12"/>
    </row>
    <row r="4459">
      <c r="A4459" s="7" t="s">
        <v>28713</v>
      </c>
      <c r="B4459" s="8" t="s">
        <v>28714</v>
      </c>
      <c r="C4459" s="8" t="s">
        <v>28715</v>
      </c>
      <c r="D4459" s="8" t="s">
        <v>16</v>
      </c>
      <c r="E4459" s="9" t="s">
        <v>28716</v>
      </c>
      <c r="F4459" s="10" t="s">
        <v>3148</v>
      </c>
      <c r="G4459" s="8">
        <v>23.61</v>
      </c>
      <c r="H4459" s="8"/>
      <c r="I4459" s="31" t="s">
        <v>28717</v>
      </c>
      <c r="J4459" s="10" t="s">
        <v>28718</v>
      </c>
      <c r="K4459" s="10" t="s">
        <v>28719</v>
      </c>
      <c r="L4459" s="11" t="s">
        <v>28720</v>
      </c>
      <c r="M4459" s="10"/>
      <c r="N4459" s="12"/>
      <c r="O4459" s="12"/>
      <c r="P4459" s="13">
        <f>IFERROR(__xludf.DUMMYFUNCTION("VALUE(SUBSTITUTE((INDEX(SPLIT(A4459,"",""),1)),""."","","",1))"),53.334295)</f>
        <v>53.334295</v>
      </c>
      <c r="Q4459" s="13">
        <f>IFERROR(__xludf.DUMMYFUNCTION("VALUE(SUBSTITUTE((INDEX(SPLIT(A4459,"",""),2)),""."","","",1))"),83.797832)</f>
        <v>83.797832</v>
      </c>
      <c r="R4459" s="14" t="b">
        <f t="shared" si="1"/>
        <v>0</v>
      </c>
      <c r="S4459" s="14" t="str">
        <f t="shared" si="2"/>
        <v>53.334295,83.797832</v>
      </c>
      <c r="T4459" s="12"/>
    </row>
    <row r="4460">
      <c r="A4460" s="15" t="s">
        <v>28721</v>
      </c>
      <c r="B4460" s="16" t="s">
        <v>28722</v>
      </c>
      <c r="C4460" s="16" t="s">
        <v>28723</v>
      </c>
      <c r="D4460" s="16" t="s">
        <v>16</v>
      </c>
      <c r="E4460" s="17" t="s">
        <v>28724</v>
      </c>
      <c r="F4460" s="16" t="s">
        <v>3148</v>
      </c>
      <c r="G4460" s="16">
        <v>23.61</v>
      </c>
      <c r="H4460" s="16"/>
      <c r="I4460" s="16"/>
      <c r="J4460" s="16" t="s">
        <v>28725</v>
      </c>
      <c r="K4460" s="16" t="s">
        <v>28726</v>
      </c>
      <c r="L4460" s="16"/>
      <c r="M4460" s="16"/>
      <c r="N4460" s="12"/>
      <c r="O4460" s="12"/>
      <c r="P4460" s="13">
        <f>IFERROR(__xludf.DUMMYFUNCTION("VALUE(SUBSTITUTE((INDEX(SPLIT(A4460,"",""),1)),""."","","",1))"),53.461617)</f>
        <v>53.461617</v>
      </c>
      <c r="Q4460" s="13">
        <f>IFERROR(__xludf.DUMMYFUNCTION("VALUE(SUBSTITUTE((INDEX(SPLIT(A4460,"",""),2)),""."","","",1))"),83.918161)</f>
        <v>83.918161</v>
      </c>
      <c r="R4460" s="14" t="b">
        <f t="shared" si="1"/>
        <v>0</v>
      </c>
      <c r="S4460" s="14" t="str">
        <f t="shared" si="2"/>
        <v>53.461617,83.918161</v>
      </c>
      <c r="T4460" s="12"/>
    </row>
    <row r="4461">
      <c r="A4461" s="18" t="s">
        <v>28727</v>
      </c>
      <c r="B4461" s="8" t="s">
        <v>28728</v>
      </c>
      <c r="C4461" s="8" t="s">
        <v>28729</v>
      </c>
      <c r="D4461" s="8" t="s">
        <v>16</v>
      </c>
      <c r="E4461" s="19" t="s">
        <v>28730</v>
      </c>
      <c r="F4461" s="8" t="s">
        <v>18</v>
      </c>
      <c r="G4461" s="8">
        <v>23.61</v>
      </c>
      <c r="H4461" s="8"/>
      <c r="I4461" s="8"/>
      <c r="J4461" s="8" t="s">
        <v>28731</v>
      </c>
      <c r="K4461" s="8" t="s">
        <v>28732</v>
      </c>
      <c r="L4461" s="8"/>
      <c r="M4461" s="8"/>
      <c r="N4461" s="12"/>
      <c r="O4461" s="12"/>
      <c r="P4461" s="13">
        <f>IFERROR(__xludf.DUMMYFUNCTION("VALUE(SUBSTITUTE((INDEX(SPLIT(A4461,"",""),1)),""."","","",1))"),53.412021)</f>
        <v>53.412021</v>
      </c>
      <c r="Q4461" s="13">
        <f>IFERROR(__xludf.DUMMYFUNCTION("VALUE(SUBSTITUTE((INDEX(SPLIT(A4461,"",""),2)),""."","","",1))"),83.931079)</f>
        <v>83.931079</v>
      </c>
      <c r="R4461" s="14" t="b">
        <f t="shared" si="1"/>
        <v>0</v>
      </c>
      <c r="S4461" s="14" t="str">
        <f t="shared" si="2"/>
        <v>53.412021,83.931079</v>
      </c>
      <c r="T4461" s="12"/>
    </row>
    <row r="4462">
      <c r="A4462" s="15" t="s">
        <v>28733</v>
      </c>
      <c r="B4462" s="16" t="s">
        <v>28734</v>
      </c>
      <c r="C4462" s="16" t="s">
        <v>28735</v>
      </c>
      <c r="D4462" s="16" t="s">
        <v>16</v>
      </c>
      <c r="E4462" s="17" t="s">
        <v>28736</v>
      </c>
      <c r="F4462" s="16" t="s">
        <v>12763</v>
      </c>
      <c r="G4462" s="16">
        <v>23.61</v>
      </c>
      <c r="H4462" s="16"/>
      <c r="I4462" s="16"/>
      <c r="J4462" s="16" t="s">
        <v>28737</v>
      </c>
      <c r="K4462" s="16" t="s">
        <v>28738</v>
      </c>
      <c r="L4462" s="16"/>
      <c r="M4462" s="16"/>
      <c r="N4462" s="12"/>
      <c r="O4462" s="12"/>
      <c r="P4462" s="13">
        <f>IFERROR(__xludf.DUMMYFUNCTION("VALUE(SUBSTITUTE((INDEX(SPLIT(A4462,"",""),1)),""."","","",1))"),53.382469)</f>
        <v>53.382469</v>
      </c>
      <c r="Q4462" s="13">
        <f>IFERROR(__xludf.DUMMYFUNCTION("VALUE(SUBSTITUTE((INDEX(SPLIT(A4462,"",""),2)),""."","","",1))"),83.939631)</f>
        <v>83.939631</v>
      </c>
      <c r="R4462" s="14" t="b">
        <f t="shared" si="1"/>
        <v>0</v>
      </c>
      <c r="S4462" s="14" t="str">
        <f t="shared" si="2"/>
        <v>53.382469,83.939631</v>
      </c>
      <c r="T4462" s="12"/>
    </row>
    <row r="4463">
      <c r="A4463" s="7" t="s">
        <v>28739</v>
      </c>
      <c r="B4463" s="8" t="s">
        <v>28740</v>
      </c>
      <c r="C4463" s="8" t="s">
        <v>28741</v>
      </c>
      <c r="D4463" s="8" t="s">
        <v>16</v>
      </c>
      <c r="E4463" s="9" t="s">
        <v>28742</v>
      </c>
      <c r="F4463" s="10" t="s">
        <v>22263</v>
      </c>
      <c r="G4463" s="8">
        <v>23.61</v>
      </c>
      <c r="H4463" s="8"/>
      <c r="I4463" s="10"/>
      <c r="J4463" s="10" t="s">
        <v>28743</v>
      </c>
      <c r="K4463" s="10" t="s">
        <v>28744</v>
      </c>
      <c r="L4463" s="11" t="s">
        <v>28745</v>
      </c>
      <c r="M4463" s="10"/>
      <c r="N4463" s="12"/>
      <c r="O4463" s="12"/>
      <c r="P4463" s="13">
        <f>IFERROR(__xludf.DUMMYFUNCTION("VALUE(SUBSTITUTE((INDEX(SPLIT(A4463,"",""),1)),""."","","",1))"),53.387566)</f>
        <v>53.387566</v>
      </c>
      <c r="Q4463" s="13">
        <f>IFERROR(__xludf.DUMMYFUNCTION("VALUE(SUBSTITUTE((INDEX(SPLIT(A4463,"",""),2)),""."","","",1))"),83.958262)</f>
        <v>83.958262</v>
      </c>
      <c r="R4463" s="14" t="b">
        <f t="shared" si="1"/>
        <v>0</v>
      </c>
      <c r="S4463" s="14" t="str">
        <f t="shared" si="2"/>
        <v>53.387566,83.958262</v>
      </c>
      <c r="T4463" s="12"/>
    </row>
    <row r="4464">
      <c r="A4464" s="20" t="s">
        <v>28746</v>
      </c>
      <c r="B4464" s="16" t="s">
        <v>28747</v>
      </c>
      <c r="C4464" s="16" t="s">
        <v>28748</v>
      </c>
      <c r="D4464" s="16" t="s">
        <v>16</v>
      </c>
      <c r="E4464" s="21" t="s">
        <v>28749</v>
      </c>
      <c r="F4464" s="22" t="s">
        <v>19378</v>
      </c>
      <c r="G4464" s="16">
        <v>23.61</v>
      </c>
      <c r="H4464" s="16"/>
      <c r="I4464" s="22"/>
      <c r="J4464" s="22" t="s">
        <v>28750</v>
      </c>
      <c r="K4464" s="22" t="s">
        <v>28751</v>
      </c>
      <c r="L4464" s="30" t="s">
        <v>28752</v>
      </c>
      <c r="M4464" s="22"/>
      <c r="N4464" s="12"/>
      <c r="O4464" s="12"/>
      <c r="P4464" s="13">
        <f>IFERROR(__xludf.DUMMYFUNCTION("VALUE(SUBSTITUTE((INDEX(SPLIT(A4464,"",""),1)),""."","","",1))"),53.352477)</f>
        <v>53.352477</v>
      </c>
      <c r="Q4464" s="13">
        <f>IFERROR(__xludf.DUMMYFUNCTION("VALUE(SUBSTITUTE((INDEX(SPLIT(A4464,"",""),2)),""."","","",1))"),83.974854)</f>
        <v>83.974854</v>
      </c>
      <c r="R4464" s="14" t="b">
        <f t="shared" si="1"/>
        <v>0</v>
      </c>
      <c r="S4464" s="14" t="str">
        <f t="shared" si="2"/>
        <v>53.352477,83.974854</v>
      </c>
      <c r="T4464" s="12"/>
    </row>
    <row r="4465">
      <c r="A4465" s="7" t="s">
        <v>28753</v>
      </c>
      <c r="B4465" s="8" t="s">
        <v>10304</v>
      </c>
      <c r="C4465" s="8" t="s">
        <v>10305</v>
      </c>
      <c r="D4465" s="8" t="s">
        <v>16</v>
      </c>
      <c r="E4465" s="9" t="s">
        <v>28754</v>
      </c>
      <c r="F4465" s="10" t="s">
        <v>19378</v>
      </c>
      <c r="G4465" s="8">
        <v>23.61</v>
      </c>
      <c r="H4465" s="8"/>
      <c r="I4465" s="10"/>
      <c r="J4465" s="10" t="s">
        <v>28755</v>
      </c>
      <c r="K4465" s="10" t="s">
        <v>28756</v>
      </c>
      <c r="L4465" s="11" t="s">
        <v>28757</v>
      </c>
      <c r="M4465" s="10"/>
      <c r="N4465" s="12"/>
      <c r="O4465" s="12"/>
      <c r="P4465" s="13">
        <f>IFERROR(__xludf.DUMMYFUNCTION("VALUE(SUBSTITUTE((INDEX(SPLIT(A4465,"",""),1)),""."","","",1))"),53.394353)</f>
        <v>53.394353</v>
      </c>
      <c r="Q4465" s="13">
        <f>IFERROR(__xludf.DUMMYFUNCTION("VALUE(SUBSTITUTE((INDEX(SPLIT(A4465,"",""),2)),""."","","",1))"),83.987682)</f>
        <v>83.987682</v>
      </c>
      <c r="R4465" s="14" t="b">
        <f t="shared" si="1"/>
        <v>0</v>
      </c>
      <c r="S4465" s="14" t="str">
        <f t="shared" si="2"/>
        <v>53.394353,83.987682</v>
      </c>
      <c r="T4465" s="12"/>
    </row>
    <row r="4466">
      <c r="A4466" s="20" t="s">
        <v>28758</v>
      </c>
      <c r="B4466" s="16" t="s">
        <v>28759</v>
      </c>
      <c r="C4466" s="16" t="s">
        <v>28760</v>
      </c>
      <c r="D4466" s="16" t="s">
        <v>16</v>
      </c>
      <c r="E4466" s="21" t="s">
        <v>28761</v>
      </c>
      <c r="F4466" s="22" t="s">
        <v>19378</v>
      </c>
      <c r="G4466" s="16">
        <v>23.61</v>
      </c>
      <c r="H4466" s="16"/>
      <c r="I4466" s="22"/>
      <c r="J4466" s="22" t="s">
        <v>28762</v>
      </c>
      <c r="K4466" s="22" t="s">
        <v>28763</v>
      </c>
      <c r="L4466" s="30" t="s">
        <v>28764</v>
      </c>
      <c r="M4466" s="22"/>
      <c r="N4466" s="12"/>
      <c r="O4466" s="12"/>
      <c r="P4466" s="13">
        <f>IFERROR(__xludf.DUMMYFUNCTION("VALUE(SUBSTITUTE((INDEX(SPLIT(A4466,"",""),1)),""."","","",1))"),53.408618)</f>
        <v>53.408618</v>
      </c>
      <c r="Q4466" s="13">
        <f>IFERROR(__xludf.DUMMYFUNCTION("VALUE(SUBSTITUTE((INDEX(SPLIT(A4466,"",""),2)),""."","","",1))"),84.310123)</f>
        <v>84.310123</v>
      </c>
      <c r="R4466" s="14" t="b">
        <f t="shared" si="1"/>
        <v>0</v>
      </c>
      <c r="S4466" s="14" t="str">
        <f t="shared" si="2"/>
        <v>53.408618,84.310123</v>
      </c>
      <c r="T4466" s="12"/>
    </row>
    <row r="4467">
      <c r="A4467" s="7" t="s">
        <v>28765</v>
      </c>
      <c r="B4467" s="8" t="s">
        <v>28766</v>
      </c>
      <c r="C4467" s="8" t="s">
        <v>28767</v>
      </c>
      <c r="D4467" s="8" t="s">
        <v>16</v>
      </c>
      <c r="E4467" s="9" t="s">
        <v>28768</v>
      </c>
      <c r="F4467" s="10" t="s">
        <v>19378</v>
      </c>
      <c r="G4467" s="8">
        <v>23.61</v>
      </c>
      <c r="H4467" s="8"/>
      <c r="I4467" s="10"/>
      <c r="J4467" s="10" t="s">
        <v>28769</v>
      </c>
      <c r="K4467" s="10" t="s">
        <v>28763</v>
      </c>
      <c r="L4467" s="29" t="s">
        <v>28770</v>
      </c>
      <c r="M4467" s="10"/>
      <c r="N4467" s="12"/>
      <c r="O4467" s="12"/>
      <c r="P4467" s="13">
        <f>IFERROR(__xludf.DUMMYFUNCTION("VALUE(SUBSTITUTE((INDEX(SPLIT(A4467,"",""),1)),""."","","",1))"),55.234753)</f>
        <v>55.234753</v>
      </c>
      <c r="Q4467" s="13">
        <f>IFERROR(__xludf.DUMMYFUNCTION("VALUE(SUBSTITUTE((INDEX(SPLIT(A4467,"",""),2)),""."","","",1))"),84.385878)</f>
        <v>84.385878</v>
      </c>
      <c r="R4467" s="14" t="b">
        <f t="shared" si="1"/>
        <v>0</v>
      </c>
      <c r="S4467" s="14" t="str">
        <f t="shared" si="2"/>
        <v>55.234753,84.385878</v>
      </c>
      <c r="T4467" s="12"/>
    </row>
    <row r="4468">
      <c r="A4468" s="20" t="s">
        <v>28771</v>
      </c>
      <c r="B4468" s="16" t="s">
        <v>28772</v>
      </c>
      <c r="C4468" s="16" t="s">
        <v>28773</v>
      </c>
      <c r="D4468" s="16" t="s">
        <v>16</v>
      </c>
      <c r="E4468" s="21" t="s">
        <v>28774</v>
      </c>
      <c r="F4468" s="22" t="s">
        <v>19378</v>
      </c>
      <c r="G4468" s="16">
        <v>23.61</v>
      </c>
      <c r="H4468" s="16"/>
      <c r="I4468" s="22"/>
      <c r="J4468" s="22" t="s">
        <v>28775</v>
      </c>
      <c r="K4468" s="22" t="s">
        <v>28776</v>
      </c>
      <c r="L4468" s="23" t="s">
        <v>28777</v>
      </c>
      <c r="M4468" s="22"/>
      <c r="N4468" s="12"/>
      <c r="O4468" s="12"/>
      <c r="P4468" s="13">
        <f>IFERROR(__xludf.DUMMYFUNCTION("VALUE(SUBSTITUTE((INDEX(SPLIT(A4468,"",""),1)),""."","","",1))"),56.739317)</f>
        <v>56.739317</v>
      </c>
      <c r="Q4468" s="13">
        <f>IFERROR(__xludf.DUMMYFUNCTION("VALUE(SUBSTITUTE((INDEX(SPLIT(A4468,"",""),2)),""."","","",1))"),84.715201)</f>
        <v>84.715201</v>
      </c>
      <c r="R4468" s="14" t="b">
        <f t="shared" si="1"/>
        <v>0</v>
      </c>
      <c r="S4468" s="14" t="str">
        <f t="shared" si="2"/>
        <v>56.739317,84.715201</v>
      </c>
      <c r="T4468" s="12"/>
    </row>
    <row r="4469">
      <c r="A4469" s="7" t="s">
        <v>28778</v>
      </c>
      <c r="B4469" s="8" t="s">
        <v>28779</v>
      </c>
      <c r="C4469" s="8" t="s">
        <v>28780</v>
      </c>
      <c r="D4469" s="8" t="s">
        <v>16</v>
      </c>
      <c r="E4469" s="9" t="s">
        <v>28781</v>
      </c>
      <c r="F4469" s="10" t="s">
        <v>19378</v>
      </c>
      <c r="G4469" s="8">
        <v>23.61</v>
      </c>
      <c r="H4469" s="8"/>
      <c r="I4469" s="10"/>
      <c r="J4469" s="10" t="s">
        <v>28782</v>
      </c>
      <c r="K4469" s="10" t="s">
        <v>28783</v>
      </c>
      <c r="L4469" s="11" t="s">
        <v>28784</v>
      </c>
      <c r="M4469" s="10"/>
      <c r="N4469" s="12"/>
      <c r="O4469" s="12"/>
      <c r="P4469" s="13">
        <f>IFERROR(__xludf.DUMMYFUNCTION("VALUE(SUBSTITUTE((INDEX(SPLIT(A4469,"",""),1)),""."","","",1))"),56.51161)</f>
        <v>56.51161</v>
      </c>
      <c r="Q4469" s="13">
        <f>IFERROR(__xludf.DUMMYFUNCTION("VALUE(SUBSTITUTE((INDEX(SPLIT(A4469,"",""),2)),""."","","",1))"),84.743004)</f>
        <v>84.743004</v>
      </c>
      <c r="R4469" s="14" t="b">
        <f t="shared" si="1"/>
        <v>0</v>
      </c>
      <c r="S4469" s="14" t="str">
        <f t="shared" si="2"/>
        <v>56.51161,84.743004</v>
      </c>
      <c r="T4469" s="12"/>
    </row>
    <row r="4470">
      <c r="A4470" s="20" t="s">
        <v>28785</v>
      </c>
      <c r="B4470" s="16" t="s">
        <v>28786</v>
      </c>
      <c r="C4470" s="16" t="s">
        <v>28787</v>
      </c>
      <c r="D4470" s="16" t="s">
        <v>16</v>
      </c>
      <c r="E4470" s="21" t="s">
        <v>28788</v>
      </c>
      <c r="F4470" s="22" t="s">
        <v>19378</v>
      </c>
      <c r="G4470" s="16">
        <v>23.61</v>
      </c>
      <c r="H4470" s="16"/>
      <c r="I4470" s="22"/>
      <c r="J4470" s="22" t="s">
        <v>28789</v>
      </c>
      <c r="K4470" s="22" t="s">
        <v>28790</v>
      </c>
      <c r="L4470" s="30" t="s">
        <v>28791</v>
      </c>
      <c r="M4470" s="22"/>
      <c r="N4470" s="12"/>
      <c r="O4470" s="12"/>
      <c r="P4470" s="13">
        <f>IFERROR(__xludf.DUMMYFUNCTION("VALUE(SUBSTITUTE((INDEX(SPLIT(A4470,"",""),1)),""."","","",1))"),56.420364)</f>
        <v>56.420364</v>
      </c>
      <c r="Q4470" s="13">
        <f>IFERROR(__xludf.DUMMYFUNCTION("VALUE(SUBSTITUTE((INDEX(SPLIT(A4470,"",""),2)),""."","","",1))"),84.870744)</f>
        <v>84.870744</v>
      </c>
      <c r="R4470" s="14" t="b">
        <f t="shared" si="1"/>
        <v>0</v>
      </c>
      <c r="S4470" s="14" t="str">
        <f t="shared" si="2"/>
        <v>56.420364,84.870744</v>
      </c>
      <c r="T4470" s="12"/>
    </row>
    <row r="4471">
      <c r="A4471" s="7" t="s">
        <v>28792</v>
      </c>
      <c r="B4471" s="8" t="s">
        <v>28793</v>
      </c>
      <c r="C4471" s="8" t="s">
        <v>28794</v>
      </c>
      <c r="D4471" s="8" t="s">
        <v>16</v>
      </c>
      <c r="E4471" s="9" t="s">
        <v>28795</v>
      </c>
      <c r="F4471" s="10" t="s">
        <v>19378</v>
      </c>
      <c r="G4471" s="8">
        <v>23.61</v>
      </c>
      <c r="H4471" s="8"/>
      <c r="I4471" s="10"/>
      <c r="J4471" s="10" t="s">
        <v>28796</v>
      </c>
      <c r="K4471" s="10" t="s">
        <v>28797</v>
      </c>
      <c r="L4471" s="11" t="s">
        <v>28798</v>
      </c>
      <c r="M4471" s="11" t="s">
        <v>28799</v>
      </c>
      <c r="N4471" s="12"/>
      <c r="O4471" s="12"/>
      <c r="P4471" s="13">
        <f>IFERROR(__xludf.DUMMYFUNCTION("VALUE(SUBSTITUTE((INDEX(SPLIT(A4471,"",""),1)),""."","","",1))"),56.607842)</f>
        <v>56.607842</v>
      </c>
      <c r="Q4471" s="13">
        <f>IFERROR(__xludf.DUMMYFUNCTION("VALUE(SUBSTITUTE((INDEX(SPLIT(A4471,"",""),2)),""."","","",1))"),84.887039)</f>
        <v>84.887039</v>
      </c>
      <c r="R4471" s="14" t="b">
        <f t="shared" si="1"/>
        <v>0</v>
      </c>
      <c r="S4471" s="14" t="str">
        <f t="shared" si="2"/>
        <v>56.607842,84.887039</v>
      </c>
      <c r="T4471" s="12"/>
    </row>
    <row r="4472">
      <c r="A4472" s="20" t="s">
        <v>28800</v>
      </c>
      <c r="B4472" s="16" t="s">
        <v>28801</v>
      </c>
      <c r="C4472" s="16" t="s">
        <v>28802</v>
      </c>
      <c r="D4472" s="16" t="s">
        <v>16</v>
      </c>
      <c r="E4472" s="21" t="s">
        <v>28803</v>
      </c>
      <c r="F4472" s="22" t="s">
        <v>19378</v>
      </c>
      <c r="G4472" s="16">
        <v>23.61</v>
      </c>
      <c r="H4472" s="16"/>
      <c r="I4472" s="22"/>
      <c r="J4472" s="22" t="s">
        <v>28804</v>
      </c>
      <c r="K4472" s="22" t="s">
        <v>28805</v>
      </c>
      <c r="L4472" s="23" t="s">
        <v>28806</v>
      </c>
      <c r="M4472" s="22"/>
      <c r="N4472" s="12"/>
      <c r="O4472" s="12"/>
      <c r="P4472" s="13">
        <f>IFERROR(__xludf.DUMMYFUNCTION("VALUE(SUBSTITUTE((INDEX(SPLIT(A4472,"",""),1)),""."","","",1))"),55.724048)</f>
        <v>55.724048</v>
      </c>
      <c r="Q4472" s="13">
        <f>IFERROR(__xludf.DUMMYFUNCTION("VALUE(SUBSTITUTE((INDEX(SPLIT(A4472,"",""),2)),""."","","",1))"),84.893211)</f>
        <v>84.893211</v>
      </c>
      <c r="R4472" s="14" t="b">
        <f t="shared" si="1"/>
        <v>0</v>
      </c>
      <c r="S4472" s="14" t="str">
        <f t="shared" si="2"/>
        <v>55.724048,84.893211</v>
      </c>
      <c r="T4472" s="12"/>
    </row>
    <row r="4473">
      <c r="A4473" s="7" t="s">
        <v>28800</v>
      </c>
      <c r="B4473" s="8" t="s">
        <v>28807</v>
      </c>
      <c r="C4473" s="8" t="s">
        <v>28808</v>
      </c>
      <c r="D4473" s="8" t="s">
        <v>16</v>
      </c>
      <c r="E4473" s="9" t="s">
        <v>28809</v>
      </c>
      <c r="F4473" s="10" t="s">
        <v>19378</v>
      </c>
      <c r="G4473" s="8">
        <v>23.61</v>
      </c>
      <c r="H4473" s="8"/>
      <c r="I4473" s="10"/>
      <c r="J4473" s="10" t="s">
        <v>28810</v>
      </c>
      <c r="K4473" s="10" t="s">
        <v>28811</v>
      </c>
      <c r="L4473" s="29" t="s">
        <v>28812</v>
      </c>
      <c r="M4473" s="10"/>
      <c r="N4473" s="12"/>
      <c r="O4473" s="12"/>
      <c r="P4473" s="13">
        <f>IFERROR(__xludf.DUMMYFUNCTION("VALUE(SUBSTITUTE((INDEX(SPLIT(A4473,"",""),1)),""."","","",1))"),55.724048)</f>
        <v>55.724048</v>
      </c>
      <c r="Q4473" s="13">
        <f>IFERROR(__xludf.DUMMYFUNCTION("VALUE(SUBSTITUTE((INDEX(SPLIT(A4473,"",""),2)),""."","","",1))"),84.893211)</f>
        <v>84.893211</v>
      </c>
      <c r="R4473" s="14" t="b">
        <f t="shared" si="1"/>
        <v>0</v>
      </c>
      <c r="S4473" s="14" t="str">
        <f t="shared" si="2"/>
        <v>55.724048,84.893211</v>
      </c>
      <c r="T4473" s="12"/>
    </row>
    <row r="4474">
      <c r="A4474" s="20" t="s">
        <v>28813</v>
      </c>
      <c r="B4474" s="16" t="s">
        <v>28814</v>
      </c>
      <c r="C4474" s="16" t="s">
        <v>28815</v>
      </c>
      <c r="D4474" s="16" t="s">
        <v>16</v>
      </c>
      <c r="E4474" s="21" t="s">
        <v>28816</v>
      </c>
      <c r="F4474" s="22" t="s">
        <v>12763</v>
      </c>
      <c r="G4474" s="16">
        <v>23.61</v>
      </c>
      <c r="H4474" s="16"/>
      <c r="I4474" s="22"/>
      <c r="J4474" s="22" t="s">
        <v>28817</v>
      </c>
      <c r="K4474" s="22" t="s">
        <v>28818</v>
      </c>
      <c r="L4474" s="23" t="s">
        <v>28819</v>
      </c>
      <c r="M4474" s="22"/>
      <c r="N4474" s="12"/>
      <c r="O4474" s="12"/>
      <c r="P4474" s="13">
        <f>IFERROR(__xludf.DUMMYFUNCTION("VALUE(SUBSTITUTE((INDEX(SPLIT(A4474,"",""),1)),""."","","",1))"),55.710352)</f>
        <v>55.710352</v>
      </c>
      <c r="Q4474" s="13">
        <f>IFERROR(__xludf.DUMMYFUNCTION("VALUE(SUBSTITUTE((INDEX(SPLIT(A4474,"",""),2)),""."","","",1))"),84.904853)</f>
        <v>84.904853</v>
      </c>
      <c r="R4474" s="14" t="b">
        <f t="shared" si="1"/>
        <v>0</v>
      </c>
      <c r="S4474" s="14" t="str">
        <f t="shared" si="2"/>
        <v>55.710352,84.904853</v>
      </c>
      <c r="T4474" s="12"/>
    </row>
    <row r="4475">
      <c r="A4475" s="7" t="s">
        <v>28820</v>
      </c>
      <c r="B4475" s="8" t="s">
        <v>28821</v>
      </c>
      <c r="C4475" s="8" t="s">
        <v>28822</v>
      </c>
      <c r="D4475" s="8" t="s">
        <v>16</v>
      </c>
      <c r="E4475" s="9" t="s">
        <v>28823</v>
      </c>
      <c r="F4475" s="10" t="s">
        <v>19378</v>
      </c>
      <c r="G4475" s="8">
        <v>23.61</v>
      </c>
      <c r="H4475" s="8"/>
      <c r="I4475" s="10"/>
      <c r="J4475" s="10" t="s">
        <v>28824</v>
      </c>
      <c r="K4475" s="10" t="s">
        <v>28825</v>
      </c>
      <c r="L4475" s="11" t="s">
        <v>28826</v>
      </c>
      <c r="M4475" s="10"/>
      <c r="N4475" s="12"/>
      <c r="O4475" s="12"/>
      <c r="P4475" s="13">
        <f>IFERROR(__xludf.DUMMYFUNCTION("VALUE(SUBSTITUTE((INDEX(SPLIT(A4475,"",""),1)),""."","","",1))"),56.594618)</f>
        <v>56.594618</v>
      </c>
      <c r="Q4475" s="13">
        <f>IFERROR(__xludf.DUMMYFUNCTION("VALUE(SUBSTITUTE((INDEX(SPLIT(A4475,"",""),2)),""."","","",1))"),84.914905)</f>
        <v>84.914905</v>
      </c>
      <c r="R4475" s="14" t="b">
        <f t="shared" si="1"/>
        <v>0</v>
      </c>
      <c r="S4475" s="14" t="str">
        <f t="shared" si="2"/>
        <v>56.594618,84.914905</v>
      </c>
      <c r="T4475" s="12"/>
    </row>
    <row r="4476">
      <c r="A4476" s="20" t="s">
        <v>28827</v>
      </c>
      <c r="B4476" s="16" t="s">
        <v>28828</v>
      </c>
      <c r="C4476" s="16" t="s">
        <v>28829</v>
      </c>
      <c r="D4476" s="16" t="s">
        <v>16</v>
      </c>
      <c r="E4476" s="21" t="s">
        <v>28830</v>
      </c>
      <c r="F4476" s="22" t="s">
        <v>19378</v>
      </c>
      <c r="G4476" s="16">
        <v>23.61</v>
      </c>
      <c r="H4476" s="16"/>
      <c r="I4476" s="22"/>
      <c r="J4476" s="22" t="s">
        <v>28831</v>
      </c>
      <c r="K4476" s="22" t="s">
        <v>28832</v>
      </c>
      <c r="L4476" s="23" t="s">
        <v>28833</v>
      </c>
      <c r="M4476" s="23" t="s">
        <v>28834</v>
      </c>
      <c r="N4476" s="12"/>
      <c r="O4476" s="12"/>
      <c r="P4476" s="13">
        <f>IFERROR(__xludf.DUMMYFUNCTION("VALUE(SUBSTITUTE((INDEX(SPLIT(A4476,"",""),1)),""."","","",1))"),55.7227)</f>
        <v>55.7227</v>
      </c>
      <c r="Q4476" s="13">
        <f>IFERROR(__xludf.DUMMYFUNCTION("VALUE(SUBSTITUTE((INDEX(SPLIT(A4476,"",""),2)),""."","","",1))"),84.934506)</f>
        <v>84.934506</v>
      </c>
      <c r="R4476" s="14" t="b">
        <f t="shared" si="1"/>
        <v>0</v>
      </c>
      <c r="S4476" s="14" t="str">
        <f t="shared" si="2"/>
        <v>55.7227,84.934506</v>
      </c>
      <c r="T4476" s="12"/>
    </row>
    <row r="4477">
      <c r="A4477" s="7" t="s">
        <v>28835</v>
      </c>
      <c r="B4477" s="8" t="s">
        <v>28836</v>
      </c>
      <c r="C4477" s="8" t="s">
        <v>28837</v>
      </c>
      <c r="D4477" s="8" t="s">
        <v>16</v>
      </c>
      <c r="E4477" s="9" t="s">
        <v>28838</v>
      </c>
      <c r="F4477" s="10" t="s">
        <v>26306</v>
      </c>
      <c r="G4477" s="8">
        <v>23.61</v>
      </c>
      <c r="H4477" s="8"/>
      <c r="I4477" s="10"/>
      <c r="J4477" s="10" t="s">
        <v>28839</v>
      </c>
      <c r="K4477" s="10" t="s">
        <v>28840</v>
      </c>
      <c r="L4477" s="11" t="s">
        <v>28841</v>
      </c>
      <c r="M4477" s="10"/>
      <c r="N4477" s="12"/>
      <c r="O4477" s="12"/>
      <c r="P4477" s="13">
        <f>IFERROR(__xludf.DUMMYFUNCTION("VALUE(SUBSTITUTE((INDEX(SPLIT(A4477,"",""),1)),""."","","",1))"),56.527282)</f>
        <v>56.527282</v>
      </c>
      <c r="Q4477" s="13">
        <f>IFERROR(__xludf.DUMMYFUNCTION("VALUE(SUBSTITUTE((INDEX(SPLIT(A4477,"",""),2)),""."","","",1))"),84.941217)</f>
        <v>84.941217</v>
      </c>
      <c r="R4477" s="14" t="b">
        <f t="shared" si="1"/>
        <v>0</v>
      </c>
      <c r="S4477" s="14" t="str">
        <f t="shared" si="2"/>
        <v>56.527282,84.941217</v>
      </c>
      <c r="T4477" s="12"/>
    </row>
    <row r="4478">
      <c r="A4478" s="20" t="s">
        <v>28842</v>
      </c>
      <c r="B4478" s="16" t="s">
        <v>28843</v>
      </c>
      <c r="C4478" s="16" t="s">
        <v>28844</v>
      </c>
      <c r="D4478" s="16" t="s">
        <v>16</v>
      </c>
      <c r="E4478" s="21" t="s">
        <v>28845</v>
      </c>
      <c r="F4478" s="22" t="s">
        <v>19378</v>
      </c>
      <c r="G4478" s="16">
        <v>23.61</v>
      </c>
      <c r="H4478" s="16"/>
      <c r="I4478" s="22"/>
      <c r="J4478" s="22" t="s">
        <v>28846</v>
      </c>
      <c r="K4478" s="22" t="s">
        <v>28847</v>
      </c>
      <c r="L4478" s="30" t="s">
        <v>28848</v>
      </c>
      <c r="M4478" s="22"/>
      <c r="N4478" s="12"/>
      <c r="O4478" s="12"/>
      <c r="P4478" s="13">
        <f>IFERROR(__xludf.DUMMYFUNCTION("VALUE(SUBSTITUTE((INDEX(SPLIT(A4478,"",""),1)),""."","","",1))"),56.507224)</f>
        <v>56.507224</v>
      </c>
      <c r="Q4478" s="13">
        <f>IFERROR(__xludf.DUMMYFUNCTION("VALUE(SUBSTITUTE((INDEX(SPLIT(A4478,"",""),2)),""."","","",1))"),84.947056)</f>
        <v>84.947056</v>
      </c>
      <c r="R4478" s="14" t="b">
        <f t="shared" si="1"/>
        <v>0</v>
      </c>
      <c r="S4478" s="14" t="str">
        <f t="shared" si="2"/>
        <v>56.507224,84.947056</v>
      </c>
      <c r="T4478" s="12"/>
    </row>
    <row r="4479">
      <c r="A4479" s="7" t="s">
        <v>28849</v>
      </c>
      <c r="B4479" s="8" t="s">
        <v>28850</v>
      </c>
      <c r="C4479" s="8" t="s">
        <v>28851</v>
      </c>
      <c r="D4479" s="8" t="s">
        <v>16</v>
      </c>
      <c r="E4479" s="9" t="s">
        <v>28852</v>
      </c>
      <c r="F4479" s="10" t="s">
        <v>19378</v>
      </c>
      <c r="G4479" s="8">
        <v>23.61</v>
      </c>
      <c r="H4479" s="8"/>
      <c r="I4479" s="10"/>
      <c r="J4479" s="10" t="s">
        <v>28853</v>
      </c>
      <c r="K4479" s="10" t="s">
        <v>28854</v>
      </c>
      <c r="L4479" s="29" t="s">
        <v>28855</v>
      </c>
      <c r="M4479" s="10"/>
      <c r="N4479" s="12"/>
      <c r="O4479" s="12"/>
      <c r="P4479" s="13">
        <f>IFERROR(__xludf.DUMMYFUNCTION("VALUE(SUBSTITUTE((INDEX(SPLIT(A4479,"",""),1)),""."","","",1))"),56.485982)</f>
        <v>56.485982</v>
      </c>
      <c r="Q4479" s="13">
        <f>IFERROR(__xludf.DUMMYFUNCTION("VALUE(SUBSTITUTE((INDEX(SPLIT(A4479,"",""),2)),""."","","",1))"),84.950748)</f>
        <v>84.950748</v>
      </c>
      <c r="R4479" s="14" t="b">
        <f t="shared" si="1"/>
        <v>0</v>
      </c>
      <c r="S4479" s="14" t="str">
        <f t="shared" si="2"/>
        <v>56.485982,84.950748</v>
      </c>
      <c r="T4479" s="12"/>
    </row>
    <row r="4480">
      <c r="A4480" s="15" t="s">
        <v>28856</v>
      </c>
      <c r="B4480" s="16" t="s">
        <v>89</v>
      </c>
      <c r="C4480" s="16" t="s">
        <v>90</v>
      </c>
      <c r="D4480" s="16" t="s">
        <v>16</v>
      </c>
      <c r="E4480" s="17" t="s">
        <v>28857</v>
      </c>
      <c r="F4480" s="16" t="s">
        <v>12763</v>
      </c>
      <c r="G4480" s="16">
        <v>23.61</v>
      </c>
      <c r="H4480" s="16"/>
      <c r="I4480" s="16"/>
      <c r="J4480" s="16" t="s">
        <v>28858</v>
      </c>
      <c r="K4480" s="16" t="s">
        <v>28859</v>
      </c>
      <c r="L4480" s="16"/>
      <c r="M4480" s="16"/>
      <c r="N4480" s="12"/>
      <c r="O4480" s="12"/>
      <c r="P4480" s="13">
        <f>IFERROR(__xludf.DUMMYFUNCTION("VALUE(SUBSTITUTE((INDEX(SPLIT(A4480,"",""),1)),""."","","",1))"),56.497218)</f>
        <v>56.497218</v>
      </c>
      <c r="Q4480" s="13">
        <f>IFERROR(__xludf.DUMMYFUNCTION("VALUE(SUBSTITUTE((INDEX(SPLIT(A4480,"",""),2)),""."","","",1))"),84.963288)</f>
        <v>84.963288</v>
      </c>
      <c r="R4480" s="14" t="b">
        <f t="shared" si="1"/>
        <v>0</v>
      </c>
      <c r="S4480" s="14" t="str">
        <f t="shared" si="2"/>
        <v>56.497218,84.963288</v>
      </c>
      <c r="T4480" s="12"/>
    </row>
    <row r="4481">
      <c r="A4481" s="7" t="s">
        <v>28860</v>
      </c>
      <c r="B4481" s="8" t="s">
        <v>28861</v>
      </c>
      <c r="C4481" s="8" t="s">
        <v>28862</v>
      </c>
      <c r="D4481" s="8" t="s">
        <v>16</v>
      </c>
      <c r="E4481" s="9" t="s">
        <v>28863</v>
      </c>
      <c r="F4481" s="10" t="s">
        <v>19378</v>
      </c>
      <c r="G4481" s="8">
        <v>23.61</v>
      </c>
      <c r="H4481" s="8"/>
      <c r="I4481" s="10"/>
      <c r="J4481" s="10" t="s">
        <v>28864</v>
      </c>
      <c r="K4481" s="10" t="s">
        <v>28865</v>
      </c>
      <c r="L4481" s="11" t="s">
        <v>28866</v>
      </c>
      <c r="M4481" s="11" t="s">
        <v>28867</v>
      </c>
      <c r="N4481" s="12"/>
      <c r="O4481" s="12"/>
      <c r="P4481" s="13">
        <f>IFERROR(__xludf.DUMMYFUNCTION("VALUE(SUBSTITUTE((INDEX(SPLIT(A4481,"",""),1)),""."","","",1))"),56.532569)</f>
        <v>56.532569</v>
      </c>
      <c r="Q4481" s="13">
        <f>IFERROR(__xludf.DUMMYFUNCTION("VALUE(SUBSTITUTE((INDEX(SPLIT(A4481,"",""),2)),""."","","",1))"),84.965067)</f>
        <v>84.965067</v>
      </c>
      <c r="R4481" s="14" t="b">
        <f t="shared" si="1"/>
        <v>0</v>
      </c>
      <c r="S4481" s="14" t="str">
        <f t="shared" si="2"/>
        <v>56.532569,84.965067</v>
      </c>
      <c r="T4481" s="12"/>
    </row>
    <row r="4482">
      <c r="A4482" s="20" t="s">
        <v>28868</v>
      </c>
      <c r="B4482" s="16" t="s">
        <v>28869</v>
      </c>
      <c r="C4482" s="16" t="s">
        <v>28870</v>
      </c>
      <c r="D4482" s="16" t="s">
        <v>16</v>
      </c>
      <c r="E4482" s="21" t="s">
        <v>28871</v>
      </c>
      <c r="F4482" s="22" t="s">
        <v>19948</v>
      </c>
      <c r="G4482" s="16">
        <v>23.61</v>
      </c>
      <c r="H4482" s="16"/>
      <c r="I4482" s="22"/>
      <c r="J4482" s="22" t="s">
        <v>28872</v>
      </c>
      <c r="K4482" s="22" t="s">
        <v>28873</v>
      </c>
      <c r="L4482" s="23" t="s">
        <v>28874</v>
      </c>
      <c r="M4482" s="22"/>
      <c r="N4482" s="12"/>
      <c r="O4482" s="12"/>
      <c r="P4482" s="13">
        <f>IFERROR(__xludf.DUMMYFUNCTION("VALUE(SUBSTITUTE((INDEX(SPLIT(A4482,"",""),1)),""."","","",1))"),56.496552)</f>
        <v>56.496552</v>
      </c>
      <c r="Q4482" s="13">
        <f>IFERROR(__xludf.DUMMYFUNCTION("VALUE(SUBSTITUTE((INDEX(SPLIT(A4482,"",""),2)),""."","","",1))"),84.966927)</f>
        <v>84.966927</v>
      </c>
      <c r="R4482" s="14" t="b">
        <f t="shared" si="1"/>
        <v>0</v>
      </c>
      <c r="S4482" s="14" t="str">
        <f t="shared" si="2"/>
        <v>56.496552,84.966927</v>
      </c>
      <c r="T4482" s="12"/>
    </row>
    <row r="4483">
      <c r="A4483" s="7" t="s">
        <v>28875</v>
      </c>
      <c r="B4483" s="8" t="s">
        <v>28876</v>
      </c>
      <c r="C4483" s="8" t="s">
        <v>28877</v>
      </c>
      <c r="D4483" s="8" t="s">
        <v>16</v>
      </c>
      <c r="E4483" s="9" t="s">
        <v>28878</v>
      </c>
      <c r="F4483" s="10" t="s">
        <v>3883</v>
      </c>
      <c r="G4483" s="8">
        <v>23.61</v>
      </c>
      <c r="H4483" s="8"/>
      <c r="I4483" s="10"/>
      <c r="J4483" s="10" t="s">
        <v>28879</v>
      </c>
      <c r="K4483" s="10" t="s">
        <v>28880</v>
      </c>
      <c r="L4483" s="29" t="s">
        <v>28881</v>
      </c>
      <c r="M4483" s="10"/>
      <c r="N4483" s="12"/>
      <c r="O4483" s="12"/>
      <c r="P4483" s="13">
        <f>IFERROR(__xludf.DUMMYFUNCTION("VALUE(SUBSTITUTE((INDEX(SPLIT(A4483,"",""),1)),""."","","",1))"),56.476886)</f>
        <v>56.476886</v>
      </c>
      <c r="Q4483" s="13">
        <f>IFERROR(__xludf.DUMMYFUNCTION("VALUE(SUBSTITUTE((INDEX(SPLIT(A4483,"",""),2)),""."","","",1))"),84.968822)</f>
        <v>84.968822</v>
      </c>
      <c r="R4483" s="14" t="b">
        <f t="shared" si="1"/>
        <v>0</v>
      </c>
      <c r="S4483" s="14" t="str">
        <f t="shared" si="2"/>
        <v>56.476886,84.968822</v>
      </c>
      <c r="T4483" s="12"/>
    </row>
    <row r="4484">
      <c r="A4484" s="15" t="s">
        <v>28882</v>
      </c>
      <c r="B4484" s="16" t="s">
        <v>28883</v>
      </c>
      <c r="C4484" s="16" t="s">
        <v>28884</v>
      </c>
      <c r="D4484" s="16" t="s">
        <v>16</v>
      </c>
      <c r="E4484" s="17" t="s">
        <v>28885</v>
      </c>
      <c r="F4484" s="16" t="s">
        <v>12763</v>
      </c>
      <c r="G4484" s="16">
        <v>23.61</v>
      </c>
      <c r="H4484" s="16"/>
      <c r="I4484" s="16"/>
      <c r="J4484" s="16" t="s">
        <v>28886</v>
      </c>
      <c r="K4484" s="16" t="s">
        <v>10734</v>
      </c>
      <c r="L4484" s="16"/>
      <c r="M4484" s="25" t="s">
        <v>28887</v>
      </c>
      <c r="N4484" s="12"/>
      <c r="O4484" s="12"/>
      <c r="P4484" s="13">
        <f>IFERROR(__xludf.DUMMYFUNCTION("VALUE(SUBSTITUTE((INDEX(SPLIT(A4484,"",""),1)),""."","","",1))"),56.491792)</f>
        <v>56.491792</v>
      </c>
      <c r="Q4484" s="13">
        <f>IFERROR(__xludf.DUMMYFUNCTION("VALUE(SUBSTITUTE((INDEX(SPLIT(A4484,"",""),2)),""."","","",1))"),84.971409)</f>
        <v>84.971409</v>
      </c>
      <c r="R4484" s="14" t="b">
        <f t="shared" si="1"/>
        <v>0</v>
      </c>
      <c r="S4484" s="14" t="str">
        <f t="shared" si="2"/>
        <v>56.491792,84.971409</v>
      </c>
      <c r="T4484" s="12"/>
    </row>
    <row r="4485">
      <c r="A4485" s="7" t="s">
        <v>28888</v>
      </c>
      <c r="B4485" s="8" t="s">
        <v>28889</v>
      </c>
      <c r="C4485" s="8" t="s">
        <v>28890</v>
      </c>
      <c r="D4485" s="8" t="s">
        <v>16</v>
      </c>
      <c r="E4485" s="9" t="s">
        <v>28891</v>
      </c>
      <c r="F4485" s="10" t="s">
        <v>19948</v>
      </c>
      <c r="G4485" s="8">
        <v>23.61</v>
      </c>
      <c r="H4485" s="8"/>
      <c r="I4485" s="10"/>
      <c r="J4485" s="10" t="s">
        <v>28892</v>
      </c>
      <c r="K4485" s="10" t="s">
        <v>28893</v>
      </c>
      <c r="L4485" s="11" t="s">
        <v>28894</v>
      </c>
      <c r="M4485" s="10"/>
      <c r="N4485" s="12"/>
      <c r="O4485" s="12"/>
      <c r="P4485" s="13">
        <f>IFERROR(__xludf.DUMMYFUNCTION("VALUE(SUBSTITUTE((INDEX(SPLIT(A4485,"",""),1)),""."","","",1))"),56.498709)</f>
        <v>56.498709</v>
      </c>
      <c r="Q4485" s="13">
        <f>IFERROR(__xludf.DUMMYFUNCTION("VALUE(SUBSTITUTE((INDEX(SPLIT(A4485,"",""),2)),""."","","",1))"),84.974149)</f>
        <v>84.974149</v>
      </c>
      <c r="R4485" s="14" t="b">
        <f t="shared" si="1"/>
        <v>0</v>
      </c>
      <c r="S4485" s="14" t="str">
        <f t="shared" si="2"/>
        <v>56.498709,84.974149</v>
      </c>
      <c r="T4485" s="12"/>
    </row>
    <row r="4486">
      <c r="A4486" s="15" t="s">
        <v>28888</v>
      </c>
      <c r="B4486" s="16" t="s">
        <v>28895</v>
      </c>
      <c r="C4486" s="16" t="s">
        <v>28896</v>
      </c>
      <c r="D4486" s="16" t="s">
        <v>16</v>
      </c>
      <c r="E4486" s="17" t="s">
        <v>28897</v>
      </c>
      <c r="F4486" s="16" t="s">
        <v>12763</v>
      </c>
      <c r="G4486" s="16">
        <v>23.61</v>
      </c>
      <c r="H4486" s="16"/>
      <c r="I4486" s="16"/>
      <c r="J4486" s="16" t="s">
        <v>28898</v>
      </c>
      <c r="K4486" s="16" t="s">
        <v>28899</v>
      </c>
      <c r="L4486" s="16"/>
      <c r="M4486" s="25" t="s">
        <v>28900</v>
      </c>
      <c r="N4486" s="12"/>
      <c r="O4486" s="12"/>
      <c r="P4486" s="13">
        <f>IFERROR(__xludf.DUMMYFUNCTION("VALUE(SUBSTITUTE((INDEX(SPLIT(A4486,"",""),1)),""."","","",1))"),56.498709)</f>
        <v>56.498709</v>
      </c>
      <c r="Q4486" s="13">
        <f>IFERROR(__xludf.DUMMYFUNCTION("VALUE(SUBSTITUTE((INDEX(SPLIT(A4486,"",""),2)),""."","","",1))"),84.974149)</f>
        <v>84.974149</v>
      </c>
      <c r="R4486" s="14" t="b">
        <f t="shared" si="1"/>
        <v>0</v>
      </c>
      <c r="S4486" s="14" t="str">
        <f t="shared" si="2"/>
        <v>56.498709,84.974149</v>
      </c>
      <c r="T4486" s="12"/>
    </row>
    <row r="4487">
      <c r="A4487" s="7" t="s">
        <v>28901</v>
      </c>
      <c r="B4487" s="8" t="s">
        <v>28902</v>
      </c>
      <c r="C4487" s="8" t="s">
        <v>28903</v>
      </c>
      <c r="D4487" s="8" t="s">
        <v>16</v>
      </c>
      <c r="E4487" s="9" t="s">
        <v>28904</v>
      </c>
      <c r="F4487" s="10" t="s">
        <v>19948</v>
      </c>
      <c r="G4487" s="8">
        <v>23.61</v>
      </c>
      <c r="H4487" s="8"/>
      <c r="I4487" s="10"/>
      <c r="J4487" s="10" t="s">
        <v>28905</v>
      </c>
      <c r="K4487" s="10" t="s">
        <v>28906</v>
      </c>
      <c r="L4487" s="11" t="s">
        <v>28907</v>
      </c>
      <c r="M4487" s="11" t="s">
        <v>28908</v>
      </c>
      <c r="N4487" s="12"/>
      <c r="O4487" s="12"/>
      <c r="P4487" s="13">
        <f>IFERROR(__xludf.DUMMYFUNCTION("VALUE(SUBSTITUTE((INDEX(SPLIT(A4487,"",""),1)),""."","","",1))"),56.486683)</f>
        <v>56.486683</v>
      </c>
      <c r="Q4487" s="13">
        <f>IFERROR(__xludf.DUMMYFUNCTION("VALUE(SUBSTITUTE((INDEX(SPLIT(A4487,"",""),2)),""."","","",1))"),84.979988)</f>
        <v>84.979988</v>
      </c>
      <c r="R4487" s="14" t="b">
        <f t="shared" si="1"/>
        <v>0</v>
      </c>
      <c r="S4487" s="14" t="str">
        <f t="shared" si="2"/>
        <v>56.486683,84.979988</v>
      </c>
      <c r="T4487" s="12"/>
    </row>
    <row r="4488">
      <c r="A4488" s="15" t="s">
        <v>28909</v>
      </c>
      <c r="B4488" s="16" t="s">
        <v>28910</v>
      </c>
      <c r="C4488" s="16" t="s">
        <v>28911</v>
      </c>
      <c r="D4488" s="16" t="s">
        <v>16</v>
      </c>
      <c r="E4488" s="17" t="s">
        <v>28912</v>
      </c>
      <c r="F4488" s="16" t="s">
        <v>11562</v>
      </c>
      <c r="G4488" s="16">
        <v>23.61</v>
      </c>
      <c r="H4488" s="16"/>
      <c r="I4488" s="16"/>
      <c r="J4488" s="16" t="s">
        <v>28913</v>
      </c>
      <c r="K4488" s="16" t="s">
        <v>15060</v>
      </c>
      <c r="L4488" s="16"/>
      <c r="M4488" s="16"/>
      <c r="N4488" s="12"/>
      <c r="O4488" s="12"/>
      <c r="P4488" s="13">
        <f>IFERROR(__xludf.DUMMYFUNCTION("VALUE(SUBSTITUTE((INDEX(SPLIT(A4488,"",""),1)),""."","","",1))"),56.454279)</f>
        <v>56.454279</v>
      </c>
      <c r="Q4488" s="13">
        <f>IFERROR(__xludf.DUMMYFUNCTION("VALUE(SUBSTITUTE((INDEX(SPLIT(A4488,"",""),2)),""."","","",1))"),84.983447)</f>
        <v>84.983447</v>
      </c>
      <c r="R4488" s="14" t="b">
        <f t="shared" si="1"/>
        <v>0</v>
      </c>
      <c r="S4488" s="14" t="str">
        <f t="shared" si="2"/>
        <v>56.454279,84.983447</v>
      </c>
      <c r="T4488" s="12"/>
    </row>
    <row r="4489">
      <c r="A4489" s="18" t="s">
        <v>28914</v>
      </c>
      <c r="B4489" s="8" t="s">
        <v>28915</v>
      </c>
      <c r="C4489" s="8" t="s">
        <v>28916</v>
      </c>
      <c r="D4489" s="8" t="s">
        <v>16</v>
      </c>
      <c r="E4489" s="19" t="s">
        <v>28917</v>
      </c>
      <c r="F4489" s="8" t="s">
        <v>18995</v>
      </c>
      <c r="G4489" s="8">
        <v>23.61</v>
      </c>
      <c r="H4489" s="8"/>
      <c r="I4489" s="27" t="s">
        <v>28918</v>
      </c>
      <c r="J4489" s="8" t="s">
        <v>28919</v>
      </c>
      <c r="K4489" s="8" t="s">
        <v>28920</v>
      </c>
      <c r="L4489" s="8"/>
      <c r="M4489" s="8"/>
      <c r="N4489" s="12"/>
      <c r="O4489" s="12"/>
      <c r="P4489" s="13">
        <f>IFERROR(__xludf.DUMMYFUNCTION("VALUE(SUBSTITUTE((INDEX(SPLIT(A4489,"",""),1)),""."","","",1))"),56.472869)</f>
        <v>56.472869</v>
      </c>
      <c r="Q4489" s="13">
        <f>IFERROR(__xludf.DUMMYFUNCTION("VALUE(SUBSTITUTE((INDEX(SPLIT(A4489,"",""),2)),""."","","",1))"),84.987839)</f>
        <v>84.987839</v>
      </c>
      <c r="R4489" s="14" t="b">
        <f t="shared" si="1"/>
        <v>0</v>
      </c>
      <c r="S4489" s="14" t="str">
        <f t="shared" si="2"/>
        <v>56.472869,84.987839</v>
      </c>
      <c r="T4489" s="12"/>
    </row>
    <row r="4490">
      <c r="A4490" s="15" t="s">
        <v>28921</v>
      </c>
      <c r="B4490" s="16" t="s">
        <v>28922</v>
      </c>
      <c r="C4490" s="16" t="s">
        <v>28923</v>
      </c>
      <c r="D4490" s="16" t="s">
        <v>16</v>
      </c>
      <c r="E4490" s="17" t="s">
        <v>28924</v>
      </c>
      <c r="F4490" s="16" t="s">
        <v>23165</v>
      </c>
      <c r="G4490" s="16">
        <v>23.61</v>
      </c>
      <c r="H4490" s="16"/>
      <c r="I4490" s="16"/>
      <c r="J4490" s="16" t="s">
        <v>28925</v>
      </c>
      <c r="K4490" s="16" t="s">
        <v>28926</v>
      </c>
      <c r="L4490" s="16"/>
      <c r="M4490" s="25" t="s">
        <v>28927</v>
      </c>
      <c r="N4490" s="12"/>
      <c r="O4490" s="12"/>
      <c r="P4490" s="13">
        <f>IFERROR(__xludf.DUMMYFUNCTION("VALUE(SUBSTITUTE((INDEX(SPLIT(A4490,"",""),1)),""."","","",1))"),56.506116)</f>
        <v>56.506116</v>
      </c>
      <c r="Q4490" s="13">
        <f>IFERROR(__xludf.DUMMYFUNCTION("VALUE(SUBSTITUTE((INDEX(SPLIT(A4490,"",""),2)),""."","","",1))"),85.013217)</f>
        <v>85.013217</v>
      </c>
      <c r="R4490" s="14" t="b">
        <f t="shared" si="1"/>
        <v>0</v>
      </c>
      <c r="S4490" s="14" t="str">
        <f t="shared" si="2"/>
        <v>56.506116,85.013217</v>
      </c>
      <c r="T4490" s="12"/>
    </row>
    <row r="4491">
      <c r="A4491" s="18" t="s">
        <v>28928</v>
      </c>
      <c r="B4491" s="8" t="s">
        <v>28929</v>
      </c>
      <c r="C4491" s="8" t="s">
        <v>28930</v>
      </c>
      <c r="D4491" s="8" t="s">
        <v>16</v>
      </c>
      <c r="E4491" s="19" t="s">
        <v>28931</v>
      </c>
      <c r="F4491" s="8" t="s">
        <v>23165</v>
      </c>
      <c r="G4491" s="8">
        <v>23.61</v>
      </c>
      <c r="H4491" s="8"/>
      <c r="I4491" s="8"/>
      <c r="J4491" s="8" t="s">
        <v>28932</v>
      </c>
      <c r="K4491" s="8" t="s">
        <v>28933</v>
      </c>
      <c r="L4491" s="8"/>
      <c r="M4491" s="8"/>
      <c r="N4491" s="12"/>
      <c r="O4491" s="12"/>
      <c r="P4491" s="13">
        <f>IFERROR(__xludf.DUMMYFUNCTION("VALUE(SUBSTITUTE((INDEX(SPLIT(A4491,"",""),1)),""."","","",1))"),56.517505)</f>
        <v>56.517505</v>
      </c>
      <c r="Q4491" s="13">
        <f>IFERROR(__xludf.DUMMYFUNCTION("VALUE(SUBSTITUTE((INDEX(SPLIT(A4491,"",""),2)),""."","","",1))"),85.013576)</f>
        <v>85.013576</v>
      </c>
      <c r="R4491" s="14" t="b">
        <f t="shared" si="1"/>
        <v>0</v>
      </c>
      <c r="S4491" s="14" t="str">
        <f t="shared" si="2"/>
        <v>56.517505,85.013576</v>
      </c>
      <c r="T4491" s="12"/>
    </row>
    <row r="4492">
      <c r="A4492" s="15" t="s">
        <v>28934</v>
      </c>
      <c r="B4492" s="16" t="s">
        <v>28935</v>
      </c>
      <c r="C4492" s="16" t="s">
        <v>28936</v>
      </c>
      <c r="D4492" s="16" t="s">
        <v>16</v>
      </c>
      <c r="E4492" s="17" t="s">
        <v>28937</v>
      </c>
      <c r="F4492" s="16" t="s">
        <v>5051</v>
      </c>
      <c r="G4492" s="16">
        <v>23.61</v>
      </c>
      <c r="H4492" s="16"/>
      <c r="I4492" s="16"/>
      <c r="J4492" s="16" t="s">
        <v>28938</v>
      </c>
      <c r="K4492" s="16" t="s">
        <v>6200</v>
      </c>
      <c r="L4492" s="16"/>
      <c r="M4492" s="25" t="s">
        <v>28939</v>
      </c>
      <c r="N4492" s="12"/>
      <c r="O4492" s="12"/>
      <c r="P4492" s="13">
        <f>IFERROR(__xludf.DUMMYFUNCTION("VALUE(SUBSTITUTE((INDEX(SPLIT(A4492,"",""),1)),""."","","",1))"),56.472844)</f>
        <v>56.472844</v>
      </c>
      <c r="Q4492" s="13">
        <f>IFERROR(__xludf.DUMMYFUNCTION("VALUE(SUBSTITUTE((INDEX(SPLIT(A4492,"",""),2)),""."","","",1))"),85.016289)</f>
        <v>85.016289</v>
      </c>
      <c r="R4492" s="14" t="b">
        <f t="shared" si="1"/>
        <v>0</v>
      </c>
      <c r="S4492" s="14" t="str">
        <f t="shared" si="2"/>
        <v>56.472844,85.016289</v>
      </c>
      <c r="T4492" s="12"/>
    </row>
    <row r="4493">
      <c r="A4493" s="18" t="s">
        <v>28940</v>
      </c>
      <c r="B4493" s="8" t="s">
        <v>3145</v>
      </c>
      <c r="C4493" s="8" t="s">
        <v>3146</v>
      </c>
      <c r="D4493" s="8" t="s">
        <v>16</v>
      </c>
      <c r="E4493" s="19" t="s">
        <v>28941</v>
      </c>
      <c r="F4493" s="8" t="s">
        <v>5051</v>
      </c>
      <c r="G4493" s="8">
        <v>23.61</v>
      </c>
      <c r="H4493" s="8"/>
      <c r="I4493" s="8"/>
      <c r="J4493" s="8" t="s">
        <v>28942</v>
      </c>
      <c r="K4493" s="8" t="s">
        <v>28943</v>
      </c>
      <c r="L4493" s="8"/>
      <c r="M4493" s="24" t="s">
        <v>28944</v>
      </c>
      <c r="N4493" s="12"/>
      <c r="O4493" s="12"/>
      <c r="P4493" s="13">
        <f>IFERROR(__xludf.DUMMYFUNCTION("VALUE(SUBSTITUTE((INDEX(SPLIT(A4493,"",""),1)),""."","","",1))"),56.514366)</f>
        <v>56.514366</v>
      </c>
      <c r="Q4493" s="13">
        <f>IFERROR(__xludf.DUMMYFUNCTION("VALUE(SUBSTITUTE((INDEX(SPLIT(A4493,"",""),2)),""."","","",1))"),85.016487)</f>
        <v>85.016487</v>
      </c>
      <c r="R4493" s="14" t="b">
        <f t="shared" si="1"/>
        <v>0</v>
      </c>
      <c r="S4493" s="14" t="str">
        <f t="shared" si="2"/>
        <v>56.514366,85.016487</v>
      </c>
      <c r="T4493" s="12"/>
    </row>
    <row r="4494">
      <c r="A4494" s="15" t="s">
        <v>28940</v>
      </c>
      <c r="B4494" s="16" t="s">
        <v>28945</v>
      </c>
      <c r="C4494" s="16" t="s">
        <v>28946</v>
      </c>
      <c r="D4494" s="16" t="s">
        <v>16</v>
      </c>
      <c r="E4494" s="17" t="s">
        <v>28947</v>
      </c>
      <c r="F4494" s="16" t="s">
        <v>23165</v>
      </c>
      <c r="G4494" s="16">
        <v>23.61</v>
      </c>
      <c r="H4494" s="16"/>
      <c r="I4494" s="16"/>
      <c r="J4494" s="16" t="s">
        <v>28948</v>
      </c>
      <c r="K4494" s="16" t="s">
        <v>28949</v>
      </c>
      <c r="L4494" s="16"/>
      <c r="M4494" s="16"/>
      <c r="N4494" s="12"/>
      <c r="O4494" s="12"/>
      <c r="P4494" s="13">
        <f>IFERROR(__xludf.DUMMYFUNCTION("VALUE(SUBSTITUTE((INDEX(SPLIT(A4494,"",""),1)),""."","","",1))"),56.514366)</f>
        <v>56.514366</v>
      </c>
      <c r="Q4494" s="13">
        <f>IFERROR(__xludf.DUMMYFUNCTION("VALUE(SUBSTITUTE((INDEX(SPLIT(A4494,"",""),2)),""."","","",1))"),85.016487)</f>
        <v>85.016487</v>
      </c>
      <c r="R4494" s="14" t="b">
        <f t="shared" si="1"/>
        <v>0</v>
      </c>
      <c r="S4494" s="14" t="str">
        <f t="shared" si="2"/>
        <v>56.514366,85.016487</v>
      </c>
      <c r="T4494" s="12"/>
    </row>
    <row r="4495">
      <c r="A4495" s="7" t="s">
        <v>28950</v>
      </c>
      <c r="B4495" s="8" t="s">
        <v>28951</v>
      </c>
      <c r="C4495" s="8" t="s">
        <v>28952</v>
      </c>
      <c r="D4495" s="8" t="s">
        <v>16</v>
      </c>
      <c r="E4495" s="9" t="s">
        <v>28953</v>
      </c>
      <c r="F4495" s="10" t="s">
        <v>19948</v>
      </c>
      <c r="G4495" s="8">
        <v>23.61</v>
      </c>
      <c r="H4495" s="8"/>
      <c r="I4495" s="10"/>
      <c r="J4495" s="10" t="s">
        <v>28954</v>
      </c>
      <c r="K4495" s="10" t="s">
        <v>28955</v>
      </c>
      <c r="L4495" s="11" t="s">
        <v>28956</v>
      </c>
      <c r="M4495" s="10"/>
      <c r="N4495" s="12"/>
      <c r="O4495" s="12"/>
      <c r="P4495" s="13">
        <f>IFERROR(__xludf.DUMMYFUNCTION("VALUE(SUBSTITUTE((INDEX(SPLIT(A4495,"",""),1)),""."","","",1))"),56.482578)</f>
        <v>56.482578</v>
      </c>
      <c r="Q4495" s="13">
        <f>IFERROR(__xludf.DUMMYFUNCTION("VALUE(SUBSTITUTE((INDEX(SPLIT(A4495,"",""),2)),""."","","",1))"),85.021068)</f>
        <v>85.021068</v>
      </c>
      <c r="R4495" s="14" t="b">
        <f t="shared" si="1"/>
        <v>0</v>
      </c>
      <c r="S4495" s="14" t="str">
        <f t="shared" si="2"/>
        <v>56.482578,85.021068</v>
      </c>
      <c r="T4495" s="12"/>
    </row>
    <row r="4496">
      <c r="A4496" s="15" t="s">
        <v>28957</v>
      </c>
      <c r="B4496" s="16" t="s">
        <v>28958</v>
      </c>
      <c r="C4496" s="16" t="s">
        <v>28959</v>
      </c>
      <c r="D4496" s="16" t="s">
        <v>16</v>
      </c>
      <c r="E4496" s="17" t="s">
        <v>28960</v>
      </c>
      <c r="F4496" s="16" t="s">
        <v>22263</v>
      </c>
      <c r="G4496" s="16">
        <v>23.61</v>
      </c>
      <c r="H4496" s="16"/>
      <c r="I4496" s="16"/>
      <c r="J4496" s="16" t="s">
        <v>28961</v>
      </c>
      <c r="K4496" s="16" t="s">
        <v>28962</v>
      </c>
      <c r="L4496" s="16"/>
      <c r="M4496" s="16"/>
      <c r="N4496" s="12"/>
      <c r="O4496" s="12"/>
      <c r="P4496" s="13">
        <f>IFERROR(__xludf.DUMMYFUNCTION("VALUE(SUBSTITUTE((INDEX(SPLIT(A4496,"",""),1)),""."","","",1))"),56.534038)</f>
        <v>56.534038</v>
      </c>
      <c r="Q4496" s="13">
        <f>IFERROR(__xludf.DUMMYFUNCTION("VALUE(SUBSTITUTE((INDEX(SPLIT(A4496,"",""),2)),""."","","",1))"),85.022721)</f>
        <v>85.022721</v>
      </c>
      <c r="R4496" s="14" t="b">
        <f t="shared" si="1"/>
        <v>0</v>
      </c>
      <c r="S4496" s="14" t="str">
        <f t="shared" si="2"/>
        <v>56.534038,85.022721</v>
      </c>
      <c r="T4496" s="12"/>
    </row>
    <row r="4497">
      <c r="A4497" s="18" t="s">
        <v>28963</v>
      </c>
      <c r="B4497" s="8" t="s">
        <v>28964</v>
      </c>
      <c r="C4497" s="8" t="s">
        <v>28965</v>
      </c>
      <c r="D4497" s="8" t="s">
        <v>16</v>
      </c>
      <c r="E4497" s="19" t="s">
        <v>28966</v>
      </c>
      <c r="F4497" s="8" t="s">
        <v>23165</v>
      </c>
      <c r="G4497" s="8">
        <v>23.61</v>
      </c>
      <c r="H4497" s="8"/>
      <c r="I4497" s="8"/>
      <c r="J4497" s="8" t="s">
        <v>28967</v>
      </c>
      <c r="K4497" s="8" t="s">
        <v>28968</v>
      </c>
      <c r="L4497" s="8"/>
      <c r="M4497" s="8"/>
      <c r="N4497" s="12"/>
      <c r="O4497" s="12"/>
      <c r="P4497" s="13">
        <f>IFERROR(__xludf.DUMMYFUNCTION("VALUE(SUBSTITUTE((INDEX(SPLIT(A4497,"",""),1)),""."","","",1))"),56.532142)</f>
        <v>56.532142</v>
      </c>
      <c r="Q4497" s="13">
        <f>IFERROR(__xludf.DUMMYFUNCTION("VALUE(SUBSTITUTE((INDEX(SPLIT(A4497,"",""),2)),""."","","",1))"),85.02379)</f>
        <v>85.02379</v>
      </c>
      <c r="R4497" s="14" t="b">
        <f t="shared" si="1"/>
        <v>0</v>
      </c>
      <c r="S4497" s="14" t="str">
        <f t="shared" si="2"/>
        <v>56.532142,85.02379</v>
      </c>
      <c r="T4497" s="12"/>
    </row>
    <row r="4498">
      <c r="A4498" s="15" t="s">
        <v>28969</v>
      </c>
      <c r="B4498" s="16" t="s">
        <v>16251</v>
      </c>
      <c r="C4498" s="16" t="s">
        <v>16252</v>
      </c>
      <c r="D4498" s="16" t="s">
        <v>16</v>
      </c>
      <c r="E4498" s="17" t="s">
        <v>28970</v>
      </c>
      <c r="F4498" s="16" t="s">
        <v>23165</v>
      </c>
      <c r="G4498" s="16">
        <v>23.61</v>
      </c>
      <c r="H4498" s="16"/>
      <c r="I4498" s="16"/>
      <c r="J4498" s="16" t="s">
        <v>28971</v>
      </c>
      <c r="K4498" s="16" t="s">
        <v>28968</v>
      </c>
      <c r="L4498" s="16"/>
      <c r="M4498" s="16"/>
      <c r="N4498" s="12"/>
      <c r="O4498" s="12"/>
      <c r="P4498" s="13">
        <f>IFERROR(__xludf.DUMMYFUNCTION("VALUE(SUBSTITUTE((INDEX(SPLIT(A4498,"",""),1)),""."","","",1))"),56.444867)</f>
        <v>56.444867</v>
      </c>
      <c r="Q4498" s="13">
        <f>IFERROR(__xludf.DUMMYFUNCTION("VALUE(SUBSTITUTE((INDEX(SPLIT(A4498,"",""),2)),""."","","",1))"),85.024958)</f>
        <v>85.024958</v>
      </c>
      <c r="R4498" s="14" t="b">
        <f t="shared" si="1"/>
        <v>0</v>
      </c>
      <c r="S4498" s="14" t="str">
        <f t="shared" si="2"/>
        <v>56.444867,85.024958</v>
      </c>
      <c r="T4498" s="12"/>
    </row>
    <row r="4499">
      <c r="A4499" s="18" t="s">
        <v>28972</v>
      </c>
      <c r="B4499" s="8" t="s">
        <v>28973</v>
      </c>
      <c r="C4499" s="8" t="s">
        <v>28974</v>
      </c>
      <c r="D4499" s="8" t="s">
        <v>16</v>
      </c>
      <c r="E4499" s="19" t="s">
        <v>28975</v>
      </c>
      <c r="F4499" s="8" t="s">
        <v>23165</v>
      </c>
      <c r="G4499" s="8">
        <v>23.61</v>
      </c>
      <c r="H4499" s="8"/>
      <c r="I4499" s="8"/>
      <c r="J4499" s="8" t="s">
        <v>28976</v>
      </c>
      <c r="K4499" s="8" t="s">
        <v>28968</v>
      </c>
      <c r="L4499" s="8"/>
      <c r="M4499" s="8"/>
      <c r="N4499" s="12"/>
      <c r="O4499" s="12"/>
      <c r="P4499" s="13">
        <f>IFERROR(__xludf.DUMMYFUNCTION("VALUE(SUBSTITUTE((INDEX(SPLIT(A4499,"",""),1)),""."","","",1))"),56.484625)</f>
        <v>56.484625</v>
      </c>
      <c r="Q4499" s="13">
        <f>IFERROR(__xludf.DUMMYFUNCTION("VALUE(SUBSTITUTE((INDEX(SPLIT(A4499,"",""),2)),""."","","",1))"),85.032899)</f>
        <v>85.032899</v>
      </c>
      <c r="R4499" s="14" t="b">
        <f t="shared" si="1"/>
        <v>0</v>
      </c>
      <c r="S4499" s="14" t="str">
        <f t="shared" si="2"/>
        <v>56.484625,85.032899</v>
      </c>
      <c r="T4499" s="12"/>
    </row>
    <row r="4500">
      <c r="A4500" s="15" t="s">
        <v>28977</v>
      </c>
      <c r="B4500" s="16" t="s">
        <v>28978</v>
      </c>
      <c r="C4500" s="16" t="s">
        <v>28979</v>
      </c>
      <c r="D4500" s="16" t="s">
        <v>16</v>
      </c>
      <c r="E4500" s="17" t="s">
        <v>28980</v>
      </c>
      <c r="F4500" s="16" t="s">
        <v>20146</v>
      </c>
      <c r="G4500" s="16">
        <v>23.61</v>
      </c>
      <c r="H4500" s="16"/>
      <c r="I4500" s="32" t="s">
        <v>28981</v>
      </c>
      <c r="J4500" s="16" t="s">
        <v>28982</v>
      </c>
      <c r="K4500" s="16" t="s">
        <v>28983</v>
      </c>
      <c r="L4500" s="16"/>
      <c r="M4500" s="16"/>
      <c r="N4500" s="12"/>
      <c r="O4500" s="12"/>
      <c r="P4500" s="13">
        <f>IFERROR(__xludf.DUMMYFUNCTION("VALUE(SUBSTITUTE((INDEX(SPLIT(A4500,"",""),1)),""."","","",1))"),56.417416)</f>
        <v>56.417416</v>
      </c>
      <c r="Q4500" s="13">
        <f>IFERROR(__xludf.DUMMYFUNCTION("VALUE(SUBSTITUTE((INDEX(SPLIT(A4500,"",""),2)),""."","","",1))"),85.041505)</f>
        <v>85.041505</v>
      </c>
      <c r="R4500" s="14" t="b">
        <f t="shared" si="1"/>
        <v>0</v>
      </c>
      <c r="S4500" s="14" t="str">
        <f t="shared" si="2"/>
        <v>56.417416,85.041505</v>
      </c>
      <c r="T4500" s="12"/>
    </row>
    <row r="4501">
      <c r="A4501" s="18" t="s">
        <v>28984</v>
      </c>
      <c r="B4501" s="8" t="s">
        <v>1620</v>
      </c>
      <c r="C4501" s="8" t="s">
        <v>1621</v>
      </c>
      <c r="D4501" s="8" t="s">
        <v>16</v>
      </c>
      <c r="E4501" s="19" t="s">
        <v>28985</v>
      </c>
      <c r="F4501" s="8" t="s">
        <v>5051</v>
      </c>
      <c r="G4501" s="8">
        <v>23.61</v>
      </c>
      <c r="H4501" s="8"/>
      <c r="I4501" s="8"/>
      <c r="J4501" s="8" t="s">
        <v>28986</v>
      </c>
      <c r="K4501" s="8" t="s">
        <v>28987</v>
      </c>
      <c r="L4501" s="8"/>
      <c r="M4501" s="24" t="s">
        <v>28988</v>
      </c>
      <c r="N4501" s="12"/>
      <c r="O4501" s="12"/>
      <c r="P4501" s="13">
        <f>IFERROR(__xludf.DUMMYFUNCTION("VALUE(SUBSTITUTE((INDEX(SPLIT(A4501,"",""),1)),""."","","",1))"),56.521487)</f>
        <v>56.521487</v>
      </c>
      <c r="Q4501" s="13">
        <f>IFERROR(__xludf.DUMMYFUNCTION("VALUE(SUBSTITUTE((INDEX(SPLIT(A4501,"",""),2)),""."","","",1))"),85.108968)</f>
        <v>85.108968</v>
      </c>
      <c r="R4501" s="14" t="b">
        <f t="shared" si="1"/>
        <v>0</v>
      </c>
      <c r="S4501" s="14" t="str">
        <f t="shared" si="2"/>
        <v>56.521487,85.108968</v>
      </c>
      <c r="T4501" s="12"/>
    </row>
    <row r="4502">
      <c r="A4502" s="20" t="s">
        <v>28984</v>
      </c>
      <c r="B4502" s="16" t="s">
        <v>28989</v>
      </c>
      <c r="C4502" s="16" t="s">
        <v>28990</v>
      </c>
      <c r="D4502" s="16" t="s">
        <v>16</v>
      </c>
      <c r="E4502" s="21" t="s">
        <v>28991</v>
      </c>
      <c r="F4502" s="22" t="s">
        <v>20146</v>
      </c>
      <c r="G4502" s="16">
        <v>23.61</v>
      </c>
      <c r="H4502" s="16"/>
      <c r="I4502" s="22"/>
      <c r="J4502" s="22" t="s">
        <v>28992</v>
      </c>
      <c r="K4502" s="22" t="s">
        <v>28993</v>
      </c>
      <c r="L4502" s="23" t="s">
        <v>28994</v>
      </c>
      <c r="M4502" s="22"/>
      <c r="N4502" s="12"/>
      <c r="O4502" s="12"/>
      <c r="P4502" s="13">
        <f>IFERROR(__xludf.DUMMYFUNCTION("VALUE(SUBSTITUTE((INDEX(SPLIT(A4502,"",""),1)),""."","","",1))"),56.521487)</f>
        <v>56.521487</v>
      </c>
      <c r="Q4502" s="13">
        <f>IFERROR(__xludf.DUMMYFUNCTION("VALUE(SUBSTITUTE((INDEX(SPLIT(A4502,"",""),2)),""."","","",1))"),85.108968)</f>
        <v>85.108968</v>
      </c>
      <c r="R4502" s="14" t="b">
        <f t="shared" si="1"/>
        <v>0</v>
      </c>
      <c r="S4502" s="14" t="str">
        <f t="shared" si="2"/>
        <v>56.521487,85.108968</v>
      </c>
      <c r="T4502" s="12"/>
    </row>
    <row r="4503">
      <c r="A4503" s="7" t="s">
        <v>28995</v>
      </c>
      <c r="B4503" s="8" t="s">
        <v>28996</v>
      </c>
      <c r="C4503" s="8" t="s">
        <v>28997</v>
      </c>
      <c r="D4503" s="8" t="s">
        <v>16</v>
      </c>
      <c r="E4503" s="9" t="s">
        <v>28998</v>
      </c>
      <c r="F4503" s="10" t="s">
        <v>20146</v>
      </c>
      <c r="G4503" s="8">
        <v>23.61</v>
      </c>
      <c r="H4503" s="8"/>
      <c r="I4503" s="10"/>
      <c r="J4503" s="10" t="s">
        <v>28999</v>
      </c>
      <c r="K4503" s="10" t="s">
        <v>29000</v>
      </c>
      <c r="L4503" s="11" t="s">
        <v>29001</v>
      </c>
      <c r="M4503" s="10"/>
      <c r="N4503" s="12"/>
      <c r="O4503" s="12"/>
      <c r="P4503" s="13">
        <f>IFERROR(__xludf.DUMMYFUNCTION("VALUE(SUBSTITUTE((INDEX(SPLIT(A4503,"",""),1)),""."","","",1))"),52.519125)</f>
        <v>52.519125</v>
      </c>
      <c r="Q4503" s="13">
        <f>IFERROR(__xludf.DUMMYFUNCTION("VALUE(SUBSTITUTE((INDEX(SPLIT(A4503,"",""),2)),""."","","",1))"),85.125479)</f>
        <v>85.125479</v>
      </c>
      <c r="R4503" s="14" t="b">
        <f t="shared" si="1"/>
        <v>0</v>
      </c>
      <c r="S4503" s="14" t="str">
        <f t="shared" si="2"/>
        <v>52.519125,85.125479</v>
      </c>
      <c r="T4503" s="12"/>
    </row>
    <row r="4504">
      <c r="A4504" s="15" t="s">
        <v>28995</v>
      </c>
      <c r="B4504" s="16" t="s">
        <v>28038</v>
      </c>
      <c r="C4504" s="16" t="s">
        <v>28039</v>
      </c>
      <c r="D4504" s="16" t="s">
        <v>16</v>
      </c>
      <c r="E4504" s="17" t="s">
        <v>29002</v>
      </c>
      <c r="F4504" s="16" t="s">
        <v>911</v>
      </c>
      <c r="G4504" s="16">
        <v>23.61</v>
      </c>
      <c r="H4504" s="16"/>
      <c r="I4504" s="16"/>
      <c r="J4504" s="16" t="s">
        <v>29003</v>
      </c>
      <c r="K4504" s="16" t="s">
        <v>29004</v>
      </c>
      <c r="L4504" s="16"/>
      <c r="M4504" s="16"/>
      <c r="N4504" s="12"/>
      <c r="O4504" s="12"/>
      <c r="P4504" s="13">
        <f>IFERROR(__xludf.DUMMYFUNCTION("VALUE(SUBSTITUTE((INDEX(SPLIT(A4504,"",""),1)),""."","","",1))"),52.519125)</f>
        <v>52.519125</v>
      </c>
      <c r="Q4504" s="13">
        <f>IFERROR(__xludf.DUMMYFUNCTION("VALUE(SUBSTITUTE((INDEX(SPLIT(A4504,"",""),2)),""."","","",1))"),85.125479)</f>
        <v>85.125479</v>
      </c>
      <c r="R4504" s="14" t="b">
        <f t="shared" si="1"/>
        <v>0</v>
      </c>
      <c r="S4504" s="14" t="str">
        <f t="shared" si="2"/>
        <v>52.519125,85.125479</v>
      </c>
      <c r="T4504" s="12"/>
    </row>
    <row r="4505">
      <c r="A4505" s="7" t="s">
        <v>29005</v>
      </c>
      <c r="B4505" s="8" t="s">
        <v>29006</v>
      </c>
      <c r="C4505" s="8" t="s">
        <v>29007</v>
      </c>
      <c r="D4505" s="8" t="s">
        <v>16</v>
      </c>
      <c r="E4505" s="9" t="s">
        <v>29008</v>
      </c>
      <c r="F4505" s="10" t="s">
        <v>12912</v>
      </c>
      <c r="G4505" s="8">
        <v>23.61</v>
      </c>
      <c r="H4505" s="8"/>
      <c r="I4505" s="10"/>
      <c r="J4505" s="10" t="s">
        <v>29009</v>
      </c>
      <c r="K4505" s="10" t="s">
        <v>29010</v>
      </c>
      <c r="L4505" s="11" t="s">
        <v>29011</v>
      </c>
      <c r="M4505" s="10"/>
      <c r="N4505" s="12"/>
      <c r="O4505" s="12"/>
      <c r="P4505" s="13">
        <f>IFERROR(__xludf.DUMMYFUNCTION("VALUE(SUBSTITUTE((INDEX(SPLIT(A4505,"",""),1)),""."","","",1))"),52.51399)</f>
        <v>52.51399</v>
      </c>
      <c r="Q4505" s="13">
        <f>IFERROR(__xludf.DUMMYFUNCTION("VALUE(SUBSTITUTE((INDEX(SPLIT(A4505,"",""),2)),""."","","",1))"),85.126198)</f>
        <v>85.126198</v>
      </c>
      <c r="R4505" s="14" t="b">
        <f t="shared" si="1"/>
        <v>0</v>
      </c>
      <c r="S4505" s="14" t="str">
        <f t="shared" si="2"/>
        <v>52.51399,85.126198</v>
      </c>
      <c r="T4505" s="12"/>
    </row>
    <row r="4506">
      <c r="A4506" s="20" t="s">
        <v>29005</v>
      </c>
      <c r="B4506" s="16" t="s">
        <v>29012</v>
      </c>
      <c r="C4506" s="16" t="s">
        <v>29013</v>
      </c>
      <c r="D4506" s="16" t="s">
        <v>16</v>
      </c>
      <c r="E4506" s="21" t="s">
        <v>29014</v>
      </c>
      <c r="F4506" s="22" t="s">
        <v>23165</v>
      </c>
      <c r="G4506" s="16">
        <v>23.61</v>
      </c>
      <c r="H4506" s="16"/>
      <c r="I4506" s="22"/>
      <c r="J4506" s="22" t="s">
        <v>29015</v>
      </c>
      <c r="K4506" s="22" t="s">
        <v>29016</v>
      </c>
      <c r="L4506" s="23" t="s">
        <v>29017</v>
      </c>
      <c r="M4506" s="22"/>
      <c r="N4506" s="12"/>
      <c r="O4506" s="12"/>
      <c r="P4506" s="13">
        <f>IFERROR(__xludf.DUMMYFUNCTION("VALUE(SUBSTITUTE((INDEX(SPLIT(A4506,"",""),1)),""."","","",1))"),52.51399)</f>
        <v>52.51399</v>
      </c>
      <c r="Q4506" s="13">
        <f>IFERROR(__xludf.DUMMYFUNCTION("VALUE(SUBSTITUTE((INDEX(SPLIT(A4506,"",""),2)),""."","","",1))"),85.126198)</f>
        <v>85.126198</v>
      </c>
      <c r="R4506" s="14" t="b">
        <f t="shared" si="1"/>
        <v>0</v>
      </c>
      <c r="S4506" s="14" t="str">
        <f t="shared" si="2"/>
        <v>52.51399,85.126198</v>
      </c>
      <c r="T4506" s="12"/>
    </row>
    <row r="4507">
      <c r="A4507" s="7" t="s">
        <v>29005</v>
      </c>
      <c r="B4507" s="8" t="s">
        <v>29018</v>
      </c>
      <c r="C4507" s="8" t="s">
        <v>29019</v>
      </c>
      <c r="D4507" s="8" t="s">
        <v>16</v>
      </c>
      <c r="E4507" s="9" t="s">
        <v>29020</v>
      </c>
      <c r="F4507" s="10" t="s">
        <v>19948</v>
      </c>
      <c r="G4507" s="8">
        <v>23.61</v>
      </c>
      <c r="H4507" s="8"/>
      <c r="I4507" s="10"/>
      <c r="J4507" s="10" t="s">
        <v>29021</v>
      </c>
      <c r="K4507" s="10" t="s">
        <v>29022</v>
      </c>
      <c r="L4507" s="11" t="s">
        <v>29023</v>
      </c>
      <c r="M4507" s="10"/>
      <c r="N4507" s="12"/>
      <c r="O4507" s="12"/>
      <c r="P4507" s="13">
        <f>IFERROR(__xludf.DUMMYFUNCTION("VALUE(SUBSTITUTE((INDEX(SPLIT(A4507,"",""),1)),""."","","",1))"),52.51399)</f>
        <v>52.51399</v>
      </c>
      <c r="Q4507" s="13">
        <f>IFERROR(__xludf.DUMMYFUNCTION("VALUE(SUBSTITUTE((INDEX(SPLIT(A4507,"",""),2)),""."","","",1))"),85.126198)</f>
        <v>85.126198</v>
      </c>
      <c r="R4507" s="14" t="b">
        <f t="shared" si="1"/>
        <v>0</v>
      </c>
      <c r="S4507" s="14" t="str">
        <f t="shared" si="2"/>
        <v>52.51399,85.126198</v>
      </c>
      <c r="T4507" s="12"/>
    </row>
    <row r="4508">
      <c r="A4508" s="15" t="s">
        <v>29024</v>
      </c>
      <c r="B4508" s="16" t="s">
        <v>29025</v>
      </c>
      <c r="C4508" s="16" t="s">
        <v>29026</v>
      </c>
      <c r="D4508" s="16" t="s">
        <v>16</v>
      </c>
      <c r="E4508" s="17" t="s">
        <v>29027</v>
      </c>
      <c r="F4508" s="16" t="s">
        <v>19948</v>
      </c>
      <c r="G4508" s="16">
        <v>23.61</v>
      </c>
      <c r="H4508" s="16"/>
      <c r="I4508" s="16"/>
      <c r="J4508" s="16" t="s">
        <v>29028</v>
      </c>
      <c r="K4508" s="16" t="s">
        <v>29029</v>
      </c>
      <c r="L4508" s="16"/>
      <c r="M4508" s="25" t="s">
        <v>29030</v>
      </c>
      <c r="N4508" s="12"/>
      <c r="O4508" s="12"/>
      <c r="P4508" s="13">
        <f>IFERROR(__xludf.DUMMYFUNCTION("VALUE(SUBSTITUTE((INDEX(SPLIT(A4508,"",""),1)),""."","","",1))"),52.50743)</f>
        <v>52.50743</v>
      </c>
      <c r="Q4508" s="13">
        <f>IFERROR(__xludf.DUMMYFUNCTION("VALUE(SUBSTITUTE((INDEX(SPLIT(A4508,"",""),2)),""."","","",1))"),85.131067)</f>
        <v>85.131067</v>
      </c>
      <c r="R4508" s="14" t="b">
        <f t="shared" si="1"/>
        <v>0</v>
      </c>
      <c r="S4508" s="14" t="str">
        <f t="shared" si="2"/>
        <v>52.50743,85.131067</v>
      </c>
      <c r="T4508" s="12"/>
    </row>
    <row r="4509">
      <c r="A4509" s="18" t="s">
        <v>29031</v>
      </c>
      <c r="B4509" s="8" t="s">
        <v>29032</v>
      </c>
      <c r="C4509" s="8" t="s">
        <v>29033</v>
      </c>
      <c r="D4509" s="8" t="s">
        <v>16</v>
      </c>
      <c r="E4509" s="19" t="s">
        <v>29034</v>
      </c>
      <c r="F4509" s="8" t="s">
        <v>19948</v>
      </c>
      <c r="G4509" s="8">
        <v>23.61</v>
      </c>
      <c r="H4509" s="8"/>
      <c r="I4509" s="8"/>
      <c r="J4509" s="8" t="s">
        <v>29035</v>
      </c>
      <c r="K4509" s="8" t="s">
        <v>29036</v>
      </c>
      <c r="L4509" s="8"/>
      <c r="M4509" s="24" t="s">
        <v>29037</v>
      </c>
      <c r="N4509" s="12"/>
      <c r="O4509" s="12"/>
      <c r="P4509" s="13">
        <f>IFERROR(__xludf.DUMMYFUNCTION("VALUE(SUBSTITUTE((INDEX(SPLIT(A4509,"",""),1)),""."","","",1))"),52.492282)</f>
        <v>52.492282</v>
      </c>
      <c r="Q4509" s="13">
        <f>IFERROR(__xludf.DUMMYFUNCTION("VALUE(SUBSTITUTE((INDEX(SPLIT(A4509,"",""),2)),""."","","",1))"),85.145413)</f>
        <v>85.145413</v>
      </c>
      <c r="R4509" s="14" t="b">
        <f t="shared" si="1"/>
        <v>0</v>
      </c>
      <c r="S4509" s="14" t="str">
        <f t="shared" si="2"/>
        <v>52.492282,85.145413</v>
      </c>
      <c r="T4509" s="12"/>
    </row>
    <row r="4510">
      <c r="A4510" s="20" t="s">
        <v>29031</v>
      </c>
      <c r="B4510" s="16" t="s">
        <v>29038</v>
      </c>
      <c r="C4510" s="16" t="s">
        <v>29039</v>
      </c>
      <c r="D4510" s="16" t="s">
        <v>16</v>
      </c>
      <c r="E4510" s="21" t="s">
        <v>29040</v>
      </c>
      <c r="F4510" s="22" t="s">
        <v>19948</v>
      </c>
      <c r="G4510" s="16">
        <v>23.61</v>
      </c>
      <c r="H4510" s="16"/>
      <c r="I4510" s="22"/>
      <c r="J4510" s="22" t="s">
        <v>29041</v>
      </c>
      <c r="K4510" s="22" t="s">
        <v>29042</v>
      </c>
      <c r="L4510" s="23" t="s">
        <v>29043</v>
      </c>
      <c r="M4510" s="23" t="s">
        <v>29044</v>
      </c>
      <c r="N4510" s="12"/>
      <c r="O4510" s="12"/>
      <c r="P4510" s="13">
        <f>IFERROR(__xludf.DUMMYFUNCTION("VALUE(SUBSTITUTE((INDEX(SPLIT(A4510,"",""),1)),""."","","",1))"),52.492282)</f>
        <v>52.492282</v>
      </c>
      <c r="Q4510" s="13">
        <f>IFERROR(__xludf.DUMMYFUNCTION("VALUE(SUBSTITUTE((INDEX(SPLIT(A4510,"",""),2)),""."","","",1))"),85.145413)</f>
        <v>85.145413</v>
      </c>
      <c r="R4510" s="14" t="b">
        <f t="shared" si="1"/>
        <v>0</v>
      </c>
      <c r="S4510" s="14" t="str">
        <f t="shared" si="2"/>
        <v>52.492282,85.145413</v>
      </c>
      <c r="T4510" s="12"/>
    </row>
    <row r="4511">
      <c r="A4511" s="18" t="s">
        <v>29045</v>
      </c>
      <c r="B4511" s="8" t="s">
        <v>89</v>
      </c>
      <c r="C4511" s="8" t="s">
        <v>90</v>
      </c>
      <c r="D4511" s="8" t="s">
        <v>16</v>
      </c>
      <c r="E4511" s="19" t="s">
        <v>29046</v>
      </c>
      <c r="F4511" s="8" t="s">
        <v>19948</v>
      </c>
      <c r="G4511" s="8">
        <v>23.61</v>
      </c>
      <c r="H4511" s="8"/>
      <c r="I4511" s="8"/>
      <c r="J4511" s="8" t="s">
        <v>29047</v>
      </c>
      <c r="K4511" s="8" t="s">
        <v>29048</v>
      </c>
      <c r="L4511" s="8"/>
      <c r="M4511" s="24" t="s">
        <v>29049</v>
      </c>
      <c r="N4511" s="12"/>
      <c r="O4511" s="12"/>
      <c r="P4511" s="13">
        <f>IFERROR(__xludf.DUMMYFUNCTION("VALUE(SUBSTITUTE((INDEX(SPLIT(A4511,"",""),1)),""."","","",1))"),56.500676)</f>
        <v>56.500676</v>
      </c>
      <c r="Q4511" s="13">
        <f>IFERROR(__xludf.DUMMYFUNCTION("VALUE(SUBSTITUTE((INDEX(SPLIT(A4511,"",""),2)),""."","","",1))"),85.178147)</f>
        <v>85.178147</v>
      </c>
      <c r="R4511" s="14" t="b">
        <f t="shared" si="1"/>
        <v>0</v>
      </c>
      <c r="S4511" s="14" t="str">
        <f t="shared" si="2"/>
        <v>56.500676,85.178147</v>
      </c>
      <c r="T4511" s="12"/>
    </row>
    <row r="4512">
      <c r="A4512" s="20" t="s">
        <v>29050</v>
      </c>
      <c r="B4512" s="16" t="s">
        <v>16933</v>
      </c>
      <c r="C4512" s="16" t="s">
        <v>16934</v>
      </c>
      <c r="D4512" s="16" t="s">
        <v>16</v>
      </c>
      <c r="E4512" s="21" t="s">
        <v>29051</v>
      </c>
      <c r="F4512" s="22" t="s">
        <v>11562</v>
      </c>
      <c r="G4512" s="16">
        <v>23.61</v>
      </c>
      <c r="H4512" s="16"/>
      <c r="I4512" s="22"/>
      <c r="J4512" s="22" t="s">
        <v>29052</v>
      </c>
      <c r="K4512" s="22" t="s">
        <v>12146</v>
      </c>
      <c r="L4512" s="23" t="s">
        <v>29053</v>
      </c>
      <c r="M4512" s="22"/>
      <c r="N4512" s="12"/>
      <c r="O4512" s="12"/>
      <c r="P4512" s="13">
        <f>IFERROR(__xludf.DUMMYFUNCTION("VALUE(SUBSTITUTE((INDEX(SPLIT(A4512,"",""),1)),""."","","",1))"),52.504174)</f>
        <v>52.504174</v>
      </c>
      <c r="Q4512" s="13">
        <f>IFERROR(__xludf.DUMMYFUNCTION("VALUE(SUBSTITUTE((INDEX(SPLIT(A4512,"",""),2)),""."","","",1))"),85.184894)</f>
        <v>85.184894</v>
      </c>
      <c r="R4512" s="14" t="b">
        <f t="shared" si="1"/>
        <v>0</v>
      </c>
      <c r="S4512" s="14" t="str">
        <f t="shared" si="2"/>
        <v>52.504174,85.184894</v>
      </c>
      <c r="T4512" s="12"/>
    </row>
    <row r="4513">
      <c r="A4513" s="18" t="s">
        <v>29054</v>
      </c>
      <c r="B4513" s="8" t="s">
        <v>29055</v>
      </c>
      <c r="C4513" s="8" t="s">
        <v>29056</v>
      </c>
      <c r="D4513" s="8" t="s">
        <v>16</v>
      </c>
      <c r="E4513" s="19" t="s">
        <v>29057</v>
      </c>
      <c r="F4513" s="8" t="s">
        <v>19948</v>
      </c>
      <c r="G4513" s="8">
        <v>23.61</v>
      </c>
      <c r="H4513" s="8"/>
      <c r="I4513" s="8"/>
      <c r="J4513" s="8" t="s">
        <v>29058</v>
      </c>
      <c r="K4513" s="8" t="s">
        <v>29059</v>
      </c>
      <c r="L4513" s="8"/>
      <c r="M4513" s="8"/>
      <c r="N4513" s="12"/>
      <c r="O4513" s="12"/>
      <c r="P4513" s="13">
        <f>IFERROR(__xludf.DUMMYFUNCTION("VALUE(SUBSTITUTE((INDEX(SPLIT(A4513,"",""),1)),""."","","",1))"),52.535748)</f>
        <v>52.535748</v>
      </c>
      <c r="Q4513" s="13">
        <f>IFERROR(__xludf.DUMMYFUNCTION("VALUE(SUBSTITUTE((INDEX(SPLIT(A4513,"",""),2)),""."","","",1))"),85.251495)</f>
        <v>85.251495</v>
      </c>
      <c r="R4513" s="14" t="b">
        <f t="shared" si="1"/>
        <v>0</v>
      </c>
      <c r="S4513" s="14" t="str">
        <f t="shared" si="2"/>
        <v>52.535748,85.251495</v>
      </c>
      <c r="T4513" s="12"/>
    </row>
    <row r="4514">
      <c r="A4514" s="15" t="s">
        <v>29060</v>
      </c>
      <c r="B4514" s="16" t="s">
        <v>29061</v>
      </c>
      <c r="C4514" s="16" t="s">
        <v>29062</v>
      </c>
      <c r="D4514" s="16" t="s">
        <v>16</v>
      </c>
      <c r="E4514" s="17" t="s">
        <v>29063</v>
      </c>
      <c r="F4514" s="16" t="s">
        <v>23165</v>
      </c>
      <c r="G4514" s="16">
        <v>23.61</v>
      </c>
      <c r="H4514" s="16"/>
      <c r="I4514" s="16"/>
      <c r="J4514" s="16" t="s">
        <v>29064</v>
      </c>
      <c r="K4514" s="16" t="s">
        <v>29065</v>
      </c>
      <c r="L4514" s="16"/>
      <c r="M4514" s="25" t="s">
        <v>29066</v>
      </c>
      <c r="N4514" s="12"/>
      <c r="O4514" s="12"/>
      <c r="P4514" s="13">
        <f>IFERROR(__xludf.DUMMYFUNCTION("VALUE(SUBSTITUTE((INDEX(SPLIT(A4514,"",""),1)),""."","","",1))"),51.981036)</f>
        <v>51.981036</v>
      </c>
      <c r="Q4514" s="13">
        <f>IFERROR(__xludf.DUMMYFUNCTION("VALUE(SUBSTITUTE((INDEX(SPLIT(A4514,"",""),2)),""."","","",1))"),85.85457)</f>
        <v>85.85457</v>
      </c>
      <c r="R4514" s="14" t="b">
        <f t="shared" si="1"/>
        <v>0</v>
      </c>
      <c r="S4514" s="14" t="str">
        <f t="shared" si="2"/>
        <v>51.981036,85.85457</v>
      </c>
      <c r="T4514" s="12"/>
    </row>
    <row r="4515">
      <c r="A4515" s="7" t="s">
        <v>29067</v>
      </c>
      <c r="B4515" s="8" t="s">
        <v>29068</v>
      </c>
      <c r="C4515" s="8" t="s">
        <v>29069</v>
      </c>
      <c r="D4515" s="8" t="s">
        <v>16</v>
      </c>
      <c r="E4515" s="9" t="s">
        <v>29070</v>
      </c>
      <c r="F4515" s="10" t="s">
        <v>23544</v>
      </c>
      <c r="G4515" s="8">
        <v>23.61</v>
      </c>
      <c r="H4515" s="8"/>
      <c r="I4515" s="10"/>
      <c r="J4515" s="10" t="s">
        <v>29071</v>
      </c>
      <c r="K4515" s="10" t="s">
        <v>29072</v>
      </c>
      <c r="L4515" s="11" t="s">
        <v>29073</v>
      </c>
      <c r="M4515" s="11" t="s">
        <v>29074</v>
      </c>
      <c r="N4515" s="12"/>
      <c r="O4515" s="12"/>
      <c r="P4515" s="13">
        <f>IFERROR(__xludf.DUMMYFUNCTION("VALUE(SUBSTITUTE((INDEX(SPLIT(A4515,"",""),1)),""."","","",1))"),51.978695)</f>
        <v>51.978695</v>
      </c>
      <c r="Q4515" s="13">
        <f>IFERROR(__xludf.DUMMYFUNCTION("VALUE(SUBSTITUTE((INDEX(SPLIT(A4515,"",""),2)),""."","","",1))"),85.873677)</f>
        <v>85.873677</v>
      </c>
      <c r="R4515" s="14" t="b">
        <f t="shared" si="1"/>
        <v>0</v>
      </c>
      <c r="S4515" s="14" t="str">
        <f t="shared" si="2"/>
        <v>51.978695,85.873677</v>
      </c>
      <c r="T4515" s="12"/>
    </row>
    <row r="4516">
      <c r="A4516" s="20" t="s">
        <v>29075</v>
      </c>
      <c r="B4516" s="16" t="s">
        <v>29076</v>
      </c>
      <c r="C4516" s="16" t="s">
        <v>29077</v>
      </c>
      <c r="D4516" s="16" t="s">
        <v>16</v>
      </c>
      <c r="E4516" s="21" t="s">
        <v>29078</v>
      </c>
      <c r="F4516" s="22" t="s">
        <v>23544</v>
      </c>
      <c r="G4516" s="16">
        <v>23.61</v>
      </c>
      <c r="H4516" s="16"/>
      <c r="I4516" s="22"/>
      <c r="J4516" s="22" t="s">
        <v>29079</v>
      </c>
      <c r="K4516" s="22" t="s">
        <v>29080</v>
      </c>
      <c r="L4516" s="23" t="s">
        <v>29081</v>
      </c>
      <c r="M4516" s="22"/>
      <c r="N4516" s="12"/>
      <c r="O4516" s="12"/>
      <c r="P4516" s="13">
        <f>IFERROR(__xludf.DUMMYFUNCTION("VALUE(SUBSTITUTE((INDEX(SPLIT(A4516,"",""),1)),""."","","",1))"),51.983693)</f>
        <v>51.983693</v>
      </c>
      <c r="Q4516" s="13">
        <f>IFERROR(__xludf.DUMMYFUNCTION("VALUE(SUBSTITUTE((INDEX(SPLIT(A4516,"",""),2)),""."","","",1))"),85.886092)</f>
        <v>85.886092</v>
      </c>
      <c r="R4516" s="14" t="b">
        <f t="shared" si="1"/>
        <v>0</v>
      </c>
      <c r="S4516" s="14" t="str">
        <f t="shared" si="2"/>
        <v>51.983693,85.886092</v>
      </c>
      <c r="T4516" s="12"/>
    </row>
    <row r="4517">
      <c r="A4517" s="18" t="s">
        <v>29082</v>
      </c>
      <c r="B4517" s="8" t="s">
        <v>29083</v>
      </c>
      <c r="C4517" s="8" t="s">
        <v>4401</v>
      </c>
      <c r="D4517" s="8" t="s">
        <v>16</v>
      </c>
      <c r="E4517" s="19" t="s">
        <v>29084</v>
      </c>
      <c r="F4517" s="8" t="s">
        <v>23544</v>
      </c>
      <c r="G4517" s="8">
        <v>23.61</v>
      </c>
      <c r="H4517" s="8"/>
      <c r="I4517" s="8"/>
      <c r="J4517" s="8" t="s">
        <v>29085</v>
      </c>
      <c r="K4517" s="8" t="s">
        <v>29086</v>
      </c>
      <c r="L4517" s="8"/>
      <c r="M4517" s="24" t="s">
        <v>29087</v>
      </c>
      <c r="N4517" s="12"/>
      <c r="O4517" s="12"/>
      <c r="P4517" s="13">
        <f>IFERROR(__xludf.DUMMYFUNCTION("VALUE(SUBSTITUTE((INDEX(SPLIT(A4517,"",""),1)),""."","","",1))"),51.96771)</f>
        <v>51.96771</v>
      </c>
      <c r="Q4517" s="13">
        <f>IFERROR(__xludf.DUMMYFUNCTION("VALUE(SUBSTITUTE((INDEX(SPLIT(A4517,"",""),2)),""."","","",1))"),85.897006)</f>
        <v>85.897006</v>
      </c>
      <c r="R4517" s="14" t="b">
        <f t="shared" si="1"/>
        <v>0</v>
      </c>
      <c r="S4517" s="14" t="str">
        <f t="shared" si="2"/>
        <v>51.96771,85.897006</v>
      </c>
      <c r="T4517" s="12"/>
    </row>
    <row r="4518">
      <c r="A4518" s="15" t="s">
        <v>29088</v>
      </c>
      <c r="B4518" s="16" t="s">
        <v>29089</v>
      </c>
      <c r="C4518" s="16" t="s">
        <v>29090</v>
      </c>
      <c r="D4518" s="16" t="s">
        <v>16</v>
      </c>
      <c r="E4518" s="17" t="s">
        <v>29091</v>
      </c>
      <c r="F4518" s="16" t="s">
        <v>5051</v>
      </c>
      <c r="G4518" s="16">
        <v>23.61</v>
      </c>
      <c r="H4518" s="16"/>
      <c r="I4518" s="16"/>
      <c r="J4518" s="16" t="s">
        <v>29092</v>
      </c>
      <c r="K4518" s="16" t="s">
        <v>29093</v>
      </c>
      <c r="L4518" s="16"/>
      <c r="M4518" s="16"/>
      <c r="N4518" s="12"/>
      <c r="O4518" s="12"/>
      <c r="P4518" s="13">
        <f>IFERROR(__xludf.DUMMYFUNCTION("VALUE(SUBSTITUTE((INDEX(SPLIT(A4518,"",""),1)),""."","","",1))"),51.954585)</f>
        <v>51.954585</v>
      </c>
      <c r="Q4518" s="13">
        <f>IFERROR(__xludf.DUMMYFUNCTION("VALUE(SUBSTITUTE((INDEX(SPLIT(A4518,"",""),2)),""."","","",1))"),85.946926)</f>
        <v>85.946926</v>
      </c>
      <c r="R4518" s="14" t="b">
        <f t="shared" si="1"/>
        <v>0</v>
      </c>
      <c r="S4518" s="14" t="str">
        <f t="shared" si="2"/>
        <v>51.954585,85.946926</v>
      </c>
      <c r="T4518" s="12"/>
    </row>
    <row r="4519">
      <c r="A4519" s="7" t="s">
        <v>29094</v>
      </c>
      <c r="B4519" s="8" t="s">
        <v>29095</v>
      </c>
      <c r="C4519" s="8" t="s">
        <v>29096</v>
      </c>
      <c r="D4519" s="8" t="s">
        <v>16</v>
      </c>
      <c r="E4519" s="9" t="s">
        <v>29097</v>
      </c>
      <c r="F4519" s="10" t="s">
        <v>23544</v>
      </c>
      <c r="G4519" s="8">
        <v>23.61</v>
      </c>
      <c r="H4519" s="8"/>
      <c r="I4519" s="10"/>
      <c r="J4519" s="10" t="s">
        <v>29098</v>
      </c>
      <c r="K4519" s="10" t="s">
        <v>29099</v>
      </c>
      <c r="L4519" s="11" t="s">
        <v>29100</v>
      </c>
      <c r="M4519" s="11" t="s">
        <v>29101</v>
      </c>
      <c r="N4519" s="12"/>
      <c r="O4519" s="12"/>
      <c r="P4519" s="13">
        <f>IFERROR(__xludf.DUMMYFUNCTION("VALUE(SUBSTITUTE((INDEX(SPLIT(A4519,"",""),1)),""."","","",1))"),55.334086)</f>
        <v>55.334086</v>
      </c>
      <c r="Q4519" s="13">
        <f>IFERROR(__xludf.DUMMYFUNCTION("VALUE(SUBSTITUTE((INDEX(SPLIT(A4519,"",""),2)),""."","","",1))"),85.97339)</f>
        <v>85.97339</v>
      </c>
      <c r="R4519" s="14" t="b">
        <f t="shared" si="1"/>
        <v>0</v>
      </c>
      <c r="S4519" s="14" t="str">
        <f t="shared" si="2"/>
        <v>55.334086,85.97339</v>
      </c>
      <c r="T4519" s="12"/>
    </row>
    <row r="4520">
      <c r="A4520" s="15" t="s">
        <v>29102</v>
      </c>
      <c r="B4520" s="16" t="s">
        <v>29103</v>
      </c>
      <c r="C4520" s="16" t="s">
        <v>29104</v>
      </c>
      <c r="D4520" s="16" t="s">
        <v>16</v>
      </c>
      <c r="E4520" s="17" t="s">
        <v>29105</v>
      </c>
      <c r="F4520" s="16" t="s">
        <v>23544</v>
      </c>
      <c r="G4520" s="16">
        <v>23.61</v>
      </c>
      <c r="H4520" s="16"/>
      <c r="I4520" s="16"/>
      <c r="J4520" s="16" t="s">
        <v>29106</v>
      </c>
      <c r="K4520" s="16" t="s">
        <v>29107</v>
      </c>
      <c r="L4520" s="16"/>
      <c r="M4520" s="16"/>
      <c r="N4520" s="12"/>
      <c r="O4520" s="12"/>
      <c r="P4520" s="13">
        <f>IFERROR(__xludf.DUMMYFUNCTION("VALUE(SUBSTITUTE((INDEX(SPLIT(A4520,"",""),1)),""."","","",1))"),55.286404)</f>
        <v>55.286404</v>
      </c>
      <c r="Q4520" s="13">
        <f>IFERROR(__xludf.DUMMYFUNCTION("VALUE(SUBSTITUTE((INDEX(SPLIT(A4520,"",""),2)),""."","","",1))"),85.975618)</f>
        <v>85.975618</v>
      </c>
      <c r="R4520" s="14" t="b">
        <f t="shared" si="1"/>
        <v>0</v>
      </c>
      <c r="S4520" s="14" t="str">
        <f t="shared" si="2"/>
        <v>55.286404,85.975618</v>
      </c>
      <c r="T4520" s="12"/>
    </row>
    <row r="4521">
      <c r="A4521" s="7" t="s">
        <v>29108</v>
      </c>
      <c r="B4521" s="8" t="s">
        <v>29109</v>
      </c>
      <c r="C4521" s="8" t="s">
        <v>29110</v>
      </c>
      <c r="D4521" s="8" t="s">
        <v>16</v>
      </c>
      <c r="E4521" s="9" t="s">
        <v>29111</v>
      </c>
      <c r="F4521" s="10" t="s">
        <v>23544</v>
      </c>
      <c r="G4521" s="8">
        <v>23.61</v>
      </c>
      <c r="H4521" s="8"/>
      <c r="I4521" s="10"/>
      <c r="J4521" s="10" t="s">
        <v>29112</v>
      </c>
      <c r="K4521" s="10" t="s">
        <v>29113</v>
      </c>
      <c r="L4521" s="11" t="s">
        <v>29114</v>
      </c>
      <c r="M4521" s="10"/>
      <c r="N4521" s="12"/>
      <c r="O4521" s="12"/>
      <c r="P4521" s="13">
        <f>IFERROR(__xludf.DUMMYFUNCTION("VALUE(SUBSTITUTE((INDEX(SPLIT(A4521,"",""),1)),""."","","",1))"),51.894779)</f>
        <v>51.894779</v>
      </c>
      <c r="Q4521" s="13">
        <f>IFERROR(__xludf.DUMMYFUNCTION("VALUE(SUBSTITUTE((INDEX(SPLIT(A4521,"",""),2)),""."","","",1))"),85.990323)</f>
        <v>85.990323</v>
      </c>
      <c r="R4521" s="14" t="b">
        <f t="shared" si="1"/>
        <v>0</v>
      </c>
      <c r="S4521" s="14" t="str">
        <f t="shared" si="2"/>
        <v>51.894779,85.990323</v>
      </c>
      <c r="T4521" s="12"/>
    </row>
    <row r="4522">
      <c r="A4522" s="20" t="s">
        <v>29115</v>
      </c>
      <c r="B4522" s="16" t="s">
        <v>29116</v>
      </c>
      <c r="C4522" s="16" t="s">
        <v>29117</v>
      </c>
      <c r="D4522" s="16" t="s">
        <v>16</v>
      </c>
      <c r="E4522" s="21" t="s">
        <v>29118</v>
      </c>
      <c r="F4522" s="22" t="s">
        <v>23544</v>
      </c>
      <c r="G4522" s="16">
        <v>23.61</v>
      </c>
      <c r="H4522" s="16"/>
      <c r="I4522" s="22"/>
      <c r="J4522" s="22" t="s">
        <v>29119</v>
      </c>
      <c r="K4522" s="22" t="s">
        <v>29120</v>
      </c>
      <c r="L4522" s="23" t="s">
        <v>29121</v>
      </c>
      <c r="M4522" s="22"/>
      <c r="N4522" s="12"/>
      <c r="O4522" s="12"/>
      <c r="P4522" s="13">
        <f>IFERROR(__xludf.DUMMYFUNCTION("VALUE(SUBSTITUTE((INDEX(SPLIT(A4522,"",""),1)),""."","","",1))"),55.360955)</f>
        <v>55.360955</v>
      </c>
      <c r="Q4522" s="13">
        <f>IFERROR(__xludf.DUMMYFUNCTION("VALUE(SUBSTITUTE((INDEX(SPLIT(A4522,"",""),2)),""."","","",1))"),85.991258)</f>
        <v>85.991258</v>
      </c>
      <c r="R4522" s="14" t="b">
        <f t="shared" si="1"/>
        <v>0</v>
      </c>
      <c r="S4522" s="14" t="str">
        <f t="shared" si="2"/>
        <v>55.360955,85.991258</v>
      </c>
      <c r="T4522" s="12"/>
    </row>
    <row r="4523">
      <c r="A4523" s="18" t="s">
        <v>29115</v>
      </c>
      <c r="B4523" s="8" t="s">
        <v>29122</v>
      </c>
      <c r="C4523" s="8" t="s">
        <v>29123</v>
      </c>
      <c r="D4523" s="8" t="s">
        <v>16</v>
      </c>
      <c r="E4523" s="19" t="s">
        <v>29124</v>
      </c>
      <c r="F4523" s="8" t="s">
        <v>23544</v>
      </c>
      <c r="G4523" s="8">
        <v>23.61</v>
      </c>
      <c r="H4523" s="8"/>
      <c r="I4523" s="8"/>
      <c r="J4523" s="8" t="s">
        <v>29125</v>
      </c>
      <c r="K4523" s="8" t="s">
        <v>29126</v>
      </c>
      <c r="L4523" s="8"/>
      <c r="M4523" s="8"/>
      <c r="N4523" s="12"/>
      <c r="O4523" s="12"/>
      <c r="P4523" s="13">
        <f>IFERROR(__xludf.DUMMYFUNCTION("VALUE(SUBSTITUTE((INDEX(SPLIT(A4523,"",""),1)),""."","","",1))"),55.360955)</f>
        <v>55.360955</v>
      </c>
      <c r="Q4523" s="13">
        <f>IFERROR(__xludf.DUMMYFUNCTION("VALUE(SUBSTITUTE((INDEX(SPLIT(A4523,"",""),2)),""."","","",1))"),85.991258)</f>
        <v>85.991258</v>
      </c>
      <c r="R4523" s="14" t="b">
        <f t="shared" si="1"/>
        <v>0</v>
      </c>
      <c r="S4523" s="14" t="str">
        <f t="shared" si="2"/>
        <v>55.360955,85.991258</v>
      </c>
      <c r="T4523" s="12"/>
    </row>
    <row r="4524">
      <c r="A4524" s="15" t="s">
        <v>29127</v>
      </c>
      <c r="B4524" s="16" t="s">
        <v>29128</v>
      </c>
      <c r="C4524" s="16" t="s">
        <v>29129</v>
      </c>
      <c r="D4524" s="16" t="s">
        <v>16</v>
      </c>
      <c r="E4524" s="17" t="s">
        <v>29130</v>
      </c>
      <c r="F4524" s="16" t="s">
        <v>23544</v>
      </c>
      <c r="G4524" s="16">
        <v>23.61</v>
      </c>
      <c r="H4524" s="16"/>
      <c r="I4524" s="32" t="s">
        <v>29131</v>
      </c>
      <c r="J4524" s="16" t="s">
        <v>29132</v>
      </c>
      <c r="K4524" s="16" t="s">
        <v>29133</v>
      </c>
      <c r="L4524" s="16"/>
      <c r="M4524" s="16"/>
      <c r="N4524" s="12"/>
      <c r="O4524" s="12"/>
      <c r="P4524" s="13">
        <f>IFERROR(__xludf.DUMMYFUNCTION("VALUE(SUBSTITUTE((INDEX(SPLIT(A4524,"",""),1)),""."","","",1))"),54.293876)</f>
        <v>54.293876</v>
      </c>
      <c r="Q4524" s="13">
        <f>IFERROR(__xludf.DUMMYFUNCTION("VALUE(SUBSTITUTE((INDEX(SPLIT(A4524,"",""),2)),""."","","",1))"),85.994222)</f>
        <v>85.994222</v>
      </c>
      <c r="R4524" s="14" t="b">
        <f t="shared" si="1"/>
        <v>0</v>
      </c>
      <c r="S4524" s="14" t="str">
        <f t="shared" si="2"/>
        <v>54.293876,85.994222</v>
      </c>
      <c r="T4524" s="12"/>
    </row>
    <row r="4525">
      <c r="A4525" s="18" t="s">
        <v>29134</v>
      </c>
      <c r="B4525" s="8" t="s">
        <v>29135</v>
      </c>
      <c r="C4525" s="8" t="s">
        <v>29136</v>
      </c>
      <c r="D4525" s="8" t="s">
        <v>16</v>
      </c>
      <c r="E4525" s="19" t="s">
        <v>29137</v>
      </c>
      <c r="F4525" s="8" t="s">
        <v>23544</v>
      </c>
      <c r="G4525" s="8">
        <v>23.61</v>
      </c>
      <c r="H4525" s="8"/>
      <c r="I4525" s="8"/>
      <c r="J4525" s="8" t="s">
        <v>29138</v>
      </c>
      <c r="K4525" s="8" t="s">
        <v>29139</v>
      </c>
      <c r="L4525" s="8"/>
      <c r="M4525" s="8"/>
      <c r="N4525" s="12"/>
      <c r="O4525" s="12"/>
      <c r="P4525" s="13">
        <f>IFERROR(__xludf.DUMMYFUNCTION("VALUE(SUBSTITUTE((INDEX(SPLIT(A4525,"",""),1)),""."","","",1))"),51.892834)</f>
        <v>51.892834</v>
      </c>
      <c r="Q4525" s="13">
        <f>IFERROR(__xludf.DUMMYFUNCTION("VALUE(SUBSTITUTE((INDEX(SPLIT(A4525,"",""),2)),""."","","",1))"),85.995596)</f>
        <v>85.995596</v>
      </c>
      <c r="R4525" s="14" t="b">
        <f t="shared" si="1"/>
        <v>0</v>
      </c>
      <c r="S4525" s="14" t="str">
        <f t="shared" si="2"/>
        <v>51.892834,85.995596</v>
      </c>
      <c r="T4525" s="12"/>
    </row>
    <row r="4526">
      <c r="A4526" s="15" t="s">
        <v>29140</v>
      </c>
      <c r="B4526" s="16" t="s">
        <v>9115</v>
      </c>
      <c r="C4526" s="16" t="s">
        <v>9116</v>
      </c>
      <c r="D4526" s="16" t="s">
        <v>16</v>
      </c>
      <c r="E4526" s="17" t="s">
        <v>29141</v>
      </c>
      <c r="F4526" s="16" t="s">
        <v>23544</v>
      </c>
      <c r="G4526" s="16">
        <v>23.61</v>
      </c>
      <c r="H4526" s="16"/>
      <c r="I4526" s="16"/>
      <c r="J4526" s="16" t="s">
        <v>29142</v>
      </c>
      <c r="K4526" s="16" t="s">
        <v>29143</v>
      </c>
      <c r="L4526" s="16"/>
      <c r="M4526" s="16"/>
      <c r="N4526" s="12"/>
      <c r="O4526" s="12"/>
      <c r="P4526" s="13">
        <f>IFERROR(__xludf.DUMMYFUNCTION("VALUE(SUBSTITUTE((INDEX(SPLIT(A4526,"",""),1)),""."","","",1))"),51.97424)</f>
        <v>51.97424</v>
      </c>
      <c r="Q4526" s="13">
        <f>IFERROR(__xludf.DUMMYFUNCTION("VALUE(SUBSTITUTE((INDEX(SPLIT(A4526,"",""),2)),""."","","",1))"),86.001714)</f>
        <v>86.001714</v>
      </c>
      <c r="R4526" s="14" t="b">
        <f t="shared" si="1"/>
        <v>0</v>
      </c>
      <c r="S4526" s="14" t="str">
        <f t="shared" si="2"/>
        <v>51.97424,86.001714</v>
      </c>
      <c r="T4526" s="12"/>
    </row>
    <row r="4527">
      <c r="A4527" s="18" t="s">
        <v>29144</v>
      </c>
      <c r="B4527" s="8" t="s">
        <v>29145</v>
      </c>
      <c r="C4527" s="8" t="s">
        <v>29146</v>
      </c>
      <c r="D4527" s="8" t="s">
        <v>16</v>
      </c>
      <c r="E4527" s="19" t="s">
        <v>29147</v>
      </c>
      <c r="F4527" s="8" t="s">
        <v>23544</v>
      </c>
      <c r="G4527" s="8">
        <v>23.61</v>
      </c>
      <c r="H4527" s="8"/>
      <c r="I4527" s="8"/>
      <c r="J4527" s="8" t="s">
        <v>29148</v>
      </c>
      <c r="K4527" s="8" t="s">
        <v>29149</v>
      </c>
      <c r="L4527" s="8"/>
      <c r="M4527" s="8"/>
      <c r="N4527" s="12"/>
      <c r="O4527" s="12"/>
      <c r="P4527" s="13">
        <f>IFERROR(__xludf.DUMMYFUNCTION("VALUE(SUBSTITUTE((INDEX(SPLIT(A4527,"",""),1)),""."","","",1))"),55.322512)</f>
        <v>55.322512</v>
      </c>
      <c r="Q4527" s="13">
        <f>IFERROR(__xludf.DUMMYFUNCTION("VALUE(SUBSTITUTE((INDEX(SPLIT(A4527,"",""),2)),""."","","",1))"),86.068513)</f>
        <v>86.068513</v>
      </c>
      <c r="R4527" s="14" t="b">
        <f t="shared" si="1"/>
        <v>0</v>
      </c>
      <c r="S4527" s="14" t="str">
        <f t="shared" si="2"/>
        <v>55.322512,86.068513</v>
      </c>
      <c r="T4527" s="12"/>
    </row>
    <row r="4528">
      <c r="A4528" s="20" t="s">
        <v>29150</v>
      </c>
      <c r="B4528" s="16" t="s">
        <v>29151</v>
      </c>
      <c r="C4528" s="16" t="s">
        <v>29152</v>
      </c>
      <c r="D4528" s="16" t="s">
        <v>16</v>
      </c>
      <c r="E4528" s="21" t="s">
        <v>29153</v>
      </c>
      <c r="F4528" s="22" t="s">
        <v>11562</v>
      </c>
      <c r="G4528" s="16">
        <v>23.61</v>
      </c>
      <c r="H4528" s="16"/>
      <c r="I4528" s="22"/>
      <c r="J4528" s="22" t="s">
        <v>29154</v>
      </c>
      <c r="K4528" s="22" t="s">
        <v>29155</v>
      </c>
      <c r="L4528" s="23" t="s">
        <v>29156</v>
      </c>
      <c r="M4528" s="23" t="s">
        <v>29157</v>
      </c>
      <c r="N4528" s="12"/>
      <c r="O4528" s="12"/>
      <c r="P4528" s="13">
        <f>IFERROR(__xludf.DUMMYFUNCTION("VALUE(SUBSTITUTE((INDEX(SPLIT(A4528,"",""),1)),""."","","",1))"),55.393487)</f>
        <v>55.393487</v>
      </c>
      <c r="Q4528" s="13">
        <f>IFERROR(__xludf.DUMMYFUNCTION("VALUE(SUBSTITUTE((INDEX(SPLIT(A4528,"",""),2)),""."","","",1))"),86.070606)</f>
        <v>86.070606</v>
      </c>
      <c r="R4528" s="14" t="b">
        <f t="shared" si="1"/>
        <v>0</v>
      </c>
      <c r="S4528" s="14" t="str">
        <f t="shared" si="2"/>
        <v>55.393487,86.070606</v>
      </c>
      <c r="T4528" s="12"/>
    </row>
    <row r="4529">
      <c r="A4529" s="18" t="s">
        <v>29150</v>
      </c>
      <c r="B4529" s="8" t="s">
        <v>29158</v>
      </c>
      <c r="C4529" s="8" t="s">
        <v>29159</v>
      </c>
      <c r="D4529" s="8" t="s">
        <v>16</v>
      </c>
      <c r="E4529" s="19" t="s">
        <v>29160</v>
      </c>
      <c r="F4529" s="8" t="s">
        <v>11562</v>
      </c>
      <c r="G4529" s="8">
        <v>23.61</v>
      </c>
      <c r="H4529" s="8"/>
      <c r="I4529" s="8"/>
      <c r="J4529" s="8" t="s">
        <v>29161</v>
      </c>
      <c r="K4529" s="8" t="s">
        <v>29162</v>
      </c>
      <c r="L4529" s="8"/>
      <c r="M4529" s="8"/>
      <c r="N4529" s="12"/>
      <c r="O4529" s="12"/>
      <c r="P4529" s="13">
        <f>IFERROR(__xludf.DUMMYFUNCTION("VALUE(SUBSTITUTE((INDEX(SPLIT(A4529,"",""),1)),""."","","",1))"),55.393487)</f>
        <v>55.393487</v>
      </c>
      <c r="Q4529" s="13">
        <f>IFERROR(__xludf.DUMMYFUNCTION("VALUE(SUBSTITUTE((INDEX(SPLIT(A4529,"",""),2)),""."","","",1))"),86.070606)</f>
        <v>86.070606</v>
      </c>
      <c r="R4529" s="14" t="b">
        <f t="shared" si="1"/>
        <v>0</v>
      </c>
      <c r="S4529" s="14" t="str">
        <f t="shared" si="2"/>
        <v>55.393487,86.070606</v>
      </c>
      <c r="T4529" s="12"/>
    </row>
    <row r="4530">
      <c r="A4530" s="20" t="s">
        <v>29163</v>
      </c>
      <c r="B4530" s="16" t="s">
        <v>8279</v>
      </c>
      <c r="C4530" s="16" t="s">
        <v>8280</v>
      </c>
      <c r="D4530" s="16" t="s">
        <v>16</v>
      </c>
      <c r="E4530" s="21" t="s">
        <v>29164</v>
      </c>
      <c r="F4530" s="22" t="s">
        <v>11562</v>
      </c>
      <c r="G4530" s="16">
        <v>23.61</v>
      </c>
      <c r="H4530" s="16"/>
      <c r="I4530" s="22"/>
      <c r="J4530" s="22" t="s">
        <v>29165</v>
      </c>
      <c r="K4530" s="22" t="s">
        <v>29166</v>
      </c>
      <c r="L4530" s="23" t="s">
        <v>29167</v>
      </c>
      <c r="M4530" s="22"/>
      <c r="N4530" s="12"/>
      <c r="O4530" s="12"/>
      <c r="P4530" s="13">
        <f>IFERROR(__xludf.DUMMYFUNCTION("VALUE(SUBSTITUTE((INDEX(SPLIT(A4530,"",""),1)),""."","","",1))"),55.362521)</f>
        <v>55.362521</v>
      </c>
      <c r="Q4530" s="13">
        <f>IFERROR(__xludf.DUMMYFUNCTION("VALUE(SUBSTITUTE((INDEX(SPLIT(A4530,"",""),2)),""."","","",1))"),86.070624)</f>
        <v>86.070624</v>
      </c>
      <c r="R4530" s="14" t="b">
        <f t="shared" si="1"/>
        <v>0</v>
      </c>
      <c r="S4530" s="14" t="str">
        <f t="shared" si="2"/>
        <v>55.362521,86.070624</v>
      </c>
      <c r="T4530" s="12"/>
    </row>
    <row r="4531">
      <c r="A4531" s="7" t="s">
        <v>29168</v>
      </c>
      <c r="B4531" s="8" t="s">
        <v>29169</v>
      </c>
      <c r="C4531" s="8" t="s">
        <v>29170</v>
      </c>
      <c r="D4531" s="8" t="s">
        <v>16</v>
      </c>
      <c r="E4531" s="9" t="s">
        <v>29171</v>
      </c>
      <c r="F4531" s="10" t="s">
        <v>3162</v>
      </c>
      <c r="G4531" s="8">
        <v>23.61</v>
      </c>
      <c r="H4531" s="8"/>
      <c r="I4531" s="10"/>
      <c r="J4531" s="10" t="s">
        <v>29172</v>
      </c>
      <c r="K4531" s="10" t="s">
        <v>4386</v>
      </c>
      <c r="L4531" s="11" t="s">
        <v>29173</v>
      </c>
      <c r="M4531" s="10"/>
      <c r="N4531" s="12"/>
      <c r="O4531" s="12"/>
      <c r="P4531" s="13">
        <f>IFERROR(__xludf.DUMMYFUNCTION("VALUE(SUBSTITUTE((INDEX(SPLIT(A4531,"",""),1)),""."","","",1))"),55.392817)</f>
        <v>55.392817</v>
      </c>
      <c r="Q4531" s="13">
        <f>IFERROR(__xludf.DUMMYFUNCTION("VALUE(SUBSTITUTE((INDEX(SPLIT(A4531,"",""),2)),""."","","",1))"),86.084242)</f>
        <v>86.084242</v>
      </c>
      <c r="R4531" s="14" t="b">
        <f t="shared" si="1"/>
        <v>0</v>
      </c>
      <c r="S4531" s="14" t="str">
        <f t="shared" si="2"/>
        <v>55.392817,86.084242</v>
      </c>
      <c r="T4531" s="12"/>
    </row>
    <row r="4532">
      <c r="A4532" s="20" t="s">
        <v>29174</v>
      </c>
      <c r="B4532" s="16" t="s">
        <v>29175</v>
      </c>
      <c r="C4532" s="16" t="s">
        <v>29176</v>
      </c>
      <c r="D4532" s="16" t="s">
        <v>16</v>
      </c>
      <c r="E4532" s="21" t="s">
        <v>29177</v>
      </c>
      <c r="F4532" s="22" t="s">
        <v>11562</v>
      </c>
      <c r="G4532" s="16">
        <v>23.61</v>
      </c>
      <c r="H4532" s="16"/>
      <c r="I4532" s="22"/>
      <c r="J4532" s="22" t="s">
        <v>29178</v>
      </c>
      <c r="K4532" s="22" t="s">
        <v>29179</v>
      </c>
      <c r="L4532" s="23" t="s">
        <v>29180</v>
      </c>
      <c r="M4532" s="22"/>
      <c r="N4532" s="12"/>
      <c r="O4532" s="12"/>
      <c r="P4532" s="13">
        <f>IFERROR(__xludf.DUMMYFUNCTION("VALUE(SUBSTITUTE((INDEX(SPLIT(A4532,"",""),1)),""."","","",1))"),55.352015)</f>
        <v>55.352015</v>
      </c>
      <c r="Q4532" s="13">
        <f>IFERROR(__xludf.DUMMYFUNCTION("VALUE(SUBSTITUTE((INDEX(SPLIT(A4532,"",""),2)),""."","","",1))"),86.084278)</f>
        <v>86.084278</v>
      </c>
      <c r="R4532" s="14" t="b">
        <f t="shared" si="1"/>
        <v>0</v>
      </c>
      <c r="S4532" s="14" t="str">
        <f t="shared" si="2"/>
        <v>55.352015,86.084278</v>
      </c>
      <c r="T4532" s="12"/>
    </row>
    <row r="4533">
      <c r="A4533" s="18" t="s">
        <v>29181</v>
      </c>
      <c r="B4533" s="8" t="s">
        <v>29182</v>
      </c>
      <c r="C4533" s="8" t="s">
        <v>29183</v>
      </c>
      <c r="D4533" s="8" t="s">
        <v>16</v>
      </c>
      <c r="E4533" s="19" t="s">
        <v>29184</v>
      </c>
      <c r="F4533" s="8" t="s">
        <v>11562</v>
      </c>
      <c r="G4533" s="8">
        <v>23.61</v>
      </c>
      <c r="H4533" s="8"/>
      <c r="I4533" s="27" t="s">
        <v>29185</v>
      </c>
      <c r="J4533" s="8" t="s">
        <v>29186</v>
      </c>
      <c r="K4533" s="8" t="s">
        <v>29187</v>
      </c>
      <c r="L4533" s="8"/>
      <c r="M4533" s="24" t="s">
        <v>29188</v>
      </c>
      <c r="N4533" s="12"/>
      <c r="O4533" s="12"/>
      <c r="P4533" s="13">
        <f>IFERROR(__xludf.DUMMYFUNCTION("VALUE(SUBSTITUTE((INDEX(SPLIT(A4533,"",""),1)),""."","","",1))"),55.312363)</f>
        <v>55.312363</v>
      </c>
      <c r="Q4533" s="13">
        <f>IFERROR(__xludf.DUMMYFUNCTION("VALUE(SUBSTITUTE((INDEX(SPLIT(A4533,"",""),2)),""."","","",1))"),86.106574)</f>
        <v>86.106574</v>
      </c>
      <c r="R4533" s="14" t="b">
        <f t="shared" si="1"/>
        <v>0</v>
      </c>
      <c r="S4533" s="14" t="str">
        <f t="shared" si="2"/>
        <v>55.312363,86.106574</v>
      </c>
      <c r="T4533" s="12"/>
    </row>
    <row r="4534">
      <c r="A4534" s="15" t="s">
        <v>29189</v>
      </c>
      <c r="B4534" s="16" t="s">
        <v>29190</v>
      </c>
      <c r="C4534" s="16" t="s">
        <v>29190</v>
      </c>
      <c r="D4534" s="16" t="s">
        <v>16</v>
      </c>
      <c r="E4534" s="17" t="s">
        <v>29191</v>
      </c>
      <c r="F4534" s="16" t="s">
        <v>23544</v>
      </c>
      <c r="G4534" s="16">
        <v>23.61</v>
      </c>
      <c r="H4534" s="16"/>
      <c r="I4534" s="16"/>
      <c r="J4534" s="16" t="s">
        <v>29192</v>
      </c>
      <c r="K4534" s="16" t="s">
        <v>29193</v>
      </c>
      <c r="L4534" s="16"/>
      <c r="M4534" s="16"/>
      <c r="N4534" s="12"/>
      <c r="O4534" s="12"/>
      <c r="P4534" s="13">
        <f>IFERROR(__xludf.DUMMYFUNCTION("VALUE(SUBSTITUTE((INDEX(SPLIT(A4534,"",""),1)),""."","","",1))"),55.328253)</f>
        <v>55.328253</v>
      </c>
      <c r="Q4534" s="13">
        <f>IFERROR(__xludf.DUMMYFUNCTION("VALUE(SUBSTITUTE((INDEX(SPLIT(A4534,"",""),2)),""."","","",1))"),86.130604)</f>
        <v>86.130604</v>
      </c>
      <c r="R4534" s="14" t="b">
        <f t="shared" si="1"/>
        <v>0</v>
      </c>
      <c r="S4534" s="14" t="str">
        <f t="shared" si="2"/>
        <v>55.328253,86.130604</v>
      </c>
      <c r="T4534" s="12"/>
    </row>
    <row r="4535">
      <c r="A4535" s="18" t="s">
        <v>29194</v>
      </c>
      <c r="B4535" s="8" t="s">
        <v>29195</v>
      </c>
      <c r="C4535" s="8" t="s">
        <v>29196</v>
      </c>
      <c r="D4535" s="8" t="s">
        <v>16</v>
      </c>
      <c r="E4535" s="19" t="s">
        <v>29197</v>
      </c>
      <c r="F4535" s="8" t="s">
        <v>11562</v>
      </c>
      <c r="G4535" s="8">
        <v>23.61</v>
      </c>
      <c r="H4535" s="8"/>
      <c r="I4535" s="8"/>
      <c r="J4535" s="8" t="s">
        <v>29198</v>
      </c>
      <c r="K4535" s="8" t="s">
        <v>29199</v>
      </c>
      <c r="L4535" s="8"/>
      <c r="M4535" s="8"/>
      <c r="N4535" s="12"/>
      <c r="O4535" s="12"/>
      <c r="P4535" s="13">
        <f>IFERROR(__xludf.DUMMYFUNCTION("VALUE(SUBSTITUTE((INDEX(SPLIT(A4535,"",""),1)),""."","","",1))"),50.738549)</f>
        <v>50.738549</v>
      </c>
      <c r="Q4535" s="13">
        <f>IFERROR(__xludf.DUMMYFUNCTION("VALUE(SUBSTITUTE((INDEX(SPLIT(A4535,"",""),2)),""."","","",1))"),86.149289)</f>
        <v>86.149289</v>
      </c>
      <c r="R4535" s="14" t="b">
        <f t="shared" si="1"/>
        <v>0</v>
      </c>
      <c r="S4535" s="14" t="str">
        <f t="shared" si="2"/>
        <v>50.738549,86.149289</v>
      </c>
      <c r="T4535" s="12"/>
    </row>
    <row r="4536">
      <c r="A4536" s="20" t="s">
        <v>29200</v>
      </c>
      <c r="B4536" s="16" t="s">
        <v>29201</v>
      </c>
      <c r="C4536" s="16" t="s">
        <v>29202</v>
      </c>
      <c r="D4536" s="16" t="s">
        <v>16</v>
      </c>
      <c r="E4536" s="21" t="s">
        <v>29203</v>
      </c>
      <c r="F4536" s="22" t="s">
        <v>16936</v>
      </c>
      <c r="G4536" s="16">
        <v>23.61</v>
      </c>
      <c r="H4536" s="16"/>
      <c r="I4536" s="22"/>
      <c r="J4536" s="22" t="s">
        <v>29204</v>
      </c>
      <c r="K4536" s="22" t="s">
        <v>29205</v>
      </c>
      <c r="L4536" s="23" t="s">
        <v>29206</v>
      </c>
      <c r="M4536" s="22"/>
      <c r="N4536" s="12"/>
      <c r="O4536" s="12"/>
      <c r="P4536" s="13">
        <f>IFERROR(__xludf.DUMMYFUNCTION("VALUE(SUBSTITUTE((INDEX(SPLIT(A4536,"",""),1)),""."","","",1))"),54.663115)</f>
        <v>54.663115</v>
      </c>
      <c r="Q4536" s="13">
        <f>IFERROR(__xludf.DUMMYFUNCTION("VALUE(SUBSTITUTE((INDEX(SPLIT(A4536,"",""),2)),""."","","",1))"),86.152882)</f>
        <v>86.152882</v>
      </c>
      <c r="R4536" s="14" t="b">
        <f t="shared" si="1"/>
        <v>0</v>
      </c>
      <c r="S4536" s="14" t="str">
        <f t="shared" si="2"/>
        <v>54.663115,86.152882</v>
      </c>
      <c r="T4536" s="12"/>
    </row>
    <row r="4537">
      <c r="A4537" s="7" t="s">
        <v>29207</v>
      </c>
      <c r="B4537" s="8" t="s">
        <v>29208</v>
      </c>
      <c r="C4537" s="8" t="s">
        <v>29209</v>
      </c>
      <c r="D4537" s="8" t="s">
        <v>16</v>
      </c>
      <c r="E4537" s="9" t="s">
        <v>29210</v>
      </c>
      <c r="F4537" s="10" t="s">
        <v>11562</v>
      </c>
      <c r="G4537" s="8">
        <v>23.61</v>
      </c>
      <c r="H4537" s="8"/>
      <c r="I4537" s="10"/>
      <c r="J4537" s="10" t="s">
        <v>29211</v>
      </c>
      <c r="K4537" s="10" t="s">
        <v>29212</v>
      </c>
      <c r="L4537" s="11" t="s">
        <v>29213</v>
      </c>
      <c r="M4537" s="10"/>
      <c r="N4537" s="12"/>
      <c r="O4537" s="12"/>
      <c r="P4537" s="13">
        <f>IFERROR(__xludf.DUMMYFUNCTION("VALUE(SUBSTITUTE((INDEX(SPLIT(A4537,"",""),1)),""."","","",1))"),55.304775)</f>
        <v>55.304775</v>
      </c>
      <c r="Q4537" s="13">
        <f>IFERROR(__xludf.DUMMYFUNCTION("VALUE(SUBSTITUTE((INDEX(SPLIT(A4537,"",""),2)),""."","","",1))"),86.1658)</f>
        <v>86.1658</v>
      </c>
      <c r="R4537" s="14" t="b">
        <f t="shared" si="1"/>
        <v>0</v>
      </c>
      <c r="S4537" s="14" t="str">
        <f t="shared" si="2"/>
        <v>55.304775,86.1658</v>
      </c>
      <c r="T4537" s="12"/>
    </row>
    <row r="4538">
      <c r="A4538" s="15" t="s">
        <v>29214</v>
      </c>
      <c r="B4538" s="16" t="s">
        <v>29215</v>
      </c>
      <c r="C4538" s="16" t="s">
        <v>29216</v>
      </c>
      <c r="D4538" s="16" t="s">
        <v>16</v>
      </c>
      <c r="E4538" s="17" t="s">
        <v>29217</v>
      </c>
      <c r="F4538" s="16" t="s">
        <v>23544</v>
      </c>
      <c r="G4538" s="16">
        <v>23.61</v>
      </c>
      <c r="H4538" s="16"/>
      <c r="I4538" s="16"/>
      <c r="J4538" s="16" t="s">
        <v>29218</v>
      </c>
      <c r="K4538" s="16" t="s">
        <v>29219</v>
      </c>
      <c r="L4538" s="16"/>
      <c r="M4538" s="16"/>
      <c r="N4538" s="12"/>
      <c r="O4538" s="12"/>
      <c r="P4538" s="13">
        <f>IFERROR(__xludf.DUMMYFUNCTION("VALUE(SUBSTITUTE((INDEX(SPLIT(A4538,"",""),1)),""."","","",1))"),55.349962)</f>
        <v>55.349962</v>
      </c>
      <c r="Q4538" s="13">
        <f>IFERROR(__xludf.DUMMYFUNCTION("VALUE(SUBSTITUTE((INDEX(SPLIT(A4538,"",""),2)),""."","","",1))"),86.167049)</f>
        <v>86.167049</v>
      </c>
      <c r="R4538" s="14" t="b">
        <f t="shared" si="1"/>
        <v>0</v>
      </c>
      <c r="S4538" s="14" t="str">
        <f t="shared" si="2"/>
        <v>55.349962,86.167049</v>
      </c>
      <c r="T4538" s="12"/>
    </row>
    <row r="4539">
      <c r="A4539" s="18" t="s">
        <v>29220</v>
      </c>
      <c r="B4539" s="8" t="s">
        <v>29221</v>
      </c>
      <c r="C4539" s="8" t="s">
        <v>29222</v>
      </c>
      <c r="D4539" s="8" t="s">
        <v>16</v>
      </c>
      <c r="E4539" s="19" t="s">
        <v>29223</v>
      </c>
      <c r="F4539" s="8" t="s">
        <v>23544</v>
      </c>
      <c r="G4539" s="8">
        <v>23.61</v>
      </c>
      <c r="H4539" s="8"/>
      <c r="I4539" s="8"/>
      <c r="J4539" s="8" t="s">
        <v>29224</v>
      </c>
      <c r="K4539" s="8" t="s">
        <v>29225</v>
      </c>
      <c r="L4539" s="8"/>
      <c r="M4539" s="8"/>
      <c r="N4539" s="12"/>
      <c r="O4539" s="12"/>
      <c r="P4539" s="13">
        <f>IFERROR(__xludf.DUMMYFUNCTION("VALUE(SUBSTITUTE((INDEX(SPLIT(A4539,"",""),1)),""."","","",1))"),55.354543)</f>
        <v>55.354543</v>
      </c>
      <c r="Q4539" s="13">
        <f>IFERROR(__xludf.DUMMYFUNCTION("VALUE(SUBSTITUTE((INDEX(SPLIT(A4539,"",""),2)),""."","","",1))"),86.170489)</f>
        <v>86.170489</v>
      </c>
      <c r="R4539" s="14" t="b">
        <f t="shared" si="1"/>
        <v>0</v>
      </c>
      <c r="S4539" s="14" t="str">
        <f t="shared" si="2"/>
        <v>55.354543,86.170489</v>
      </c>
      <c r="T4539" s="12"/>
    </row>
    <row r="4540">
      <c r="A4540" s="15" t="s">
        <v>29226</v>
      </c>
      <c r="B4540" s="16" t="s">
        <v>29227</v>
      </c>
      <c r="C4540" s="16" t="s">
        <v>29228</v>
      </c>
      <c r="D4540" s="16" t="s">
        <v>16</v>
      </c>
      <c r="E4540" s="17" t="s">
        <v>29229</v>
      </c>
      <c r="F4540" s="16" t="s">
        <v>3162</v>
      </c>
      <c r="G4540" s="16">
        <v>23.61</v>
      </c>
      <c r="H4540" s="16"/>
      <c r="I4540" s="16"/>
      <c r="J4540" s="16" t="s">
        <v>29230</v>
      </c>
      <c r="K4540" s="16" t="s">
        <v>29231</v>
      </c>
      <c r="L4540" s="16"/>
      <c r="M4540" s="16"/>
      <c r="N4540" s="12"/>
      <c r="O4540" s="12"/>
      <c r="P4540" s="13">
        <f>IFERROR(__xludf.DUMMYFUNCTION("VALUE(SUBSTITUTE((INDEX(SPLIT(A4540,"",""),1)),""."","","",1))"),55.338167)</f>
        <v>55.338167</v>
      </c>
      <c r="Q4540" s="13">
        <f>IFERROR(__xludf.DUMMYFUNCTION("VALUE(SUBSTITUTE((INDEX(SPLIT(A4540,"",""),2)),""."","","",1))"),86.185689)</f>
        <v>86.185689</v>
      </c>
      <c r="R4540" s="14" t="b">
        <f t="shared" si="1"/>
        <v>0</v>
      </c>
      <c r="S4540" s="14" t="str">
        <f t="shared" si="2"/>
        <v>55.338167,86.185689</v>
      </c>
      <c r="T4540" s="12"/>
    </row>
    <row r="4541">
      <c r="A4541" s="7" t="s">
        <v>29232</v>
      </c>
      <c r="B4541" s="8" t="s">
        <v>29233</v>
      </c>
      <c r="C4541" s="8" t="s">
        <v>29234</v>
      </c>
      <c r="D4541" s="8" t="s">
        <v>16</v>
      </c>
      <c r="E4541" s="9" t="s">
        <v>29235</v>
      </c>
      <c r="F4541" s="10" t="s">
        <v>19378</v>
      </c>
      <c r="G4541" s="8">
        <v>23.61</v>
      </c>
      <c r="H4541" s="8"/>
      <c r="I4541" s="10"/>
      <c r="J4541" s="10" t="s">
        <v>29236</v>
      </c>
      <c r="K4541" s="10" t="s">
        <v>29237</v>
      </c>
      <c r="L4541" s="29" t="s">
        <v>29238</v>
      </c>
      <c r="M4541" s="10"/>
      <c r="N4541" s="12"/>
      <c r="O4541" s="12"/>
      <c r="P4541" s="13">
        <f>IFERROR(__xludf.DUMMYFUNCTION("VALUE(SUBSTITUTE((INDEX(SPLIT(A4541,"",""),1)),""."","","",1))"),53.856705)</f>
        <v>53.856705</v>
      </c>
      <c r="Q4541" s="13">
        <f>IFERROR(__xludf.DUMMYFUNCTION("VALUE(SUBSTITUTE((INDEX(SPLIT(A4541,"",""),2)),""."","","",1))"),86.646579)</f>
        <v>86.646579</v>
      </c>
      <c r="R4541" s="14" t="b">
        <f t="shared" si="1"/>
        <v>0</v>
      </c>
      <c r="S4541" s="14" t="str">
        <f t="shared" si="2"/>
        <v>53.856705,86.646579</v>
      </c>
      <c r="T4541" s="12"/>
    </row>
    <row r="4542">
      <c r="A4542" s="15" t="s">
        <v>29239</v>
      </c>
      <c r="B4542" s="16" t="s">
        <v>29240</v>
      </c>
      <c r="C4542" s="16" t="s">
        <v>29241</v>
      </c>
      <c r="D4542" s="16" t="s">
        <v>16</v>
      </c>
      <c r="E4542" s="17" t="s">
        <v>29242</v>
      </c>
      <c r="F4542" s="16" t="s">
        <v>23544</v>
      </c>
      <c r="G4542" s="16">
        <v>23.61</v>
      </c>
      <c r="H4542" s="16"/>
      <c r="I4542" s="16"/>
      <c r="J4542" s="16" t="s">
        <v>29243</v>
      </c>
      <c r="K4542" s="16" t="s">
        <v>29244</v>
      </c>
      <c r="L4542" s="16"/>
      <c r="M4542" s="16"/>
      <c r="N4542" s="12"/>
      <c r="O4542" s="12"/>
      <c r="P4542" s="13">
        <f>IFERROR(__xludf.DUMMYFUNCTION("VALUE(SUBSTITUTE((INDEX(SPLIT(A4542,"",""),1)),""."","","",1))"),53.959802)</f>
        <v>53.959802</v>
      </c>
      <c r="Q4542" s="13">
        <f>IFERROR(__xludf.DUMMYFUNCTION("VALUE(SUBSTITUTE((INDEX(SPLIT(A4542,"",""),2)),""."","","",1))"),86.716971)</f>
        <v>86.716971</v>
      </c>
      <c r="R4542" s="14" t="b">
        <f t="shared" si="1"/>
        <v>0</v>
      </c>
      <c r="S4542" s="14" t="str">
        <f t="shared" si="2"/>
        <v>53.959802,86.716971</v>
      </c>
      <c r="T4542" s="12"/>
    </row>
    <row r="4543">
      <c r="A4543" s="7" t="s">
        <v>29245</v>
      </c>
      <c r="B4543" s="8" t="s">
        <v>29246</v>
      </c>
      <c r="C4543" s="8" t="s">
        <v>29247</v>
      </c>
      <c r="D4543" s="8" t="s">
        <v>16</v>
      </c>
      <c r="E4543" s="9" t="s">
        <v>29248</v>
      </c>
      <c r="F4543" s="10" t="s">
        <v>19378</v>
      </c>
      <c r="G4543" s="8">
        <v>23.61</v>
      </c>
      <c r="H4543" s="8"/>
      <c r="I4543" s="10"/>
      <c r="J4543" s="10" t="s">
        <v>29249</v>
      </c>
      <c r="K4543" s="10" t="s">
        <v>29250</v>
      </c>
      <c r="L4543" s="11" t="s">
        <v>29251</v>
      </c>
      <c r="M4543" s="10"/>
      <c r="N4543" s="12"/>
      <c r="O4543" s="12"/>
      <c r="P4543" s="13">
        <f>IFERROR(__xludf.DUMMYFUNCTION("VALUE(SUBSTITUTE((INDEX(SPLIT(A4543,"",""),1)),""."","","",1))"),56.709294)</f>
        <v>56.709294</v>
      </c>
      <c r="Q4543" s="13">
        <f>IFERROR(__xludf.DUMMYFUNCTION("VALUE(SUBSTITUTE((INDEX(SPLIT(A4543,"",""),2)),""."","","",1))"),86.807045)</f>
        <v>86.807045</v>
      </c>
      <c r="R4543" s="14" t="b">
        <f t="shared" si="1"/>
        <v>0</v>
      </c>
      <c r="S4543" s="14" t="str">
        <f t="shared" si="2"/>
        <v>56.709294,86.807045</v>
      </c>
      <c r="T4543" s="12"/>
    </row>
    <row r="4544">
      <c r="A4544" s="15" t="s">
        <v>29252</v>
      </c>
      <c r="B4544" s="16" t="s">
        <v>29253</v>
      </c>
      <c r="C4544" s="16" t="s">
        <v>29254</v>
      </c>
      <c r="D4544" s="16" t="s">
        <v>16</v>
      </c>
      <c r="E4544" s="17" t="s">
        <v>29255</v>
      </c>
      <c r="F4544" s="16" t="s">
        <v>22263</v>
      </c>
      <c r="G4544" s="16">
        <v>23.61</v>
      </c>
      <c r="H4544" s="16"/>
      <c r="I4544" s="16"/>
      <c r="J4544" s="16" t="s">
        <v>29256</v>
      </c>
      <c r="K4544" s="16" t="s">
        <v>29257</v>
      </c>
      <c r="L4544" s="16"/>
      <c r="M4544" s="25" t="s">
        <v>29258</v>
      </c>
      <c r="N4544" s="12"/>
      <c r="O4544" s="12"/>
      <c r="P4544" s="13">
        <f>IFERROR(__xludf.DUMMYFUNCTION("VALUE(SUBSTITUTE((INDEX(SPLIT(A4544,"",""),1)),""."","","",1))"),55.004158)</f>
        <v>55.004158</v>
      </c>
      <c r="Q4544" s="13">
        <f>IFERROR(__xludf.DUMMYFUNCTION("VALUE(SUBSTITUTE((INDEX(SPLIT(A4544,"",""),2)),""."","","",1))"),86.948242)</f>
        <v>86.948242</v>
      </c>
      <c r="R4544" s="14" t="b">
        <f t="shared" si="1"/>
        <v>0</v>
      </c>
      <c r="S4544" s="14" t="str">
        <f t="shared" si="2"/>
        <v>55.004158,86.948242</v>
      </c>
      <c r="T4544" s="12"/>
    </row>
    <row r="4545">
      <c r="A4545" s="18" t="s">
        <v>29259</v>
      </c>
      <c r="B4545" s="8" t="s">
        <v>29260</v>
      </c>
      <c r="C4545" s="8" t="s">
        <v>29261</v>
      </c>
      <c r="D4545" s="8" t="s">
        <v>16</v>
      </c>
      <c r="E4545" s="19" t="s">
        <v>29262</v>
      </c>
      <c r="F4545" s="8" t="s">
        <v>22263</v>
      </c>
      <c r="G4545" s="8">
        <v>23.61</v>
      </c>
      <c r="H4545" s="8"/>
      <c r="I4545" s="8"/>
      <c r="J4545" s="8" t="s">
        <v>29263</v>
      </c>
      <c r="K4545" s="8" t="s">
        <v>28865</v>
      </c>
      <c r="L4545" s="8"/>
      <c r="M4545" s="8"/>
      <c r="N4545" s="12"/>
      <c r="O4545" s="12"/>
      <c r="P4545" s="13">
        <f>IFERROR(__xludf.DUMMYFUNCTION("VALUE(SUBSTITUTE((INDEX(SPLIT(A4545,"",""),1)),""."","","",1))"),53.753576)</f>
        <v>53.753576</v>
      </c>
      <c r="Q4545" s="13">
        <f>IFERROR(__xludf.DUMMYFUNCTION("VALUE(SUBSTITUTE((INDEX(SPLIT(A4545,"",""),2)),""."","","",1))"),87.104908)</f>
        <v>87.104908</v>
      </c>
      <c r="R4545" s="14" t="b">
        <f t="shared" si="1"/>
        <v>0</v>
      </c>
      <c r="S4545" s="14" t="str">
        <f t="shared" si="2"/>
        <v>53.753576,87.104908</v>
      </c>
      <c r="T4545" s="12"/>
    </row>
    <row r="4546">
      <c r="A4546" s="20" t="s">
        <v>29264</v>
      </c>
      <c r="B4546" s="16" t="s">
        <v>29265</v>
      </c>
      <c r="C4546" s="16" t="s">
        <v>29266</v>
      </c>
      <c r="D4546" s="16" t="s">
        <v>16</v>
      </c>
      <c r="E4546" s="21" t="s">
        <v>29267</v>
      </c>
      <c r="F4546" s="22" t="s">
        <v>22263</v>
      </c>
      <c r="G4546" s="16">
        <v>23.61</v>
      </c>
      <c r="H4546" s="16"/>
      <c r="I4546" s="22"/>
      <c r="J4546" s="22" t="s">
        <v>29268</v>
      </c>
      <c r="K4546" s="22" t="s">
        <v>29269</v>
      </c>
      <c r="L4546" s="23" t="s">
        <v>29270</v>
      </c>
      <c r="M4546" s="23" t="s">
        <v>29271</v>
      </c>
      <c r="N4546" s="12"/>
      <c r="O4546" s="12"/>
      <c r="P4546" s="13">
        <f>IFERROR(__xludf.DUMMYFUNCTION("VALUE(SUBSTITUTE((INDEX(SPLIT(A4546,"",""),1)),""."","","",1))"),53.743135)</f>
        <v>53.743135</v>
      </c>
      <c r="Q4546" s="13">
        <f>IFERROR(__xludf.DUMMYFUNCTION("VALUE(SUBSTITUTE((INDEX(SPLIT(A4546,"",""),2)),""."","","",1))"),87.115535)</f>
        <v>87.115535</v>
      </c>
      <c r="R4546" s="14" t="b">
        <f t="shared" si="1"/>
        <v>0</v>
      </c>
      <c r="S4546" s="14" t="str">
        <f t="shared" si="2"/>
        <v>53.743135,87.115535</v>
      </c>
      <c r="T4546" s="12"/>
    </row>
    <row r="4547">
      <c r="A4547" s="18" t="s">
        <v>29272</v>
      </c>
      <c r="B4547" s="8" t="s">
        <v>29273</v>
      </c>
      <c r="C4547" s="8" t="s">
        <v>29274</v>
      </c>
      <c r="D4547" s="8" t="s">
        <v>16</v>
      </c>
      <c r="E4547" s="19" t="s">
        <v>29275</v>
      </c>
      <c r="F4547" s="8" t="s">
        <v>29276</v>
      </c>
      <c r="G4547" s="8">
        <v>23.61</v>
      </c>
      <c r="H4547" s="8"/>
      <c r="I4547" s="8"/>
      <c r="J4547" s="8" t="s">
        <v>29277</v>
      </c>
      <c r="K4547" s="8" t="s">
        <v>29278</v>
      </c>
      <c r="L4547" s="8"/>
      <c r="M4547" s="24" t="s">
        <v>29279</v>
      </c>
      <c r="N4547" s="12"/>
      <c r="O4547" s="12"/>
      <c r="P4547" s="13">
        <f>IFERROR(__xludf.DUMMYFUNCTION("VALUE(SUBSTITUTE((INDEX(SPLIT(A4547,"",""),1)),""."","","",1))"),53.760512)</f>
        <v>53.760512</v>
      </c>
      <c r="Q4547" s="13">
        <f>IFERROR(__xludf.DUMMYFUNCTION("VALUE(SUBSTITUTE((INDEX(SPLIT(A4547,"",""),2)),""."","","",1))"),87.12371)</f>
        <v>87.12371</v>
      </c>
      <c r="R4547" s="14" t="b">
        <f t="shared" si="1"/>
        <v>0</v>
      </c>
      <c r="S4547" s="14" t="str">
        <f t="shared" si="2"/>
        <v>53.760512,87.12371</v>
      </c>
      <c r="T4547" s="12"/>
    </row>
    <row r="4548">
      <c r="A4548" s="20" t="s">
        <v>29280</v>
      </c>
      <c r="B4548" s="16" t="s">
        <v>29281</v>
      </c>
      <c r="C4548" s="16" t="s">
        <v>29281</v>
      </c>
      <c r="D4548" s="16" t="s">
        <v>16</v>
      </c>
      <c r="E4548" s="21" t="s">
        <v>29282</v>
      </c>
      <c r="F4548" s="22" t="s">
        <v>29276</v>
      </c>
      <c r="G4548" s="16">
        <v>23.61</v>
      </c>
      <c r="H4548" s="16"/>
      <c r="I4548" s="22"/>
      <c r="J4548" s="22" t="s">
        <v>29283</v>
      </c>
      <c r="K4548" s="22" t="s">
        <v>29284</v>
      </c>
      <c r="L4548" s="23" t="s">
        <v>29285</v>
      </c>
      <c r="M4548" s="23" t="s">
        <v>29286</v>
      </c>
      <c r="N4548" s="12"/>
      <c r="O4548" s="12"/>
      <c r="P4548" s="13">
        <f>IFERROR(__xludf.DUMMYFUNCTION("VALUE(SUBSTITUTE((INDEX(SPLIT(A4548,"",""),1)),""."","","",1))"),53.793108)</f>
        <v>53.793108</v>
      </c>
      <c r="Q4548" s="13">
        <f>IFERROR(__xludf.DUMMYFUNCTION("VALUE(SUBSTITUTE((INDEX(SPLIT(A4548,"",""),2)),""."","","",1))"),87.123728)</f>
        <v>87.123728</v>
      </c>
      <c r="R4548" s="14" t="b">
        <f t="shared" si="1"/>
        <v>0</v>
      </c>
      <c r="S4548" s="14" t="str">
        <f t="shared" si="2"/>
        <v>53.793108,87.123728</v>
      </c>
      <c r="T4548" s="12"/>
    </row>
    <row r="4549">
      <c r="A4549" s="7" t="s">
        <v>29287</v>
      </c>
      <c r="B4549" s="8" t="s">
        <v>29288</v>
      </c>
      <c r="C4549" s="8" t="s">
        <v>29289</v>
      </c>
      <c r="D4549" s="8" t="s">
        <v>16</v>
      </c>
      <c r="E4549" s="9" t="s">
        <v>29290</v>
      </c>
      <c r="F4549" s="10" t="s">
        <v>29276</v>
      </c>
      <c r="G4549" s="8">
        <v>23.61</v>
      </c>
      <c r="H4549" s="8"/>
      <c r="I4549" s="10"/>
      <c r="J4549" s="10" t="s">
        <v>29291</v>
      </c>
      <c r="K4549" s="10" t="s">
        <v>29292</v>
      </c>
      <c r="L4549" s="11" t="s">
        <v>29293</v>
      </c>
      <c r="M4549" s="10"/>
      <c r="N4549" s="12"/>
      <c r="O4549" s="12"/>
      <c r="P4549" s="13">
        <f>IFERROR(__xludf.DUMMYFUNCTION("VALUE(SUBSTITUTE((INDEX(SPLIT(A4549,"",""),1)),""."","","",1))"),53.784597)</f>
        <v>53.784597</v>
      </c>
      <c r="Q4549" s="13">
        <f>IFERROR(__xludf.DUMMYFUNCTION("VALUE(SUBSTITUTE((INDEX(SPLIT(A4549,"",""),2)),""."","","",1))"),87.1238)</f>
        <v>87.1238</v>
      </c>
      <c r="R4549" s="14" t="b">
        <f t="shared" si="1"/>
        <v>0</v>
      </c>
      <c r="S4549" s="14" t="str">
        <f t="shared" si="2"/>
        <v>53.784597,87.1238</v>
      </c>
      <c r="T4549" s="12"/>
    </row>
    <row r="4550">
      <c r="A4550" s="15" t="s">
        <v>29294</v>
      </c>
      <c r="B4550" s="16" t="s">
        <v>29295</v>
      </c>
      <c r="C4550" s="16" t="s">
        <v>29296</v>
      </c>
      <c r="D4550" s="16" t="s">
        <v>16</v>
      </c>
      <c r="E4550" s="17" t="s">
        <v>29297</v>
      </c>
      <c r="F4550" s="16" t="s">
        <v>29276</v>
      </c>
      <c r="G4550" s="16">
        <v>23.61</v>
      </c>
      <c r="H4550" s="16"/>
      <c r="I4550" s="16"/>
      <c r="J4550" s="16" t="s">
        <v>29298</v>
      </c>
      <c r="K4550" s="16" t="s">
        <v>29299</v>
      </c>
      <c r="L4550" s="16"/>
      <c r="M4550" s="16"/>
      <c r="N4550" s="12"/>
      <c r="O4550" s="12"/>
      <c r="P4550" s="13">
        <f>IFERROR(__xludf.DUMMYFUNCTION("VALUE(SUBSTITUTE((INDEX(SPLIT(A4550,"",""),1)),""."","","",1))"),53.891168)</f>
        <v>53.891168</v>
      </c>
      <c r="Q4550" s="13">
        <f>IFERROR(__xludf.DUMMYFUNCTION("VALUE(SUBSTITUTE((INDEX(SPLIT(A4550,"",""),2)),""."","","",1))"),87.125893)</f>
        <v>87.125893</v>
      </c>
      <c r="R4550" s="14" t="b">
        <f t="shared" si="1"/>
        <v>0</v>
      </c>
      <c r="S4550" s="14" t="str">
        <f t="shared" si="2"/>
        <v>53.891168,87.125893</v>
      </c>
      <c r="T4550" s="12"/>
    </row>
    <row r="4551">
      <c r="A4551" s="18" t="s">
        <v>29300</v>
      </c>
      <c r="B4551" s="8" t="s">
        <v>29301</v>
      </c>
      <c r="C4551" s="8" t="s">
        <v>29302</v>
      </c>
      <c r="D4551" s="8" t="s">
        <v>16</v>
      </c>
      <c r="E4551" s="19" t="s">
        <v>29303</v>
      </c>
      <c r="F4551" s="8" t="s">
        <v>29276</v>
      </c>
      <c r="G4551" s="8">
        <v>23.61</v>
      </c>
      <c r="H4551" s="8"/>
      <c r="I4551" s="8"/>
      <c r="J4551" s="8" t="s">
        <v>29304</v>
      </c>
      <c r="K4551" s="8" t="s">
        <v>29305</v>
      </c>
      <c r="L4551" s="8"/>
      <c r="M4551" s="24" t="s">
        <v>29306</v>
      </c>
      <c r="N4551" s="12"/>
      <c r="O4551" s="12"/>
      <c r="P4551" s="13">
        <f>IFERROR(__xludf.DUMMYFUNCTION("VALUE(SUBSTITUTE((INDEX(SPLIT(A4551,"",""),1)),""."","","",1))"),53.768289)</f>
        <v>53.768289</v>
      </c>
      <c r="Q4551" s="13">
        <f>IFERROR(__xludf.DUMMYFUNCTION("VALUE(SUBSTITUTE((INDEX(SPLIT(A4551,"",""),2)),""."","","",1))"),87.135064)</f>
        <v>87.135064</v>
      </c>
      <c r="R4551" s="14" t="b">
        <f t="shared" si="1"/>
        <v>0</v>
      </c>
      <c r="S4551" s="14" t="str">
        <f t="shared" si="2"/>
        <v>53.768289,87.135064</v>
      </c>
      <c r="T4551" s="12"/>
    </row>
    <row r="4552">
      <c r="A4552" s="15" t="s">
        <v>29307</v>
      </c>
      <c r="B4552" s="16" t="s">
        <v>29308</v>
      </c>
      <c r="C4552" s="16" t="s">
        <v>29309</v>
      </c>
      <c r="D4552" s="16" t="s">
        <v>16</v>
      </c>
      <c r="E4552" s="17" t="s">
        <v>29310</v>
      </c>
      <c r="F4552" s="16" t="s">
        <v>29276</v>
      </c>
      <c r="G4552" s="16">
        <v>23.61</v>
      </c>
      <c r="H4552" s="16"/>
      <c r="I4552" s="16"/>
      <c r="J4552" s="16" t="s">
        <v>29311</v>
      </c>
      <c r="K4552" s="16" t="s">
        <v>29312</v>
      </c>
      <c r="L4552" s="16"/>
      <c r="M4552" s="25" t="s">
        <v>29313</v>
      </c>
      <c r="N4552" s="12"/>
      <c r="O4552" s="12"/>
      <c r="P4552" s="13">
        <f>IFERROR(__xludf.DUMMYFUNCTION("VALUE(SUBSTITUTE((INDEX(SPLIT(A4552,"",""),1)),""."","","",1))"),53.752383)</f>
        <v>53.752383</v>
      </c>
      <c r="Q4552" s="13">
        <f>IFERROR(__xludf.DUMMYFUNCTION("VALUE(SUBSTITUTE((INDEX(SPLIT(A4552,"",""),2)),""."","","",1))"),87.136933)</f>
        <v>87.136933</v>
      </c>
      <c r="R4552" s="14" t="b">
        <f t="shared" si="1"/>
        <v>0</v>
      </c>
      <c r="S4552" s="14" t="str">
        <f t="shared" si="2"/>
        <v>53.752383,87.136933</v>
      </c>
      <c r="T4552" s="12"/>
    </row>
    <row r="4553">
      <c r="A4553" s="7" t="s">
        <v>29314</v>
      </c>
      <c r="B4553" s="8" t="s">
        <v>29315</v>
      </c>
      <c r="C4553" s="8" t="s">
        <v>29316</v>
      </c>
      <c r="D4553" s="8" t="s">
        <v>16</v>
      </c>
      <c r="E4553" s="9" t="s">
        <v>29317</v>
      </c>
      <c r="F4553" s="10" t="s">
        <v>3162</v>
      </c>
      <c r="G4553" s="8">
        <v>23.61</v>
      </c>
      <c r="H4553" s="8"/>
      <c r="I4553" s="10"/>
      <c r="J4553" s="10" t="s">
        <v>29318</v>
      </c>
      <c r="K4553" s="10" t="s">
        <v>29319</v>
      </c>
      <c r="L4553" s="11" t="s">
        <v>29320</v>
      </c>
      <c r="M4553" s="10"/>
      <c r="N4553" s="12"/>
      <c r="O4553" s="12"/>
      <c r="P4553" s="13">
        <f>IFERROR(__xludf.DUMMYFUNCTION("VALUE(SUBSTITUTE((INDEX(SPLIT(A4553,"",""),1)),""."","","",1))"),53.743577)</f>
        <v>53.743577</v>
      </c>
      <c r="Q4553" s="13">
        <f>IFERROR(__xludf.DUMMYFUNCTION("VALUE(SUBSTITUTE((INDEX(SPLIT(A4553,"",""),2)),""."","","",1))"),87.154809)</f>
        <v>87.154809</v>
      </c>
      <c r="R4553" s="14" t="b">
        <f t="shared" si="1"/>
        <v>0</v>
      </c>
      <c r="S4553" s="14" t="str">
        <f t="shared" si="2"/>
        <v>53.743577,87.154809</v>
      </c>
      <c r="T4553" s="12"/>
    </row>
    <row r="4554">
      <c r="A4554" s="15" t="s">
        <v>29321</v>
      </c>
      <c r="B4554" s="16" t="s">
        <v>29322</v>
      </c>
      <c r="C4554" s="16" t="s">
        <v>29323</v>
      </c>
      <c r="D4554" s="16" t="s">
        <v>16</v>
      </c>
      <c r="E4554" s="17" t="s">
        <v>29324</v>
      </c>
      <c r="F4554" s="16" t="s">
        <v>3162</v>
      </c>
      <c r="G4554" s="16">
        <v>23.61</v>
      </c>
      <c r="H4554" s="16"/>
      <c r="I4554" s="16"/>
      <c r="J4554" s="16" t="s">
        <v>29325</v>
      </c>
      <c r="K4554" s="16" t="s">
        <v>29326</v>
      </c>
      <c r="L4554" s="16"/>
      <c r="M4554" s="25" t="s">
        <v>29327</v>
      </c>
      <c r="N4554" s="12"/>
      <c r="O4554" s="12"/>
      <c r="P4554" s="13">
        <f>IFERROR(__xludf.DUMMYFUNCTION("VALUE(SUBSTITUTE((INDEX(SPLIT(A4554,"",""),1)),""."","","",1))"),53.668915)</f>
        <v>53.668915</v>
      </c>
      <c r="Q4554" s="13">
        <f>IFERROR(__xludf.DUMMYFUNCTION("VALUE(SUBSTITUTE((INDEX(SPLIT(A4554,"",""),2)),""."","","",1))"),87.158735)</f>
        <v>87.158735</v>
      </c>
      <c r="R4554" s="14" t="b">
        <f t="shared" si="1"/>
        <v>0</v>
      </c>
      <c r="S4554" s="14" t="str">
        <f t="shared" si="2"/>
        <v>53.668915,87.158735</v>
      </c>
      <c r="T4554" s="12"/>
    </row>
    <row r="4555">
      <c r="A4555" s="7" t="s">
        <v>29328</v>
      </c>
      <c r="B4555" s="8" t="s">
        <v>29329</v>
      </c>
      <c r="C4555" s="8" t="s">
        <v>29330</v>
      </c>
      <c r="D4555" s="8" t="s">
        <v>16</v>
      </c>
      <c r="E4555" s="9" t="s">
        <v>29331</v>
      </c>
      <c r="F4555" s="10" t="s">
        <v>23544</v>
      </c>
      <c r="G4555" s="8">
        <v>23.61</v>
      </c>
      <c r="H4555" s="8"/>
      <c r="I4555" s="10"/>
      <c r="J4555" s="10" t="s">
        <v>29332</v>
      </c>
      <c r="K4555" s="10" t="s">
        <v>29333</v>
      </c>
      <c r="L4555" s="11" t="s">
        <v>29334</v>
      </c>
      <c r="M4555" s="10"/>
      <c r="N4555" s="12"/>
      <c r="O4555" s="12"/>
      <c r="P4555" s="13">
        <f>IFERROR(__xludf.DUMMYFUNCTION("VALUE(SUBSTITUTE((INDEX(SPLIT(A4555,"",""),1)),""."","","",1))"),53.758724)</f>
        <v>53.758724</v>
      </c>
      <c r="Q4555" s="13">
        <f>IFERROR(__xludf.DUMMYFUNCTION("VALUE(SUBSTITUTE((INDEX(SPLIT(A4555,"",""),2)),""."","","",1))"),87.162265)</f>
        <v>87.162265</v>
      </c>
      <c r="R4555" s="14" t="b">
        <f t="shared" si="1"/>
        <v>0</v>
      </c>
      <c r="S4555" s="14" t="str">
        <f t="shared" si="2"/>
        <v>53.758724,87.162265</v>
      </c>
      <c r="T4555" s="12"/>
    </row>
    <row r="4556">
      <c r="A4556" s="20" t="s">
        <v>29335</v>
      </c>
      <c r="B4556" s="16" t="s">
        <v>16561</v>
      </c>
      <c r="C4556" s="16" t="s">
        <v>16562</v>
      </c>
      <c r="D4556" s="16" t="s">
        <v>16</v>
      </c>
      <c r="E4556" s="21" t="s">
        <v>29336</v>
      </c>
      <c r="F4556" s="22" t="s">
        <v>22263</v>
      </c>
      <c r="G4556" s="16">
        <v>23.61</v>
      </c>
      <c r="H4556" s="16"/>
      <c r="I4556" s="22"/>
      <c r="J4556" s="22" t="s">
        <v>29337</v>
      </c>
      <c r="K4556" s="22" t="s">
        <v>29338</v>
      </c>
      <c r="L4556" s="30" t="s">
        <v>29339</v>
      </c>
      <c r="M4556" s="22"/>
      <c r="N4556" s="12"/>
      <c r="O4556" s="12"/>
      <c r="P4556" s="13">
        <f>IFERROR(__xludf.DUMMYFUNCTION("VALUE(SUBSTITUTE((INDEX(SPLIT(A4556,"",""),1)),""."","","",1))"),53.849392)</f>
        <v>53.849392</v>
      </c>
      <c r="Q4556" s="13">
        <f>IFERROR(__xludf.DUMMYFUNCTION("VALUE(SUBSTITUTE((INDEX(SPLIT(A4556,"",""),2)),""."","","",1))"),87.19588)</f>
        <v>87.19588</v>
      </c>
      <c r="R4556" s="14" t="b">
        <f t="shared" si="1"/>
        <v>0</v>
      </c>
      <c r="S4556" s="14" t="str">
        <f t="shared" si="2"/>
        <v>53.849392,87.19588</v>
      </c>
      <c r="T4556" s="12"/>
    </row>
    <row r="4557">
      <c r="A4557" s="7" t="s">
        <v>29340</v>
      </c>
      <c r="B4557" s="8" t="s">
        <v>29341</v>
      </c>
      <c r="C4557" s="8" t="s">
        <v>29342</v>
      </c>
      <c r="D4557" s="8" t="s">
        <v>16</v>
      </c>
      <c r="E4557" s="9" t="s">
        <v>29343</v>
      </c>
      <c r="F4557" s="10" t="s">
        <v>23544</v>
      </c>
      <c r="G4557" s="8">
        <v>23.61</v>
      </c>
      <c r="H4557" s="8"/>
      <c r="I4557" s="10"/>
      <c r="J4557" s="10" t="s">
        <v>29344</v>
      </c>
      <c r="K4557" s="10" t="s">
        <v>29345</v>
      </c>
      <c r="L4557" s="11" t="s">
        <v>29346</v>
      </c>
      <c r="M4557" s="10"/>
      <c r="N4557" s="12"/>
      <c r="O4557" s="12"/>
      <c r="P4557" s="13">
        <f>IFERROR(__xludf.DUMMYFUNCTION("VALUE(SUBSTITUTE((INDEX(SPLIT(A4557,"",""),1)),""."","","",1))"),53.763855)</f>
        <v>53.763855</v>
      </c>
      <c r="Q4557" s="13">
        <f>IFERROR(__xludf.DUMMYFUNCTION("VALUE(SUBSTITUTE((INDEX(SPLIT(A4557,"",""),2)),""."","","",1))"),87.218751)</f>
        <v>87.218751</v>
      </c>
      <c r="R4557" s="14" t="b">
        <f t="shared" si="1"/>
        <v>0</v>
      </c>
      <c r="S4557" s="14" t="str">
        <f t="shared" si="2"/>
        <v>53.763855,87.218751</v>
      </c>
      <c r="T4557" s="12"/>
    </row>
    <row r="4558">
      <c r="A4558" s="20" t="s">
        <v>29347</v>
      </c>
      <c r="B4558" s="16" t="s">
        <v>29348</v>
      </c>
      <c r="C4558" s="16" t="s">
        <v>29349</v>
      </c>
      <c r="D4558" s="16" t="s">
        <v>16</v>
      </c>
      <c r="E4558" s="21" t="s">
        <v>29350</v>
      </c>
      <c r="F4558" s="22" t="s">
        <v>23544</v>
      </c>
      <c r="G4558" s="16">
        <v>23.61</v>
      </c>
      <c r="H4558" s="16"/>
      <c r="I4558" s="22"/>
      <c r="J4558" s="22" t="s">
        <v>29351</v>
      </c>
      <c r="K4558" s="22" t="s">
        <v>29352</v>
      </c>
      <c r="L4558" s="23" t="s">
        <v>29353</v>
      </c>
      <c r="M4558" s="22"/>
      <c r="N4558" s="12"/>
      <c r="O4558" s="12"/>
      <c r="P4558" s="13">
        <f>IFERROR(__xludf.DUMMYFUNCTION("VALUE(SUBSTITUTE((INDEX(SPLIT(A4558,"",""),1)),""."","","",1))"),53.78048)</f>
        <v>53.78048</v>
      </c>
      <c r="Q4558" s="13">
        <f>IFERROR(__xludf.DUMMYFUNCTION("VALUE(SUBSTITUTE((INDEX(SPLIT(A4558,"",""),2)),""."","","",1))"),87.224231)</f>
        <v>87.224231</v>
      </c>
      <c r="R4558" s="14" t="b">
        <f t="shared" si="1"/>
        <v>0</v>
      </c>
      <c r="S4558" s="14" t="str">
        <f t="shared" si="2"/>
        <v>53.78048,87.224231</v>
      </c>
      <c r="T4558" s="12"/>
    </row>
    <row r="4559">
      <c r="A4559" s="7" t="s">
        <v>29354</v>
      </c>
      <c r="B4559" s="8" t="s">
        <v>15788</v>
      </c>
      <c r="C4559" s="8" t="s">
        <v>15789</v>
      </c>
      <c r="D4559" s="8" t="s">
        <v>16</v>
      </c>
      <c r="E4559" s="9" t="s">
        <v>29355</v>
      </c>
      <c r="F4559" s="10" t="s">
        <v>22263</v>
      </c>
      <c r="G4559" s="8">
        <v>23.61</v>
      </c>
      <c r="H4559" s="8"/>
      <c r="I4559" s="10"/>
      <c r="J4559" s="10" t="s">
        <v>29356</v>
      </c>
      <c r="K4559" s="10" t="s">
        <v>29357</v>
      </c>
      <c r="L4559" s="11" t="s">
        <v>29358</v>
      </c>
      <c r="M4559" s="10"/>
      <c r="N4559" s="12"/>
      <c r="O4559" s="12"/>
      <c r="P4559" s="13">
        <f>IFERROR(__xludf.DUMMYFUNCTION("VALUE(SUBSTITUTE((INDEX(SPLIT(A4559,"",""),1)),""."","","",1))"),53.524402)</f>
        <v>53.524402</v>
      </c>
      <c r="Q4559" s="13">
        <f>IFERROR(__xludf.DUMMYFUNCTION("VALUE(SUBSTITUTE((INDEX(SPLIT(A4559,"",""),2)),""."","","",1))"),87.272758)</f>
        <v>87.272758</v>
      </c>
      <c r="R4559" s="14" t="b">
        <f t="shared" si="1"/>
        <v>0</v>
      </c>
      <c r="S4559" s="14" t="str">
        <f t="shared" si="2"/>
        <v>53.524402,87.272758</v>
      </c>
      <c r="T4559" s="12"/>
    </row>
    <row r="4560">
      <c r="A4560" s="15" t="s">
        <v>29359</v>
      </c>
      <c r="B4560" s="16" t="s">
        <v>29360</v>
      </c>
      <c r="C4560" s="16" t="s">
        <v>29361</v>
      </c>
      <c r="D4560" s="16" t="s">
        <v>16</v>
      </c>
      <c r="E4560" s="17" t="s">
        <v>29362</v>
      </c>
      <c r="F4560" s="16" t="s">
        <v>3169</v>
      </c>
      <c r="G4560" s="16">
        <v>23.61</v>
      </c>
      <c r="H4560" s="16"/>
      <c r="I4560" s="16"/>
      <c r="J4560" s="16" t="s">
        <v>29363</v>
      </c>
      <c r="K4560" s="16" t="s">
        <v>29364</v>
      </c>
      <c r="L4560" s="16"/>
      <c r="M4560" s="16"/>
      <c r="N4560" s="12"/>
      <c r="O4560" s="12"/>
      <c r="P4560" s="13">
        <f>IFERROR(__xludf.DUMMYFUNCTION("VALUE(SUBSTITUTE((INDEX(SPLIT(A4560,"",""),1)),""."","","",1))"),53.79296)</f>
        <v>53.79296</v>
      </c>
      <c r="Q4560" s="13">
        <f>IFERROR(__xludf.DUMMYFUNCTION("VALUE(SUBSTITUTE((INDEX(SPLIT(A4560,"",""),2)),""."","","",1))"),87.29818)</f>
        <v>87.29818</v>
      </c>
      <c r="R4560" s="14" t="b">
        <f t="shared" si="1"/>
        <v>0</v>
      </c>
      <c r="S4560" s="14" t="str">
        <f t="shared" si="2"/>
        <v>53.79296,87.29818</v>
      </c>
      <c r="T4560" s="12"/>
    </row>
    <row r="4561">
      <c r="A4561" s="7" t="s">
        <v>29365</v>
      </c>
      <c r="B4561" s="8" t="s">
        <v>29366</v>
      </c>
      <c r="C4561" s="8" t="s">
        <v>29367</v>
      </c>
      <c r="D4561" s="8" t="s">
        <v>16</v>
      </c>
      <c r="E4561" s="9" t="s">
        <v>29368</v>
      </c>
      <c r="F4561" s="10" t="s">
        <v>3169</v>
      </c>
      <c r="G4561" s="8">
        <v>23.61</v>
      </c>
      <c r="H4561" s="8"/>
      <c r="I4561" s="10"/>
      <c r="J4561" s="10" t="s">
        <v>29369</v>
      </c>
      <c r="K4561" s="10" t="s">
        <v>29370</v>
      </c>
      <c r="L4561" s="11" t="s">
        <v>29371</v>
      </c>
      <c r="M4561" s="11" t="s">
        <v>29372</v>
      </c>
      <c r="N4561" s="12"/>
      <c r="O4561" s="12"/>
      <c r="P4561" s="13">
        <f>IFERROR(__xludf.DUMMYFUNCTION("VALUE(SUBSTITUTE((INDEX(SPLIT(A4561,"",""),1)),""."","","",1))"),53.792603)</f>
        <v>53.792603</v>
      </c>
      <c r="Q4561" s="13">
        <f>IFERROR(__xludf.DUMMYFUNCTION("VALUE(SUBSTITUTE((INDEX(SPLIT(A4561,"",""),2)),""."","","",1))"),87.30472)</f>
        <v>87.30472</v>
      </c>
      <c r="R4561" s="14" t="b">
        <f t="shared" si="1"/>
        <v>0</v>
      </c>
      <c r="S4561" s="14" t="str">
        <f t="shared" si="2"/>
        <v>53.792603,87.30472</v>
      </c>
      <c r="T4561" s="12"/>
    </row>
    <row r="4562">
      <c r="A4562" s="20" t="s">
        <v>29373</v>
      </c>
      <c r="B4562" s="16" t="s">
        <v>29374</v>
      </c>
      <c r="C4562" s="16" t="s">
        <v>29375</v>
      </c>
      <c r="D4562" s="16" t="s">
        <v>16</v>
      </c>
      <c r="E4562" s="21" t="s">
        <v>29376</v>
      </c>
      <c r="F4562" s="22" t="s">
        <v>3169</v>
      </c>
      <c r="G4562" s="16">
        <v>23.61</v>
      </c>
      <c r="H4562" s="16"/>
      <c r="I4562" s="22"/>
      <c r="J4562" s="22" t="s">
        <v>29377</v>
      </c>
      <c r="K4562" s="22" t="s">
        <v>29378</v>
      </c>
      <c r="L4562" s="23" t="s">
        <v>29379</v>
      </c>
      <c r="M4562" s="22"/>
      <c r="N4562" s="12"/>
      <c r="O4562" s="12"/>
      <c r="P4562" s="13">
        <f>IFERROR(__xludf.DUMMYFUNCTION("VALUE(SUBSTITUTE((INDEX(SPLIT(A4562,"",""),1)),""."","","",1))"),53.76707)</f>
        <v>53.76707</v>
      </c>
      <c r="Q4562" s="13">
        <f>IFERROR(__xludf.DUMMYFUNCTION("VALUE(SUBSTITUTE((INDEX(SPLIT(A4562,"",""),2)),""."","","",1))"),87.597364)</f>
        <v>87.597364</v>
      </c>
      <c r="R4562" s="14" t="b">
        <f t="shared" si="1"/>
        <v>0</v>
      </c>
      <c r="S4562" s="14" t="str">
        <f t="shared" si="2"/>
        <v>53.76707,87.597364</v>
      </c>
      <c r="T4562" s="12"/>
    </row>
    <row r="4563">
      <c r="A4563" s="7" t="s">
        <v>29380</v>
      </c>
      <c r="B4563" s="8" t="s">
        <v>29381</v>
      </c>
      <c r="C4563" s="8" t="s">
        <v>29382</v>
      </c>
      <c r="D4563" s="8" t="s">
        <v>16</v>
      </c>
      <c r="E4563" s="9" t="s">
        <v>29383</v>
      </c>
      <c r="F4563" s="10" t="s">
        <v>3169</v>
      </c>
      <c r="G4563" s="8">
        <v>23.61</v>
      </c>
      <c r="H4563" s="8"/>
      <c r="I4563" s="10"/>
      <c r="J4563" s="10" t="s">
        <v>29384</v>
      </c>
      <c r="K4563" s="10" t="s">
        <v>29385</v>
      </c>
      <c r="L4563" s="11" t="s">
        <v>29386</v>
      </c>
      <c r="M4563" s="11" t="s">
        <v>29387</v>
      </c>
      <c r="N4563" s="12"/>
      <c r="O4563" s="12"/>
      <c r="P4563" s="13">
        <f>IFERROR(__xludf.DUMMYFUNCTION("VALUE(SUBSTITUTE((INDEX(SPLIT(A4563,"",""),1)),""."","","",1))"),53.733916)</f>
        <v>53.733916</v>
      </c>
      <c r="Q4563" s="13">
        <f>IFERROR(__xludf.DUMMYFUNCTION("VALUE(SUBSTITUTE((INDEX(SPLIT(A4563,"",""),2)),""."","","",1))"),87.685516)</f>
        <v>87.685516</v>
      </c>
      <c r="R4563" s="14" t="b">
        <f t="shared" si="1"/>
        <v>0</v>
      </c>
      <c r="S4563" s="14" t="str">
        <f t="shared" si="2"/>
        <v>53.733916,87.685516</v>
      </c>
      <c r="T4563" s="12"/>
    </row>
    <row r="4564">
      <c r="A4564" s="20" t="s">
        <v>29388</v>
      </c>
      <c r="B4564" s="16" t="s">
        <v>29389</v>
      </c>
      <c r="C4564" s="16" t="s">
        <v>29390</v>
      </c>
      <c r="D4564" s="16" t="s">
        <v>16</v>
      </c>
      <c r="E4564" s="21" t="s">
        <v>29391</v>
      </c>
      <c r="F4564" s="22" t="s">
        <v>3169</v>
      </c>
      <c r="G4564" s="16">
        <v>23.61</v>
      </c>
      <c r="H4564" s="16"/>
      <c r="I4564" s="22"/>
      <c r="J4564" s="22" t="s">
        <v>29392</v>
      </c>
      <c r="K4564" s="22" t="s">
        <v>29393</v>
      </c>
      <c r="L4564" s="23" t="s">
        <v>29394</v>
      </c>
      <c r="M4564" s="22"/>
      <c r="N4564" s="12"/>
      <c r="O4564" s="12"/>
      <c r="P4564" s="13">
        <f>IFERROR(__xludf.DUMMYFUNCTION("VALUE(SUBSTITUTE((INDEX(SPLIT(A4564,"",""),1)),""."","","",1))"),56.487498)</f>
        <v>56.487498</v>
      </c>
      <c r="Q4564" s="13">
        <f>IFERROR(__xludf.DUMMYFUNCTION("VALUE(SUBSTITUTE((INDEX(SPLIT(A4564,"",""),2)),""."","","",1))"),88.977087)</f>
        <v>88.977087</v>
      </c>
      <c r="R4564" s="14" t="b">
        <f t="shared" si="1"/>
        <v>0</v>
      </c>
      <c r="S4564" s="14" t="str">
        <f t="shared" si="2"/>
        <v>56.487498,88.977087</v>
      </c>
      <c r="T4564" s="12"/>
    </row>
    <row r="4565">
      <c r="A4565" s="7" t="s">
        <v>29395</v>
      </c>
      <c r="B4565" s="8" t="s">
        <v>29396</v>
      </c>
      <c r="C4565" s="8" t="s">
        <v>29397</v>
      </c>
      <c r="D4565" s="8" t="s">
        <v>16</v>
      </c>
      <c r="E4565" s="9" t="s">
        <v>29398</v>
      </c>
      <c r="F4565" s="10" t="s">
        <v>3169</v>
      </c>
      <c r="G4565" s="8">
        <v>23.61</v>
      </c>
      <c r="H4565" s="8"/>
      <c r="I4565" s="31" t="s">
        <v>29399</v>
      </c>
      <c r="J4565" s="10" t="s">
        <v>29400</v>
      </c>
      <c r="K4565" s="10" t="s">
        <v>29401</v>
      </c>
      <c r="L4565" s="29" t="s">
        <v>29402</v>
      </c>
      <c r="M4565" s="10"/>
      <c r="N4565" s="12"/>
      <c r="O4565" s="12"/>
      <c r="P4565" s="13">
        <f>IFERROR(__xludf.DUMMYFUNCTION("VALUE(SUBSTITUTE((INDEX(SPLIT(A4565,"",""),1)),""."","","",1))"),55.533659)</f>
        <v>55.533659</v>
      </c>
      <c r="Q4565" s="13">
        <f>IFERROR(__xludf.DUMMYFUNCTION("VALUE(SUBSTITUTE((INDEX(SPLIT(A4565,"",""),2)),""."","","",1))"),89.185226)</f>
        <v>89.185226</v>
      </c>
      <c r="R4565" s="14" t="b">
        <f t="shared" si="1"/>
        <v>0</v>
      </c>
      <c r="S4565" s="14" t="str">
        <f t="shared" si="2"/>
        <v>55.533659,89.185226</v>
      </c>
      <c r="T4565" s="12"/>
    </row>
    <row r="4566">
      <c r="A4566" s="20" t="s">
        <v>29403</v>
      </c>
      <c r="B4566" s="16" t="s">
        <v>29404</v>
      </c>
      <c r="C4566" s="16" t="s">
        <v>29405</v>
      </c>
      <c r="D4566" s="16" t="s">
        <v>16</v>
      </c>
      <c r="E4566" s="21" t="s">
        <v>29406</v>
      </c>
      <c r="F4566" s="22" t="s">
        <v>3169</v>
      </c>
      <c r="G4566" s="16">
        <v>23.61</v>
      </c>
      <c r="H4566" s="16"/>
      <c r="I4566" s="22"/>
      <c r="J4566" s="22" t="s">
        <v>29407</v>
      </c>
      <c r="K4566" s="22" t="s">
        <v>29408</v>
      </c>
      <c r="L4566" s="23" t="s">
        <v>29409</v>
      </c>
      <c r="M4566" s="22"/>
      <c r="N4566" s="12"/>
      <c r="O4566" s="12"/>
      <c r="P4566" s="13">
        <f>IFERROR(__xludf.DUMMYFUNCTION("VALUE(SUBSTITUTE((INDEX(SPLIT(A4566,"",""),1)),""."","","",1))"),54.350421)</f>
        <v>54.350421</v>
      </c>
      <c r="Q4566" s="13">
        <f>IFERROR(__xludf.DUMMYFUNCTION("VALUE(SUBSTITUTE((INDEX(SPLIT(A4566,"",""),2)),""."","","",1))"),89.278202)</f>
        <v>89.278202</v>
      </c>
      <c r="R4566" s="14" t="b">
        <f t="shared" si="1"/>
        <v>0</v>
      </c>
      <c r="S4566" s="14" t="str">
        <f t="shared" si="2"/>
        <v>54.350421,89.278202</v>
      </c>
      <c r="T4566" s="12"/>
    </row>
    <row r="4567">
      <c r="A4567" s="7" t="s">
        <v>29410</v>
      </c>
      <c r="B4567" s="8" t="s">
        <v>29411</v>
      </c>
      <c r="C4567" s="8" t="s">
        <v>29412</v>
      </c>
      <c r="D4567" s="8" t="s">
        <v>16</v>
      </c>
      <c r="E4567" s="9" t="s">
        <v>29413</v>
      </c>
      <c r="F4567" s="10" t="s">
        <v>3169</v>
      </c>
      <c r="G4567" s="8">
        <v>23.61</v>
      </c>
      <c r="H4567" s="8"/>
      <c r="I4567" s="10"/>
      <c r="J4567" s="10" t="s">
        <v>29414</v>
      </c>
      <c r="K4567" s="10" t="s">
        <v>29415</v>
      </c>
      <c r="L4567" s="11" t="s">
        <v>29416</v>
      </c>
      <c r="M4567" s="10"/>
      <c r="N4567" s="12"/>
      <c r="O4567" s="12"/>
      <c r="P4567" s="13">
        <f>IFERROR(__xludf.DUMMYFUNCTION("VALUE(SUBSTITUTE((INDEX(SPLIT(A4567,"",""),1)),""."","","",1))"),56.208069)</f>
        <v>56.208069</v>
      </c>
      <c r="Q4567" s="13">
        <f>IFERROR(__xludf.DUMMYFUNCTION("VALUE(SUBSTITUTE((INDEX(SPLIT(A4567,"",""),2)),""."","","",1))"),89.526335)</f>
        <v>89.526335</v>
      </c>
      <c r="R4567" s="14" t="b">
        <f t="shared" si="1"/>
        <v>0</v>
      </c>
      <c r="S4567" s="14" t="str">
        <f t="shared" si="2"/>
        <v>56.208069,89.526335</v>
      </c>
      <c r="T4567" s="12"/>
    </row>
    <row r="4568">
      <c r="A4568" s="20" t="s">
        <v>29417</v>
      </c>
      <c r="B4568" s="16" t="s">
        <v>29418</v>
      </c>
      <c r="C4568" s="16" t="s">
        <v>29419</v>
      </c>
      <c r="D4568" s="16" t="s">
        <v>16</v>
      </c>
      <c r="E4568" s="21" t="s">
        <v>29420</v>
      </c>
      <c r="F4568" s="22" t="s">
        <v>22263</v>
      </c>
      <c r="G4568" s="16">
        <v>23.61</v>
      </c>
      <c r="H4568" s="16"/>
      <c r="I4568" s="22"/>
      <c r="J4568" s="22" t="s">
        <v>29421</v>
      </c>
      <c r="K4568" s="22" t="s">
        <v>29422</v>
      </c>
      <c r="L4568" s="23" t="s">
        <v>29423</v>
      </c>
      <c r="M4568" s="23" t="s">
        <v>29424</v>
      </c>
      <c r="N4568" s="12"/>
      <c r="O4568" s="12"/>
      <c r="P4568" s="13">
        <f>IFERROR(__xludf.DUMMYFUNCTION("VALUE(SUBSTITUTE((INDEX(SPLIT(A4568,"",""),1)),""."","","",1))"),56.010267)</f>
        <v>56.010267</v>
      </c>
      <c r="Q4568" s="13">
        <f>IFERROR(__xludf.DUMMYFUNCTION("VALUE(SUBSTITUTE((INDEX(SPLIT(A4568,"",""),2)),""."","","",1))"),90.385034)</f>
        <v>90.385034</v>
      </c>
      <c r="R4568" s="14" t="b">
        <f t="shared" si="1"/>
        <v>0</v>
      </c>
      <c r="S4568" s="14" t="str">
        <f t="shared" si="2"/>
        <v>56.010267,90.385034</v>
      </c>
      <c r="T4568" s="12"/>
    </row>
    <row r="4569">
      <c r="A4569" s="7" t="s">
        <v>29425</v>
      </c>
      <c r="B4569" s="8" t="s">
        <v>29426</v>
      </c>
      <c r="C4569" s="8" t="s">
        <v>29427</v>
      </c>
      <c r="D4569" s="8" t="s">
        <v>16</v>
      </c>
      <c r="E4569" s="9" t="s">
        <v>29428</v>
      </c>
      <c r="F4569" s="10" t="s">
        <v>3169</v>
      </c>
      <c r="G4569" s="8">
        <v>23.61</v>
      </c>
      <c r="H4569" s="8"/>
      <c r="I4569" s="31" t="s">
        <v>29429</v>
      </c>
      <c r="J4569" s="10" t="s">
        <v>29430</v>
      </c>
      <c r="K4569" s="10" t="s">
        <v>4020</v>
      </c>
      <c r="L4569" s="11" t="s">
        <v>29431</v>
      </c>
      <c r="M4569" s="11" t="s">
        <v>29432</v>
      </c>
      <c r="N4569" s="12"/>
      <c r="O4569" s="12"/>
      <c r="P4569" s="13">
        <f>IFERROR(__xludf.DUMMYFUNCTION("VALUE(SUBSTITUTE((INDEX(SPLIT(A4569,"",""),1)),""."","","",1))"),55.936121)</f>
        <v>55.936121</v>
      </c>
      <c r="Q4569" s="13">
        <f>IFERROR(__xludf.DUMMYFUNCTION("VALUE(SUBSTITUTE((INDEX(SPLIT(A4569,"",""),2)),""."","","",1))"),90.428773)</f>
        <v>90.428773</v>
      </c>
      <c r="R4569" s="14" t="b">
        <f t="shared" si="1"/>
        <v>0</v>
      </c>
      <c r="S4569" s="14" t="str">
        <f t="shared" si="2"/>
        <v>55.936121,90.428773</v>
      </c>
      <c r="T4569" s="12"/>
    </row>
    <row r="4570">
      <c r="A4570" s="15" t="s">
        <v>29433</v>
      </c>
      <c r="B4570" s="16" t="s">
        <v>29434</v>
      </c>
      <c r="C4570" s="16" t="s">
        <v>29435</v>
      </c>
      <c r="D4570" s="16" t="s">
        <v>16</v>
      </c>
      <c r="E4570" s="17" t="s">
        <v>29436</v>
      </c>
      <c r="F4570" s="16" t="s">
        <v>22263</v>
      </c>
      <c r="G4570" s="16">
        <v>23.61</v>
      </c>
      <c r="H4570" s="16"/>
      <c r="I4570" s="16"/>
      <c r="J4570" s="16" t="s">
        <v>29437</v>
      </c>
      <c r="K4570" s="16" t="s">
        <v>28496</v>
      </c>
      <c r="L4570" s="16"/>
      <c r="M4570" s="16"/>
      <c r="N4570" s="12"/>
      <c r="O4570" s="12"/>
      <c r="P4570" s="13">
        <f>IFERROR(__xludf.DUMMYFUNCTION("VALUE(SUBSTITUTE((INDEX(SPLIT(A4570,"",""),1)),""."","","",1))"),55.997421)</f>
        <v>55.997421</v>
      </c>
      <c r="Q4570" s="13">
        <f>IFERROR(__xludf.DUMMYFUNCTION("VALUE(SUBSTITUTE((INDEX(SPLIT(A4570,"",""),2)),""."","","",1))"),90.443533)</f>
        <v>90.443533</v>
      </c>
      <c r="R4570" s="14" t="b">
        <f t="shared" si="1"/>
        <v>0</v>
      </c>
      <c r="S4570" s="14" t="str">
        <f t="shared" si="2"/>
        <v>55.997421,90.443533</v>
      </c>
      <c r="T4570" s="12"/>
    </row>
    <row r="4571">
      <c r="A4571" s="18" t="s">
        <v>29438</v>
      </c>
      <c r="B4571" s="8" t="s">
        <v>29439</v>
      </c>
      <c r="C4571" s="8" t="s">
        <v>29440</v>
      </c>
      <c r="D4571" s="8" t="s">
        <v>16</v>
      </c>
      <c r="E4571" s="19" t="s">
        <v>29441</v>
      </c>
      <c r="F4571" s="8" t="s">
        <v>22263</v>
      </c>
      <c r="G4571" s="8">
        <v>23.61</v>
      </c>
      <c r="H4571" s="8"/>
      <c r="I4571" s="8"/>
      <c r="J4571" s="8" t="s">
        <v>29442</v>
      </c>
      <c r="K4571" s="8" t="s">
        <v>29443</v>
      </c>
      <c r="L4571" s="8"/>
      <c r="M4571" s="8"/>
      <c r="N4571" s="12"/>
      <c r="O4571" s="12"/>
      <c r="P4571" s="13">
        <f>IFERROR(__xludf.DUMMYFUNCTION("VALUE(SUBSTITUTE((INDEX(SPLIT(A4571,"",""),1)),""."","","",1))"),56.249847)</f>
        <v>56.249847</v>
      </c>
      <c r="Q4571" s="13">
        <f>IFERROR(__xludf.DUMMYFUNCTION("VALUE(SUBSTITUTE((INDEX(SPLIT(A4571,"",""),2)),""."","","",1))"),90.487065)</f>
        <v>90.487065</v>
      </c>
      <c r="R4571" s="14" t="b">
        <f t="shared" si="1"/>
        <v>0</v>
      </c>
      <c r="S4571" s="14" t="str">
        <f t="shared" si="2"/>
        <v>56.249847,90.487065</v>
      </c>
      <c r="T4571" s="12"/>
    </row>
    <row r="4572">
      <c r="A4572" s="15" t="s">
        <v>29444</v>
      </c>
      <c r="B4572" s="16" t="s">
        <v>29445</v>
      </c>
      <c r="C4572" s="16" t="s">
        <v>29446</v>
      </c>
      <c r="D4572" s="16" t="s">
        <v>16</v>
      </c>
      <c r="E4572" s="17" t="s">
        <v>29447</v>
      </c>
      <c r="F4572" s="16" t="s">
        <v>22263</v>
      </c>
      <c r="G4572" s="16">
        <v>23.61</v>
      </c>
      <c r="H4572" s="16"/>
      <c r="I4572" s="16"/>
      <c r="J4572" s="16" t="s">
        <v>29448</v>
      </c>
      <c r="K4572" s="16" t="s">
        <v>29449</v>
      </c>
      <c r="L4572" s="16"/>
      <c r="M4572" s="16"/>
      <c r="N4572" s="12"/>
      <c r="O4572" s="12"/>
      <c r="P4572" s="13">
        <f>IFERROR(__xludf.DUMMYFUNCTION("VALUE(SUBSTITUTE((INDEX(SPLIT(A4572,"",""),1)),""."","","",1))"),56.253852)</f>
        <v>56.253852</v>
      </c>
      <c r="Q4572" s="13">
        <f>IFERROR(__xludf.DUMMYFUNCTION("VALUE(SUBSTITUTE((INDEX(SPLIT(A4572,"",""),2)),""."","","",1))"),90.488772)</f>
        <v>90.488772</v>
      </c>
      <c r="R4572" s="14" t="b">
        <f t="shared" si="1"/>
        <v>0</v>
      </c>
      <c r="S4572" s="14" t="str">
        <f t="shared" si="2"/>
        <v>56.253852,90.488772</v>
      </c>
      <c r="T4572" s="12"/>
    </row>
    <row r="4573">
      <c r="A4573" s="7" t="s">
        <v>29450</v>
      </c>
      <c r="B4573" s="8" t="s">
        <v>29451</v>
      </c>
      <c r="C4573" s="8" t="s">
        <v>29452</v>
      </c>
      <c r="D4573" s="8" t="s">
        <v>16</v>
      </c>
      <c r="E4573" s="9" t="s">
        <v>29453</v>
      </c>
      <c r="F4573" s="10" t="s">
        <v>3169</v>
      </c>
      <c r="G4573" s="8">
        <v>23.61</v>
      </c>
      <c r="H4573" s="8"/>
      <c r="I4573" s="10"/>
      <c r="J4573" s="10" t="s">
        <v>29454</v>
      </c>
      <c r="K4573" s="10" t="s">
        <v>29455</v>
      </c>
      <c r="L4573" s="11" t="s">
        <v>29456</v>
      </c>
      <c r="M4573" s="10"/>
      <c r="N4573" s="12"/>
      <c r="O4573" s="12"/>
      <c r="P4573" s="13">
        <f>IFERROR(__xludf.DUMMYFUNCTION("VALUE(SUBSTITUTE((INDEX(SPLIT(A4573,"",""),1)),""."","","",1))"),56.269501)</f>
        <v>56.269501</v>
      </c>
      <c r="Q4573" s="13">
        <f>IFERROR(__xludf.DUMMYFUNCTION("VALUE(SUBSTITUTE((INDEX(SPLIT(A4573,"",""),2)),""."","","",1))"),90.49524)</f>
        <v>90.49524</v>
      </c>
      <c r="R4573" s="14" t="b">
        <f t="shared" si="1"/>
        <v>0</v>
      </c>
      <c r="S4573" s="14" t="str">
        <f t="shared" si="2"/>
        <v>56.269501,90.49524</v>
      </c>
      <c r="T4573" s="12"/>
    </row>
    <row r="4574">
      <c r="A4574" s="20" t="s">
        <v>29457</v>
      </c>
      <c r="B4574" s="16" t="s">
        <v>29458</v>
      </c>
      <c r="C4574" s="16" t="s">
        <v>29459</v>
      </c>
      <c r="D4574" s="16" t="s">
        <v>16</v>
      </c>
      <c r="E4574" s="21" t="s">
        <v>29460</v>
      </c>
      <c r="F4574" s="22" t="s">
        <v>22263</v>
      </c>
      <c r="G4574" s="16">
        <v>23.61</v>
      </c>
      <c r="H4574" s="16"/>
      <c r="I4574" s="22"/>
      <c r="J4574" s="22" t="s">
        <v>29461</v>
      </c>
      <c r="K4574" s="22" t="s">
        <v>29462</v>
      </c>
      <c r="L4574" s="23" t="s">
        <v>29463</v>
      </c>
      <c r="M4574" s="23" t="s">
        <v>29464</v>
      </c>
      <c r="N4574" s="12"/>
      <c r="O4574" s="12"/>
      <c r="P4574" s="13">
        <f>IFERROR(__xludf.DUMMYFUNCTION("VALUE(SUBSTITUTE((INDEX(SPLIT(A4574,"",""),1)),""."","","",1))"),56.275984)</f>
        <v>56.275984</v>
      </c>
      <c r="Q4574" s="13">
        <f>IFERROR(__xludf.DUMMYFUNCTION("VALUE(SUBSTITUTE((INDEX(SPLIT(A4574,"",""),2)),""."","","",1))"),90.519683)</f>
        <v>90.519683</v>
      </c>
      <c r="R4574" s="14" t="b">
        <f t="shared" si="1"/>
        <v>0</v>
      </c>
      <c r="S4574" s="14" t="str">
        <f t="shared" si="2"/>
        <v>56.275984,90.519683</v>
      </c>
      <c r="T4574" s="12"/>
    </row>
    <row r="4575">
      <c r="A4575" s="7" t="s">
        <v>29457</v>
      </c>
      <c r="B4575" s="8" t="s">
        <v>29465</v>
      </c>
      <c r="C4575" s="8" t="s">
        <v>29466</v>
      </c>
      <c r="D4575" s="8" t="s">
        <v>16</v>
      </c>
      <c r="E4575" s="9" t="s">
        <v>29467</v>
      </c>
      <c r="F4575" s="10" t="s">
        <v>3169</v>
      </c>
      <c r="G4575" s="8">
        <v>23.61</v>
      </c>
      <c r="H4575" s="8"/>
      <c r="I4575" s="10"/>
      <c r="J4575" s="10" t="s">
        <v>29468</v>
      </c>
      <c r="K4575" s="10" t="s">
        <v>29469</v>
      </c>
      <c r="L4575" s="11" t="s">
        <v>29470</v>
      </c>
      <c r="M4575" s="11" t="s">
        <v>29471</v>
      </c>
      <c r="N4575" s="12"/>
      <c r="O4575" s="12"/>
      <c r="P4575" s="13">
        <f>IFERROR(__xludf.DUMMYFUNCTION("VALUE(SUBSTITUTE((INDEX(SPLIT(A4575,"",""),1)),""."","","",1))"),56.275984)</f>
        <v>56.275984</v>
      </c>
      <c r="Q4575" s="13">
        <f>IFERROR(__xludf.DUMMYFUNCTION("VALUE(SUBSTITUTE((INDEX(SPLIT(A4575,"",""),2)),""."","","",1))"),90.519683)</f>
        <v>90.519683</v>
      </c>
      <c r="R4575" s="14" t="b">
        <f t="shared" si="1"/>
        <v>0</v>
      </c>
      <c r="S4575" s="14" t="str">
        <f t="shared" si="2"/>
        <v>56.275984,90.519683</v>
      </c>
      <c r="T4575" s="12"/>
    </row>
    <row r="4576">
      <c r="A4576" s="20" t="s">
        <v>29472</v>
      </c>
      <c r="B4576" s="16" t="s">
        <v>29473</v>
      </c>
      <c r="C4576" s="16" t="s">
        <v>29474</v>
      </c>
      <c r="D4576" s="16" t="s">
        <v>16</v>
      </c>
      <c r="E4576" s="21" t="s">
        <v>29475</v>
      </c>
      <c r="F4576" s="22" t="s">
        <v>22263</v>
      </c>
      <c r="G4576" s="16">
        <v>23.61</v>
      </c>
      <c r="H4576" s="16"/>
      <c r="I4576" s="22"/>
      <c r="J4576" s="22" t="s">
        <v>29476</v>
      </c>
      <c r="K4576" s="22" t="s">
        <v>29477</v>
      </c>
      <c r="L4576" s="23" t="s">
        <v>29478</v>
      </c>
      <c r="M4576" s="22"/>
      <c r="N4576" s="12"/>
      <c r="O4576" s="12"/>
      <c r="P4576" s="13">
        <f>IFERROR(__xludf.DUMMYFUNCTION("VALUE(SUBSTITUTE((INDEX(SPLIT(A4576,"",""),1)),""."","","",1))"),53.80634)</f>
        <v>53.80634</v>
      </c>
      <c r="Q4576" s="13">
        <f>IFERROR(__xludf.DUMMYFUNCTION("VALUE(SUBSTITUTE((INDEX(SPLIT(A4576,"",""),2)),""."","","",1))"),91.334248)</f>
        <v>91.334248</v>
      </c>
      <c r="R4576" s="14" t="b">
        <f t="shared" si="1"/>
        <v>0</v>
      </c>
      <c r="S4576" s="14" t="str">
        <f t="shared" si="2"/>
        <v>53.80634,91.334248</v>
      </c>
      <c r="T4576" s="12"/>
    </row>
    <row r="4577">
      <c r="A4577" s="18" t="s">
        <v>29479</v>
      </c>
      <c r="B4577" s="8" t="s">
        <v>29480</v>
      </c>
      <c r="C4577" s="8" t="s">
        <v>29481</v>
      </c>
      <c r="D4577" s="8" t="s">
        <v>16</v>
      </c>
      <c r="E4577" s="19" t="s">
        <v>29482</v>
      </c>
      <c r="F4577" s="8" t="s">
        <v>22263</v>
      </c>
      <c r="G4577" s="8">
        <v>23.61</v>
      </c>
      <c r="H4577" s="8"/>
      <c r="I4577" s="8"/>
      <c r="J4577" s="8" t="s">
        <v>29483</v>
      </c>
      <c r="K4577" s="8" t="s">
        <v>29477</v>
      </c>
      <c r="L4577" s="8"/>
      <c r="M4577" s="8"/>
      <c r="N4577" s="12"/>
      <c r="O4577" s="12"/>
      <c r="P4577" s="13">
        <f>IFERROR(__xludf.DUMMYFUNCTION("VALUE(SUBSTITUTE((INDEX(SPLIT(A4577,"",""),1)),""."","","",1))"),53.822187)</f>
        <v>53.822187</v>
      </c>
      <c r="Q4577" s="13">
        <f>IFERROR(__xludf.DUMMYFUNCTION("VALUE(SUBSTITUTE((INDEX(SPLIT(A4577,"",""),2)),""."","","",1))"),91.343986)</f>
        <v>91.343986</v>
      </c>
      <c r="R4577" s="14" t="b">
        <f t="shared" si="1"/>
        <v>0</v>
      </c>
      <c r="S4577" s="14" t="str">
        <f t="shared" si="2"/>
        <v>53.822187,91.343986</v>
      </c>
      <c r="T4577" s="12"/>
    </row>
    <row r="4578">
      <c r="A4578" s="15" t="s">
        <v>29484</v>
      </c>
      <c r="B4578" s="16" t="s">
        <v>29485</v>
      </c>
      <c r="C4578" s="16" t="s">
        <v>29486</v>
      </c>
      <c r="D4578" s="16" t="s">
        <v>16</v>
      </c>
      <c r="E4578" s="17" t="s">
        <v>29487</v>
      </c>
      <c r="F4578" s="16" t="s">
        <v>22263</v>
      </c>
      <c r="G4578" s="16">
        <v>23.61</v>
      </c>
      <c r="H4578" s="16"/>
      <c r="I4578" s="16"/>
      <c r="J4578" s="16" t="s">
        <v>29488</v>
      </c>
      <c r="K4578" s="16" t="s">
        <v>29489</v>
      </c>
      <c r="L4578" s="16"/>
      <c r="M4578" s="16"/>
      <c r="N4578" s="12"/>
      <c r="O4578" s="12"/>
      <c r="P4578" s="13">
        <f>IFERROR(__xludf.DUMMYFUNCTION("VALUE(SUBSTITUTE((INDEX(SPLIT(A4578,"",""),1)),""."","","",1))"),53.81794)</f>
        <v>53.81794</v>
      </c>
      <c r="Q4578" s="13">
        <f>IFERROR(__xludf.DUMMYFUNCTION("VALUE(SUBSTITUTE((INDEX(SPLIT(A4578,"",""),2)),""."","","",1))"),91.34572)</f>
        <v>91.34572</v>
      </c>
      <c r="R4578" s="14" t="b">
        <f t="shared" si="1"/>
        <v>0</v>
      </c>
      <c r="S4578" s="14" t="str">
        <f t="shared" si="2"/>
        <v>53.81794,91.34572</v>
      </c>
      <c r="T4578" s="12"/>
    </row>
    <row r="4579">
      <c r="A4579" s="7" t="s">
        <v>29490</v>
      </c>
      <c r="B4579" s="8" t="s">
        <v>16669</v>
      </c>
      <c r="C4579" s="8" t="s">
        <v>16670</v>
      </c>
      <c r="D4579" s="8" t="s">
        <v>16</v>
      </c>
      <c r="E4579" s="9" t="s">
        <v>29491</v>
      </c>
      <c r="F4579" s="10" t="s">
        <v>22263</v>
      </c>
      <c r="G4579" s="8">
        <v>23.61</v>
      </c>
      <c r="H4579" s="8"/>
      <c r="I4579" s="10"/>
      <c r="J4579" s="10" t="s">
        <v>29492</v>
      </c>
      <c r="K4579" s="10" t="s">
        <v>29493</v>
      </c>
      <c r="L4579" s="11" t="s">
        <v>29494</v>
      </c>
      <c r="M4579" s="11" t="s">
        <v>29495</v>
      </c>
      <c r="N4579" s="12"/>
      <c r="O4579" s="12"/>
      <c r="P4579" s="13">
        <f>IFERROR(__xludf.DUMMYFUNCTION("VALUE(SUBSTITUTE((INDEX(SPLIT(A4579,"",""),1)),""."","","",1))"),53.593704)</f>
        <v>53.593704</v>
      </c>
      <c r="Q4579" s="13">
        <f>IFERROR(__xludf.DUMMYFUNCTION("VALUE(SUBSTITUTE((INDEX(SPLIT(A4579,"",""),2)),""."","","",1))"),91.373675)</f>
        <v>91.373675</v>
      </c>
      <c r="R4579" s="14" t="b">
        <f t="shared" si="1"/>
        <v>0</v>
      </c>
      <c r="S4579" s="14" t="str">
        <f t="shared" si="2"/>
        <v>53.593704,91.373675</v>
      </c>
      <c r="T4579" s="12"/>
    </row>
    <row r="4580">
      <c r="A4580" s="20" t="s">
        <v>29496</v>
      </c>
      <c r="B4580" s="16" t="s">
        <v>29497</v>
      </c>
      <c r="C4580" s="16" t="s">
        <v>29498</v>
      </c>
      <c r="D4580" s="16" t="s">
        <v>16</v>
      </c>
      <c r="E4580" s="21" t="s">
        <v>29499</v>
      </c>
      <c r="F4580" s="22" t="s">
        <v>3169</v>
      </c>
      <c r="G4580" s="16">
        <v>23.61</v>
      </c>
      <c r="H4580" s="16"/>
      <c r="I4580" s="22"/>
      <c r="J4580" s="22" t="s">
        <v>29500</v>
      </c>
      <c r="K4580" s="22" t="s">
        <v>29501</v>
      </c>
      <c r="L4580" s="23" t="s">
        <v>29502</v>
      </c>
      <c r="M4580" s="23" t="s">
        <v>29503</v>
      </c>
      <c r="N4580" s="12"/>
      <c r="O4580" s="12"/>
      <c r="P4580" s="13">
        <f>IFERROR(__xludf.DUMMYFUNCTION("VALUE(SUBSTITUTE((INDEX(SPLIT(A4580,"",""),1)),""."","","",1))"),53.716218)</f>
        <v>53.716218</v>
      </c>
      <c r="Q4580" s="13">
        <f>IFERROR(__xludf.DUMMYFUNCTION("VALUE(SUBSTITUTE((INDEX(SPLIT(A4580,"",""),2)),""."","","",1))"),91.378203)</f>
        <v>91.378203</v>
      </c>
      <c r="R4580" s="14" t="b">
        <f t="shared" si="1"/>
        <v>0</v>
      </c>
      <c r="S4580" s="14" t="str">
        <f t="shared" si="2"/>
        <v>53.716218,91.378203</v>
      </c>
      <c r="T4580" s="12"/>
    </row>
    <row r="4581">
      <c r="A4581" s="7" t="s">
        <v>29496</v>
      </c>
      <c r="B4581" s="8" t="s">
        <v>29504</v>
      </c>
      <c r="C4581" s="8" t="s">
        <v>29505</v>
      </c>
      <c r="D4581" s="8" t="s">
        <v>16</v>
      </c>
      <c r="E4581" s="9" t="s">
        <v>29506</v>
      </c>
      <c r="F4581" s="10" t="s">
        <v>3169</v>
      </c>
      <c r="G4581" s="8">
        <v>23.61</v>
      </c>
      <c r="H4581" s="8"/>
      <c r="I4581" s="10"/>
      <c r="J4581" s="10" t="s">
        <v>29507</v>
      </c>
      <c r="K4581" s="10" t="s">
        <v>29508</v>
      </c>
      <c r="L4581" s="11" t="s">
        <v>29509</v>
      </c>
      <c r="M4581" s="11" t="s">
        <v>29510</v>
      </c>
      <c r="N4581" s="12"/>
      <c r="O4581" s="12"/>
      <c r="P4581" s="13">
        <f>IFERROR(__xludf.DUMMYFUNCTION("VALUE(SUBSTITUTE((INDEX(SPLIT(A4581,"",""),1)),""."","","",1))"),53.716218)</f>
        <v>53.716218</v>
      </c>
      <c r="Q4581" s="13">
        <f>IFERROR(__xludf.DUMMYFUNCTION("VALUE(SUBSTITUTE((INDEX(SPLIT(A4581,"",""),2)),""."","","",1))"),91.378203)</f>
        <v>91.378203</v>
      </c>
      <c r="R4581" s="14" t="b">
        <f t="shared" si="1"/>
        <v>0</v>
      </c>
      <c r="S4581" s="14" t="str">
        <f t="shared" si="2"/>
        <v>53.716218,91.378203</v>
      </c>
      <c r="T4581" s="12"/>
    </row>
    <row r="4582">
      <c r="A4582" s="15" t="s">
        <v>29511</v>
      </c>
      <c r="B4582" s="16" t="s">
        <v>29512</v>
      </c>
      <c r="C4582" s="16" t="s">
        <v>29513</v>
      </c>
      <c r="D4582" s="16" t="s">
        <v>16</v>
      </c>
      <c r="E4582" s="17" t="s">
        <v>29514</v>
      </c>
      <c r="F4582" s="16" t="s">
        <v>22263</v>
      </c>
      <c r="G4582" s="16">
        <v>23.61</v>
      </c>
      <c r="H4582" s="16"/>
      <c r="I4582" s="16"/>
      <c r="J4582" s="16" t="s">
        <v>29515</v>
      </c>
      <c r="K4582" s="16" t="s">
        <v>29516</v>
      </c>
      <c r="L4582" s="16"/>
      <c r="M4582" s="25" t="s">
        <v>29517</v>
      </c>
      <c r="N4582" s="12"/>
      <c r="O4582" s="12"/>
      <c r="P4582" s="13">
        <f>IFERROR(__xludf.DUMMYFUNCTION("VALUE(SUBSTITUTE((INDEX(SPLIT(A4582,"",""),1)),""."","","",1))"),53.712844)</f>
        <v>53.712844</v>
      </c>
      <c r="Q4582" s="13">
        <f>IFERROR(__xludf.DUMMYFUNCTION("VALUE(SUBSTITUTE((INDEX(SPLIT(A4582,"",""),2)),""."","","",1))"),91.378284)</f>
        <v>91.378284</v>
      </c>
      <c r="R4582" s="14" t="b">
        <f t="shared" si="1"/>
        <v>0</v>
      </c>
      <c r="S4582" s="14" t="str">
        <f t="shared" si="2"/>
        <v>53.712844,91.378284</v>
      </c>
      <c r="T4582" s="12"/>
    </row>
    <row r="4583">
      <c r="A4583" s="7" t="s">
        <v>29518</v>
      </c>
      <c r="B4583" s="8" t="s">
        <v>29519</v>
      </c>
      <c r="C4583" s="8" t="s">
        <v>29520</v>
      </c>
      <c r="D4583" s="8" t="s">
        <v>16</v>
      </c>
      <c r="E4583" s="9" t="s">
        <v>29521</v>
      </c>
      <c r="F4583" s="10" t="s">
        <v>3169</v>
      </c>
      <c r="G4583" s="8">
        <v>23.61</v>
      </c>
      <c r="H4583" s="8"/>
      <c r="I4583" s="10"/>
      <c r="J4583" s="10" t="s">
        <v>29522</v>
      </c>
      <c r="K4583" s="10" t="s">
        <v>3899</v>
      </c>
      <c r="L4583" s="11" t="s">
        <v>29523</v>
      </c>
      <c r="M4583" s="10"/>
      <c r="N4583" s="12"/>
      <c r="O4583" s="12"/>
      <c r="P4583" s="13">
        <f>IFERROR(__xludf.DUMMYFUNCTION("VALUE(SUBSTITUTE((INDEX(SPLIT(A4583,"",""),1)),""."","","",1))"),53.719122)</f>
        <v>53.719122</v>
      </c>
      <c r="Q4583" s="13">
        <f>IFERROR(__xludf.DUMMYFUNCTION("VALUE(SUBSTITUTE((INDEX(SPLIT(A4583,"",""),2)),""."","","",1))"),91.379065)</f>
        <v>91.379065</v>
      </c>
      <c r="R4583" s="14" t="b">
        <f t="shared" si="1"/>
        <v>0</v>
      </c>
      <c r="S4583" s="14" t="str">
        <f t="shared" si="2"/>
        <v>53.719122,91.379065</v>
      </c>
      <c r="T4583" s="12"/>
    </row>
    <row r="4584">
      <c r="A4584" s="20" t="s">
        <v>29524</v>
      </c>
      <c r="B4584" s="16" t="s">
        <v>29525</v>
      </c>
      <c r="C4584" s="16" t="s">
        <v>29526</v>
      </c>
      <c r="D4584" s="16" t="s">
        <v>16</v>
      </c>
      <c r="E4584" s="21" t="s">
        <v>29527</v>
      </c>
      <c r="F4584" s="22" t="s">
        <v>22263</v>
      </c>
      <c r="G4584" s="16">
        <v>23.61</v>
      </c>
      <c r="H4584" s="16"/>
      <c r="I4584" s="22"/>
      <c r="J4584" s="22" t="s">
        <v>29528</v>
      </c>
      <c r="K4584" s="22" t="s">
        <v>29529</v>
      </c>
      <c r="L4584" s="23" t="s">
        <v>29530</v>
      </c>
      <c r="M4584" s="23" t="s">
        <v>29531</v>
      </c>
      <c r="N4584" s="12"/>
      <c r="O4584" s="12"/>
      <c r="P4584" s="13">
        <f>IFERROR(__xludf.DUMMYFUNCTION("VALUE(SUBSTITUTE((INDEX(SPLIT(A4584,"",""),1)),""."","","",1))"),53.712375)</f>
        <v>53.712375</v>
      </c>
      <c r="Q4584" s="13">
        <f>IFERROR(__xludf.DUMMYFUNCTION("VALUE(SUBSTITUTE((INDEX(SPLIT(A4584,"",""),2)),""."","","",1))"),91.380008)</f>
        <v>91.380008</v>
      </c>
      <c r="R4584" s="14" t="b">
        <f t="shared" si="1"/>
        <v>0</v>
      </c>
      <c r="S4584" s="14" t="str">
        <f t="shared" si="2"/>
        <v>53.712375,91.380008</v>
      </c>
      <c r="T4584" s="12"/>
    </row>
    <row r="4585">
      <c r="A4585" s="7" t="s">
        <v>29532</v>
      </c>
      <c r="B4585" s="8" t="s">
        <v>29533</v>
      </c>
      <c r="C4585" s="8" t="s">
        <v>29534</v>
      </c>
      <c r="D4585" s="8" t="s">
        <v>16</v>
      </c>
      <c r="E4585" s="9" t="s">
        <v>29535</v>
      </c>
      <c r="F4585" s="10" t="s">
        <v>22263</v>
      </c>
      <c r="G4585" s="8">
        <v>23.61</v>
      </c>
      <c r="H4585" s="8"/>
      <c r="I4585" s="10"/>
      <c r="J4585" s="10" t="s">
        <v>29536</v>
      </c>
      <c r="K4585" s="10" t="s">
        <v>29537</v>
      </c>
      <c r="L4585" s="11" t="s">
        <v>29538</v>
      </c>
      <c r="M4585" s="10"/>
      <c r="N4585" s="12"/>
      <c r="O4585" s="12"/>
      <c r="P4585" s="13">
        <f>IFERROR(__xludf.DUMMYFUNCTION("VALUE(SUBSTITUTE((INDEX(SPLIT(A4585,"",""),1)),""."","","",1))"),53.679919)</f>
        <v>53.679919</v>
      </c>
      <c r="Q4585" s="13">
        <f>IFERROR(__xludf.DUMMYFUNCTION("VALUE(SUBSTITUTE((INDEX(SPLIT(A4585,"",""),2)),""."","","",1))"),91.382892)</f>
        <v>91.382892</v>
      </c>
      <c r="R4585" s="14" t="b">
        <f t="shared" si="1"/>
        <v>0</v>
      </c>
      <c r="S4585" s="14" t="str">
        <f t="shared" si="2"/>
        <v>53.679919,91.382892</v>
      </c>
      <c r="T4585" s="12"/>
    </row>
    <row r="4586">
      <c r="A4586" s="20" t="s">
        <v>29539</v>
      </c>
      <c r="B4586" s="16" t="s">
        <v>29540</v>
      </c>
      <c r="C4586" s="16" t="s">
        <v>29541</v>
      </c>
      <c r="D4586" s="16" t="s">
        <v>16</v>
      </c>
      <c r="E4586" s="21" t="s">
        <v>29542</v>
      </c>
      <c r="F4586" s="22" t="s">
        <v>3169</v>
      </c>
      <c r="G4586" s="16">
        <v>23.61</v>
      </c>
      <c r="H4586" s="16"/>
      <c r="I4586" s="22"/>
      <c r="J4586" s="22" t="s">
        <v>29543</v>
      </c>
      <c r="K4586" s="22" t="s">
        <v>29544</v>
      </c>
      <c r="L4586" s="23" t="s">
        <v>29545</v>
      </c>
      <c r="M4586" s="22"/>
      <c r="N4586" s="12"/>
      <c r="O4586" s="12"/>
      <c r="P4586" s="13">
        <f>IFERROR(__xludf.DUMMYFUNCTION("VALUE(SUBSTITUTE((INDEX(SPLIT(A4586,"",""),1)),""."","","",1))"),53.714571)</f>
        <v>53.714571</v>
      </c>
      <c r="Q4586" s="13">
        <f>IFERROR(__xludf.DUMMYFUNCTION("VALUE(SUBSTITUTE((INDEX(SPLIT(A4586,"",""),2)),""."","","",1))"),91.386234)</f>
        <v>91.386234</v>
      </c>
      <c r="R4586" s="14" t="b">
        <f t="shared" si="1"/>
        <v>0</v>
      </c>
      <c r="S4586" s="14" t="str">
        <f t="shared" si="2"/>
        <v>53.714571,91.386234</v>
      </c>
      <c r="T4586" s="12"/>
    </row>
    <row r="4587">
      <c r="A4587" s="7" t="s">
        <v>29546</v>
      </c>
      <c r="B4587" s="8" t="s">
        <v>29547</v>
      </c>
      <c r="C4587" s="8" t="s">
        <v>29548</v>
      </c>
      <c r="D4587" s="8" t="s">
        <v>16</v>
      </c>
      <c r="E4587" s="9" t="s">
        <v>29549</v>
      </c>
      <c r="F4587" s="10" t="s">
        <v>3169</v>
      </c>
      <c r="G4587" s="8">
        <v>23.61</v>
      </c>
      <c r="H4587" s="8"/>
      <c r="I4587" s="10"/>
      <c r="J4587" s="10" t="s">
        <v>29550</v>
      </c>
      <c r="K4587" s="10" t="s">
        <v>29551</v>
      </c>
      <c r="L4587" s="11" t="s">
        <v>29552</v>
      </c>
      <c r="M4587" s="10"/>
      <c r="N4587" s="12"/>
      <c r="O4587" s="12"/>
      <c r="P4587" s="13">
        <f>IFERROR(__xludf.DUMMYFUNCTION("VALUE(SUBSTITUTE((INDEX(SPLIT(A4587,"",""),1)),""."","","",1))"),53.106887)</f>
        <v>53.106887</v>
      </c>
      <c r="Q4587" s="13">
        <f>IFERROR(__xludf.DUMMYFUNCTION("VALUE(SUBSTITUTE((INDEX(SPLIT(A4587,"",""),2)),""."","","",1))"),91.390752)</f>
        <v>91.390752</v>
      </c>
      <c r="R4587" s="14" t="b">
        <f t="shared" si="1"/>
        <v>0</v>
      </c>
      <c r="S4587" s="14" t="str">
        <f t="shared" si="2"/>
        <v>53.106887,91.390752</v>
      </c>
      <c r="T4587" s="12"/>
    </row>
    <row r="4588">
      <c r="A4588" s="20" t="s">
        <v>29553</v>
      </c>
      <c r="B4588" s="16" t="s">
        <v>29554</v>
      </c>
      <c r="C4588" s="16" t="s">
        <v>29555</v>
      </c>
      <c r="D4588" s="16" t="s">
        <v>16</v>
      </c>
      <c r="E4588" s="21" t="s">
        <v>29556</v>
      </c>
      <c r="F4588" s="22" t="s">
        <v>23544</v>
      </c>
      <c r="G4588" s="16">
        <v>23.61</v>
      </c>
      <c r="H4588" s="16"/>
      <c r="I4588" s="22"/>
      <c r="J4588" s="22" t="s">
        <v>29557</v>
      </c>
      <c r="K4588" s="22" t="s">
        <v>29558</v>
      </c>
      <c r="L4588" s="23" t="s">
        <v>29559</v>
      </c>
      <c r="M4588" s="23" t="s">
        <v>29560</v>
      </c>
      <c r="N4588" s="12"/>
      <c r="O4588" s="12"/>
      <c r="P4588" s="13">
        <f>IFERROR(__xludf.DUMMYFUNCTION("VALUE(SUBSTITUTE((INDEX(SPLIT(A4588,"",""),1)),""."","","",1))"),53.67338)</f>
        <v>53.67338</v>
      </c>
      <c r="Q4588" s="13">
        <f>IFERROR(__xludf.DUMMYFUNCTION("VALUE(SUBSTITUTE((INDEX(SPLIT(A4588,"",""),2)),""."","","",1))"),91.392917)</f>
        <v>91.392917</v>
      </c>
      <c r="R4588" s="14" t="b">
        <f t="shared" si="1"/>
        <v>0</v>
      </c>
      <c r="S4588" s="14" t="str">
        <f t="shared" si="2"/>
        <v>53.67338,91.392917</v>
      </c>
      <c r="T4588" s="12"/>
    </row>
    <row r="4589">
      <c r="A4589" s="7" t="s">
        <v>29561</v>
      </c>
      <c r="B4589" s="8" t="s">
        <v>29562</v>
      </c>
      <c r="C4589" s="8" t="s">
        <v>29563</v>
      </c>
      <c r="D4589" s="8" t="s">
        <v>16</v>
      </c>
      <c r="E4589" s="9" t="s">
        <v>29564</v>
      </c>
      <c r="F4589" s="10" t="s">
        <v>22263</v>
      </c>
      <c r="G4589" s="8">
        <v>23.61</v>
      </c>
      <c r="H4589" s="8"/>
      <c r="I4589" s="10"/>
      <c r="J4589" s="10" t="s">
        <v>29565</v>
      </c>
      <c r="K4589" s="10" t="s">
        <v>29566</v>
      </c>
      <c r="L4589" s="11" t="s">
        <v>29567</v>
      </c>
      <c r="M4589" s="10"/>
      <c r="N4589" s="12"/>
      <c r="O4589" s="12"/>
      <c r="P4589" s="13">
        <f>IFERROR(__xludf.DUMMYFUNCTION("VALUE(SUBSTITUTE((INDEX(SPLIT(A4589,"",""),1)),""."","","",1))"),53.715621)</f>
        <v>53.715621</v>
      </c>
      <c r="Q4589" s="13">
        <f>IFERROR(__xludf.DUMMYFUNCTION("VALUE(SUBSTITUTE((INDEX(SPLIT(A4589,"",""),2)),""."","","",1))"),91.398693)</f>
        <v>91.398693</v>
      </c>
      <c r="R4589" s="14" t="b">
        <f t="shared" si="1"/>
        <v>0</v>
      </c>
      <c r="S4589" s="14" t="str">
        <f t="shared" si="2"/>
        <v>53.715621,91.398693</v>
      </c>
      <c r="T4589" s="12"/>
    </row>
    <row r="4590">
      <c r="A4590" s="15" t="s">
        <v>29568</v>
      </c>
      <c r="B4590" s="16" t="s">
        <v>29569</v>
      </c>
      <c r="C4590" s="16" t="s">
        <v>29570</v>
      </c>
      <c r="D4590" s="16" t="s">
        <v>16</v>
      </c>
      <c r="E4590" s="17" t="s">
        <v>29571</v>
      </c>
      <c r="F4590" s="16" t="s">
        <v>22263</v>
      </c>
      <c r="G4590" s="16">
        <v>23.61</v>
      </c>
      <c r="H4590" s="16"/>
      <c r="I4590" s="32" t="s">
        <v>29572</v>
      </c>
      <c r="J4590" s="16" t="s">
        <v>29573</v>
      </c>
      <c r="K4590" s="16" t="s">
        <v>29574</v>
      </c>
      <c r="L4590" s="16"/>
      <c r="M4590" s="16"/>
      <c r="N4590" s="12"/>
      <c r="O4590" s="12"/>
      <c r="P4590" s="13">
        <f>IFERROR(__xludf.DUMMYFUNCTION("VALUE(SUBSTITUTE((INDEX(SPLIT(A4590,"",""),1)),""."","","",1))"),53.721189)</f>
        <v>53.721189</v>
      </c>
      <c r="Q4590" s="13">
        <f>IFERROR(__xludf.DUMMYFUNCTION("VALUE(SUBSTITUTE((INDEX(SPLIT(A4590,"",""),2)),""."","","",1))"),91.402278)</f>
        <v>91.402278</v>
      </c>
      <c r="R4590" s="14" t="b">
        <f t="shared" si="1"/>
        <v>0</v>
      </c>
      <c r="S4590" s="14" t="str">
        <f t="shared" si="2"/>
        <v>53.721189,91.402278</v>
      </c>
      <c r="T4590" s="12"/>
    </row>
    <row r="4591">
      <c r="A4591" s="7" t="s">
        <v>29575</v>
      </c>
      <c r="B4591" s="8" t="s">
        <v>29576</v>
      </c>
      <c r="C4591" s="8" t="s">
        <v>29577</v>
      </c>
      <c r="D4591" s="8" t="s">
        <v>16</v>
      </c>
      <c r="E4591" s="9" t="s">
        <v>29578</v>
      </c>
      <c r="F4591" s="10" t="s">
        <v>3169</v>
      </c>
      <c r="G4591" s="8">
        <v>23.61</v>
      </c>
      <c r="H4591" s="8"/>
      <c r="I4591" s="10"/>
      <c r="J4591" s="10" t="s">
        <v>29579</v>
      </c>
      <c r="K4591" s="10" t="s">
        <v>29580</v>
      </c>
      <c r="L4591" s="11" t="s">
        <v>29581</v>
      </c>
      <c r="M4591" s="10"/>
      <c r="N4591" s="12"/>
      <c r="O4591" s="12"/>
      <c r="P4591" s="13">
        <f>IFERROR(__xludf.DUMMYFUNCTION("VALUE(SUBSTITUTE((INDEX(SPLIT(A4591,"",""),1)),""."","","",1))"),53.743161)</f>
        <v>53.743161</v>
      </c>
      <c r="Q4591" s="13">
        <f>IFERROR(__xludf.DUMMYFUNCTION("VALUE(SUBSTITUTE((INDEX(SPLIT(A4591,"",""),2)),""."","","",1))"),91.415977)</f>
        <v>91.415977</v>
      </c>
      <c r="R4591" s="14" t="b">
        <f t="shared" si="1"/>
        <v>0</v>
      </c>
      <c r="S4591" s="14" t="str">
        <f t="shared" si="2"/>
        <v>53.743161,91.415977</v>
      </c>
      <c r="T4591" s="12"/>
    </row>
    <row r="4592">
      <c r="A4592" s="20" t="s">
        <v>29582</v>
      </c>
      <c r="B4592" s="16" t="s">
        <v>29583</v>
      </c>
      <c r="C4592" s="16" t="s">
        <v>29584</v>
      </c>
      <c r="D4592" s="16" t="s">
        <v>16</v>
      </c>
      <c r="E4592" s="21" t="s">
        <v>29585</v>
      </c>
      <c r="F4592" s="22" t="s">
        <v>22263</v>
      </c>
      <c r="G4592" s="16">
        <v>23.61</v>
      </c>
      <c r="H4592" s="16"/>
      <c r="I4592" s="22"/>
      <c r="J4592" s="22" t="s">
        <v>29586</v>
      </c>
      <c r="K4592" s="22" t="s">
        <v>29587</v>
      </c>
      <c r="L4592" s="30" t="s">
        <v>29588</v>
      </c>
      <c r="M4592" s="22"/>
      <c r="N4592" s="12"/>
      <c r="O4592" s="12"/>
      <c r="P4592" s="13">
        <f>IFERROR(__xludf.DUMMYFUNCTION("VALUE(SUBSTITUTE((INDEX(SPLIT(A4592,"",""),1)),""."","","",1))"),53.088351)</f>
        <v>53.088351</v>
      </c>
      <c r="Q4592" s="13">
        <f>IFERROR(__xludf.DUMMYFUNCTION("VALUE(SUBSTITUTE((INDEX(SPLIT(A4592,"",""),2)),""."","","",1))"),91.416049)</f>
        <v>91.416049</v>
      </c>
      <c r="R4592" s="14" t="b">
        <f t="shared" si="1"/>
        <v>0</v>
      </c>
      <c r="S4592" s="14" t="str">
        <f t="shared" si="2"/>
        <v>53.088351,91.416049</v>
      </c>
      <c r="T4592" s="12"/>
    </row>
    <row r="4593">
      <c r="A4593" s="7" t="s">
        <v>29589</v>
      </c>
      <c r="B4593" s="8" t="s">
        <v>29590</v>
      </c>
      <c r="C4593" s="8" t="s">
        <v>29591</v>
      </c>
      <c r="D4593" s="8" t="s">
        <v>16</v>
      </c>
      <c r="E4593" s="9" t="s">
        <v>29592</v>
      </c>
      <c r="F4593" s="10" t="s">
        <v>22263</v>
      </c>
      <c r="G4593" s="8">
        <v>23.61</v>
      </c>
      <c r="H4593" s="8"/>
      <c r="I4593" s="10"/>
      <c r="J4593" s="10" t="s">
        <v>29593</v>
      </c>
      <c r="K4593" s="10" t="s">
        <v>29594</v>
      </c>
      <c r="L4593" s="11" t="s">
        <v>29595</v>
      </c>
      <c r="M4593" s="11" t="s">
        <v>29596</v>
      </c>
      <c r="N4593" s="12"/>
      <c r="O4593" s="12"/>
      <c r="P4593" s="13">
        <f>IFERROR(__xludf.DUMMYFUNCTION("VALUE(SUBSTITUTE((INDEX(SPLIT(A4593,"",""),1)),""."","","",1))"),53.700261)</f>
        <v>53.700261</v>
      </c>
      <c r="Q4593" s="13">
        <f>IFERROR(__xludf.DUMMYFUNCTION("VALUE(SUBSTITUTE((INDEX(SPLIT(A4593,"",""),2)),""."","","",1))"),91.418627)</f>
        <v>91.418627</v>
      </c>
      <c r="R4593" s="14" t="b">
        <f t="shared" si="1"/>
        <v>0</v>
      </c>
      <c r="S4593" s="14" t="str">
        <f t="shared" si="2"/>
        <v>53.700261,91.418627</v>
      </c>
      <c r="T4593" s="12"/>
    </row>
    <row r="4594">
      <c r="A4594" s="15" t="s">
        <v>29589</v>
      </c>
      <c r="B4594" s="16" t="s">
        <v>29597</v>
      </c>
      <c r="C4594" s="16" t="s">
        <v>29598</v>
      </c>
      <c r="D4594" s="16" t="s">
        <v>16</v>
      </c>
      <c r="E4594" s="17" t="s">
        <v>29599</v>
      </c>
      <c r="F4594" s="16" t="s">
        <v>22263</v>
      </c>
      <c r="G4594" s="16">
        <v>23.61</v>
      </c>
      <c r="H4594" s="16"/>
      <c r="I4594" s="16"/>
      <c r="J4594" s="16" t="s">
        <v>29600</v>
      </c>
      <c r="K4594" s="16" t="s">
        <v>29601</v>
      </c>
      <c r="L4594" s="16"/>
      <c r="M4594" s="16"/>
      <c r="N4594" s="12"/>
      <c r="O4594" s="12"/>
      <c r="P4594" s="13">
        <f>IFERROR(__xludf.DUMMYFUNCTION("VALUE(SUBSTITUTE((INDEX(SPLIT(A4594,"",""),1)),""."","","",1))"),53.700261)</f>
        <v>53.700261</v>
      </c>
      <c r="Q4594" s="13">
        <f>IFERROR(__xludf.DUMMYFUNCTION("VALUE(SUBSTITUTE((INDEX(SPLIT(A4594,"",""),2)),""."","","",1))"),91.418627)</f>
        <v>91.418627</v>
      </c>
      <c r="R4594" s="14" t="b">
        <f t="shared" si="1"/>
        <v>0</v>
      </c>
      <c r="S4594" s="14" t="str">
        <f t="shared" si="2"/>
        <v>53.700261,91.418627</v>
      </c>
      <c r="T4594" s="12"/>
    </row>
    <row r="4595">
      <c r="A4595" s="7" t="s">
        <v>29602</v>
      </c>
      <c r="B4595" s="8" t="s">
        <v>29603</v>
      </c>
      <c r="C4595" s="8" t="s">
        <v>29604</v>
      </c>
      <c r="D4595" s="8" t="s">
        <v>16</v>
      </c>
      <c r="E4595" s="9" t="s">
        <v>29605</v>
      </c>
      <c r="F4595" s="10" t="s">
        <v>23544</v>
      </c>
      <c r="G4595" s="8">
        <v>23.61</v>
      </c>
      <c r="H4595" s="8"/>
      <c r="I4595" s="10"/>
      <c r="J4595" s="10" t="s">
        <v>29606</v>
      </c>
      <c r="K4595" s="10" t="s">
        <v>29607</v>
      </c>
      <c r="L4595" s="11" t="s">
        <v>29608</v>
      </c>
      <c r="M4595" s="10"/>
      <c r="N4595" s="12"/>
      <c r="O4595" s="12"/>
      <c r="P4595" s="13">
        <f>IFERROR(__xludf.DUMMYFUNCTION("VALUE(SUBSTITUTE((INDEX(SPLIT(A4595,"",""),1)),""."","","",1))"),53.745302)</f>
        <v>53.745302</v>
      </c>
      <c r="Q4595" s="13">
        <f>IFERROR(__xludf.DUMMYFUNCTION("VALUE(SUBSTITUTE((INDEX(SPLIT(A4595,"",""),2)),""."","","",1))"),91.42602)</f>
        <v>91.42602</v>
      </c>
      <c r="R4595" s="14" t="b">
        <f t="shared" si="1"/>
        <v>0</v>
      </c>
      <c r="S4595" s="14" t="str">
        <f t="shared" si="2"/>
        <v>53.745302,91.42602</v>
      </c>
      <c r="T4595" s="12"/>
    </row>
    <row r="4596">
      <c r="A4596" s="15" t="s">
        <v>29609</v>
      </c>
      <c r="B4596" s="16" t="s">
        <v>29610</v>
      </c>
      <c r="C4596" s="16" t="s">
        <v>29611</v>
      </c>
      <c r="D4596" s="16" t="s">
        <v>16</v>
      </c>
      <c r="E4596" s="17" t="s">
        <v>29612</v>
      </c>
      <c r="F4596" s="16" t="s">
        <v>22263</v>
      </c>
      <c r="G4596" s="16">
        <v>23.61</v>
      </c>
      <c r="H4596" s="16"/>
      <c r="I4596" s="16"/>
      <c r="J4596" s="16" t="s">
        <v>29613</v>
      </c>
      <c r="K4596" s="16" t="s">
        <v>29614</v>
      </c>
      <c r="L4596" s="16"/>
      <c r="M4596" s="16"/>
      <c r="N4596" s="12"/>
      <c r="O4596" s="12"/>
      <c r="P4596" s="13">
        <f>IFERROR(__xludf.DUMMYFUNCTION("VALUE(SUBSTITUTE((INDEX(SPLIT(A4596,"",""),1)),""."","","",1))"),53.710404)</f>
        <v>53.710404</v>
      </c>
      <c r="Q4596" s="13">
        <f>IFERROR(__xludf.DUMMYFUNCTION("VALUE(SUBSTITUTE((INDEX(SPLIT(A4596,"",""),2)),""."","","",1))"),91.428679)</f>
        <v>91.428679</v>
      </c>
      <c r="R4596" s="14" t="b">
        <f t="shared" si="1"/>
        <v>0</v>
      </c>
      <c r="S4596" s="14" t="str">
        <f t="shared" si="2"/>
        <v>53.710404,91.428679</v>
      </c>
      <c r="T4596" s="12"/>
    </row>
    <row r="4597">
      <c r="A4597" s="7" t="s">
        <v>29615</v>
      </c>
      <c r="B4597" s="8" t="s">
        <v>29616</v>
      </c>
      <c r="C4597" s="8" t="s">
        <v>29617</v>
      </c>
      <c r="D4597" s="8" t="s">
        <v>16</v>
      </c>
      <c r="E4597" s="9" t="s">
        <v>29618</v>
      </c>
      <c r="F4597" s="10" t="s">
        <v>22263</v>
      </c>
      <c r="G4597" s="8">
        <v>23.61</v>
      </c>
      <c r="H4597" s="8"/>
      <c r="I4597" s="10"/>
      <c r="J4597" s="10" t="s">
        <v>29619</v>
      </c>
      <c r="K4597" s="10" t="s">
        <v>29620</v>
      </c>
      <c r="L4597" s="11" t="s">
        <v>29621</v>
      </c>
      <c r="M4597" s="11" t="s">
        <v>29622</v>
      </c>
      <c r="N4597" s="12"/>
      <c r="O4597" s="12"/>
      <c r="P4597" s="13">
        <f>IFERROR(__xludf.DUMMYFUNCTION("VALUE(SUBSTITUTE((INDEX(SPLIT(A4597,"",""),1)),""."","","",1))"),53.704146)</f>
        <v>53.704146</v>
      </c>
      <c r="Q4597" s="13">
        <f>IFERROR(__xludf.DUMMYFUNCTION("VALUE(SUBSTITUTE((INDEX(SPLIT(A4597,"",""),2)),""."","","",1))"),91.435066)</f>
        <v>91.435066</v>
      </c>
      <c r="R4597" s="14" t="b">
        <f t="shared" si="1"/>
        <v>0</v>
      </c>
      <c r="S4597" s="14" t="str">
        <f t="shared" si="2"/>
        <v>53.704146,91.435066</v>
      </c>
      <c r="T4597" s="12"/>
    </row>
    <row r="4598">
      <c r="A4598" s="20" t="s">
        <v>29623</v>
      </c>
      <c r="B4598" s="16" t="s">
        <v>29624</v>
      </c>
      <c r="C4598" s="16" t="s">
        <v>29625</v>
      </c>
      <c r="D4598" s="16" t="s">
        <v>16</v>
      </c>
      <c r="E4598" s="21" t="s">
        <v>29626</v>
      </c>
      <c r="F4598" s="22" t="s">
        <v>23544</v>
      </c>
      <c r="G4598" s="16">
        <v>23.61</v>
      </c>
      <c r="H4598" s="16"/>
      <c r="I4598" s="22"/>
      <c r="J4598" s="22" t="s">
        <v>29627</v>
      </c>
      <c r="K4598" s="22" t="s">
        <v>29628</v>
      </c>
      <c r="L4598" s="23" t="s">
        <v>29629</v>
      </c>
      <c r="M4598" s="22"/>
      <c r="N4598" s="12"/>
      <c r="O4598" s="12"/>
      <c r="P4598" s="13">
        <f>IFERROR(__xludf.DUMMYFUNCTION("VALUE(SUBSTITUTE((INDEX(SPLIT(A4598,"",""),1)),""."","","",1))"),53.721152)</f>
        <v>53.721152</v>
      </c>
      <c r="Q4598" s="13">
        <f>IFERROR(__xludf.DUMMYFUNCTION("VALUE(SUBSTITUTE((INDEX(SPLIT(A4598,"",""),2)),""."","","",1))"),91.442396)</f>
        <v>91.442396</v>
      </c>
      <c r="R4598" s="14" t="b">
        <f t="shared" si="1"/>
        <v>0</v>
      </c>
      <c r="S4598" s="14" t="str">
        <f t="shared" si="2"/>
        <v>53.721152,91.442396</v>
      </c>
      <c r="T4598" s="12"/>
    </row>
    <row r="4599">
      <c r="A4599" s="18" t="s">
        <v>29623</v>
      </c>
      <c r="B4599" s="8" t="s">
        <v>29630</v>
      </c>
      <c r="C4599" s="8" t="s">
        <v>29631</v>
      </c>
      <c r="D4599" s="8" t="s">
        <v>16</v>
      </c>
      <c r="E4599" s="19" t="s">
        <v>29632</v>
      </c>
      <c r="F4599" s="8" t="s">
        <v>23544</v>
      </c>
      <c r="G4599" s="8">
        <v>23.61</v>
      </c>
      <c r="H4599" s="8"/>
      <c r="I4599" s="8"/>
      <c r="J4599" s="8" t="s">
        <v>29633</v>
      </c>
      <c r="K4599" s="8" t="s">
        <v>29634</v>
      </c>
      <c r="L4599" s="8"/>
      <c r="M4599" s="8"/>
      <c r="N4599" s="12"/>
      <c r="O4599" s="12"/>
      <c r="P4599" s="13">
        <f>IFERROR(__xludf.DUMMYFUNCTION("VALUE(SUBSTITUTE((INDEX(SPLIT(A4599,"",""),1)),""."","","",1))"),53.721152)</f>
        <v>53.721152</v>
      </c>
      <c r="Q4599" s="13">
        <f>IFERROR(__xludf.DUMMYFUNCTION("VALUE(SUBSTITUTE((INDEX(SPLIT(A4599,"",""),2)),""."","","",1))"),91.442396)</f>
        <v>91.442396</v>
      </c>
      <c r="R4599" s="14" t="b">
        <f t="shared" si="1"/>
        <v>0</v>
      </c>
      <c r="S4599" s="14" t="str">
        <f t="shared" si="2"/>
        <v>53.721152,91.442396</v>
      </c>
      <c r="T4599" s="12"/>
    </row>
    <row r="4600">
      <c r="A4600" s="20" t="s">
        <v>29635</v>
      </c>
      <c r="B4600" s="16" t="s">
        <v>29636</v>
      </c>
      <c r="C4600" s="16" t="s">
        <v>29637</v>
      </c>
      <c r="D4600" s="16" t="s">
        <v>16</v>
      </c>
      <c r="E4600" s="21" t="s">
        <v>29638</v>
      </c>
      <c r="F4600" s="22" t="s">
        <v>23544</v>
      </c>
      <c r="G4600" s="16">
        <v>23.61</v>
      </c>
      <c r="H4600" s="16"/>
      <c r="I4600" s="22"/>
      <c r="J4600" s="22" t="s">
        <v>29639</v>
      </c>
      <c r="K4600" s="22" t="s">
        <v>29640</v>
      </c>
      <c r="L4600" s="23" t="s">
        <v>29641</v>
      </c>
      <c r="M4600" s="22"/>
      <c r="N4600" s="12"/>
      <c r="O4600" s="12"/>
      <c r="P4600" s="13">
        <f>IFERROR(__xludf.DUMMYFUNCTION("VALUE(SUBSTITUTE((INDEX(SPLIT(A4600,"",""),1)),""."","","",1))"),53.710894)</f>
        <v>53.710894</v>
      </c>
      <c r="Q4600" s="13">
        <f>IFERROR(__xludf.DUMMYFUNCTION("VALUE(SUBSTITUTE((INDEX(SPLIT(A4600,"",""),2)),""."","","",1))"),91.464055)</f>
        <v>91.464055</v>
      </c>
      <c r="R4600" s="14" t="b">
        <f t="shared" si="1"/>
        <v>0</v>
      </c>
      <c r="S4600" s="14" t="str">
        <f t="shared" si="2"/>
        <v>53.710894,91.464055</v>
      </c>
      <c r="T4600" s="12"/>
    </row>
    <row r="4601">
      <c r="A4601" s="7" t="s">
        <v>29642</v>
      </c>
      <c r="B4601" s="8" t="s">
        <v>29643</v>
      </c>
      <c r="C4601" s="8" t="s">
        <v>29644</v>
      </c>
      <c r="D4601" s="8" t="s">
        <v>16</v>
      </c>
      <c r="E4601" s="9" t="s">
        <v>29645</v>
      </c>
      <c r="F4601" s="10" t="s">
        <v>23544</v>
      </c>
      <c r="G4601" s="8">
        <v>23.61</v>
      </c>
      <c r="H4601" s="8"/>
      <c r="I4601" s="10"/>
      <c r="J4601" s="10" t="s">
        <v>29646</v>
      </c>
      <c r="K4601" s="10" t="s">
        <v>29647</v>
      </c>
      <c r="L4601" s="11" t="s">
        <v>29648</v>
      </c>
      <c r="M4601" s="10"/>
      <c r="N4601" s="12"/>
      <c r="O4601" s="12"/>
      <c r="P4601" s="13">
        <f>IFERROR(__xludf.DUMMYFUNCTION("VALUE(SUBSTITUTE((INDEX(SPLIT(A4601,"",""),1)),""."","","",1))"),53.693533)</f>
        <v>53.693533</v>
      </c>
      <c r="Q4601" s="13">
        <f>IFERROR(__xludf.DUMMYFUNCTION("VALUE(SUBSTITUTE((INDEX(SPLIT(A4601,"",""),2)),""."","","",1))"),91.514019)</f>
        <v>91.514019</v>
      </c>
      <c r="R4601" s="14" t="b">
        <f t="shared" si="1"/>
        <v>0</v>
      </c>
      <c r="S4601" s="14" t="str">
        <f t="shared" si="2"/>
        <v>53.693533,91.514019</v>
      </c>
      <c r="T4601" s="12"/>
    </row>
    <row r="4602">
      <c r="A4602" s="15" t="s">
        <v>29649</v>
      </c>
      <c r="B4602" s="16" t="s">
        <v>29650</v>
      </c>
      <c r="C4602" s="16" t="s">
        <v>29651</v>
      </c>
      <c r="D4602" s="16" t="s">
        <v>16</v>
      </c>
      <c r="E4602" s="17" t="s">
        <v>29652</v>
      </c>
      <c r="F4602" s="16" t="s">
        <v>23108</v>
      </c>
      <c r="G4602" s="16">
        <v>23.61</v>
      </c>
      <c r="H4602" s="16"/>
      <c r="I4602" s="16"/>
      <c r="J4602" s="16" t="s">
        <v>29653</v>
      </c>
      <c r="K4602" s="16" t="s">
        <v>29654</v>
      </c>
      <c r="L4602" s="16"/>
      <c r="M4602" s="25" t="s">
        <v>29655</v>
      </c>
      <c r="N4602" s="12"/>
      <c r="O4602" s="12"/>
      <c r="P4602" s="13">
        <f>IFERROR(__xludf.DUMMYFUNCTION("VALUE(SUBSTITUTE((INDEX(SPLIT(A4602,"",""),1)),""."","","",1))"),53.71019)</f>
        <v>53.71019</v>
      </c>
      <c r="Q4602" s="13">
        <f>IFERROR(__xludf.DUMMYFUNCTION("VALUE(SUBSTITUTE((INDEX(SPLIT(A4602,"",""),2)),""."","","",1))"),91.516157)</f>
        <v>91.516157</v>
      </c>
      <c r="R4602" s="14" t="b">
        <f t="shared" si="1"/>
        <v>0</v>
      </c>
      <c r="S4602" s="14" t="str">
        <f t="shared" si="2"/>
        <v>53.71019,91.516157</v>
      </c>
      <c r="T4602" s="12"/>
    </row>
    <row r="4603">
      <c r="A4603" s="18" t="s">
        <v>29649</v>
      </c>
      <c r="B4603" s="8" t="s">
        <v>29656</v>
      </c>
      <c r="C4603" s="8" t="s">
        <v>29657</v>
      </c>
      <c r="D4603" s="8" t="s">
        <v>16</v>
      </c>
      <c r="E4603" s="19" t="s">
        <v>29658</v>
      </c>
      <c r="F4603" s="8" t="s">
        <v>22263</v>
      </c>
      <c r="G4603" s="8">
        <v>23.61</v>
      </c>
      <c r="H4603" s="8"/>
      <c r="I4603" s="8"/>
      <c r="J4603" s="8" t="s">
        <v>29659</v>
      </c>
      <c r="K4603" s="8" t="s">
        <v>29660</v>
      </c>
      <c r="L4603" s="8"/>
      <c r="M4603" s="24" t="s">
        <v>29661</v>
      </c>
      <c r="N4603" s="12"/>
      <c r="O4603" s="12"/>
      <c r="P4603" s="13">
        <f>IFERROR(__xludf.DUMMYFUNCTION("VALUE(SUBSTITUTE((INDEX(SPLIT(A4603,"",""),1)),""."","","",1))"),53.71019)</f>
        <v>53.71019</v>
      </c>
      <c r="Q4603" s="13">
        <f>IFERROR(__xludf.DUMMYFUNCTION("VALUE(SUBSTITUTE((INDEX(SPLIT(A4603,"",""),2)),""."","","",1))"),91.516157)</f>
        <v>91.516157</v>
      </c>
      <c r="R4603" s="14" t="b">
        <f t="shared" si="1"/>
        <v>0</v>
      </c>
      <c r="S4603" s="14" t="str">
        <f t="shared" si="2"/>
        <v>53.71019,91.516157</v>
      </c>
      <c r="T4603" s="12"/>
    </row>
    <row r="4604">
      <c r="A4604" s="20" t="s">
        <v>29649</v>
      </c>
      <c r="B4604" s="16" t="s">
        <v>29662</v>
      </c>
      <c r="C4604" s="16" t="s">
        <v>29663</v>
      </c>
      <c r="D4604" s="16" t="s">
        <v>16</v>
      </c>
      <c r="E4604" s="21" t="s">
        <v>29664</v>
      </c>
      <c r="F4604" s="22" t="s">
        <v>22263</v>
      </c>
      <c r="G4604" s="16">
        <v>23.61</v>
      </c>
      <c r="H4604" s="16"/>
      <c r="I4604" s="22"/>
      <c r="J4604" s="22" t="s">
        <v>29665</v>
      </c>
      <c r="K4604" s="22" t="s">
        <v>29666</v>
      </c>
      <c r="L4604" s="23" t="s">
        <v>29667</v>
      </c>
      <c r="M4604" s="23" t="s">
        <v>29668</v>
      </c>
      <c r="N4604" s="12"/>
      <c r="O4604" s="12"/>
      <c r="P4604" s="13">
        <f>IFERROR(__xludf.DUMMYFUNCTION("VALUE(SUBSTITUTE((INDEX(SPLIT(A4604,"",""),1)),""."","","",1))"),53.71019)</f>
        <v>53.71019</v>
      </c>
      <c r="Q4604" s="13">
        <f>IFERROR(__xludf.DUMMYFUNCTION("VALUE(SUBSTITUTE((INDEX(SPLIT(A4604,"",""),2)),""."","","",1))"),91.516157)</f>
        <v>91.516157</v>
      </c>
      <c r="R4604" s="14" t="b">
        <f t="shared" si="1"/>
        <v>0</v>
      </c>
      <c r="S4604" s="14" t="str">
        <f t="shared" si="2"/>
        <v>53.71019,91.516157</v>
      </c>
      <c r="T4604" s="12"/>
    </row>
    <row r="4605">
      <c r="A4605" s="18" t="s">
        <v>29669</v>
      </c>
      <c r="B4605" s="8" t="s">
        <v>29670</v>
      </c>
      <c r="C4605" s="8" t="s">
        <v>29671</v>
      </c>
      <c r="D4605" s="8" t="s">
        <v>16</v>
      </c>
      <c r="E4605" s="19" t="s">
        <v>29672</v>
      </c>
      <c r="F4605" s="8" t="s">
        <v>22263</v>
      </c>
      <c r="G4605" s="8">
        <v>23.61</v>
      </c>
      <c r="H4605" s="8"/>
      <c r="I4605" s="8"/>
      <c r="J4605" s="8" t="s">
        <v>29673</v>
      </c>
      <c r="K4605" s="8" t="s">
        <v>29674</v>
      </c>
      <c r="L4605" s="8"/>
      <c r="M4605" s="24" t="s">
        <v>29675</v>
      </c>
      <c r="N4605" s="12"/>
      <c r="O4605" s="12"/>
      <c r="P4605" s="13">
        <f>IFERROR(__xludf.DUMMYFUNCTION("VALUE(SUBSTITUTE((INDEX(SPLIT(A4605,"",""),1)),""."","","",1))"),54.312059)</f>
        <v>54.312059</v>
      </c>
      <c r="Q4605" s="13">
        <f>IFERROR(__xludf.DUMMYFUNCTION("VALUE(SUBSTITUTE((INDEX(SPLIT(A4605,"",""),2)),""."","","",1))"),91.580548)</f>
        <v>91.580548</v>
      </c>
      <c r="R4605" s="14" t="b">
        <f t="shared" si="1"/>
        <v>0</v>
      </c>
      <c r="S4605" s="14" t="str">
        <f t="shared" si="2"/>
        <v>54.312059,91.580548</v>
      </c>
      <c r="T4605" s="12"/>
    </row>
    <row r="4606">
      <c r="A4606" s="20" t="s">
        <v>29676</v>
      </c>
      <c r="B4606" s="16" t="s">
        <v>29677</v>
      </c>
      <c r="C4606" s="16" t="s">
        <v>29678</v>
      </c>
      <c r="D4606" s="16" t="s">
        <v>16</v>
      </c>
      <c r="E4606" s="21" t="s">
        <v>29679</v>
      </c>
      <c r="F4606" s="22" t="s">
        <v>22263</v>
      </c>
      <c r="G4606" s="16">
        <v>23.61</v>
      </c>
      <c r="H4606" s="16"/>
      <c r="I4606" s="22"/>
      <c r="J4606" s="22" t="s">
        <v>29680</v>
      </c>
      <c r="K4606" s="22" t="s">
        <v>29681</v>
      </c>
      <c r="L4606" s="30" t="s">
        <v>29682</v>
      </c>
      <c r="M4606" s="22"/>
      <c r="N4606" s="12"/>
      <c r="O4606" s="12"/>
      <c r="P4606" s="13">
        <f>IFERROR(__xludf.DUMMYFUNCTION("VALUE(SUBSTITUTE((INDEX(SPLIT(A4606,"",""),1)),""."","","",1))"),53.689571)</f>
        <v>53.689571</v>
      </c>
      <c r="Q4606" s="13">
        <f>IFERROR(__xludf.DUMMYFUNCTION("VALUE(SUBSTITUTE((INDEX(SPLIT(A4606,"",""),2)),""."","","",1))"),91.657471)</f>
        <v>91.657471</v>
      </c>
      <c r="R4606" s="14" t="b">
        <f t="shared" si="1"/>
        <v>0</v>
      </c>
      <c r="S4606" s="14" t="str">
        <f t="shared" si="2"/>
        <v>53.689571,91.657471</v>
      </c>
      <c r="T4606" s="12"/>
    </row>
    <row r="4607">
      <c r="A4607" s="7" t="s">
        <v>29683</v>
      </c>
      <c r="B4607" s="8" t="s">
        <v>29684</v>
      </c>
      <c r="C4607" s="8" t="s">
        <v>29685</v>
      </c>
      <c r="D4607" s="8" t="s">
        <v>16</v>
      </c>
      <c r="E4607" s="9" t="s">
        <v>29686</v>
      </c>
      <c r="F4607" s="10" t="s">
        <v>22263</v>
      </c>
      <c r="G4607" s="8">
        <v>23.61</v>
      </c>
      <c r="H4607" s="8"/>
      <c r="I4607" s="10"/>
      <c r="J4607" s="10" t="s">
        <v>29687</v>
      </c>
      <c r="K4607" s="10" t="s">
        <v>29688</v>
      </c>
      <c r="L4607" s="11" t="s">
        <v>29689</v>
      </c>
      <c r="M4607" s="10"/>
      <c r="N4607" s="12"/>
      <c r="O4607" s="12"/>
      <c r="P4607" s="13">
        <f>IFERROR(__xludf.DUMMYFUNCTION("VALUE(SUBSTITUTE((INDEX(SPLIT(A4607,"",""),1)),""."","","",1))"),53.72129)</f>
        <v>53.72129</v>
      </c>
      <c r="Q4607" s="13">
        <f>IFERROR(__xludf.DUMMYFUNCTION("VALUE(SUBSTITUTE((INDEX(SPLIT(A4607,"",""),2)),""."","","",1))"),91.677899)</f>
        <v>91.677899</v>
      </c>
      <c r="R4607" s="14" t="b">
        <f t="shared" si="1"/>
        <v>0</v>
      </c>
      <c r="S4607" s="14" t="str">
        <f t="shared" si="2"/>
        <v>53.72129,91.677899</v>
      </c>
      <c r="T4607" s="12"/>
    </row>
    <row r="4608">
      <c r="A4608" s="15" t="s">
        <v>29690</v>
      </c>
      <c r="B4608" s="16" t="s">
        <v>29691</v>
      </c>
      <c r="C4608" s="16" t="s">
        <v>29692</v>
      </c>
      <c r="D4608" s="16" t="s">
        <v>16</v>
      </c>
      <c r="E4608" s="17" t="s">
        <v>29693</v>
      </c>
      <c r="F4608" s="16" t="s">
        <v>22263</v>
      </c>
      <c r="G4608" s="16">
        <v>23.61</v>
      </c>
      <c r="H4608" s="16"/>
      <c r="I4608" s="16"/>
      <c r="J4608" s="16" t="s">
        <v>29694</v>
      </c>
      <c r="K4608" s="16" t="s">
        <v>29695</v>
      </c>
      <c r="L4608" s="16"/>
      <c r="M4608" s="16"/>
      <c r="N4608" s="12"/>
      <c r="O4608" s="12"/>
      <c r="P4608" s="13">
        <f>IFERROR(__xludf.DUMMYFUNCTION("VALUE(SUBSTITUTE((INDEX(SPLIT(A4608,"",""),1)),""."","","",1))"),53.700511)</f>
        <v>53.700511</v>
      </c>
      <c r="Q4608" s="13">
        <f>IFERROR(__xludf.DUMMYFUNCTION("VALUE(SUBSTITUTE((INDEX(SPLIT(A4608,"",""),2)),""."","","",1))"),91.745191)</f>
        <v>91.745191</v>
      </c>
      <c r="R4608" s="14" t="b">
        <f t="shared" si="1"/>
        <v>0</v>
      </c>
      <c r="S4608" s="14" t="str">
        <f t="shared" si="2"/>
        <v>53.700511,91.745191</v>
      </c>
      <c r="T4608" s="12"/>
    </row>
    <row r="4609">
      <c r="A4609" s="18" t="s">
        <v>29696</v>
      </c>
      <c r="B4609" s="8" t="s">
        <v>29697</v>
      </c>
      <c r="C4609" s="8" t="s">
        <v>29698</v>
      </c>
      <c r="D4609" s="8" t="s">
        <v>16</v>
      </c>
      <c r="E4609" s="19" t="s">
        <v>29699</v>
      </c>
      <c r="F4609" s="8" t="s">
        <v>22263</v>
      </c>
      <c r="G4609" s="8">
        <v>23.61</v>
      </c>
      <c r="H4609" s="8"/>
      <c r="I4609" s="8"/>
      <c r="J4609" s="8" t="s">
        <v>29700</v>
      </c>
      <c r="K4609" s="8" t="s">
        <v>29701</v>
      </c>
      <c r="L4609" s="8"/>
      <c r="M4609" s="24" t="s">
        <v>29702</v>
      </c>
      <c r="N4609" s="12"/>
      <c r="O4609" s="12"/>
      <c r="P4609" s="13">
        <f>IFERROR(__xludf.DUMMYFUNCTION("VALUE(SUBSTITUTE((INDEX(SPLIT(A4609,"",""),1)),""."","","",1))"),53.275763)</f>
        <v>53.275763</v>
      </c>
      <c r="Q4609" s="13">
        <f>IFERROR(__xludf.DUMMYFUNCTION("VALUE(SUBSTITUTE((INDEX(SPLIT(A4609,"",""),2)),""."","","",1))"),92.342472)</f>
        <v>92.342472</v>
      </c>
      <c r="R4609" s="14" t="b">
        <f t="shared" si="1"/>
        <v>0</v>
      </c>
      <c r="S4609" s="14" t="str">
        <f t="shared" si="2"/>
        <v>53.275763,92.342472</v>
      </c>
      <c r="T4609" s="12"/>
    </row>
    <row r="4610">
      <c r="A4610" s="15" t="s">
        <v>29703</v>
      </c>
      <c r="B4610" s="16" t="s">
        <v>29704</v>
      </c>
      <c r="C4610" s="16" t="s">
        <v>29705</v>
      </c>
      <c r="D4610" s="16" t="s">
        <v>16</v>
      </c>
      <c r="E4610" s="17" t="s">
        <v>29706</v>
      </c>
      <c r="F4610" s="16" t="s">
        <v>22263</v>
      </c>
      <c r="G4610" s="16">
        <v>23.61</v>
      </c>
      <c r="H4610" s="16"/>
      <c r="I4610" s="16"/>
      <c r="J4610" s="16" t="s">
        <v>29707</v>
      </c>
      <c r="K4610" s="16" t="s">
        <v>29708</v>
      </c>
      <c r="L4610" s="16"/>
      <c r="M4610" s="25" t="s">
        <v>29709</v>
      </c>
      <c r="N4610" s="12"/>
      <c r="O4610" s="12"/>
      <c r="P4610" s="13">
        <f>IFERROR(__xludf.DUMMYFUNCTION("VALUE(SUBSTITUTE((INDEX(SPLIT(A4610,"",""),1)),""."","","",1))"),55.962201)</f>
        <v>55.962201</v>
      </c>
      <c r="Q4610" s="13">
        <f>IFERROR(__xludf.DUMMYFUNCTION("VALUE(SUBSTITUTE((INDEX(SPLIT(A4610,"",""),2)),""."","","",1))"),92.411679)</f>
        <v>92.411679</v>
      </c>
      <c r="R4610" s="14" t="b">
        <f t="shared" si="1"/>
        <v>0</v>
      </c>
      <c r="S4610" s="14" t="str">
        <f t="shared" si="2"/>
        <v>55.962201,92.411679</v>
      </c>
      <c r="T4610" s="12"/>
    </row>
    <row r="4611">
      <c r="A4611" s="18" t="s">
        <v>29710</v>
      </c>
      <c r="B4611" s="8" t="s">
        <v>29711</v>
      </c>
      <c r="C4611" s="8" t="s">
        <v>29712</v>
      </c>
      <c r="D4611" s="8" t="s">
        <v>16</v>
      </c>
      <c r="E4611" s="19" t="s">
        <v>29713</v>
      </c>
      <c r="F4611" s="8" t="s">
        <v>22263</v>
      </c>
      <c r="G4611" s="8">
        <v>23.61</v>
      </c>
      <c r="H4611" s="8"/>
      <c r="I4611" s="8"/>
      <c r="J4611" s="8" t="s">
        <v>29714</v>
      </c>
      <c r="K4611" s="8" t="s">
        <v>29715</v>
      </c>
      <c r="L4611" s="8"/>
      <c r="M4611" s="24" t="s">
        <v>29716</v>
      </c>
      <c r="N4611" s="12"/>
      <c r="O4611" s="12"/>
      <c r="P4611" s="13">
        <f>IFERROR(__xludf.DUMMYFUNCTION("VALUE(SUBSTITUTE((INDEX(SPLIT(A4611,"",""),1)),""."","","",1))"),56.078277)</f>
        <v>56.078277</v>
      </c>
      <c r="Q4611" s="13">
        <f>IFERROR(__xludf.DUMMYFUNCTION("VALUE(SUBSTITUTE((INDEX(SPLIT(A4611,"",""),2)),""."","","",1))"),92.592734)</f>
        <v>92.592734</v>
      </c>
      <c r="R4611" s="14" t="b">
        <f t="shared" si="1"/>
        <v>0</v>
      </c>
      <c r="S4611" s="14" t="str">
        <f t="shared" si="2"/>
        <v>56.078277,92.592734</v>
      </c>
      <c r="T4611" s="12"/>
    </row>
    <row r="4612">
      <c r="A4612" s="20" t="s">
        <v>29717</v>
      </c>
      <c r="B4612" s="16" t="s">
        <v>29718</v>
      </c>
      <c r="C4612" s="16" t="s">
        <v>29719</v>
      </c>
      <c r="D4612" s="16" t="s">
        <v>16</v>
      </c>
      <c r="E4612" s="21" t="s">
        <v>29720</v>
      </c>
      <c r="F4612" s="22" t="s">
        <v>22263</v>
      </c>
      <c r="G4612" s="16">
        <v>23.61</v>
      </c>
      <c r="H4612" s="16"/>
      <c r="I4612" s="22"/>
      <c r="J4612" s="22" t="s">
        <v>29721</v>
      </c>
      <c r="K4612" s="22" t="s">
        <v>29722</v>
      </c>
      <c r="L4612" s="23" t="s">
        <v>29723</v>
      </c>
      <c r="M4612" s="22"/>
      <c r="N4612" s="12"/>
      <c r="O4612" s="12"/>
      <c r="P4612" s="13">
        <f>IFERROR(__xludf.DUMMYFUNCTION("VALUE(SUBSTITUTE((INDEX(SPLIT(A4612,"",""),1)),""."","","",1))"),56.177671)</f>
        <v>56.177671</v>
      </c>
      <c r="Q4612" s="13">
        <f>IFERROR(__xludf.DUMMYFUNCTION("VALUE(SUBSTITUTE((INDEX(SPLIT(A4612,"",""),2)),""."","","",1))"),92.628056)</f>
        <v>92.628056</v>
      </c>
      <c r="R4612" s="14" t="b">
        <f t="shared" si="1"/>
        <v>0</v>
      </c>
      <c r="S4612" s="14" t="str">
        <f t="shared" si="2"/>
        <v>56.177671,92.628056</v>
      </c>
      <c r="T4612" s="12"/>
    </row>
    <row r="4613">
      <c r="A4613" s="7" t="s">
        <v>29724</v>
      </c>
      <c r="B4613" s="8" t="s">
        <v>1840</v>
      </c>
      <c r="C4613" s="8" t="s">
        <v>1841</v>
      </c>
      <c r="D4613" s="8" t="s">
        <v>16</v>
      </c>
      <c r="E4613" s="9" t="s">
        <v>29725</v>
      </c>
      <c r="F4613" s="10" t="s">
        <v>22263</v>
      </c>
      <c r="G4613" s="8">
        <v>23.61</v>
      </c>
      <c r="H4613" s="8"/>
      <c r="I4613" s="10"/>
      <c r="J4613" s="10" t="s">
        <v>29726</v>
      </c>
      <c r="K4613" s="10" t="s">
        <v>29727</v>
      </c>
      <c r="L4613" s="29" t="s">
        <v>29728</v>
      </c>
      <c r="M4613" s="10"/>
      <c r="N4613" s="12"/>
      <c r="O4613" s="12"/>
      <c r="P4613" s="13">
        <f>IFERROR(__xludf.DUMMYFUNCTION("VALUE(SUBSTITUTE((INDEX(SPLIT(A4613,"",""),1)),""."","","",1))"),56.168651)</f>
        <v>56.168651</v>
      </c>
      <c r="Q4613" s="13">
        <f>IFERROR(__xludf.DUMMYFUNCTION("VALUE(SUBSTITUTE((INDEX(SPLIT(A4613,"",""),2)),""."","","",1))"),92.686617)</f>
        <v>92.686617</v>
      </c>
      <c r="R4613" s="14" t="b">
        <f t="shared" si="1"/>
        <v>0</v>
      </c>
      <c r="S4613" s="14" t="str">
        <f t="shared" si="2"/>
        <v>56.168651,92.686617</v>
      </c>
      <c r="T4613" s="12"/>
    </row>
    <row r="4614">
      <c r="A4614" s="20" t="s">
        <v>29729</v>
      </c>
      <c r="B4614" s="16" t="s">
        <v>29730</v>
      </c>
      <c r="C4614" s="16" t="s">
        <v>29731</v>
      </c>
      <c r="D4614" s="16" t="s">
        <v>16</v>
      </c>
      <c r="E4614" s="21" t="s">
        <v>29732</v>
      </c>
      <c r="F4614" s="22" t="s">
        <v>22263</v>
      </c>
      <c r="G4614" s="16">
        <v>23.61</v>
      </c>
      <c r="H4614" s="16"/>
      <c r="I4614" s="22"/>
      <c r="J4614" s="22" t="s">
        <v>29733</v>
      </c>
      <c r="K4614" s="22" t="s">
        <v>29734</v>
      </c>
      <c r="L4614" s="23" t="s">
        <v>29735</v>
      </c>
      <c r="M4614" s="22"/>
      <c r="N4614" s="12"/>
      <c r="O4614" s="12"/>
      <c r="P4614" s="13">
        <f>IFERROR(__xludf.DUMMYFUNCTION("VALUE(SUBSTITUTE((INDEX(SPLIT(A4614,"",""),1)),""."","","",1))"),56.075478)</f>
        <v>56.075478</v>
      </c>
      <c r="Q4614" s="13">
        <f>IFERROR(__xludf.DUMMYFUNCTION("VALUE(SUBSTITUTE((INDEX(SPLIT(A4614,"",""),2)),""."","","",1))"),92.708473)</f>
        <v>92.708473</v>
      </c>
      <c r="R4614" s="14" t="b">
        <f t="shared" si="1"/>
        <v>0</v>
      </c>
      <c r="S4614" s="14" t="str">
        <f t="shared" si="2"/>
        <v>56.075478,92.708473</v>
      </c>
      <c r="T4614" s="12"/>
    </row>
    <row r="4615">
      <c r="A4615" s="7" t="s">
        <v>29736</v>
      </c>
      <c r="B4615" s="8" t="s">
        <v>29737</v>
      </c>
      <c r="C4615" s="8" t="s">
        <v>29738</v>
      </c>
      <c r="D4615" s="8" t="s">
        <v>16</v>
      </c>
      <c r="E4615" s="9" t="s">
        <v>29739</v>
      </c>
      <c r="F4615" s="10" t="s">
        <v>22263</v>
      </c>
      <c r="G4615" s="8">
        <v>23.61</v>
      </c>
      <c r="H4615" s="8"/>
      <c r="I4615" s="31" t="s">
        <v>29740</v>
      </c>
      <c r="J4615" s="10" t="s">
        <v>29741</v>
      </c>
      <c r="K4615" s="10" t="s">
        <v>29742</v>
      </c>
      <c r="L4615" s="11" t="s">
        <v>29743</v>
      </c>
      <c r="M4615" s="10"/>
      <c r="N4615" s="12"/>
      <c r="O4615" s="12"/>
      <c r="P4615" s="13">
        <f>IFERROR(__xludf.DUMMYFUNCTION("VALUE(SUBSTITUTE((INDEX(SPLIT(A4615,"",""),1)),""."","","",1))"),56.040299)</f>
        <v>56.040299</v>
      </c>
      <c r="Q4615" s="13">
        <f>IFERROR(__xludf.DUMMYFUNCTION("VALUE(SUBSTITUTE((INDEX(SPLIT(A4615,"",""),2)),""."","","",1))"),92.743292)</f>
        <v>92.743292</v>
      </c>
      <c r="R4615" s="14" t="b">
        <f t="shared" si="1"/>
        <v>0</v>
      </c>
      <c r="S4615" s="14" t="str">
        <f t="shared" si="2"/>
        <v>56.040299,92.743292</v>
      </c>
      <c r="T4615" s="12"/>
    </row>
    <row r="4616">
      <c r="A4616" s="20" t="s">
        <v>29744</v>
      </c>
      <c r="B4616" s="16" t="s">
        <v>29745</v>
      </c>
      <c r="C4616" s="16" t="s">
        <v>29746</v>
      </c>
      <c r="D4616" s="16" t="s">
        <v>16</v>
      </c>
      <c r="E4616" s="21" t="s">
        <v>29747</v>
      </c>
      <c r="F4616" s="22" t="s">
        <v>22263</v>
      </c>
      <c r="G4616" s="16">
        <v>23.61</v>
      </c>
      <c r="H4616" s="16"/>
      <c r="I4616" s="22"/>
      <c r="J4616" s="22" t="s">
        <v>29748</v>
      </c>
      <c r="K4616" s="22" t="s">
        <v>29749</v>
      </c>
      <c r="L4616" s="23" t="s">
        <v>29750</v>
      </c>
      <c r="M4616" s="22"/>
      <c r="N4616" s="12"/>
      <c r="O4616" s="12"/>
      <c r="P4616" s="13">
        <f>IFERROR(__xludf.DUMMYFUNCTION("VALUE(SUBSTITUTE((INDEX(SPLIT(A4616,"",""),1)),""."","","",1))"),56.027077)</f>
        <v>56.027077</v>
      </c>
      <c r="Q4616" s="13">
        <f>IFERROR(__xludf.DUMMYFUNCTION("VALUE(SUBSTITUTE((INDEX(SPLIT(A4616,"",""),2)),""."","","",1))"),92.780769)</f>
        <v>92.780769</v>
      </c>
      <c r="R4616" s="14" t="b">
        <f t="shared" si="1"/>
        <v>0</v>
      </c>
      <c r="S4616" s="14" t="str">
        <f t="shared" si="2"/>
        <v>56.027077,92.780769</v>
      </c>
      <c r="T4616" s="12"/>
    </row>
    <row r="4617">
      <c r="A4617" s="7" t="s">
        <v>29751</v>
      </c>
      <c r="B4617" s="8" t="s">
        <v>29752</v>
      </c>
      <c r="C4617" s="8" t="s">
        <v>29753</v>
      </c>
      <c r="D4617" s="8" t="s">
        <v>16</v>
      </c>
      <c r="E4617" s="9" t="s">
        <v>29754</v>
      </c>
      <c r="F4617" s="10" t="s">
        <v>22263</v>
      </c>
      <c r="G4617" s="8">
        <v>23.61</v>
      </c>
      <c r="H4617" s="8"/>
      <c r="I4617" s="10"/>
      <c r="J4617" s="10" t="s">
        <v>29755</v>
      </c>
      <c r="K4617" s="10" t="s">
        <v>29756</v>
      </c>
      <c r="L4617" s="11" t="s">
        <v>29757</v>
      </c>
      <c r="M4617" s="11" t="s">
        <v>29758</v>
      </c>
      <c r="N4617" s="12"/>
      <c r="O4617" s="12"/>
      <c r="P4617" s="13">
        <f>IFERROR(__xludf.DUMMYFUNCTION("VALUE(SUBSTITUTE((INDEX(SPLIT(A4617,"",""),1)),""."","","",1))"),56.014947)</f>
        <v>56.014947</v>
      </c>
      <c r="Q4617" s="13">
        <f>IFERROR(__xludf.DUMMYFUNCTION("VALUE(SUBSTITUTE((INDEX(SPLIT(A4617,"",""),2)),""."","","",1))"),92.784578)</f>
        <v>92.784578</v>
      </c>
      <c r="R4617" s="14" t="b">
        <f t="shared" si="1"/>
        <v>0</v>
      </c>
      <c r="S4617" s="14" t="str">
        <f t="shared" si="2"/>
        <v>56.014947,92.784578</v>
      </c>
      <c r="T4617" s="12"/>
    </row>
    <row r="4618">
      <c r="A4618" s="15" t="s">
        <v>29759</v>
      </c>
      <c r="B4618" s="16" t="s">
        <v>29760</v>
      </c>
      <c r="C4618" s="16" t="s">
        <v>29761</v>
      </c>
      <c r="D4618" s="16" t="s">
        <v>16</v>
      </c>
      <c r="E4618" s="17" t="s">
        <v>29762</v>
      </c>
      <c r="F4618" s="16" t="s">
        <v>22263</v>
      </c>
      <c r="G4618" s="16">
        <v>23.61</v>
      </c>
      <c r="H4618" s="16"/>
      <c r="I4618" s="16"/>
      <c r="J4618" s="16" t="s">
        <v>29763</v>
      </c>
      <c r="K4618" s="16" t="s">
        <v>29764</v>
      </c>
      <c r="L4618" s="16"/>
      <c r="M4618" s="25" t="s">
        <v>29765</v>
      </c>
      <c r="N4618" s="12"/>
      <c r="O4618" s="12"/>
      <c r="P4618" s="13">
        <f>IFERROR(__xludf.DUMMYFUNCTION("VALUE(SUBSTITUTE((INDEX(SPLIT(A4618,"",""),1)),""."","","",1))"),56.02936)</f>
        <v>56.02936</v>
      </c>
      <c r="Q4618" s="13">
        <f>IFERROR(__xludf.DUMMYFUNCTION("VALUE(SUBSTITUTE((INDEX(SPLIT(A4618,"",""),2)),""."","","",1))"),92.791037)</f>
        <v>92.791037</v>
      </c>
      <c r="R4618" s="14" t="b">
        <f t="shared" si="1"/>
        <v>0</v>
      </c>
      <c r="S4618" s="14" t="str">
        <f t="shared" si="2"/>
        <v>56.02936,92.791037</v>
      </c>
      <c r="T4618" s="12"/>
    </row>
    <row r="4619">
      <c r="A4619" s="18" t="s">
        <v>29766</v>
      </c>
      <c r="B4619" s="8" t="s">
        <v>29767</v>
      </c>
      <c r="C4619" s="8" t="s">
        <v>29768</v>
      </c>
      <c r="D4619" s="8" t="s">
        <v>16</v>
      </c>
      <c r="E4619" s="19" t="s">
        <v>29769</v>
      </c>
      <c r="F4619" s="8" t="s">
        <v>22263</v>
      </c>
      <c r="G4619" s="8">
        <v>23.61</v>
      </c>
      <c r="H4619" s="8"/>
      <c r="I4619" s="8"/>
      <c r="J4619" s="8" t="s">
        <v>29770</v>
      </c>
      <c r="K4619" s="8" t="s">
        <v>29771</v>
      </c>
      <c r="L4619" s="8"/>
      <c r="M4619" s="8"/>
      <c r="N4619" s="12"/>
      <c r="O4619" s="12"/>
      <c r="P4619" s="13">
        <f>IFERROR(__xludf.DUMMYFUNCTION("VALUE(SUBSTITUTE((INDEX(SPLIT(A4619,"",""),1)),""."","","",1))"),56.021915)</f>
        <v>56.021915</v>
      </c>
      <c r="Q4619" s="13">
        <f>IFERROR(__xludf.DUMMYFUNCTION("VALUE(SUBSTITUTE((INDEX(SPLIT(A4619,"",""),2)),""."","","",1))"),92.795744)</f>
        <v>92.795744</v>
      </c>
      <c r="R4619" s="14" t="b">
        <f t="shared" si="1"/>
        <v>0</v>
      </c>
      <c r="S4619" s="14" t="str">
        <f t="shared" si="2"/>
        <v>56.021915,92.795744</v>
      </c>
      <c r="T4619" s="12"/>
    </row>
    <row r="4620">
      <c r="A4620" s="15" t="s">
        <v>29772</v>
      </c>
      <c r="B4620" s="16" t="s">
        <v>29773</v>
      </c>
      <c r="C4620" s="16" t="s">
        <v>29774</v>
      </c>
      <c r="D4620" s="16" t="s">
        <v>16</v>
      </c>
      <c r="E4620" s="17" t="s">
        <v>29775</v>
      </c>
      <c r="F4620" s="16" t="s">
        <v>22263</v>
      </c>
      <c r="G4620" s="16">
        <v>23.61</v>
      </c>
      <c r="H4620" s="16"/>
      <c r="I4620" s="16"/>
      <c r="J4620" s="16" t="s">
        <v>29776</v>
      </c>
      <c r="K4620" s="16" t="s">
        <v>29777</v>
      </c>
      <c r="L4620" s="16"/>
      <c r="M4620" s="16"/>
      <c r="N4620" s="12"/>
      <c r="O4620" s="12"/>
      <c r="P4620" s="13">
        <f>IFERROR(__xludf.DUMMYFUNCTION("VALUE(SUBSTITUTE((INDEX(SPLIT(A4620,"",""),1)),""."","","",1))"),56.018821)</f>
        <v>56.018821</v>
      </c>
      <c r="Q4620" s="13">
        <f>IFERROR(__xludf.DUMMYFUNCTION("VALUE(SUBSTITUTE((INDEX(SPLIT(A4620,"",""),2)),""."","","",1))"),92.797819)</f>
        <v>92.797819</v>
      </c>
      <c r="R4620" s="14" t="b">
        <f t="shared" si="1"/>
        <v>0</v>
      </c>
      <c r="S4620" s="14" t="str">
        <f t="shared" si="2"/>
        <v>56.018821,92.797819</v>
      </c>
      <c r="T4620" s="12"/>
    </row>
    <row r="4621">
      <c r="A4621" s="7" t="s">
        <v>29778</v>
      </c>
      <c r="B4621" s="8" t="s">
        <v>29779</v>
      </c>
      <c r="C4621" s="8" t="s">
        <v>29780</v>
      </c>
      <c r="D4621" s="8" t="s">
        <v>16</v>
      </c>
      <c r="E4621" s="9" t="s">
        <v>29781</v>
      </c>
      <c r="F4621" s="10" t="s">
        <v>22263</v>
      </c>
      <c r="G4621" s="8">
        <v>23.61</v>
      </c>
      <c r="H4621" s="8"/>
      <c r="I4621" s="10"/>
      <c r="J4621" s="10" t="s">
        <v>29782</v>
      </c>
      <c r="K4621" s="10" t="s">
        <v>29783</v>
      </c>
      <c r="L4621" s="11" t="s">
        <v>29784</v>
      </c>
      <c r="M4621" s="10"/>
      <c r="N4621" s="12"/>
      <c r="O4621" s="12"/>
      <c r="P4621" s="13">
        <f>IFERROR(__xludf.DUMMYFUNCTION("VALUE(SUBSTITUTE((INDEX(SPLIT(A4621,"",""),1)),""."","","",1))"),56.025879)</f>
        <v>56.025879</v>
      </c>
      <c r="Q4621" s="13">
        <f>IFERROR(__xludf.DUMMYFUNCTION("VALUE(SUBSTITUTE((INDEX(SPLIT(A4621,"",""),2)),""."","","",1))"),92.800317)</f>
        <v>92.800317</v>
      </c>
      <c r="R4621" s="14" t="b">
        <f t="shared" si="1"/>
        <v>0</v>
      </c>
      <c r="S4621" s="14" t="str">
        <f t="shared" si="2"/>
        <v>56.025879,92.800317</v>
      </c>
      <c r="T4621" s="12"/>
    </row>
    <row r="4622">
      <c r="A4622" s="20" t="s">
        <v>29778</v>
      </c>
      <c r="B4622" s="16" t="s">
        <v>29785</v>
      </c>
      <c r="C4622" s="16" t="s">
        <v>29786</v>
      </c>
      <c r="D4622" s="16" t="s">
        <v>16</v>
      </c>
      <c r="E4622" s="21" t="s">
        <v>29787</v>
      </c>
      <c r="F4622" s="22" t="s">
        <v>22263</v>
      </c>
      <c r="G4622" s="16">
        <v>23.61</v>
      </c>
      <c r="H4622" s="16"/>
      <c r="I4622" s="22"/>
      <c r="J4622" s="22" t="s">
        <v>29788</v>
      </c>
      <c r="K4622" s="22" t="s">
        <v>29789</v>
      </c>
      <c r="L4622" s="23" t="s">
        <v>29790</v>
      </c>
      <c r="M4622" s="22"/>
      <c r="N4622" s="12"/>
      <c r="O4622" s="12"/>
      <c r="P4622" s="13">
        <f>IFERROR(__xludf.DUMMYFUNCTION("VALUE(SUBSTITUTE((INDEX(SPLIT(A4622,"",""),1)),""."","","",1))"),56.025879)</f>
        <v>56.025879</v>
      </c>
      <c r="Q4622" s="13">
        <f>IFERROR(__xludf.DUMMYFUNCTION("VALUE(SUBSTITUTE((INDEX(SPLIT(A4622,"",""),2)),""."","","",1))"),92.800317)</f>
        <v>92.800317</v>
      </c>
      <c r="R4622" s="14" t="b">
        <f t="shared" si="1"/>
        <v>0</v>
      </c>
      <c r="S4622" s="14" t="str">
        <f t="shared" si="2"/>
        <v>56.025879,92.800317</v>
      </c>
      <c r="T4622" s="12"/>
    </row>
    <row r="4623">
      <c r="A4623" s="7" t="s">
        <v>29791</v>
      </c>
      <c r="B4623" s="8" t="s">
        <v>29792</v>
      </c>
      <c r="C4623" s="8" t="s">
        <v>29793</v>
      </c>
      <c r="D4623" s="8" t="s">
        <v>16</v>
      </c>
      <c r="E4623" s="9" t="s">
        <v>29794</v>
      </c>
      <c r="F4623" s="10" t="s">
        <v>22263</v>
      </c>
      <c r="G4623" s="8">
        <v>23.61</v>
      </c>
      <c r="H4623" s="8"/>
      <c r="I4623" s="10"/>
      <c r="J4623" s="10" t="s">
        <v>29795</v>
      </c>
      <c r="K4623" s="10" t="s">
        <v>29796</v>
      </c>
      <c r="L4623" s="11" t="s">
        <v>29797</v>
      </c>
      <c r="M4623" s="10"/>
      <c r="N4623" s="12"/>
      <c r="O4623" s="12"/>
      <c r="P4623" s="13">
        <f>IFERROR(__xludf.DUMMYFUNCTION("VALUE(SUBSTITUTE((INDEX(SPLIT(A4623,"",""),1)),""."","","",1))"),56.002083)</f>
        <v>56.002083</v>
      </c>
      <c r="Q4623" s="13">
        <f>IFERROR(__xludf.DUMMYFUNCTION("VALUE(SUBSTITUTE((INDEX(SPLIT(A4623,"",""),2)),""."","","",1))"),92.805904)</f>
        <v>92.805904</v>
      </c>
      <c r="R4623" s="14" t="b">
        <f t="shared" si="1"/>
        <v>0</v>
      </c>
      <c r="S4623" s="14" t="str">
        <f t="shared" si="2"/>
        <v>56.002083,92.805904</v>
      </c>
      <c r="T4623" s="12"/>
    </row>
    <row r="4624">
      <c r="A4624" s="15" t="s">
        <v>29798</v>
      </c>
      <c r="B4624" s="16" t="s">
        <v>11869</v>
      </c>
      <c r="C4624" s="16" t="s">
        <v>11870</v>
      </c>
      <c r="D4624" s="16" t="s">
        <v>16</v>
      </c>
      <c r="E4624" s="17" t="s">
        <v>29799</v>
      </c>
      <c r="F4624" s="16" t="s">
        <v>22263</v>
      </c>
      <c r="G4624" s="16">
        <v>23.61</v>
      </c>
      <c r="H4624" s="16"/>
      <c r="I4624" s="16"/>
      <c r="J4624" s="16" t="s">
        <v>29800</v>
      </c>
      <c r="K4624" s="16" t="s">
        <v>29801</v>
      </c>
      <c r="L4624" s="16"/>
      <c r="M4624" s="16"/>
      <c r="N4624" s="12"/>
      <c r="O4624" s="12"/>
      <c r="P4624" s="13">
        <f>IFERROR(__xludf.DUMMYFUNCTION("VALUE(SUBSTITUTE((INDEX(SPLIT(A4624,"",""),1)),""."","","",1))"),56.066645)</f>
        <v>56.066645</v>
      </c>
      <c r="Q4624" s="13">
        <f>IFERROR(__xludf.DUMMYFUNCTION("VALUE(SUBSTITUTE((INDEX(SPLIT(A4624,"",""),2)),""."","","",1))"),92.821373)</f>
        <v>92.821373</v>
      </c>
      <c r="R4624" s="14" t="b">
        <f t="shared" si="1"/>
        <v>0</v>
      </c>
      <c r="S4624" s="14" t="str">
        <f t="shared" si="2"/>
        <v>56.066645,92.821373</v>
      </c>
      <c r="T4624" s="12"/>
    </row>
    <row r="4625">
      <c r="A4625" s="18" t="s">
        <v>29798</v>
      </c>
      <c r="B4625" s="8" t="s">
        <v>29802</v>
      </c>
      <c r="C4625" s="8" t="s">
        <v>29803</v>
      </c>
      <c r="D4625" s="8" t="s">
        <v>16</v>
      </c>
      <c r="E4625" s="19" t="s">
        <v>29804</v>
      </c>
      <c r="F4625" s="8" t="s">
        <v>22263</v>
      </c>
      <c r="G4625" s="8">
        <v>23.61</v>
      </c>
      <c r="H4625" s="8"/>
      <c r="I4625" s="8"/>
      <c r="J4625" s="8" t="s">
        <v>29805</v>
      </c>
      <c r="K4625" s="8" t="s">
        <v>29806</v>
      </c>
      <c r="L4625" s="8"/>
      <c r="M4625" s="8"/>
      <c r="N4625" s="12"/>
      <c r="O4625" s="12"/>
      <c r="P4625" s="13">
        <f>IFERROR(__xludf.DUMMYFUNCTION("VALUE(SUBSTITUTE((INDEX(SPLIT(A4625,"",""),1)),""."","","",1))"),56.066645)</f>
        <v>56.066645</v>
      </c>
      <c r="Q4625" s="13">
        <f>IFERROR(__xludf.DUMMYFUNCTION("VALUE(SUBSTITUTE((INDEX(SPLIT(A4625,"",""),2)),""."","","",1))"),92.821373)</f>
        <v>92.821373</v>
      </c>
      <c r="R4625" s="14" t="b">
        <f t="shared" si="1"/>
        <v>0</v>
      </c>
      <c r="S4625" s="14" t="str">
        <f t="shared" si="2"/>
        <v>56.066645,92.821373</v>
      </c>
      <c r="T4625" s="12"/>
    </row>
    <row r="4626">
      <c r="A4626" s="15" t="s">
        <v>29807</v>
      </c>
      <c r="B4626" s="16" t="s">
        <v>29808</v>
      </c>
      <c r="C4626" s="16" t="s">
        <v>29809</v>
      </c>
      <c r="D4626" s="16" t="s">
        <v>16</v>
      </c>
      <c r="E4626" s="17" t="s">
        <v>29810</v>
      </c>
      <c r="F4626" s="16" t="s">
        <v>22263</v>
      </c>
      <c r="G4626" s="16">
        <v>23.61</v>
      </c>
      <c r="H4626" s="16"/>
      <c r="I4626" s="16"/>
      <c r="J4626" s="16" t="s">
        <v>29811</v>
      </c>
      <c r="K4626" s="16" t="s">
        <v>29812</v>
      </c>
      <c r="L4626" s="16"/>
      <c r="M4626" s="16"/>
      <c r="N4626" s="12"/>
      <c r="O4626" s="12"/>
      <c r="P4626" s="13">
        <f>IFERROR(__xludf.DUMMYFUNCTION("VALUE(SUBSTITUTE((INDEX(SPLIT(A4626,"",""),1)),""."","","",1))"),56.012038)</f>
        <v>56.012038</v>
      </c>
      <c r="Q4626" s="13">
        <f>IFERROR(__xludf.DUMMYFUNCTION("VALUE(SUBSTITUTE((INDEX(SPLIT(A4626,"",""),2)),""."","","",1))"),92.823125)</f>
        <v>92.823125</v>
      </c>
      <c r="R4626" s="14" t="b">
        <f t="shared" si="1"/>
        <v>0</v>
      </c>
      <c r="S4626" s="14" t="str">
        <f t="shared" si="2"/>
        <v>56.012038,92.823125</v>
      </c>
      <c r="T4626" s="12"/>
    </row>
    <row r="4627">
      <c r="A4627" s="7" t="s">
        <v>29813</v>
      </c>
      <c r="B4627" s="8" t="s">
        <v>89</v>
      </c>
      <c r="C4627" s="8" t="s">
        <v>90</v>
      </c>
      <c r="D4627" s="8" t="s">
        <v>16</v>
      </c>
      <c r="E4627" s="9" t="s">
        <v>29814</v>
      </c>
      <c r="F4627" s="10" t="s">
        <v>22263</v>
      </c>
      <c r="G4627" s="8">
        <v>23.61</v>
      </c>
      <c r="H4627" s="8"/>
      <c r="I4627" s="10"/>
      <c r="J4627" s="10" t="s">
        <v>29815</v>
      </c>
      <c r="K4627" s="10" t="s">
        <v>29816</v>
      </c>
      <c r="L4627" s="11" t="s">
        <v>29817</v>
      </c>
      <c r="M4627" s="10"/>
      <c r="N4627" s="12"/>
      <c r="O4627" s="12"/>
      <c r="P4627" s="13">
        <f>IFERROR(__xludf.DUMMYFUNCTION("VALUE(SUBSTITUTE((INDEX(SPLIT(A4627,"",""),1)),""."","","",1))"),56.039097)</f>
        <v>56.039097</v>
      </c>
      <c r="Q4627" s="13">
        <f>IFERROR(__xludf.DUMMYFUNCTION("VALUE(SUBSTITUTE((INDEX(SPLIT(A4627,"",""),2)),""."","","",1))"),92.83191)</f>
        <v>92.83191</v>
      </c>
      <c r="R4627" s="14" t="b">
        <f t="shared" si="1"/>
        <v>0</v>
      </c>
      <c r="S4627" s="14" t="str">
        <f t="shared" si="2"/>
        <v>56.039097,92.83191</v>
      </c>
      <c r="T4627" s="12"/>
    </row>
    <row r="4628">
      <c r="A4628" s="20" t="s">
        <v>29818</v>
      </c>
      <c r="B4628" s="16" t="s">
        <v>29819</v>
      </c>
      <c r="C4628" s="16" t="s">
        <v>29820</v>
      </c>
      <c r="D4628" s="16" t="s">
        <v>16</v>
      </c>
      <c r="E4628" s="21" t="s">
        <v>29821</v>
      </c>
      <c r="F4628" s="22" t="s">
        <v>22263</v>
      </c>
      <c r="G4628" s="16">
        <v>23.61</v>
      </c>
      <c r="H4628" s="16"/>
      <c r="I4628" s="22"/>
      <c r="J4628" s="22" t="s">
        <v>29822</v>
      </c>
      <c r="K4628" s="22" t="s">
        <v>29823</v>
      </c>
      <c r="L4628" s="23" t="s">
        <v>29824</v>
      </c>
      <c r="M4628" s="22"/>
      <c r="N4628" s="12"/>
      <c r="O4628" s="12"/>
      <c r="P4628" s="13">
        <f>IFERROR(__xludf.DUMMYFUNCTION("VALUE(SUBSTITUTE((INDEX(SPLIT(A4628,"",""),1)),""."","","",1))"),56.02191)</f>
        <v>56.02191</v>
      </c>
      <c r="Q4628" s="13">
        <f>IFERROR(__xludf.DUMMYFUNCTION("VALUE(SUBSTITUTE((INDEX(SPLIT(A4628,"",""),2)),""."","","",1))"),92.839582)</f>
        <v>92.839582</v>
      </c>
      <c r="R4628" s="14" t="b">
        <f t="shared" si="1"/>
        <v>0</v>
      </c>
      <c r="S4628" s="14" t="str">
        <f t="shared" si="2"/>
        <v>56.02191,92.839582</v>
      </c>
      <c r="T4628" s="12"/>
    </row>
    <row r="4629">
      <c r="A4629" s="7" t="s">
        <v>29825</v>
      </c>
      <c r="B4629" s="8" t="s">
        <v>29826</v>
      </c>
      <c r="C4629" s="8" t="s">
        <v>29827</v>
      </c>
      <c r="D4629" s="8" t="s">
        <v>16</v>
      </c>
      <c r="E4629" s="9" t="s">
        <v>29828</v>
      </c>
      <c r="F4629" s="10" t="s">
        <v>22263</v>
      </c>
      <c r="G4629" s="8">
        <v>23.61</v>
      </c>
      <c r="H4629" s="8"/>
      <c r="I4629" s="10"/>
      <c r="J4629" s="10" t="s">
        <v>29829</v>
      </c>
      <c r="K4629" s="10" t="s">
        <v>29830</v>
      </c>
      <c r="L4629" s="11" t="s">
        <v>29831</v>
      </c>
      <c r="M4629" s="10"/>
      <c r="N4629" s="12"/>
      <c r="O4629" s="12"/>
      <c r="P4629" s="13">
        <f>IFERROR(__xludf.DUMMYFUNCTION("VALUE(SUBSTITUTE((INDEX(SPLIT(A4629,"",""),1)),""."","","",1))"),56.021729)</f>
        <v>56.021729</v>
      </c>
      <c r="Q4629" s="13">
        <f>IFERROR(__xludf.DUMMYFUNCTION("VALUE(SUBSTITUTE((INDEX(SPLIT(A4629,"",""),2)),""."","","",1))"),92.841747)</f>
        <v>92.841747</v>
      </c>
      <c r="R4629" s="14" t="b">
        <f t="shared" si="1"/>
        <v>0</v>
      </c>
      <c r="S4629" s="14" t="str">
        <f t="shared" si="2"/>
        <v>56.021729,92.841747</v>
      </c>
      <c r="T4629" s="12"/>
    </row>
    <row r="4630">
      <c r="A4630" s="15" t="s">
        <v>29832</v>
      </c>
      <c r="B4630" s="16" t="s">
        <v>29833</v>
      </c>
      <c r="C4630" s="16" t="s">
        <v>29834</v>
      </c>
      <c r="D4630" s="16" t="s">
        <v>16</v>
      </c>
      <c r="E4630" s="17" t="s">
        <v>29835</v>
      </c>
      <c r="F4630" s="16" t="s">
        <v>22263</v>
      </c>
      <c r="G4630" s="16">
        <v>23.61</v>
      </c>
      <c r="H4630" s="16"/>
      <c r="I4630" s="16"/>
      <c r="J4630" s="16" t="s">
        <v>29836</v>
      </c>
      <c r="K4630" s="16" t="s">
        <v>29837</v>
      </c>
      <c r="L4630" s="16"/>
      <c r="M4630" s="16"/>
      <c r="N4630" s="12"/>
      <c r="O4630" s="12"/>
      <c r="P4630" s="13">
        <f>IFERROR(__xludf.DUMMYFUNCTION("VALUE(SUBSTITUTE((INDEX(SPLIT(A4630,"",""),1)),""."","","",1))"),56.005933)</f>
        <v>56.005933</v>
      </c>
      <c r="Q4630" s="13">
        <f>IFERROR(__xludf.DUMMYFUNCTION("VALUE(SUBSTITUTE((INDEX(SPLIT(A4630,"",""),2)),""."","","",1))"),92.841909)</f>
        <v>92.841909</v>
      </c>
      <c r="R4630" s="14" t="b">
        <f t="shared" si="1"/>
        <v>0</v>
      </c>
      <c r="S4630" s="14" t="str">
        <f t="shared" si="2"/>
        <v>56.005933,92.841909</v>
      </c>
      <c r="T4630" s="12"/>
    </row>
    <row r="4631">
      <c r="A4631" s="7" t="s">
        <v>29838</v>
      </c>
      <c r="B4631" s="8" t="s">
        <v>29839</v>
      </c>
      <c r="C4631" s="8" t="s">
        <v>29840</v>
      </c>
      <c r="D4631" s="8" t="s">
        <v>16</v>
      </c>
      <c r="E4631" s="9" t="s">
        <v>29841</v>
      </c>
      <c r="F4631" s="10" t="s">
        <v>22263</v>
      </c>
      <c r="G4631" s="8">
        <v>23.61</v>
      </c>
      <c r="H4631" s="8"/>
      <c r="I4631" s="10"/>
      <c r="J4631" s="10" t="s">
        <v>29836</v>
      </c>
      <c r="K4631" s="10" t="s">
        <v>29842</v>
      </c>
      <c r="L4631" s="11" t="s">
        <v>29843</v>
      </c>
      <c r="M4631" s="11" t="s">
        <v>29844</v>
      </c>
      <c r="N4631" s="12"/>
      <c r="O4631" s="12"/>
      <c r="P4631" s="13">
        <f>IFERROR(__xludf.DUMMYFUNCTION("VALUE(SUBSTITUTE((INDEX(SPLIT(A4631,"",""),1)),""."","","",1))"),56.068283)</f>
        <v>56.068283</v>
      </c>
      <c r="Q4631" s="13">
        <f>IFERROR(__xludf.DUMMYFUNCTION("VALUE(SUBSTITUTE((INDEX(SPLIT(A4631,"",""),2)),""."","","",1))"),92.844667)</f>
        <v>92.844667</v>
      </c>
      <c r="R4631" s="14" t="b">
        <f t="shared" si="1"/>
        <v>0</v>
      </c>
      <c r="S4631" s="14" t="str">
        <f t="shared" si="2"/>
        <v>56.068283,92.844667</v>
      </c>
      <c r="T4631" s="12"/>
    </row>
    <row r="4632">
      <c r="A4632" s="20" t="s">
        <v>29845</v>
      </c>
      <c r="B4632" s="16" t="s">
        <v>29846</v>
      </c>
      <c r="C4632" s="16" t="s">
        <v>29847</v>
      </c>
      <c r="D4632" s="16" t="s">
        <v>16</v>
      </c>
      <c r="E4632" s="21" t="s">
        <v>29848</v>
      </c>
      <c r="F4632" s="22" t="s">
        <v>22263</v>
      </c>
      <c r="G4632" s="16">
        <v>23.61</v>
      </c>
      <c r="H4632" s="16"/>
      <c r="I4632" s="22"/>
      <c r="J4632" s="22" t="s">
        <v>29849</v>
      </c>
      <c r="K4632" s="22" t="s">
        <v>29850</v>
      </c>
      <c r="L4632" s="23" t="s">
        <v>29851</v>
      </c>
      <c r="M4632" s="23" t="s">
        <v>29852</v>
      </c>
      <c r="N4632" s="12"/>
      <c r="O4632" s="12"/>
      <c r="P4632" s="13">
        <f>IFERROR(__xludf.DUMMYFUNCTION("VALUE(SUBSTITUTE((INDEX(SPLIT(A4632,"",""),1)),""."","","",1))"),55.986631)</f>
        <v>55.986631</v>
      </c>
      <c r="Q4632" s="13">
        <f>IFERROR(__xludf.DUMMYFUNCTION("VALUE(SUBSTITUTE((INDEX(SPLIT(A4632,"",""),2)),""."","","",1))"),92.845538)</f>
        <v>92.845538</v>
      </c>
      <c r="R4632" s="14" t="b">
        <f t="shared" si="1"/>
        <v>0</v>
      </c>
      <c r="S4632" s="14" t="str">
        <f t="shared" si="2"/>
        <v>55.986631,92.845538</v>
      </c>
      <c r="T4632" s="12"/>
    </row>
    <row r="4633">
      <c r="A4633" s="18" t="s">
        <v>29853</v>
      </c>
      <c r="B4633" s="8" t="s">
        <v>29854</v>
      </c>
      <c r="C4633" s="8" t="s">
        <v>29855</v>
      </c>
      <c r="D4633" s="8" t="s">
        <v>16</v>
      </c>
      <c r="E4633" s="19" t="s">
        <v>29856</v>
      </c>
      <c r="F4633" s="8" t="s">
        <v>22263</v>
      </c>
      <c r="G4633" s="8">
        <v>23.61</v>
      </c>
      <c r="H4633" s="8"/>
      <c r="I4633" s="8"/>
      <c r="J4633" s="8" t="s">
        <v>29857</v>
      </c>
      <c r="K4633" s="8" t="s">
        <v>29858</v>
      </c>
      <c r="L4633" s="8"/>
      <c r="M4633" s="24" t="s">
        <v>29859</v>
      </c>
      <c r="N4633" s="12"/>
      <c r="O4633" s="12"/>
      <c r="P4633" s="13">
        <f>IFERROR(__xludf.DUMMYFUNCTION("VALUE(SUBSTITUTE((INDEX(SPLIT(A4633,"",""),1)),""."","","",1))"),55.979248)</f>
        <v>55.979248</v>
      </c>
      <c r="Q4633" s="13">
        <f>IFERROR(__xludf.DUMMYFUNCTION("VALUE(SUBSTITUTE((INDEX(SPLIT(A4633,"",""),2)),""."","","",1))"),92.84729)</f>
        <v>92.84729</v>
      </c>
      <c r="R4633" s="14" t="b">
        <f t="shared" si="1"/>
        <v>0</v>
      </c>
      <c r="S4633" s="14" t="str">
        <f t="shared" si="2"/>
        <v>55.979248,92.84729</v>
      </c>
      <c r="T4633" s="12"/>
    </row>
    <row r="4634">
      <c r="A4634" s="15" t="s">
        <v>29860</v>
      </c>
      <c r="B4634" s="16" t="s">
        <v>29861</v>
      </c>
      <c r="C4634" s="16" t="s">
        <v>29862</v>
      </c>
      <c r="D4634" s="16" t="s">
        <v>16</v>
      </c>
      <c r="E4634" s="17" t="s">
        <v>29863</v>
      </c>
      <c r="F4634" s="16" t="s">
        <v>22263</v>
      </c>
      <c r="G4634" s="16">
        <v>23.61</v>
      </c>
      <c r="H4634" s="16"/>
      <c r="I4634" s="16"/>
      <c r="J4634" s="16" t="s">
        <v>29864</v>
      </c>
      <c r="K4634" s="16" t="s">
        <v>29865</v>
      </c>
      <c r="L4634" s="16"/>
      <c r="M4634" s="16"/>
      <c r="N4634" s="12"/>
      <c r="O4634" s="12"/>
      <c r="P4634" s="13">
        <f>IFERROR(__xludf.DUMMYFUNCTION("VALUE(SUBSTITUTE((INDEX(SPLIT(A4634,"",""),1)),""."","","",1))"),56.010569)</f>
        <v>56.010569</v>
      </c>
      <c r="Q4634" s="13">
        <f>IFERROR(__xludf.DUMMYFUNCTION("VALUE(SUBSTITUTE((INDEX(SPLIT(A4634,"",""),2)),""."","","",1))"),92.852572)</f>
        <v>92.852572</v>
      </c>
      <c r="R4634" s="14" t="b">
        <f t="shared" si="1"/>
        <v>0</v>
      </c>
      <c r="S4634" s="14" t="str">
        <f t="shared" si="2"/>
        <v>56.010569,92.852572</v>
      </c>
      <c r="T4634" s="12"/>
    </row>
    <row r="4635">
      <c r="A4635" s="7" t="s">
        <v>29860</v>
      </c>
      <c r="B4635" s="8" t="s">
        <v>29866</v>
      </c>
      <c r="C4635" s="8" t="s">
        <v>29867</v>
      </c>
      <c r="D4635" s="8" t="s">
        <v>16</v>
      </c>
      <c r="E4635" s="9" t="s">
        <v>29868</v>
      </c>
      <c r="F4635" s="10" t="s">
        <v>22263</v>
      </c>
      <c r="G4635" s="8">
        <v>23.61</v>
      </c>
      <c r="H4635" s="8"/>
      <c r="I4635" s="10"/>
      <c r="J4635" s="10" t="s">
        <v>29869</v>
      </c>
      <c r="K4635" s="10" t="s">
        <v>29870</v>
      </c>
      <c r="L4635" s="11" t="s">
        <v>29871</v>
      </c>
      <c r="M4635" s="10"/>
      <c r="N4635" s="12"/>
      <c r="O4635" s="12"/>
      <c r="P4635" s="13">
        <f>IFERROR(__xludf.DUMMYFUNCTION("VALUE(SUBSTITUTE((INDEX(SPLIT(A4635,"",""),1)),""."","","",1))"),56.010569)</f>
        <v>56.010569</v>
      </c>
      <c r="Q4635" s="13">
        <f>IFERROR(__xludf.DUMMYFUNCTION("VALUE(SUBSTITUTE((INDEX(SPLIT(A4635,"",""),2)),""."","","",1))"),92.852572)</f>
        <v>92.852572</v>
      </c>
      <c r="R4635" s="14" t="b">
        <f t="shared" si="1"/>
        <v>0</v>
      </c>
      <c r="S4635" s="14" t="str">
        <f t="shared" si="2"/>
        <v>56.010569,92.852572</v>
      </c>
      <c r="T4635" s="12"/>
    </row>
    <row r="4636">
      <c r="A4636" s="20" t="s">
        <v>29860</v>
      </c>
      <c r="B4636" s="16" t="s">
        <v>29872</v>
      </c>
      <c r="C4636" s="16" t="s">
        <v>29873</v>
      </c>
      <c r="D4636" s="16" t="s">
        <v>16</v>
      </c>
      <c r="E4636" s="21" t="s">
        <v>29874</v>
      </c>
      <c r="F4636" s="22" t="s">
        <v>22263</v>
      </c>
      <c r="G4636" s="16">
        <v>23.61</v>
      </c>
      <c r="H4636" s="16"/>
      <c r="I4636" s="28" t="s">
        <v>29875</v>
      </c>
      <c r="J4636" s="22" t="s">
        <v>29876</v>
      </c>
      <c r="K4636" s="22" t="s">
        <v>29877</v>
      </c>
      <c r="L4636" s="23" t="s">
        <v>29878</v>
      </c>
      <c r="M4636" s="22"/>
      <c r="N4636" s="12"/>
      <c r="O4636" s="12"/>
      <c r="P4636" s="13">
        <f>IFERROR(__xludf.DUMMYFUNCTION("VALUE(SUBSTITUTE((INDEX(SPLIT(A4636,"",""),1)),""."","","",1))"),56.010569)</f>
        <v>56.010569</v>
      </c>
      <c r="Q4636" s="13">
        <f>IFERROR(__xludf.DUMMYFUNCTION("VALUE(SUBSTITUTE((INDEX(SPLIT(A4636,"",""),2)),""."","","",1))"),92.852572)</f>
        <v>92.852572</v>
      </c>
      <c r="R4636" s="14" t="b">
        <f t="shared" si="1"/>
        <v>0</v>
      </c>
      <c r="S4636" s="14" t="str">
        <f t="shared" si="2"/>
        <v>56.010569,92.852572</v>
      </c>
      <c r="T4636" s="12"/>
    </row>
    <row r="4637">
      <c r="A4637" s="7" t="s">
        <v>29860</v>
      </c>
      <c r="B4637" s="8" t="s">
        <v>29879</v>
      </c>
      <c r="C4637" s="8" t="s">
        <v>29880</v>
      </c>
      <c r="D4637" s="8" t="s">
        <v>16</v>
      </c>
      <c r="E4637" s="9" t="s">
        <v>29881</v>
      </c>
      <c r="F4637" s="10" t="s">
        <v>22263</v>
      </c>
      <c r="G4637" s="8">
        <v>23.61</v>
      </c>
      <c r="H4637" s="8"/>
      <c r="I4637" s="10"/>
      <c r="J4637" s="10" t="s">
        <v>29882</v>
      </c>
      <c r="K4637" s="10" t="s">
        <v>29883</v>
      </c>
      <c r="L4637" s="11" t="s">
        <v>29884</v>
      </c>
      <c r="M4637" s="10"/>
      <c r="N4637" s="12"/>
      <c r="O4637" s="12"/>
      <c r="P4637" s="13">
        <f>IFERROR(__xludf.DUMMYFUNCTION("VALUE(SUBSTITUTE((INDEX(SPLIT(A4637,"",""),1)),""."","","",1))"),56.010569)</f>
        <v>56.010569</v>
      </c>
      <c r="Q4637" s="13">
        <f>IFERROR(__xludf.DUMMYFUNCTION("VALUE(SUBSTITUTE((INDEX(SPLIT(A4637,"",""),2)),""."","","",1))"),92.852572)</f>
        <v>92.852572</v>
      </c>
      <c r="R4637" s="14" t="b">
        <f t="shared" si="1"/>
        <v>0</v>
      </c>
      <c r="S4637" s="14" t="str">
        <f t="shared" si="2"/>
        <v>56.010569,92.852572</v>
      </c>
      <c r="T4637" s="12"/>
    </row>
    <row r="4638">
      <c r="A4638" s="15" t="s">
        <v>29885</v>
      </c>
      <c r="B4638" s="16" t="s">
        <v>29886</v>
      </c>
      <c r="C4638" s="16" t="s">
        <v>29887</v>
      </c>
      <c r="D4638" s="16" t="s">
        <v>16</v>
      </c>
      <c r="E4638" s="17" t="s">
        <v>29888</v>
      </c>
      <c r="F4638" s="16" t="s">
        <v>22263</v>
      </c>
      <c r="G4638" s="16">
        <v>23.61</v>
      </c>
      <c r="H4638" s="16"/>
      <c r="I4638" s="16"/>
      <c r="J4638" s="16" t="s">
        <v>29889</v>
      </c>
      <c r="K4638" s="16" t="s">
        <v>29890</v>
      </c>
      <c r="L4638" s="16"/>
      <c r="M4638" s="16"/>
      <c r="N4638" s="12"/>
      <c r="O4638" s="12"/>
      <c r="P4638" s="13">
        <f>IFERROR(__xludf.DUMMYFUNCTION("VALUE(SUBSTITUTE((INDEX(SPLIT(A4638,"",""),1)),""."","","",1))"),55.979828)</f>
        <v>55.979828</v>
      </c>
      <c r="Q4638" s="13">
        <f>IFERROR(__xludf.DUMMYFUNCTION("VALUE(SUBSTITUTE((INDEX(SPLIT(A4638,"",""),2)),""."","","",1))"),92.85603)</f>
        <v>92.85603</v>
      </c>
      <c r="R4638" s="14" t="b">
        <f t="shared" si="1"/>
        <v>0</v>
      </c>
      <c r="S4638" s="14" t="str">
        <f t="shared" si="2"/>
        <v>55.979828,92.85603</v>
      </c>
      <c r="T4638" s="12"/>
    </row>
    <row r="4639">
      <c r="A4639" s="18" t="s">
        <v>29891</v>
      </c>
      <c r="B4639" s="8" t="s">
        <v>29892</v>
      </c>
      <c r="C4639" s="8" t="s">
        <v>29893</v>
      </c>
      <c r="D4639" s="8" t="s">
        <v>16</v>
      </c>
      <c r="E4639" s="19" t="s">
        <v>29894</v>
      </c>
      <c r="F4639" s="8" t="s">
        <v>22263</v>
      </c>
      <c r="G4639" s="8">
        <v>23.61</v>
      </c>
      <c r="H4639" s="8"/>
      <c r="I4639" s="8"/>
      <c r="J4639" s="8" t="s">
        <v>29895</v>
      </c>
      <c r="K4639" s="8" t="s">
        <v>29896</v>
      </c>
      <c r="L4639" s="8"/>
      <c r="M4639" s="24" t="s">
        <v>29897</v>
      </c>
      <c r="N4639" s="12"/>
      <c r="O4639" s="12"/>
      <c r="P4639" s="13">
        <f>IFERROR(__xludf.DUMMYFUNCTION("VALUE(SUBSTITUTE((INDEX(SPLIT(A4639,"",""),1)),""."","","",1))"),56.007952)</f>
        <v>56.007952</v>
      </c>
      <c r="Q4639" s="13">
        <f>IFERROR(__xludf.DUMMYFUNCTION("VALUE(SUBSTITUTE((INDEX(SPLIT(A4639,"",""),2)),""."","","",1))"),92.860171)</f>
        <v>92.860171</v>
      </c>
      <c r="R4639" s="14" t="b">
        <f t="shared" si="1"/>
        <v>0</v>
      </c>
      <c r="S4639" s="14" t="str">
        <f t="shared" si="2"/>
        <v>56.007952,92.860171</v>
      </c>
      <c r="T4639" s="12"/>
    </row>
    <row r="4640">
      <c r="A4640" s="20" t="s">
        <v>29898</v>
      </c>
      <c r="B4640" s="16" t="s">
        <v>29899</v>
      </c>
      <c r="C4640" s="16" t="s">
        <v>29900</v>
      </c>
      <c r="D4640" s="16" t="s">
        <v>16</v>
      </c>
      <c r="E4640" s="21" t="s">
        <v>29901</v>
      </c>
      <c r="F4640" s="22" t="s">
        <v>22263</v>
      </c>
      <c r="G4640" s="16">
        <v>23.61</v>
      </c>
      <c r="H4640" s="16"/>
      <c r="I4640" s="28" t="s">
        <v>29902</v>
      </c>
      <c r="J4640" s="22" t="s">
        <v>29903</v>
      </c>
      <c r="K4640" s="22" t="s">
        <v>21079</v>
      </c>
      <c r="L4640" s="23" t="s">
        <v>29904</v>
      </c>
      <c r="M4640" s="22"/>
      <c r="N4640" s="12"/>
      <c r="O4640" s="12"/>
      <c r="P4640" s="13">
        <f>IFERROR(__xludf.DUMMYFUNCTION("VALUE(SUBSTITUTE((INDEX(SPLIT(A4640,"",""),1)),""."","","",1))"),56.015153)</f>
        <v>56.015153</v>
      </c>
      <c r="Q4640" s="13">
        <f>IFERROR(__xludf.DUMMYFUNCTION("VALUE(SUBSTITUTE((INDEX(SPLIT(A4640,"",""),2)),""."","","",1))"),92.862705)</f>
        <v>92.862705</v>
      </c>
      <c r="R4640" s="14" t="b">
        <f t="shared" si="1"/>
        <v>0</v>
      </c>
      <c r="S4640" s="14" t="str">
        <f t="shared" si="2"/>
        <v>56.015153,92.862705</v>
      </c>
      <c r="T4640" s="12"/>
    </row>
    <row r="4641">
      <c r="A4641" s="7" t="s">
        <v>29905</v>
      </c>
      <c r="B4641" s="8" t="s">
        <v>29906</v>
      </c>
      <c r="C4641" s="8" t="s">
        <v>29907</v>
      </c>
      <c r="D4641" s="8" t="s">
        <v>16</v>
      </c>
      <c r="E4641" s="9" t="s">
        <v>29908</v>
      </c>
      <c r="F4641" s="10" t="s">
        <v>22263</v>
      </c>
      <c r="G4641" s="8">
        <v>23.61</v>
      </c>
      <c r="H4641" s="8"/>
      <c r="I4641" s="10"/>
      <c r="J4641" s="10" t="s">
        <v>29909</v>
      </c>
      <c r="K4641" s="10" t="s">
        <v>29910</v>
      </c>
      <c r="L4641" s="11" t="s">
        <v>29911</v>
      </c>
      <c r="M4641" s="11" t="s">
        <v>29912</v>
      </c>
      <c r="N4641" s="12"/>
      <c r="O4641" s="12"/>
      <c r="P4641" s="13">
        <f>IFERROR(__xludf.DUMMYFUNCTION("VALUE(SUBSTITUTE((INDEX(SPLIT(A4641,"",""),1)),""."","","",1))"),55.978266)</f>
        <v>55.978266</v>
      </c>
      <c r="Q4641" s="13">
        <f>IFERROR(__xludf.DUMMYFUNCTION("VALUE(SUBSTITUTE((INDEX(SPLIT(A4641,"",""),2)),""."","","",1))"),92.877168)</f>
        <v>92.877168</v>
      </c>
      <c r="R4641" s="14" t="b">
        <f t="shared" si="1"/>
        <v>0</v>
      </c>
      <c r="S4641" s="14" t="str">
        <f t="shared" si="2"/>
        <v>55.978266,92.877168</v>
      </c>
      <c r="T4641" s="12"/>
    </row>
    <row r="4642">
      <c r="A4642" s="15" t="s">
        <v>29913</v>
      </c>
      <c r="B4642" s="16" t="s">
        <v>29914</v>
      </c>
      <c r="C4642" s="16" t="s">
        <v>29915</v>
      </c>
      <c r="D4642" s="16" t="s">
        <v>16</v>
      </c>
      <c r="E4642" s="17" t="s">
        <v>29916</v>
      </c>
      <c r="F4642" s="16" t="s">
        <v>22263</v>
      </c>
      <c r="G4642" s="16">
        <v>23.61</v>
      </c>
      <c r="H4642" s="16"/>
      <c r="I4642" s="16"/>
      <c r="J4642" s="16" t="s">
        <v>29917</v>
      </c>
      <c r="K4642" s="16" t="s">
        <v>29918</v>
      </c>
      <c r="L4642" s="16"/>
      <c r="M4642" s="16"/>
      <c r="N4642" s="12"/>
      <c r="O4642" s="12"/>
      <c r="P4642" s="13">
        <f>IFERROR(__xludf.DUMMYFUNCTION("VALUE(SUBSTITUTE((INDEX(SPLIT(A4642,"",""),1)),""."","","",1))"),55.970277)</f>
        <v>55.970277</v>
      </c>
      <c r="Q4642" s="13">
        <f>IFERROR(__xludf.DUMMYFUNCTION("VALUE(SUBSTITUTE((INDEX(SPLIT(A4642,"",""),2)),""."","","",1))"),92.884435)</f>
        <v>92.884435</v>
      </c>
      <c r="R4642" s="14" t="b">
        <f t="shared" si="1"/>
        <v>0</v>
      </c>
      <c r="S4642" s="14" t="str">
        <f t="shared" si="2"/>
        <v>55.970277,92.884435</v>
      </c>
      <c r="T4642" s="12"/>
    </row>
    <row r="4643">
      <c r="A4643" s="7" t="s">
        <v>29919</v>
      </c>
      <c r="B4643" s="8" t="s">
        <v>29920</v>
      </c>
      <c r="C4643" s="8" t="s">
        <v>29921</v>
      </c>
      <c r="D4643" s="8" t="s">
        <v>16</v>
      </c>
      <c r="E4643" s="9" t="s">
        <v>29922</v>
      </c>
      <c r="F4643" s="10" t="s">
        <v>22263</v>
      </c>
      <c r="G4643" s="8">
        <v>23.61</v>
      </c>
      <c r="H4643" s="8"/>
      <c r="I4643" s="10"/>
      <c r="J4643" s="10" t="s">
        <v>29923</v>
      </c>
      <c r="K4643" s="10" t="s">
        <v>29924</v>
      </c>
      <c r="L4643" s="11" t="s">
        <v>29925</v>
      </c>
      <c r="M4643" s="11" t="s">
        <v>29926</v>
      </c>
      <c r="N4643" s="12"/>
      <c r="O4643" s="12"/>
      <c r="P4643" s="13">
        <f>IFERROR(__xludf.DUMMYFUNCTION("VALUE(SUBSTITUTE((INDEX(SPLIT(A4643,"",""),1)),""."","","",1))"),56.021709)</f>
        <v>56.021709</v>
      </c>
      <c r="Q4643" s="13">
        <f>IFERROR(__xludf.DUMMYFUNCTION("VALUE(SUBSTITUTE((INDEX(SPLIT(A4643,"",""),2)),""."","","",1))"),92.888118)</f>
        <v>92.888118</v>
      </c>
      <c r="R4643" s="14" t="b">
        <f t="shared" si="1"/>
        <v>0</v>
      </c>
      <c r="S4643" s="14" t="str">
        <f t="shared" si="2"/>
        <v>56.021709,92.888118</v>
      </c>
      <c r="T4643" s="12"/>
    </row>
    <row r="4644">
      <c r="A4644" s="15" t="s">
        <v>29927</v>
      </c>
      <c r="B4644" s="16" t="s">
        <v>29928</v>
      </c>
      <c r="C4644" s="16" t="s">
        <v>29928</v>
      </c>
      <c r="D4644" s="16" t="s">
        <v>16</v>
      </c>
      <c r="E4644" s="17" t="s">
        <v>29929</v>
      </c>
      <c r="F4644" s="16" t="s">
        <v>22263</v>
      </c>
      <c r="G4644" s="16">
        <v>23.61</v>
      </c>
      <c r="H4644" s="16"/>
      <c r="I4644" s="32" t="s">
        <v>29930</v>
      </c>
      <c r="J4644" s="16" t="s">
        <v>29931</v>
      </c>
      <c r="K4644" s="16" t="s">
        <v>29932</v>
      </c>
      <c r="L4644" s="16"/>
      <c r="M4644" s="25" t="s">
        <v>29933</v>
      </c>
      <c r="N4644" s="12"/>
      <c r="O4644" s="12"/>
      <c r="P4644" s="13">
        <f>IFERROR(__xludf.DUMMYFUNCTION("VALUE(SUBSTITUTE((INDEX(SPLIT(A4644,"",""),1)),""."","","",1))"),56.063585)</f>
        <v>56.063585</v>
      </c>
      <c r="Q4644" s="13">
        <f>IFERROR(__xludf.DUMMYFUNCTION("VALUE(SUBSTITUTE((INDEX(SPLIT(A4644,"",""),2)),""."","","",1))"),92.895942)</f>
        <v>92.895942</v>
      </c>
      <c r="R4644" s="14" t="b">
        <f t="shared" si="1"/>
        <v>0</v>
      </c>
      <c r="S4644" s="14" t="str">
        <f t="shared" si="2"/>
        <v>56.063585,92.895942</v>
      </c>
      <c r="T4644" s="12"/>
    </row>
    <row r="4645">
      <c r="A4645" s="18" t="s">
        <v>29934</v>
      </c>
      <c r="B4645" s="8" t="s">
        <v>29935</v>
      </c>
      <c r="C4645" s="8" t="s">
        <v>29936</v>
      </c>
      <c r="D4645" s="8" t="s">
        <v>16</v>
      </c>
      <c r="E4645" s="19" t="s">
        <v>29937</v>
      </c>
      <c r="F4645" s="8" t="s">
        <v>22263</v>
      </c>
      <c r="G4645" s="8">
        <v>23.61</v>
      </c>
      <c r="H4645" s="8"/>
      <c r="I4645" s="8"/>
      <c r="J4645" s="8" t="s">
        <v>29938</v>
      </c>
      <c r="K4645" s="8" t="s">
        <v>29939</v>
      </c>
      <c r="L4645" s="8"/>
      <c r="M4645" s="8"/>
      <c r="N4645" s="12"/>
      <c r="O4645" s="12"/>
      <c r="P4645" s="13">
        <f>IFERROR(__xludf.DUMMYFUNCTION("VALUE(SUBSTITUTE((INDEX(SPLIT(A4645,"",""),1)),""."","","",1))"),56.038957)</f>
        <v>56.038957</v>
      </c>
      <c r="Q4645" s="13">
        <f>IFERROR(__xludf.DUMMYFUNCTION("VALUE(SUBSTITUTE((INDEX(SPLIT(A4645,"",""),2)),""."","","",1))"),92.896877)</f>
        <v>92.896877</v>
      </c>
      <c r="R4645" s="14" t="b">
        <f t="shared" si="1"/>
        <v>0</v>
      </c>
      <c r="S4645" s="14" t="str">
        <f t="shared" si="2"/>
        <v>56.038957,92.896877</v>
      </c>
      <c r="T4645" s="12"/>
    </row>
    <row r="4646">
      <c r="A4646" s="20" t="s">
        <v>29940</v>
      </c>
      <c r="B4646" s="16" t="s">
        <v>22983</v>
      </c>
      <c r="C4646" s="16" t="s">
        <v>22984</v>
      </c>
      <c r="D4646" s="16" t="s">
        <v>16</v>
      </c>
      <c r="E4646" s="21" t="s">
        <v>29941</v>
      </c>
      <c r="F4646" s="22" t="s">
        <v>22263</v>
      </c>
      <c r="G4646" s="16">
        <v>23.61</v>
      </c>
      <c r="H4646" s="16"/>
      <c r="I4646" s="22"/>
      <c r="J4646" s="22" t="s">
        <v>29942</v>
      </c>
      <c r="K4646" s="22" t="s">
        <v>29943</v>
      </c>
      <c r="L4646" s="30" t="s">
        <v>29944</v>
      </c>
      <c r="M4646" s="22"/>
      <c r="N4646" s="12"/>
      <c r="O4646" s="12"/>
      <c r="P4646" s="13">
        <f>IFERROR(__xludf.DUMMYFUNCTION("VALUE(SUBSTITUTE((INDEX(SPLIT(A4646,"",""),1)),""."","","",1))"),56.026418)</f>
        <v>56.026418</v>
      </c>
      <c r="Q4646" s="13">
        <f>IFERROR(__xludf.DUMMYFUNCTION("VALUE(SUBSTITUTE((INDEX(SPLIT(A4646,"",""),2)),""."","","",1))"),92.897757)</f>
        <v>92.897757</v>
      </c>
      <c r="R4646" s="14" t="b">
        <f t="shared" si="1"/>
        <v>0</v>
      </c>
      <c r="S4646" s="14" t="str">
        <f t="shared" si="2"/>
        <v>56.026418,92.897757</v>
      </c>
      <c r="T4646" s="12"/>
    </row>
    <row r="4647">
      <c r="A4647" s="7" t="s">
        <v>29945</v>
      </c>
      <c r="B4647" s="8" t="s">
        <v>29946</v>
      </c>
      <c r="C4647" s="8" t="s">
        <v>29947</v>
      </c>
      <c r="D4647" s="8" t="s">
        <v>16</v>
      </c>
      <c r="E4647" s="9" t="s">
        <v>29948</v>
      </c>
      <c r="F4647" s="10" t="s">
        <v>22263</v>
      </c>
      <c r="G4647" s="8">
        <v>23.61</v>
      </c>
      <c r="H4647" s="8"/>
      <c r="I4647" s="10"/>
      <c r="J4647" s="10" t="s">
        <v>29949</v>
      </c>
      <c r="K4647" s="10" t="s">
        <v>29950</v>
      </c>
      <c r="L4647" s="11" t="s">
        <v>29951</v>
      </c>
      <c r="M4647" s="11" t="s">
        <v>29952</v>
      </c>
      <c r="N4647" s="12"/>
      <c r="O4647" s="12"/>
      <c r="P4647" s="13">
        <f>IFERROR(__xludf.DUMMYFUNCTION("VALUE(SUBSTITUTE((INDEX(SPLIT(A4647,"",""),1)),""."","","",1))"),55.982104)</f>
        <v>55.982104</v>
      </c>
      <c r="Q4647" s="13">
        <f>IFERROR(__xludf.DUMMYFUNCTION("VALUE(SUBSTITUTE((INDEX(SPLIT(A4647,"",""),2)),""."","","",1))"),92.900685)</f>
        <v>92.900685</v>
      </c>
      <c r="R4647" s="14" t="b">
        <f t="shared" si="1"/>
        <v>0</v>
      </c>
      <c r="S4647" s="14" t="str">
        <f t="shared" si="2"/>
        <v>55.982104,92.900685</v>
      </c>
      <c r="T4647" s="12"/>
    </row>
    <row r="4648">
      <c r="A4648" s="20" t="s">
        <v>29953</v>
      </c>
      <c r="B4648" s="16" t="s">
        <v>29954</v>
      </c>
      <c r="C4648" s="16" t="s">
        <v>29955</v>
      </c>
      <c r="D4648" s="16" t="s">
        <v>16</v>
      </c>
      <c r="E4648" s="21" t="s">
        <v>29956</v>
      </c>
      <c r="F4648" s="22" t="s">
        <v>22263</v>
      </c>
      <c r="G4648" s="16">
        <v>23.61</v>
      </c>
      <c r="H4648" s="16"/>
      <c r="I4648" s="22"/>
      <c r="J4648" s="22" t="s">
        <v>29957</v>
      </c>
      <c r="K4648" s="22" t="s">
        <v>29958</v>
      </c>
      <c r="L4648" s="23" t="s">
        <v>29959</v>
      </c>
      <c r="M4648" s="22"/>
      <c r="N4648" s="12"/>
      <c r="O4648" s="12"/>
      <c r="P4648" s="13">
        <f>IFERROR(__xludf.DUMMYFUNCTION("VALUE(SUBSTITUTE((INDEX(SPLIT(A4648,"",""),1)),""."","","",1))"),56.052064)</f>
        <v>56.052064</v>
      </c>
      <c r="Q4648" s="13">
        <f>IFERROR(__xludf.DUMMYFUNCTION("VALUE(SUBSTITUTE((INDEX(SPLIT(A4648,"",""),2)),""."","","",1))"),92.911519)</f>
        <v>92.911519</v>
      </c>
      <c r="R4648" s="14" t="b">
        <f t="shared" si="1"/>
        <v>0</v>
      </c>
      <c r="S4648" s="14" t="str">
        <f t="shared" si="2"/>
        <v>56.052064,92.911519</v>
      </c>
      <c r="T4648" s="12"/>
    </row>
    <row r="4649">
      <c r="A4649" s="7" t="s">
        <v>29960</v>
      </c>
      <c r="B4649" s="8" t="s">
        <v>29961</v>
      </c>
      <c r="C4649" s="8" t="s">
        <v>29962</v>
      </c>
      <c r="D4649" s="8" t="s">
        <v>16</v>
      </c>
      <c r="E4649" s="9" t="s">
        <v>29963</v>
      </c>
      <c r="F4649" s="10" t="s">
        <v>22263</v>
      </c>
      <c r="G4649" s="8">
        <v>23.61</v>
      </c>
      <c r="H4649" s="8"/>
      <c r="I4649" s="31" t="s">
        <v>29964</v>
      </c>
      <c r="J4649" s="10" t="s">
        <v>29965</v>
      </c>
      <c r="K4649" s="10" t="s">
        <v>29681</v>
      </c>
      <c r="L4649" s="11" t="s">
        <v>29966</v>
      </c>
      <c r="M4649" s="11" t="s">
        <v>29967</v>
      </c>
      <c r="N4649" s="12"/>
      <c r="O4649" s="12"/>
      <c r="P4649" s="13">
        <f>IFERROR(__xludf.DUMMYFUNCTION("VALUE(SUBSTITUTE((INDEX(SPLIT(A4649,"",""),1)),""."","","",1))"),56.047012)</f>
        <v>56.047012</v>
      </c>
      <c r="Q4649" s="13">
        <f>IFERROR(__xludf.DUMMYFUNCTION("VALUE(SUBSTITUTE((INDEX(SPLIT(A4649,"",""),2)),""."","","",1))"),92.912202)</f>
        <v>92.912202</v>
      </c>
      <c r="R4649" s="14" t="b">
        <f t="shared" si="1"/>
        <v>0</v>
      </c>
      <c r="S4649" s="14" t="str">
        <f t="shared" si="2"/>
        <v>56.047012,92.912202</v>
      </c>
      <c r="T4649" s="12"/>
    </row>
    <row r="4650">
      <c r="A4650" s="20" t="s">
        <v>29968</v>
      </c>
      <c r="B4650" s="16" t="s">
        <v>29969</v>
      </c>
      <c r="C4650" s="16" t="s">
        <v>29970</v>
      </c>
      <c r="D4650" s="16" t="s">
        <v>16</v>
      </c>
      <c r="E4650" s="21" t="s">
        <v>29971</v>
      </c>
      <c r="F4650" s="22" t="s">
        <v>22263</v>
      </c>
      <c r="G4650" s="16">
        <v>23.61</v>
      </c>
      <c r="H4650" s="16"/>
      <c r="I4650" s="22"/>
      <c r="J4650" s="22" t="s">
        <v>29972</v>
      </c>
      <c r="K4650" s="22" t="s">
        <v>29973</v>
      </c>
      <c r="L4650" s="23" t="s">
        <v>29974</v>
      </c>
      <c r="M4650" s="23" t="s">
        <v>29975</v>
      </c>
      <c r="N4650" s="12"/>
      <c r="O4650" s="12"/>
      <c r="P4650" s="13">
        <f>IFERROR(__xludf.DUMMYFUNCTION("VALUE(SUBSTITUTE((INDEX(SPLIT(A4650,"",""),1)),""."","","",1))"),56.056619)</f>
        <v>56.056619</v>
      </c>
      <c r="Q4650" s="13">
        <f>IFERROR(__xludf.DUMMYFUNCTION("VALUE(SUBSTITUTE((INDEX(SPLIT(A4650,"",""),2)),""."","","",1))"),92.912633)</f>
        <v>92.912633</v>
      </c>
      <c r="R4650" s="14" t="b">
        <f t="shared" si="1"/>
        <v>0</v>
      </c>
      <c r="S4650" s="14" t="str">
        <f t="shared" si="2"/>
        <v>56.056619,92.912633</v>
      </c>
      <c r="T4650" s="12"/>
    </row>
    <row r="4651">
      <c r="A4651" s="7" t="s">
        <v>29976</v>
      </c>
      <c r="B4651" s="8" t="s">
        <v>29977</v>
      </c>
      <c r="C4651" s="8" t="s">
        <v>18098</v>
      </c>
      <c r="D4651" s="8" t="s">
        <v>16</v>
      </c>
      <c r="E4651" s="9" t="s">
        <v>29978</v>
      </c>
      <c r="F4651" s="10" t="s">
        <v>22263</v>
      </c>
      <c r="G4651" s="8">
        <v>23.61</v>
      </c>
      <c r="H4651" s="8"/>
      <c r="I4651" s="10"/>
      <c r="J4651" s="10" t="s">
        <v>29979</v>
      </c>
      <c r="K4651" s="10" t="s">
        <v>29980</v>
      </c>
      <c r="L4651" s="29" t="s">
        <v>29981</v>
      </c>
      <c r="M4651" s="10"/>
      <c r="N4651" s="12"/>
      <c r="O4651" s="12"/>
      <c r="P4651" s="13">
        <f>IFERROR(__xludf.DUMMYFUNCTION("VALUE(SUBSTITUTE((INDEX(SPLIT(A4651,"",""),1)),""."","","",1))"),56.06159)</f>
        <v>56.06159</v>
      </c>
      <c r="Q4651" s="13">
        <f>IFERROR(__xludf.DUMMYFUNCTION("VALUE(SUBSTITUTE((INDEX(SPLIT(A4651,"",""),2)),""."","","",1))"),92.918032)</f>
        <v>92.918032</v>
      </c>
      <c r="R4651" s="14" t="b">
        <f t="shared" si="1"/>
        <v>0</v>
      </c>
      <c r="S4651" s="14" t="str">
        <f t="shared" si="2"/>
        <v>56.06159,92.918032</v>
      </c>
      <c r="T4651" s="12"/>
    </row>
    <row r="4652">
      <c r="A4652" s="20" t="s">
        <v>29982</v>
      </c>
      <c r="B4652" s="16" t="s">
        <v>29983</v>
      </c>
      <c r="C4652" s="16" t="s">
        <v>29984</v>
      </c>
      <c r="D4652" s="16" t="s">
        <v>16</v>
      </c>
      <c r="E4652" s="21" t="s">
        <v>29985</v>
      </c>
      <c r="F4652" s="22" t="s">
        <v>22263</v>
      </c>
      <c r="G4652" s="16">
        <v>23.61</v>
      </c>
      <c r="H4652" s="16"/>
      <c r="I4652" s="22"/>
      <c r="J4652" s="22" t="s">
        <v>29986</v>
      </c>
      <c r="K4652" s="22" t="s">
        <v>29987</v>
      </c>
      <c r="L4652" s="23" t="s">
        <v>29988</v>
      </c>
      <c r="M4652" s="23" t="s">
        <v>29989</v>
      </c>
      <c r="N4652" s="12"/>
      <c r="O4652" s="12"/>
      <c r="P4652" s="13">
        <f>IFERROR(__xludf.DUMMYFUNCTION("VALUE(SUBSTITUTE((INDEX(SPLIT(A4652,"",""),1)),""."","","",1))"),56.042713)</f>
        <v>56.042713</v>
      </c>
      <c r="Q4652" s="13">
        <f>IFERROR(__xludf.DUMMYFUNCTION("VALUE(SUBSTITUTE((INDEX(SPLIT(A4652,"",""),2)),""."","","",1))"),92.918787)</f>
        <v>92.918787</v>
      </c>
      <c r="R4652" s="14" t="b">
        <f t="shared" si="1"/>
        <v>0</v>
      </c>
      <c r="S4652" s="14" t="str">
        <f t="shared" si="2"/>
        <v>56.042713,92.918787</v>
      </c>
      <c r="T4652" s="12"/>
    </row>
    <row r="4653">
      <c r="A4653" s="7" t="s">
        <v>29990</v>
      </c>
      <c r="B4653" s="8" t="s">
        <v>29991</v>
      </c>
      <c r="C4653" s="8" t="s">
        <v>29992</v>
      </c>
      <c r="D4653" s="8" t="s">
        <v>16</v>
      </c>
      <c r="E4653" s="9" t="s">
        <v>29993</v>
      </c>
      <c r="F4653" s="10" t="s">
        <v>22263</v>
      </c>
      <c r="G4653" s="8">
        <v>23.61</v>
      </c>
      <c r="H4653" s="8"/>
      <c r="I4653" s="10"/>
      <c r="J4653" s="10" t="s">
        <v>29994</v>
      </c>
      <c r="K4653" s="10" t="s">
        <v>29995</v>
      </c>
      <c r="L4653" s="11" t="s">
        <v>29996</v>
      </c>
      <c r="M4653" s="10"/>
      <c r="N4653" s="12"/>
      <c r="O4653" s="12"/>
      <c r="P4653" s="13">
        <f>IFERROR(__xludf.DUMMYFUNCTION("VALUE(SUBSTITUTE((INDEX(SPLIT(A4653,"",""),1)),""."","","",1))"),56.102097)</f>
        <v>56.102097</v>
      </c>
      <c r="Q4653" s="13">
        <f>IFERROR(__xludf.DUMMYFUNCTION("VALUE(SUBSTITUTE((INDEX(SPLIT(A4653,"",""),2)),""."","","",1))"),92.919334)</f>
        <v>92.919334</v>
      </c>
      <c r="R4653" s="14" t="b">
        <f t="shared" si="1"/>
        <v>0</v>
      </c>
      <c r="S4653" s="14" t="str">
        <f t="shared" si="2"/>
        <v>56.102097,92.919334</v>
      </c>
      <c r="T4653" s="12"/>
    </row>
    <row r="4654">
      <c r="A4654" s="20" t="s">
        <v>29997</v>
      </c>
      <c r="B4654" s="16" t="s">
        <v>29998</v>
      </c>
      <c r="C4654" s="16" t="s">
        <v>29999</v>
      </c>
      <c r="D4654" s="16" t="s">
        <v>16</v>
      </c>
      <c r="E4654" s="21" t="s">
        <v>30000</v>
      </c>
      <c r="F4654" s="22" t="s">
        <v>22263</v>
      </c>
      <c r="G4654" s="16">
        <v>23.61</v>
      </c>
      <c r="H4654" s="16"/>
      <c r="I4654" s="22"/>
      <c r="J4654" s="22" t="s">
        <v>30001</v>
      </c>
      <c r="K4654" s="22" t="s">
        <v>30002</v>
      </c>
      <c r="L4654" s="23" t="s">
        <v>30003</v>
      </c>
      <c r="M4654" s="22"/>
      <c r="N4654" s="12"/>
      <c r="O4654" s="12"/>
      <c r="P4654" s="13">
        <f>IFERROR(__xludf.DUMMYFUNCTION("VALUE(SUBSTITUTE((INDEX(SPLIT(A4654,"",""),1)),""."","","",1))"),56.12128)</f>
        <v>56.12128</v>
      </c>
      <c r="Q4654" s="13">
        <f>IFERROR(__xludf.DUMMYFUNCTION("VALUE(SUBSTITUTE((INDEX(SPLIT(A4654,"",""),2)),""."","","",1))"),92.922964)</f>
        <v>92.922964</v>
      </c>
      <c r="R4654" s="14" t="b">
        <f t="shared" si="1"/>
        <v>0</v>
      </c>
      <c r="S4654" s="14" t="str">
        <f t="shared" si="2"/>
        <v>56.12128,92.922964</v>
      </c>
      <c r="T4654" s="12"/>
    </row>
    <row r="4655">
      <c r="A4655" s="7" t="s">
        <v>30004</v>
      </c>
      <c r="B4655" s="8" t="s">
        <v>30005</v>
      </c>
      <c r="C4655" s="8" t="s">
        <v>30006</v>
      </c>
      <c r="D4655" s="8" t="s">
        <v>16</v>
      </c>
      <c r="E4655" s="9" t="s">
        <v>30007</v>
      </c>
      <c r="F4655" s="10" t="s">
        <v>22263</v>
      </c>
      <c r="G4655" s="8">
        <v>23.61</v>
      </c>
      <c r="H4655" s="8"/>
      <c r="I4655" s="10"/>
      <c r="J4655" s="10" t="s">
        <v>30008</v>
      </c>
      <c r="K4655" s="10" t="s">
        <v>30009</v>
      </c>
      <c r="L4655" s="11" t="s">
        <v>30010</v>
      </c>
      <c r="M4655" s="11" t="s">
        <v>30011</v>
      </c>
      <c r="N4655" s="12"/>
      <c r="O4655" s="12"/>
      <c r="P4655" s="13">
        <f>IFERROR(__xludf.DUMMYFUNCTION("VALUE(SUBSTITUTE((INDEX(SPLIT(A4655,"",""),1)),""."","","",1))"),56.11169)</f>
        <v>56.11169</v>
      </c>
      <c r="Q4655" s="13">
        <f>IFERROR(__xludf.DUMMYFUNCTION("VALUE(SUBSTITUTE((INDEX(SPLIT(A4655,"",""),2)),""."","","",1))"),92.925326)</f>
        <v>92.925326</v>
      </c>
      <c r="R4655" s="14" t="b">
        <f t="shared" si="1"/>
        <v>0</v>
      </c>
      <c r="S4655" s="14" t="str">
        <f t="shared" si="2"/>
        <v>56.11169,92.925326</v>
      </c>
      <c r="T4655" s="12"/>
    </row>
    <row r="4656">
      <c r="A4656" s="15" t="s">
        <v>30012</v>
      </c>
      <c r="B4656" s="16" t="s">
        <v>30013</v>
      </c>
      <c r="C4656" s="16" t="s">
        <v>30014</v>
      </c>
      <c r="D4656" s="16" t="s">
        <v>16</v>
      </c>
      <c r="E4656" s="17" t="s">
        <v>30015</v>
      </c>
      <c r="F4656" s="16" t="s">
        <v>22263</v>
      </c>
      <c r="G4656" s="16">
        <v>23.61</v>
      </c>
      <c r="H4656" s="16"/>
      <c r="I4656" s="16"/>
      <c r="J4656" s="16" t="s">
        <v>30016</v>
      </c>
      <c r="K4656" s="16" t="s">
        <v>30017</v>
      </c>
      <c r="L4656" s="16"/>
      <c r="M4656" s="16"/>
      <c r="N4656" s="12"/>
      <c r="O4656" s="12"/>
      <c r="P4656" s="13">
        <f>IFERROR(__xludf.DUMMYFUNCTION("VALUE(SUBSTITUTE((INDEX(SPLIT(A4656,"",""),1)),""."","","",1))"),56.067128)</f>
        <v>56.067128</v>
      </c>
      <c r="Q4656" s="13">
        <f>IFERROR(__xludf.DUMMYFUNCTION("VALUE(SUBSTITUTE((INDEX(SPLIT(A4656,"",""),2)),""."","","",1))"),92.927563)</f>
        <v>92.927563</v>
      </c>
      <c r="R4656" s="14" t="b">
        <f t="shared" si="1"/>
        <v>0</v>
      </c>
      <c r="S4656" s="14" t="str">
        <f t="shared" si="2"/>
        <v>56.067128,92.927563</v>
      </c>
      <c r="T4656" s="12"/>
    </row>
    <row r="4657">
      <c r="A4657" s="7" t="s">
        <v>30018</v>
      </c>
      <c r="B4657" s="8" t="s">
        <v>30019</v>
      </c>
      <c r="C4657" s="8" t="s">
        <v>30020</v>
      </c>
      <c r="D4657" s="8" t="s">
        <v>16</v>
      </c>
      <c r="E4657" s="9" t="s">
        <v>30021</v>
      </c>
      <c r="F4657" s="10" t="s">
        <v>22263</v>
      </c>
      <c r="G4657" s="8">
        <v>23.61</v>
      </c>
      <c r="H4657" s="8"/>
      <c r="I4657" s="10"/>
      <c r="J4657" s="10" t="s">
        <v>30022</v>
      </c>
      <c r="K4657" s="10" t="s">
        <v>30023</v>
      </c>
      <c r="L4657" s="11" t="s">
        <v>30024</v>
      </c>
      <c r="M4657" s="10"/>
      <c r="N4657" s="12"/>
      <c r="O4657" s="12"/>
      <c r="P4657" s="13">
        <f>IFERROR(__xludf.DUMMYFUNCTION("VALUE(SUBSTITUTE((INDEX(SPLIT(A4657,"",""),1)),""."","","",1))"),55.983837)</f>
        <v>55.983837</v>
      </c>
      <c r="Q4657" s="13">
        <f>IFERROR(__xludf.DUMMYFUNCTION("VALUE(SUBSTITUTE((INDEX(SPLIT(A4657,"",""),2)),""."","","",1))"),92.928057)</f>
        <v>92.928057</v>
      </c>
      <c r="R4657" s="14" t="b">
        <f t="shared" si="1"/>
        <v>0</v>
      </c>
      <c r="S4657" s="14" t="str">
        <f t="shared" si="2"/>
        <v>55.983837,92.928057</v>
      </c>
      <c r="T4657" s="12"/>
    </row>
    <row r="4658">
      <c r="A4658" s="20" t="s">
        <v>30025</v>
      </c>
      <c r="B4658" s="16" t="s">
        <v>30026</v>
      </c>
      <c r="C4658" s="16" t="s">
        <v>30027</v>
      </c>
      <c r="D4658" s="16" t="s">
        <v>16</v>
      </c>
      <c r="E4658" s="21" t="s">
        <v>30028</v>
      </c>
      <c r="F4658" s="22" t="s">
        <v>22263</v>
      </c>
      <c r="G4658" s="16">
        <v>23.61</v>
      </c>
      <c r="H4658" s="16"/>
      <c r="I4658" s="22"/>
      <c r="J4658" s="22" t="s">
        <v>30029</v>
      </c>
      <c r="K4658" s="22" t="s">
        <v>30030</v>
      </c>
      <c r="L4658" s="23" t="s">
        <v>30031</v>
      </c>
      <c r="M4658" s="22"/>
      <c r="N4658" s="12"/>
      <c r="O4658" s="12"/>
      <c r="P4658" s="13">
        <f>IFERROR(__xludf.DUMMYFUNCTION("VALUE(SUBSTITUTE((INDEX(SPLIT(A4658,"",""),1)),""."","","",1))"),55.978428)</f>
        <v>55.978428</v>
      </c>
      <c r="Q4658" s="13">
        <f>IFERROR(__xludf.DUMMYFUNCTION("VALUE(SUBSTITUTE((INDEX(SPLIT(A4658,"",""),2)),""."","","",1))"),92.933815)</f>
        <v>92.933815</v>
      </c>
      <c r="R4658" s="14" t="b">
        <f t="shared" si="1"/>
        <v>0</v>
      </c>
      <c r="S4658" s="14" t="str">
        <f t="shared" si="2"/>
        <v>55.978428,92.933815</v>
      </c>
      <c r="T4658" s="12"/>
    </row>
    <row r="4659">
      <c r="A4659" s="7" t="s">
        <v>30032</v>
      </c>
      <c r="B4659" s="8" t="s">
        <v>30033</v>
      </c>
      <c r="C4659" s="8" t="s">
        <v>30034</v>
      </c>
      <c r="D4659" s="8" t="s">
        <v>16</v>
      </c>
      <c r="E4659" s="9" t="s">
        <v>30035</v>
      </c>
      <c r="F4659" s="10" t="s">
        <v>22263</v>
      </c>
      <c r="G4659" s="8">
        <v>23.61</v>
      </c>
      <c r="H4659" s="8"/>
      <c r="I4659" s="10"/>
      <c r="J4659" s="10" t="s">
        <v>30036</v>
      </c>
      <c r="K4659" s="10" t="s">
        <v>30037</v>
      </c>
      <c r="L4659" s="11" t="s">
        <v>30038</v>
      </c>
      <c r="M4659" s="10"/>
      <c r="N4659" s="12"/>
      <c r="O4659" s="12"/>
      <c r="P4659" s="13">
        <f>IFERROR(__xludf.DUMMYFUNCTION("VALUE(SUBSTITUTE((INDEX(SPLIT(A4659,"",""),1)),""."","","",1))"),56.058931)</f>
        <v>56.058931</v>
      </c>
      <c r="Q4659" s="13">
        <f>IFERROR(__xludf.DUMMYFUNCTION("VALUE(SUBSTITUTE((INDEX(SPLIT(A4659,"",""),2)),""."","","",1))"),92.937597)</f>
        <v>92.937597</v>
      </c>
      <c r="R4659" s="14" t="b">
        <f t="shared" si="1"/>
        <v>0</v>
      </c>
      <c r="S4659" s="14" t="str">
        <f t="shared" si="2"/>
        <v>56.058931,92.937597</v>
      </c>
      <c r="T4659" s="12"/>
    </row>
    <row r="4660">
      <c r="A4660" s="15" t="s">
        <v>30039</v>
      </c>
      <c r="B4660" s="16" t="s">
        <v>30040</v>
      </c>
      <c r="C4660" s="16" t="s">
        <v>30041</v>
      </c>
      <c r="D4660" s="16" t="s">
        <v>16</v>
      </c>
      <c r="E4660" s="17" t="s">
        <v>30042</v>
      </c>
      <c r="F4660" s="16" t="s">
        <v>22263</v>
      </c>
      <c r="G4660" s="16">
        <v>23.61</v>
      </c>
      <c r="H4660" s="16"/>
      <c r="I4660" s="16"/>
      <c r="J4660" s="16" t="s">
        <v>30043</v>
      </c>
      <c r="K4660" s="16" t="s">
        <v>30044</v>
      </c>
      <c r="L4660" s="16"/>
      <c r="M4660" s="25" t="s">
        <v>30045</v>
      </c>
      <c r="N4660" s="12"/>
      <c r="O4660" s="12"/>
      <c r="P4660" s="13">
        <f>IFERROR(__xludf.DUMMYFUNCTION("VALUE(SUBSTITUTE((INDEX(SPLIT(A4660,"",""),1)),""."","","",1))"),56.059237)</f>
        <v>56.059237</v>
      </c>
      <c r="Q4660" s="13">
        <f>IFERROR(__xludf.DUMMYFUNCTION("VALUE(SUBSTITUTE((INDEX(SPLIT(A4660,"",""),2)),""."","","",1))"),92.944281)</f>
        <v>92.944281</v>
      </c>
      <c r="R4660" s="14" t="b">
        <f t="shared" si="1"/>
        <v>0</v>
      </c>
      <c r="S4660" s="14" t="str">
        <f t="shared" si="2"/>
        <v>56.059237,92.944281</v>
      </c>
      <c r="T4660" s="12"/>
    </row>
    <row r="4661">
      <c r="A4661" s="18" t="s">
        <v>30046</v>
      </c>
      <c r="B4661" s="8" t="s">
        <v>30047</v>
      </c>
      <c r="C4661" s="8" t="s">
        <v>30048</v>
      </c>
      <c r="D4661" s="8" t="s">
        <v>16</v>
      </c>
      <c r="E4661" s="19" t="s">
        <v>30049</v>
      </c>
      <c r="F4661" s="8" t="s">
        <v>22263</v>
      </c>
      <c r="G4661" s="8">
        <v>23.61</v>
      </c>
      <c r="H4661" s="8"/>
      <c r="I4661" s="8"/>
      <c r="J4661" s="8" t="s">
        <v>30050</v>
      </c>
      <c r="K4661" s="8" t="s">
        <v>30051</v>
      </c>
      <c r="L4661" s="8"/>
      <c r="M4661" s="8"/>
      <c r="N4661" s="12"/>
      <c r="O4661" s="12"/>
      <c r="P4661" s="13">
        <f>IFERROR(__xludf.DUMMYFUNCTION("VALUE(SUBSTITUTE((INDEX(SPLIT(A4661,"",""),1)),""."","","",1))"),56.064062)</f>
        <v>56.064062</v>
      </c>
      <c r="Q4661" s="13">
        <f>IFERROR(__xludf.DUMMYFUNCTION("VALUE(SUBSTITUTE((INDEX(SPLIT(A4661,"",""),2)),""."","","",1))"),92.944568)</f>
        <v>92.944568</v>
      </c>
      <c r="R4661" s="14" t="b">
        <f t="shared" si="1"/>
        <v>0</v>
      </c>
      <c r="S4661" s="14" t="str">
        <f t="shared" si="2"/>
        <v>56.064062,92.944568</v>
      </c>
      <c r="T4661" s="12"/>
    </row>
    <row r="4662">
      <c r="A4662" s="20" t="s">
        <v>30052</v>
      </c>
      <c r="B4662" s="16" t="s">
        <v>30053</v>
      </c>
      <c r="C4662" s="16" t="s">
        <v>30054</v>
      </c>
      <c r="D4662" s="16" t="s">
        <v>16</v>
      </c>
      <c r="E4662" s="21" t="s">
        <v>30055</v>
      </c>
      <c r="F4662" s="22" t="s">
        <v>22263</v>
      </c>
      <c r="G4662" s="16">
        <v>23.61</v>
      </c>
      <c r="H4662" s="16"/>
      <c r="I4662" s="22"/>
      <c r="J4662" s="22" t="s">
        <v>30056</v>
      </c>
      <c r="K4662" s="22" t="s">
        <v>30057</v>
      </c>
      <c r="L4662" s="23" t="s">
        <v>30058</v>
      </c>
      <c r="M4662" s="22"/>
      <c r="N4662" s="12"/>
      <c r="O4662" s="12"/>
      <c r="P4662" s="13">
        <f>IFERROR(__xludf.DUMMYFUNCTION("VALUE(SUBSTITUTE((INDEX(SPLIT(A4662,"",""),1)),""."","","",1))"),56.017422)</f>
        <v>56.017422</v>
      </c>
      <c r="Q4662" s="13">
        <f>IFERROR(__xludf.DUMMYFUNCTION("VALUE(SUBSTITUTE((INDEX(SPLIT(A4662,"",""),2)),""."","","",1))"),92.960163)</f>
        <v>92.960163</v>
      </c>
      <c r="R4662" s="14" t="b">
        <f t="shared" si="1"/>
        <v>0</v>
      </c>
      <c r="S4662" s="14" t="str">
        <f t="shared" si="2"/>
        <v>56.017422,92.960163</v>
      </c>
      <c r="T4662" s="12"/>
    </row>
    <row r="4663">
      <c r="A4663" s="7" t="s">
        <v>30059</v>
      </c>
      <c r="B4663" s="8" t="s">
        <v>30060</v>
      </c>
      <c r="C4663" s="8" t="s">
        <v>30061</v>
      </c>
      <c r="D4663" s="8" t="s">
        <v>16</v>
      </c>
      <c r="E4663" s="9" t="s">
        <v>30062</v>
      </c>
      <c r="F4663" s="10" t="s">
        <v>22263</v>
      </c>
      <c r="G4663" s="8">
        <v>23.61</v>
      </c>
      <c r="H4663" s="8"/>
      <c r="I4663" s="10"/>
      <c r="J4663" s="10" t="s">
        <v>30063</v>
      </c>
      <c r="K4663" s="10" t="s">
        <v>30064</v>
      </c>
      <c r="L4663" s="11" t="s">
        <v>30065</v>
      </c>
      <c r="M4663" s="11" t="s">
        <v>30066</v>
      </c>
      <c r="N4663" s="12"/>
      <c r="O4663" s="12"/>
      <c r="P4663" s="13">
        <f>IFERROR(__xludf.DUMMYFUNCTION("VALUE(SUBSTITUTE((INDEX(SPLIT(A4663,"",""),1)),""."","","",1))"),56.008903)</f>
        <v>56.008903</v>
      </c>
      <c r="Q4663" s="13">
        <f>IFERROR(__xludf.DUMMYFUNCTION("VALUE(SUBSTITUTE((INDEX(SPLIT(A4663,"",""),2)),""."","","",1))"),92.969353)</f>
        <v>92.969353</v>
      </c>
      <c r="R4663" s="14" t="b">
        <f t="shared" si="1"/>
        <v>0</v>
      </c>
      <c r="S4663" s="14" t="str">
        <f t="shared" si="2"/>
        <v>56.008903,92.969353</v>
      </c>
      <c r="T4663" s="12"/>
    </row>
    <row r="4664">
      <c r="A4664" s="20" t="s">
        <v>30067</v>
      </c>
      <c r="B4664" s="16" t="s">
        <v>30068</v>
      </c>
      <c r="C4664" s="16" t="s">
        <v>30069</v>
      </c>
      <c r="D4664" s="16" t="s">
        <v>16</v>
      </c>
      <c r="E4664" s="21" t="s">
        <v>30070</v>
      </c>
      <c r="F4664" s="22" t="s">
        <v>22263</v>
      </c>
      <c r="G4664" s="16">
        <v>23.61</v>
      </c>
      <c r="H4664" s="16"/>
      <c r="I4664" s="28" t="s">
        <v>30071</v>
      </c>
      <c r="J4664" s="22" t="s">
        <v>30072</v>
      </c>
      <c r="K4664" s="22" t="s">
        <v>30073</v>
      </c>
      <c r="L4664" s="30" t="s">
        <v>30074</v>
      </c>
      <c r="M4664" s="22"/>
      <c r="N4664" s="12"/>
      <c r="O4664" s="12"/>
      <c r="P4664" s="13">
        <f>IFERROR(__xludf.DUMMYFUNCTION("VALUE(SUBSTITUTE((INDEX(SPLIT(A4664,"",""),1)),""."","","",1))"),56.083164)</f>
        <v>56.083164</v>
      </c>
      <c r="Q4664" s="13">
        <f>IFERROR(__xludf.DUMMYFUNCTION("VALUE(SUBSTITUTE((INDEX(SPLIT(A4664,"",""),2)),""."","","",1))"),92.975309)</f>
        <v>92.975309</v>
      </c>
      <c r="R4664" s="14" t="b">
        <f t="shared" si="1"/>
        <v>0</v>
      </c>
      <c r="S4664" s="14" t="str">
        <f t="shared" si="2"/>
        <v>56.083164,92.975309</v>
      </c>
      <c r="T4664" s="12"/>
    </row>
    <row r="4665">
      <c r="A4665" s="18" t="s">
        <v>30075</v>
      </c>
      <c r="B4665" s="8" t="s">
        <v>30076</v>
      </c>
      <c r="C4665" s="8" t="s">
        <v>30077</v>
      </c>
      <c r="D4665" s="8" t="s">
        <v>16</v>
      </c>
      <c r="E4665" s="19" t="s">
        <v>30078</v>
      </c>
      <c r="F4665" s="8" t="s">
        <v>22263</v>
      </c>
      <c r="G4665" s="8">
        <v>23.61</v>
      </c>
      <c r="H4665" s="8"/>
      <c r="I4665" s="8"/>
      <c r="J4665" s="8" t="s">
        <v>30079</v>
      </c>
      <c r="K4665" s="8" t="s">
        <v>30080</v>
      </c>
      <c r="L4665" s="8"/>
      <c r="M4665" s="8"/>
      <c r="N4665" s="12"/>
      <c r="O4665" s="12"/>
      <c r="P4665" s="13">
        <f>IFERROR(__xludf.DUMMYFUNCTION("VALUE(SUBSTITUTE((INDEX(SPLIT(A4665,"",""),1)),""."","","",1))"),56.084285)</f>
        <v>56.084285</v>
      </c>
      <c r="Q4665" s="13">
        <f>IFERROR(__xludf.DUMMYFUNCTION("VALUE(SUBSTITUTE((INDEX(SPLIT(A4665,"",""),2)),""."","","",1))"),92.980384)</f>
        <v>92.980384</v>
      </c>
      <c r="R4665" s="14" t="b">
        <f t="shared" si="1"/>
        <v>0</v>
      </c>
      <c r="S4665" s="14" t="str">
        <f t="shared" si="2"/>
        <v>56.084285,92.980384</v>
      </c>
      <c r="T4665" s="12"/>
    </row>
    <row r="4666">
      <c r="A4666" s="20" t="s">
        <v>30081</v>
      </c>
      <c r="B4666" s="16" t="s">
        <v>30082</v>
      </c>
      <c r="C4666" s="16" t="s">
        <v>30083</v>
      </c>
      <c r="D4666" s="16" t="s">
        <v>16</v>
      </c>
      <c r="E4666" s="21" t="s">
        <v>30084</v>
      </c>
      <c r="F4666" s="22" t="s">
        <v>18995</v>
      </c>
      <c r="G4666" s="16">
        <v>23.61</v>
      </c>
      <c r="H4666" s="16"/>
      <c r="I4666" s="22"/>
      <c r="J4666" s="22" t="s">
        <v>30085</v>
      </c>
      <c r="K4666" s="22" t="s">
        <v>30086</v>
      </c>
      <c r="L4666" s="23" t="s">
        <v>30087</v>
      </c>
      <c r="M4666" s="23" t="s">
        <v>30088</v>
      </c>
      <c r="N4666" s="12"/>
      <c r="O4666" s="12"/>
      <c r="P4666" s="13">
        <f>IFERROR(__xludf.DUMMYFUNCTION("VALUE(SUBSTITUTE((INDEX(SPLIT(A4666,"",""),1)),""."","","",1))"),56.081818)</f>
        <v>56.081818</v>
      </c>
      <c r="Q4666" s="13">
        <f>IFERROR(__xludf.DUMMYFUNCTION("VALUE(SUBSTITUTE((INDEX(SPLIT(A4666,"",""),2)),""."","","",1))"),92.98042)</f>
        <v>92.98042</v>
      </c>
      <c r="R4666" s="14" t="b">
        <f t="shared" si="1"/>
        <v>0</v>
      </c>
      <c r="S4666" s="14" t="str">
        <f t="shared" si="2"/>
        <v>56.081818,92.98042</v>
      </c>
      <c r="T4666" s="12"/>
    </row>
    <row r="4667">
      <c r="A4667" s="7" t="s">
        <v>30089</v>
      </c>
      <c r="B4667" s="8" t="s">
        <v>30090</v>
      </c>
      <c r="C4667" s="8" t="s">
        <v>30091</v>
      </c>
      <c r="D4667" s="8" t="s">
        <v>16</v>
      </c>
      <c r="E4667" s="9" t="s">
        <v>30092</v>
      </c>
      <c r="F4667" s="10" t="s">
        <v>22263</v>
      </c>
      <c r="G4667" s="8">
        <v>23.61</v>
      </c>
      <c r="H4667" s="8"/>
      <c r="I4667" s="31" t="s">
        <v>30093</v>
      </c>
      <c r="J4667" s="10" t="s">
        <v>30094</v>
      </c>
      <c r="K4667" s="10" t="s">
        <v>30095</v>
      </c>
      <c r="L4667" s="11" t="s">
        <v>30096</v>
      </c>
      <c r="M4667" s="10"/>
      <c r="N4667" s="12"/>
      <c r="O4667" s="12"/>
      <c r="P4667" s="13">
        <f>IFERROR(__xludf.DUMMYFUNCTION("VALUE(SUBSTITUTE((INDEX(SPLIT(A4667,"",""),1)),""."","","",1))"),56.076775)</f>
        <v>56.076775</v>
      </c>
      <c r="Q4667" s="13">
        <f>IFERROR(__xludf.DUMMYFUNCTION("VALUE(SUBSTITUTE((INDEX(SPLIT(A4667,"",""),2)),""."","","",1))"),92.986618)</f>
        <v>92.986618</v>
      </c>
      <c r="R4667" s="14" t="b">
        <f t="shared" si="1"/>
        <v>0</v>
      </c>
      <c r="S4667" s="14" t="str">
        <f t="shared" si="2"/>
        <v>56.076775,92.986618</v>
      </c>
      <c r="T4667" s="12"/>
    </row>
    <row r="4668">
      <c r="A4668" s="15" t="s">
        <v>30097</v>
      </c>
      <c r="B4668" s="16" t="s">
        <v>30098</v>
      </c>
      <c r="C4668" s="16" t="s">
        <v>30099</v>
      </c>
      <c r="D4668" s="16" t="s">
        <v>16</v>
      </c>
      <c r="E4668" s="17" t="s">
        <v>30100</v>
      </c>
      <c r="F4668" s="16" t="s">
        <v>22263</v>
      </c>
      <c r="G4668" s="16">
        <v>23.61</v>
      </c>
      <c r="H4668" s="16"/>
      <c r="I4668" s="16"/>
      <c r="J4668" s="16" t="s">
        <v>30101</v>
      </c>
      <c r="K4668" s="16" t="s">
        <v>30102</v>
      </c>
      <c r="L4668" s="16"/>
      <c r="M4668" s="25" t="s">
        <v>30103</v>
      </c>
      <c r="N4668" s="12"/>
      <c r="O4668" s="12"/>
      <c r="P4668" s="13">
        <f>IFERROR(__xludf.DUMMYFUNCTION("VALUE(SUBSTITUTE((INDEX(SPLIT(A4668,"",""),1)),""."","","",1))"),56.078628)</f>
        <v>56.078628</v>
      </c>
      <c r="Q4668" s="13">
        <f>IFERROR(__xludf.DUMMYFUNCTION("VALUE(SUBSTITUTE((INDEX(SPLIT(A4668,"",""),2)),""."","","",1))"),92.988136)</f>
        <v>92.988136</v>
      </c>
      <c r="R4668" s="14" t="b">
        <f t="shared" si="1"/>
        <v>0</v>
      </c>
      <c r="S4668" s="14" t="str">
        <f t="shared" si="2"/>
        <v>56.078628,92.988136</v>
      </c>
      <c r="T4668" s="12"/>
    </row>
    <row r="4669">
      <c r="A4669" s="7" t="s">
        <v>30104</v>
      </c>
      <c r="B4669" s="8" t="s">
        <v>30105</v>
      </c>
      <c r="C4669" s="8" t="s">
        <v>30106</v>
      </c>
      <c r="D4669" s="8" t="s">
        <v>16</v>
      </c>
      <c r="E4669" s="9" t="s">
        <v>30107</v>
      </c>
      <c r="F4669" s="10" t="s">
        <v>22263</v>
      </c>
      <c r="G4669" s="8">
        <v>23.61</v>
      </c>
      <c r="H4669" s="8"/>
      <c r="I4669" s="10"/>
      <c r="J4669" s="10" t="s">
        <v>30108</v>
      </c>
      <c r="K4669" s="10" t="s">
        <v>30109</v>
      </c>
      <c r="L4669" s="29" t="s">
        <v>30110</v>
      </c>
      <c r="M4669" s="10"/>
      <c r="N4669" s="12"/>
      <c r="O4669" s="12"/>
      <c r="P4669" s="13">
        <f>IFERROR(__xludf.DUMMYFUNCTION("VALUE(SUBSTITUTE((INDEX(SPLIT(A4669,"",""),1)),""."","","",1))"),56.082426)</f>
        <v>56.082426</v>
      </c>
      <c r="Q4669" s="13">
        <f>IFERROR(__xludf.DUMMYFUNCTION("VALUE(SUBSTITUTE((INDEX(SPLIT(A4669,"",""),2)),""."","","",1))"),92.989223)</f>
        <v>92.989223</v>
      </c>
      <c r="R4669" s="14" t="b">
        <f t="shared" si="1"/>
        <v>0</v>
      </c>
      <c r="S4669" s="14" t="str">
        <f t="shared" si="2"/>
        <v>56.082426,92.989223</v>
      </c>
      <c r="T4669" s="12"/>
    </row>
    <row r="4670">
      <c r="A4670" s="20" t="s">
        <v>30111</v>
      </c>
      <c r="B4670" s="16" t="s">
        <v>30112</v>
      </c>
      <c r="C4670" s="16" t="s">
        <v>30113</v>
      </c>
      <c r="D4670" s="16" t="s">
        <v>16</v>
      </c>
      <c r="E4670" s="21" t="s">
        <v>30114</v>
      </c>
      <c r="F4670" s="22" t="s">
        <v>22263</v>
      </c>
      <c r="G4670" s="16">
        <v>23.61</v>
      </c>
      <c r="H4670" s="16"/>
      <c r="I4670" s="22"/>
      <c r="J4670" s="22" t="s">
        <v>30115</v>
      </c>
      <c r="K4670" s="22" t="s">
        <v>29681</v>
      </c>
      <c r="L4670" s="23" t="s">
        <v>30116</v>
      </c>
      <c r="M4670" s="22"/>
      <c r="N4670" s="12"/>
      <c r="O4670" s="12"/>
      <c r="P4670" s="13">
        <f>IFERROR(__xludf.DUMMYFUNCTION("VALUE(SUBSTITUTE((INDEX(SPLIT(A4670,"",""),1)),""."","","",1))"),56.080301)</f>
        <v>56.080301</v>
      </c>
      <c r="Q4670" s="13">
        <f>IFERROR(__xludf.DUMMYFUNCTION("VALUE(SUBSTITUTE((INDEX(SPLIT(A4670,"",""),2)),""."","","",1))"),92.989969)</f>
        <v>92.989969</v>
      </c>
      <c r="R4670" s="14" t="b">
        <f t="shared" si="1"/>
        <v>0</v>
      </c>
      <c r="S4670" s="14" t="str">
        <f t="shared" si="2"/>
        <v>56.080301,92.989969</v>
      </c>
      <c r="T4670" s="12"/>
    </row>
    <row r="4671">
      <c r="A4671" s="7" t="s">
        <v>30117</v>
      </c>
      <c r="B4671" s="8" t="s">
        <v>30118</v>
      </c>
      <c r="C4671" s="8" t="s">
        <v>30119</v>
      </c>
      <c r="D4671" s="8" t="s">
        <v>16</v>
      </c>
      <c r="E4671" s="9" t="s">
        <v>30120</v>
      </c>
      <c r="F4671" s="10" t="s">
        <v>22263</v>
      </c>
      <c r="G4671" s="8">
        <v>23.61</v>
      </c>
      <c r="H4671" s="8"/>
      <c r="I4671" s="10"/>
      <c r="J4671" s="10" t="s">
        <v>30121</v>
      </c>
      <c r="K4671" s="10" t="s">
        <v>30122</v>
      </c>
      <c r="L4671" s="11" t="s">
        <v>30123</v>
      </c>
      <c r="M4671" s="10"/>
      <c r="N4671" s="12"/>
      <c r="O4671" s="12"/>
      <c r="P4671" s="13">
        <f>IFERROR(__xludf.DUMMYFUNCTION("VALUE(SUBSTITUTE((INDEX(SPLIT(A4671,"",""),1)),""."","","",1))"),56.068635)</f>
        <v>56.068635</v>
      </c>
      <c r="Q4671" s="13">
        <f>IFERROR(__xludf.DUMMYFUNCTION("VALUE(SUBSTITUTE((INDEX(SPLIT(A4671,"",""),2)),""."","","",1))"),92.992287)</f>
        <v>92.992287</v>
      </c>
      <c r="R4671" s="14" t="b">
        <f t="shared" si="1"/>
        <v>0</v>
      </c>
      <c r="S4671" s="14" t="str">
        <f t="shared" si="2"/>
        <v>56.068635,92.992287</v>
      </c>
      <c r="T4671" s="12"/>
    </row>
    <row r="4672">
      <c r="A4672" s="20" t="s">
        <v>30124</v>
      </c>
      <c r="B4672" s="16" t="s">
        <v>30125</v>
      </c>
      <c r="C4672" s="16" t="s">
        <v>30126</v>
      </c>
      <c r="D4672" s="16" t="s">
        <v>16</v>
      </c>
      <c r="E4672" s="21" t="s">
        <v>30127</v>
      </c>
      <c r="F4672" s="22" t="s">
        <v>22263</v>
      </c>
      <c r="G4672" s="16">
        <v>23.61</v>
      </c>
      <c r="H4672" s="16"/>
      <c r="I4672" s="22"/>
      <c r="J4672" s="22" t="s">
        <v>30128</v>
      </c>
      <c r="K4672" s="22" t="s">
        <v>30129</v>
      </c>
      <c r="L4672" s="23" t="s">
        <v>30130</v>
      </c>
      <c r="M4672" s="22"/>
      <c r="N4672" s="12"/>
      <c r="O4672" s="12"/>
      <c r="P4672" s="13">
        <f>IFERROR(__xludf.DUMMYFUNCTION("VALUE(SUBSTITUTE((INDEX(SPLIT(A4672,"",""),1)),""."","","",1))"),56.021452)</f>
        <v>56.021452</v>
      </c>
      <c r="Q4672" s="13">
        <f>IFERROR(__xludf.DUMMYFUNCTION("VALUE(SUBSTITUTE((INDEX(SPLIT(A4672,"",""),2)),""."","","",1))"),92.997174)</f>
        <v>92.997174</v>
      </c>
      <c r="R4672" s="14" t="b">
        <f t="shared" si="1"/>
        <v>0</v>
      </c>
      <c r="S4672" s="14" t="str">
        <f t="shared" si="2"/>
        <v>56.021452,92.997174</v>
      </c>
      <c r="T4672" s="12"/>
    </row>
    <row r="4673">
      <c r="A4673" s="7" t="s">
        <v>30131</v>
      </c>
      <c r="B4673" s="8" t="s">
        <v>30132</v>
      </c>
      <c r="C4673" s="8" t="s">
        <v>30133</v>
      </c>
      <c r="D4673" s="8" t="s">
        <v>16</v>
      </c>
      <c r="E4673" s="9" t="s">
        <v>30134</v>
      </c>
      <c r="F4673" s="10" t="s">
        <v>22263</v>
      </c>
      <c r="G4673" s="8">
        <v>23.61</v>
      </c>
      <c r="H4673" s="8"/>
      <c r="I4673" s="10"/>
      <c r="J4673" s="10" t="s">
        <v>30135</v>
      </c>
      <c r="K4673" s="10" t="s">
        <v>30136</v>
      </c>
      <c r="L4673" s="29" t="s">
        <v>30137</v>
      </c>
      <c r="M4673" s="10"/>
      <c r="N4673" s="12"/>
      <c r="O4673" s="12"/>
      <c r="P4673" s="13">
        <f>IFERROR(__xludf.DUMMYFUNCTION("VALUE(SUBSTITUTE((INDEX(SPLIT(A4673,"",""),1)),""."","","",1))"),56.078397)</f>
        <v>56.078397</v>
      </c>
      <c r="Q4673" s="13">
        <f>IFERROR(__xludf.DUMMYFUNCTION("VALUE(SUBSTITUTE((INDEX(SPLIT(A4673,"",""),2)),""."","","",1))"),92.997371)</f>
        <v>92.997371</v>
      </c>
      <c r="R4673" s="14" t="b">
        <f t="shared" si="1"/>
        <v>0</v>
      </c>
      <c r="S4673" s="14" t="str">
        <f t="shared" si="2"/>
        <v>56.078397,92.997371</v>
      </c>
      <c r="T4673" s="12"/>
    </row>
    <row r="4674">
      <c r="A4674" s="15" t="s">
        <v>30131</v>
      </c>
      <c r="B4674" s="16" t="s">
        <v>30138</v>
      </c>
      <c r="C4674" s="16" t="s">
        <v>30139</v>
      </c>
      <c r="D4674" s="16" t="s">
        <v>16</v>
      </c>
      <c r="E4674" s="17" t="s">
        <v>30140</v>
      </c>
      <c r="F4674" s="16" t="s">
        <v>22263</v>
      </c>
      <c r="G4674" s="16">
        <v>23.61</v>
      </c>
      <c r="H4674" s="16"/>
      <c r="I4674" s="16"/>
      <c r="J4674" s="16" t="s">
        <v>30141</v>
      </c>
      <c r="K4674" s="16" t="s">
        <v>30142</v>
      </c>
      <c r="L4674" s="16"/>
      <c r="M4674" s="25" t="s">
        <v>30143</v>
      </c>
      <c r="N4674" s="12"/>
      <c r="O4674" s="12"/>
      <c r="P4674" s="13">
        <f>IFERROR(__xludf.DUMMYFUNCTION("VALUE(SUBSTITUTE((INDEX(SPLIT(A4674,"",""),1)),""."","","",1))"),56.078397)</f>
        <v>56.078397</v>
      </c>
      <c r="Q4674" s="13">
        <f>IFERROR(__xludf.DUMMYFUNCTION("VALUE(SUBSTITUTE((INDEX(SPLIT(A4674,"",""),2)),""."","","",1))"),92.997371)</f>
        <v>92.997371</v>
      </c>
      <c r="R4674" s="14" t="b">
        <f t="shared" si="1"/>
        <v>0</v>
      </c>
      <c r="S4674" s="14" t="str">
        <f t="shared" si="2"/>
        <v>56.078397,92.997371</v>
      </c>
      <c r="T4674" s="12"/>
    </row>
    <row r="4675">
      <c r="A4675" s="18" t="s">
        <v>30131</v>
      </c>
      <c r="B4675" s="8" t="s">
        <v>30144</v>
      </c>
      <c r="C4675" s="8" t="s">
        <v>30145</v>
      </c>
      <c r="D4675" s="8" t="s">
        <v>16</v>
      </c>
      <c r="E4675" s="19" t="s">
        <v>30146</v>
      </c>
      <c r="F4675" s="8" t="s">
        <v>22263</v>
      </c>
      <c r="G4675" s="8">
        <v>23.61</v>
      </c>
      <c r="H4675" s="8"/>
      <c r="I4675" s="8"/>
      <c r="J4675" s="8" t="s">
        <v>30147</v>
      </c>
      <c r="K4675" s="8" t="s">
        <v>30148</v>
      </c>
      <c r="L4675" s="8"/>
      <c r="M4675" s="24" t="s">
        <v>30149</v>
      </c>
      <c r="N4675" s="12"/>
      <c r="O4675" s="12"/>
      <c r="P4675" s="13">
        <f>IFERROR(__xludf.DUMMYFUNCTION("VALUE(SUBSTITUTE((INDEX(SPLIT(A4675,"",""),1)),""."","","",1))"),56.078397)</f>
        <v>56.078397</v>
      </c>
      <c r="Q4675" s="13">
        <f>IFERROR(__xludf.DUMMYFUNCTION("VALUE(SUBSTITUTE((INDEX(SPLIT(A4675,"",""),2)),""."","","",1))"),92.997371)</f>
        <v>92.997371</v>
      </c>
      <c r="R4675" s="14" t="b">
        <f t="shared" si="1"/>
        <v>0</v>
      </c>
      <c r="S4675" s="14" t="str">
        <f t="shared" si="2"/>
        <v>56.078397,92.997371</v>
      </c>
      <c r="T4675" s="12"/>
    </row>
    <row r="4676">
      <c r="A4676" s="15" t="s">
        <v>30150</v>
      </c>
      <c r="B4676" s="16" t="s">
        <v>30151</v>
      </c>
      <c r="C4676" s="16" t="s">
        <v>30152</v>
      </c>
      <c r="D4676" s="16" t="s">
        <v>16</v>
      </c>
      <c r="E4676" s="17" t="s">
        <v>30153</v>
      </c>
      <c r="F4676" s="16" t="s">
        <v>22263</v>
      </c>
      <c r="G4676" s="16">
        <v>23.61</v>
      </c>
      <c r="H4676" s="16"/>
      <c r="I4676" s="16"/>
      <c r="J4676" s="16" t="s">
        <v>30154</v>
      </c>
      <c r="K4676" s="16" t="s">
        <v>30155</v>
      </c>
      <c r="L4676" s="16"/>
      <c r="M4676" s="25" t="s">
        <v>30156</v>
      </c>
      <c r="N4676" s="12"/>
      <c r="O4676" s="12"/>
      <c r="P4676" s="13">
        <f>IFERROR(__xludf.DUMMYFUNCTION("VALUE(SUBSTITUTE((INDEX(SPLIT(A4676,"",""),1)),""."","","",1))"),56.074695)</f>
        <v>56.074695</v>
      </c>
      <c r="Q4676" s="13">
        <f>IFERROR(__xludf.DUMMYFUNCTION("VALUE(SUBSTITUTE((INDEX(SPLIT(A4676,"",""),2)),""."","","",1))"),92.998737)</f>
        <v>92.998737</v>
      </c>
      <c r="R4676" s="14" t="b">
        <f t="shared" si="1"/>
        <v>0</v>
      </c>
      <c r="S4676" s="14" t="str">
        <f t="shared" si="2"/>
        <v>56.074695,92.998737</v>
      </c>
      <c r="T4676" s="12"/>
    </row>
    <row r="4677">
      <c r="A4677" s="7" t="s">
        <v>30157</v>
      </c>
      <c r="B4677" s="8" t="s">
        <v>2843</v>
      </c>
      <c r="C4677" s="8" t="s">
        <v>2844</v>
      </c>
      <c r="D4677" s="8" t="s">
        <v>16</v>
      </c>
      <c r="E4677" s="9" t="s">
        <v>30158</v>
      </c>
      <c r="F4677" s="10" t="s">
        <v>22263</v>
      </c>
      <c r="G4677" s="8">
        <v>23.61</v>
      </c>
      <c r="H4677" s="8"/>
      <c r="I4677" s="10"/>
      <c r="J4677" s="10" t="s">
        <v>30159</v>
      </c>
      <c r="K4677" s="10" t="s">
        <v>30160</v>
      </c>
      <c r="L4677" s="29" t="s">
        <v>30161</v>
      </c>
      <c r="M4677" s="10"/>
      <c r="N4677" s="12"/>
      <c r="O4677" s="12"/>
      <c r="P4677" s="13">
        <f>IFERROR(__xludf.DUMMYFUNCTION("VALUE(SUBSTITUTE((INDEX(SPLIT(A4677,"",""),1)),""."","","",1))"),56.013291)</f>
        <v>56.013291</v>
      </c>
      <c r="Q4677" s="13">
        <f>IFERROR(__xludf.DUMMYFUNCTION("VALUE(SUBSTITUTE((INDEX(SPLIT(A4677,"",""),2)),""."","","",1))"),93.010136)</f>
        <v>93.010136</v>
      </c>
      <c r="R4677" s="14" t="b">
        <f t="shared" si="1"/>
        <v>0</v>
      </c>
      <c r="S4677" s="14" t="str">
        <f t="shared" si="2"/>
        <v>56.013291,93.010136</v>
      </c>
      <c r="T4677" s="12"/>
    </row>
    <row r="4678">
      <c r="A4678" s="20" t="s">
        <v>30162</v>
      </c>
      <c r="B4678" s="16" t="s">
        <v>29819</v>
      </c>
      <c r="C4678" s="16" t="s">
        <v>29820</v>
      </c>
      <c r="D4678" s="16" t="s">
        <v>16</v>
      </c>
      <c r="E4678" s="21" t="s">
        <v>30163</v>
      </c>
      <c r="F4678" s="22" t="s">
        <v>22263</v>
      </c>
      <c r="G4678" s="16">
        <v>23.61</v>
      </c>
      <c r="H4678" s="16"/>
      <c r="I4678" s="28" t="s">
        <v>30164</v>
      </c>
      <c r="J4678" s="22" t="s">
        <v>30165</v>
      </c>
      <c r="K4678" s="22" t="s">
        <v>29823</v>
      </c>
      <c r="L4678" s="23" t="s">
        <v>30166</v>
      </c>
      <c r="M4678" s="22"/>
      <c r="N4678" s="12"/>
      <c r="O4678" s="12"/>
      <c r="P4678" s="13">
        <f>IFERROR(__xludf.DUMMYFUNCTION("VALUE(SUBSTITUTE((INDEX(SPLIT(A4678,"",""),1)),""."","","",1))"),56.008389)</f>
        <v>56.008389</v>
      </c>
      <c r="Q4678" s="13">
        <f>IFERROR(__xludf.DUMMYFUNCTION("VALUE(SUBSTITUTE((INDEX(SPLIT(A4678,"",""),2)),""."","","",1))"),93.018338)</f>
        <v>93.018338</v>
      </c>
      <c r="R4678" s="14" t="b">
        <f t="shared" si="1"/>
        <v>0</v>
      </c>
      <c r="S4678" s="14" t="str">
        <f t="shared" si="2"/>
        <v>56.008389,93.018338</v>
      </c>
      <c r="T4678" s="12"/>
    </row>
    <row r="4679">
      <c r="A4679" s="18" t="s">
        <v>30167</v>
      </c>
      <c r="B4679" s="8" t="s">
        <v>30168</v>
      </c>
      <c r="C4679" s="8" t="s">
        <v>30169</v>
      </c>
      <c r="D4679" s="8" t="s">
        <v>16</v>
      </c>
      <c r="E4679" s="19" t="s">
        <v>30170</v>
      </c>
      <c r="F4679" s="8" t="s">
        <v>22263</v>
      </c>
      <c r="G4679" s="8">
        <v>23.61</v>
      </c>
      <c r="H4679" s="8"/>
      <c r="I4679" s="8"/>
      <c r="J4679" s="8" t="s">
        <v>30171</v>
      </c>
      <c r="K4679" s="8" t="s">
        <v>30172</v>
      </c>
      <c r="L4679" s="8"/>
      <c r="M4679" s="8"/>
      <c r="N4679" s="12"/>
      <c r="O4679" s="12"/>
      <c r="P4679" s="13">
        <f>IFERROR(__xludf.DUMMYFUNCTION("VALUE(SUBSTITUTE((INDEX(SPLIT(A4679,"",""),1)),""."","","",1))"),55.995277)</f>
        <v>55.995277</v>
      </c>
      <c r="Q4679" s="13">
        <f>IFERROR(__xludf.DUMMYFUNCTION("VALUE(SUBSTITUTE((INDEX(SPLIT(A4679,"",""),2)),""."","","",1))"),93.026521)</f>
        <v>93.026521</v>
      </c>
      <c r="R4679" s="14" t="b">
        <f t="shared" si="1"/>
        <v>0</v>
      </c>
      <c r="S4679" s="14" t="str">
        <f t="shared" si="2"/>
        <v>55.995277,93.026521</v>
      </c>
      <c r="T4679" s="12"/>
    </row>
    <row r="4680">
      <c r="A4680" s="15" t="s">
        <v>30173</v>
      </c>
      <c r="B4680" s="16" t="s">
        <v>30174</v>
      </c>
      <c r="C4680" s="16" t="s">
        <v>30175</v>
      </c>
      <c r="D4680" s="16" t="s">
        <v>16</v>
      </c>
      <c r="E4680" s="17" t="s">
        <v>30176</v>
      </c>
      <c r="F4680" s="16" t="s">
        <v>22263</v>
      </c>
      <c r="G4680" s="16">
        <v>23.61</v>
      </c>
      <c r="H4680" s="16"/>
      <c r="I4680" s="16"/>
      <c r="J4680" s="16" t="s">
        <v>30177</v>
      </c>
      <c r="K4680" s="16" t="s">
        <v>30178</v>
      </c>
      <c r="L4680" s="16"/>
      <c r="M4680" s="25" t="s">
        <v>30179</v>
      </c>
      <c r="N4680" s="12"/>
      <c r="O4680" s="12"/>
      <c r="P4680" s="13">
        <f>IFERROR(__xludf.DUMMYFUNCTION("VALUE(SUBSTITUTE((INDEX(SPLIT(A4680,"",""),1)),""."","","",1))"),56.004771)</f>
        <v>56.004771</v>
      </c>
      <c r="Q4680" s="13">
        <f>IFERROR(__xludf.DUMMYFUNCTION("VALUE(SUBSTITUTE((INDEX(SPLIT(A4680,"",""),2)),""."","","",1))"),93.036457)</f>
        <v>93.036457</v>
      </c>
      <c r="R4680" s="14" t="b">
        <f t="shared" si="1"/>
        <v>0</v>
      </c>
      <c r="S4680" s="14" t="str">
        <f t="shared" si="2"/>
        <v>56.004771,93.036457</v>
      </c>
      <c r="T4680" s="12"/>
    </row>
    <row r="4681">
      <c r="A4681" s="18" t="s">
        <v>30180</v>
      </c>
      <c r="B4681" s="8" t="s">
        <v>30181</v>
      </c>
      <c r="C4681" s="8" t="s">
        <v>30182</v>
      </c>
      <c r="D4681" s="8" t="s">
        <v>16</v>
      </c>
      <c r="E4681" s="19" t="s">
        <v>30183</v>
      </c>
      <c r="F4681" s="8" t="s">
        <v>22263</v>
      </c>
      <c r="G4681" s="8">
        <v>23.61</v>
      </c>
      <c r="H4681" s="8"/>
      <c r="I4681" s="8"/>
      <c r="J4681" s="8" t="s">
        <v>30184</v>
      </c>
      <c r="K4681" s="8" t="s">
        <v>30185</v>
      </c>
      <c r="L4681" s="8"/>
      <c r="M4681" s="24" t="s">
        <v>30186</v>
      </c>
      <c r="N4681" s="12"/>
      <c r="O4681" s="12"/>
      <c r="P4681" s="13">
        <f>IFERROR(__xludf.DUMMYFUNCTION("VALUE(SUBSTITUTE((INDEX(SPLIT(A4681,"",""),1)),""."","","",1))"),56.000598)</f>
        <v>56.000598</v>
      </c>
      <c r="Q4681" s="13">
        <f>IFERROR(__xludf.DUMMYFUNCTION("VALUE(SUBSTITUTE((INDEX(SPLIT(A4681,"",""),2)),""."","","",1))"),93.037957)</f>
        <v>93.037957</v>
      </c>
      <c r="R4681" s="14" t="b">
        <f t="shared" si="1"/>
        <v>0</v>
      </c>
      <c r="S4681" s="14" t="str">
        <f t="shared" si="2"/>
        <v>56.000598,93.037957</v>
      </c>
      <c r="T4681" s="12"/>
    </row>
    <row r="4682">
      <c r="A4682" s="15" t="s">
        <v>30187</v>
      </c>
      <c r="B4682" s="16" t="s">
        <v>10248</v>
      </c>
      <c r="C4682" s="16" t="s">
        <v>10249</v>
      </c>
      <c r="D4682" s="16" t="s">
        <v>16</v>
      </c>
      <c r="E4682" s="17" t="s">
        <v>30188</v>
      </c>
      <c r="F4682" s="16" t="s">
        <v>22263</v>
      </c>
      <c r="G4682" s="16">
        <v>23.61</v>
      </c>
      <c r="H4682" s="16"/>
      <c r="I4682" s="16"/>
      <c r="J4682" s="16" t="s">
        <v>30189</v>
      </c>
      <c r="K4682" s="16" t="s">
        <v>30190</v>
      </c>
      <c r="L4682" s="16"/>
      <c r="M4682" s="16"/>
      <c r="N4682" s="12"/>
      <c r="O4682" s="12"/>
      <c r="P4682" s="13">
        <f>IFERROR(__xludf.DUMMYFUNCTION("VALUE(SUBSTITUTE((INDEX(SPLIT(A4682,"",""),1)),""."","","",1))"),56.004323)</f>
        <v>56.004323</v>
      </c>
      <c r="Q4682" s="13">
        <f>IFERROR(__xludf.DUMMYFUNCTION("VALUE(SUBSTITUTE((INDEX(SPLIT(A4682,"",""),2)),""."","","",1))"),93.038334)</f>
        <v>93.038334</v>
      </c>
      <c r="R4682" s="14" t="b">
        <f t="shared" si="1"/>
        <v>0</v>
      </c>
      <c r="S4682" s="14" t="str">
        <f t="shared" si="2"/>
        <v>56.004323,93.038334</v>
      </c>
      <c r="T4682" s="12"/>
    </row>
    <row r="4683">
      <c r="A4683" s="18" t="s">
        <v>30191</v>
      </c>
      <c r="B4683" s="8" t="s">
        <v>30192</v>
      </c>
      <c r="C4683" s="8" t="s">
        <v>30193</v>
      </c>
      <c r="D4683" s="8" t="s">
        <v>16</v>
      </c>
      <c r="E4683" s="19" t="s">
        <v>30194</v>
      </c>
      <c r="F4683" s="8" t="s">
        <v>22263</v>
      </c>
      <c r="G4683" s="8">
        <v>23.61</v>
      </c>
      <c r="H4683" s="8"/>
      <c r="I4683" s="8"/>
      <c r="J4683" s="8" t="s">
        <v>30195</v>
      </c>
      <c r="K4683" s="8" t="s">
        <v>30196</v>
      </c>
      <c r="L4683" s="8"/>
      <c r="M4683" s="24" t="s">
        <v>30197</v>
      </c>
      <c r="N4683" s="12"/>
      <c r="O4683" s="12"/>
      <c r="P4683" s="13">
        <f>IFERROR(__xludf.DUMMYFUNCTION("VALUE(SUBSTITUTE((INDEX(SPLIT(A4683,"",""),1)),""."","","",1))"),56.032549)</f>
        <v>56.032549</v>
      </c>
      <c r="Q4683" s="13">
        <f>IFERROR(__xludf.DUMMYFUNCTION("VALUE(SUBSTITUTE((INDEX(SPLIT(A4683,"",""),2)),""."","","",1))"),93.045988)</f>
        <v>93.045988</v>
      </c>
      <c r="R4683" s="14" t="b">
        <f t="shared" si="1"/>
        <v>0</v>
      </c>
      <c r="S4683" s="14" t="str">
        <f t="shared" si="2"/>
        <v>56.032549,93.045988</v>
      </c>
      <c r="T4683" s="12"/>
    </row>
    <row r="4684">
      <c r="A4684" s="15" t="s">
        <v>30198</v>
      </c>
      <c r="B4684" s="16" t="s">
        <v>30199</v>
      </c>
      <c r="C4684" s="16" t="s">
        <v>30200</v>
      </c>
      <c r="D4684" s="16" t="s">
        <v>16</v>
      </c>
      <c r="E4684" s="17" t="s">
        <v>30201</v>
      </c>
      <c r="F4684" s="16" t="s">
        <v>22263</v>
      </c>
      <c r="G4684" s="16">
        <v>23.61</v>
      </c>
      <c r="H4684" s="16"/>
      <c r="I4684" s="16"/>
      <c r="J4684" s="16" t="s">
        <v>30202</v>
      </c>
      <c r="K4684" s="16" t="s">
        <v>30203</v>
      </c>
      <c r="L4684" s="16"/>
      <c r="M4684" s="16"/>
      <c r="N4684" s="12"/>
      <c r="O4684" s="12"/>
      <c r="P4684" s="13">
        <f>IFERROR(__xludf.DUMMYFUNCTION("VALUE(SUBSTITUTE((INDEX(SPLIT(A4684,"",""),1)),""."","","",1))"),56.106058)</f>
        <v>56.106058</v>
      </c>
      <c r="Q4684" s="13">
        <f>IFERROR(__xludf.DUMMYFUNCTION("VALUE(SUBSTITUTE((INDEX(SPLIT(A4684,"",""),2)),""."","","",1))"),93.071392)</f>
        <v>93.071392</v>
      </c>
      <c r="R4684" s="14" t="b">
        <f t="shared" si="1"/>
        <v>0</v>
      </c>
      <c r="S4684" s="14" t="str">
        <f t="shared" si="2"/>
        <v>56.106058,93.071392</v>
      </c>
      <c r="T4684" s="12"/>
    </row>
    <row r="4685">
      <c r="A4685" s="7" t="s">
        <v>30204</v>
      </c>
      <c r="B4685" s="8" t="s">
        <v>25242</v>
      </c>
      <c r="C4685" s="8" t="s">
        <v>25243</v>
      </c>
      <c r="D4685" s="8" t="s">
        <v>16</v>
      </c>
      <c r="E4685" s="9" t="s">
        <v>30205</v>
      </c>
      <c r="F4685" s="10" t="s">
        <v>22263</v>
      </c>
      <c r="G4685" s="8">
        <v>23.61</v>
      </c>
      <c r="H4685" s="8"/>
      <c r="I4685" s="10"/>
      <c r="J4685" s="10" t="s">
        <v>30206</v>
      </c>
      <c r="K4685" s="10" t="s">
        <v>30207</v>
      </c>
      <c r="L4685" s="11" t="s">
        <v>30208</v>
      </c>
      <c r="M4685" s="10"/>
      <c r="N4685" s="12"/>
      <c r="O4685" s="12"/>
      <c r="P4685" s="13">
        <f>IFERROR(__xludf.DUMMYFUNCTION("VALUE(SUBSTITUTE((INDEX(SPLIT(A4685,"",""),1)),""."","","",1))"),56.035542)</f>
        <v>56.035542</v>
      </c>
      <c r="Q4685" s="13">
        <f>IFERROR(__xludf.DUMMYFUNCTION("VALUE(SUBSTITUTE((INDEX(SPLIT(A4685,"",""),2)),""."","","",1))"),93.112302)</f>
        <v>93.112302</v>
      </c>
      <c r="R4685" s="14" t="b">
        <f t="shared" si="1"/>
        <v>0</v>
      </c>
      <c r="S4685" s="14" t="str">
        <f t="shared" si="2"/>
        <v>56.035542,93.112302</v>
      </c>
      <c r="T4685" s="12"/>
    </row>
    <row r="4686">
      <c r="A4686" s="20" t="s">
        <v>30209</v>
      </c>
      <c r="B4686" s="16" t="s">
        <v>30210</v>
      </c>
      <c r="C4686" s="16" t="s">
        <v>30211</v>
      </c>
      <c r="D4686" s="16" t="s">
        <v>16</v>
      </c>
      <c r="E4686" s="21" t="s">
        <v>30212</v>
      </c>
      <c r="F4686" s="22" t="s">
        <v>22263</v>
      </c>
      <c r="G4686" s="16">
        <v>23.61</v>
      </c>
      <c r="H4686" s="16"/>
      <c r="I4686" s="22"/>
      <c r="J4686" s="22" t="s">
        <v>30213</v>
      </c>
      <c r="K4686" s="22" t="s">
        <v>30214</v>
      </c>
      <c r="L4686" s="23" t="s">
        <v>30215</v>
      </c>
      <c r="M4686" s="22"/>
      <c r="N4686" s="12"/>
      <c r="O4686" s="12"/>
      <c r="P4686" s="13">
        <f>IFERROR(__xludf.DUMMYFUNCTION("VALUE(SUBSTITUTE((INDEX(SPLIT(A4686,"",""),1)),""."","","",1))"),56.037136)</f>
        <v>56.037136</v>
      </c>
      <c r="Q4686" s="13">
        <f>IFERROR(__xludf.DUMMYFUNCTION("VALUE(SUBSTITUTE((INDEX(SPLIT(A4686,"",""),2)),""."","","",1))"),93.126603)</f>
        <v>93.126603</v>
      </c>
      <c r="R4686" s="14" t="b">
        <f t="shared" si="1"/>
        <v>0</v>
      </c>
      <c r="S4686" s="14" t="str">
        <f t="shared" si="2"/>
        <v>56.037136,93.126603</v>
      </c>
      <c r="T4686" s="12"/>
    </row>
    <row r="4687">
      <c r="A4687" s="18" t="s">
        <v>30216</v>
      </c>
      <c r="B4687" s="8" t="s">
        <v>30217</v>
      </c>
      <c r="C4687" s="8" t="s">
        <v>30218</v>
      </c>
      <c r="D4687" s="8" t="s">
        <v>16</v>
      </c>
      <c r="E4687" s="19" t="s">
        <v>30219</v>
      </c>
      <c r="F4687" s="8" t="s">
        <v>22263</v>
      </c>
      <c r="G4687" s="8">
        <v>23.61</v>
      </c>
      <c r="H4687" s="8"/>
      <c r="I4687" s="8"/>
      <c r="J4687" s="8" t="s">
        <v>30220</v>
      </c>
      <c r="K4687" s="8" t="s">
        <v>30221</v>
      </c>
      <c r="L4687" s="8"/>
      <c r="M4687" s="24" t="s">
        <v>30222</v>
      </c>
      <c r="N4687" s="12"/>
      <c r="O4687" s="12"/>
      <c r="P4687" s="13">
        <f>IFERROR(__xludf.DUMMYFUNCTION("VALUE(SUBSTITUTE((INDEX(SPLIT(A4687,"",""),1)),""."","","",1))"),56.117401)</f>
        <v>56.117401</v>
      </c>
      <c r="Q4687" s="13">
        <f>IFERROR(__xludf.DUMMYFUNCTION("VALUE(SUBSTITUTE((INDEX(SPLIT(A4687,"",""),2)),""."","","",1))"),93.329065)</f>
        <v>93.329065</v>
      </c>
      <c r="R4687" s="14" t="b">
        <f t="shared" si="1"/>
        <v>0</v>
      </c>
      <c r="S4687" s="14" t="str">
        <f t="shared" si="2"/>
        <v>56.117401,93.329065</v>
      </c>
      <c r="T4687" s="12"/>
    </row>
    <row r="4688">
      <c r="A4688" s="15" t="s">
        <v>30223</v>
      </c>
      <c r="B4688" s="16" t="s">
        <v>30224</v>
      </c>
      <c r="C4688" s="16" t="s">
        <v>30225</v>
      </c>
      <c r="D4688" s="16" t="s">
        <v>16</v>
      </c>
      <c r="E4688" s="17" t="s">
        <v>30226</v>
      </c>
      <c r="F4688" s="16" t="s">
        <v>22263</v>
      </c>
      <c r="G4688" s="16">
        <v>23.61</v>
      </c>
      <c r="H4688" s="16"/>
      <c r="I4688" s="16"/>
      <c r="J4688" s="16" t="s">
        <v>30227</v>
      </c>
      <c r="K4688" s="16" t="s">
        <v>30221</v>
      </c>
      <c r="L4688" s="16"/>
      <c r="M4688" s="16"/>
      <c r="N4688" s="12"/>
      <c r="O4688" s="12"/>
      <c r="P4688" s="13">
        <f>IFERROR(__xludf.DUMMYFUNCTION("VALUE(SUBSTITUTE((INDEX(SPLIT(A4688,"",""),1)),""."","","",1))"),56.118179)</f>
        <v>56.118179</v>
      </c>
      <c r="Q4688" s="13">
        <f>IFERROR(__xludf.DUMMYFUNCTION("VALUE(SUBSTITUTE((INDEX(SPLIT(A4688,"",""),2)),""."","","",1))"),93.329128)</f>
        <v>93.329128</v>
      </c>
      <c r="R4688" s="14" t="b">
        <f t="shared" si="1"/>
        <v>0</v>
      </c>
      <c r="S4688" s="14" t="str">
        <f t="shared" si="2"/>
        <v>56.118179,93.329128</v>
      </c>
      <c r="T4688" s="12"/>
    </row>
    <row r="4689">
      <c r="A4689" s="7" t="s">
        <v>30228</v>
      </c>
      <c r="B4689" s="8" t="s">
        <v>30229</v>
      </c>
      <c r="C4689" s="8" t="s">
        <v>30230</v>
      </c>
      <c r="D4689" s="8" t="s">
        <v>16</v>
      </c>
      <c r="E4689" s="9" t="s">
        <v>30231</v>
      </c>
      <c r="F4689" s="10" t="s">
        <v>22263</v>
      </c>
      <c r="G4689" s="8">
        <v>23.61</v>
      </c>
      <c r="H4689" s="8"/>
      <c r="I4689" s="10"/>
      <c r="J4689" s="10" t="s">
        <v>30232</v>
      </c>
      <c r="K4689" s="10" t="s">
        <v>30233</v>
      </c>
      <c r="L4689" s="11" t="s">
        <v>30234</v>
      </c>
      <c r="M4689" s="10"/>
      <c r="N4689" s="12"/>
      <c r="O4689" s="12"/>
      <c r="P4689" s="13">
        <f>IFERROR(__xludf.DUMMYFUNCTION("VALUE(SUBSTITUTE((INDEX(SPLIT(A4689,"",""),1)),""."","","",1))"),56.133146)</f>
        <v>56.133146</v>
      </c>
      <c r="Q4689" s="13">
        <f>IFERROR(__xludf.DUMMYFUNCTION("VALUE(SUBSTITUTE((INDEX(SPLIT(A4689,"",""),2)),""."","","",1))"),93.352403)</f>
        <v>93.352403</v>
      </c>
      <c r="R4689" s="14" t="b">
        <f t="shared" si="1"/>
        <v>0</v>
      </c>
      <c r="S4689" s="14" t="str">
        <f t="shared" si="2"/>
        <v>56.133146,93.352403</v>
      </c>
      <c r="T4689" s="12"/>
    </row>
    <row r="4690">
      <c r="A4690" s="20" t="s">
        <v>30235</v>
      </c>
      <c r="B4690" s="16" t="s">
        <v>30236</v>
      </c>
      <c r="C4690" s="16" t="s">
        <v>30237</v>
      </c>
      <c r="D4690" s="16" t="s">
        <v>16</v>
      </c>
      <c r="E4690" s="21" t="s">
        <v>30238</v>
      </c>
      <c r="F4690" s="22" t="s">
        <v>22263</v>
      </c>
      <c r="G4690" s="16">
        <v>23.61</v>
      </c>
      <c r="H4690" s="16"/>
      <c r="I4690" s="28" t="s">
        <v>30239</v>
      </c>
      <c r="J4690" s="22" t="s">
        <v>30240</v>
      </c>
      <c r="K4690" s="22" t="s">
        <v>30241</v>
      </c>
      <c r="L4690" s="23" t="s">
        <v>30242</v>
      </c>
      <c r="M4690" s="22"/>
      <c r="N4690" s="12"/>
      <c r="O4690" s="12"/>
      <c r="P4690" s="13">
        <f>IFERROR(__xludf.DUMMYFUNCTION("VALUE(SUBSTITUTE((INDEX(SPLIT(A4690,"",""),1)),""."","","",1))"),56.137636)</f>
        <v>56.137636</v>
      </c>
      <c r="Q4690" s="13">
        <f>IFERROR(__xludf.DUMMYFUNCTION("VALUE(SUBSTITUTE((INDEX(SPLIT(A4690,"",""),2)),""."","","",1))"),93.364028)</f>
        <v>93.364028</v>
      </c>
      <c r="R4690" s="14" t="b">
        <f t="shared" si="1"/>
        <v>0</v>
      </c>
      <c r="S4690" s="14" t="str">
        <f t="shared" si="2"/>
        <v>56.137636,93.364028</v>
      </c>
      <c r="T4690" s="12"/>
    </row>
    <row r="4691">
      <c r="A4691" s="18" t="s">
        <v>30243</v>
      </c>
      <c r="B4691" s="8" t="s">
        <v>30244</v>
      </c>
      <c r="C4691" s="8" t="s">
        <v>30245</v>
      </c>
      <c r="D4691" s="8" t="s">
        <v>16</v>
      </c>
      <c r="E4691" s="19" t="s">
        <v>30246</v>
      </c>
      <c r="F4691" s="8" t="s">
        <v>22263</v>
      </c>
      <c r="G4691" s="8">
        <v>23.61</v>
      </c>
      <c r="H4691" s="8"/>
      <c r="I4691" s="8"/>
      <c r="J4691" s="8" t="s">
        <v>30247</v>
      </c>
      <c r="K4691" s="8" t="s">
        <v>30248</v>
      </c>
      <c r="L4691" s="8"/>
      <c r="M4691" s="8"/>
      <c r="N4691" s="12"/>
      <c r="O4691" s="12"/>
      <c r="P4691" s="13">
        <f>IFERROR(__xludf.DUMMYFUNCTION("VALUE(SUBSTITUTE((INDEX(SPLIT(A4691,"",""),1)),""."","","",1))"),51.700162)</f>
        <v>51.700162</v>
      </c>
      <c r="Q4691" s="13">
        <f>IFERROR(__xludf.DUMMYFUNCTION("VALUE(SUBSTITUTE((INDEX(SPLIT(A4691,"",""),2)),""."","","",1))"),94.392347)</f>
        <v>94.392347</v>
      </c>
      <c r="R4691" s="14" t="b">
        <f t="shared" si="1"/>
        <v>0</v>
      </c>
      <c r="S4691" s="14" t="str">
        <f t="shared" si="2"/>
        <v>51.700162,94.392347</v>
      </c>
      <c r="T4691" s="12"/>
    </row>
    <row r="4692">
      <c r="A4692" s="20" t="s">
        <v>30249</v>
      </c>
      <c r="B4692" s="16" t="s">
        <v>30250</v>
      </c>
      <c r="C4692" s="16" t="s">
        <v>30251</v>
      </c>
      <c r="D4692" s="16" t="s">
        <v>16</v>
      </c>
      <c r="E4692" s="21" t="s">
        <v>30252</v>
      </c>
      <c r="F4692" s="22" t="s">
        <v>22263</v>
      </c>
      <c r="G4692" s="16">
        <v>23.61</v>
      </c>
      <c r="H4692" s="16"/>
      <c r="I4692" s="22"/>
      <c r="J4692" s="22" t="s">
        <v>30253</v>
      </c>
      <c r="K4692" s="22" t="s">
        <v>30254</v>
      </c>
      <c r="L4692" s="23" t="s">
        <v>30255</v>
      </c>
      <c r="M4692" s="22"/>
      <c r="N4692" s="12"/>
      <c r="O4692" s="12"/>
      <c r="P4692" s="13">
        <f>IFERROR(__xludf.DUMMYFUNCTION("VALUE(SUBSTITUTE((INDEX(SPLIT(A4692,"",""),1)),""."","","",1))"),51.717937)</f>
        <v>51.717937</v>
      </c>
      <c r="Q4692" s="13">
        <f>IFERROR(__xludf.DUMMYFUNCTION("VALUE(SUBSTITUTE((INDEX(SPLIT(A4692,"",""),2)),""."","","",1))"),94.435421)</f>
        <v>94.435421</v>
      </c>
      <c r="R4692" s="14" t="b">
        <f t="shared" si="1"/>
        <v>0</v>
      </c>
      <c r="S4692" s="14" t="str">
        <f t="shared" si="2"/>
        <v>51.717937,94.435421</v>
      </c>
      <c r="T4692" s="12"/>
    </row>
    <row r="4693">
      <c r="A4693" s="7" t="s">
        <v>30256</v>
      </c>
      <c r="B4693" s="8" t="s">
        <v>30257</v>
      </c>
      <c r="C4693" s="8" t="s">
        <v>30258</v>
      </c>
      <c r="D4693" s="8" t="s">
        <v>16</v>
      </c>
      <c r="E4693" s="9" t="s">
        <v>30259</v>
      </c>
      <c r="F4693" s="10" t="s">
        <v>22263</v>
      </c>
      <c r="G4693" s="8">
        <v>23.61</v>
      </c>
      <c r="H4693" s="8"/>
      <c r="I4693" s="10"/>
      <c r="J4693" s="10" t="s">
        <v>30260</v>
      </c>
      <c r="K4693" s="10" t="s">
        <v>30261</v>
      </c>
      <c r="L4693" s="11" t="s">
        <v>30262</v>
      </c>
      <c r="M4693" s="10"/>
      <c r="N4693" s="12"/>
      <c r="O4693" s="12"/>
      <c r="P4693" s="13">
        <f>IFERROR(__xludf.DUMMYFUNCTION("VALUE(SUBSTITUTE((INDEX(SPLIT(A4693,"",""),1)),""."","","",1))"),51.701825)</f>
        <v>51.701825</v>
      </c>
      <c r="Q4693" s="13">
        <f>IFERROR(__xludf.DUMMYFUNCTION("VALUE(SUBSTITUTE((INDEX(SPLIT(A4693,"",""),2)),""."","","",1))"),94.475109)</f>
        <v>94.475109</v>
      </c>
      <c r="R4693" s="14" t="b">
        <f t="shared" si="1"/>
        <v>0</v>
      </c>
      <c r="S4693" s="14" t="str">
        <f t="shared" si="2"/>
        <v>51.701825,94.475109</v>
      </c>
      <c r="T4693" s="12"/>
    </row>
    <row r="4694">
      <c r="A4694" s="15" t="s">
        <v>30263</v>
      </c>
      <c r="B4694" s="16" t="s">
        <v>30264</v>
      </c>
      <c r="C4694" s="16" t="s">
        <v>30265</v>
      </c>
      <c r="D4694" s="16" t="s">
        <v>16</v>
      </c>
      <c r="E4694" s="17" t="s">
        <v>30266</v>
      </c>
      <c r="F4694" s="16" t="s">
        <v>22263</v>
      </c>
      <c r="G4694" s="16">
        <v>23.61</v>
      </c>
      <c r="H4694" s="16"/>
      <c r="I4694" s="16"/>
      <c r="J4694" s="16" t="s">
        <v>30267</v>
      </c>
      <c r="K4694" s="16" t="s">
        <v>30268</v>
      </c>
      <c r="L4694" s="16"/>
      <c r="M4694" s="16"/>
      <c r="N4694" s="12"/>
      <c r="O4694" s="12"/>
      <c r="P4694" s="13">
        <f>IFERROR(__xludf.DUMMYFUNCTION("VALUE(SUBSTITUTE((INDEX(SPLIT(A4694,"",""),1)),""."","","",1))"),51.689203)</f>
        <v>51.689203</v>
      </c>
      <c r="Q4694" s="13">
        <f>IFERROR(__xludf.DUMMYFUNCTION("VALUE(SUBSTITUTE((INDEX(SPLIT(A4694,"",""),2)),""."","","",1))"),94.555849)</f>
        <v>94.555849</v>
      </c>
      <c r="R4694" s="14" t="b">
        <f t="shared" si="1"/>
        <v>0</v>
      </c>
      <c r="S4694" s="14" t="str">
        <f t="shared" si="2"/>
        <v>51.689203,94.555849</v>
      </c>
      <c r="T4694" s="12"/>
    </row>
    <row r="4695">
      <c r="A4695" s="7" t="s">
        <v>30269</v>
      </c>
      <c r="B4695" s="8" t="s">
        <v>30270</v>
      </c>
      <c r="C4695" s="8" t="s">
        <v>30271</v>
      </c>
      <c r="D4695" s="8" t="s">
        <v>16</v>
      </c>
      <c r="E4695" s="9" t="s">
        <v>30272</v>
      </c>
      <c r="F4695" s="10" t="s">
        <v>22263</v>
      </c>
      <c r="G4695" s="8">
        <v>23.61</v>
      </c>
      <c r="H4695" s="8"/>
      <c r="I4695" s="10"/>
      <c r="J4695" s="10" t="s">
        <v>30273</v>
      </c>
      <c r="K4695" s="10" t="s">
        <v>30274</v>
      </c>
      <c r="L4695" s="11" t="s">
        <v>30275</v>
      </c>
      <c r="M4695" s="10"/>
      <c r="N4695" s="12"/>
      <c r="O4695" s="12"/>
      <c r="P4695" s="13">
        <f>IFERROR(__xludf.DUMMYFUNCTION("VALUE(SUBSTITUTE((INDEX(SPLIT(A4695,"",""),1)),""."","","",1))"),56.109893)</f>
        <v>56.109893</v>
      </c>
      <c r="Q4695" s="13">
        <f>IFERROR(__xludf.DUMMYFUNCTION("VALUE(SUBSTITUTE((INDEX(SPLIT(A4695,"",""),2)),""."","","",1))"),94.599247)</f>
        <v>94.599247</v>
      </c>
      <c r="R4695" s="14" t="b">
        <f t="shared" si="1"/>
        <v>0</v>
      </c>
      <c r="S4695" s="14" t="str">
        <f t="shared" si="2"/>
        <v>56.109893,94.599247</v>
      </c>
      <c r="T4695" s="12"/>
    </row>
    <row r="4696">
      <c r="A4696" s="20" t="s">
        <v>30276</v>
      </c>
      <c r="B4696" s="16" t="s">
        <v>23491</v>
      </c>
      <c r="C4696" s="16" t="s">
        <v>23492</v>
      </c>
      <c r="D4696" s="16" t="s">
        <v>16</v>
      </c>
      <c r="E4696" s="21" t="s">
        <v>30277</v>
      </c>
      <c r="F4696" s="22" t="s">
        <v>22263</v>
      </c>
      <c r="G4696" s="16">
        <v>23.61</v>
      </c>
      <c r="H4696" s="16"/>
      <c r="I4696" s="22"/>
      <c r="J4696" s="22" t="s">
        <v>30278</v>
      </c>
      <c r="K4696" s="22" t="s">
        <v>30279</v>
      </c>
      <c r="L4696" s="23" t="s">
        <v>30280</v>
      </c>
      <c r="M4696" s="22"/>
      <c r="N4696" s="12"/>
      <c r="O4696" s="12"/>
      <c r="P4696" s="13">
        <f>IFERROR(__xludf.DUMMYFUNCTION("VALUE(SUBSTITUTE((INDEX(SPLIT(A4696,"",""),1)),""."","","",1))"),55.665843)</f>
        <v>55.665843</v>
      </c>
      <c r="Q4696" s="13">
        <f>IFERROR(__xludf.DUMMYFUNCTION("VALUE(SUBSTITUTE((INDEX(SPLIT(A4696,"",""),2)),""."","","",1))"),95.507659)</f>
        <v>95.507659</v>
      </c>
      <c r="R4696" s="14" t="b">
        <f t="shared" si="1"/>
        <v>0</v>
      </c>
      <c r="S4696" s="14" t="str">
        <f t="shared" si="2"/>
        <v>55.665843,95.507659</v>
      </c>
      <c r="T4696" s="12"/>
    </row>
    <row r="4697">
      <c r="A4697" s="18" t="s">
        <v>30281</v>
      </c>
      <c r="B4697" s="8" t="s">
        <v>30282</v>
      </c>
      <c r="C4697" s="8" t="s">
        <v>30283</v>
      </c>
      <c r="D4697" s="8" t="s">
        <v>16</v>
      </c>
      <c r="E4697" s="19" t="s">
        <v>30284</v>
      </c>
      <c r="F4697" s="8" t="s">
        <v>22263</v>
      </c>
      <c r="G4697" s="8">
        <v>23.61</v>
      </c>
      <c r="H4697" s="8"/>
      <c r="I4697" s="8"/>
      <c r="J4697" s="8" t="s">
        <v>30285</v>
      </c>
      <c r="K4697" s="8" t="s">
        <v>30286</v>
      </c>
      <c r="L4697" s="8"/>
      <c r="M4697" s="8"/>
      <c r="N4697" s="12"/>
      <c r="O4697" s="12"/>
      <c r="P4697" s="13">
        <f>IFERROR(__xludf.DUMMYFUNCTION("VALUE(SUBSTITUTE((INDEX(SPLIT(A4697,"",""),1)),""."","","",1))"),56.249006)</f>
        <v>56.249006</v>
      </c>
      <c r="Q4697" s="13">
        <f>IFERROR(__xludf.DUMMYFUNCTION("VALUE(SUBSTITUTE((INDEX(SPLIT(A4697,"",""),2)),""."","","",1))"),95.601192)</f>
        <v>95.601192</v>
      </c>
      <c r="R4697" s="14" t="b">
        <f t="shared" si="1"/>
        <v>0</v>
      </c>
      <c r="S4697" s="14" t="str">
        <f t="shared" si="2"/>
        <v>56.249006,95.601192</v>
      </c>
      <c r="T4697" s="12"/>
    </row>
    <row r="4698">
      <c r="A4698" s="20" t="s">
        <v>30287</v>
      </c>
      <c r="B4698" s="16" t="s">
        <v>30288</v>
      </c>
      <c r="C4698" s="16" t="s">
        <v>30289</v>
      </c>
      <c r="D4698" s="16" t="s">
        <v>16</v>
      </c>
      <c r="E4698" s="21" t="s">
        <v>30290</v>
      </c>
      <c r="F4698" s="22" t="s">
        <v>22263</v>
      </c>
      <c r="G4698" s="16">
        <v>23.61</v>
      </c>
      <c r="H4698" s="16"/>
      <c r="I4698" s="22"/>
      <c r="J4698" s="22" t="s">
        <v>30291</v>
      </c>
      <c r="K4698" s="22" t="s">
        <v>30292</v>
      </c>
      <c r="L4698" s="23" t="s">
        <v>30293</v>
      </c>
      <c r="M4698" s="22"/>
      <c r="N4698" s="12"/>
      <c r="O4698" s="12"/>
      <c r="P4698" s="13">
        <f>IFERROR(__xludf.DUMMYFUNCTION("VALUE(SUBSTITUTE((INDEX(SPLIT(A4698,"",""),1)),""."","","",1))"),56.233824)</f>
        <v>56.233824</v>
      </c>
      <c r="Q4698" s="13">
        <f>IFERROR(__xludf.DUMMYFUNCTION("VALUE(SUBSTITUTE((INDEX(SPLIT(A4698,"",""),2)),""."","","",1))"),95.692604)</f>
        <v>95.692604</v>
      </c>
      <c r="R4698" s="14" t="b">
        <f t="shared" si="1"/>
        <v>0</v>
      </c>
      <c r="S4698" s="14" t="str">
        <f t="shared" si="2"/>
        <v>56.233824,95.692604</v>
      </c>
      <c r="T4698" s="12"/>
    </row>
    <row r="4699">
      <c r="A4699" s="7" t="s">
        <v>30294</v>
      </c>
      <c r="B4699" s="8" t="s">
        <v>30295</v>
      </c>
      <c r="C4699" s="8" t="s">
        <v>30296</v>
      </c>
      <c r="D4699" s="8" t="s">
        <v>16</v>
      </c>
      <c r="E4699" s="9" t="s">
        <v>30297</v>
      </c>
      <c r="F4699" s="10" t="s">
        <v>22263</v>
      </c>
      <c r="G4699" s="8">
        <v>23.61</v>
      </c>
      <c r="H4699" s="8"/>
      <c r="I4699" s="31" t="s">
        <v>30298</v>
      </c>
      <c r="J4699" s="10" t="s">
        <v>30299</v>
      </c>
      <c r="K4699" s="10" t="s">
        <v>30300</v>
      </c>
      <c r="L4699" s="11" t="s">
        <v>30301</v>
      </c>
      <c r="M4699" s="11" t="s">
        <v>30302</v>
      </c>
      <c r="N4699" s="12"/>
      <c r="O4699" s="12"/>
      <c r="P4699" s="13">
        <f>IFERROR(__xludf.DUMMYFUNCTION("VALUE(SUBSTITUTE((INDEX(SPLIT(A4699,"",""),1)),""."","","",1))"),58.409473)</f>
        <v>58.409473</v>
      </c>
      <c r="Q4699" s="13">
        <f>IFERROR(__xludf.DUMMYFUNCTION("VALUE(SUBSTITUTE((INDEX(SPLIT(A4699,"",""),2)),""."","","",1))"),97.221232)</f>
        <v>97.221232</v>
      </c>
      <c r="R4699" s="14" t="b">
        <f t="shared" si="1"/>
        <v>0</v>
      </c>
      <c r="S4699" s="14" t="str">
        <f t="shared" si="2"/>
        <v>58.409473,97.221232</v>
      </c>
      <c r="T4699" s="12"/>
    </row>
    <row r="4700">
      <c r="A4700" s="15" t="s">
        <v>30303</v>
      </c>
      <c r="B4700" s="16" t="s">
        <v>30304</v>
      </c>
      <c r="C4700" s="16" t="s">
        <v>30305</v>
      </c>
      <c r="D4700" s="16" t="s">
        <v>16</v>
      </c>
      <c r="E4700" s="17" t="s">
        <v>30306</v>
      </c>
      <c r="F4700" s="16" t="s">
        <v>22263</v>
      </c>
      <c r="G4700" s="16">
        <v>23.61</v>
      </c>
      <c r="H4700" s="16"/>
      <c r="I4700" s="16"/>
      <c r="J4700" s="16" t="s">
        <v>30307</v>
      </c>
      <c r="K4700" s="16" t="s">
        <v>30308</v>
      </c>
      <c r="L4700" s="16"/>
      <c r="M4700" s="25" t="s">
        <v>30309</v>
      </c>
      <c r="N4700" s="12"/>
      <c r="O4700" s="12"/>
      <c r="P4700" s="13">
        <f>IFERROR(__xludf.DUMMYFUNCTION("VALUE(SUBSTITUTE((INDEX(SPLIT(A4700,"",""),1)),""."","","",1))"),58.380944)</f>
        <v>58.380944</v>
      </c>
      <c r="Q4700" s="13">
        <f>IFERROR(__xludf.DUMMYFUNCTION("VALUE(SUBSTITUTE((INDEX(SPLIT(A4700,"",""),2)),""."","","",1))"),97.42876)</f>
        <v>97.42876</v>
      </c>
      <c r="R4700" s="14" t="b">
        <f t="shared" si="1"/>
        <v>0</v>
      </c>
      <c r="S4700" s="14" t="str">
        <f t="shared" si="2"/>
        <v>58.380944,97.42876</v>
      </c>
      <c r="T4700" s="12"/>
    </row>
    <row r="4701">
      <c r="A4701" s="18" t="s">
        <v>30310</v>
      </c>
      <c r="B4701" s="8" t="s">
        <v>30311</v>
      </c>
      <c r="C4701" s="8" t="s">
        <v>30312</v>
      </c>
      <c r="D4701" s="8" t="s">
        <v>16</v>
      </c>
      <c r="E4701" s="19" t="s">
        <v>30313</v>
      </c>
      <c r="F4701" s="8" t="s">
        <v>22263</v>
      </c>
      <c r="G4701" s="8">
        <v>23.61</v>
      </c>
      <c r="H4701" s="8"/>
      <c r="I4701" s="8"/>
      <c r="J4701" s="8" t="s">
        <v>30314</v>
      </c>
      <c r="K4701" s="8" t="s">
        <v>30315</v>
      </c>
      <c r="L4701" s="8"/>
      <c r="M4701" s="24" t="s">
        <v>30316</v>
      </c>
      <c r="N4701" s="12"/>
      <c r="O4701" s="12"/>
      <c r="P4701" s="13">
        <f>IFERROR(__xludf.DUMMYFUNCTION("VALUE(SUBSTITUTE((INDEX(SPLIT(A4701,"",""),1)),""."","","",1))"),58.603412)</f>
        <v>58.603412</v>
      </c>
      <c r="Q4701" s="13">
        <f>IFERROR(__xludf.DUMMYFUNCTION("VALUE(SUBSTITUTE((INDEX(SPLIT(A4701,"",""),2)),""."","","",1))"),99.179712)</f>
        <v>99.179712</v>
      </c>
      <c r="R4701" s="14" t="b">
        <f t="shared" si="1"/>
        <v>0</v>
      </c>
      <c r="S4701" s="14" t="str">
        <f t="shared" si="2"/>
        <v>58.603412,99.179712</v>
      </c>
      <c r="T4701" s="12"/>
    </row>
    <row r="4702">
      <c r="A4702" s="16" t="s">
        <v>30317</v>
      </c>
      <c r="B4702" s="16" t="s">
        <v>30318</v>
      </c>
      <c r="C4702" s="16" t="s">
        <v>30319</v>
      </c>
      <c r="D4702" s="16" t="s">
        <v>16</v>
      </c>
      <c r="E4702" s="17" t="s">
        <v>30320</v>
      </c>
      <c r="F4702" s="16" t="s">
        <v>22263</v>
      </c>
      <c r="G4702" s="16">
        <v>23.61</v>
      </c>
      <c r="H4702" s="16"/>
      <c r="I4702" s="16"/>
      <c r="J4702" s="16" t="s">
        <v>30321</v>
      </c>
      <c r="K4702" s="16" t="s">
        <v>30322</v>
      </c>
      <c r="L4702" s="16"/>
      <c r="M4702" s="16"/>
      <c r="N4702" s="12"/>
      <c r="O4702" s="12"/>
      <c r="P4702" s="13">
        <f>IFERROR(__xludf.DUMMYFUNCTION("VALUE(SUBSTITUTE((INDEX(SPLIT(A4702,"",""),1)),""."","","",1))"),60.645436)</f>
        <v>60.645436</v>
      </c>
      <c r="Q4702" s="13">
        <f>IFERROR(__xludf.DUMMYFUNCTION("VALUE(SUBSTITUTE((INDEX(SPLIT(A4702,"",""),2)),""."","","",1))"),56.860442)</f>
        <v>56.860442</v>
      </c>
      <c r="R4702" s="14" t="b">
        <f t="shared" si="1"/>
        <v>0</v>
      </c>
      <c r="S4702" s="14" t="str">
        <f t="shared" si="2"/>
        <v>60.645436,56.860442</v>
      </c>
      <c r="T4702" s="12"/>
    </row>
    <row r="4703">
      <c r="A4703" s="10" t="s">
        <v>30323</v>
      </c>
      <c r="B4703" s="8" t="s">
        <v>2623</v>
      </c>
      <c r="C4703" s="8" t="s">
        <v>2624</v>
      </c>
      <c r="D4703" s="8" t="s">
        <v>16</v>
      </c>
      <c r="E4703" s="9" t="s">
        <v>30324</v>
      </c>
      <c r="F4703" s="10" t="s">
        <v>22263</v>
      </c>
      <c r="G4703" s="8">
        <v>23.61</v>
      </c>
      <c r="H4703" s="8"/>
      <c r="I4703" s="10"/>
      <c r="J4703" s="10" t="s">
        <v>30325</v>
      </c>
      <c r="K4703" s="10" t="s">
        <v>30326</v>
      </c>
      <c r="L4703" s="11" t="s">
        <v>30327</v>
      </c>
      <c r="M4703" s="10"/>
      <c r="N4703" s="12"/>
      <c r="O4703" s="12"/>
      <c r="P4703" s="13">
        <f>IFERROR(__xludf.DUMMYFUNCTION("VALUE(SUBSTITUTE((INDEX(SPLIT(A4703,"",""),1)),""."","","",1))"),60.647017)</f>
        <v>60.647017</v>
      </c>
      <c r="Q4703" s="13">
        <f>IFERROR(__xludf.DUMMYFUNCTION("VALUE(SUBSTITUTE((INDEX(SPLIT(A4703,"",""),2)),""."","","",1))"),56.886631)</f>
        <v>56.886631</v>
      </c>
      <c r="R4703" s="14" t="b">
        <f t="shared" si="1"/>
        <v>0</v>
      </c>
      <c r="S4703" s="14" t="str">
        <f t="shared" si="2"/>
        <v>60.647017,56.886631</v>
      </c>
      <c r="T4703" s="12"/>
    </row>
    <row r="4704">
      <c r="A4704" s="22" t="s">
        <v>30328</v>
      </c>
      <c r="B4704" s="16" t="s">
        <v>30329</v>
      </c>
      <c r="C4704" s="16" t="s">
        <v>30330</v>
      </c>
      <c r="D4704" s="16" t="s">
        <v>16</v>
      </c>
      <c r="E4704" s="21" t="s">
        <v>30331</v>
      </c>
      <c r="F4704" s="22" t="s">
        <v>22263</v>
      </c>
      <c r="G4704" s="16">
        <v>23.61</v>
      </c>
      <c r="H4704" s="16"/>
      <c r="I4704" s="22"/>
      <c r="J4704" s="22" t="s">
        <v>30332</v>
      </c>
      <c r="K4704" s="22" t="s">
        <v>30333</v>
      </c>
      <c r="L4704" s="23" t="s">
        <v>30334</v>
      </c>
      <c r="M4704" s="22"/>
      <c r="N4704" s="12"/>
      <c r="O4704" s="12"/>
      <c r="P4704" s="13">
        <f>IFERROR(__xludf.DUMMYFUNCTION("VALUE(SUBSTITUTE((INDEX(SPLIT(A4704,"",""),1)),""."","","",1))"),60.647547)</f>
        <v>60.647547</v>
      </c>
      <c r="Q4704" s="13">
        <f>IFERROR(__xludf.DUMMYFUNCTION("VALUE(SUBSTITUTE((INDEX(SPLIT(A4704,"",""),2)),""."","","",1))"),56.866839)</f>
        <v>56.866839</v>
      </c>
      <c r="R4704" s="14" t="b">
        <f t="shared" si="1"/>
        <v>0</v>
      </c>
      <c r="S4704" s="14" t="str">
        <f t="shared" si="2"/>
        <v>60.647547,56.866839</v>
      </c>
      <c r="T4704" s="12"/>
    </row>
    <row r="4705">
      <c r="A4705" s="8" t="s">
        <v>30335</v>
      </c>
      <c r="B4705" s="8" t="s">
        <v>30336</v>
      </c>
      <c r="C4705" s="8" t="s">
        <v>30337</v>
      </c>
      <c r="D4705" s="8" t="s">
        <v>16</v>
      </c>
      <c r="E4705" s="19" t="s">
        <v>30338</v>
      </c>
      <c r="F4705" s="8" t="s">
        <v>22263</v>
      </c>
      <c r="G4705" s="8">
        <v>23.61</v>
      </c>
      <c r="H4705" s="8"/>
      <c r="I4705" s="8"/>
      <c r="J4705" s="8" t="s">
        <v>30339</v>
      </c>
      <c r="K4705" s="8" t="s">
        <v>30340</v>
      </c>
      <c r="L4705" s="8"/>
      <c r="M4705" s="24" t="s">
        <v>30341</v>
      </c>
      <c r="N4705" s="12"/>
      <c r="O4705" s="12"/>
      <c r="P4705" s="13">
        <f>IFERROR(__xludf.DUMMYFUNCTION("VALUE(SUBSTITUTE((INDEX(SPLIT(A4705,"",""),1)),""."","","",1))"),60.652712)</f>
        <v>60.652712</v>
      </c>
      <c r="Q4705" s="13">
        <f>IFERROR(__xludf.DUMMYFUNCTION("VALUE(SUBSTITUTE((INDEX(SPLIT(A4705,"",""),2)),""."","","",1))"),56.832442)</f>
        <v>56.832442</v>
      </c>
      <c r="R4705" s="14" t="b">
        <f t="shared" si="1"/>
        <v>0</v>
      </c>
      <c r="S4705" s="14" t="str">
        <f t="shared" si="2"/>
        <v>60.652712,56.832442</v>
      </c>
      <c r="T4705" s="12"/>
    </row>
    <row r="4706">
      <c r="A4706" s="22" t="s">
        <v>30342</v>
      </c>
      <c r="B4706" s="16" t="s">
        <v>30343</v>
      </c>
      <c r="C4706" s="16" t="s">
        <v>30344</v>
      </c>
      <c r="D4706" s="16" t="s">
        <v>16</v>
      </c>
      <c r="E4706" s="21" t="s">
        <v>30345</v>
      </c>
      <c r="F4706" s="22" t="s">
        <v>22263</v>
      </c>
      <c r="G4706" s="16">
        <v>23.61</v>
      </c>
      <c r="H4706" s="16"/>
      <c r="I4706" s="22"/>
      <c r="J4706" s="22" t="s">
        <v>30346</v>
      </c>
      <c r="K4706" s="22" t="s">
        <v>30347</v>
      </c>
      <c r="L4706" s="23" t="s">
        <v>30348</v>
      </c>
      <c r="M4706" s="22"/>
      <c r="N4706" s="12"/>
      <c r="O4706" s="12"/>
      <c r="P4706" s="13">
        <f>IFERROR(__xludf.DUMMYFUNCTION("VALUE(SUBSTITUTE((INDEX(SPLIT(A4706,"",""),1)),""."","","",1))"),60.65803)</f>
        <v>60.65803</v>
      </c>
      <c r="Q4706" s="13">
        <f>IFERROR(__xludf.DUMMYFUNCTION("VALUE(SUBSTITUTE((INDEX(SPLIT(A4706,"",""),2)),""."","","",1))"),56.846553)</f>
        <v>56.846553</v>
      </c>
      <c r="R4706" s="14" t="b">
        <f t="shared" si="1"/>
        <v>0</v>
      </c>
      <c r="S4706" s="14" t="str">
        <f t="shared" si="2"/>
        <v>60.65803,56.846553</v>
      </c>
      <c r="T4706" s="12"/>
    </row>
    <row r="4707">
      <c r="A4707" s="8" t="s">
        <v>30349</v>
      </c>
      <c r="B4707" s="8" t="s">
        <v>30350</v>
      </c>
      <c r="C4707" s="8" t="s">
        <v>30351</v>
      </c>
      <c r="D4707" s="8" t="s">
        <v>16</v>
      </c>
      <c r="E4707" s="19" t="s">
        <v>30352</v>
      </c>
      <c r="F4707" s="8" t="s">
        <v>22263</v>
      </c>
      <c r="G4707" s="8">
        <v>23.61</v>
      </c>
      <c r="H4707" s="8"/>
      <c r="I4707" s="8"/>
      <c r="J4707" s="8" t="s">
        <v>30353</v>
      </c>
      <c r="K4707" s="8" t="s">
        <v>30354</v>
      </c>
      <c r="L4707" s="8"/>
      <c r="M4707" s="8"/>
      <c r="N4707" s="12"/>
      <c r="O4707" s="12"/>
      <c r="P4707" s="13">
        <f>IFERROR(__xludf.DUMMYFUNCTION("VALUE(SUBSTITUTE((INDEX(SPLIT(A4707,"",""),1)),""."","","",1))"),60.664067)</f>
        <v>60.664067</v>
      </c>
      <c r="Q4707" s="13">
        <f>IFERROR(__xludf.DUMMYFUNCTION("VALUE(SUBSTITUTE((INDEX(SPLIT(A4707,"",""),2)),""."","","",1))"),56.837588)</f>
        <v>56.837588</v>
      </c>
      <c r="R4707" s="14" t="b">
        <f t="shared" si="1"/>
        <v>0</v>
      </c>
      <c r="S4707" s="14" t="str">
        <f t="shared" si="2"/>
        <v>60.664067,56.837588</v>
      </c>
      <c r="T4707" s="12"/>
    </row>
    <row r="4708">
      <c r="A4708" s="16" t="s">
        <v>30355</v>
      </c>
      <c r="B4708" s="16" t="s">
        <v>30356</v>
      </c>
      <c r="C4708" s="16" t="s">
        <v>30357</v>
      </c>
      <c r="D4708" s="16" t="s">
        <v>16</v>
      </c>
      <c r="E4708" s="17" t="s">
        <v>30358</v>
      </c>
      <c r="F4708" s="16" t="s">
        <v>22263</v>
      </c>
      <c r="G4708" s="16">
        <v>23.61</v>
      </c>
      <c r="H4708" s="16"/>
      <c r="I4708" s="16"/>
      <c r="J4708" s="16" t="s">
        <v>30359</v>
      </c>
      <c r="K4708" s="16" t="s">
        <v>30360</v>
      </c>
      <c r="L4708" s="16"/>
      <c r="M4708" s="25" t="s">
        <v>30361</v>
      </c>
      <c r="N4708" s="12"/>
      <c r="O4708" s="12"/>
      <c r="P4708" s="13">
        <f>IFERROR(__xludf.DUMMYFUNCTION("VALUE(SUBSTITUTE((INDEX(SPLIT(A4708,"",""),1)),""."","","",1))"),60.665324)</f>
        <v>60.665324</v>
      </c>
      <c r="Q4708" s="13">
        <f>IFERROR(__xludf.DUMMYFUNCTION("VALUE(SUBSTITUTE((INDEX(SPLIT(A4708,"",""),2)),""."","","",1))"),56.862268)</f>
        <v>56.862268</v>
      </c>
      <c r="R4708" s="14" t="b">
        <f t="shared" si="1"/>
        <v>0</v>
      </c>
      <c r="S4708" s="14" t="str">
        <f t="shared" si="2"/>
        <v>60.665324,56.862268</v>
      </c>
      <c r="T4708" s="12"/>
    </row>
    <row r="4709">
      <c r="A4709" s="10" t="s">
        <v>30362</v>
      </c>
      <c r="B4709" s="8" t="s">
        <v>10950</v>
      </c>
      <c r="C4709" s="8" t="s">
        <v>10951</v>
      </c>
      <c r="D4709" s="8" t="s">
        <v>16</v>
      </c>
      <c r="E4709" s="9" t="s">
        <v>30363</v>
      </c>
      <c r="F4709" s="10" t="s">
        <v>22263</v>
      </c>
      <c r="G4709" s="8">
        <v>23.61</v>
      </c>
      <c r="H4709" s="8"/>
      <c r="I4709" s="10"/>
      <c r="J4709" s="10" t="s">
        <v>30364</v>
      </c>
      <c r="K4709" s="10" t="s">
        <v>29338</v>
      </c>
      <c r="L4709" s="29" t="s">
        <v>30365</v>
      </c>
      <c r="M4709" s="10"/>
      <c r="N4709" s="12"/>
      <c r="O4709" s="12"/>
      <c r="P4709" s="13">
        <f>IFERROR(__xludf.DUMMYFUNCTION("VALUE(SUBSTITUTE((INDEX(SPLIT(A4709,"",""),1)),""."","","",1))"),60.667525)</f>
        <v>60.667525</v>
      </c>
      <c r="Q4709" s="13">
        <f>IFERROR(__xludf.DUMMYFUNCTION("VALUE(SUBSTITUTE((INDEX(SPLIT(A4709,"",""),2)),""."","","",1))"),56.870317)</f>
        <v>56.870317</v>
      </c>
      <c r="R4709" s="14" t="b">
        <f t="shared" si="1"/>
        <v>0</v>
      </c>
      <c r="S4709" s="14" t="str">
        <f t="shared" si="2"/>
        <v>60.667525,56.870317</v>
      </c>
      <c r="T4709" s="12"/>
    </row>
    <row r="4710">
      <c r="A4710" s="16" t="s">
        <v>30366</v>
      </c>
      <c r="B4710" s="16" t="s">
        <v>30367</v>
      </c>
      <c r="C4710" s="16" t="s">
        <v>30368</v>
      </c>
      <c r="D4710" s="16" t="s">
        <v>16</v>
      </c>
      <c r="E4710" s="17" t="s">
        <v>30369</v>
      </c>
      <c r="F4710" s="16" t="s">
        <v>22263</v>
      </c>
      <c r="G4710" s="16">
        <v>23.61</v>
      </c>
      <c r="H4710" s="16"/>
      <c r="I4710" s="16"/>
      <c r="J4710" s="16" t="s">
        <v>30370</v>
      </c>
      <c r="K4710" s="16" t="s">
        <v>30371</v>
      </c>
      <c r="L4710" s="16"/>
      <c r="M4710" s="25" t="s">
        <v>30372</v>
      </c>
      <c r="N4710" s="12"/>
      <c r="O4710" s="12"/>
      <c r="P4710" s="13">
        <f>IFERROR(__xludf.DUMMYFUNCTION("VALUE(SUBSTITUTE((INDEX(SPLIT(A4710,"",""),1)),""."","","",1))"),60.667983)</f>
        <v>60.667983</v>
      </c>
      <c r="Q4710" s="13">
        <f>IFERROR(__xludf.DUMMYFUNCTION("VALUE(SUBSTITUTE((INDEX(SPLIT(A4710,"",""),2)),""."","","",1))"),56.865259)</f>
        <v>56.865259</v>
      </c>
      <c r="R4710" s="14" t="b">
        <f t="shared" si="1"/>
        <v>0</v>
      </c>
      <c r="S4710" s="14" t="str">
        <f t="shared" si="2"/>
        <v>60.667983,56.865259</v>
      </c>
      <c r="T4710" s="12"/>
    </row>
    <row r="4711">
      <c r="A4711" s="8" t="s">
        <v>30373</v>
      </c>
      <c r="B4711" s="8" t="s">
        <v>30374</v>
      </c>
      <c r="C4711" s="8" t="s">
        <v>30375</v>
      </c>
      <c r="D4711" s="8" t="s">
        <v>16</v>
      </c>
      <c r="E4711" s="19" t="s">
        <v>30376</v>
      </c>
      <c r="F4711" s="8" t="s">
        <v>22263</v>
      </c>
      <c r="G4711" s="8">
        <v>23.61</v>
      </c>
      <c r="H4711" s="8"/>
      <c r="I4711" s="8"/>
      <c r="J4711" s="8" t="s">
        <v>30377</v>
      </c>
      <c r="K4711" s="8" t="s">
        <v>30378</v>
      </c>
      <c r="L4711" s="8"/>
      <c r="M4711" s="24" t="s">
        <v>30379</v>
      </c>
      <c r="N4711" s="12"/>
      <c r="O4711" s="12"/>
      <c r="P4711" s="13">
        <f>IFERROR(__xludf.DUMMYFUNCTION("VALUE(SUBSTITUTE((INDEX(SPLIT(A4711,"",""),1)),""."","","",1))"),60.67146)</f>
        <v>60.67146</v>
      </c>
      <c r="Q4711" s="13">
        <f>IFERROR(__xludf.DUMMYFUNCTION("VALUE(SUBSTITUTE((INDEX(SPLIT(A4711,"",""),2)),""."","","",1))"),56.827793)</f>
        <v>56.827793</v>
      </c>
      <c r="R4711" s="14" t="b">
        <f t="shared" si="1"/>
        <v>0</v>
      </c>
      <c r="S4711" s="14" t="str">
        <f t="shared" si="2"/>
        <v>60.67146,56.827793</v>
      </c>
      <c r="T4711" s="12"/>
    </row>
    <row r="4712">
      <c r="A4712" s="22" t="s">
        <v>30380</v>
      </c>
      <c r="B4712" s="16" t="s">
        <v>30381</v>
      </c>
      <c r="C4712" s="16" t="s">
        <v>30382</v>
      </c>
      <c r="D4712" s="16" t="s">
        <v>16</v>
      </c>
      <c r="E4712" s="21" t="s">
        <v>30383</v>
      </c>
      <c r="F4712" s="22" t="s">
        <v>22263</v>
      </c>
      <c r="G4712" s="16">
        <v>23.61</v>
      </c>
      <c r="H4712" s="16"/>
      <c r="I4712" s="22"/>
      <c r="J4712" s="22" t="s">
        <v>30384</v>
      </c>
      <c r="K4712" s="22" t="s">
        <v>30385</v>
      </c>
      <c r="L4712" s="23" t="s">
        <v>30386</v>
      </c>
      <c r="M4712" s="22"/>
      <c r="N4712" s="12"/>
      <c r="O4712" s="12"/>
      <c r="P4712" s="13">
        <f>IFERROR(__xludf.DUMMYFUNCTION("VALUE(SUBSTITUTE((INDEX(SPLIT(A4712,"",""),1)),""."","","",1))"),60.676634)</f>
        <v>60.676634</v>
      </c>
      <c r="Q4712" s="13">
        <f>IFERROR(__xludf.DUMMYFUNCTION("VALUE(SUBSTITUTE((INDEX(SPLIT(A4712,"",""),2)),""."","","",1))"),56.832408)</f>
        <v>56.832408</v>
      </c>
      <c r="R4712" s="14" t="b">
        <f t="shared" si="1"/>
        <v>0</v>
      </c>
      <c r="S4712" s="14" t="str">
        <f t="shared" si="2"/>
        <v>60.676634,56.832408</v>
      </c>
      <c r="T4712" s="12"/>
    </row>
    <row r="4713">
      <c r="A4713" s="10" t="s">
        <v>30387</v>
      </c>
      <c r="B4713" s="8" t="s">
        <v>30388</v>
      </c>
      <c r="C4713" s="8" t="s">
        <v>30389</v>
      </c>
      <c r="D4713" s="8" t="s">
        <v>16</v>
      </c>
      <c r="E4713" s="9" t="s">
        <v>30390</v>
      </c>
      <c r="F4713" s="10" t="s">
        <v>22263</v>
      </c>
      <c r="G4713" s="8">
        <v>23.61</v>
      </c>
      <c r="H4713" s="8"/>
      <c r="I4713" s="10"/>
      <c r="J4713" s="10" t="s">
        <v>30391</v>
      </c>
      <c r="K4713" s="10" t="s">
        <v>29973</v>
      </c>
      <c r="L4713" s="11" t="s">
        <v>30392</v>
      </c>
      <c r="M4713" s="10"/>
      <c r="N4713" s="12"/>
      <c r="O4713" s="12"/>
      <c r="P4713" s="13">
        <f>IFERROR(__xludf.DUMMYFUNCTION("VALUE(SUBSTITUTE((INDEX(SPLIT(A4713,"",""),1)),""."","","",1))"),60.694043)</f>
        <v>60.694043</v>
      </c>
      <c r="Q4713" s="13">
        <f>IFERROR(__xludf.DUMMYFUNCTION("VALUE(SUBSTITUTE((INDEX(SPLIT(A4713,"",""),2)),""."","","",1))"),56.84006)</f>
        <v>56.84006</v>
      </c>
      <c r="R4713" s="14" t="b">
        <f t="shared" si="1"/>
        <v>0</v>
      </c>
      <c r="S4713" s="14" t="str">
        <f t="shared" si="2"/>
        <v>60.694043,56.84006</v>
      </c>
      <c r="T4713" s="12"/>
    </row>
    <row r="4714">
      <c r="A4714" s="16" t="s">
        <v>30393</v>
      </c>
      <c r="B4714" s="16" t="s">
        <v>30394</v>
      </c>
      <c r="C4714" s="16" t="s">
        <v>30395</v>
      </c>
      <c r="D4714" s="16" t="s">
        <v>16</v>
      </c>
      <c r="E4714" s="17" t="s">
        <v>30396</v>
      </c>
      <c r="F4714" s="16" t="s">
        <v>3162</v>
      </c>
      <c r="G4714" s="16">
        <v>23.61</v>
      </c>
      <c r="H4714" s="16"/>
      <c r="I4714" s="16"/>
      <c r="J4714" s="16" t="s">
        <v>30397</v>
      </c>
      <c r="K4714" s="16" t="s">
        <v>4398</v>
      </c>
      <c r="L4714" s="16"/>
      <c r="M4714" s="16"/>
      <c r="N4714" s="12"/>
      <c r="O4714" s="12"/>
      <c r="P4714" s="13">
        <f>IFERROR(__xludf.DUMMYFUNCTION("VALUE(SUBSTITUTE((INDEX(SPLIT(A4714,"",""),1)),""."","","",1))"),60.694801331)</f>
        <v>60.69480133</v>
      </c>
      <c r="Q4714" s="13">
        <f>IFERROR(__xludf.DUMMYFUNCTION("VALUE(SUBSTITUTE((INDEX(SPLIT(A4714,"",""),2)),""."","","",1))"),28.783149719)</f>
        <v>28.78314972</v>
      </c>
      <c r="R4714" s="14" t="b">
        <f t="shared" si="1"/>
        <v>0</v>
      </c>
      <c r="S4714" s="14" t="str">
        <f t="shared" si="2"/>
        <v>60.694801331,28.783149719</v>
      </c>
      <c r="T4714" s="12"/>
    </row>
    <row r="4715">
      <c r="A4715" s="8" t="s">
        <v>30398</v>
      </c>
      <c r="B4715" s="8" t="s">
        <v>30399</v>
      </c>
      <c r="C4715" s="8" t="s">
        <v>30400</v>
      </c>
      <c r="D4715" s="8" t="s">
        <v>16</v>
      </c>
      <c r="E4715" s="19" t="s">
        <v>30401</v>
      </c>
      <c r="F4715" s="8" t="s">
        <v>10045</v>
      </c>
      <c r="G4715" s="8">
        <v>23.61</v>
      </c>
      <c r="H4715" s="8"/>
      <c r="I4715" s="8"/>
      <c r="J4715" s="8" t="s">
        <v>30402</v>
      </c>
      <c r="K4715" s="8" t="s">
        <v>30403</v>
      </c>
      <c r="L4715" s="8"/>
      <c r="M4715" s="8"/>
      <c r="N4715" s="12"/>
      <c r="O4715" s="12"/>
      <c r="P4715" s="13">
        <f>IFERROR(__xludf.DUMMYFUNCTION("VALUE(SUBSTITUTE((INDEX(SPLIT(A4715,"",""),1)),""."","","",1))"),60.698364)</f>
        <v>60.698364</v>
      </c>
      <c r="Q4715" s="13">
        <f>IFERROR(__xludf.DUMMYFUNCTION("VALUE(SUBSTITUTE((INDEX(SPLIT(A4715,"",""),2)),""."","","",1))"),55.762611)</f>
        <v>55.762611</v>
      </c>
      <c r="R4715" s="14" t="b">
        <f t="shared" si="1"/>
        <v>0</v>
      </c>
      <c r="S4715" s="14" t="str">
        <f t="shared" si="2"/>
        <v>60.698364,55.762611</v>
      </c>
      <c r="T4715" s="12"/>
    </row>
    <row r="4716">
      <c r="A4716" s="16" t="s">
        <v>30404</v>
      </c>
      <c r="B4716" s="16" t="s">
        <v>12040</v>
      </c>
      <c r="C4716" s="16" t="s">
        <v>12041</v>
      </c>
      <c r="D4716" s="16" t="s">
        <v>16</v>
      </c>
      <c r="E4716" s="17" t="s">
        <v>30405</v>
      </c>
      <c r="F4716" s="16" t="s">
        <v>23544</v>
      </c>
      <c r="G4716" s="16">
        <v>23.61</v>
      </c>
      <c r="H4716" s="16"/>
      <c r="I4716" s="16"/>
      <c r="J4716" s="16" t="s">
        <v>30406</v>
      </c>
      <c r="K4716" s="16" t="s">
        <v>30407</v>
      </c>
      <c r="L4716" s="16"/>
      <c r="M4716" s="16"/>
      <c r="N4716" s="12"/>
      <c r="O4716" s="12"/>
      <c r="P4716" s="13">
        <f>IFERROR(__xludf.DUMMYFUNCTION("VALUE(SUBSTITUTE((INDEX(SPLIT(A4716,"",""),1)),""."","","",1))"),60.699254)</f>
        <v>60.699254</v>
      </c>
      <c r="Q4716" s="13">
        <f>IFERROR(__xludf.DUMMYFUNCTION("VALUE(SUBSTITUTE((INDEX(SPLIT(A4716,"",""),2)),""."","","",1))"),55.736508)</f>
        <v>55.736508</v>
      </c>
      <c r="R4716" s="14" t="b">
        <f t="shared" si="1"/>
        <v>0</v>
      </c>
      <c r="S4716" s="14" t="str">
        <f t="shared" si="2"/>
        <v>60.699254,55.736508</v>
      </c>
      <c r="T4716" s="12"/>
    </row>
    <row r="4717">
      <c r="A4717" s="10" t="s">
        <v>30408</v>
      </c>
      <c r="B4717" s="8" t="s">
        <v>30409</v>
      </c>
      <c r="C4717" s="8" t="s">
        <v>30410</v>
      </c>
      <c r="D4717" s="8" t="s">
        <v>16</v>
      </c>
      <c r="E4717" s="9" t="s">
        <v>30411</v>
      </c>
      <c r="F4717" s="10" t="s">
        <v>22263</v>
      </c>
      <c r="G4717" s="8">
        <v>23.61</v>
      </c>
      <c r="H4717" s="8"/>
      <c r="I4717" s="10"/>
      <c r="J4717" s="10" t="s">
        <v>30412</v>
      </c>
      <c r="K4717" s="10" t="s">
        <v>30413</v>
      </c>
      <c r="L4717" s="29" t="s">
        <v>30414</v>
      </c>
      <c r="M4717" s="10"/>
      <c r="N4717" s="12"/>
      <c r="O4717" s="12"/>
      <c r="P4717" s="13">
        <f>IFERROR(__xludf.DUMMYFUNCTION("VALUE(SUBSTITUTE((INDEX(SPLIT(A4717,"",""),1)),""."","","",1))"),60.700583)</f>
        <v>60.700583</v>
      </c>
      <c r="Q4717" s="13">
        <f>IFERROR(__xludf.DUMMYFUNCTION("VALUE(SUBSTITUTE((INDEX(SPLIT(A4717,"",""),2)),""."","","",1))"),56.83581)</f>
        <v>56.83581</v>
      </c>
      <c r="R4717" s="14" t="b">
        <f t="shared" si="1"/>
        <v>0</v>
      </c>
      <c r="S4717" s="14" t="str">
        <f t="shared" si="2"/>
        <v>60.700583,56.83581</v>
      </c>
      <c r="T4717" s="12"/>
    </row>
    <row r="4718">
      <c r="A4718" s="22" t="s">
        <v>30415</v>
      </c>
      <c r="B4718" s="16" t="s">
        <v>30416</v>
      </c>
      <c r="C4718" s="16" t="s">
        <v>30417</v>
      </c>
      <c r="D4718" s="16" t="s">
        <v>16</v>
      </c>
      <c r="E4718" s="21" t="s">
        <v>30418</v>
      </c>
      <c r="F4718" s="22" t="s">
        <v>22263</v>
      </c>
      <c r="G4718" s="16">
        <v>23.61</v>
      </c>
      <c r="H4718" s="16"/>
      <c r="I4718" s="22"/>
      <c r="J4718" s="22" t="s">
        <v>30419</v>
      </c>
      <c r="K4718" s="22" t="s">
        <v>30420</v>
      </c>
      <c r="L4718" s="23" t="s">
        <v>30421</v>
      </c>
      <c r="M4718" s="23" t="s">
        <v>30422</v>
      </c>
      <c r="N4718" s="12"/>
      <c r="O4718" s="12"/>
      <c r="P4718" s="13">
        <f>IFERROR(__xludf.DUMMYFUNCTION("VALUE(SUBSTITUTE((INDEX(SPLIT(A4718,"",""),1)),""."","","",1))"),60.707437)</f>
        <v>60.707437</v>
      </c>
      <c r="Q4718" s="13">
        <f>IFERROR(__xludf.DUMMYFUNCTION("VALUE(SUBSTITUTE((INDEX(SPLIT(A4718,"",""),2)),""."","","",1))"),56.747107)</f>
        <v>56.747107</v>
      </c>
      <c r="R4718" s="14" t="b">
        <f t="shared" si="1"/>
        <v>0</v>
      </c>
      <c r="S4718" s="14" t="str">
        <f t="shared" si="2"/>
        <v>60.707437,56.747107</v>
      </c>
      <c r="T4718" s="12"/>
    </row>
    <row r="4719">
      <c r="A4719" s="10" t="s">
        <v>30423</v>
      </c>
      <c r="B4719" s="8" t="s">
        <v>30424</v>
      </c>
      <c r="C4719" s="8" t="s">
        <v>30425</v>
      </c>
      <c r="D4719" s="8" t="s">
        <v>16</v>
      </c>
      <c r="E4719" s="9" t="s">
        <v>30426</v>
      </c>
      <c r="F4719" s="10" t="s">
        <v>22263</v>
      </c>
      <c r="G4719" s="8">
        <v>23.61</v>
      </c>
      <c r="H4719" s="8"/>
      <c r="I4719" s="10"/>
      <c r="J4719" s="10" t="s">
        <v>30427</v>
      </c>
      <c r="K4719" s="10" t="s">
        <v>30428</v>
      </c>
      <c r="L4719" s="11" t="s">
        <v>30429</v>
      </c>
      <c r="M4719" s="10"/>
      <c r="N4719" s="12"/>
      <c r="O4719" s="12"/>
      <c r="P4719" s="13">
        <f>IFERROR(__xludf.DUMMYFUNCTION("VALUE(SUBSTITUTE((INDEX(SPLIT(A4719,"",""),1)),""."","","",1))"),60.713743)</f>
        <v>60.713743</v>
      </c>
      <c r="Q4719" s="13">
        <f>IFERROR(__xludf.DUMMYFUNCTION("VALUE(SUBSTITUTE((INDEX(SPLIT(A4719,"",""),2)),""."","","",1))"),56.753197)</f>
        <v>56.753197</v>
      </c>
      <c r="R4719" s="14" t="b">
        <f t="shared" si="1"/>
        <v>0</v>
      </c>
      <c r="S4719" s="14" t="str">
        <f t="shared" si="2"/>
        <v>60.713743,56.753197</v>
      </c>
      <c r="T4719" s="12"/>
    </row>
    <row r="4720">
      <c r="A4720" s="22" t="s">
        <v>30430</v>
      </c>
      <c r="B4720" s="16" t="s">
        <v>30431</v>
      </c>
      <c r="C4720" s="16" t="s">
        <v>30432</v>
      </c>
      <c r="D4720" s="16" t="s">
        <v>16</v>
      </c>
      <c r="E4720" s="21" t="s">
        <v>30433</v>
      </c>
      <c r="F4720" s="22" t="s">
        <v>22263</v>
      </c>
      <c r="G4720" s="16">
        <v>23.61</v>
      </c>
      <c r="H4720" s="16"/>
      <c r="I4720" s="22"/>
      <c r="J4720" s="22" t="s">
        <v>30434</v>
      </c>
      <c r="K4720" s="22" t="s">
        <v>30435</v>
      </c>
      <c r="L4720" s="23" t="s">
        <v>29689</v>
      </c>
      <c r="M4720" s="23" t="s">
        <v>30436</v>
      </c>
      <c r="N4720" s="12"/>
      <c r="O4720" s="12"/>
      <c r="P4720" s="13">
        <f>IFERROR(__xludf.DUMMYFUNCTION("VALUE(SUBSTITUTE((INDEX(SPLIT(A4720,"",""),1)),""."","","",1))"),60.714794)</f>
        <v>60.714794</v>
      </c>
      <c r="Q4720" s="13">
        <f>IFERROR(__xludf.DUMMYFUNCTION("VALUE(SUBSTITUTE((INDEX(SPLIT(A4720,"",""),2)),""."","","",1))"),56.753143)</f>
        <v>56.753143</v>
      </c>
      <c r="R4720" s="14" t="b">
        <f t="shared" si="1"/>
        <v>0</v>
      </c>
      <c r="S4720" s="14" t="str">
        <f t="shared" si="2"/>
        <v>60.714794,56.753143</v>
      </c>
      <c r="T4720" s="12"/>
    </row>
    <row r="4721">
      <c r="A4721" s="8" t="s">
        <v>30437</v>
      </c>
      <c r="B4721" s="8" t="s">
        <v>30438</v>
      </c>
      <c r="C4721" s="8" t="s">
        <v>30439</v>
      </c>
      <c r="D4721" s="8" t="s">
        <v>16</v>
      </c>
      <c r="E4721" s="19" t="s">
        <v>30440</v>
      </c>
      <c r="F4721" s="8" t="s">
        <v>11562</v>
      </c>
      <c r="G4721" s="8">
        <v>23.61</v>
      </c>
      <c r="H4721" s="8"/>
      <c r="I4721" s="8"/>
      <c r="J4721" s="8" t="s">
        <v>30441</v>
      </c>
      <c r="K4721" s="8" t="s">
        <v>30442</v>
      </c>
      <c r="L4721" s="8"/>
      <c r="M4721" s="8"/>
      <c r="N4721" s="12"/>
      <c r="O4721" s="12"/>
      <c r="P4721" s="13">
        <f>IFERROR(__xludf.DUMMYFUNCTION("VALUE(SUBSTITUTE((INDEX(SPLIT(A4721,"",""),1)),""."","","",1))"),60.743659973)</f>
        <v>60.74365997</v>
      </c>
      <c r="Q4721" s="13">
        <f>IFERROR(__xludf.DUMMYFUNCTION("VALUE(SUBSTITUTE((INDEX(SPLIT(A4721,"",""),2)),""."","","",1))"),46.316921234)</f>
        <v>46.31692123</v>
      </c>
      <c r="R4721" s="14" t="b">
        <f t="shared" si="1"/>
        <v>0</v>
      </c>
      <c r="S4721" s="14" t="str">
        <f t="shared" si="2"/>
        <v>60.743659973,46.316921234</v>
      </c>
      <c r="T4721" s="12"/>
    </row>
    <row r="4722">
      <c r="A4722" s="16" t="s">
        <v>30443</v>
      </c>
      <c r="B4722" s="16" t="s">
        <v>30444</v>
      </c>
      <c r="C4722" s="16" t="s">
        <v>30445</v>
      </c>
      <c r="D4722" s="16" t="s">
        <v>16</v>
      </c>
      <c r="E4722" s="17" t="s">
        <v>30446</v>
      </c>
      <c r="F4722" s="16" t="s">
        <v>22263</v>
      </c>
      <c r="G4722" s="16">
        <v>23.61</v>
      </c>
      <c r="H4722" s="16"/>
      <c r="I4722" s="16"/>
      <c r="J4722" s="16" t="s">
        <v>30447</v>
      </c>
      <c r="K4722" s="16" t="s">
        <v>30448</v>
      </c>
      <c r="L4722" s="16"/>
      <c r="M4722" s="25" t="s">
        <v>30449</v>
      </c>
      <c r="N4722" s="12"/>
      <c r="O4722" s="12"/>
      <c r="P4722" s="13">
        <f>IFERROR(__xludf.DUMMYFUNCTION("VALUE(SUBSTITUTE((INDEX(SPLIT(A4722,"",""),1)),""."","","",1))"),60.745211)</f>
        <v>60.745211</v>
      </c>
      <c r="Q4722" s="13">
        <f>IFERROR(__xludf.DUMMYFUNCTION("VALUE(SUBSTITUTE((INDEX(SPLIT(A4722,"",""),2)),""."","","",1))"),56.789402)</f>
        <v>56.789402</v>
      </c>
      <c r="R4722" s="14" t="b">
        <f t="shared" si="1"/>
        <v>0</v>
      </c>
      <c r="S4722" s="14" t="str">
        <f t="shared" si="2"/>
        <v>60.745211,56.789402</v>
      </c>
      <c r="T4722" s="12"/>
    </row>
    <row r="4723">
      <c r="A4723" s="8" t="s">
        <v>30450</v>
      </c>
      <c r="B4723" s="8" t="s">
        <v>30451</v>
      </c>
      <c r="C4723" s="8" t="s">
        <v>30452</v>
      </c>
      <c r="D4723" s="8" t="s">
        <v>16</v>
      </c>
      <c r="E4723" s="19" t="s">
        <v>30453</v>
      </c>
      <c r="F4723" s="8" t="s">
        <v>22263</v>
      </c>
      <c r="G4723" s="8">
        <v>23.61</v>
      </c>
      <c r="H4723" s="8"/>
      <c r="I4723" s="8"/>
      <c r="J4723" s="8" t="s">
        <v>30454</v>
      </c>
      <c r="K4723" s="8" t="s">
        <v>30455</v>
      </c>
      <c r="L4723" s="8"/>
      <c r="M4723" s="24" t="s">
        <v>30456</v>
      </c>
      <c r="N4723" s="12"/>
      <c r="O4723" s="12"/>
      <c r="P4723" s="13">
        <f>IFERROR(__xludf.DUMMYFUNCTION("VALUE(SUBSTITUTE((INDEX(SPLIT(A4723,"",""),1)),""."","","",1))"),60.756503)</f>
        <v>60.756503</v>
      </c>
      <c r="Q4723" s="13">
        <f>IFERROR(__xludf.DUMMYFUNCTION("VALUE(SUBSTITUTE((INDEX(SPLIT(A4723,"",""),2)),""."","","",1))"),56.725832)</f>
        <v>56.725832</v>
      </c>
      <c r="R4723" s="14" t="b">
        <f t="shared" si="1"/>
        <v>0</v>
      </c>
      <c r="S4723" s="14" t="str">
        <f t="shared" si="2"/>
        <v>60.756503,56.725832</v>
      </c>
      <c r="T4723" s="12"/>
    </row>
    <row r="4724">
      <c r="A4724" s="16" t="s">
        <v>30457</v>
      </c>
      <c r="B4724" s="16" t="s">
        <v>19862</v>
      </c>
      <c r="C4724" s="16" t="s">
        <v>19863</v>
      </c>
      <c r="D4724" s="16" t="s">
        <v>16</v>
      </c>
      <c r="E4724" s="17" t="s">
        <v>30458</v>
      </c>
      <c r="F4724" s="16" t="s">
        <v>22263</v>
      </c>
      <c r="G4724" s="16">
        <v>23.61</v>
      </c>
      <c r="H4724" s="16"/>
      <c r="I4724" s="16"/>
      <c r="J4724" s="16" t="s">
        <v>30459</v>
      </c>
      <c r="K4724" s="16" t="s">
        <v>30460</v>
      </c>
      <c r="L4724" s="16"/>
      <c r="M4724" s="25" t="s">
        <v>30461</v>
      </c>
      <c r="N4724" s="12"/>
      <c r="O4724" s="12"/>
      <c r="P4724" s="13">
        <f>IFERROR(__xludf.DUMMYFUNCTION("VALUE(SUBSTITUTE((INDEX(SPLIT(A4724,"",""),1)),""."","","",1))"),60.764444)</f>
        <v>60.764444</v>
      </c>
      <c r="Q4724" s="13">
        <f>IFERROR(__xludf.DUMMYFUNCTION("VALUE(SUBSTITUTE((INDEX(SPLIT(A4724,"",""),2)),""."","","",1))"),56.798093)</f>
        <v>56.798093</v>
      </c>
      <c r="R4724" s="14" t="b">
        <f t="shared" si="1"/>
        <v>0</v>
      </c>
      <c r="S4724" s="14" t="str">
        <f t="shared" si="2"/>
        <v>60.764444,56.798093</v>
      </c>
      <c r="T4724" s="12"/>
    </row>
    <row r="4725">
      <c r="A4725" s="10" t="s">
        <v>30462</v>
      </c>
      <c r="B4725" s="8" t="s">
        <v>30463</v>
      </c>
      <c r="C4725" s="8" t="s">
        <v>30464</v>
      </c>
      <c r="D4725" s="8" t="s">
        <v>16</v>
      </c>
      <c r="E4725" s="9" t="s">
        <v>30465</v>
      </c>
      <c r="F4725" s="10" t="s">
        <v>23544</v>
      </c>
      <c r="G4725" s="8">
        <v>23.61</v>
      </c>
      <c r="H4725" s="8"/>
      <c r="I4725" s="10"/>
      <c r="J4725" s="10" t="s">
        <v>30466</v>
      </c>
      <c r="K4725" s="10" t="s">
        <v>30467</v>
      </c>
      <c r="L4725" s="11" t="s">
        <v>30468</v>
      </c>
      <c r="M4725" s="10"/>
      <c r="N4725" s="12"/>
      <c r="O4725" s="12"/>
      <c r="P4725" s="13">
        <f>IFERROR(__xludf.DUMMYFUNCTION("VALUE(SUBSTITUTE((INDEX(SPLIT(A4725,"",""),1)),""."","","",1))"),60.765837)</f>
        <v>60.765837</v>
      </c>
      <c r="Q4725" s="13">
        <f>IFERROR(__xludf.DUMMYFUNCTION("VALUE(SUBSTITUTE((INDEX(SPLIT(A4725,"",""),2)),""."","","",1))"),56.070519)</f>
        <v>56.070519</v>
      </c>
      <c r="R4725" s="14" t="b">
        <f t="shared" si="1"/>
        <v>0</v>
      </c>
      <c r="S4725" s="14" t="str">
        <f t="shared" si="2"/>
        <v>60.765837,56.070519</v>
      </c>
      <c r="T4725" s="12"/>
    </row>
    <row r="4726">
      <c r="A4726" s="22" t="s">
        <v>30469</v>
      </c>
      <c r="B4726" s="16" t="s">
        <v>30470</v>
      </c>
      <c r="C4726" s="16" t="s">
        <v>30471</v>
      </c>
      <c r="D4726" s="16" t="s">
        <v>16</v>
      </c>
      <c r="E4726" s="21" t="s">
        <v>30472</v>
      </c>
      <c r="F4726" s="22" t="s">
        <v>22263</v>
      </c>
      <c r="G4726" s="16">
        <v>23.61</v>
      </c>
      <c r="H4726" s="16"/>
      <c r="I4726" s="22"/>
      <c r="J4726" s="22" t="s">
        <v>30473</v>
      </c>
      <c r="K4726" s="22" t="s">
        <v>30073</v>
      </c>
      <c r="L4726" s="23" t="s">
        <v>30474</v>
      </c>
      <c r="M4726" s="23" t="s">
        <v>30475</v>
      </c>
      <c r="N4726" s="12"/>
      <c r="O4726" s="12"/>
      <c r="P4726" s="13">
        <f>IFERROR(__xludf.DUMMYFUNCTION("VALUE(SUBSTITUTE((INDEX(SPLIT(A4726,"",""),1)),""."","","",1))"),60.769951)</f>
        <v>60.769951</v>
      </c>
      <c r="Q4726" s="13">
        <f>IFERROR(__xludf.DUMMYFUNCTION("VALUE(SUBSTITUTE((INDEX(SPLIT(A4726,"",""),2)),""."","","",1))"),56.931996)</f>
        <v>56.931996</v>
      </c>
      <c r="R4726" s="14" t="b">
        <f t="shared" si="1"/>
        <v>0</v>
      </c>
      <c r="S4726" s="14" t="str">
        <f t="shared" si="2"/>
        <v>60.769951,56.931996</v>
      </c>
      <c r="T4726" s="12"/>
    </row>
    <row r="4727">
      <c r="A4727" s="8" t="s">
        <v>30476</v>
      </c>
      <c r="B4727" s="8" t="s">
        <v>30477</v>
      </c>
      <c r="C4727" s="8" t="s">
        <v>30478</v>
      </c>
      <c r="D4727" s="8" t="s">
        <v>16</v>
      </c>
      <c r="E4727" s="19" t="s">
        <v>30479</v>
      </c>
      <c r="F4727" s="8" t="s">
        <v>22263</v>
      </c>
      <c r="G4727" s="8">
        <v>23.61</v>
      </c>
      <c r="H4727" s="8"/>
      <c r="I4727" s="8"/>
      <c r="J4727" s="8" t="s">
        <v>30480</v>
      </c>
      <c r="K4727" s="8" t="s">
        <v>30481</v>
      </c>
      <c r="L4727" s="8"/>
      <c r="M4727" s="8"/>
      <c r="N4727" s="12"/>
      <c r="O4727" s="12"/>
      <c r="P4727" s="13">
        <f>IFERROR(__xludf.DUMMYFUNCTION("VALUE(SUBSTITUTE((INDEX(SPLIT(A4727,"",""),1)),""."","","",1))"),60.777272)</f>
        <v>60.777272</v>
      </c>
      <c r="Q4727" s="13">
        <f>IFERROR(__xludf.DUMMYFUNCTION("VALUE(SUBSTITUTE((INDEX(SPLIT(A4727,"",""),2)),""."","","",1))"),56.931347)</f>
        <v>56.931347</v>
      </c>
      <c r="R4727" s="14" t="b">
        <f t="shared" si="1"/>
        <v>0</v>
      </c>
      <c r="S4727" s="14" t="str">
        <f t="shared" si="2"/>
        <v>60.777272,56.931347</v>
      </c>
      <c r="T4727" s="12"/>
    </row>
    <row r="4728">
      <c r="A4728" s="22" t="s">
        <v>30482</v>
      </c>
      <c r="B4728" s="16" t="s">
        <v>30483</v>
      </c>
      <c r="C4728" s="16" t="s">
        <v>30484</v>
      </c>
      <c r="D4728" s="16" t="s">
        <v>16</v>
      </c>
      <c r="E4728" s="21" t="s">
        <v>30485</v>
      </c>
      <c r="F4728" s="22" t="s">
        <v>22263</v>
      </c>
      <c r="G4728" s="16">
        <v>23.61</v>
      </c>
      <c r="H4728" s="16"/>
      <c r="I4728" s="22"/>
      <c r="J4728" s="22" t="s">
        <v>30486</v>
      </c>
      <c r="K4728" s="22" t="s">
        <v>30487</v>
      </c>
      <c r="L4728" s="23" t="s">
        <v>30488</v>
      </c>
      <c r="M4728" s="23" t="s">
        <v>30489</v>
      </c>
      <c r="N4728" s="12"/>
      <c r="O4728" s="12"/>
      <c r="P4728" s="13">
        <f>IFERROR(__xludf.DUMMYFUNCTION("VALUE(SUBSTITUTE((INDEX(SPLIT(A4728,"",""),1)),""."","","",1))"),60.779401)</f>
        <v>60.779401</v>
      </c>
      <c r="Q4728" s="13">
        <f>IFERROR(__xludf.DUMMYFUNCTION("VALUE(SUBSTITUTE((INDEX(SPLIT(A4728,"",""),2)),""."","","",1))"),56.905745)</f>
        <v>56.905745</v>
      </c>
      <c r="R4728" s="14" t="b">
        <f t="shared" si="1"/>
        <v>0</v>
      </c>
      <c r="S4728" s="14" t="str">
        <f t="shared" si="2"/>
        <v>60.779401,56.905745</v>
      </c>
      <c r="T4728" s="12"/>
    </row>
    <row r="4729">
      <c r="A4729" s="10" t="s">
        <v>30490</v>
      </c>
      <c r="B4729" s="8" t="s">
        <v>30491</v>
      </c>
      <c r="C4729" s="8" t="s">
        <v>30492</v>
      </c>
      <c r="D4729" s="8" t="s">
        <v>16</v>
      </c>
      <c r="E4729" s="9" t="s">
        <v>30493</v>
      </c>
      <c r="F4729" s="10" t="s">
        <v>22263</v>
      </c>
      <c r="G4729" s="8">
        <v>23.61</v>
      </c>
      <c r="H4729" s="8"/>
      <c r="I4729" s="10"/>
      <c r="J4729" s="10" t="s">
        <v>30494</v>
      </c>
      <c r="K4729" s="10" t="s">
        <v>30495</v>
      </c>
      <c r="L4729" s="11" t="s">
        <v>30496</v>
      </c>
      <c r="M4729" s="10"/>
      <c r="N4729" s="12"/>
      <c r="O4729" s="12"/>
      <c r="P4729" s="13">
        <f>IFERROR(__xludf.DUMMYFUNCTION("VALUE(SUBSTITUTE((INDEX(SPLIT(A4729,"",""),1)),""."","","",1))"),60.789947)</f>
        <v>60.789947</v>
      </c>
      <c r="Q4729" s="13">
        <f>IFERROR(__xludf.DUMMYFUNCTION("VALUE(SUBSTITUTE((INDEX(SPLIT(A4729,"",""),2)),""."","","",1))"),56.932497)</f>
        <v>56.932497</v>
      </c>
      <c r="R4729" s="14" t="b">
        <f t="shared" si="1"/>
        <v>0</v>
      </c>
      <c r="S4729" s="14" t="str">
        <f t="shared" si="2"/>
        <v>60.789947,56.932497</v>
      </c>
      <c r="T4729" s="12"/>
    </row>
    <row r="4730">
      <c r="A4730" s="22" t="s">
        <v>30497</v>
      </c>
      <c r="B4730" s="16" t="s">
        <v>30498</v>
      </c>
      <c r="C4730" s="16" t="s">
        <v>30499</v>
      </c>
      <c r="D4730" s="16" t="s">
        <v>16</v>
      </c>
      <c r="E4730" s="21" t="s">
        <v>30500</v>
      </c>
      <c r="F4730" s="22" t="s">
        <v>22263</v>
      </c>
      <c r="G4730" s="16">
        <v>23.61</v>
      </c>
      <c r="H4730" s="16"/>
      <c r="I4730" s="22"/>
      <c r="J4730" s="22" t="s">
        <v>30501</v>
      </c>
      <c r="K4730" s="22" t="s">
        <v>30502</v>
      </c>
      <c r="L4730" s="23" t="s">
        <v>30503</v>
      </c>
      <c r="M4730" s="23" t="s">
        <v>30504</v>
      </c>
      <c r="N4730" s="12"/>
      <c r="O4730" s="12"/>
      <c r="P4730" s="13">
        <f>IFERROR(__xludf.DUMMYFUNCTION("VALUE(SUBSTITUTE((INDEX(SPLIT(A4730,"",""),1)),""."","","",1))"),60.793765)</f>
        <v>60.793765</v>
      </c>
      <c r="Q4730" s="13">
        <f>IFERROR(__xludf.DUMMYFUNCTION("VALUE(SUBSTITUTE((INDEX(SPLIT(A4730,"",""),2)),""."","","",1))"),56.931023)</f>
        <v>56.931023</v>
      </c>
      <c r="R4730" s="14" t="b">
        <f t="shared" si="1"/>
        <v>0</v>
      </c>
      <c r="S4730" s="14" t="str">
        <f t="shared" si="2"/>
        <v>60.793765,56.931023</v>
      </c>
      <c r="T4730" s="12"/>
    </row>
    <row r="4731">
      <c r="A4731" s="10" t="s">
        <v>30505</v>
      </c>
      <c r="B4731" s="8" t="s">
        <v>30506</v>
      </c>
      <c r="C4731" s="8" t="s">
        <v>30507</v>
      </c>
      <c r="D4731" s="8" t="s">
        <v>16</v>
      </c>
      <c r="E4731" s="9" t="s">
        <v>30508</v>
      </c>
      <c r="F4731" s="10" t="s">
        <v>22263</v>
      </c>
      <c r="G4731" s="8">
        <v>23.61</v>
      </c>
      <c r="H4731" s="8"/>
      <c r="I4731" s="10"/>
      <c r="J4731" s="10" t="s">
        <v>30509</v>
      </c>
      <c r="K4731" s="10" t="s">
        <v>30510</v>
      </c>
      <c r="L4731" s="11" t="s">
        <v>30511</v>
      </c>
      <c r="M4731" s="11" t="s">
        <v>30512</v>
      </c>
      <c r="N4731" s="12"/>
      <c r="O4731" s="12"/>
      <c r="P4731" s="13">
        <f>IFERROR(__xludf.DUMMYFUNCTION("VALUE(SUBSTITUTE((INDEX(SPLIT(A4731,"",""),1)),""."","","",1))"),60.7962)</f>
        <v>60.7962</v>
      </c>
      <c r="Q4731" s="13">
        <f>IFERROR(__xludf.DUMMYFUNCTION("VALUE(SUBSTITUTE((INDEX(SPLIT(A4731,"",""),2)),""."","","",1))"),56.908778)</f>
        <v>56.908778</v>
      </c>
      <c r="R4731" s="14" t="b">
        <f t="shared" si="1"/>
        <v>0</v>
      </c>
      <c r="S4731" s="14" t="str">
        <f t="shared" si="2"/>
        <v>60.7962,56.908778</v>
      </c>
      <c r="T4731" s="12"/>
    </row>
    <row r="4732">
      <c r="A4732" s="22" t="s">
        <v>30505</v>
      </c>
      <c r="B4732" s="16" t="s">
        <v>30513</v>
      </c>
      <c r="C4732" s="16" t="s">
        <v>30514</v>
      </c>
      <c r="D4732" s="16" t="s">
        <v>16</v>
      </c>
      <c r="E4732" s="21" t="s">
        <v>30515</v>
      </c>
      <c r="F4732" s="22" t="s">
        <v>22263</v>
      </c>
      <c r="G4732" s="16">
        <v>23.61</v>
      </c>
      <c r="H4732" s="16"/>
      <c r="I4732" s="22"/>
      <c r="J4732" s="22" t="s">
        <v>30516</v>
      </c>
      <c r="K4732" s="22" t="s">
        <v>30517</v>
      </c>
      <c r="L4732" s="23" t="s">
        <v>30518</v>
      </c>
      <c r="M4732" s="22"/>
      <c r="N4732" s="12"/>
      <c r="O4732" s="12"/>
      <c r="P4732" s="13">
        <f>IFERROR(__xludf.DUMMYFUNCTION("VALUE(SUBSTITUTE((INDEX(SPLIT(A4732,"",""),1)),""."","","",1))"),60.7962)</f>
        <v>60.7962</v>
      </c>
      <c r="Q4732" s="13">
        <f>IFERROR(__xludf.DUMMYFUNCTION("VALUE(SUBSTITUTE((INDEX(SPLIT(A4732,"",""),2)),""."","","",1))"),56.908778)</f>
        <v>56.908778</v>
      </c>
      <c r="R4732" s="14" t="b">
        <f t="shared" si="1"/>
        <v>0</v>
      </c>
      <c r="S4732" s="14" t="str">
        <f t="shared" si="2"/>
        <v>60.7962,56.908778</v>
      </c>
      <c r="T4732" s="12"/>
    </row>
    <row r="4733">
      <c r="A4733" s="8" t="s">
        <v>30519</v>
      </c>
      <c r="B4733" s="8" t="s">
        <v>30520</v>
      </c>
      <c r="C4733" s="8" t="s">
        <v>30521</v>
      </c>
      <c r="D4733" s="8" t="s">
        <v>16</v>
      </c>
      <c r="E4733" s="19" t="s">
        <v>30522</v>
      </c>
      <c r="F4733" s="8" t="s">
        <v>22263</v>
      </c>
      <c r="G4733" s="8">
        <v>23.61</v>
      </c>
      <c r="H4733" s="8"/>
      <c r="I4733" s="27" t="s">
        <v>30523</v>
      </c>
      <c r="J4733" s="8" t="s">
        <v>30524</v>
      </c>
      <c r="K4733" s="8" t="s">
        <v>30525</v>
      </c>
      <c r="L4733" s="8"/>
      <c r="M4733" s="8"/>
      <c r="N4733" s="12"/>
      <c r="O4733" s="12"/>
      <c r="P4733" s="13">
        <f>IFERROR(__xludf.DUMMYFUNCTION("VALUE(SUBSTITUTE((INDEX(SPLIT(A4733,"",""),1)),""."","","",1))"),60.807779)</f>
        <v>60.807779</v>
      </c>
      <c r="Q4733" s="13">
        <f>IFERROR(__xludf.DUMMYFUNCTION("VALUE(SUBSTITUTE((INDEX(SPLIT(A4733,"",""),2)),""."","","",1))"),56.750976)</f>
        <v>56.750976</v>
      </c>
      <c r="R4733" s="14" t="b">
        <f t="shared" si="1"/>
        <v>0</v>
      </c>
      <c r="S4733" s="14" t="str">
        <f t="shared" si="2"/>
        <v>60.807779,56.750976</v>
      </c>
      <c r="T4733" s="12"/>
    </row>
    <row r="4734">
      <c r="A4734" s="22" t="s">
        <v>30526</v>
      </c>
      <c r="B4734" s="16" t="s">
        <v>30527</v>
      </c>
      <c r="C4734" s="16" t="s">
        <v>30528</v>
      </c>
      <c r="D4734" s="16" t="s">
        <v>16</v>
      </c>
      <c r="E4734" s="21" t="s">
        <v>30529</v>
      </c>
      <c r="F4734" s="22" t="s">
        <v>22263</v>
      </c>
      <c r="G4734" s="16">
        <v>23.61</v>
      </c>
      <c r="H4734" s="16"/>
      <c r="I4734" s="22"/>
      <c r="J4734" s="22" t="s">
        <v>30530</v>
      </c>
      <c r="K4734" s="22" t="s">
        <v>30531</v>
      </c>
      <c r="L4734" s="23" t="s">
        <v>30532</v>
      </c>
      <c r="M4734" s="22"/>
      <c r="N4734" s="12"/>
      <c r="O4734" s="12"/>
      <c r="P4734" s="13">
        <f>IFERROR(__xludf.DUMMYFUNCTION("VALUE(SUBSTITUTE((INDEX(SPLIT(A4734,"",""),1)),""."","","",1))"),60.811229)</f>
        <v>60.811229</v>
      </c>
      <c r="Q4734" s="13">
        <f>IFERROR(__xludf.DUMMYFUNCTION("VALUE(SUBSTITUTE((INDEX(SPLIT(A4734,"",""),2)),""."","","",1))"),56.7668)</f>
        <v>56.7668</v>
      </c>
      <c r="R4734" s="14" t="b">
        <f t="shared" si="1"/>
        <v>0</v>
      </c>
      <c r="S4734" s="14" t="str">
        <f t="shared" si="2"/>
        <v>60.811229,56.7668</v>
      </c>
      <c r="T4734" s="12"/>
    </row>
    <row r="4735">
      <c r="A4735" s="10" t="s">
        <v>30533</v>
      </c>
      <c r="B4735" s="8" t="s">
        <v>30534</v>
      </c>
      <c r="C4735" s="8" t="s">
        <v>30535</v>
      </c>
      <c r="D4735" s="8" t="s">
        <v>16</v>
      </c>
      <c r="E4735" s="9" t="s">
        <v>30536</v>
      </c>
      <c r="F4735" s="10" t="s">
        <v>22263</v>
      </c>
      <c r="G4735" s="8">
        <v>23.61</v>
      </c>
      <c r="H4735" s="8"/>
      <c r="I4735" s="10"/>
      <c r="J4735" s="10" t="s">
        <v>30537</v>
      </c>
      <c r="K4735" s="10" t="s">
        <v>30538</v>
      </c>
      <c r="L4735" s="29" t="s">
        <v>30539</v>
      </c>
      <c r="M4735" s="10"/>
      <c r="N4735" s="12"/>
      <c r="O4735" s="12"/>
      <c r="P4735" s="13">
        <f>IFERROR(__xludf.DUMMYFUNCTION("VALUE(SUBSTITUTE((INDEX(SPLIT(A4735,"",""),1)),""."","","",1))"),60.814696)</f>
        <v>60.814696</v>
      </c>
      <c r="Q4735" s="13">
        <f>IFERROR(__xludf.DUMMYFUNCTION("VALUE(SUBSTITUTE((INDEX(SPLIT(A4735,"",""),2)),""."","","",1))"),56.761901)</f>
        <v>56.761901</v>
      </c>
      <c r="R4735" s="14" t="b">
        <f t="shared" si="1"/>
        <v>0</v>
      </c>
      <c r="S4735" s="14" t="str">
        <f t="shared" si="2"/>
        <v>60.814696,56.761901</v>
      </c>
      <c r="T4735" s="12"/>
    </row>
    <row r="4736">
      <c r="A4736" s="22" t="s">
        <v>30540</v>
      </c>
      <c r="B4736" s="16" t="s">
        <v>30541</v>
      </c>
      <c r="C4736" s="16" t="s">
        <v>30542</v>
      </c>
      <c r="D4736" s="16" t="s">
        <v>16</v>
      </c>
      <c r="E4736" s="21" t="s">
        <v>30543</v>
      </c>
      <c r="F4736" s="22" t="s">
        <v>22263</v>
      </c>
      <c r="G4736" s="16">
        <v>23.61</v>
      </c>
      <c r="H4736" s="16"/>
      <c r="I4736" s="22"/>
      <c r="J4736" s="22" t="s">
        <v>30544</v>
      </c>
      <c r="K4736" s="22" t="s">
        <v>30545</v>
      </c>
      <c r="L4736" s="23" t="s">
        <v>30546</v>
      </c>
      <c r="M4736" s="22"/>
      <c r="N4736" s="12"/>
      <c r="O4736" s="12"/>
      <c r="P4736" s="13">
        <f>IFERROR(__xludf.DUMMYFUNCTION("VALUE(SUBSTITUTE((INDEX(SPLIT(A4736,"",""),1)),""."","","",1))"),60.819754)</f>
        <v>60.819754</v>
      </c>
      <c r="Q4736" s="13">
        <f>IFERROR(__xludf.DUMMYFUNCTION("VALUE(SUBSTITUTE((INDEX(SPLIT(A4736,"",""),2)),""."","","",1))"),56.765463)</f>
        <v>56.765463</v>
      </c>
      <c r="R4736" s="14" t="b">
        <f t="shared" si="1"/>
        <v>0</v>
      </c>
      <c r="S4736" s="14" t="str">
        <f t="shared" si="2"/>
        <v>60.819754,56.765463</v>
      </c>
      <c r="T4736" s="12"/>
    </row>
    <row r="4737">
      <c r="A4737" s="10" t="s">
        <v>30540</v>
      </c>
      <c r="B4737" s="8" t="s">
        <v>30547</v>
      </c>
      <c r="C4737" s="8" t="s">
        <v>30548</v>
      </c>
      <c r="D4737" s="8" t="s">
        <v>16</v>
      </c>
      <c r="E4737" s="9" t="s">
        <v>30549</v>
      </c>
      <c r="F4737" s="10" t="s">
        <v>22263</v>
      </c>
      <c r="G4737" s="8">
        <v>23.61</v>
      </c>
      <c r="H4737" s="8"/>
      <c r="I4737" s="10"/>
      <c r="J4737" s="10" t="s">
        <v>30550</v>
      </c>
      <c r="K4737" s="10" t="s">
        <v>30551</v>
      </c>
      <c r="L4737" s="11" t="s">
        <v>30552</v>
      </c>
      <c r="M4737" s="11" t="s">
        <v>30553</v>
      </c>
      <c r="N4737" s="12"/>
      <c r="O4737" s="12"/>
      <c r="P4737" s="13">
        <f>IFERROR(__xludf.DUMMYFUNCTION("VALUE(SUBSTITUTE((INDEX(SPLIT(A4737,"",""),1)),""."","","",1))"),60.819754)</f>
        <v>60.819754</v>
      </c>
      <c r="Q4737" s="13">
        <f>IFERROR(__xludf.DUMMYFUNCTION("VALUE(SUBSTITUTE((INDEX(SPLIT(A4737,"",""),2)),""."","","",1))"),56.765463)</f>
        <v>56.765463</v>
      </c>
      <c r="R4737" s="14" t="b">
        <f t="shared" si="1"/>
        <v>0</v>
      </c>
      <c r="S4737" s="14" t="str">
        <f t="shared" si="2"/>
        <v>60.819754,56.765463</v>
      </c>
      <c r="T4737" s="12"/>
    </row>
    <row r="4738">
      <c r="A4738" s="22" t="s">
        <v>30554</v>
      </c>
      <c r="B4738" s="16" t="s">
        <v>30555</v>
      </c>
      <c r="C4738" s="16" t="s">
        <v>30556</v>
      </c>
      <c r="D4738" s="16" t="s">
        <v>16</v>
      </c>
      <c r="E4738" s="21" t="s">
        <v>30557</v>
      </c>
      <c r="F4738" s="22" t="s">
        <v>22263</v>
      </c>
      <c r="G4738" s="16">
        <v>23.61</v>
      </c>
      <c r="H4738" s="16"/>
      <c r="I4738" s="22"/>
      <c r="J4738" s="22" t="s">
        <v>30558</v>
      </c>
      <c r="K4738" s="22" t="s">
        <v>30559</v>
      </c>
      <c r="L4738" s="23" t="s">
        <v>30560</v>
      </c>
      <c r="M4738" s="22"/>
      <c r="N4738" s="12"/>
      <c r="O4738" s="12"/>
      <c r="P4738" s="13">
        <f>IFERROR(__xludf.DUMMYFUNCTION("VALUE(SUBSTITUTE((INDEX(SPLIT(A4738,"",""),1)),""."","","",1))"),60.821433)</f>
        <v>60.821433</v>
      </c>
      <c r="Q4738" s="13">
        <f>IFERROR(__xludf.DUMMYFUNCTION("VALUE(SUBSTITUTE((INDEX(SPLIT(A4738,"",""),2)),""."","","",1))"),56.762745)</f>
        <v>56.762745</v>
      </c>
      <c r="R4738" s="14" t="b">
        <f t="shared" si="1"/>
        <v>0</v>
      </c>
      <c r="S4738" s="14" t="str">
        <f t="shared" si="2"/>
        <v>60.821433,56.762745</v>
      </c>
      <c r="T4738" s="12"/>
    </row>
    <row r="4739">
      <c r="A4739" s="10" t="s">
        <v>30561</v>
      </c>
      <c r="B4739" s="8" t="s">
        <v>30562</v>
      </c>
      <c r="C4739" s="8" t="s">
        <v>30563</v>
      </c>
      <c r="D4739" s="8" t="s">
        <v>16</v>
      </c>
      <c r="E4739" s="9" t="s">
        <v>30564</v>
      </c>
      <c r="F4739" s="10" t="s">
        <v>22263</v>
      </c>
      <c r="G4739" s="8">
        <v>23.61</v>
      </c>
      <c r="H4739" s="8"/>
      <c r="I4739" s="10"/>
      <c r="J4739" s="10" t="s">
        <v>30565</v>
      </c>
      <c r="K4739" s="10" t="s">
        <v>30566</v>
      </c>
      <c r="L4739" s="11" t="s">
        <v>30567</v>
      </c>
      <c r="M4739" s="11" t="s">
        <v>30568</v>
      </c>
      <c r="N4739" s="12"/>
      <c r="O4739" s="12"/>
      <c r="P4739" s="13">
        <f>IFERROR(__xludf.DUMMYFUNCTION("VALUE(SUBSTITUTE((INDEX(SPLIT(A4739,"",""),1)),""."","","",1))"),60.821766)</f>
        <v>60.821766</v>
      </c>
      <c r="Q4739" s="13">
        <f>IFERROR(__xludf.DUMMYFUNCTION("VALUE(SUBSTITUTE((INDEX(SPLIT(A4739,"",""),2)),""."","","",1))"),56.755867)</f>
        <v>56.755867</v>
      </c>
      <c r="R4739" s="14" t="b">
        <f t="shared" si="1"/>
        <v>0</v>
      </c>
      <c r="S4739" s="14" t="str">
        <f t="shared" si="2"/>
        <v>60.821766,56.755867</v>
      </c>
      <c r="T4739" s="12"/>
    </row>
    <row r="4740">
      <c r="A4740" s="22" t="s">
        <v>30569</v>
      </c>
      <c r="B4740" s="16" t="s">
        <v>30570</v>
      </c>
      <c r="C4740" s="16" t="s">
        <v>30571</v>
      </c>
      <c r="D4740" s="16" t="s">
        <v>16</v>
      </c>
      <c r="E4740" s="21" t="s">
        <v>30572</v>
      </c>
      <c r="F4740" s="22" t="s">
        <v>22263</v>
      </c>
      <c r="G4740" s="16">
        <v>23.61</v>
      </c>
      <c r="H4740" s="16"/>
      <c r="I4740" s="22"/>
      <c r="J4740" s="22" t="s">
        <v>30573</v>
      </c>
      <c r="K4740" s="22" t="s">
        <v>30574</v>
      </c>
      <c r="L4740" s="23" t="s">
        <v>30575</v>
      </c>
      <c r="M4740" s="22"/>
      <c r="N4740" s="12"/>
      <c r="O4740" s="12"/>
      <c r="P4740" s="13">
        <f>IFERROR(__xludf.DUMMYFUNCTION("VALUE(SUBSTITUTE((INDEX(SPLIT(A4740,"",""),1)),""."","","",1))"),60.8235)</f>
        <v>60.8235</v>
      </c>
      <c r="Q4740" s="13">
        <f>IFERROR(__xludf.DUMMYFUNCTION("VALUE(SUBSTITUTE((INDEX(SPLIT(A4740,"",""),2)),""."","","",1))"),56.766825)</f>
        <v>56.766825</v>
      </c>
      <c r="R4740" s="14" t="b">
        <f t="shared" si="1"/>
        <v>0</v>
      </c>
      <c r="S4740" s="14" t="str">
        <f t="shared" si="2"/>
        <v>60.8235,56.766825</v>
      </c>
      <c r="T4740" s="12"/>
    </row>
    <row r="4741">
      <c r="A4741" s="8" t="s">
        <v>30576</v>
      </c>
      <c r="B4741" s="8" t="s">
        <v>30577</v>
      </c>
      <c r="C4741" s="8" t="s">
        <v>30578</v>
      </c>
      <c r="D4741" s="8" t="s">
        <v>16</v>
      </c>
      <c r="E4741" s="19" t="s">
        <v>30579</v>
      </c>
      <c r="F4741" s="8" t="s">
        <v>22263</v>
      </c>
      <c r="G4741" s="8">
        <v>23.61</v>
      </c>
      <c r="H4741" s="8"/>
      <c r="I4741" s="8"/>
      <c r="J4741" s="8" t="s">
        <v>30580</v>
      </c>
      <c r="K4741" s="8" t="s">
        <v>30581</v>
      </c>
      <c r="L4741" s="8"/>
      <c r="M4741" s="24" t="s">
        <v>30582</v>
      </c>
      <c r="N4741" s="12"/>
      <c r="O4741" s="12"/>
      <c r="P4741" s="13">
        <f>IFERROR(__xludf.DUMMYFUNCTION("VALUE(SUBSTITUTE((INDEX(SPLIT(A4741,"",""),1)),""."","","",1))"),60.833785)</f>
        <v>60.833785</v>
      </c>
      <c r="Q4741" s="13">
        <f>IFERROR(__xludf.DUMMYFUNCTION("VALUE(SUBSTITUTE((INDEX(SPLIT(A4741,"",""),2)),""."","","",1))"),56.508565)</f>
        <v>56.508565</v>
      </c>
      <c r="R4741" s="14" t="b">
        <f t="shared" si="1"/>
        <v>0</v>
      </c>
      <c r="S4741" s="14" t="str">
        <f t="shared" si="2"/>
        <v>60.833785,56.508565</v>
      </c>
      <c r="T4741" s="12"/>
    </row>
    <row r="4742">
      <c r="A4742" s="22" t="s">
        <v>30583</v>
      </c>
      <c r="B4742" s="16" t="s">
        <v>20450</v>
      </c>
      <c r="C4742" s="16" t="s">
        <v>20451</v>
      </c>
      <c r="D4742" s="16" t="s">
        <v>16</v>
      </c>
      <c r="E4742" s="21" t="s">
        <v>30584</v>
      </c>
      <c r="F4742" s="22" t="s">
        <v>23165</v>
      </c>
      <c r="G4742" s="16">
        <v>23.61</v>
      </c>
      <c r="H4742" s="16"/>
      <c r="I4742" s="22"/>
      <c r="J4742" s="22" t="s">
        <v>30585</v>
      </c>
      <c r="K4742" s="22" t="s">
        <v>30586</v>
      </c>
      <c r="L4742" s="23" t="s">
        <v>30587</v>
      </c>
      <c r="M4742" s="22"/>
      <c r="N4742" s="12"/>
      <c r="O4742" s="12"/>
      <c r="P4742" s="13">
        <f>IFERROR(__xludf.DUMMYFUNCTION("VALUE(SUBSTITUTE((INDEX(SPLIT(A4742,"",""),1)),""."","","",1))"),60.853665)</f>
        <v>60.853665</v>
      </c>
      <c r="Q4742" s="13">
        <f>IFERROR(__xludf.DUMMYFUNCTION("VALUE(SUBSTITUTE((INDEX(SPLIT(A4742,"",""),2)),""."","","",1))"),50.823772)</f>
        <v>50.823772</v>
      </c>
      <c r="R4742" s="14" t="b">
        <f t="shared" si="1"/>
        <v>0</v>
      </c>
      <c r="S4742" s="14" t="str">
        <f t="shared" si="2"/>
        <v>60.853665,50.823772</v>
      </c>
      <c r="T4742" s="12"/>
    </row>
    <row r="4743">
      <c r="A4743" s="8" t="s">
        <v>30588</v>
      </c>
      <c r="B4743" s="8" t="s">
        <v>30589</v>
      </c>
      <c r="C4743" s="8" t="s">
        <v>30590</v>
      </c>
      <c r="D4743" s="8" t="s">
        <v>16</v>
      </c>
      <c r="E4743" s="19" t="s">
        <v>30591</v>
      </c>
      <c r="F4743" s="8" t="s">
        <v>23544</v>
      </c>
      <c r="G4743" s="8">
        <v>23.61</v>
      </c>
      <c r="H4743" s="8"/>
      <c r="I4743" s="8"/>
      <c r="J4743" s="8" t="s">
        <v>30592</v>
      </c>
      <c r="K4743" s="8" t="s">
        <v>30593</v>
      </c>
      <c r="L4743" s="8"/>
      <c r="M4743" s="8"/>
      <c r="N4743" s="12"/>
      <c r="O4743" s="12"/>
      <c r="P4743" s="13">
        <f>IFERROR(__xludf.DUMMYFUNCTION("VALUE(SUBSTITUTE((INDEX(SPLIT(A4743,"",""),1)),""."","","",1))"),60.876078)</f>
        <v>60.876078</v>
      </c>
      <c r="Q4743" s="13">
        <f>IFERROR(__xludf.DUMMYFUNCTION("VALUE(SUBSTITUTE((INDEX(SPLIT(A4743,"",""),2)),""."","","",1))"),55.499357)</f>
        <v>55.499357</v>
      </c>
      <c r="R4743" s="14" t="b">
        <f t="shared" si="1"/>
        <v>0</v>
      </c>
      <c r="S4743" s="14" t="str">
        <f t="shared" si="2"/>
        <v>60.876078,55.499357</v>
      </c>
      <c r="T4743" s="12"/>
    </row>
    <row r="4744">
      <c r="A4744" s="16" t="s">
        <v>30594</v>
      </c>
      <c r="B4744" s="16" t="s">
        <v>30595</v>
      </c>
      <c r="C4744" s="16" t="s">
        <v>30596</v>
      </c>
      <c r="D4744" s="16" t="s">
        <v>16</v>
      </c>
      <c r="E4744" s="17" t="s">
        <v>30597</v>
      </c>
      <c r="F4744" s="16" t="s">
        <v>22263</v>
      </c>
      <c r="G4744" s="16">
        <v>23.61</v>
      </c>
      <c r="H4744" s="16"/>
      <c r="I4744" s="16"/>
      <c r="J4744" s="16" t="s">
        <v>30598</v>
      </c>
      <c r="K4744" s="16" t="s">
        <v>30599</v>
      </c>
      <c r="L4744" s="16"/>
      <c r="M4744" s="16"/>
      <c r="N4744" s="12"/>
      <c r="O4744" s="12"/>
      <c r="P4744" s="13">
        <f>IFERROR(__xludf.DUMMYFUNCTION("VALUE(SUBSTITUTE((INDEX(SPLIT(A4744,"",""),1)),""."","","",1))"),60.916089)</f>
        <v>60.916089</v>
      </c>
      <c r="Q4744" s="13">
        <f>IFERROR(__xludf.DUMMYFUNCTION("VALUE(SUBSTITUTE((INDEX(SPLIT(A4744,"",""),2)),""."","","",1))"),56.484158)</f>
        <v>56.484158</v>
      </c>
      <c r="R4744" s="14" t="b">
        <f t="shared" si="1"/>
        <v>0</v>
      </c>
      <c r="S4744" s="14" t="str">
        <f t="shared" si="2"/>
        <v>60.916089,56.484158</v>
      </c>
      <c r="T4744" s="12"/>
    </row>
    <row r="4745">
      <c r="A4745" s="10" t="s">
        <v>30600</v>
      </c>
      <c r="B4745" s="8" t="s">
        <v>3958</v>
      </c>
      <c r="C4745" s="8" t="s">
        <v>3959</v>
      </c>
      <c r="D4745" s="8" t="s">
        <v>16</v>
      </c>
      <c r="E4745" s="9" t="s">
        <v>30601</v>
      </c>
      <c r="F4745" s="10" t="s">
        <v>22263</v>
      </c>
      <c r="G4745" s="8">
        <v>23.61</v>
      </c>
      <c r="H4745" s="8"/>
      <c r="I4745" s="10"/>
      <c r="J4745" s="10" t="s">
        <v>30602</v>
      </c>
      <c r="K4745" s="10" t="s">
        <v>30148</v>
      </c>
      <c r="L4745" s="11" t="s">
        <v>30603</v>
      </c>
      <c r="M4745" s="10"/>
      <c r="N4745" s="12"/>
      <c r="O4745" s="12"/>
      <c r="P4745" s="13">
        <f>IFERROR(__xludf.DUMMYFUNCTION("VALUE(SUBSTITUTE((INDEX(SPLIT(A4745,"",""),1)),""."","","",1))"),60.939113)</f>
        <v>60.939113</v>
      </c>
      <c r="Q4745" s="13">
        <f>IFERROR(__xludf.DUMMYFUNCTION("VALUE(SUBSTITUTE((INDEX(SPLIT(A4745,"",""),2)),""."","","",1))"),56.747047)</f>
        <v>56.747047</v>
      </c>
      <c r="R4745" s="14" t="b">
        <f t="shared" si="1"/>
        <v>0</v>
      </c>
      <c r="S4745" s="14" t="str">
        <f t="shared" si="2"/>
        <v>60.939113,56.747047</v>
      </c>
      <c r="T4745" s="12"/>
    </row>
    <row r="4746">
      <c r="A4746" s="22" t="s">
        <v>30604</v>
      </c>
      <c r="B4746" s="16" t="s">
        <v>30605</v>
      </c>
      <c r="C4746" s="16" t="s">
        <v>30606</v>
      </c>
      <c r="D4746" s="16" t="s">
        <v>16</v>
      </c>
      <c r="E4746" s="21" t="s">
        <v>30607</v>
      </c>
      <c r="F4746" s="22" t="s">
        <v>22263</v>
      </c>
      <c r="G4746" s="16">
        <v>23.61</v>
      </c>
      <c r="H4746" s="16"/>
      <c r="I4746" s="22"/>
      <c r="J4746" s="22" t="s">
        <v>30608</v>
      </c>
      <c r="K4746" s="22" t="s">
        <v>30609</v>
      </c>
      <c r="L4746" s="23" t="s">
        <v>30610</v>
      </c>
      <c r="M4746" s="23" t="s">
        <v>30611</v>
      </c>
      <c r="N4746" s="12"/>
      <c r="O4746" s="12"/>
      <c r="P4746" s="13">
        <f>IFERROR(__xludf.DUMMYFUNCTION("VALUE(SUBSTITUTE((INDEX(SPLIT(A4746,"",""),1)),""."","","",1))"),60.963412)</f>
        <v>60.963412</v>
      </c>
      <c r="Q4746" s="13">
        <f>IFERROR(__xludf.DUMMYFUNCTION("VALUE(SUBSTITUTE((INDEX(SPLIT(A4746,"",""),2)),""."","","",1))"),56.710347)</f>
        <v>56.710347</v>
      </c>
      <c r="R4746" s="14" t="b">
        <f t="shared" si="1"/>
        <v>0</v>
      </c>
      <c r="S4746" s="14" t="str">
        <f t="shared" si="2"/>
        <v>60.963412,56.710347</v>
      </c>
      <c r="T4746" s="12"/>
    </row>
    <row r="4747">
      <c r="A4747" s="8" t="s">
        <v>30612</v>
      </c>
      <c r="B4747" s="8" t="s">
        <v>30613</v>
      </c>
      <c r="C4747" s="8" t="s">
        <v>30614</v>
      </c>
      <c r="D4747" s="8" t="s">
        <v>16</v>
      </c>
      <c r="E4747" s="19" t="s">
        <v>30615</v>
      </c>
      <c r="F4747" s="8" t="s">
        <v>22263</v>
      </c>
      <c r="G4747" s="8">
        <v>23.61</v>
      </c>
      <c r="H4747" s="8"/>
      <c r="I4747" s="8"/>
      <c r="J4747" s="8" t="s">
        <v>30616</v>
      </c>
      <c r="K4747" s="8" t="s">
        <v>30617</v>
      </c>
      <c r="L4747" s="8"/>
      <c r="M4747" s="24" t="s">
        <v>30618</v>
      </c>
      <c r="N4747" s="12"/>
      <c r="O4747" s="12"/>
      <c r="P4747" s="13">
        <f>IFERROR(__xludf.DUMMYFUNCTION("VALUE(SUBSTITUTE((INDEX(SPLIT(A4747,"",""),1)),""."","","",1))"),60.965694)</f>
        <v>60.965694</v>
      </c>
      <c r="Q4747" s="13">
        <f>IFERROR(__xludf.DUMMYFUNCTION("VALUE(SUBSTITUTE((INDEX(SPLIT(A4747,"",""),2)),""."","","",1))"),56.710421)</f>
        <v>56.710421</v>
      </c>
      <c r="R4747" s="14" t="b">
        <f t="shared" si="1"/>
        <v>0</v>
      </c>
      <c r="S4747" s="14" t="str">
        <f t="shared" si="2"/>
        <v>60.965694,56.710421</v>
      </c>
      <c r="T4747" s="12"/>
    </row>
    <row r="4748">
      <c r="A4748" s="22" t="s">
        <v>25855</v>
      </c>
      <c r="B4748" s="16" t="s">
        <v>30619</v>
      </c>
      <c r="C4748" s="16" t="s">
        <v>30620</v>
      </c>
      <c r="D4748" s="16" t="s">
        <v>16</v>
      </c>
      <c r="E4748" s="21" t="s">
        <v>30621</v>
      </c>
      <c r="F4748" s="22" t="s">
        <v>22263</v>
      </c>
      <c r="G4748" s="16">
        <v>23.61</v>
      </c>
      <c r="H4748" s="16"/>
      <c r="I4748" s="22"/>
      <c r="J4748" s="22" t="s">
        <v>30622</v>
      </c>
      <c r="K4748" s="22" t="s">
        <v>30623</v>
      </c>
      <c r="L4748" s="23" t="s">
        <v>30624</v>
      </c>
      <c r="M4748" s="22"/>
      <c r="N4748" s="12"/>
      <c r="O4748" s="12"/>
      <c r="P4748" s="13">
        <f>IFERROR(__xludf.DUMMYFUNCTION("VALUE(SUBSTITUTE((INDEX(SPLIT(A4748,"",""),1)),""."","","",1))"),56.621073)</f>
        <v>56.621073</v>
      </c>
      <c r="Q4748" s="13">
        <f>IFERROR(__xludf.DUMMYFUNCTION("VALUE(SUBSTITUTE((INDEX(SPLIT(A4748,"",""),2)),""."","","",1))"),61.068138)</f>
        <v>61.068138</v>
      </c>
      <c r="R4748" s="14" t="b">
        <f t="shared" si="1"/>
        <v>0</v>
      </c>
      <c r="S4748" s="14" t="str">
        <f t="shared" si="2"/>
        <v>56.621073,61.068138</v>
      </c>
      <c r="T4748" s="12"/>
    </row>
    <row r="4749">
      <c r="A4749" s="10" t="s">
        <v>25862</v>
      </c>
      <c r="B4749" s="8" t="s">
        <v>30625</v>
      </c>
      <c r="C4749" s="8" t="s">
        <v>30626</v>
      </c>
      <c r="D4749" s="8" t="s">
        <v>16</v>
      </c>
      <c r="E4749" s="9" t="s">
        <v>30627</v>
      </c>
      <c r="F4749" s="10" t="s">
        <v>23544</v>
      </c>
      <c r="G4749" s="8">
        <v>23.61</v>
      </c>
      <c r="H4749" s="8"/>
      <c r="I4749" s="10"/>
      <c r="J4749" s="10" t="s">
        <v>30628</v>
      </c>
      <c r="K4749" s="10" t="s">
        <v>30629</v>
      </c>
      <c r="L4749" s="11" t="s">
        <v>30630</v>
      </c>
      <c r="M4749" s="11" t="s">
        <v>30631</v>
      </c>
      <c r="N4749" s="12"/>
      <c r="O4749" s="12"/>
      <c r="P4749" s="13">
        <f>IFERROR(__xludf.DUMMYFUNCTION("VALUE(SUBSTITUTE((INDEX(SPLIT(A4749,"",""),1)),""."","","",1))"),55.253553)</f>
        <v>55.253553</v>
      </c>
      <c r="Q4749" s="13">
        <f>IFERROR(__xludf.DUMMYFUNCTION("VALUE(SUBSTITUTE((INDEX(SPLIT(A4749,"",""),2)),""."","","",1))"),61.110736)</f>
        <v>61.110736</v>
      </c>
      <c r="R4749" s="14" t="b">
        <f t="shared" si="1"/>
        <v>0</v>
      </c>
      <c r="S4749" s="14" t="str">
        <f t="shared" si="2"/>
        <v>55.253553,61.110736</v>
      </c>
      <c r="T4749" s="12"/>
    </row>
    <row r="4750">
      <c r="A4750" s="16" t="s">
        <v>30632</v>
      </c>
      <c r="B4750" s="16" t="s">
        <v>30633</v>
      </c>
      <c r="C4750" s="16" t="s">
        <v>30634</v>
      </c>
      <c r="D4750" s="16" t="s">
        <v>16</v>
      </c>
      <c r="E4750" s="17" t="s">
        <v>30635</v>
      </c>
      <c r="F4750" s="16" t="s">
        <v>23544</v>
      </c>
      <c r="G4750" s="16">
        <v>23.61</v>
      </c>
      <c r="H4750" s="16"/>
      <c r="I4750" s="16"/>
      <c r="J4750" s="16" t="s">
        <v>30636</v>
      </c>
      <c r="K4750" s="16" t="s">
        <v>30637</v>
      </c>
      <c r="L4750" s="16"/>
      <c r="M4750" s="16"/>
      <c r="N4750" s="12"/>
      <c r="O4750" s="12"/>
      <c r="P4750" s="13">
        <f>IFERROR(__xludf.DUMMYFUNCTION("VALUE(SUBSTITUTE((INDEX(SPLIT(A4750,"",""),1)),""."","","",1))"),61.231676)</f>
        <v>61.231676</v>
      </c>
      <c r="Q4750" s="13">
        <f>IFERROR(__xludf.DUMMYFUNCTION("VALUE(SUBSTITUTE((INDEX(SPLIT(A4750,"",""),2)),""."","","",1))"),54.790521)</f>
        <v>54.790521</v>
      </c>
      <c r="R4750" s="14" t="b">
        <f t="shared" si="1"/>
        <v>0</v>
      </c>
      <c r="S4750" s="14" t="str">
        <f t="shared" si="2"/>
        <v>61.231676,54.790521</v>
      </c>
      <c r="T4750" s="12"/>
    </row>
    <row r="4751">
      <c r="A4751" s="8" t="s">
        <v>30638</v>
      </c>
      <c r="B4751" s="8" t="s">
        <v>30639</v>
      </c>
      <c r="C4751" s="8" t="s">
        <v>30640</v>
      </c>
      <c r="D4751" s="8" t="s">
        <v>16</v>
      </c>
      <c r="E4751" s="19" t="s">
        <v>30641</v>
      </c>
      <c r="F4751" s="8" t="s">
        <v>14706</v>
      </c>
      <c r="G4751" s="8">
        <v>23.61</v>
      </c>
      <c r="H4751" s="8"/>
      <c r="I4751" s="8"/>
      <c r="J4751" s="8" t="s">
        <v>30642</v>
      </c>
      <c r="K4751" s="8" t="s">
        <v>30643</v>
      </c>
      <c r="L4751" s="8"/>
      <c r="M4751" s="8"/>
      <c r="N4751" s="12"/>
      <c r="O4751" s="12"/>
      <c r="P4751" s="13">
        <f>IFERROR(__xludf.DUMMYFUNCTION("VALUE(SUBSTITUTE((INDEX(SPLIT(A4751,"",""),1)),""."","","",1))"),61.243968964)</f>
        <v>61.24396896</v>
      </c>
      <c r="Q4751" s="13">
        <f>IFERROR(__xludf.DUMMYFUNCTION("VALUE(SUBSTITUTE((INDEX(SPLIT(A4751,"",""),2)),""."","","",1))"),46.897075653)</f>
        <v>46.89707565</v>
      </c>
      <c r="R4751" s="14" t="b">
        <f t="shared" si="1"/>
        <v>0</v>
      </c>
      <c r="S4751" s="14" t="str">
        <f t="shared" si="2"/>
        <v>61.243968964,46.897075653</v>
      </c>
      <c r="T4751" s="12"/>
    </row>
    <row r="4752">
      <c r="A4752" s="22" t="s">
        <v>30644</v>
      </c>
      <c r="B4752" s="16" t="s">
        <v>30645</v>
      </c>
      <c r="C4752" s="16" t="s">
        <v>30646</v>
      </c>
      <c r="D4752" s="16" t="s">
        <v>16</v>
      </c>
      <c r="E4752" s="21" t="s">
        <v>30647</v>
      </c>
      <c r="F4752" s="22" t="s">
        <v>14706</v>
      </c>
      <c r="G4752" s="16">
        <v>23.61</v>
      </c>
      <c r="H4752" s="16"/>
      <c r="I4752" s="22"/>
      <c r="J4752" s="22" t="s">
        <v>30648</v>
      </c>
      <c r="K4752" s="22" t="s">
        <v>30649</v>
      </c>
      <c r="L4752" s="23" t="s">
        <v>30650</v>
      </c>
      <c r="M4752" s="22"/>
      <c r="N4752" s="12"/>
      <c r="O4752" s="12"/>
      <c r="P4752" s="13">
        <f>IFERROR(__xludf.DUMMYFUNCTION("VALUE(SUBSTITUTE((INDEX(SPLIT(A4752,"",""),1)),""."","","",1))"),61.249198914)</f>
        <v>61.24919891</v>
      </c>
      <c r="Q4752" s="13">
        <f>IFERROR(__xludf.DUMMYFUNCTION("VALUE(SUBSTITUTE((INDEX(SPLIT(A4752,"",""),2)),""."","","",1))"),46.866836548)</f>
        <v>46.86683655</v>
      </c>
      <c r="R4752" s="14" t="b">
        <f t="shared" si="1"/>
        <v>0</v>
      </c>
      <c r="S4752" s="14" t="str">
        <f t="shared" si="2"/>
        <v>61.249198914,46.866836548</v>
      </c>
      <c r="T4752" s="12"/>
    </row>
    <row r="4753">
      <c r="A4753" s="10" t="s">
        <v>30651</v>
      </c>
      <c r="B4753" s="8" t="s">
        <v>30652</v>
      </c>
      <c r="C4753" s="8" t="s">
        <v>30653</v>
      </c>
      <c r="D4753" s="8" t="s">
        <v>16</v>
      </c>
      <c r="E4753" s="9" t="s">
        <v>30654</v>
      </c>
      <c r="F4753" s="10" t="s">
        <v>23544</v>
      </c>
      <c r="G4753" s="8">
        <v>23.61</v>
      </c>
      <c r="H4753" s="8"/>
      <c r="I4753" s="10"/>
      <c r="J4753" s="10" t="s">
        <v>30655</v>
      </c>
      <c r="K4753" s="10" t="s">
        <v>30656</v>
      </c>
      <c r="L4753" s="11" t="s">
        <v>30657</v>
      </c>
      <c r="M4753" s="10"/>
      <c r="N4753" s="12"/>
      <c r="O4753" s="12"/>
      <c r="P4753" s="13">
        <f>IFERROR(__xludf.DUMMYFUNCTION("VALUE(SUBSTITUTE((INDEX(SPLIT(A4753,"",""),1)),""."","","",1))"),61.251592)</f>
        <v>61.251592</v>
      </c>
      <c r="Q4753" s="13">
        <f>IFERROR(__xludf.DUMMYFUNCTION("VALUE(SUBSTITUTE((INDEX(SPLIT(A4753,"",""),2)),""."","","",1))"),54.454313)</f>
        <v>54.454313</v>
      </c>
      <c r="R4753" s="14" t="b">
        <f t="shared" si="1"/>
        <v>0</v>
      </c>
      <c r="S4753" s="14" t="str">
        <f t="shared" si="2"/>
        <v>61.251592,54.454313</v>
      </c>
      <c r="T4753" s="12"/>
    </row>
    <row r="4754">
      <c r="A4754" s="22" t="s">
        <v>30658</v>
      </c>
      <c r="B4754" s="16" t="s">
        <v>30659</v>
      </c>
      <c r="C4754" s="16" t="s">
        <v>30660</v>
      </c>
      <c r="D4754" s="16" t="s">
        <v>16</v>
      </c>
      <c r="E4754" s="21" t="s">
        <v>30661</v>
      </c>
      <c r="F4754" s="22" t="s">
        <v>23544</v>
      </c>
      <c r="G4754" s="16">
        <v>23.61</v>
      </c>
      <c r="H4754" s="16"/>
      <c r="I4754" s="22"/>
      <c r="J4754" s="22" t="s">
        <v>30662</v>
      </c>
      <c r="K4754" s="22" t="s">
        <v>30663</v>
      </c>
      <c r="L4754" s="23" t="s">
        <v>30664</v>
      </c>
      <c r="M4754" s="22"/>
      <c r="N4754" s="12"/>
      <c r="O4754" s="12"/>
      <c r="P4754" s="13">
        <f>IFERROR(__xludf.DUMMYFUNCTION("VALUE(SUBSTITUTE((INDEX(SPLIT(A4754,"",""),1)),""."","","",1))"),61.259793)</f>
        <v>61.259793</v>
      </c>
      <c r="Q4754" s="13">
        <f>IFERROR(__xludf.DUMMYFUNCTION("VALUE(SUBSTITUTE((INDEX(SPLIT(A4754,"",""),2)),""."","","",1))"),55.154877)</f>
        <v>55.154877</v>
      </c>
      <c r="R4754" s="14" t="b">
        <f t="shared" si="1"/>
        <v>0</v>
      </c>
      <c r="S4754" s="14" t="str">
        <f t="shared" si="2"/>
        <v>61.259793,55.154877</v>
      </c>
      <c r="T4754" s="12"/>
    </row>
    <row r="4755">
      <c r="A4755" s="10" t="s">
        <v>30665</v>
      </c>
      <c r="B4755" s="8" t="s">
        <v>21891</v>
      </c>
      <c r="C4755" s="8" t="s">
        <v>21892</v>
      </c>
      <c r="D4755" s="8" t="s">
        <v>16</v>
      </c>
      <c r="E4755" s="9" t="s">
        <v>30666</v>
      </c>
      <c r="F4755" s="10" t="s">
        <v>23544</v>
      </c>
      <c r="G4755" s="8">
        <v>23.61</v>
      </c>
      <c r="H4755" s="8"/>
      <c r="I4755" s="10"/>
      <c r="J4755" s="10" t="s">
        <v>30667</v>
      </c>
      <c r="K4755" s="10" t="s">
        <v>30668</v>
      </c>
      <c r="L4755" s="11" t="s">
        <v>30669</v>
      </c>
      <c r="M4755" s="11" t="s">
        <v>30670</v>
      </c>
      <c r="N4755" s="12"/>
      <c r="O4755" s="12"/>
      <c r="P4755" s="13">
        <f>IFERROR(__xludf.DUMMYFUNCTION("VALUE(SUBSTITUTE((INDEX(SPLIT(A4755,"",""),1)),""."","","",1))"),61.283015)</f>
        <v>61.283015</v>
      </c>
      <c r="Q4755" s="13">
        <f>IFERROR(__xludf.DUMMYFUNCTION("VALUE(SUBSTITUTE((INDEX(SPLIT(A4755,"",""),2)),""."","","",1))"),55.169617)</f>
        <v>55.169617</v>
      </c>
      <c r="R4755" s="14" t="b">
        <f t="shared" si="1"/>
        <v>0</v>
      </c>
      <c r="S4755" s="14" t="str">
        <f t="shared" si="2"/>
        <v>61.283015,55.169617</v>
      </c>
      <c r="T4755" s="12"/>
    </row>
    <row r="4756">
      <c r="A4756" s="16" t="s">
        <v>30671</v>
      </c>
      <c r="B4756" s="16" t="s">
        <v>30672</v>
      </c>
      <c r="C4756" s="16" t="s">
        <v>30673</v>
      </c>
      <c r="D4756" s="16" t="s">
        <v>16</v>
      </c>
      <c r="E4756" s="17" t="s">
        <v>30674</v>
      </c>
      <c r="F4756" s="16" t="s">
        <v>10045</v>
      </c>
      <c r="G4756" s="16">
        <v>23.61</v>
      </c>
      <c r="H4756" s="16"/>
      <c r="I4756" s="32" t="s">
        <v>30675</v>
      </c>
      <c r="J4756" s="16" t="s">
        <v>30676</v>
      </c>
      <c r="K4756" s="16" t="s">
        <v>30677</v>
      </c>
      <c r="L4756" s="16"/>
      <c r="M4756" s="25" t="s">
        <v>30678</v>
      </c>
      <c r="N4756" s="12"/>
      <c r="O4756" s="12"/>
      <c r="P4756" s="13">
        <f>IFERROR(__xludf.DUMMYFUNCTION("VALUE(SUBSTITUTE((INDEX(SPLIT(A4756,"",""),1)),""."","","",1))"),61.286427466479)</f>
        <v>61.28642747</v>
      </c>
      <c r="Q4756" s="13">
        <f>IFERROR(__xludf.DUMMYFUNCTION("VALUE(SUBSTITUTE((INDEX(SPLIT(A4756,"",""),2)),""."","","",1))"),73.401414575928)</f>
        <v>73.40141458</v>
      </c>
      <c r="R4756" s="14" t="b">
        <f t="shared" si="1"/>
        <v>0</v>
      </c>
      <c r="S4756" s="14" t="str">
        <f t="shared" si="2"/>
        <v>61.286427466479,73.401414575928</v>
      </c>
      <c r="T4756" s="12"/>
    </row>
    <row r="4757">
      <c r="A4757" s="8" t="s">
        <v>30679</v>
      </c>
      <c r="B4757" s="8" t="s">
        <v>30680</v>
      </c>
      <c r="C4757" s="8" t="s">
        <v>30681</v>
      </c>
      <c r="D4757" s="8" t="s">
        <v>16</v>
      </c>
      <c r="E4757" s="19" t="s">
        <v>30682</v>
      </c>
      <c r="F4757" s="8" t="s">
        <v>23544</v>
      </c>
      <c r="G4757" s="8">
        <v>23.61</v>
      </c>
      <c r="H4757" s="8"/>
      <c r="I4757" s="8"/>
      <c r="J4757" s="8" t="s">
        <v>30683</v>
      </c>
      <c r="K4757" s="8" t="s">
        <v>30684</v>
      </c>
      <c r="L4757" s="8"/>
      <c r="M4757" s="24" t="s">
        <v>30685</v>
      </c>
      <c r="N4757" s="12"/>
      <c r="O4757" s="12"/>
      <c r="P4757" s="13">
        <f>IFERROR(__xludf.DUMMYFUNCTION("VALUE(SUBSTITUTE((INDEX(SPLIT(A4757,"",""),1)),""."","","",1))"),61.289384)</f>
        <v>61.289384</v>
      </c>
      <c r="Q4757" s="13">
        <f>IFERROR(__xludf.DUMMYFUNCTION("VALUE(SUBSTITUTE((INDEX(SPLIT(A4757,"",""),2)),""."","","",1))"),55.218677)</f>
        <v>55.218677</v>
      </c>
      <c r="R4757" s="14" t="b">
        <f t="shared" si="1"/>
        <v>0</v>
      </c>
      <c r="S4757" s="14" t="str">
        <f t="shared" si="2"/>
        <v>61.289384,55.218677</v>
      </c>
      <c r="T4757" s="12"/>
    </row>
    <row r="4758">
      <c r="A4758" s="22" t="s">
        <v>30686</v>
      </c>
      <c r="B4758" s="16" t="s">
        <v>30687</v>
      </c>
      <c r="C4758" s="16" t="s">
        <v>30688</v>
      </c>
      <c r="D4758" s="16" t="s">
        <v>16</v>
      </c>
      <c r="E4758" s="21" t="s">
        <v>30689</v>
      </c>
      <c r="F4758" s="22" t="s">
        <v>23544</v>
      </c>
      <c r="G4758" s="16">
        <v>23.61</v>
      </c>
      <c r="H4758" s="16"/>
      <c r="I4758" s="22"/>
      <c r="J4758" s="22" t="s">
        <v>30690</v>
      </c>
      <c r="K4758" s="22" t="s">
        <v>30691</v>
      </c>
      <c r="L4758" s="23" t="s">
        <v>30692</v>
      </c>
      <c r="M4758" s="22"/>
      <c r="N4758" s="12"/>
      <c r="O4758" s="12"/>
      <c r="P4758" s="13">
        <f>IFERROR(__xludf.DUMMYFUNCTION("VALUE(SUBSTITUTE((INDEX(SPLIT(A4758,"",""),1)),""."","","",1))"),61.291306)</f>
        <v>61.291306</v>
      </c>
      <c r="Q4758" s="13">
        <f>IFERROR(__xludf.DUMMYFUNCTION("VALUE(SUBSTITUTE((INDEX(SPLIT(A4758,"",""),2)),""."","","",1))"),55.20524)</f>
        <v>55.20524</v>
      </c>
      <c r="R4758" s="14" t="b">
        <f t="shared" si="1"/>
        <v>0</v>
      </c>
      <c r="S4758" s="14" t="str">
        <f t="shared" si="2"/>
        <v>61.291306,55.20524</v>
      </c>
      <c r="T4758" s="12"/>
    </row>
    <row r="4759">
      <c r="A4759" s="10" t="s">
        <v>30693</v>
      </c>
      <c r="B4759" s="8" t="s">
        <v>30694</v>
      </c>
      <c r="C4759" s="8" t="s">
        <v>30695</v>
      </c>
      <c r="D4759" s="8" t="s">
        <v>16</v>
      </c>
      <c r="E4759" s="9" t="s">
        <v>30696</v>
      </c>
      <c r="F4759" s="10" t="s">
        <v>23544</v>
      </c>
      <c r="G4759" s="8">
        <v>23.61</v>
      </c>
      <c r="H4759" s="8"/>
      <c r="I4759" s="10"/>
      <c r="J4759" s="10" t="s">
        <v>30697</v>
      </c>
      <c r="K4759" s="10" t="s">
        <v>30698</v>
      </c>
      <c r="L4759" s="29" t="s">
        <v>30699</v>
      </c>
      <c r="M4759" s="10"/>
      <c r="N4759" s="12"/>
      <c r="O4759" s="12"/>
      <c r="P4759" s="13">
        <f>IFERROR(__xludf.DUMMYFUNCTION("VALUE(SUBSTITUTE((INDEX(SPLIT(A4759,"",""),1)),""."","","",1))"),61.298062)</f>
        <v>61.298062</v>
      </c>
      <c r="Q4759" s="13">
        <f>IFERROR(__xludf.DUMMYFUNCTION("VALUE(SUBSTITUTE((INDEX(SPLIT(A4759,"",""),2)),""."","","",1))"),55.218975)</f>
        <v>55.218975</v>
      </c>
      <c r="R4759" s="14" t="b">
        <f t="shared" si="1"/>
        <v>0</v>
      </c>
      <c r="S4759" s="14" t="str">
        <f t="shared" si="2"/>
        <v>61.298062,55.218975</v>
      </c>
      <c r="T4759" s="12"/>
    </row>
    <row r="4760">
      <c r="A4760" s="22" t="s">
        <v>30700</v>
      </c>
      <c r="B4760" s="16" t="s">
        <v>30701</v>
      </c>
      <c r="C4760" s="16" t="s">
        <v>30702</v>
      </c>
      <c r="D4760" s="16" t="s">
        <v>16</v>
      </c>
      <c r="E4760" s="21" t="s">
        <v>30703</v>
      </c>
      <c r="F4760" s="22" t="s">
        <v>23544</v>
      </c>
      <c r="G4760" s="16">
        <v>23.61</v>
      </c>
      <c r="H4760" s="16"/>
      <c r="I4760" s="22"/>
      <c r="J4760" s="22" t="s">
        <v>30704</v>
      </c>
      <c r="K4760" s="22" t="s">
        <v>30705</v>
      </c>
      <c r="L4760" s="23" t="s">
        <v>30706</v>
      </c>
      <c r="M4760" s="22"/>
      <c r="N4760" s="12"/>
      <c r="O4760" s="12"/>
      <c r="P4760" s="13">
        <f>IFERROR(__xludf.DUMMYFUNCTION("VALUE(SUBSTITUTE((INDEX(SPLIT(A4760,"",""),1)),""."","","",1))"),61.301242)</f>
        <v>61.301242</v>
      </c>
      <c r="Q4760" s="13">
        <f>IFERROR(__xludf.DUMMYFUNCTION("VALUE(SUBSTITUTE((INDEX(SPLIT(A4760,"",""),2)),""."","","",1))"),55.160283)</f>
        <v>55.160283</v>
      </c>
      <c r="R4760" s="14" t="b">
        <f t="shared" si="1"/>
        <v>0</v>
      </c>
      <c r="S4760" s="14" t="str">
        <f t="shared" si="2"/>
        <v>61.301242,55.160283</v>
      </c>
      <c r="T4760" s="12"/>
    </row>
    <row r="4761">
      <c r="A4761" s="8" t="s">
        <v>30707</v>
      </c>
      <c r="B4761" s="8" t="s">
        <v>30708</v>
      </c>
      <c r="C4761" s="8" t="s">
        <v>30709</v>
      </c>
      <c r="D4761" s="8" t="s">
        <v>16</v>
      </c>
      <c r="E4761" s="19" t="s">
        <v>30710</v>
      </c>
      <c r="F4761" s="8" t="s">
        <v>23544</v>
      </c>
      <c r="G4761" s="8">
        <v>23.61</v>
      </c>
      <c r="H4761" s="8"/>
      <c r="I4761" s="8"/>
      <c r="J4761" s="8" t="s">
        <v>30711</v>
      </c>
      <c r="K4761" s="8" t="s">
        <v>30712</v>
      </c>
      <c r="L4761" s="8"/>
      <c r="M4761" s="8"/>
      <c r="N4761" s="12"/>
      <c r="O4761" s="12"/>
      <c r="P4761" s="13">
        <f>IFERROR(__xludf.DUMMYFUNCTION("VALUE(SUBSTITUTE((INDEX(SPLIT(A4761,"",""),1)),""."","","",1))"),61.303227)</f>
        <v>61.303227</v>
      </c>
      <c r="Q4761" s="13">
        <f>IFERROR(__xludf.DUMMYFUNCTION("VALUE(SUBSTITUTE((INDEX(SPLIT(A4761,"",""),2)),""."","","",1))"),55.17592)</f>
        <v>55.17592</v>
      </c>
      <c r="R4761" s="14" t="b">
        <f t="shared" si="1"/>
        <v>0</v>
      </c>
      <c r="S4761" s="14" t="str">
        <f t="shared" si="2"/>
        <v>61.303227,55.17592</v>
      </c>
      <c r="T4761" s="12"/>
    </row>
    <row r="4762">
      <c r="A4762" s="16" t="s">
        <v>25930</v>
      </c>
      <c r="B4762" s="16" t="s">
        <v>30713</v>
      </c>
      <c r="C4762" s="16" t="s">
        <v>30714</v>
      </c>
      <c r="D4762" s="16" t="s">
        <v>16</v>
      </c>
      <c r="E4762" s="17" t="s">
        <v>30715</v>
      </c>
      <c r="F4762" s="16" t="s">
        <v>22263</v>
      </c>
      <c r="G4762" s="16">
        <v>23.61</v>
      </c>
      <c r="H4762" s="16"/>
      <c r="I4762" s="16"/>
      <c r="J4762" s="16" t="s">
        <v>30716</v>
      </c>
      <c r="K4762" s="16" t="s">
        <v>30717</v>
      </c>
      <c r="L4762" s="16"/>
      <c r="M4762" s="16"/>
      <c r="N4762" s="12"/>
      <c r="O4762" s="12"/>
      <c r="P4762" s="13">
        <f>IFERROR(__xludf.DUMMYFUNCTION("VALUE(SUBSTITUTE((INDEX(SPLIT(A4762,"",""),1)),""."","","",1))"),56.799291)</f>
        <v>56.799291</v>
      </c>
      <c r="Q4762" s="13">
        <f>IFERROR(__xludf.DUMMYFUNCTION("VALUE(SUBSTITUTE((INDEX(SPLIT(A4762,"",""),2)),""."","","",1))"),61.309228)</f>
        <v>61.309228</v>
      </c>
      <c r="R4762" s="14" t="b">
        <f t="shared" si="1"/>
        <v>0</v>
      </c>
      <c r="S4762" s="14" t="str">
        <f t="shared" si="2"/>
        <v>56.799291,61.309228</v>
      </c>
      <c r="T4762" s="12"/>
    </row>
    <row r="4763">
      <c r="A4763" s="10" t="s">
        <v>30718</v>
      </c>
      <c r="B4763" s="8" t="s">
        <v>30719</v>
      </c>
      <c r="C4763" s="8" t="s">
        <v>30720</v>
      </c>
      <c r="D4763" s="8" t="s">
        <v>16</v>
      </c>
      <c r="E4763" s="9" t="s">
        <v>30721</v>
      </c>
      <c r="F4763" s="10" t="s">
        <v>23544</v>
      </c>
      <c r="G4763" s="8">
        <v>23.61</v>
      </c>
      <c r="H4763" s="8"/>
      <c r="I4763" s="10"/>
      <c r="J4763" s="10" t="s">
        <v>30722</v>
      </c>
      <c r="K4763" s="10" t="s">
        <v>30723</v>
      </c>
      <c r="L4763" s="11" t="s">
        <v>30724</v>
      </c>
      <c r="M4763" s="11" t="s">
        <v>30725</v>
      </c>
      <c r="N4763" s="12"/>
      <c r="O4763" s="12"/>
      <c r="P4763" s="13">
        <f>IFERROR(__xludf.DUMMYFUNCTION("VALUE(SUBSTITUTE((INDEX(SPLIT(A4763,"",""),1)),""."","","",1))"),61.317277)</f>
        <v>61.317277</v>
      </c>
      <c r="Q4763" s="13">
        <f>IFERROR(__xludf.DUMMYFUNCTION("VALUE(SUBSTITUTE((INDEX(SPLIT(A4763,"",""),2)),""."","","",1))"),55.231709)</f>
        <v>55.231709</v>
      </c>
      <c r="R4763" s="14" t="b">
        <f t="shared" si="1"/>
        <v>0</v>
      </c>
      <c r="S4763" s="14" t="str">
        <f t="shared" si="2"/>
        <v>61.317277,55.231709</v>
      </c>
      <c r="T4763" s="12"/>
    </row>
    <row r="4764">
      <c r="A4764" s="16" t="s">
        <v>30726</v>
      </c>
      <c r="B4764" s="16" t="s">
        <v>30727</v>
      </c>
      <c r="C4764" s="16" t="s">
        <v>30728</v>
      </c>
      <c r="D4764" s="16" t="s">
        <v>16</v>
      </c>
      <c r="E4764" s="17" t="s">
        <v>30729</v>
      </c>
      <c r="F4764" s="16" t="s">
        <v>23544</v>
      </c>
      <c r="G4764" s="16">
        <v>23.61</v>
      </c>
      <c r="H4764" s="16"/>
      <c r="I4764" s="16"/>
      <c r="J4764" s="16" t="s">
        <v>30730</v>
      </c>
      <c r="K4764" s="16" t="s">
        <v>30731</v>
      </c>
      <c r="L4764" s="16"/>
      <c r="M4764" s="16"/>
      <c r="N4764" s="12"/>
      <c r="O4764" s="12"/>
      <c r="P4764" s="13">
        <f>IFERROR(__xludf.DUMMYFUNCTION("VALUE(SUBSTITUTE((INDEX(SPLIT(A4764,"",""),1)),""."","","",1))"),61.323484)</f>
        <v>61.323484</v>
      </c>
      <c r="Q4764" s="13">
        <f>IFERROR(__xludf.DUMMYFUNCTION("VALUE(SUBSTITUTE((INDEX(SPLIT(A4764,"",""),2)),""."","","",1))"),55.207531)</f>
        <v>55.207531</v>
      </c>
      <c r="R4764" s="14" t="b">
        <f t="shared" si="1"/>
        <v>0</v>
      </c>
      <c r="S4764" s="14" t="str">
        <f t="shared" si="2"/>
        <v>61.323484,55.207531</v>
      </c>
      <c r="T4764" s="12"/>
    </row>
    <row r="4765">
      <c r="A4765" s="8" t="s">
        <v>25948</v>
      </c>
      <c r="B4765" s="8" t="s">
        <v>30732</v>
      </c>
      <c r="C4765" s="8" t="s">
        <v>30733</v>
      </c>
      <c r="D4765" s="8" t="s">
        <v>16</v>
      </c>
      <c r="E4765" s="19" t="s">
        <v>30734</v>
      </c>
      <c r="F4765" s="8" t="s">
        <v>22263</v>
      </c>
      <c r="G4765" s="8">
        <v>23.61</v>
      </c>
      <c r="H4765" s="8"/>
      <c r="I4765" s="8"/>
      <c r="J4765" s="8" t="s">
        <v>30735</v>
      </c>
      <c r="K4765" s="8" t="s">
        <v>30736</v>
      </c>
      <c r="L4765" s="8"/>
      <c r="M4765" s="24" t="s">
        <v>30737</v>
      </c>
      <c r="N4765" s="12"/>
      <c r="O4765" s="12"/>
      <c r="P4765" s="13">
        <f>IFERROR(__xludf.DUMMYFUNCTION("VALUE(SUBSTITUTE((INDEX(SPLIT(A4765,"",""),1)),""."","","",1))"),57.321776)</f>
        <v>57.321776</v>
      </c>
      <c r="Q4765" s="13">
        <f>IFERROR(__xludf.DUMMYFUNCTION("VALUE(SUBSTITUTE((INDEX(SPLIT(A4765,"",""),2)),""."","","",1))"),61.328595)</f>
        <v>61.328595</v>
      </c>
      <c r="R4765" s="14" t="b">
        <f t="shared" si="1"/>
        <v>0</v>
      </c>
      <c r="S4765" s="14" t="str">
        <f t="shared" si="2"/>
        <v>57.321776,61.328595</v>
      </c>
      <c r="T4765" s="12"/>
    </row>
    <row r="4766">
      <c r="A4766" s="22" t="s">
        <v>30738</v>
      </c>
      <c r="B4766" s="16" t="s">
        <v>30739</v>
      </c>
      <c r="C4766" s="16" t="s">
        <v>30740</v>
      </c>
      <c r="D4766" s="16" t="s">
        <v>16</v>
      </c>
      <c r="E4766" s="21" t="s">
        <v>30741</v>
      </c>
      <c r="F4766" s="22" t="s">
        <v>23544</v>
      </c>
      <c r="G4766" s="16">
        <v>23.61</v>
      </c>
      <c r="H4766" s="16"/>
      <c r="I4766" s="28" t="s">
        <v>30742</v>
      </c>
      <c r="J4766" s="22" t="s">
        <v>30743</v>
      </c>
      <c r="K4766" s="22" t="s">
        <v>30744</v>
      </c>
      <c r="L4766" s="23" t="s">
        <v>30745</v>
      </c>
      <c r="M4766" s="22"/>
      <c r="N4766" s="12"/>
      <c r="O4766" s="12"/>
      <c r="P4766" s="13">
        <f>IFERROR(__xludf.DUMMYFUNCTION("VALUE(SUBSTITUTE((INDEX(SPLIT(A4766,"",""),1)),""."","","",1))"),61.337803)</f>
        <v>61.337803</v>
      </c>
      <c r="Q4766" s="13">
        <f>IFERROR(__xludf.DUMMYFUNCTION("VALUE(SUBSTITUTE((INDEX(SPLIT(A4766,"",""),2)),""."","","",1))"),55.175046)</f>
        <v>55.175046</v>
      </c>
      <c r="R4766" s="14" t="b">
        <f t="shared" si="1"/>
        <v>0</v>
      </c>
      <c r="S4766" s="14" t="str">
        <f t="shared" si="2"/>
        <v>61.337803,55.175046</v>
      </c>
      <c r="T4766" s="12"/>
    </row>
    <row r="4767">
      <c r="A4767" s="10" t="s">
        <v>30746</v>
      </c>
      <c r="B4767" s="8" t="s">
        <v>30747</v>
      </c>
      <c r="C4767" s="8" t="s">
        <v>30748</v>
      </c>
      <c r="D4767" s="8" t="s">
        <v>16</v>
      </c>
      <c r="E4767" s="9" t="s">
        <v>30749</v>
      </c>
      <c r="F4767" s="10" t="s">
        <v>23544</v>
      </c>
      <c r="G4767" s="8">
        <v>23.61</v>
      </c>
      <c r="H4767" s="8"/>
      <c r="I4767" s="10"/>
      <c r="J4767" s="10" t="s">
        <v>30750</v>
      </c>
      <c r="K4767" s="10" t="s">
        <v>30751</v>
      </c>
      <c r="L4767" s="11" t="s">
        <v>30752</v>
      </c>
      <c r="M4767" s="10"/>
      <c r="N4767" s="12"/>
      <c r="O4767" s="12"/>
      <c r="P4767" s="13">
        <f>IFERROR(__xludf.DUMMYFUNCTION("VALUE(SUBSTITUTE((INDEX(SPLIT(A4767,"",""),1)),""."","","",1))"),61.337866)</f>
        <v>61.337866</v>
      </c>
      <c r="Q4767" s="13">
        <f>IFERROR(__xludf.DUMMYFUNCTION("VALUE(SUBSTITUTE((INDEX(SPLIT(A4767,"",""),2)),""."","","",1))"),55.111845)</f>
        <v>55.111845</v>
      </c>
      <c r="R4767" s="14" t="b">
        <f t="shared" si="1"/>
        <v>0</v>
      </c>
      <c r="S4767" s="14" t="str">
        <f t="shared" si="2"/>
        <v>61.337866,55.111845</v>
      </c>
      <c r="T4767" s="12"/>
    </row>
    <row r="4768">
      <c r="A4768" s="22" t="s">
        <v>30753</v>
      </c>
      <c r="B4768" s="16" t="s">
        <v>30754</v>
      </c>
      <c r="C4768" s="16" t="s">
        <v>30755</v>
      </c>
      <c r="D4768" s="16" t="s">
        <v>16</v>
      </c>
      <c r="E4768" s="21" t="s">
        <v>30756</v>
      </c>
      <c r="F4768" s="22" t="s">
        <v>23544</v>
      </c>
      <c r="G4768" s="16">
        <v>23.61</v>
      </c>
      <c r="H4768" s="16"/>
      <c r="I4768" s="22"/>
      <c r="J4768" s="22" t="s">
        <v>30757</v>
      </c>
      <c r="K4768" s="22" t="s">
        <v>30758</v>
      </c>
      <c r="L4768" s="30" t="s">
        <v>30759</v>
      </c>
      <c r="M4768" s="22"/>
      <c r="N4768" s="12"/>
      <c r="O4768" s="12"/>
      <c r="P4768" s="13">
        <f>IFERROR(__xludf.DUMMYFUNCTION("VALUE(SUBSTITUTE((INDEX(SPLIT(A4768,"",""),1)),""."","","",1))"),61.344208)</f>
        <v>61.344208</v>
      </c>
      <c r="Q4768" s="13">
        <f>IFERROR(__xludf.DUMMYFUNCTION("VALUE(SUBSTITUTE((INDEX(SPLIT(A4768,"",""),2)),""."","","",1))"),55.178115)</f>
        <v>55.178115</v>
      </c>
      <c r="R4768" s="14" t="b">
        <f t="shared" si="1"/>
        <v>0</v>
      </c>
      <c r="S4768" s="14" t="str">
        <f t="shared" si="2"/>
        <v>61.344208,55.178115</v>
      </c>
      <c r="T4768" s="12"/>
    </row>
    <row r="4769">
      <c r="A4769" s="10" t="s">
        <v>30760</v>
      </c>
      <c r="B4769" s="8" t="s">
        <v>30761</v>
      </c>
      <c r="C4769" s="8" t="s">
        <v>30762</v>
      </c>
      <c r="D4769" s="8" t="s">
        <v>16</v>
      </c>
      <c r="E4769" s="9" t="s">
        <v>30763</v>
      </c>
      <c r="F4769" s="10" t="s">
        <v>23544</v>
      </c>
      <c r="G4769" s="8">
        <v>23.61</v>
      </c>
      <c r="H4769" s="8"/>
      <c r="I4769" s="10"/>
      <c r="J4769" s="10" t="s">
        <v>30764</v>
      </c>
      <c r="K4769" s="10" t="s">
        <v>30765</v>
      </c>
      <c r="L4769" s="11" t="s">
        <v>30766</v>
      </c>
      <c r="M4769" s="10"/>
      <c r="N4769" s="12"/>
      <c r="O4769" s="12"/>
      <c r="P4769" s="13">
        <f>IFERROR(__xludf.DUMMYFUNCTION("VALUE(SUBSTITUTE((INDEX(SPLIT(A4769,"",""),1)),""."","","",1))"),61.345915)</f>
        <v>61.345915</v>
      </c>
      <c r="Q4769" s="13">
        <f>IFERROR(__xludf.DUMMYFUNCTION("VALUE(SUBSTITUTE((INDEX(SPLIT(A4769,"",""),2)),""."","","",1))"),55.113679)</f>
        <v>55.113679</v>
      </c>
      <c r="R4769" s="14" t="b">
        <f t="shared" si="1"/>
        <v>0</v>
      </c>
      <c r="S4769" s="14" t="str">
        <f t="shared" si="2"/>
        <v>61.345915,55.113679</v>
      </c>
      <c r="T4769" s="12"/>
    </row>
    <row r="4770">
      <c r="A4770" s="22" t="s">
        <v>30767</v>
      </c>
      <c r="B4770" s="16" t="s">
        <v>22504</v>
      </c>
      <c r="C4770" s="16" t="s">
        <v>22505</v>
      </c>
      <c r="D4770" s="16" t="s">
        <v>16</v>
      </c>
      <c r="E4770" s="21" t="s">
        <v>30768</v>
      </c>
      <c r="F4770" s="22" t="s">
        <v>23544</v>
      </c>
      <c r="G4770" s="16">
        <v>23.61</v>
      </c>
      <c r="H4770" s="16"/>
      <c r="I4770" s="22"/>
      <c r="J4770" s="22" t="s">
        <v>30769</v>
      </c>
      <c r="K4770" s="22" t="s">
        <v>30770</v>
      </c>
      <c r="L4770" s="23" t="s">
        <v>30771</v>
      </c>
      <c r="M4770" s="23" t="s">
        <v>30772</v>
      </c>
      <c r="N4770" s="12"/>
      <c r="O4770" s="12"/>
      <c r="P4770" s="13">
        <f>IFERROR(__xludf.DUMMYFUNCTION("VALUE(SUBSTITUTE((INDEX(SPLIT(A4770,"",""),1)),""."","","",1))"),61.346355)</f>
        <v>61.346355</v>
      </c>
      <c r="Q4770" s="13">
        <f>IFERROR(__xludf.DUMMYFUNCTION("VALUE(SUBSTITUTE((INDEX(SPLIT(A4770,"",""),2)),""."","","",1))"),55.195555)</f>
        <v>55.195555</v>
      </c>
      <c r="R4770" s="14" t="b">
        <f t="shared" si="1"/>
        <v>0</v>
      </c>
      <c r="S4770" s="14" t="str">
        <f t="shared" si="2"/>
        <v>61.346355,55.195555</v>
      </c>
      <c r="T4770" s="12"/>
    </row>
    <row r="4771">
      <c r="A4771" s="8" t="s">
        <v>30773</v>
      </c>
      <c r="B4771" s="8" t="s">
        <v>30774</v>
      </c>
      <c r="C4771" s="8" t="s">
        <v>30775</v>
      </c>
      <c r="D4771" s="8" t="s">
        <v>16</v>
      </c>
      <c r="E4771" s="19" t="s">
        <v>30776</v>
      </c>
      <c r="F4771" s="8" t="s">
        <v>23544</v>
      </c>
      <c r="G4771" s="8">
        <v>23.61</v>
      </c>
      <c r="H4771" s="8"/>
      <c r="I4771" s="8"/>
      <c r="J4771" s="8" t="s">
        <v>30777</v>
      </c>
      <c r="K4771" s="8" t="s">
        <v>30778</v>
      </c>
      <c r="L4771" s="8"/>
      <c r="M4771" s="8"/>
      <c r="N4771" s="12"/>
      <c r="O4771" s="12"/>
      <c r="P4771" s="13">
        <f>IFERROR(__xludf.DUMMYFUNCTION("VALUE(SUBSTITUTE((INDEX(SPLIT(A4771,"",""),1)),""."","","",1))"),61.352194)</f>
        <v>61.352194</v>
      </c>
      <c r="Q4771" s="13">
        <f>IFERROR(__xludf.DUMMYFUNCTION("VALUE(SUBSTITUTE((INDEX(SPLIT(A4771,"",""),2)),""."","","",1))"),55.174949)</f>
        <v>55.174949</v>
      </c>
      <c r="R4771" s="14" t="b">
        <f t="shared" si="1"/>
        <v>0</v>
      </c>
      <c r="S4771" s="14" t="str">
        <f t="shared" si="2"/>
        <v>61.352194,55.174949</v>
      </c>
      <c r="T4771" s="12"/>
    </row>
    <row r="4772">
      <c r="A4772" s="22" t="s">
        <v>30779</v>
      </c>
      <c r="B4772" s="16" t="s">
        <v>30780</v>
      </c>
      <c r="C4772" s="16" t="s">
        <v>30781</v>
      </c>
      <c r="D4772" s="16" t="s">
        <v>16</v>
      </c>
      <c r="E4772" s="21" t="s">
        <v>30782</v>
      </c>
      <c r="F4772" s="22" t="s">
        <v>23544</v>
      </c>
      <c r="G4772" s="16">
        <v>23.61</v>
      </c>
      <c r="H4772" s="16"/>
      <c r="I4772" s="22"/>
      <c r="J4772" s="22" t="s">
        <v>30783</v>
      </c>
      <c r="K4772" s="22" t="s">
        <v>30784</v>
      </c>
      <c r="L4772" s="23" t="s">
        <v>30785</v>
      </c>
      <c r="M4772" s="22"/>
      <c r="N4772" s="12"/>
      <c r="O4772" s="12"/>
      <c r="P4772" s="13">
        <f>IFERROR(__xludf.DUMMYFUNCTION("VALUE(SUBSTITUTE((INDEX(SPLIT(A4772,"",""),1)),""."","","",1))"),61.353389)</f>
        <v>61.353389</v>
      </c>
      <c r="Q4772" s="13">
        <f>IFERROR(__xludf.DUMMYFUNCTION("VALUE(SUBSTITUTE((INDEX(SPLIT(A4772,"",""),2)),""."","","",1))"),55.108081)</f>
        <v>55.108081</v>
      </c>
      <c r="R4772" s="14" t="b">
        <f t="shared" si="1"/>
        <v>0</v>
      </c>
      <c r="S4772" s="14" t="str">
        <f t="shared" si="2"/>
        <v>61.353389,55.108081</v>
      </c>
      <c r="T4772" s="12"/>
    </row>
    <row r="4773">
      <c r="A4773" s="10" t="s">
        <v>30786</v>
      </c>
      <c r="B4773" s="8" t="s">
        <v>30787</v>
      </c>
      <c r="C4773" s="8" t="s">
        <v>30788</v>
      </c>
      <c r="D4773" s="8" t="s">
        <v>16</v>
      </c>
      <c r="E4773" s="9" t="s">
        <v>30789</v>
      </c>
      <c r="F4773" s="10" t="s">
        <v>23544</v>
      </c>
      <c r="G4773" s="8">
        <v>23.61</v>
      </c>
      <c r="H4773" s="8"/>
      <c r="I4773" s="10"/>
      <c r="J4773" s="10" t="s">
        <v>30790</v>
      </c>
      <c r="K4773" s="10" t="s">
        <v>30791</v>
      </c>
      <c r="L4773" s="11" t="s">
        <v>30792</v>
      </c>
      <c r="M4773" s="11" t="s">
        <v>30793</v>
      </c>
      <c r="N4773" s="12"/>
      <c r="O4773" s="12"/>
      <c r="P4773" s="13">
        <f>IFERROR(__xludf.DUMMYFUNCTION("VALUE(SUBSTITUTE((INDEX(SPLIT(A4773,"",""),1)),""."","","",1))"),61.355141)</f>
        <v>61.355141</v>
      </c>
      <c r="Q4773" s="13">
        <f>IFERROR(__xludf.DUMMYFUNCTION("VALUE(SUBSTITUTE((INDEX(SPLIT(A4773,"",""),2)),""."","","",1))"),55.099191)</f>
        <v>55.099191</v>
      </c>
      <c r="R4773" s="14" t="b">
        <f t="shared" si="1"/>
        <v>0</v>
      </c>
      <c r="S4773" s="14" t="str">
        <f t="shared" si="2"/>
        <v>61.355141,55.099191</v>
      </c>
      <c r="T4773" s="12"/>
    </row>
    <row r="4774">
      <c r="A4774" s="22" t="s">
        <v>30794</v>
      </c>
      <c r="B4774" s="16" t="s">
        <v>30795</v>
      </c>
      <c r="C4774" s="16" t="s">
        <v>30796</v>
      </c>
      <c r="D4774" s="16" t="s">
        <v>16</v>
      </c>
      <c r="E4774" s="21" t="s">
        <v>30797</v>
      </c>
      <c r="F4774" s="22" t="s">
        <v>23544</v>
      </c>
      <c r="G4774" s="16">
        <v>23.61</v>
      </c>
      <c r="H4774" s="16"/>
      <c r="I4774" s="22"/>
      <c r="J4774" s="22" t="s">
        <v>30798</v>
      </c>
      <c r="K4774" s="22" t="s">
        <v>30799</v>
      </c>
      <c r="L4774" s="23" t="s">
        <v>30800</v>
      </c>
      <c r="M4774" s="22"/>
      <c r="N4774" s="12"/>
      <c r="O4774" s="12"/>
      <c r="P4774" s="13">
        <f>IFERROR(__xludf.DUMMYFUNCTION("VALUE(SUBSTITUTE((INDEX(SPLIT(A4774,"",""),1)),""."","","",1))"),61.355868)</f>
        <v>61.355868</v>
      </c>
      <c r="Q4774" s="13">
        <f>IFERROR(__xludf.DUMMYFUNCTION("VALUE(SUBSTITUTE((INDEX(SPLIT(A4774,"",""),2)),""."","","",1))"),55.205137)</f>
        <v>55.205137</v>
      </c>
      <c r="R4774" s="14" t="b">
        <f t="shared" si="1"/>
        <v>0</v>
      </c>
      <c r="S4774" s="14" t="str">
        <f t="shared" si="2"/>
        <v>61.355868,55.205137</v>
      </c>
      <c r="T4774" s="12"/>
    </row>
    <row r="4775">
      <c r="A4775" s="10" t="s">
        <v>30794</v>
      </c>
      <c r="B4775" s="8" t="s">
        <v>30801</v>
      </c>
      <c r="C4775" s="8" t="s">
        <v>30802</v>
      </c>
      <c r="D4775" s="8" t="s">
        <v>16</v>
      </c>
      <c r="E4775" s="9" t="s">
        <v>30803</v>
      </c>
      <c r="F4775" s="10" t="s">
        <v>23544</v>
      </c>
      <c r="G4775" s="8">
        <v>23.61</v>
      </c>
      <c r="H4775" s="8"/>
      <c r="I4775" s="10"/>
      <c r="J4775" s="10" t="s">
        <v>30804</v>
      </c>
      <c r="K4775" s="10" t="s">
        <v>30799</v>
      </c>
      <c r="L4775" s="11" t="s">
        <v>30805</v>
      </c>
      <c r="M4775" s="11" t="s">
        <v>30806</v>
      </c>
      <c r="N4775" s="12"/>
      <c r="O4775" s="12"/>
      <c r="P4775" s="13">
        <f>IFERROR(__xludf.DUMMYFUNCTION("VALUE(SUBSTITUTE((INDEX(SPLIT(A4775,"",""),1)),""."","","",1))"),61.355868)</f>
        <v>61.355868</v>
      </c>
      <c r="Q4775" s="13">
        <f>IFERROR(__xludf.DUMMYFUNCTION("VALUE(SUBSTITUTE((INDEX(SPLIT(A4775,"",""),2)),""."","","",1))"),55.205137)</f>
        <v>55.205137</v>
      </c>
      <c r="R4775" s="14" t="b">
        <f t="shared" si="1"/>
        <v>0</v>
      </c>
      <c r="S4775" s="14" t="str">
        <f t="shared" si="2"/>
        <v>61.355868,55.205137</v>
      </c>
      <c r="T4775" s="12"/>
    </row>
    <row r="4776">
      <c r="A4776" s="22" t="s">
        <v>30807</v>
      </c>
      <c r="B4776" s="16" t="s">
        <v>30808</v>
      </c>
      <c r="C4776" s="16" t="s">
        <v>30809</v>
      </c>
      <c r="D4776" s="16" t="s">
        <v>16</v>
      </c>
      <c r="E4776" s="21" t="s">
        <v>30810</v>
      </c>
      <c r="F4776" s="22" t="s">
        <v>23544</v>
      </c>
      <c r="G4776" s="16">
        <v>23.61</v>
      </c>
      <c r="H4776" s="16"/>
      <c r="I4776" s="22"/>
      <c r="J4776" s="22" t="s">
        <v>30811</v>
      </c>
      <c r="K4776" s="22" t="s">
        <v>30812</v>
      </c>
      <c r="L4776" s="23" t="s">
        <v>30813</v>
      </c>
      <c r="M4776" s="22"/>
      <c r="N4776" s="12"/>
      <c r="O4776" s="12"/>
      <c r="P4776" s="13">
        <f>IFERROR(__xludf.DUMMYFUNCTION("VALUE(SUBSTITUTE((INDEX(SPLIT(A4776,"",""),1)),""."","","",1))"),61.359605)</f>
        <v>61.359605</v>
      </c>
      <c r="Q4776" s="13">
        <f>IFERROR(__xludf.DUMMYFUNCTION("VALUE(SUBSTITUTE((INDEX(SPLIT(A4776,"",""),2)),""."","","",1))"),55.181349)</f>
        <v>55.181349</v>
      </c>
      <c r="R4776" s="14" t="b">
        <f t="shared" si="1"/>
        <v>0</v>
      </c>
      <c r="S4776" s="14" t="str">
        <f t="shared" si="2"/>
        <v>61.359605,55.181349</v>
      </c>
      <c r="T4776" s="12"/>
    </row>
    <row r="4777">
      <c r="A4777" s="10" t="s">
        <v>30814</v>
      </c>
      <c r="B4777" s="8" t="s">
        <v>30815</v>
      </c>
      <c r="C4777" s="8" t="s">
        <v>30816</v>
      </c>
      <c r="D4777" s="8" t="s">
        <v>16</v>
      </c>
      <c r="E4777" s="9" t="s">
        <v>30817</v>
      </c>
      <c r="F4777" s="10" t="s">
        <v>10045</v>
      </c>
      <c r="G4777" s="8">
        <v>23.61</v>
      </c>
      <c r="H4777" s="8"/>
      <c r="I4777" s="10"/>
      <c r="J4777" s="10" t="s">
        <v>30818</v>
      </c>
      <c r="K4777" s="10" t="s">
        <v>30819</v>
      </c>
      <c r="L4777" s="11" t="s">
        <v>30820</v>
      </c>
      <c r="M4777" s="10"/>
      <c r="N4777" s="12"/>
      <c r="O4777" s="12"/>
      <c r="P4777" s="13">
        <f>IFERROR(__xludf.DUMMYFUNCTION("VALUE(SUBSTITUTE((INDEX(SPLIT(A4777,"",""),1)),""."","","",1))"),61.36460495)</f>
        <v>61.36460495</v>
      </c>
      <c r="Q4777" s="13">
        <f>IFERROR(__xludf.DUMMYFUNCTION("VALUE(SUBSTITUTE((INDEX(SPLIT(A4777,"",""),2)),""."","","",1))"),63.566379547)</f>
        <v>63.56637955</v>
      </c>
      <c r="R4777" s="14" t="b">
        <f t="shared" si="1"/>
        <v>0</v>
      </c>
      <c r="S4777" s="14" t="str">
        <f t="shared" si="2"/>
        <v>61.36460495,63.566379547</v>
      </c>
      <c r="T4777" s="12"/>
    </row>
    <row r="4778">
      <c r="A4778" s="22" t="s">
        <v>30821</v>
      </c>
      <c r="B4778" s="16" t="s">
        <v>30822</v>
      </c>
      <c r="C4778" s="16" t="s">
        <v>30823</v>
      </c>
      <c r="D4778" s="16" t="s">
        <v>16</v>
      </c>
      <c r="E4778" s="21" t="s">
        <v>30824</v>
      </c>
      <c r="F4778" s="22" t="s">
        <v>23544</v>
      </c>
      <c r="G4778" s="16">
        <v>23.61</v>
      </c>
      <c r="H4778" s="16"/>
      <c r="I4778" s="22"/>
      <c r="J4778" s="22" t="s">
        <v>30825</v>
      </c>
      <c r="K4778" s="22" t="s">
        <v>30826</v>
      </c>
      <c r="L4778" s="23" t="s">
        <v>30827</v>
      </c>
      <c r="M4778" s="22"/>
      <c r="N4778" s="12"/>
      <c r="O4778" s="12"/>
      <c r="P4778" s="13">
        <f>IFERROR(__xludf.DUMMYFUNCTION("VALUE(SUBSTITUTE((INDEX(SPLIT(A4778,"",""),1)),""."","","",1))"),61.367295)</f>
        <v>61.367295</v>
      </c>
      <c r="Q4778" s="13">
        <f>IFERROR(__xludf.DUMMYFUNCTION("VALUE(SUBSTITUTE((INDEX(SPLIT(A4778,"",""),2)),""."","","",1))"),55.184659)</f>
        <v>55.184659</v>
      </c>
      <c r="R4778" s="14" t="b">
        <f t="shared" si="1"/>
        <v>0</v>
      </c>
      <c r="S4778" s="14" t="str">
        <f t="shared" si="2"/>
        <v>61.367295,55.184659</v>
      </c>
      <c r="T4778" s="12"/>
    </row>
    <row r="4779">
      <c r="A4779" s="8" t="s">
        <v>30828</v>
      </c>
      <c r="B4779" s="8" t="s">
        <v>30829</v>
      </c>
      <c r="C4779" s="8" t="s">
        <v>30830</v>
      </c>
      <c r="D4779" s="8" t="s">
        <v>16</v>
      </c>
      <c r="E4779" s="19" t="s">
        <v>30831</v>
      </c>
      <c r="F4779" s="8" t="s">
        <v>10045</v>
      </c>
      <c r="G4779" s="8">
        <v>23.61</v>
      </c>
      <c r="H4779" s="8"/>
      <c r="I4779" s="8"/>
      <c r="J4779" s="8" t="s">
        <v>30832</v>
      </c>
      <c r="K4779" s="8" t="s">
        <v>30833</v>
      </c>
      <c r="L4779" s="8"/>
      <c r="M4779" s="8"/>
      <c r="N4779" s="12"/>
      <c r="O4779" s="12"/>
      <c r="P4779" s="13">
        <f>IFERROR(__xludf.DUMMYFUNCTION("VALUE(SUBSTITUTE((INDEX(SPLIT(A4779,"",""),1)),""."","","",1))"),61.368572235)</f>
        <v>61.36857224</v>
      </c>
      <c r="Q4779" s="13">
        <f>IFERROR(__xludf.DUMMYFUNCTION("VALUE(SUBSTITUTE((INDEX(SPLIT(A4779,"",""),2)),""."","","",1))"),63.576171875)</f>
        <v>63.57617188</v>
      </c>
      <c r="R4779" s="14" t="b">
        <f t="shared" si="1"/>
        <v>0</v>
      </c>
      <c r="S4779" s="14" t="str">
        <f t="shared" si="2"/>
        <v>61.368572235,63.576171875</v>
      </c>
      <c r="T4779" s="12"/>
    </row>
    <row r="4780">
      <c r="A4780" s="22" t="s">
        <v>30834</v>
      </c>
      <c r="B4780" s="16" t="s">
        <v>30835</v>
      </c>
      <c r="C4780" s="16" t="s">
        <v>30836</v>
      </c>
      <c r="D4780" s="16" t="s">
        <v>16</v>
      </c>
      <c r="E4780" s="21" t="s">
        <v>30837</v>
      </c>
      <c r="F4780" s="22" t="s">
        <v>23544</v>
      </c>
      <c r="G4780" s="16">
        <v>23.61</v>
      </c>
      <c r="H4780" s="16"/>
      <c r="I4780" s="28" t="s">
        <v>30838</v>
      </c>
      <c r="J4780" s="22" t="s">
        <v>30839</v>
      </c>
      <c r="K4780" s="22" t="s">
        <v>30840</v>
      </c>
      <c r="L4780" s="23" t="s">
        <v>30841</v>
      </c>
      <c r="M4780" s="23" t="s">
        <v>30842</v>
      </c>
      <c r="N4780" s="12"/>
      <c r="O4780" s="12"/>
      <c r="P4780" s="13">
        <f>IFERROR(__xludf.DUMMYFUNCTION("VALUE(SUBSTITUTE((INDEX(SPLIT(A4780,"",""),1)),""."","","",1))"),61.368732)</f>
        <v>61.368732</v>
      </c>
      <c r="Q4780" s="13">
        <f>IFERROR(__xludf.DUMMYFUNCTION("VALUE(SUBSTITUTE((INDEX(SPLIT(A4780,"",""),2)),""."","","",1))"),55.13039)</f>
        <v>55.13039</v>
      </c>
      <c r="R4780" s="14" t="b">
        <f t="shared" si="1"/>
        <v>0</v>
      </c>
      <c r="S4780" s="14" t="str">
        <f t="shared" si="2"/>
        <v>61.368732,55.13039</v>
      </c>
      <c r="T4780" s="12"/>
    </row>
    <row r="4781">
      <c r="A4781" s="10" t="s">
        <v>30834</v>
      </c>
      <c r="B4781" s="8" t="s">
        <v>12708</v>
      </c>
      <c r="C4781" s="8" t="s">
        <v>12709</v>
      </c>
      <c r="D4781" s="8" t="s">
        <v>16</v>
      </c>
      <c r="E4781" s="9" t="s">
        <v>30843</v>
      </c>
      <c r="F4781" s="10" t="s">
        <v>23544</v>
      </c>
      <c r="G4781" s="8">
        <v>23.61</v>
      </c>
      <c r="H4781" s="8"/>
      <c r="I4781" s="10"/>
      <c r="J4781" s="10" t="s">
        <v>30844</v>
      </c>
      <c r="K4781" s="10" t="s">
        <v>30845</v>
      </c>
      <c r="L4781" s="11" t="s">
        <v>30846</v>
      </c>
      <c r="M4781" s="10"/>
      <c r="N4781" s="12"/>
      <c r="O4781" s="12"/>
      <c r="P4781" s="13">
        <f>IFERROR(__xludf.DUMMYFUNCTION("VALUE(SUBSTITUTE((INDEX(SPLIT(A4781,"",""),1)),""."","","",1))"),61.368732)</f>
        <v>61.368732</v>
      </c>
      <c r="Q4781" s="13">
        <f>IFERROR(__xludf.DUMMYFUNCTION("VALUE(SUBSTITUTE((INDEX(SPLIT(A4781,"",""),2)),""."","","",1))"),55.13039)</f>
        <v>55.13039</v>
      </c>
      <c r="R4781" s="14" t="b">
        <f t="shared" si="1"/>
        <v>0</v>
      </c>
      <c r="S4781" s="14" t="str">
        <f t="shared" si="2"/>
        <v>61.368732,55.13039</v>
      </c>
      <c r="T4781" s="12"/>
    </row>
    <row r="4782">
      <c r="A4782" s="22" t="s">
        <v>30834</v>
      </c>
      <c r="B4782" s="16" t="s">
        <v>30847</v>
      </c>
      <c r="C4782" s="16" t="s">
        <v>30848</v>
      </c>
      <c r="D4782" s="16" t="s">
        <v>16</v>
      </c>
      <c r="E4782" s="21" t="s">
        <v>30849</v>
      </c>
      <c r="F4782" s="22" t="s">
        <v>23544</v>
      </c>
      <c r="G4782" s="16">
        <v>23.61</v>
      </c>
      <c r="H4782" s="16"/>
      <c r="I4782" s="22"/>
      <c r="J4782" s="22" t="s">
        <v>30850</v>
      </c>
      <c r="K4782" s="22" t="s">
        <v>30840</v>
      </c>
      <c r="L4782" s="23" t="s">
        <v>30851</v>
      </c>
      <c r="M4782" s="22"/>
      <c r="N4782" s="12"/>
      <c r="O4782" s="12"/>
      <c r="P4782" s="13">
        <f>IFERROR(__xludf.DUMMYFUNCTION("VALUE(SUBSTITUTE((INDEX(SPLIT(A4782,"",""),1)),""."","","",1))"),61.368732)</f>
        <v>61.368732</v>
      </c>
      <c r="Q4782" s="13">
        <f>IFERROR(__xludf.DUMMYFUNCTION("VALUE(SUBSTITUTE((INDEX(SPLIT(A4782,"",""),2)),""."","","",1))"),55.13039)</f>
        <v>55.13039</v>
      </c>
      <c r="R4782" s="14" t="b">
        <f t="shared" si="1"/>
        <v>0</v>
      </c>
      <c r="S4782" s="14" t="str">
        <f t="shared" si="2"/>
        <v>61.368732,55.13039</v>
      </c>
      <c r="T4782" s="12"/>
    </row>
    <row r="4783">
      <c r="A4783" s="10" t="s">
        <v>30852</v>
      </c>
      <c r="B4783" s="8" t="s">
        <v>2665</v>
      </c>
      <c r="C4783" s="8" t="s">
        <v>2666</v>
      </c>
      <c r="D4783" s="8" t="s">
        <v>16</v>
      </c>
      <c r="E4783" s="9" t="s">
        <v>30853</v>
      </c>
      <c r="F4783" s="10" t="s">
        <v>23544</v>
      </c>
      <c r="G4783" s="8">
        <v>23.61</v>
      </c>
      <c r="H4783" s="8"/>
      <c r="I4783" s="10"/>
      <c r="J4783" s="10" t="s">
        <v>30854</v>
      </c>
      <c r="K4783" s="10" t="s">
        <v>30855</v>
      </c>
      <c r="L4783" s="11" t="s">
        <v>30856</v>
      </c>
      <c r="M4783" s="11" t="s">
        <v>30857</v>
      </c>
      <c r="N4783" s="12"/>
      <c r="O4783" s="12"/>
      <c r="P4783" s="13">
        <f>IFERROR(__xludf.DUMMYFUNCTION("VALUE(SUBSTITUTE((INDEX(SPLIT(A4783,"",""),1)),""."","","",1))"),61.373996)</f>
        <v>61.373996</v>
      </c>
      <c r="Q4783" s="13">
        <f>IFERROR(__xludf.DUMMYFUNCTION("VALUE(SUBSTITUTE((INDEX(SPLIT(A4783,"",""),2)),""."","","",1))"),55.089578)</f>
        <v>55.089578</v>
      </c>
      <c r="R4783" s="14" t="b">
        <f t="shared" si="1"/>
        <v>0</v>
      </c>
      <c r="S4783" s="14" t="str">
        <f t="shared" si="2"/>
        <v>61.373996,55.089578</v>
      </c>
      <c r="T4783" s="12"/>
    </row>
    <row r="4784">
      <c r="A4784" s="22" t="s">
        <v>30858</v>
      </c>
      <c r="B4784" s="16" t="s">
        <v>30859</v>
      </c>
      <c r="C4784" s="16" t="s">
        <v>30860</v>
      </c>
      <c r="D4784" s="16" t="s">
        <v>16</v>
      </c>
      <c r="E4784" s="21" t="s">
        <v>30861</v>
      </c>
      <c r="F4784" s="22" t="s">
        <v>23544</v>
      </c>
      <c r="G4784" s="16">
        <v>23.61</v>
      </c>
      <c r="H4784" s="16"/>
      <c r="I4784" s="22"/>
      <c r="J4784" s="22" t="s">
        <v>30862</v>
      </c>
      <c r="K4784" s="22" t="s">
        <v>30863</v>
      </c>
      <c r="L4784" s="23" t="s">
        <v>30864</v>
      </c>
      <c r="M4784" s="22"/>
      <c r="N4784" s="12"/>
      <c r="O4784" s="12"/>
      <c r="P4784" s="13">
        <f>IFERROR(__xludf.DUMMYFUNCTION("VALUE(SUBSTITUTE((INDEX(SPLIT(A4784,"",""),1)),""."","","",1))"),61.374742)</f>
        <v>61.374742</v>
      </c>
      <c r="Q4784" s="13">
        <f>IFERROR(__xludf.DUMMYFUNCTION("VALUE(SUBSTITUTE((INDEX(SPLIT(A4784,"",""),2)),""."","","",1))"),55.157701)</f>
        <v>55.157701</v>
      </c>
      <c r="R4784" s="14" t="b">
        <f t="shared" si="1"/>
        <v>0</v>
      </c>
      <c r="S4784" s="14" t="str">
        <f t="shared" si="2"/>
        <v>61.374742,55.157701</v>
      </c>
      <c r="T4784" s="12"/>
    </row>
    <row r="4785">
      <c r="A4785" s="10" t="s">
        <v>30865</v>
      </c>
      <c r="B4785" s="8" t="s">
        <v>30866</v>
      </c>
      <c r="C4785" s="8" t="s">
        <v>30867</v>
      </c>
      <c r="D4785" s="8" t="s">
        <v>16</v>
      </c>
      <c r="E4785" s="9" t="s">
        <v>30868</v>
      </c>
      <c r="F4785" s="10" t="s">
        <v>23544</v>
      </c>
      <c r="G4785" s="8">
        <v>23.61</v>
      </c>
      <c r="H4785" s="8"/>
      <c r="I4785" s="10"/>
      <c r="J4785" s="10" t="s">
        <v>30869</v>
      </c>
      <c r="K4785" s="10" t="s">
        <v>30870</v>
      </c>
      <c r="L4785" s="11" t="s">
        <v>30871</v>
      </c>
      <c r="M4785" s="10"/>
      <c r="N4785" s="12"/>
      <c r="O4785" s="12"/>
      <c r="P4785" s="13">
        <f>IFERROR(__xludf.DUMMYFUNCTION("VALUE(SUBSTITUTE((INDEX(SPLIT(A4785,"",""),1)),""."","","",1))"),61.375568)</f>
        <v>61.375568</v>
      </c>
      <c r="Q4785" s="13">
        <f>IFERROR(__xludf.DUMMYFUNCTION("VALUE(SUBSTITUTE((INDEX(SPLIT(A4785,"",""),2)),""."","","",1))"),55.148102)</f>
        <v>55.148102</v>
      </c>
      <c r="R4785" s="14" t="b">
        <f t="shared" si="1"/>
        <v>0</v>
      </c>
      <c r="S4785" s="14" t="str">
        <f t="shared" si="2"/>
        <v>61.375568,55.148102</v>
      </c>
      <c r="T4785" s="12"/>
    </row>
    <row r="4786">
      <c r="A4786" s="22" t="s">
        <v>30872</v>
      </c>
      <c r="B4786" s="16" t="s">
        <v>30873</v>
      </c>
      <c r="C4786" s="16" t="s">
        <v>30874</v>
      </c>
      <c r="D4786" s="16" t="s">
        <v>16</v>
      </c>
      <c r="E4786" s="21" t="s">
        <v>30875</v>
      </c>
      <c r="F4786" s="22" t="s">
        <v>23544</v>
      </c>
      <c r="G4786" s="16">
        <v>23.61</v>
      </c>
      <c r="H4786" s="16"/>
      <c r="I4786" s="22"/>
      <c r="J4786" s="22" t="s">
        <v>30876</v>
      </c>
      <c r="K4786" s="22" t="s">
        <v>30877</v>
      </c>
      <c r="L4786" s="23" t="s">
        <v>30878</v>
      </c>
      <c r="M4786" s="22"/>
      <c r="N4786" s="12"/>
      <c r="O4786" s="12"/>
      <c r="P4786" s="13">
        <f>IFERROR(__xludf.DUMMYFUNCTION("VALUE(SUBSTITUTE((INDEX(SPLIT(A4786,"",""),1)),""."","","",1))"),61.378829)</f>
        <v>61.378829</v>
      </c>
      <c r="Q4786" s="13">
        <f>IFERROR(__xludf.DUMMYFUNCTION("VALUE(SUBSTITUTE((INDEX(SPLIT(A4786,"",""),2)),""."","","",1))"),55.168861)</f>
        <v>55.168861</v>
      </c>
      <c r="R4786" s="14" t="b">
        <f t="shared" si="1"/>
        <v>0</v>
      </c>
      <c r="S4786" s="14" t="str">
        <f t="shared" si="2"/>
        <v>61.378829,55.168861</v>
      </c>
      <c r="T4786" s="12"/>
    </row>
    <row r="4787">
      <c r="A4787" s="10" t="s">
        <v>30879</v>
      </c>
      <c r="B4787" s="8" t="s">
        <v>30880</v>
      </c>
      <c r="C4787" s="8" t="s">
        <v>30881</v>
      </c>
      <c r="D4787" s="8" t="s">
        <v>16</v>
      </c>
      <c r="E4787" s="9" t="s">
        <v>30882</v>
      </c>
      <c r="F4787" s="10" t="s">
        <v>23544</v>
      </c>
      <c r="G4787" s="8">
        <v>23.61</v>
      </c>
      <c r="H4787" s="8"/>
      <c r="I4787" s="10"/>
      <c r="J4787" s="10" t="s">
        <v>30883</v>
      </c>
      <c r="K4787" s="10" t="s">
        <v>30884</v>
      </c>
      <c r="L4787" s="11" t="s">
        <v>30885</v>
      </c>
      <c r="M4787" s="11" t="s">
        <v>30886</v>
      </c>
      <c r="N4787" s="12"/>
      <c r="O4787" s="12"/>
      <c r="P4787" s="13">
        <f>IFERROR(__xludf.DUMMYFUNCTION("VALUE(SUBSTITUTE((INDEX(SPLIT(A4787,"",""),1)),""."","","",1))"),61.379179)</f>
        <v>61.379179</v>
      </c>
      <c r="Q4787" s="13">
        <f>IFERROR(__xludf.DUMMYFUNCTION("VALUE(SUBSTITUTE((INDEX(SPLIT(A4787,"",""),2)),""."","","",1))"),55.12394)</f>
        <v>55.12394</v>
      </c>
      <c r="R4787" s="14" t="b">
        <f t="shared" si="1"/>
        <v>0</v>
      </c>
      <c r="S4787" s="14" t="str">
        <f t="shared" si="2"/>
        <v>61.379179,55.12394</v>
      </c>
      <c r="T4787" s="12"/>
    </row>
    <row r="4788">
      <c r="A4788" s="22" t="s">
        <v>30887</v>
      </c>
      <c r="B4788" s="16" t="s">
        <v>30888</v>
      </c>
      <c r="C4788" s="16" t="s">
        <v>30889</v>
      </c>
      <c r="D4788" s="16" t="s">
        <v>16</v>
      </c>
      <c r="E4788" s="21" t="s">
        <v>30890</v>
      </c>
      <c r="F4788" s="22" t="s">
        <v>23544</v>
      </c>
      <c r="G4788" s="16">
        <v>23.61</v>
      </c>
      <c r="H4788" s="16"/>
      <c r="I4788" s="22"/>
      <c r="J4788" s="22" t="s">
        <v>30891</v>
      </c>
      <c r="K4788" s="22" t="s">
        <v>30892</v>
      </c>
      <c r="L4788" s="30" t="s">
        <v>30893</v>
      </c>
      <c r="M4788" s="22"/>
      <c r="N4788" s="12"/>
      <c r="O4788" s="12"/>
      <c r="P4788" s="13">
        <f>IFERROR(__xludf.DUMMYFUNCTION("VALUE(SUBSTITUTE((INDEX(SPLIT(A4788,"",""),1)),""."","","",1))"),61.379916)</f>
        <v>61.379916</v>
      </c>
      <c r="Q4788" s="13">
        <f>IFERROR(__xludf.DUMMYFUNCTION("VALUE(SUBSTITUTE((INDEX(SPLIT(A4788,"",""),2)),""."","","",1))"),55.189902)</f>
        <v>55.189902</v>
      </c>
      <c r="R4788" s="14" t="b">
        <f t="shared" si="1"/>
        <v>0</v>
      </c>
      <c r="S4788" s="14" t="str">
        <f t="shared" si="2"/>
        <v>61.379916,55.189902</v>
      </c>
      <c r="T4788" s="12"/>
    </row>
    <row r="4789">
      <c r="A4789" s="10" t="s">
        <v>30894</v>
      </c>
      <c r="B4789" s="8" t="s">
        <v>30895</v>
      </c>
      <c r="C4789" s="8" t="s">
        <v>30896</v>
      </c>
      <c r="D4789" s="8" t="s">
        <v>16</v>
      </c>
      <c r="E4789" s="9" t="s">
        <v>30897</v>
      </c>
      <c r="F4789" s="10" t="s">
        <v>23544</v>
      </c>
      <c r="G4789" s="8">
        <v>23.61</v>
      </c>
      <c r="H4789" s="8"/>
      <c r="I4789" s="10"/>
      <c r="J4789" s="10" t="s">
        <v>30898</v>
      </c>
      <c r="K4789" s="10" t="s">
        <v>30899</v>
      </c>
      <c r="L4789" s="11" t="s">
        <v>30900</v>
      </c>
      <c r="M4789" s="10"/>
      <c r="N4789" s="12"/>
      <c r="O4789" s="12"/>
      <c r="P4789" s="13">
        <f>IFERROR(__xludf.DUMMYFUNCTION("VALUE(SUBSTITUTE((INDEX(SPLIT(A4789,"",""),1)),""."","","",1))"),61.38112)</f>
        <v>61.38112</v>
      </c>
      <c r="Q4789" s="13">
        <f>IFERROR(__xludf.DUMMYFUNCTION("VALUE(SUBSTITUTE((INDEX(SPLIT(A4789,"",""),2)),""."","","",1))"),55.039791)</f>
        <v>55.039791</v>
      </c>
      <c r="R4789" s="14" t="b">
        <f t="shared" si="1"/>
        <v>0</v>
      </c>
      <c r="S4789" s="14" t="str">
        <f t="shared" si="2"/>
        <v>61.38112,55.039791</v>
      </c>
      <c r="T4789" s="12"/>
    </row>
    <row r="4790">
      <c r="A4790" s="16" t="s">
        <v>30901</v>
      </c>
      <c r="B4790" s="16" t="s">
        <v>30902</v>
      </c>
      <c r="C4790" s="16" t="s">
        <v>30903</v>
      </c>
      <c r="D4790" s="16" t="s">
        <v>16</v>
      </c>
      <c r="E4790" s="17" t="s">
        <v>30904</v>
      </c>
      <c r="F4790" s="16" t="s">
        <v>23544</v>
      </c>
      <c r="G4790" s="16">
        <v>23.61</v>
      </c>
      <c r="H4790" s="16"/>
      <c r="I4790" s="16"/>
      <c r="J4790" s="16" t="s">
        <v>30905</v>
      </c>
      <c r="K4790" s="16" t="s">
        <v>30906</v>
      </c>
      <c r="L4790" s="16"/>
      <c r="M4790" s="16"/>
      <c r="N4790" s="12"/>
      <c r="O4790" s="12"/>
      <c r="P4790" s="13">
        <f>IFERROR(__xludf.DUMMYFUNCTION("VALUE(SUBSTITUTE((INDEX(SPLIT(A4790,"",""),1)),""."","","",1))"),61.384444)</f>
        <v>61.384444</v>
      </c>
      <c r="Q4790" s="13">
        <f>IFERROR(__xludf.DUMMYFUNCTION("VALUE(SUBSTITUTE((INDEX(SPLIT(A4790,"",""),2)),""."","","",1))"),55.092108)</f>
        <v>55.092108</v>
      </c>
      <c r="R4790" s="14" t="b">
        <f t="shared" si="1"/>
        <v>0</v>
      </c>
      <c r="S4790" s="14" t="str">
        <f t="shared" si="2"/>
        <v>61.384444,55.092108</v>
      </c>
      <c r="T4790" s="12"/>
    </row>
    <row r="4791">
      <c r="A4791" s="8" t="s">
        <v>30907</v>
      </c>
      <c r="B4791" s="8" t="s">
        <v>30908</v>
      </c>
      <c r="C4791" s="8" t="s">
        <v>30909</v>
      </c>
      <c r="D4791" s="8" t="s">
        <v>16</v>
      </c>
      <c r="E4791" s="19" t="s">
        <v>30910</v>
      </c>
      <c r="F4791" s="8" t="s">
        <v>23544</v>
      </c>
      <c r="G4791" s="8">
        <v>23.61</v>
      </c>
      <c r="H4791" s="8"/>
      <c r="I4791" s="8"/>
      <c r="J4791" s="8" t="s">
        <v>30911</v>
      </c>
      <c r="K4791" s="8" t="s">
        <v>30912</v>
      </c>
      <c r="L4791" s="8"/>
      <c r="M4791" s="8"/>
      <c r="N4791" s="12"/>
      <c r="O4791" s="12"/>
      <c r="P4791" s="13">
        <f>IFERROR(__xludf.DUMMYFUNCTION("VALUE(SUBSTITUTE((INDEX(SPLIT(A4791,"",""),1)),""."","","",1))"),61.387965)</f>
        <v>61.387965</v>
      </c>
      <c r="Q4791" s="13">
        <f>IFERROR(__xludf.DUMMYFUNCTION("VALUE(SUBSTITUTE((INDEX(SPLIT(A4791,"",""),2)),""."","","",1))"),55.162263)</f>
        <v>55.162263</v>
      </c>
      <c r="R4791" s="14" t="b">
        <f t="shared" si="1"/>
        <v>0</v>
      </c>
      <c r="S4791" s="14" t="str">
        <f t="shared" si="2"/>
        <v>61.387965,55.162263</v>
      </c>
      <c r="T4791" s="12"/>
    </row>
    <row r="4792">
      <c r="A4792" s="22" t="s">
        <v>30913</v>
      </c>
      <c r="B4792" s="16" t="s">
        <v>30914</v>
      </c>
      <c r="C4792" s="16" t="s">
        <v>30915</v>
      </c>
      <c r="D4792" s="16" t="s">
        <v>16</v>
      </c>
      <c r="E4792" s="21" t="s">
        <v>30916</v>
      </c>
      <c r="F4792" s="22" t="s">
        <v>23544</v>
      </c>
      <c r="G4792" s="16">
        <v>23.61</v>
      </c>
      <c r="H4792" s="16"/>
      <c r="I4792" s="22"/>
      <c r="J4792" s="22" t="s">
        <v>30917</v>
      </c>
      <c r="K4792" s="22" t="s">
        <v>30918</v>
      </c>
      <c r="L4792" s="23" t="s">
        <v>30919</v>
      </c>
      <c r="M4792" s="22"/>
      <c r="N4792" s="12"/>
      <c r="O4792" s="12"/>
      <c r="P4792" s="13">
        <f>IFERROR(__xludf.DUMMYFUNCTION("VALUE(SUBSTITUTE((INDEX(SPLIT(A4792,"",""),1)),""."","","",1))"),61.388064)</f>
        <v>61.388064</v>
      </c>
      <c r="Q4792" s="13">
        <f>IFERROR(__xludf.DUMMYFUNCTION("VALUE(SUBSTITUTE((INDEX(SPLIT(A4792,"",""),2)),""."","","",1))"),55.105753)</f>
        <v>55.105753</v>
      </c>
      <c r="R4792" s="14" t="b">
        <f t="shared" si="1"/>
        <v>0</v>
      </c>
      <c r="S4792" s="14" t="str">
        <f t="shared" si="2"/>
        <v>61.388064,55.105753</v>
      </c>
      <c r="T4792" s="12"/>
    </row>
    <row r="4793">
      <c r="A4793" s="10" t="s">
        <v>30913</v>
      </c>
      <c r="B4793" s="8" t="s">
        <v>30920</v>
      </c>
      <c r="C4793" s="8" t="s">
        <v>30921</v>
      </c>
      <c r="D4793" s="8" t="s">
        <v>16</v>
      </c>
      <c r="E4793" s="9" t="s">
        <v>30922</v>
      </c>
      <c r="F4793" s="10" t="s">
        <v>23544</v>
      </c>
      <c r="G4793" s="8">
        <v>23.61</v>
      </c>
      <c r="H4793" s="8"/>
      <c r="I4793" s="10"/>
      <c r="J4793" s="10" t="s">
        <v>30923</v>
      </c>
      <c r="K4793" s="10" t="s">
        <v>30924</v>
      </c>
      <c r="L4793" s="11" t="s">
        <v>30925</v>
      </c>
      <c r="M4793" s="10"/>
      <c r="N4793" s="12"/>
      <c r="O4793" s="12"/>
      <c r="P4793" s="13">
        <f>IFERROR(__xludf.DUMMYFUNCTION("VALUE(SUBSTITUTE((INDEX(SPLIT(A4793,"",""),1)),""."","","",1))"),61.388064)</f>
        <v>61.388064</v>
      </c>
      <c r="Q4793" s="13">
        <f>IFERROR(__xludf.DUMMYFUNCTION("VALUE(SUBSTITUTE((INDEX(SPLIT(A4793,"",""),2)),""."","","",1))"),55.105753)</f>
        <v>55.105753</v>
      </c>
      <c r="R4793" s="14" t="b">
        <f t="shared" si="1"/>
        <v>0</v>
      </c>
      <c r="S4793" s="14" t="str">
        <f t="shared" si="2"/>
        <v>61.388064,55.105753</v>
      </c>
      <c r="T4793" s="12"/>
    </row>
    <row r="4794">
      <c r="A4794" s="22" t="s">
        <v>30926</v>
      </c>
      <c r="B4794" s="16" t="s">
        <v>2895</v>
      </c>
      <c r="C4794" s="16" t="s">
        <v>2896</v>
      </c>
      <c r="D4794" s="16" t="s">
        <v>16</v>
      </c>
      <c r="E4794" s="21" t="s">
        <v>30927</v>
      </c>
      <c r="F4794" s="22" t="s">
        <v>23544</v>
      </c>
      <c r="G4794" s="16">
        <v>23.61</v>
      </c>
      <c r="H4794" s="16"/>
      <c r="I4794" s="22"/>
      <c r="J4794" s="22" t="s">
        <v>30928</v>
      </c>
      <c r="K4794" s="22" t="s">
        <v>30929</v>
      </c>
      <c r="L4794" s="23" t="s">
        <v>30930</v>
      </c>
      <c r="M4794" s="22"/>
      <c r="N4794" s="12"/>
      <c r="O4794" s="12"/>
      <c r="P4794" s="13">
        <f>IFERROR(__xludf.DUMMYFUNCTION("VALUE(SUBSTITUTE((INDEX(SPLIT(A4794,"",""),1)),""."","","",1))"),61.392259)</f>
        <v>61.392259</v>
      </c>
      <c r="Q4794" s="13">
        <f>IFERROR(__xludf.DUMMYFUNCTION("VALUE(SUBSTITUTE((INDEX(SPLIT(A4794,"",""),2)),""."","","",1))"),55.166701)</f>
        <v>55.166701</v>
      </c>
      <c r="R4794" s="14" t="b">
        <f t="shared" si="1"/>
        <v>0</v>
      </c>
      <c r="S4794" s="14" t="str">
        <f t="shared" si="2"/>
        <v>61.392259,55.166701</v>
      </c>
      <c r="T4794" s="12"/>
    </row>
    <row r="4795">
      <c r="A4795" s="8" t="s">
        <v>26127</v>
      </c>
      <c r="B4795" s="8" t="s">
        <v>30931</v>
      </c>
      <c r="C4795" s="8" t="s">
        <v>30932</v>
      </c>
      <c r="D4795" s="8" t="s">
        <v>16</v>
      </c>
      <c r="E4795" s="19" t="s">
        <v>30933</v>
      </c>
      <c r="F4795" s="8" t="s">
        <v>23544</v>
      </c>
      <c r="G4795" s="8">
        <v>23.61</v>
      </c>
      <c r="H4795" s="8"/>
      <c r="I4795" s="8"/>
      <c r="J4795" s="8" t="s">
        <v>30934</v>
      </c>
      <c r="K4795" s="8" t="s">
        <v>30935</v>
      </c>
      <c r="L4795" s="8"/>
      <c r="M4795" s="8"/>
      <c r="N4795" s="12"/>
      <c r="O4795" s="12"/>
      <c r="P4795" s="13">
        <f>IFERROR(__xludf.DUMMYFUNCTION("VALUE(SUBSTITUTE((INDEX(SPLIT(A4795,"",""),1)),""."","","",1))"),55.267297)</f>
        <v>55.267297</v>
      </c>
      <c r="Q4795" s="13">
        <f>IFERROR(__xludf.DUMMYFUNCTION("VALUE(SUBSTITUTE((INDEX(SPLIT(A4795,"",""),2)),""."","","",1))"),61.392789)</f>
        <v>61.392789</v>
      </c>
      <c r="R4795" s="14" t="b">
        <f t="shared" si="1"/>
        <v>0</v>
      </c>
      <c r="S4795" s="14" t="str">
        <f t="shared" si="2"/>
        <v>55.267297,61.392789</v>
      </c>
      <c r="T4795" s="12"/>
    </row>
    <row r="4796">
      <c r="A4796" s="22" t="s">
        <v>30936</v>
      </c>
      <c r="B4796" s="16" t="s">
        <v>30937</v>
      </c>
      <c r="C4796" s="16" t="s">
        <v>30938</v>
      </c>
      <c r="D4796" s="16" t="s">
        <v>16</v>
      </c>
      <c r="E4796" s="21" t="s">
        <v>30939</v>
      </c>
      <c r="F4796" s="22" t="s">
        <v>23544</v>
      </c>
      <c r="G4796" s="16">
        <v>23.61</v>
      </c>
      <c r="H4796" s="16"/>
      <c r="I4796" s="22"/>
      <c r="J4796" s="22" t="s">
        <v>30940</v>
      </c>
      <c r="K4796" s="22" t="s">
        <v>30941</v>
      </c>
      <c r="L4796" s="23" t="s">
        <v>30942</v>
      </c>
      <c r="M4796" s="22"/>
      <c r="N4796" s="12"/>
      <c r="O4796" s="12"/>
      <c r="P4796" s="13">
        <f>IFERROR(__xludf.DUMMYFUNCTION("VALUE(SUBSTITUTE((INDEX(SPLIT(A4796,"",""),1)),""."","","",1))"),61.394828)</f>
        <v>61.394828</v>
      </c>
      <c r="Q4796" s="13">
        <f>IFERROR(__xludf.DUMMYFUNCTION("VALUE(SUBSTITUTE((INDEX(SPLIT(A4796,"",""),2)),""."","","",1))"),55.160504)</f>
        <v>55.160504</v>
      </c>
      <c r="R4796" s="14" t="b">
        <f t="shared" si="1"/>
        <v>0</v>
      </c>
      <c r="S4796" s="14" t="str">
        <f t="shared" si="2"/>
        <v>61.394828,55.160504</v>
      </c>
      <c r="T4796" s="12"/>
    </row>
    <row r="4797">
      <c r="A4797" s="10" t="s">
        <v>30943</v>
      </c>
      <c r="B4797" s="8" t="s">
        <v>30944</v>
      </c>
      <c r="C4797" s="8" t="s">
        <v>30945</v>
      </c>
      <c r="D4797" s="8" t="s">
        <v>16</v>
      </c>
      <c r="E4797" s="9" t="s">
        <v>30946</v>
      </c>
      <c r="F4797" s="10" t="s">
        <v>23544</v>
      </c>
      <c r="G4797" s="8">
        <v>23.61</v>
      </c>
      <c r="H4797" s="8"/>
      <c r="I4797" s="10"/>
      <c r="J4797" s="10" t="s">
        <v>30947</v>
      </c>
      <c r="K4797" s="10" t="s">
        <v>30948</v>
      </c>
      <c r="L4797" s="11" t="s">
        <v>30949</v>
      </c>
      <c r="M4797" s="10"/>
      <c r="N4797" s="12"/>
      <c r="O4797" s="12"/>
      <c r="P4797" s="13">
        <f>IFERROR(__xludf.DUMMYFUNCTION("VALUE(SUBSTITUTE((INDEX(SPLIT(A4797,"",""),1)),""."","","",1))"),61.39525)</f>
        <v>61.39525</v>
      </c>
      <c r="Q4797" s="13">
        <f>IFERROR(__xludf.DUMMYFUNCTION("VALUE(SUBSTITUTE((INDEX(SPLIT(A4797,"",""),2)),""."","","",1))"),55.178558)</f>
        <v>55.178558</v>
      </c>
      <c r="R4797" s="14" t="b">
        <f t="shared" si="1"/>
        <v>0</v>
      </c>
      <c r="S4797" s="14" t="str">
        <f t="shared" si="2"/>
        <v>61.39525,55.178558</v>
      </c>
      <c r="T4797" s="12"/>
    </row>
    <row r="4798">
      <c r="A4798" s="22" t="s">
        <v>30950</v>
      </c>
      <c r="B4798" s="16" t="s">
        <v>30951</v>
      </c>
      <c r="C4798" s="16" t="s">
        <v>30952</v>
      </c>
      <c r="D4798" s="16" t="s">
        <v>16</v>
      </c>
      <c r="E4798" s="21" t="s">
        <v>30953</v>
      </c>
      <c r="F4798" s="22" t="s">
        <v>23544</v>
      </c>
      <c r="G4798" s="16">
        <v>23.61</v>
      </c>
      <c r="H4798" s="16"/>
      <c r="I4798" s="22"/>
      <c r="J4798" s="22" t="s">
        <v>30954</v>
      </c>
      <c r="K4798" s="22" t="s">
        <v>30751</v>
      </c>
      <c r="L4798" s="23" t="s">
        <v>30955</v>
      </c>
      <c r="M4798" s="23" t="s">
        <v>30956</v>
      </c>
      <c r="N4798" s="12"/>
      <c r="O4798" s="12"/>
      <c r="P4798" s="13">
        <f>IFERROR(__xludf.DUMMYFUNCTION("VALUE(SUBSTITUTE((INDEX(SPLIT(A4798,"",""),1)),""."","","",1))"),61.398951)</f>
        <v>61.398951</v>
      </c>
      <c r="Q4798" s="13">
        <f>IFERROR(__xludf.DUMMYFUNCTION("VALUE(SUBSTITUTE((INDEX(SPLIT(A4798,"",""),2)),""."","","",1))"),55.159912)</f>
        <v>55.159912</v>
      </c>
      <c r="R4798" s="14" t="b">
        <f t="shared" si="1"/>
        <v>0</v>
      </c>
      <c r="S4798" s="14" t="str">
        <f t="shared" si="2"/>
        <v>61.398951,55.159912</v>
      </c>
      <c r="T4798" s="12"/>
    </row>
    <row r="4799">
      <c r="A4799" s="10" t="s">
        <v>30957</v>
      </c>
      <c r="B4799" s="8" t="s">
        <v>30958</v>
      </c>
      <c r="C4799" s="8" t="s">
        <v>30959</v>
      </c>
      <c r="D4799" s="8" t="s">
        <v>16</v>
      </c>
      <c r="E4799" s="9" t="s">
        <v>30960</v>
      </c>
      <c r="F4799" s="10" t="s">
        <v>23544</v>
      </c>
      <c r="G4799" s="8">
        <v>23.61</v>
      </c>
      <c r="H4799" s="8"/>
      <c r="I4799" s="10"/>
      <c r="J4799" s="10" t="s">
        <v>30961</v>
      </c>
      <c r="K4799" s="10" t="s">
        <v>30962</v>
      </c>
      <c r="L4799" s="11" t="s">
        <v>30963</v>
      </c>
      <c r="M4799" s="11" t="s">
        <v>30964</v>
      </c>
      <c r="N4799" s="12"/>
      <c r="O4799" s="12"/>
      <c r="P4799" s="13">
        <f>IFERROR(__xludf.DUMMYFUNCTION("VALUE(SUBSTITUTE((INDEX(SPLIT(A4799,"",""),1)),""."","","",1))"),61.399185)</f>
        <v>61.399185</v>
      </c>
      <c r="Q4799" s="13">
        <f>IFERROR(__xludf.DUMMYFUNCTION("VALUE(SUBSTITUTE((INDEX(SPLIT(A4799,"",""),2)),""."","","",1))"),55.149177)</f>
        <v>55.149177</v>
      </c>
      <c r="R4799" s="14" t="b">
        <f t="shared" si="1"/>
        <v>0</v>
      </c>
      <c r="S4799" s="14" t="str">
        <f t="shared" si="2"/>
        <v>61.399185,55.149177</v>
      </c>
      <c r="T4799" s="12"/>
    </row>
    <row r="4800">
      <c r="A4800" s="16" t="s">
        <v>30957</v>
      </c>
      <c r="B4800" s="16" t="s">
        <v>30965</v>
      </c>
      <c r="C4800" s="16" t="s">
        <v>30966</v>
      </c>
      <c r="D4800" s="16" t="s">
        <v>16</v>
      </c>
      <c r="E4800" s="17" t="s">
        <v>30967</v>
      </c>
      <c r="F4800" s="16" t="s">
        <v>23544</v>
      </c>
      <c r="G4800" s="16">
        <v>23.61</v>
      </c>
      <c r="H4800" s="16"/>
      <c r="I4800" s="16"/>
      <c r="J4800" s="16" t="s">
        <v>30968</v>
      </c>
      <c r="K4800" s="16" t="s">
        <v>30969</v>
      </c>
      <c r="L4800" s="16"/>
      <c r="M4800" s="16"/>
      <c r="N4800" s="12"/>
      <c r="O4800" s="12"/>
      <c r="P4800" s="13">
        <f>IFERROR(__xludf.DUMMYFUNCTION("VALUE(SUBSTITUTE((INDEX(SPLIT(A4800,"",""),1)),""."","","",1))"),61.399185)</f>
        <v>61.399185</v>
      </c>
      <c r="Q4800" s="13">
        <f>IFERROR(__xludf.DUMMYFUNCTION("VALUE(SUBSTITUTE((INDEX(SPLIT(A4800,"",""),2)),""."","","",1))"),55.149177)</f>
        <v>55.149177</v>
      </c>
      <c r="R4800" s="14" t="b">
        <f t="shared" si="1"/>
        <v>0</v>
      </c>
      <c r="S4800" s="14" t="str">
        <f t="shared" si="2"/>
        <v>61.399185,55.149177</v>
      </c>
      <c r="T4800" s="12"/>
    </row>
    <row r="4801">
      <c r="A4801" s="8" t="s">
        <v>30970</v>
      </c>
      <c r="B4801" s="8" t="s">
        <v>30971</v>
      </c>
      <c r="C4801" s="8" t="s">
        <v>30972</v>
      </c>
      <c r="D4801" s="8" t="s">
        <v>16</v>
      </c>
      <c r="E4801" s="19" t="s">
        <v>30973</v>
      </c>
      <c r="F4801" s="8" t="s">
        <v>23544</v>
      </c>
      <c r="G4801" s="8">
        <v>23.61</v>
      </c>
      <c r="H4801" s="8"/>
      <c r="I4801" s="8"/>
      <c r="J4801" s="8" t="s">
        <v>30974</v>
      </c>
      <c r="K4801" s="8" t="s">
        <v>30975</v>
      </c>
      <c r="L4801" s="8"/>
      <c r="M4801" s="24" t="s">
        <v>30976</v>
      </c>
      <c r="N4801" s="12"/>
      <c r="O4801" s="12"/>
      <c r="P4801" s="13">
        <f>IFERROR(__xludf.DUMMYFUNCTION("VALUE(SUBSTITUTE((INDEX(SPLIT(A4801,"",""),1)),""."","","",1))"),61.401224)</f>
        <v>61.401224</v>
      </c>
      <c r="Q4801" s="13">
        <f>IFERROR(__xludf.DUMMYFUNCTION("VALUE(SUBSTITUTE((INDEX(SPLIT(A4801,"",""),2)),""."","","",1))"),55.164639)</f>
        <v>55.164639</v>
      </c>
      <c r="R4801" s="14" t="b">
        <f t="shared" si="1"/>
        <v>0</v>
      </c>
      <c r="S4801" s="14" t="str">
        <f t="shared" si="2"/>
        <v>61.401224,55.164639</v>
      </c>
      <c r="T4801" s="12"/>
    </row>
    <row r="4802">
      <c r="A4802" s="16" t="s">
        <v>30977</v>
      </c>
      <c r="B4802" s="16" t="s">
        <v>30978</v>
      </c>
      <c r="C4802" s="16" t="s">
        <v>30979</v>
      </c>
      <c r="D4802" s="16" t="s">
        <v>16</v>
      </c>
      <c r="E4802" s="17" t="s">
        <v>30980</v>
      </c>
      <c r="F4802" s="16" t="s">
        <v>23544</v>
      </c>
      <c r="G4802" s="16">
        <v>23.61</v>
      </c>
      <c r="H4802" s="16"/>
      <c r="I4802" s="16"/>
      <c r="J4802" s="16" t="s">
        <v>30981</v>
      </c>
      <c r="K4802" s="16" t="s">
        <v>30982</v>
      </c>
      <c r="L4802" s="16"/>
      <c r="M4802" s="25" t="s">
        <v>30983</v>
      </c>
      <c r="N4802" s="12"/>
      <c r="O4802" s="12"/>
      <c r="P4802" s="13">
        <f>IFERROR(__xludf.DUMMYFUNCTION("VALUE(SUBSTITUTE((INDEX(SPLIT(A4802,"",""),1)),""."","","",1))"),61.402554)</f>
        <v>61.402554</v>
      </c>
      <c r="Q4802" s="13">
        <f>IFERROR(__xludf.DUMMYFUNCTION("VALUE(SUBSTITUTE((INDEX(SPLIT(A4802,"",""),2)),""."","","",1))"),55.159902)</f>
        <v>55.159902</v>
      </c>
      <c r="R4802" s="14" t="b">
        <f t="shared" si="1"/>
        <v>0</v>
      </c>
      <c r="S4802" s="14" t="str">
        <f t="shared" si="2"/>
        <v>61.402554,55.159902</v>
      </c>
      <c r="T4802" s="12"/>
    </row>
    <row r="4803">
      <c r="A4803" s="10" t="s">
        <v>26180</v>
      </c>
      <c r="B4803" s="8" t="s">
        <v>30984</v>
      </c>
      <c r="C4803" s="8" t="s">
        <v>30985</v>
      </c>
      <c r="D4803" s="8" t="s">
        <v>16</v>
      </c>
      <c r="E4803" s="9" t="s">
        <v>30986</v>
      </c>
      <c r="F4803" s="10" t="s">
        <v>23544</v>
      </c>
      <c r="G4803" s="8">
        <v>23.61</v>
      </c>
      <c r="H4803" s="8"/>
      <c r="I4803" s="10"/>
      <c r="J4803" s="10" t="s">
        <v>30987</v>
      </c>
      <c r="K4803" s="10" t="s">
        <v>30988</v>
      </c>
      <c r="L4803" s="29" t="s">
        <v>30989</v>
      </c>
      <c r="M4803" s="10"/>
      <c r="N4803" s="12"/>
      <c r="O4803" s="12"/>
      <c r="P4803" s="13">
        <f>IFERROR(__xludf.DUMMYFUNCTION("VALUE(SUBSTITUTE((INDEX(SPLIT(A4803,"",""),1)),""."","","",1))"),55.251932)</f>
        <v>55.251932</v>
      </c>
      <c r="Q4803" s="13">
        <f>IFERROR(__xludf.DUMMYFUNCTION("VALUE(SUBSTITUTE((INDEX(SPLIT(A4803,"",""),2)),""."","","",1))"),61.408177)</f>
        <v>61.408177</v>
      </c>
      <c r="R4803" s="14" t="b">
        <f t="shared" si="1"/>
        <v>0</v>
      </c>
      <c r="S4803" s="14" t="str">
        <f t="shared" si="2"/>
        <v>55.251932,61.408177</v>
      </c>
      <c r="T4803" s="12"/>
    </row>
    <row r="4804">
      <c r="A4804" s="22" t="s">
        <v>30990</v>
      </c>
      <c r="B4804" s="16" t="s">
        <v>30991</v>
      </c>
      <c r="C4804" s="16" t="s">
        <v>30992</v>
      </c>
      <c r="D4804" s="16" t="s">
        <v>16</v>
      </c>
      <c r="E4804" s="21" t="s">
        <v>30993</v>
      </c>
      <c r="F4804" s="22" t="s">
        <v>23544</v>
      </c>
      <c r="G4804" s="16">
        <v>23.61</v>
      </c>
      <c r="H4804" s="16"/>
      <c r="I4804" s="22"/>
      <c r="J4804" s="22" t="s">
        <v>30994</v>
      </c>
      <c r="K4804" s="22" t="s">
        <v>25713</v>
      </c>
      <c r="L4804" s="23" t="s">
        <v>25714</v>
      </c>
      <c r="M4804" s="23" t="s">
        <v>30995</v>
      </c>
      <c r="N4804" s="12"/>
      <c r="O4804" s="12"/>
      <c r="P4804" s="13">
        <f>IFERROR(__xludf.DUMMYFUNCTION("VALUE(SUBSTITUTE((INDEX(SPLIT(A4804,"",""),1)),""."","","",1))"),61.408473)</f>
        <v>61.408473</v>
      </c>
      <c r="Q4804" s="13">
        <f>IFERROR(__xludf.DUMMYFUNCTION("VALUE(SUBSTITUTE((INDEX(SPLIT(A4804,"",""),2)),""."","","",1))"),55.162073)</f>
        <v>55.162073</v>
      </c>
      <c r="R4804" s="14" t="b">
        <f t="shared" si="1"/>
        <v>0</v>
      </c>
      <c r="S4804" s="14" t="str">
        <f t="shared" si="2"/>
        <v>61.408473,55.162073</v>
      </c>
      <c r="T4804" s="12"/>
    </row>
    <row r="4805">
      <c r="A4805" s="10" t="s">
        <v>26191</v>
      </c>
      <c r="B4805" s="8" t="s">
        <v>30996</v>
      </c>
      <c r="C4805" s="8" t="s">
        <v>30997</v>
      </c>
      <c r="D4805" s="8" t="s">
        <v>16</v>
      </c>
      <c r="E4805" s="9" t="s">
        <v>30998</v>
      </c>
      <c r="F4805" s="10" t="s">
        <v>18995</v>
      </c>
      <c r="G4805" s="8">
        <v>23.61</v>
      </c>
      <c r="H4805" s="8"/>
      <c r="I4805" s="10"/>
      <c r="J4805" s="10" t="s">
        <v>30999</v>
      </c>
      <c r="K4805" s="10" t="s">
        <v>31000</v>
      </c>
      <c r="L4805" s="11" t="s">
        <v>30813</v>
      </c>
      <c r="M4805" s="10"/>
      <c r="N4805" s="12"/>
      <c r="O4805" s="12"/>
      <c r="P4805" s="13">
        <f>IFERROR(__xludf.DUMMYFUNCTION("VALUE(SUBSTITUTE((INDEX(SPLIT(A4805,"",""),1)),""."","","",1))"),55.253481)</f>
        <v>55.253481</v>
      </c>
      <c r="Q4805" s="13">
        <f>IFERROR(__xludf.DUMMYFUNCTION("VALUE(SUBSTITUTE((INDEX(SPLIT(A4805,"",""),2)),""."","","",1))"),61.409462)</f>
        <v>61.409462</v>
      </c>
      <c r="R4805" s="14" t="b">
        <f t="shared" si="1"/>
        <v>0</v>
      </c>
      <c r="S4805" s="14" t="str">
        <f t="shared" si="2"/>
        <v>55.253481,61.409462</v>
      </c>
      <c r="T4805" s="12"/>
    </row>
    <row r="4806">
      <c r="A4806" s="22" t="s">
        <v>26198</v>
      </c>
      <c r="B4806" s="16" t="s">
        <v>31001</v>
      </c>
      <c r="C4806" s="16" t="s">
        <v>31002</v>
      </c>
      <c r="D4806" s="16" t="s">
        <v>16</v>
      </c>
      <c r="E4806" s="21" t="s">
        <v>31003</v>
      </c>
      <c r="F4806" s="22" t="s">
        <v>23544</v>
      </c>
      <c r="G4806" s="16">
        <v>23.61</v>
      </c>
      <c r="H4806" s="16"/>
      <c r="I4806" s="22"/>
      <c r="J4806" s="22" t="s">
        <v>31004</v>
      </c>
      <c r="K4806" s="22" t="s">
        <v>31005</v>
      </c>
      <c r="L4806" s="23" t="s">
        <v>31006</v>
      </c>
      <c r="M4806" s="22"/>
      <c r="N4806" s="12"/>
      <c r="O4806" s="12"/>
      <c r="P4806" s="13">
        <f>IFERROR(__xludf.DUMMYFUNCTION("VALUE(SUBSTITUTE((INDEX(SPLIT(A4806,"",""),1)),""."","","",1))"),55.255021)</f>
        <v>55.255021</v>
      </c>
      <c r="Q4806" s="13">
        <f>IFERROR(__xludf.DUMMYFUNCTION("VALUE(SUBSTITUTE((INDEX(SPLIT(A4806,"",""),2)),""."","","",1))"),61.412264)</f>
        <v>61.412264</v>
      </c>
      <c r="R4806" s="14" t="b">
        <f t="shared" si="1"/>
        <v>0</v>
      </c>
      <c r="S4806" s="14" t="str">
        <f t="shared" si="2"/>
        <v>55.255021,61.412264</v>
      </c>
      <c r="T4806" s="12"/>
    </row>
    <row r="4807">
      <c r="A4807" s="8" t="s">
        <v>26206</v>
      </c>
      <c r="B4807" s="8" t="s">
        <v>31007</v>
      </c>
      <c r="C4807" s="8" t="s">
        <v>31008</v>
      </c>
      <c r="D4807" s="8" t="s">
        <v>16</v>
      </c>
      <c r="E4807" s="19" t="s">
        <v>31009</v>
      </c>
      <c r="F4807" s="8" t="s">
        <v>22263</v>
      </c>
      <c r="G4807" s="8">
        <v>23.61</v>
      </c>
      <c r="H4807" s="8"/>
      <c r="I4807" s="8"/>
      <c r="J4807" s="8" t="s">
        <v>31010</v>
      </c>
      <c r="K4807" s="8" t="s">
        <v>31011</v>
      </c>
      <c r="L4807" s="8"/>
      <c r="M4807" s="24" t="s">
        <v>31012</v>
      </c>
      <c r="N4807" s="12"/>
      <c r="O4807" s="12"/>
      <c r="P4807" s="13">
        <f>IFERROR(__xludf.DUMMYFUNCTION("VALUE(SUBSTITUTE((INDEX(SPLIT(A4807,"",""),1)),""."","","",1))"),56.76202)</f>
        <v>56.76202</v>
      </c>
      <c r="Q4807" s="13">
        <f>IFERROR(__xludf.DUMMYFUNCTION("VALUE(SUBSTITUTE((INDEX(SPLIT(A4807,"",""),2)),""."","","",1))"),61.41557)</f>
        <v>61.41557</v>
      </c>
      <c r="R4807" s="14" t="b">
        <f t="shared" si="1"/>
        <v>0</v>
      </c>
      <c r="S4807" s="14" t="str">
        <f t="shared" si="2"/>
        <v>56.76202,61.41557</v>
      </c>
      <c r="T4807" s="12"/>
    </row>
    <row r="4808">
      <c r="A4808" s="22" t="s">
        <v>31013</v>
      </c>
      <c r="B4808" s="16" t="s">
        <v>31014</v>
      </c>
      <c r="C4808" s="16" t="s">
        <v>31015</v>
      </c>
      <c r="D4808" s="16" t="s">
        <v>16</v>
      </c>
      <c r="E4808" s="21" t="s">
        <v>31016</v>
      </c>
      <c r="F4808" s="22" t="s">
        <v>23544</v>
      </c>
      <c r="G4808" s="16">
        <v>23.61</v>
      </c>
      <c r="H4808" s="16"/>
      <c r="I4808" s="22"/>
      <c r="J4808" s="22" t="s">
        <v>31017</v>
      </c>
      <c r="K4808" s="22" t="s">
        <v>31018</v>
      </c>
      <c r="L4808" s="23" t="s">
        <v>31019</v>
      </c>
      <c r="M4808" s="23" t="s">
        <v>31020</v>
      </c>
      <c r="N4808" s="12"/>
      <c r="O4808" s="12"/>
      <c r="P4808" s="13">
        <f>IFERROR(__xludf.DUMMYFUNCTION("VALUE(SUBSTITUTE((INDEX(SPLIT(A4808,"",""),1)),""."","","",1))"),61.417627)</f>
        <v>61.417627</v>
      </c>
      <c r="Q4808" s="13">
        <f>IFERROR(__xludf.DUMMYFUNCTION("VALUE(SUBSTITUTE((INDEX(SPLIT(A4808,"",""),2)),""."","","",1))"),55.151652)</f>
        <v>55.151652</v>
      </c>
      <c r="R4808" s="14" t="b">
        <f t="shared" si="1"/>
        <v>0</v>
      </c>
      <c r="S4808" s="14" t="str">
        <f t="shared" si="2"/>
        <v>61.417627,55.151652</v>
      </c>
      <c r="T4808" s="12"/>
    </row>
    <row r="4809">
      <c r="A4809" s="8" t="s">
        <v>31021</v>
      </c>
      <c r="B4809" s="8" t="s">
        <v>31022</v>
      </c>
      <c r="C4809" s="8" t="s">
        <v>31023</v>
      </c>
      <c r="D4809" s="8" t="s">
        <v>16</v>
      </c>
      <c r="E4809" s="19" t="s">
        <v>31024</v>
      </c>
      <c r="F4809" s="8" t="s">
        <v>23544</v>
      </c>
      <c r="G4809" s="8">
        <v>23.61</v>
      </c>
      <c r="H4809" s="8"/>
      <c r="I4809" s="8"/>
      <c r="J4809" s="8" t="s">
        <v>31025</v>
      </c>
      <c r="K4809" s="8" t="s">
        <v>30962</v>
      </c>
      <c r="L4809" s="8"/>
      <c r="M4809" s="8"/>
      <c r="N4809" s="12"/>
      <c r="O4809" s="12"/>
      <c r="P4809" s="13">
        <f>IFERROR(__xludf.DUMMYFUNCTION("VALUE(SUBSTITUTE((INDEX(SPLIT(A4809,"",""),1)),""."","","",1))"),61.417735)</f>
        <v>61.417735</v>
      </c>
      <c r="Q4809" s="13">
        <f>IFERROR(__xludf.DUMMYFUNCTION("VALUE(SUBSTITUTE((INDEX(SPLIT(A4809,"",""),2)),""."","","",1))"),55.133951)</f>
        <v>55.133951</v>
      </c>
      <c r="R4809" s="14" t="b">
        <f t="shared" si="1"/>
        <v>0</v>
      </c>
      <c r="S4809" s="14" t="str">
        <f t="shared" si="2"/>
        <v>61.417735,55.133951</v>
      </c>
      <c r="T4809" s="12"/>
    </row>
    <row r="4810">
      <c r="A4810" s="22" t="s">
        <v>31026</v>
      </c>
      <c r="B4810" s="16" t="s">
        <v>31027</v>
      </c>
      <c r="C4810" s="16" t="s">
        <v>31028</v>
      </c>
      <c r="D4810" s="16" t="s">
        <v>16</v>
      </c>
      <c r="E4810" s="21" t="s">
        <v>31029</v>
      </c>
      <c r="F4810" s="22" t="s">
        <v>23544</v>
      </c>
      <c r="G4810" s="16">
        <v>23.61</v>
      </c>
      <c r="H4810" s="16"/>
      <c r="I4810" s="22"/>
      <c r="J4810" s="22" t="s">
        <v>31030</v>
      </c>
      <c r="K4810" s="22" t="s">
        <v>31031</v>
      </c>
      <c r="L4810" s="23" t="s">
        <v>31032</v>
      </c>
      <c r="M4810" s="22"/>
      <c r="N4810" s="12"/>
      <c r="O4810" s="12"/>
      <c r="P4810" s="13">
        <f>IFERROR(__xludf.DUMMYFUNCTION("VALUE(SUBSTITUTE((INDEX(SPLIT(A4810,"",""),1)),""."","","",1))"),61.420789)</f>
        <v>61.420789</v>
      </c>
      <c r="Q4810" s="13">
        <f>IFERROR(__xludf.DUMMYFUNCTION("VALUE(SUBSTITUTE((INDEX(SPLIT(A4810,"",""),2)),""."","","",1))"),55.187049)</f>
        <v>55.187049</v>
      </c>
      <c r="R4810" s="14" t="b">
        <f t="shared" si="1"/>
        <v>0</v>
      </c>
      <c r="S4810" s="14" t="str">
        <f t="shared" si="2"/>
        <v>61.420789,55.187049</v>
      </c>
      <c r="T4810" s="12"/>
    </row>
    <row r="4811">
      <c r="A4811" s="8" t="s">
        <v>26234</v>
      </c>
      <c r="B4811" s="8" t="s">
        <v>31033</v>
      </c>
      <c r="C4811" s="8" t="s">
        <v>31034</v>
      </c>
      <c r="D4811" s="8" t="s">
        <v>16</v>
      </c>
      <c r="E4811" s="19" t="s">
        <v>31035</v>
      </c>
      <c r="F4811" s="8" t="s">
        <v>23544</v>
      </c>
      <c r="G4811" s="8">
        <v>23.61</v>
      </c>
      <c r="H4811" s="8"/>
      <c r="I4811" s="8"/>
      <c r="J4811" s="8" t="s">
        <v>31036</v>
      </c>
      <c r="K4811" s="8" t="s">
        <v>31037</v>
      </c>
      <c r="L4811" s="8"/>
      <c r="M4811" s="8"/>
      <c r="N4811" s="12"/>
      <c r="O4811" s="12"/>
      <c r="P4811" s="13">
        <f>IFERROR(__xludf.DUMMYFUNCTION("VALUE(SUBSTITUTE((INDEX(SPLIT(A4811,"",""),1)),""."","","",1))"),55.24757)</f>
        <v>55.24757</v>
      </c>
      <c r="Q4811" s="13">
        <f>IFERROR(__xludf.DUMMYFUNCTION("VALUE(SUBSTITUTE((INDEX(SPLIT(A4811,"",""),2)),""."","","",1))"),61.424769)</f>
        <v>61.424769</v>
      </c>
      <c r="R4811" s="14" t="b">
        <f t="shared" si="1"/>
        <v>0</v>
      </c>
      <c r="S4811" s="14" t="str">
        <f t="shared" si="2"/>
        <v>55.24757,61.424769</v>
      </c>
      <c r="T4811" s="12"/>
    </row>
    <row r="4812">
      <c r="A4812" s="16" t="s">
        <v>31038</v>
      </c>
      <c r="B4812" s="16" t="s">
        <v>14007</v>
      </c>
      <c r="C4812" s="16" t="s">
        <v>14008</v>
      </c>
      <c r="D4812" s="16" t="s">
        <v>16</v>
      </c>
      <c r="E4812" s="17" t="s">
        <v>31039</v>
      </c>
      <c r="F4812" s="16" t="s">
        <v>23544</v>
      </c>
      <c r="G4812" s="16">
        <v>23.61</v>
      </c>
      <c r="H4812" s="16"/>
      <c r="I4812" s="16"/>
      <c r="J4812" s="16" t="s">
        <v>31040</v>
      </c>
      <c r="K4812" s="16" t="s">
        <v>31041</v>
      </c>
      <c r="L4812" s="16"/>
      <c r="M4812" s="16"/>
      <c r="N4812" s="12"/>
      <c r="O4812" s="12"/>
      <c r="P4812" s="13">
        <f>IFERROR(__xludf.DUMMYFUNCTION("VALUE(SUBSTITUTE((INDEX(SPLIT(A4812,"",""),1)),""."","","",1))"),61.43377)</f>
        <v>61.43377</v>
      </c>
      <c r="Q4812" s="13">
        <f>IFERROR(__xludf.DUMMYFUNCTION("VALUE(SUBSTITUTE((INDEX(SPLIT(A4812,"",""),2)),""."","","",1))"),55.142545)</f>
        <v>55.142545</v>
      </c>
      <c r="R4812" s="14" t="b">
        <f t="shared" si="1"/>
        <v>0</v>
      </c>
      <c r="S4812" s="14" t="str">
        <f t="shared" si="2"/>
        <v>61.43377,55.142545</v>
      </c>
      <c r="T4812" s="12"/>
    </row>
    <row r="4813">
      <c r="A4813" s="10" t="s">
        <v>31042</v>
      </c>
      <c r="B4813" s="8" t="s">
        <v>31043</v>
      </c>
      <c r="C4813" s="8" t="s">
        <v>31044</v>
      </c>
      <c r="D4813" s="8" t="s">
        <v>16</v>
      </c>
      <c r="E4813" s="9" t="s">
        <v>31045</v>
      </c>
      <c r="F4813" s="10" t="s">
        <v>23544</v>
      </c>
      <c r="G4813" s="8">
        <v>23.61</v>
      </c>
      <c r="H4813" s="8"/>
      <c r="I4813" s="10"/>
      <c r="J4813" s="10" t="s">
        <v>31046</v>
      </c>
      <c r="K4813" s="10" t="s">
        <v>31047</v>
      </c>
      <c r="L4813" s="11" t="s">
        <v>31048</v>
      </c>
      <c r="M4813" s="10"/>
      <c r="N4813" s="12"/>
      <c r="O4813" s="12"/>
      <c r="P4813" s="13">
        <f>IFERROR(__xludf.DUMMYFUNCTION("VALUE(SUBSTITUTE((INDEX(SPLIT(A4813,"",""),1)),""."","","",1))"),61.438819)</f>
        <v>61.438819</v>
      </c>
      <c r="Q4813" s="13">
        <f>IFERROR(__xludf.DUMMYFUNCTION("VALUE(SUBSTITUTE((INDEX(SPLIT(A4813,"",""),2)),""."","","",1))"),55.203072)</f>
        <v>55.203072</v>
      </c>
      <c r="R4813" s="14" t="b">
        <f t="shared" si="1"/>
        <v>0</v>
      </c>
      <c r="S4813" s="14" t="str">
        <f t="shared" si="2"/>
        <v>61.438819,55.203072</v>
      </c>
      <c r="T4813" s="12"/>
    </row>
    <row r="4814">
      <c r="A4814" s="16" t="s">
        <v>31042</v>
      </c>
      <c r="B4814" s="16" t="s">
        <v>31049</v>
      </c>
      <c r="C4814" s="16" t="s">
        <v>31050</v>
      </c>
      <c r="D4814" s="16" t="s">
        <v>16</v>
      </c>
      <c r="E4814" s="17" t="s">
        <v>31051</v>
      </c>
      <c r="F4814" s="16" t="s">
        <v>23544</v>
      </c>
      <c r="G4814" s="16">
        <v>23.61</v>
      </c>
      <c r="H4814" s="16"/>
      <c r="I4814" s="16"/>
      <c r="J4814" s="16" t="s">
        <v>31052</v>
      </c>
      <c r="K4814" s="16" t="s">
        <v>31053</v>
      </c>
      <c r="L4814" s="16"/>
      <c r="M4814" s="16"/>
      <c r="N4814" s="12"/>
      <c r="O4814" s="12"/>
      <c r="P4814" s="13">
        <f>IFERROR(__xludf.DUMMYFUNCTION("VALUE(SUBSTITUTE((INDEX(SPLIT(A4814,"",""),1)),""."","","",1))"),61.438819)</f>
        <v>61.438819</v>
      </c>
      <c r="Q4814" s="13">
        <f>IFERROR(__xludf.DUMMYFUNCTION("VALUE(SUBSTITUTE((INDEX(SPLIT(A4814,"",""),2)),""."","","",1))"),55.203072)</f>
        <v>55.203072</v>
      </c>
      <c r="R4814" s="14" t="b">
        <f t="shared" si="1"/>
        <v>0</v>
      </c>
      <c r="S4814" s="14" t="str">
        <f t="shared" si="2"/>
        <v>61.438819,55.203072</v>
      </c>
      <c r="T4814" s="12"/>
    </row>
    <row r="4815">
      <c r="A4815" s="10" t="s">
        <v>31054</v>
      </c>
      <c r="B4815" s="8" t="s">
        <v>31055</v>
      </c>
      <c r="C4815" s="8" t="s">
        <v>31056</v>
      </c>
      <c r="D4815" s="8" t="s">
        <v>16</v>
      </c>
      <c r="E4815" s="9" t="s">
        <v>31057</v>
      </c>
      <c r="F4815" s="10" t="s">
        <v>23544</v>
      </c>
      <c r="G4815" s="8">
        <v>23.61</v>
      </c>
      <c r="H4815" s="8"/>
      <c r="I4815" s="10"/>
      <c r="J4815" s="10" t="s">
        <v>31058</v>
      </c>
      <c r="K4815" s="10" t="s">
        <v>31059</v>
      </c>
      <c r="L4815" s="11" t="s">
        <v>31060</v>
      </c>
      <c r="M4815" s="11" t="s">
        <v>31061</v>
      </c>
      <c r="N4815" s="12"/>
      <c r="O4815" s="12"/>
      <c r="P4815" s="13">
        <f>IFERROR(__xludf.DUMMYFUNCTION("VALUE(SUBSTITUTE((INDEX(SPLIT(A4815,"",""),1)),""."","","",1))"),61.440606)</f>
        <v>61.440606</v>
      </c>
      <c r="Q4815" s="13">
        <f>IFERROR(__xludf.DUMMYFUNCTION("VALUE(SUBSTITUTE((INDEX(SPLIT(A4815,"",""),2)),""."","","",1))"),55.139653)</f>
        <v>55.139653</v>
      </c>
      <c r="R4815" s="14" t="b">
        <f t="shared" si="1"/>
        <v>0</v>
      </c>
      <c r="S4815" s="14" t="str">
        <f t="shared" si="2"/>
        <v>61.440606,55.139653</v>
      </c>
      <c r="T4815" s="12"/>
    </row>
    <row r="4816">
      <c r="A4816" s="22" t="s">
        <v>31062</v>
      </c>
      <c r="B4816" s="16" t="s">
        <v>31063</v>
      </c>
      <c r="C4816" s="16" t="s">
        <v>31064</v>
      </c>
      <c r="D4816" s="16" t="s">
        <v>16</v>
      </c>
      <c r="E4816" s="21" t="s">
        <v>31065</v>
      </c>
      <c r="F4816" s="22" t="s">
        <v>23544</v>
      </c>
      <c r="G4816" s="16">
        <v>23.61</v>
      </c>
      <c r="H4816" s="16"/>
      <c r="I4816" s="22"/>
      <c r="J4816" s="22" t="s">
        <v>31066</v>
      </c>
      <c r="K4816" s="22" t="s">
        <v>31067</v>
      </c>
      <c r="L4816" s="23" t="s">
        <v>31068</v>
      </c>
      <c r="M4816" s="22"/>
      <c r="N4816" s="12"/>
      <c r="O4816" s="12"/>
      <c r="P4816" s="13">
        <f>IFERROR(__xludf.DUMMYFUNCTION("VALUE(SUBSTITUTE((INDEX(SPLIT(A4816,"",""),1)),""."","","",1))"),61.441792)</f>
        <v>61.441792</v>
      </c>
      <c r="Q4816" s="13">
        <f>IFERROR(__xludf.DUMMYFUNCTION("VALUE(SUBSTITUTE((INDEX(SPLIT(A4816,"",""),2)),""."","","",1))"),55.209195)</f>
        <v>55.209195</v>
      </c>
      <c r="R4816" s="14" t="b">
        <f t="shared" si="1"/>
        <v>0</v>
      </c>
      <c r="S4816" s="14" t="str">
        <f t="shared" si="2"/>
        <v>61.441792,55.209195</v>
      </c>
      <c r="T4816" s="12"/>
    </row>
    <row r="4817">
      <c r="A4817" s="10" t="s">
        <v>31069</v>
      </c>
      <c r="B4817" s="8" t="s">
        <v>16251</v>
      </c>
      <c r="C4817" s="8" t="s">
        <v>16252</v>
      </c>
      <c r="D4817" s="8" t="s">
        <v>16</v>
      </c>
      <c r="E4817" s="9" t="s">
        <v>31070</v>
      </c>
      <c r="F4817" s="10" t="s">
        <v>23544</v>
      </c>
      <c r="G4817" s="8">
        <v>23.61</v>
      </c>
      <c r="H4817" s="8"/>
      <c r="I4817" s="10"/>
      <c r="J4817" s="10" t="s">
        <v>31071</v>
      </c>
      <c r="K4817" s="10" t="s">
        <v>31072</v>
      </c>
      <c r="L4817" s="11" t="s">
        <v>31073</v>
      </c>
      <c r="M4817" s="10"/>
      <c r="N4817" s="12"/>
      <c r="O4817" s="12"/>
      <c r="P4817" s="13">
        <f>IFERROR(__xludf.DUMMYFUNCTION("VALUE(SUBSTITUTE((INDEX(SPLIT(A4817,"",""),1)),""."","","",1))"),61.442268)</f>
        <v>61.442268</v>
      </c>
      <c r="Q4817" s="13">
        <f>IFERROR(__xludf.DUMMYFUNCTION("VALUE(SUBSTITUTE((INDEX(SPLIT(A4817,"",""),2)),""."","","",1))"),55.126735)</f>
        <v>55.126735</v>
      </c>
      <c r="R4817" s="14" t="b">
        <f t="shared" si="1"/>
        <v>0</v>
      </c>
      <c r="S4817" s="14" t="str">
        <f t="shared" si="2"/>
        <v>61.442268,55.126735</v>
      </c>
      <c r="T4817" s="12"/>
    </row>
    <row r="4818">
      <c r="A4818" s="22" t="s">
        <v>31074</v>
      </c>
      <c r="B4818" s="16" t="s">
        <v>31075</v>
      </c>
      <c r="C4818" s="16" t="s">
        <v>31076</v>
      </c>
      <c r="D4818" s="16" t="s">
        <v>16</v>
      </c>
      <c r="E4818" s="21" t="s">
        <v>31077</v>
      </c>
      <c r="F4818" s="22" t="s">
        <v>23544</v>
      </c>
      <c r="G4818" s="16">
        <v>23.61</v>
      </c>
      <c r="H4818" s="16"/>
      <c r="I4818" s="22"/>
      <c r="J4818" s="22" t="s">
        <v>31078</v>
      </c>
      <c r="K4818" s="22" t="s">
        <v>31079</v>
      </c>
      <c r="L4818" s="23" t="s">
        <v>31080</v>
      </c>
      <c r="M4818" s="23" t="s">
        <v>31081</v>
      </c>
      <c r="N4818" s="12"/>
      <c r="O4818" s="12"/>
      <c r="P4818" s="13">
        <f>IFERROR(__xludf.DUMMYFUNCTION("VALUE(SUBSTITUTE((INDEX(SPLIT(A4818,"",""),1)),""."","","",1))"),61.444244)</f>
        <v>61.444244</v>
      </c>
      <c r="Q4818" s="13">
        <f>IFERROR(__xludf.DUMMYFUNCTION("VALUE(SUBSTITUTE((INDEX(SPLIT(A4818,"",""),2)),""."","","",1))"),55.192086)</f>
        <v>55.192086</v>
      </c>
      <c r="R4818" s="14" t="b">
        <f t="shared" si="1"/>
        <v>0</v>
      </c>
      <c r="S4818" s="14" t="str">
        <f t="shared" si="2"/>
        <v>61.444244,55.192086</v>
      </c>
      <c r="T4818" s="12"/>
    </row>
    <row r="4819">
      <c r="A4819" s="10" t="s">
        <v>31074</v>
      </c>
      <c r="B4819" s="8" t="s">
        <v>31082</v>
      </c>
      <c r="C4819" s="8" t="s">
        <v>31083</v>
      </c>
      <c r="D4819" s="8" t="s">
        <v>16</v>
      </c>
      <c r="E4819" s="9" t="s">
        <v>31084</v>
      </c>
      <c r="F4819" s="10" t="s">
        <v>23544</v>
      </c>
      <c r="G4819" s="8">
        <v>23.61</v>
      </c>
      <c r="H4819" s="8"/>
      <c r="I4819" s="10"/>
      <c r="J4819" s="10" t="s">
        <v>31085</v>
      </c>
      <c r="K4819" s="10" t="s">
        <v>30912</v>
      </c>
      <c r="L4819" s="11" t="s">
        <v>31086</v>
      </c>
      <c r="M4819" s="10"/>
      <c r="N4819" s="12"/>
      <c r="O4819" s="12"/>
      <c r="P4819" s="13">
        <f>IFERROR(__xludf.DUMMYFUNCTION("VALUE(SUBSTITUTE((INDEX(SPLIT(A4819,"",""),1)),""."","","",1))"),61.444244)</f>
        <v>61.444244</v>
      </c>
      <c r="Q4819" s="13">
        <f>IFERROR(__xludf.DUMMYFUNCTION("VALUE(SUBSTITUTE((INDEX(SPLIT(A4819,"",""),2)),""."","","",1))"),55.192086)</f>
        <v>55.192086</v>
      </c>
      <c r="R4819" s="14" t="b">
        <f t="shared" si="1"/>
        <v>0</v>
      </c>
      <c r="S4819" s="14" t="str">
        <f t="shared" si="2"/>
        <v>61.444244,55.192086</v>
      </c>
      <c r="T4819" s="12"/>
    </row>
    <row r="4820">
      <c r="A4820" s="22" t="s">
        <v>31087</v>
      </c>
      <c r="B4820" s="16" t="s">
        <v>12040</v>
      </c>
      <c r="C4820" s="16" t="s">
        <v>12041</v>
      </c>
      <c r="D4820" s="16" t="s">
        <v>16</v>
      </c>
      <c r="E4820" s="21" t="s">
        <v>31088</v>
      </c>
      <c r="F4820" s="22" t="s">
        <v>23544</v>
      </c>
      <c r="G4820" s="16">
        <v>23.61</v>
      </c>
      <c r="H4820" s="16"/>
      <c r="I4820" s="22"/>
      <c r="J4820" s="22" t="s">
        <v>31089</v>
      </c>
      <c r="K4820" s="22" t="s">
        <v>31090</v>
      </c>
      <c r="L4820" s="23" t="s">
        <v>31091</v>
      </c>
      <c r="M4820" s="23" t="s">
        <v>31092</v>
      </c>
      <c r="N4820" s="12"/>
      <c r="O4820" s="12"/>
      <c r="P4820" s="13">
        <f>IFERROR(__xludf.DUMMYFUNCTION("VALUE(SUBSTITUTE((INDEX(SPLIT(A4820,"",""),1)),""."","","",1))"),61.44711)</f>
        <v>61.44711</v>
      </c>
      <c r="Q4820" s="13">
        <f>IFERROR(__xludf.DUMMYFUNCTION("VALUE(SUBSTITUTE((INDEX(SPLIT(A4820,"",""),2)),""."","","",1))"),55.159156)</f>
        <v>55.159156</v>
      </c>
      <c r="R4820" s="14" t="b">
        <f t="shared" si="1"/>
        <v>0</v>
      </c>
      <c r="S4820" s="14" t="str">
        <f t="shared" si="2"/>
        <v>61.44711,55.159156</v>
      </c>
      <c r="T4820" s="12"/>
    </row>
    <row r="4821">
      <c r="A4821" s="10" t="s">
        <v>31093</v>
      </c>
      <c r="B4821" s="8" t="s">
        <v>31094</v>
      </c>
      <c r="C4821" s="8" t="s">
        <v>31095</v>
      </c>
      <c r="D4821" s="8" t="s">
        <v>16</v>
      </c>
      <c r="E4821" s="9" t="s">
        <v>31096</v>
      </c>
      <c r="F4821" s="10" t="s">
        <v>23544</v>
      </c>
      <c r="G4821" s="8">
        <v>23.61</v>
      </c>
      <c r="H4821" s="8"/>
      <c r="I4821" s="10"/>
      <c r="J4821" s="10" t="s">
        <v>31097</v>
      </c>
      <c r="K4821" s="10" t="s">
        <v>31098</v>
      </c>
      <c r="L4821" s="11" t="s">
        <v>31099</v>
      </c>
      <c r="M4821" s="11" t="s">
        <v>31100</v>
      </c>
      <c r="N4821" s="12"/>
      <c r="O4821" s="12"/>
      <c r="P4821" s="13">
        <f>IFERROR(__xludf.DUMMYFUNCTION("VALUE(SUBSTITUTE((INDEX(SPLIT(A4821,"",""),1)),""."","","",1))"),61.448601)</f>
        <v>61.448601</v>
      </c>
      <c r="Q4821" s="13">
        <f>IFERROR(__xludf.DUMMYFUNCTION("VALUE(SUBSTITUTE((INDEX(SPLIT(A4821,"",""),2)),""."","","",1))"),55.170095)</f>
        <v>55.170095</v>
      </c>
      <c r="R4821" s="14" t="b">
        <f t="shared" si="1"/>
        <v>0</v>
      </c>
      <c r="S4821" s="14" t="str">
        <f t="shared" si="2"/>
        <v>61.448601,55.170095</v>
      </c>
      <c r="T4821" s="12"/>
    </row>
    <row r="4822">
      <c r="A4822" s="22" t="s">
        <v>31101</v>
      </c>
      <c r="B4822" s="16" t="s">
        <v>31102</v>
      </c>
      <c r="C4822" s="16" t="s">
        <v>31102</v>
      </c>
      <c r="D4822" s="16" t="s">
        <v>16</v>
      </c>
      <c r="E4822" s="21" t="s">
        <v>31103</v>
      </c>
      <c r="F4822" s="22" t="s">
        <v>23544</v>
      </c>
      <c r="G4822" s="16">
        <v>23.61</v>
      </c>
      <c r="H4822" s="16"/>
      <c r="I4822" s="22"/>
      <c r="J4822" s="22" t="s">
        <v>31104</v>
      </c>
      <c r="K4822" s="22" t="s">
        <v>31105</v>
      </c>
      <c r="L4822" s="23" t="s">
        <v>31106</v>
      </c>
      <c r="M4822" s="23" t="s">
        <v>31107</v>
      </c>
      <c r="N4822" s="12"/>
      <c r="O4822" s="12"/>
      <c r="P4822" s="13">
        <f>IFERROR(__xludf.DUMMYFUNCTION("VALUE(SUBSTITUTE((INDEX(SPLIT(A4822,"",""),1)),""."","","",1))"),61.45577)</f>
        <v>61.45577</v>
      </c>
      <c r="Q4822" s="13">
        <f>IFERROR(__xludf.DUMMYFUNCTION("VALUE(SUBSTITUTE((INDEX(SPLIT(A4822,"",""),2)),""."","","",1))"),55.199758)</f>
        <v>55.199758</v>
      </c>
      <c r="R4822" s="14" t="b">
        <f t="shared" si="1"/>
        <v>0</v>
      </c>
      <c r="S4822" s="14" t="str">
        <f t="shared" si="2"/>
        <v>61.45577,55.199758</v>
      </c>
      <c r="T4822" s="12"/>
    </row>
    <row r="4823">
      <c r="A4823" s="10" t="s">
        <v>31101</v>
      </c>
      <c r="B4823" s="8" t="s">
        <v>31108</v>
      </c>
      <c r="C4823" s="8" t="s">
        <v>31109</v>
      </c>
      <c r="D4823" s="8" t="s">
        <v>16</v>
      </c>
      <c r="E4823" s="9" t="s">
        <v>31110</v>
      </c>
      <c r="F4823" s="10" t="s">
        <v>23544</v>
      </c>
      <c r="G4823" s="8">
        <v>23.61</v>
      </c>
      <c r="H4823" s="8"/>
      <c r="I4823" s="10"/>
      <c r="J4823" s="10" t="s">
        <v>31111</v>
      </c>
      <c r="K4823" s="10" t="s">
        <v>31112</v>
      </c>
      <c r="L4823" s="11" t="s">
        <v>31113</v>
      </c>
      <c r="M4823" s="10"/>
      <c r="N4823" s="12"/>
      <c r="O4823" s="12"/>
      <c r="P4823" s="13">
        <f>IFERROR(__xludf.DUMMYFUNCTION("VALUE(SUBSTITUTE((INDEX(SPLIT(A4823,"",""),1)),""."","","",1))"),61.45577)</f>
        <v>61.45577</v>
      </c>
      <c r="Q4823" s="13">
        <f>IFERROR(__xludf.DUMMYFUNCTION("VALUE(SUBSTITUTE((INDEX(SPLIT(A4823,"",""),2)),""."","","",1))"),55.199758)</f>
        <v>55.199758</v>
      </c>
      <c r="R4823" s="14" t="b">
        <f t="shared" si="1"/>
        <v>0</v>
      </c>
      <c r="S4823" s="14" t="str">
        <f t="shared" si="2"/>
        <v>61.45577,55.199758</v>
      </c>
      <c r="T4823" s="12"/>
    </row>
    <row r="4824">
      <c r="A4824" s="22" t="s">
        <v>31114</v>
      </c>
      <c r="B4824" s="16" t="s">
        <v>31115</v>
      </c>
      <c r="C4824" s="16" t="s">
        <v>31116</v>
      </c>
      <c r="D4824" s="16" t="s">
        <v>16</v>
      </c>
      <c r="E4824" s="21" t="s">
        <v>31117</v>
      </c>
      <c r="F4824" s="22" t="s">
        <v>23544</v>
      </c>
      <c r="G4824" s="16">
        <v>23.61</v>
      </c>
      <c r="H4824" s="16"/>
      <c r="I4824" s="22"/>
      <c r="J4824" s="22" t="s">
        <v>31118</v>
      </c>
      <c r="K4824" s="22" t="s">
        <v>31119</v>
      </c>
      <c r="L4824" s="30" t="s">
        <v>31120</v>
      </c>
      <c r="M4824" s="22"/>
      <c r="N4824" s="12"/>
      <c r="O4824" s="12"/>
      <c r="P4824" s="13">
        <f>IFERROR(__xludf.DUMMYFUNCTION("VALUE(SUBSTITUTE((INDEX(SPLIT(A4824,"",""),1)),""."","","",1))"),61.458815)</f>
        <v>61.458815</v>
      </c>
      <c r="Q4824" s="13">
        <f>IFERROR(__xludf.DUMMYFUNCTION("VALUE(SUBSTITUTE((INDEX(SPLIT(A4824,"",""),2)),""."","","",1))"),55.197389)</f>
        <v>55.197389</v>
      </c>
      <c r="R4824" s="14" t="b">
        <f t="shared" si="1"/>
        <v>0</v>
      </c>
      <c r="S4824" s="14" t="str">
        <f t="shared" si="2"/>
        <v>61.458815,55.197389</v>
      </c>
      <c r="T4824" s="12"/>
    </row>
    <row r="4825">
      <c r="A4825" s="10" t="s">
        <v>31121</v>
      </c>
      <c r="B4825" s="8" t="s">
        <v>31122</v>
      </c>
      <c r="C4825" s="8" t="s">
        <v>31123</v>
      </c>
      <c r="D4825" s="8" t="s">
        <v>16</v>
      </c>
      <c r="E4825" s="9" t="s">
        <v>31124</v>
      </c>
      <c r="F4825" s="10" t="s">
        <v>23544</v>
      </c>
      <c r="G4825" s="8">
        <v>23.61</v>
      </c>
      <c r="H4825" s="8"/>
      <c r="I4825" s="10"/>
      <c r="J4825" s="10" t="s">
        <v>31125</v>
      </c>
      <c r="K4825" s="10" t="s">
        <v>31126</v>
      </c>
      <c r="L4825" s="11" t="s">
        <v>31127</v>
      </c>
      <c r="M4825" s="10"/>
      <c r="N4825" s="12"/>
      <c r="O4825" s="12"/>
      <c r="P4825" s="13">
        <f>IFERROR(__xludf.DUMMYFUNCTION("VALUE(SUBSTITUTE((INDEX(SPLIT(A4825,"",""),1)),""."","","",1))"),61.467699)</f>
        <v>61.467699</v>
      </c>
      <c r="Q4825" s="13">
        <f>IFERROR(__xludf.DUMMYFUNCTION("VALUE(SUBSTITUTE((INDEX(SPLIT(A4825,"",""),2)),""."","","",1))"),55.187599)</f>
        <v>55.187599</v>
      </c>
      <c r="R4825" s="14" t="b">
        <f t="shared" si="1"/>
        <v>0</v>
      </c>
      <c r="S4825" s="14" t="str">
        <f t="shared" si="2"/>
        <v>61.467699,55.187599</v>
      </c>
      <c r="T4825" s="12"/>
    </row>
    <row r="4826">
      <c r="A4826" s="16" t="s">
        <v>31128</v>
      </c>
      <c r="B4826" s="16" t="s">
        <v>31129</v>
      </c>
      <c r="C4826" s="16" t="s">
        <v>31130</v>
      </c>
      <c r="D4826" s="16" t="s">
        <v>16</v>
      </c>
      <c r="E4826" s="17" t="s">
        <v>31131</v>
      </c>
      <c r="F4826" s="16" t="s">
        <v>23544</v>
      </c>
      <c r="G4826" s="16">
        <v>23.61</v>
      </c>
      <c r="H4826" s="16"/>
      <c r="I4826" s="16"/>
      <c r="J4826" s="16" t="s">
        <v>31132</v>
      </c>
      <c r="K4826" s="16" t="s">
        <v>31098</v>
      </c>
      <c r="L4826" s="16"/>
      <c r="M4826" s="16"/>
      <c r="N4826" s="12"/>
      <c r="O4826" s="12"/>
      <c r="P4826" s="13">
        <f>IFERROR(__xludf.DUMMYFUNCTION("VALUE(SUBSTITUTE((INDEX(SPLIT(A4826,"",""),1)),""."","","",1))"),61.470942)</f>
        <v>61.470942</v>
      </c>
      <c r="Q4826" s="13">
        <f>IFERROR(__xludf.DUMMYFUNCTION("VALUE(SUBSTITUTE((INDEX(SPLIT(A4826,"",""),2)),""."","","",1))"),55.224254)</f>
        <v>55.224254</v>
      </c>
      <c r="R4826" s="14" t="b">
        <f t="shared" si="1"/>
        <v>0</v>
      </c>
      <c r="S4826" s="14" t="str">
        <f t="shared" si="2"/>
        <v>61.470942,55.224254</v>
      </c>
      <c r="T4826" s="12"/>
    </row>
    <row r="4827">
      <c r="A4827" s="10" t="s">
        <v>31133</v>
      </c>
      <c r="B4827" s="8" t="s">
        <v>31134</v>
      </c>
      <c r="C4827" s="8" t="s">
        <v>31135</v>
      </c>
      <c r="D4827" s="8" t="s">
        <v>16</v>
      </c>
      <c r="E4827" s="9" t="s">
        <v>31136</v>
      </c>
      <c r="F4827" s="10" t="s">
        <v>23544</v>
      </c>
      <c r="G4827" s="8">
        <v>23.61</v>
      </c>
      <c r="H4827" s="8"/>
      <c r="I4827" s="10"/>
      <c r="J4827" s="10" t="s">
        <v>31137</v>
      </c>
      <c r="K4827" s="10" t="s">
        <v>31138</v>
      </c>
      <c r="L4827" s="11" t="s">
        <v>31139</v>
      </c>
      <c r="M4827" s="10"/>
      <c r="N4827" s="12"/>
      <c r="O4827" s="12"/>
      <c r="P4827" s="13">
        <f>IFERROR(__xludf.DUMMYFUNCTION("VALUE(SUBSTITUTE((INDEX(SPLIT(A4827,"",""),1)),""."","","",1))"),61.486564)</f>
        <v>61.486564</v>
      </c>
      <c r="Q4827" s="13">
        <f>IFERROR(__xludf.DUMMYFUNCTION("VALUE(SUBSTITUTE((INDEX(SPLIT(A4827,"",""),2)),""."","","",1))"),55.180239)</f>
        <v>55.180239</v>
      </c>
      <c r="R4827" s="14" t="b">
        <f t="shared" si="1"/>
        <v>0</v>
      </c>
      <c r="S4827" s="14" t="str">
        <f t="shared" si="2"/>
        <v>61.486564,55.180239</v>
      </c>
      <c r="T4827" s="12"/>
    </row>
    <row r="4828">
      <c r="A4828" s="22" t="s">
        <v>31140</v>
      </c>
      <c r="B4828" s="16" t="s">
        <v>31141</v>
      </c>
      <c r="C4828" s="16" t="s">
        <v>31142</v>
      </c>
      <c r="D4828" s="16" t="s">
        <v>16</v>
      </c>
      <c r="E4828" s="21" t="s">
        <v>31143</v>
      </c>
      <c r="F4828" s="22" t="s">
        <v>23544</v>
      </c>
      <c r="G4828" s="16">
        <v>23.61</v>
      </c>
      <c r="H4828" s="16"/>
      <c r="I4828" s="22"/>
      <c r="J4828" s="22" t="s">
        <v>31144</v>
      </c>
      <c r="K4828" s="22" t="s">
        <v>31145</v>
      </c>
      <c r="L4828" s="23" t="s">
        <v>31146</v>
      </c>
      <c r="M4828" s="22"/>
      <c r="N4828" s="12"/>
      <c r="O4828" s="12"/>
      <c r="P4828" s="13">
        <f>IFERROR(__xludf.DUMMYFUNCTION("VALUE(SUBSTITUTE((INDEX(SPLIT(A4828,"",""),1)),""."","","",1))"),61.489124)</f>
        <v>61.489124</v>
      </c>
      <c r="Q4828" s="13">
        <f>IFERROR(__xludf.DUMMYFUNCTION("VALUE(SUBSTITUTE((INDEX(SPLIT(A4828,"",""),2)),""."","","",1))"),55.121283)</f>
        <v>55.121283</v>
      </c>
      <c r="R4828" s="14" t="b">
        <f t="shared" si="1"/>
        <v>0</v>
      </c>
      <c r="S4828" s="14" t="str">
        <f t="shared" si="2"/>
        <v>61.489124,55.121283</v>
      </c>
      <c r="T4828" s="12"/>
    </row>
    <row r="4829">
      <c r="A4829" s="10" t="s">
        <v>31147</v>
      </c>
      <c r="B4829" s="8" t="s">
        <v>31148</v>
      </c>
      <c r="C4829" s="8" t="s">
        <v>31149</v>
      </c>
      <c r="D4829" s="8" t="s">
        <v>16</v>
      </c>
      <c r="E4829" s="9" t="s">
        <v>31150</v>
      </c>
      <c r="F4829" s="10" t="s">
        <v>23544</v>
      </c>
      <c r="G4829" s="8">
        <v>23.61</v>
      </c>
      <c r="H4829" s="8"/>
      <c r="I4829" s="10"/>
      <c r="J4829" s="10" t="s">
        <v>31151</v>
      </c>
      <c r="K4829" s="10" t="s">
        <v>31152</v>
      </c>
      <c r="L4829" s="11" t="s">
        <v>31153</v>
      </c>
      <c r="M4829" s="10"/>
      <c r="N4829" s="12"/>
      <c r="O4829" s="12"/>
      <c r="P4829" s="13">
        <f>IFERROR(__xludf.DUMMYFUNCTION("VALUE(SUBSTITUTE((INDEX(SPLIT(A4829,"",""),1)),""."","","",1))"),61.492798)</f>
        <v>61.492798</v>
      </c>
      <c r="Q4829" s="13">
        <f>IFERROR(__xludf.DUMMYFUNCTION("VALUE(SUBSTITUTE((INDEX(SPLIT(A4829,"",""),2)),""."","","",1))"),55.158524)</f>
        <v>55.158524</v>
      </c>
      <c r="R4829" s="14" t="b">
        <f t="shared" si="1"/>
        <v>0</v>
      </c>
      <c r="S4829" s="14" t="str">
        <f t="shared" si="2"/>
        <v>61.492798,55.158524</v>
      </c>
      <c r="T4829" s="12"/>
    </row>
    <row r="4830">
      <c r="A4830" s="22" t="s">
        <v>31154</v>
      </c>
      <c r="B4830" s="16" t="s">
        <v>31155</v>
      </c>
      <c r="C4830" s="16" t="s">
        <v>31156</v>
      </c>
      <c r="D4830" s="16" t="s">
        <v>16</v>
      </c>
      <c r="E4830" s="21" t="s">
        <v>31157</v>
      </c>
      <c r="F4830" s="22" t="s">
        <v>23544</v>
      </c>
      <c r="G4830" s="16">
        <v>23.61</v>
      </c>
      <c r="H4830" s="16"/>
      <c r="I4830" s="22"/>
      <c r="J4830" s="22" t="s">
        <v>31158</v>
      </c>
      <c r="K4830" s="22" t="s">
        <v>31159</v>
      </c>
      <c r="L4830" s="23" t="s">
        <v>31160</v>
      </c>
      <c r="M4830" s="23" t="s">
        <v>31161</v>
      </c>
      <c r="N4830" s="12"/>
      <c r="O4830" s="12"/>
      <c r="P4830" s="13">
        <f>IFERROR(__xludf.DUMMYFUNCTION("VALUE(SUBSTITUTE((INDEX(SPLIT(A4830,"",""),1)),""."","","",1))"),61.569137)</f>
        <v>61.569137</v>
      </c>
      <c r="Q4830" s="13">
        <f>IFERROR(__xludf.DUMMYFUNCTION("VALUE(SUBSTITUTE((INDEX(SPLIT(A4830,"",""),2)),""."","","",1))"),54.089597)</f>
        <v>54.089597</v>
      </c>
      <c r="R4830" s="14" t="b">
        <f t="shared" si="1"/>
        <v>0</v>
      </c>
      <c r="S4830" s="14" t="str">
        <f t="shared" si="2"/>
        <v>61.569137,54.089597</v>
      </c>
      <c r="T4830" s="12"/>
    </row>
    <row r="4831">
      <c r="A4831" s="10" t="s">
        <v>31162</v>
      </c>
      <c r="B4831" s="8" t="s">
        <v>31163</v>
      </c>
      <c r="C4831" s="8" t="s">
        <v>31164</v>
      </c>
      <c r="D4831" s="8" t="s">
        <v>16</v>
      </c>
      <c r="E4831" s="9" t="s">
        <v>31165</v>
      </c>
      <c r="F4831" s="10" t="s">
        <v>23544</v>
      </c>
      <c r="G4831" s="8">
        <v>23.61</v>
      </c>
      <c r="H4831" s="8"/>
      <c r="I4831" s="10"/>
      <c r="J4831" s="10" t="s">
        <v>31166</v>
      </c>
      <c r="K4831" s="10" t="s">
        <v>31167</v>
      </c>
      <c r="L4831" s="29" t="s">
        <v>31168</v>
      </c>
      <c r="M4831" s="10"/>
      <c r="N4831" s="12"/>
      <c r="O4831" s="12"/>
      <c r="P4831" s="13">
        <f>IFERROR(__xludf.DUMMYFUNCTION("VALUE(SUBSTITUTE((INDEX(SPLIT(A4831,"",""),1)),""."","","",1))"),61.597093)</f>
        <v>61.597093</v>
      </c>
      <c r="Q4831" s="13">
        <f>IFERROR(__xludf.DUMMYFUNCTION("VALUE(SUBSTITUTE((INDEX(SPLIT(A4831,"",""),2)),""."","","",1))"),55.058652)</f>
        <v>55.058652</v>
      </c>
      <c r="R4831" s="14" t="b">
        <f t="shared" si="1"/>
        <v>0</v>
      </c>
      <c r="S4831" s="14" t="str">
        <f t="shared" si="2"/>
        <v>61.597093,55.058652</v>
      </c>
      <c r="T4831" s="12"/>
    </row>
    <row r="4832">
      <c r="A4832" s="16" t="s">
        <v>31169</v>
      </c>
      <c r="B4832" s="16" t="s">
        <v>31170</v>
      </c>
      <c r="C4832" s="16" t="s">
        <v>31171</v>
      </c>
      <c r="D4832" s="16" t="s">
        <v>16</v>
      </c>
      <c r="E4832" s="17" t="s">
        <v>31172</v>
      </c>
      <c r="F4832" s="16" t="s">
        <v>23544</v>
      </c>
      <c r="G4832" s="16">
        <v>23.61</v>
      </c>
      <c r="H4832" s="16"/>
      <c r="I4832" s="16"/>
      <c r="J4832" s="16" t="s">
        <v>31173</v>
      </c>
      <c r="K4832" s="16" t="s">
        <v>31174</v>
      </c>
      <c r="L4832" s="16"/>
      <c r="M4832" s="25" t="s">
        <v>31175</v>
      </c>
      <c r="N4832" s="12"/>
      <c r="O4832" s="12"/>
      <c r="P4832" s="13">
        <f>IFERROR(__xludf.DUMMYFUNCTION("VALUE(SUBSTITUTE((INDEX(SPLIT(A4832,"",""),1)),""."","","",1))"),61.605932)</f>
        <v>61.605932</v>
      </c>
      <c r="Q4832" s="13">
        <f>IFERROR(__xludf.DUMMYFUNCTION("VALUE(SUBSTITUTE((INDEX(SPLIT(A4832,"",""),2)),""."","","",1))"),55.101854)</f>
        <v>55.101854</v>
      </c>
      <c r="R4832" s="14" t="b">
        <f t="shared" si="1"/>
        <v>0</v>
      </c>
      <c r="S4832" s="14" t="str">
        <f t="shared" si="2"/>
        <v>61.605932,55.101854</v>
      </c>
      <c r="T4832" s="12"/>
    </row>
    <row r="4833">
      <c r="A4833" s="10" t="s">
        <v>31176</v>
      </c>
      <c r="B4833" s="8" t="s">
        <v>31177</v>
      </c>
      <c r="C4833" s="8" t="s">
        <v>31178</v>
      </c>
      <c r="D4833" s="8" t="s">
        <v>16</v>
      </c>
      <c r="E4833" s="9" t="s">
        <v>31179</v>
      </c>
      <c r="F4833" s="10" t="s">
        <v>29276</v>
      </c>
      <c r="G4833" s="8">
        <v>23.61</v>
      </c>
      <c r="H4833" s="8"/>
      <c r="I4833" s="10"/>
      <c r="J4833" s="10" t="s">
        <v>31180</v>
      </c>
      <c r="K4833" s="10" t="s">
        <v>31181</v>
      </c>
      <c r="L4833" s="11" t="s">
        <v>31182</v>
      </c>
      <c r="M4833" s="10"/>
      <c r="N4833" s="12"/>
      <c r="O4833" s="12"/>
      <c r="P4833" s="13">
        <f>IFERROR(__xludf.DUMMYFUNCTION("VALUE(SUBSTITUTE((INDEX(SPLIT(A4833,"",""),1)),""."","","",1))"),61.641075)</f>
        <v>61.641075</v>
      </c>
      <c r="Q4833" s="13">
        <f>IFERROR(__xludf.DUMMYFUNCTION("VALUE(SUBSTITUTE((INDEX(SPLIT(A4833,"",""),2)),""."","","",1))"),147.879162)</f>
        <v>147.879162</v>
      </c>
      <c r="R4833" s="14" t="b">
        <f t="shared" si="1"/>
        <v>0</v>
      </c>
      <c r="S4833" s="14" t="str">
        <f t="shared" si="2"/>
        <v>61.641075,147.879162</v>
      </c>
      <c r="T4833" s="12"/>
    </row>
    <row r="4834">
      <c r="A4834" s="22" t="s">
        <v>31176</v>
      </c>
      <c r="B4834" s="16" t="s">
        <v>31183</v>
      </c>
      <c r="C4834" s="16" t="s">
        <v>31184</v>
      </c>
      <c r="D4834" s="16" t="s">
        <v>16</v>
      </c>
      <c r="E4834" s="21" t="s">
        <v>31185</v>
      </c>
      <c r="F4834" s="22" t="s">
        <v>29276</v>
      </c>
      <c r="G4834" s="16">
        <v>23.61</v>
      </c>
      <c r="H4834" s="16"/>
      <c r="I4834" s="22"/>
      <c r="J4834" s="22" t="s">
        <v>31186</v>
      </c>
      <c r="K4834" s="22" t="s">
        <v>31187</v>
      </c>
      <c r="L4834" s="23" t="s">
        <v>31188</v>
      </c>
      <c r="M4834" s="22"/>
      <c r="N4834" s="12"/>
      <c r="O4834" s="12"/>
      <c r="P4834" s="13">
        <f>IFERROR(__xludf.DUMMYFUNCTION("VALUE(SUBSTITUTE((INDEX(SPLIT(A4834,"",""),1)),""."","","",1))"),61.641075)</f>
        <v>61.641075</v>
      </c>
      <c r="Q4834" s="13">
        <f>IFERROR(__xludf.DUMMYFUNCTION("VALUE(SUBSTITUTE((INDEX(SPLIT(A4834,"",""),2)),""."","","",1))"),147.879162)</f>
        <v>147.879162</v>
      </c>
      <c r="R4834" s="14" t="b">
        <f t="shared" si="1"/>
        <v>0</v>
      </c>
      <c r="S4834" s="14" t="str">
        <f t="shared" si="2"/>
        <v>61.641075,147.879162</v>
      </c>
      <c r="T4834" s="12"/>
    </row>
    <row r="4835">
      <c r="A4835" s="8" t="s">
        <v>31189</v>
      </c>
      <c r="B4835" s="8" t="s">
        <v>31190</v>
      </c>
      <c r="C4835" s="8" t="s">
        <v>31190</v>
      </c>
      <c r="D4835" s="8" t="s">
        <v>16</v>
      </c>
      <c r="E4835" s="19" t="s">
        <v>31191</v>
      </c>
      <c r="F4835" s="8" t="s">
        <v>23108</v>
      </c>
      <c r="G4835" s="8">
        <v>23.61</v>
      </c>
      <c r="H4835" s="8"/>
      <c r="I4835" s="8"/>
      <c r="J4835" s="8" t="s">
        <v>31192</v>
      </c>
      <c r="K4835" s="8" t="s">
        <v>31193</v>
      </c>
      <c r="L4835" s="8"/>
      <c r="M4835" s="8"/>
      <c r="N4835" s="12"/>
      <c r="O4835" s="12"/>
      <c r="P4835" s="13">
        <f>IFERROR(__xludf.DUMMYFUNCTION("VALUE(SUBSTITUTE((INDEX(SPLIT(A4835,"",""),1)),""."","","",1))"),61.676158905)</f>
        <v>61.67615891</v>
      </c>
      <c r="Q4835" s="13">
        <f>IFERROR(__xludf.DUMMYFUNCTION("VALUE(SUBSTITUTE((INDEX(SPLIT(A4835,"",""),2)),""."","","",1))"),50.80178833)</f>
        <v>50.80178833</v>
      </c>
      <c r="R4835" s="14" t="b">
        <f t="shared" si="1"/>
        <v>0</v>
      </c>
      <c r="S4835" s="14" t="str">
        <f t="shared" si="2"/>
        <v>61.676158905,50.80178833</v>
      </c>
      <c r="T4835" s="12"/>
    </row>
    <row r="4836">
      <c r="A4836" s="22" t="s">
        <v>31194</v>
      </c>
      <c r="B4836" s="16" t="s">
        <v>31195</v>
      </c>
      <c r="C4836" s="16" t="s">
        <v>31196</v>
      </c>
      <c r="D4836" s="16" t="s">
        <v>16</v>
      </c>
      <c r="E4836" s="21" t="s">
        <v>31197</v>
      </c>
      <c r="F4836" s="22" t="s">
        <v>23108</v>
      </c>
      <c r="G4836" s="16">
        <v>23.61</v>
      </c>
      <c r="H4836" s="16"/>
      <c r="I4836" s="22"/>
      <c r="J4836" s="22" t="s">
        <v>31198</v>
      </c>
      <c r="K4836" s="22" t="s">
        <v>31199</v>
      </c>
      <c r="L4836" s="23" t="s">
        <v>31200</v>
      </c>
      <c r="M4836" s="23" t="s">
        <v>31201</v>
      </c>
      <c r="N4836" s="12"/>
      <c r="O4836" s="12"/>
      <c r="P4836" s="13">
        <f>IFERROR(__xludf.DUMMYFUNCTION("VALUE(SUBSTITUTE((INDEX(SPLIT(A4836,"",""),1)),""."","","",1))"),61.72141661482)</f>
        <v>61.72141661</v>
      </c>
      <c r="Q4836" s="13">
        <f>IFERROR(__xludf.DUMMYFUNCTION("VALUE(SUBSTITUTE((INDEX(SPLIT(A4836,"",""),2)),""."","","",1))"),50.749604809448)</f>
        <v>50.74960481</v>
      </c>
      <c r="R4836" s="14" t="b">
        <f t="shared" si="1"/>
        <v>0</v>
      </c>
      <c r="S4836" s="14" t="str">
        <f t="shared" si="2"/>
        <v>61.72141661482,50.749604809448</v>
      </c>
      <c r="T4836" s="12"/>
    </row>
    <row r="4837">
      <c r="A4837" s="8" t="s">
        <v>31202</v>
      </c>
      <c r="B4837" s="8" t="s">
        <v>8367</v>
      </c>
      <c r="C4837" s="8" t="s">
        <v>8368</v>
      </c>
      <c r="D4837" s="8" t="s">
        <v>16</v>
      </c>
      <c r="E4837" s="19" t="s">
        <v>31203</v>
      </c>
      <c r="F4837" s="8" t="s">
        <v>3340</v>
      </c>
      <c r="G4837" s="8">
        <v>23.61</v>
      </c>
      <c r="H4837" s="8"/>
      <c r="I4837" s="8"/>
      <c r="J4837" s="8" t="s">
        <v>31204</v>
      </c>
      <c r="K4837" s="8" t="s">
        <v>31205</v>
      </c>
      <c r="L4837" s="8"/>
      <c r="M4837" s="8"/>
      <c r="N4837" s="12"/>
      <c r="O4837" s="12"/>
      <c r="P4837" s="13">
        <f>IFERROR(__xludf.DUMMYFUNCTION("VALUE(SUBSTITUTE((INDEX(SPLIT(A4837,"",""),1)),""."","","",1))"),61.816139221)</f>
        <v>61.81613922</v>
      </c>
      <c r="Q4837" s="13">
        <f>IFERROR(__xludf.DUMMYFUNCTION("VALUE(SUBSTITUTE((INDEX(SPLIT(A4837,"",""),2)),""."","","",1))"),34.317497253)</f>
        <v>34.31749725</v>
      </c>
      <c r="R4837" s="14" t="b">
        <f t="shared" si="1"/>
        <v>0</v>
      </c>
      <c r="S4837" s="14" t="str">
        <f t="shared" si="2"/>
        <v>61.816139221,34.317497253</v>
      </c>
      <c r="T4837" s="12"/>
    </row>
    <row r="4838">
      <c r="A4838" s="22" t="s">
        <v>26370</v>
      </c>
      <c r="B4838" s="16" t="s">
        <v>31206</v>
      </c>
      <c r="C4838" s="16" t="s">
        <v>31207</v>
      </c>
      <c r="D4838" s="16" t="s">
        <v>16</v>
      </c>
      <c r="E4838" s="21" t="s">
        <v>31208</v>
      </c>
      <c r="F4838" s="22" t="s">
        <v>22263</v>
      </c>
      <c r="G4838" s="16">
        <v>23.61</v>
      </c>
      <c r="H4838" s="16"/>
      <c r="I4838" s="22"/>
      <c r="J4838" s="22" t="s">
        <v>31209</v>
      </c>
      <c r="K4838" s="22" t="s">
        <v>31210</v>
      </c>
      <c r="L4838" s="23" t="s">
        <v>31211</v>
      </c>
      <c r="M4838" s="22"/>
      <c r="N4838" s="12"/>
      <c r="O4838" s="12"/>
      <c r="P4838" s="13">
        <f>IFERROR(__xludf.DUMMYFUNCTION("VALUE(SUBSTITUTE((INDEX(SPLIT(A4838,"",""),1)),""."","","",1))"),57.35322)</f>
        <v>57.35322</v>
      </c>
      <c r="Q4838" s="13">
        <f>IFERROR(__xludf.DUMMYFUNCTION("VALUE(SUBSTITUTE((INDEX(SPLIT(A4838,"",""),2)),""."","","",1))"),61.883035)</f>
        <v>61.883035</v>
      </c>
      <c r="R4838" s="14" t="b">
        <f t="shared" si="1"/>
        <v>0</v>
      </c>
      <c r="S4838" s="14" t="str">
        <f t="shared" si="2"/>
        <v>57.35322,61.883035</v>
      </c>
      <c r="T4838" s="12"/>
    </row>
    <row r="4839">
      <c r="A4839" s="10" t="s">
        <v>26377</v>
      </c>
      <c r="B4839" s="8" t="s">
        <v>31212</v>
      </c>
      <c r="C4839" s="8" t="s">
        <v>31213</v>
      </c>
      <c r="D4839" s="8" t="s">
        <v>16</v>
      </c>
      <c r="E4839" s="9" t="s">
        <v>31214</v>
      </c>
      <c r="F4839" s="10" t="s">
        <v>22263</v>
      </c>
      <c r="G4839" s="8">
        <v>23.61</v>
      </c>
      <c r="H4839" s="8"/>
      <c r="I4839" s="10"/>
      <c r="J4839" s="10" t="s">
        <v>31215</v>
      </c>
      <c r="K4839" s="10" t="s">
        <v>31216</v>
      </c>
      <c r="L4839" s="11" t="s">
        <v>31217</v>
      </c>
      <c r="M4839" s="11" t="s">
        <v>31218</v>
      </c>
      <c r="N4839" s="12"/>
      <c r="O4839" s="12"/>
      <c r="P4839" s="13">
        <f>IFERROR(__xludf.DUMMYFUNCTION("VALUE(SUBSTITUTE((INDEX(SPLIT(A4839,"",""),1)),""."","","",1))"),56.426871)</f>
        <v>56.426871</v>
      </c>
      <c r="Q4839" s="13">
        <f>IFERROR(__xludf.DUMMYFUNCTION("VALUE(SUBSTITUTE((INDEX(SPLIT(A4839,"",""),2)),""."","","",1))"),61.893734)</f>
        <v>61.893734</v>
      </c>
      <c r="R4839" s="14" t="b">
        <f t="shared" si="1"/>
        <v>0</v>
      </c>
      <c r="S4839" s="14" t="str">
        <f t="shared" si="2"/>
        <v>56.426871,61.893734</v>
      </c>
      <c r="T4839" s="12"/>
    </row>
    <row r="4840">
      <c r="A4840" s="16" t="s">
        <v>26384</v>
      </c>
      <c r="B4840" s="16" t="s">
        <v>31219</v>
      </c>
      <c r="C4840" s="16" t="s">
        <v>31220</v>
      </c>
      <c r="D4840" s="16" t="s">
        <v>16</v>
      </c>
      <c r="E4840" s="17" t="s">
        <v>31221</v>
      </c>
      <c r="F4840" s="16" t="s">
        <v>22263</v>
      </c>
      <c r="G4840" s="16">
        <v>23.61</v>
      </c>
      <c r="H4840" s="16"/>
      <c r="I4840" s="16"/>
      <c r="J4840" s="16" t="s">
        <v>31222</v>
      </c>
      <c r="K4840" s="16" t="s">
        <v>31223</v>
      </c>
      <c r="L4840" s="16"/>
      <c r="M4840" s="16"/>
      <c r="N4840" s="12"/>
      <c r="O4840" s="12"/>
      <c r="P4840" s="13">
        <f>IFERROR(__xludf.DUMMYFUNCTION("VALUE(SUBSTITUTE((INDEX(SPLIT(A4840,"",""),1)),""."","","",1))"),57.335988)</f>
        <v>57.335988</v>
      </c>
      <c r="Q4840" s="13">
        <f>IFERROR(__xludf.DUMMYFUNCTION("VALUE(SUBSTITUTE((INDEX(SPLIT(A4840,"",""),2)),""."","","",1))"),61.901577)</f>
        <v>61.901577</v>
      </c>
      <c r="R4840" s="14" t="b">
        <f t="shared" si="1"/>
        <v>0</v>
      </c>
      <c r="S4840" s="14" t="str">
        <f t="shared" si="2"/>
        <v>57.335988,61.901577</v>
      </c>
      <c r="T4840" s="12"/>
    </row>
    <row r="4841">
      <c r="A4841" s="10" t="s">
        <v>26392</v>
      </c>
      <c r="B4841" s="8" t="s">
        <v>31224</v>
      </c>
      <c r="C4841" s="8" t="s">
        <v>31225</v>
      </c>
      <c r="D4841" s="8" t="s">
        <v>16</v>
      </c>
      <c r="E4841" s="9" t="s">
        <v>31226</v>
      </c>
      <c r="F4841" s="10" t="s">
        <v>22263</v>
      </c>
      <c r="G4841" s="8">
        <v>23.61</v>
      </c>
      <c r="H4841" s="8"/>
      <c r="I4841" s="10"/>
      <c r="J4841" s="10" t="s">
        <v>31227</v>
      </c>
      <c r="K4841" s="10" t="s">
        <v>31228</v>
      </c>
      <c r="L4841" s="11" t="s">
        <v>31229</v>
      </c>
      <c r="M4841" s="10"/>
      <c r="N4841" s="12"/>
      <c r="O4841" s="12"/>
      <c r="P4841" s="13">
        <f>IFERROR(__xludf.DUMMYFUNCTION("VALUE(SUBSTITUTE((INDEX(SPLIT(A4841,"",""),1)),""."","","",1))"),57.299235)</f>
        <v>57.299235</v>
      </c>
      <c r="Q4841" s="13">
        <f>IFERROR(__xludf.DUMMYFUNCTION("VALUE(SUBSTITUTE((INDEX(SPLIT(A4841,"",""),2)),""."","","",1))"),61.915177)</f>
        <v>61.915177</v>
      </c>
      <c r="R4841" s="14" t="b">
        <f t="shared" si="1"/>
        <v>0</v>
      </c>
      <c r="S4841" s="14" t="str">
        <f t="shared" si="2"/>
        <v>57.299235,61.915177</v>
      </c>
      <c r="T4841" s="12"/>
    </row>
    <row r="4842">
      <c r="A4842" s="16" t="s">
        <v>26397</v>
      </c>
      <c r="B4842" s="16" t="s">
        <v>31230</v>
      </c>
      <c r="C4842" s="16" t="s">
        <v>31231</v>
      </c>
      <c r="D4842" s="16" t="s">
        <v>16</v>
      </c>
      <c r="E4842" s="17" t="s">
        <v>31232</v>
      </c>
      <c r="F4842" s="16" t="s">
        <v>22263</v>
      </c>
      <c r="G4842" s="16">
        <v>23.61</v>
      </c>
      <c r="H4842" s="16"/>
      <c r="I4842" s="16"/>
      <c r="J4842" s="16" t="s">
        <v>31233</v>
      </c>
      <c r="K4842" s="16" t="s">
        <v>31234</v>
      </c>
      <c r="L4842" s="16"/>
      <c r="M4842" s="25" t="s">
        <v>31235</v>
      </c>
      <c r="N4842" s="12"/>
      <c r="O4842" s="12"/>
      <c r="P4842" s="13">
        <f>IFERROR(__xludf.DUMMYFUNCTION("VALUE(SUBSTITUTE((INDEX(SPLIT(A4842,"",""),1)),""."","","",1))"),56.385143)</f>
        <v>56.385143</v>
      </c>
      <c r="Q4842" s="13">
        <f>IFERROR(__xludf.DUMMYFUNCTION("VALUE(SUBSTITUTE((INDEX(SPLIT(A4842,"",""),2)),""."","","",1))"),61.91877)</f>
        <v>61.91877</v>
      </c>
      <c r="R4842" s="14" t="b">
        <f t="shared" si="1"/>
        <v>0</v>
      </c>
      <c r="S4842" s="14" t="str">
        <f t="shared" si="2"/>
        <v>56.385143,61.91877</v>
      </c>
      <c r="T4842" s="12"/>
    </row>
    <row r="4843">
      <c r="A4843" s="8" t="s">
        <v>26403</v>
      </c>
      <c r="B4843" s="8" t="s">
        <v>31236</v>
      </c>
      <c r="C4843" s="8" t="s">
        <v>31237</v>
      </c>
      <c r="D4843" s="8" t="s">
        <v>16</v>
      </c>
      <c r="E4843" s="19" t="s">
        <v>31238</v>
      </c>
      <c r="F4843" s="8" t="s">
        <v>22263</v>
      </c>
      <c r="G4843" s="8">
        <v>23.61</v>
      </c>
      <c r="H4843" s="8"/>
      <c r="I4843" s="8"/>
      <c r="J4843" s="8" t="s">
        <v>31239</v>
      </c>
      <c r="K4843" s="8" t="s">
        <v>31240</v>
      </c>
      <c r="L4843" s="8"/>
      <c r="M4843" s="8"/>
      <c r="N4843" s="12"/>
      <c r="O4843" s="12"/>
      <c r="P4843" s="13">
        <f>IFERROR(__xludf.DUMMYFUNCTION("VALUE(SUBSTITUTE((INDEX(SPLIT(A4843,"",""),1)),""."","","",1))"),56.393085)</f>
        <v>56.393085</v>
      </c>
      <c r="Q4843" s="13">
        <f>IFERROR(__xludf.DUMMYFUNCTION("VALUE(SUBSTITUTE((INDEX(SPLIT(A4843,"",""),2)),""."","","",1))"),61.935228)</f>
        <v>61.935228</v>
      </c>
      <c r="R4843" s="14" t="b">
        <f t="shared" si="1"/>
        <v>0</v>
      </c>
      <c r="S4843" s="14" t="str">
        <f t="shared" si="2"/>
        <v>56.393085,61.935228</v>
      </c>
      <c r="T4843" s="12"/>
    </row>
    <row r="4844">
      <c r="A4844" s="22" t="s">
        <v>26410</v>
      </c>
      <c r="B4844" s="16" t="s">
        <v>20928</v>
      </c>
      <c r="C4844" s="16" t="s">
        <v>20929</v>
      </c>
      <c r="D4844" s="16" t="s">
        <v>16</v>
      </c>
      <c r="E4844" s="21" t="s">
        <v>31241</v>
      </c>
      <c r="F4844" s="22" t="s">
        <v>22263</v>
      </c>
      <c r="G4844" s="16">
        <v>23.61</v>
      </c>
      <c r="H4844" s="16"/>
      <c r="I4844" s="22"/>
      <c r="J4844" s="22" t="s">
        <v>31242</v>
      </c>
      <c r="K4844" s="22" t="s">
        <v>31243</v>
      </c>
      <c r="L4844" s="23" t="s">
        <v>31244</v>
      </c>
      <c r="M4844" s="23" t="s">
        <v>31245</v>
      </c>
      <c r="N4844" s="12"/>
      <c r="O4844" s="12"/>
      <c r="P4844" s="13">
        <f>IFERROR(__xludf.DUMMYFUNCTION("VALUE(SUBSTITUTE((INDEX(SPLIT(A4844,"",""),1)),""."","","",1))"),56.404603)</f>
        <v>56.404603</v>
      </c>
      <c r="Q4844" s="13">
        <f>IFERROR(__xludf.DUMMYFUNCTION("VALUE(SUBSTITUTE((INDEX(SPLIT(A4844,"",""),2)),""."","","",1))"),61.946349)</f>
        <v>61.946349</v>
      </c>
      <c r="R4844" s="14" t="b">
        <f t="shared" si="1"/>
        <v>0</v>
      </c>
      <c r="S4844" s="14" t="str">
        <f t="shared" si="2"/>
        <v>56.404603,61.946349</v>
      </c>
      <c r="T4844" s="12"/>
    </row>
    <row r="4845">
      <c r="A4845" s="10" t="s">
        <v>31246</v>
      </c>
      <c r="B4845" s="8" t="s">
        <v>28120</v>
      </c>
      <c r="C4845" s="8" t="s">
        <v>12041</v>
      </c>
      <c r="D4845" s="8" t="s">
        <v>16</v>
      </c>
      <c r="E4845" s="9" t="s">
        <v>31247</v>
      </c>
      <c r="F4845" s="10" t="s">
        <v>911</v>
      </c>
      <c r="G4845" s="8">
        <v>23.61</v>
      </c>
      <c r="H4845" s="8"/>
      <c r="I4845" s="10"/>
      <c r="J4845" s="10" t="s">
        <v>31248</v>
      </c>
      <c r="K4845" s="10" t="s">
        <v>31249</v>
      </c>
      <c r="L4845" s="11" t="s">
        <v>31250</v>
      </c>
      <c r="M4845" s="11" t="s">
        <v>31251</v>
      </c>
      <c r="N4845" s="12"/>
      <c r="O4845" s="12"/>
      <c r="P4845" s="13">
        <f>IFERROR(__xludf.DUMMYFUNCTION("VALUE(SUBSTITUTE((INDEX(SPLIT(A4845,"",""),1)),""."","","",1))"),61.982521057)</f>
        <v>61.98252106</v>
      </c>
      <c r="Q4845" s="13">
        <f>IFERROR(__xludf.DUMMYFUNCTION("VALUE(SUBSTITUTE((INDEX(SPLIT(A4845,"",""),2)),""."","","",1))"),129.686676025)</f>
        <v>129.686676</v>
      </c>
      <c r="R4845" s="14" t="b">
        <f t="shared" si="1"/>
        <v>0</v>
      </c>
      <c r="S4845" s="14" t="str">
        <f t="shared" si="2"/>
        <v>61.982521057,129.686676025</v>
      </c>
      <c r="T4845" s="12"/>
    </row>
    <row r="4846">
      <c r="A4846" s="16" t="s">
        <v>31252</v>
      </c>
      <c r="B4846" s="16" t="s">
        <v>21414</v>
      </c>
      <c r="C4846" s="16" t="s">
        <v>21415</v>
      </c>
      <c r="D4846" s="16" t="s">
        <v>16</v>
      </c>
      <c r="E4846" s="17" t="s">
        <v>31253</v>
      </c>
      <c r="F4846" s="16" t="s">
        <v>911</v>
      </c>
      <c r="G4846" s="16">
        <v>23.61</v>
      </c>
      <c r="H4846" s="16"/>
      <c r="I4846" s="16"/>
      <c r="J4846" s="16" t="s">
        <v>31254</v>
      </c>
      <c r="K4846" s="16" t="s">
        <v>1290</v>
      </c>
      <c r="L4846" s="16"/>
      <c r="M4846" s="16"/>
      <c r="N4846" s="12"/>
      <c r="O4846" s="12"/>
      <c r="P4846" s="13">
        <f>IFERROR(__xludf.DUMMYFUNCTION("VALUE(SUBSTITUTE((INDEX(SPLIT(A4846,"",""),1)),""."","","",1))"),62.03484726)</f>
        <v>62.03484726</v>
      </c>
      <c r="Q4846" s="13">
        <f>IFERROR(__xludf.DUMMYFUNCTION("VALUE(SUBSTITUTE((INDEX(SPLIT(A4846,"",""),2)),""."","","",1))"),129.729415894)</f>
        <v>129.7294159</v>
      </c>
      <c r="R4846" s="14" t="b">
        <f t="shared" si="1"/>
        <v>0</v>
      </c>
      <c r="S4846" s="14" t="str">
        <f t="shared" si="2"/>
        <v>62.03484726,129.729415894</v>
      </c>
      <c r="T4846" s="12"/>
    </row>
    <row r="4847">
      <c r="A4847" s="10" t="s">
        <v>31255</v>
      </c>
      <c r="B4847" s="8" t="s">
        <v>31256</v>
      </c>
      <c r="C4847" s="8" t="s">
        <v>31257</v>
      </c>
      <c r="D4847" s="8" t="s">
        <v>16</v>
      </c>
      <c r="E4847" s="9" t="s">
        <v>31258</v>
      </c>
      <c r="F4847" s="10" t="s">
        <v>911</v>
      </c>
      <c r="G4847" s="8">
        <v>23.61</v>
      </c>
      <c r="H4847" s="8"/>
      <c r="I4847" s="10"/>
      <c r="J4847" s="10" t="s">
        <v>31259</v>
      </c>
      <c r="K4847" s="10" t="s">
        <v>31260</v>
      </c>
      <c r="L4847" s="11" t="s">
        <v>31261</v>
      </c>
      <c r="M4847" s="11" t="s">
        <v>31262</v>
      </c>
      <c r="N4847" s="12"/>
      <c r="O4847" s="12"/>
      <c r="P4847" s="13">
        <f>IFERROR(__xludf.DUMMYFUNCTION("VALUE(SUBSTITUTE((INDEX(SPLIT(A4847,"",""),1)),""."","","",1))"),62.054489136)</f>
        <v>62.05448914</v>
      </c>
      <c r="Q4847" s="13">
        <f>IFERROR(__xludf.DUMMYFUNCTION("VALUE(SUBSTITUTE((INDEX(SPLIT(A4847,"",""),2)),""."","","",1))"),129.740783691)</f>
        <v>129.7407837</v>
      </c>
      <c r="R4847" s="14" t="b">
        <f t="shared" si="1"/>
        <v>0</v>
      </c>
      <c r="S4847" s="14" t="str">
        <f t="shared" si="2"/>
        <v>62.054489136,129.740783691</v>
      </c>
      <c r="T4847" s="12"/>
    </row>
    <row r="4848">
      <c r="A4848" s="22" t="s">
        <v>31263</v>
      </c>
      <c r="B4848" s="16" t="s">
        <v>31264</v>
      </c>
      <c r="C4848" s="16" t="s">
        <v>31265</v>
      </c>
      <c r="D4848" s="16" t="s">
        <v>16</v>
      </c>
      <c r="E4848" s="21" t="s">
        <v>31266</v>
      </c>
      <c r="F4848" s="22" t="s">
        <v>911</v>
      </c>
      <c r="G4848" s="16">
        <v>23.61</v>
      </c>
      <c r="H4848" s="16"/>
      <c r="I4848" s="22"/>
      <c r="J4848" s="22" t="s">
        <v>31267</v>
      </c>
      <c r="K4848" s="22" t="s">
        <v>31268</v>
      </c>
      <c r="L4848" s="23" t="s">
        <v>31269</v>
      </c>
      <c r="M4848" s="22"/>
      <c r="N4848" s="12"/>
      <c r="O4848" s="12"/>
      <c r="P4848" s="13">
        <f>IFERROR(__xludf.DUMMYFUNCTION("VALUE(SUBSTITUTE((INDEX(SPLIT(A4848,"",""),1)),""."","","",1))"),62.061435699)</f>
        <v>62.0614357</v>
      </c>
      <c r="Q4848" s="13">
        <f>IFERROR(__xludf.DUMMYFUNCTION("VALUE(SUBSTITUTE((INDEX(SPLIT(A4848,"",""),2)),""."","","",1))"),129.728775024)</f>
        <v>129.728775</v>
      </c>
      <c r="R4848" s="14" t="b">
        <f t="shared" si="1"/>
        <v>0</v>
      </c>
      <c r="S4848" s="14" t="str">
        <f t="shared" si="2"/>
        <v>62.061435699,129.728775024</v>
      </c>
      <c r="T4848" s="12"/>
    </row>
    <row r="4849">
      <c r="A4849" s="10" t="s">
        <v>31270</v>
      </c>
      <c r="B4849" s="8" t="s">
        <v>31271</v>
      </c>
      <c r="C4849" s="8" t="s">
        <v>31272</v>
      </c>
      <c r="D4849" s="8" t="s">
        <v>16</v>
      </c>
      <c r="E4849" s="9" t="s">
        <v>31273</v>
      </c>
      <c r="F4849" s="10" t="s">
        <v>911</v>
      </c>
      <c r="G4849" s="8">
        <v>23.61</v>
      </c>
      <c r="H4849" s="8"/>
      <c r="I4849" s="10"/>
      <c r="J4849" s="10" t="s">
        <v>31274</v>
      </c>
      <c r="K4849" s="10" t="s">
        <v>31275</v>
      </c>
      <c r="L4849" s="11" t="s">
        <v>31276</v>
      </c>
      <c r="M4849" s="10"/>
      <c r="N4849" s="12"/>
      <c r="O4849" s="12"/>
      <c r="P4849" s="13">
        <f>IFERROR(__xludf.DUMMYFUNCTION("VALUE(SUBSTITUTE((INDEX(SPLIT(A4849,"",""),1)),""."","","",1))"),62.074447632)</f>
        <v>62.07444763</v>
      </c>
      <c r="Q4849" s="13">
        <f>IFERROR(__xludf.DUMMYFUNCTION("VALUE(SUBSTITUTE((INDEX(SPLIT(A4849,"",""),2)),""."","","",1))"),129.739700317)</f>
        <v>129.7397003</v>
      </c>
      <c r="R4849" s="14" t="b">
        <f t="shared" si="1"/>
        <v>0</v>
      </c>
      <c r="S4849" s="14" t="str">
        <f t="shared" si="2"/>
        <v>62.074447632,129.739700317</v>
      </c>
      <c r="T4849" s="12"/>
    </row>
    <row r="4850">
      <c r="A4850" s="16" t="s">
        <v>31277</v>
      </c>
      <c r="B4850" s="16" t="s">
        <v>31278</v>
      </c>
      <c r="C4850" s="16" t="s">
        <v>31279</v>
      </c>
      <c r="D4850" s="16" t="s">
        <v>16</v>
      </c>
      <c r="E4850" s="17" t="s">
        <v>31280</v>
      </c>
      <c r="F4850" s="16" t="s">
        <v>23108</v>
      </c>
      <c r="G4850" s="16">
        <v>23.61</v>
      </c>
      <c r="H4850" s="16"/>
      <c r="I4850" s="16"/>
      <c r="J4850" s="16" t="s">
        <v>31281</v>
      </c>
      <c r="K4850" s="16" t="s">
        <v>31282</v>
      </c>
      <c r="L4850" s="16"/>
      <c r="M4850" s="16"/>
      <c r="N4850" s="12"/>
      <c r="O4850" s="12"/>
      <c r="P4850" s="13">
        <f>IFERROR(__xludf.DUMMYFUNCTION("VALUE(SUBSTITUTE((INDEX(SPLIT(A4850,"",""),1)),""."","","",1))"),62.085960388)</f>
        <v>62.08596039</v>
      </c>
      <c r="Q4850" s="13">
        <f>IFERROR(__xludf.DUMMYFUNCTION("VALUE(SUBSTITUTE((INDEX(SPLIT(A4850,"",""),2)),""."","","",1))"),49.582176208)</f>
        <v>49.58217621</v>
      </c>
      <c r="R4850" s="14" t="b">
        <f t="shared" si="1"/>
        <v>0</v>
      </c>
      <c r="S4850" s="14" t="str">
        <f t="shared" si="2"/>
        <v>62.085960388,49.582176208</v>
      </c>
      <c r="T4850" s="12"/>
    </row>
    <row r="4851">
      <c r="A4851" s="10" t="s">
        <v>31283</v>
      </c>
      <c r="B4851" s="8" t="s">
        <v>31284</v>
      </c>
      <c r="C4851" s="8" t="s">
        <v>31285</v>
      </c>
      <c r="D4851" s="8" t="s">
        <v>16</v>
      </c>
      <c r="E4851" s="9" t="s">
        <v>31286</v>
      </c>
      <c r="F4851" s="10" t="s">
        <v>14706</v>
      </c>
      <c r="G4851" s="8">
        <v>23.61</v>
      </c>
      <c r="H4851" s="8"/>
      <c r="I4851" s="10"/>
      <c r="J4851" s="10" t="s">
        <v>31287</v>
      </c>
      <c r="K4851" s="10" t="s">
        <v>31288</v>
      </c>
      <c r="L4851" s="11" t="s">
        <v>31289</v>
      </c>
      <c r="M4851" s="10"/>
      <c r="N4851" s="12"/>
      <c r="O4851" s="12"/>
      <c r="P4851" s="13">
        <f>IFERROR(__xludf.DUMMYFUNCTION("VALUE(SUBSTITUTE((INDEX(SPLIT(A4851,"",""),1)),""."","","",1))"),62.934635162)</f>
        <v>62.93463516</v>
      </c>
      <c r="Q4851" s="13">
        <f>IFERROR(__xludf.DUMMYFUNCTION("VALUE(SUBSTITUTE((INDEX(SPLIT(A4851,"",""),2)),""."","","",1))"),40.143943787)</f>
        <v>40.14394379</v>
      </c>
      <c r="R4851" s="14" t="b">
        <f t="shared" si="1"/>
        <v>0</v>
      </c>
      <c r="S4851" s="14" t="str">
        <f t="shared" si="2"/>
        <v>62.934635162,40.143943787</v>
      </c>
      <c r="T4851" s="12"/>
    </row>
    <row r="4852">
      <c r="A4852" s="22" t="s">
        <v>26416</v>
      </c>
      <c r="B4852" s="16" t="s">
        <v>31290</v>
      </c>
      <c r="C4852" s="16" t="s">
        <v>31291</v>
      </c>
      <c r="D4852" s="16" t="s">
        <v>16</v>
      </c>
      <c r="E4852" s="21" t="s">
        <v>31292</v>
      </c>
      <c r="F4852" s="22" t="s">
        <v>31293</v>
      </c>
      <c r="G4852" s="16">
        <v>23.61</v>
      </c>
      <c r="H4852" s="16"/>
      <c r="I4852" s="22"/>
      <c r="J4852" s="22" t="s">
        <v>31294</v>
      </c>
      <c r="K4852" s="22" t="s">
        <v>31295</v>
      </c>
      <c r="L4852" s="23" t="s">
        <v>31296</v>
      </c>
      <c r="M4852" s="23" t="s">
        <v>31297</v>
      </c>
      <c r="N4852" s="12"/>
      <c r="O4852" s="12"/>
      <c r="P4852" s="13">
        <f>IFERROR(__xludf.DUMMYFUNCTION("VALUE(SUBSTITUTE((INDEX(SPLIT(A4852,"",""),1)),""."","","",1))"),56.252892)</f>
        <v>56.252892</v>
      </c>
      <c r="Q4852" s="13">
        <f>IFERROR(__xludf.DUMMYFUNCTION("VALUE(SUBSTITUTE((INDEX(SPLIT(A4852,"",""),2)),""."","","",1))"),62.968137)</f>
        <v>62.968137</v>
      </c>
      <c r="R4852" s="14" t="b">
        <f t="shared" si="1"/>
        <v>0</v>
      </c>
      <c r="S4852" s="14" t="str">
        <f t="shared" si="2"/>
        <v>56.252892,62.968137</v>
      </c>
      <c r="T4852" s="12"/>
    </row>
    <row r="4853">
      <c r="A4853" s="10" t="s">
        <v>26421</v>
      </c>
      <c r="B4853" s="8" t="s">
        <v>31298</v>
      </c>
      <c r="C4853" s="8" t="s">
        <v>31299</v>
      </c>
      <c r="D4853" s="8" t="s">
        <v>16</v>
      </c>
      <c r="E4853" s="9" t="s">
        <v>31300</v>
      </c>
      <c r="F4853" s="10" t="s">
        <v>22263</v>
      </c>
      <c r="G4853" s="8">
        <v>23.61</v>
      </c>
      <c r="H4853" s="8"/>
      <c r="I4853" s="10"/>
      <c r="J4853" s="10" t="s">
        <v>31301</v>
      </c>
      <c r="K4853" s="10" t="s">
        <v>31302</v>
      </c>
      <c r="L4853" s="11" t="s">
        <v>31303</v>
      </c>
      <c r="M4853" s="11" t="s">
        <v>31304</v>
      </c>
      <c r="N4853" s="12"/>
      <c r="O4853" s="12"/>
      <c r="P4853" s="13">
        <f>IFERROR(__xludf.DUMMYFUNCTION("VALUE(SUBSTITUTE((INDEX(SPLIT(A4853,"",""),1)),""."","","",1))"),57.668741)</f>
        <v>57.668741</v>
      </c>
      <c r="Q4853" s="13">
        <f>IFERROR(__xludf.DUMMYFUNCTION("VALUE(SUBSTITUTE((INDEX(SPLIT(A4853,"",""),2)),""."","","",1))"),63.092096)</f>
        <v>63.092096</v>
      </c>
      <c r="R4853" s="14" t="b">
        <f t="shared" si="1"/>
        <v>0</v>
      </c>
      <c r="S4853" s="14" t="str">
        <f t="shared" si="2"/>
        <v>57.668741,63.092096</v>
      </c>
      <c r="T4853" s="12"/>
    </row>
    <row r="4854">
      <c r="A4854" s="22" t="s">
        <v>26427</v>
      </c>
      <c r="B4854" s="16" t="s">
        <v>31305</v>
      </c>
      <c r="C4854" s="16" t="s">
        <v>31306</v>
      </c>
      <c r="D4854" s="16" t="s">
        <v>16</v>
      </c>
      <c r="E4854" s="21" t="s">
        <v>31307</v>
      </c>
      <c r="F4854" s="22" t="s">
        <v>31293</v>
      </c>
      <c r="G4854" s="16">
        <v>23.61</v>
      </c>
      <c r="H4854" s="16"/>
      <c r="I4854" s="22"/>
      <c r="J4854" s="22" t="s">
        <v>31308</v>
      </c>
      <c r="K4854" s="22" t="s">
        <v>31309</v>
      </c>
      <c r="L4854" s="23" t="s">
        <v>31310</v>
      </c>
      <c r="M4854" s="23" t="s">
        <v>31311</v>
      </c>
      <c r="N4854" s="12"/>
      <c r="O4854" s="12"/>
      <c r="P4854" s="13">
        <f>IFERROR(__xludf.DUMMYFUNCTION("VALUE(SUBSTITUTE((INDEX(SPLIT(A4854,"",""),1)),""."","","",1))"),56.196071)</f>
        <v>56.196071</v>
      </c>
      <c r="Q4854" s="13">
        <f>IFERROR(__xludf.DUMMYFUNCTION("VALUE(SUBSTITUTE((INDEX(SPLIT(A4854,"",""),2)),""."","","",1))"),63.470943)</f>
        <v>63.470943</v>
      </c>
      <c r="R4854" s="14" t="b">
        <f t="shared" si="1"/>
        <v>0</v>
      </c>
      <c r="S4854" s="14" t="str">
        <f t="shared" si="2"/>
        <v>56.196071,63.470943</v>
      </c>
      <c r="T4854" s="12"/>
    </row>
    <row r="4855">
      <c r="A4855" s="10" t="s">
        <v>26434</v>
      </c>
      <c r="B4855" s="8" t="s">
        <v>31312</v>
      </c>
      <c r="C4855" s="8" t="s">
        <v>31313</v>
      </c>
      <c r="D4855" s="8" t="s">
        <v>16</v>
      </c>
      <c r="E4855" s="9" t="s">
        <v>31314</v>
      </c>
      <c r="F4855" s="10" t="s">
        <v>10045</v>
      </c>
      <c r="G4855" s="8">
        <v>23.61</v>
      </c>
      <c r="H4855" s="8"/>
      <c r="I4855" s="10"/>
      <c r="J4855" s="10" t="s">
        <v>31315</v>
      </c>
      <c r="K4855" s="10" t="s">
        <v>31316</v>
      </c>
      <c r="L4855" s="11" t="s">
        <v>31317</v>
      </c>
      <c r="M4855" s="10"/>
      <c r="N4855" s="12"/>
      <c r="O4855" s="12"/>
      <c r="P4855" s="13">
        <f>IFERROR(__xludf.DUMMYFUNCTION("VALUE(SUBSTITUTE((INDEX(SPLIT(A4855,"",""),1)),""."","","",1))"),61.366787)</f>
        <v>61.366787</v>
      </c>
      <c r="Q4855" s="13">
        <f>IFERROR(__xludf.DUMMYFUNCTION("VALUE(SUBSTITUTE((INDEX(SPLIT(A4855,"",""),2)),""."","","",1))"),63.49906)</f>
        <v>63.49906</v>
      </c>
      <c r="R4855" s="14" t="b">
        <f t="shared" si="1"/>
        <v>0</v>
      </c>
      <c r="S4855" s="14" t="str">
        <f t="shared" si="2"/>
        <v>61.366787,63.49906</v>
      </c>
      <c r="T4855" s="12"/>
    </row>
    <row r="4856">
      <c r="A4856" s="16" t="s">
        <v>26440</v>
      </c>
      <c r="B4856" s="16" t="s">
        <v>827</v>
      </c>
      <c r="C4856" s="16" t="s">
        <v>828</v>
      </c>
      <c r="D4856" s="16" t="s">
        <v>16</v>
      </c>
      <c r="E4856" s="17" t="s">
        <v>31318</v>
      </c>
      <c r="F4856" s="16" t="s">
        <v>10045</v>
      </c>
      <c r="G4856" s="16">
        <v>23.61</v>
      </c>
      <c r="H4856" s="16"/>
      <c r="I4856" s="16"/>
      <c r="J4856" s="16" t="s">
        <v>31319</v>
      </c>
      <c r="K4856" s="16" t="s">
        <v>31320</v>
      </c>
      <c r="L4856" s="16"/>
      <c r="M4856" s="25" t="s">
        <v>31321</v>
      </c>
      <c r="N4856" s="12"/>
      <c r="O4856" s="12"/>
      <c r="P4856" s="13">
        <f>IFERROR(__xludf.DUMMYFUNCTION("VALUE(SUBSTITUTE((INDEX(SPLIT(A4856,"",""),1)),""."","","",1))"),61.365748)</f>
        <v>61.365748</v>
      </c>
      <c r="Q4856" s="13">
        <f>IFERROR(__xludf.DUMMYFUNCTION("VALUE(SUBSTITUTE((INDEX(SPLIT(A4856,"",""),2)),""."","","",1))"),63.501117)</f>
        <v>63.501117</v>
      </c>
      <c r="R4856" s="14" t="b">
        <f t="shared" si="1"/>
        <v>0</v>
      </c>
      <c r="S4856" s="14" t="str">
        <f t="shared" si="2"/>
        <v>61.365748,63.501117</v>
      </c>
      <c r="T4856" s="12"/>
    </row>
    <row r="4857">
      <c r="A4857" s="10" t="s">
        <v>26447</v>
      </c>
      <c r="B4857" s="8" t="s">
        <v>31322</v>
      </c>
      <c r="C4857" s="8" t="s">
        <v>31323</v>
      </c>
      <c r="D4857" s="8" t="s">
        <v>16</v>
      </c>
      <c r="E4857" s="9" t="s">
        <v>31324</v>
      </c>
      <c r="F4857" s="10" t="s">
        <v>10045</v>
      </c>
      <c r="G4857" s="8">
        <v>23.61</v>
      </c>
      <c r="H4857" s="8"/>
      <c r="I4857" s="10"/>
      <c r="J4857" s="10" t="s">
        <v>31325</v>
      </c>
      <c r="K4857" s="10" t="s">
        <v>31326</v>
      </c>
      <c r="L4857" s="11" t="s">
        <v>31327</v>
      </c>
      <c r="M4857" s="11" t="s">
        <v>31328</v>
      </c>
      <c r="N4857" s="12"/>
      <c r="O4857" s="12"/>
      <c r="P4857" s="13">
        <f>IFERROR(__xludf.DUMMYFUNCTION("VALUE(SUBSTITUTE((INDEX(SPLIT(A4857,"",""),1)),""."","","",1))"),61.370766)</f>
        <v>61.370766</v>
      </c>
      <c r="Q4857" s="13">
        <f>IFERROR(__xludf.DUMMYFUNCTION("VALUE(SUBSTITUTE((INDEX(SPLIT(A4857,"",""),2)),""."","","",1))"),63.566802)</f>
        <v>63.566802</v>
      </c>
      <c r="R4857" s="14" t="b">
        <f t="shared" si="1"/>
        <v>0</v>
      </c>
      <c r="S4857" s="14" t="str">
        <f t="shared" si="2"/>
        <v>61.370766,63.566802</v>
      </c>
      <c r="T4857" s="12"/>
    </row>
    <row r="4858">
      <c r="A4858" s="22" t="s">
        <v>26454</v>
      </c>
      <c r="B4858" s="16" t="s">
        <v>31329</v>
      </c>
      <c r="C4858" s="16" t="s">
        <v>31330</v>
      </c>
      <c r="D4858" s="16" t="s">
        <v>16</v>
      </c>
      <c r="E4858" s="21" t="s">
        <v>31331</v>
      </c>
      <c r="F4858" s="22" t="s">
        <v>31293</v>
      </c>
      <c r="G4858" s="16">
        <v>23.61</v>
      </c>
      <c r="H4858" s="16"/>
      <c r="I4858" s="28" t="s">
        <v>31332</v>
      </c>
      <c r="J4858" s="22" t="s">
        <v>31333</v>
      </c>
      <c r="K4858" s="22" t="s">
        <v>31334</v>
      </c>
      <c r="L4858" s="23" t="s">
        <v>31335</v>
      </c>
      <c r="M4858" s="22"/>
      <c r="N4858" s="12"/>
      <c r="O4858" s="12"/>
      <c r="P4858" s="13">
        <f>IFERROR(__xludf.DUMMYFUNCTION("VALUE(SUBSTITUTE((INDEX(SPLIT(A4858,"",""),1)),""."","","",1))"),56.133633)</f>
        <v>56.133633</v>
      </c>
      <c r="Q4858" s="13">
        <f>IFERROR(__xludf.DUMMYFUNCTION("VALUE(SUBSTITUTE((INDEX(SPLIT(A4858,"",""),2)),""."","","",1))"),63.675219)</f>
        <v>63.675219</v>
      </c>
      <c r="R4858" s="14" t="b">
        <f t="shared" si="1"/>
        <v>0</v>
      </c>
      <c r="S4858" s="14" t="str">
        <f t="shared" si="2"/>
        <v>56.133633,63.675219</v>
      </c>
      <c r="T4858" s="12"/>
    </row>
    <row r="4859">
      <c r="A4859" s="8" t="s">
        <v>31336</v>
      </c>
      <c r="B4859" s="8" t="s">
        <v>31337</v>
      </c>
      <c r="C4859" s="8" t="s">
        <v>31338</v>
      </c>
      <c r="D4859" s="8" t="s">
        <v>16</v>
      </c>
      <c r="E4859" s="19" t="s">
        <v>31339</v>
      </c>
      <c r="F4859" s="8" t="s">
        <v>23108</v>
      </c>
      <c r="G4859" s="8">
        <v>23.61</v>
      </c>
      <c r="H4859" s="8"/>
      <c r="I4859" s="8"/>
      <c r="J4859" s="8" t="s">
        <v>31340</v>
      </c>
      <c r="K4859" s="8" t="s">
        <v>31341</v>
      </c>
      <c r="L4859" s="8"/>
      <c r="M4859" s="24" t="s">
        <v>31342</v>
      </c>
      <c r="N4859" s="12"/>
      <c r="O4859" s="12"/>
      <c r="P4859" s="13">
        <f>IFERROR(__xludf.DUMMYFUNCTION("VALUE(SUBSTITUTE((INDEX(SPLIT(A4859,"",""),1)),""."","","",1))"),64.061845)</f>
        <v>64.061845</v>
      </c>
      <c r="Q4859" s="13">
        <f>IFERROR(__xludf.DUMMYFUNCTION("VALUE(SUBSTITUTE((INDEX(SPLIT(A4859,"",""),2)),""."","","",1))"),67.501856)</f>
        <v>67.501856</v>
      </c>
      <c r="R4859" s="14" t="b">
        <f t="shared" si="1"/>
        <v>0</v>
      </c>
      <c r="S4859" s="14" t="str">
        <f t="shared" si="2"/>
        <v>64.061845,67.501856</v>
      </c>
      <c r="T4859" s="12"/>
    </row>
    <row r="4860">
      <c r="A4860" s="22" t="s">
        <v>31336</v>
      </c>
      <c r="B4860" s="16" t="s">
        <v>31343</v>
      </c>
      <c r="C4860" s="16" t="s">
        <v>31344</v>
      </c>
      <c r="D4860" s="16" t="s">
        <v>16</v>
      </c>
      <c r="E4860" s="21" t="s">
        <v>31345</v>
      </c>
      <c r="F4860" s="22" t="s">
        <v>23108</v>
      </c>
      <c r="G4860" s="16">
        <v>23.61</v>
      </c>
      <c r="H4860" s="16"/>
      <c r="I4860" s="22"/>
      <c r="J4860" s="22" t="s">
        <v>31346</v>
      </c>
      <c r="K4860" s="22" t="s">
        <v>31347</v>
      </c>
      <c r="L4860" s="23" t="s">
        <v>31348</v>
      </c>
      <c r="M4860" s="22"/>
      <c r="N4860" s="12"/>
      <c r="O4860" s="12"/>
      <c r="P4860" s="13">
        <f>IFERROR(__xludf.DUMMYFUNCTION("VALUE(SUBSTITUTE((INDEX(SPLIT(A4860,"",""),1)),""."","","",1))"),64.061845)</f>
        <v>64.061845</v>
      </c>
      <c r="Q4860" s="13">
        <f>IFERROR(__xludf.DUMMYFUNCTION("VALUE(SUBSTITUTE((INDEX(SPLIT(A4860,"",""),2)),""."","","",1))"),67.501856)</f>
        <v>67.501856</v>
      </c>
      <c r="R4860" s="14" t="b">
        <f t="shared" si="1"/>
        <v>0</v>
      </c>
      <c r="S4860" s="14" t="str">
        <f t="shared" si="2"/>
        <v>64.061845,67.501856</v>
      </c>
      <c r="T4860" s="12"/>
    </row>
    <row r="4861">
      <c r="A4861" s="10" t="s">
        <v>31349</v>
      </c>
      <c r="B4861" s="8" t="s">
        <v>31350</v>
      </c>
      <c r="C4861" s="8" t="s">
        <v>31351</v>
      </c>
      <c r="D4861" s="8" t="s">
        <v>16</v>
      </c>
      <c r="E4861" s="9" t="s">
        <v>31352</v>
      </c>
      <c r="F4861" s="10" t="s">
        <v>14706</v>
      </c>
      <c r="G4861" s="8">
        <v>23.61</v>
      </c>
      <c r="H4861" s="8"/>
      <c r="I4861" s="10"/>
      <c r="J4861" s="10" t="s">
        <v>31353</v>
      </c>
      <c r="K4861" s="10" t="s">
        <v>31354</v>
      </c>
      <c r="L4861" s="11" t="s">
        <v>31355</v>
      </c>
      <c r="M4861" s="11" t="s">
        <v>31356</v>
      </c>
      <c r="N4861" s="12"/>
      <c r="O4861" s="12"/>
      <c r="P4861" s="13">
        <f>IFERROR(__xludf.DUMMYFUNCTION("VALUE(SUBSTITUTE((INDEX(SPLIT(A4861,"",""),1)),""."","","",1))"),64.427604675)</f>
        <v>64.42760468</v>
      </c>
      <c r="Q4861" s="13">
        <f>IFERROR(__xludf.DUMMYFUNCTION("VALUE(SUBSTITUTE((INDEX(SPLIT(A4861,"",""),2)),""."","","",1))"),40.810173035)</f>
        <v>40.81017304</v>
      </c>
      <c r="R4861" s="14" t="b">
        <f t="shared" si="1"/>
        <v>0</v>
      </c>
      <c r="S4861" s="14" t="str">
        <f t="shared" si="2"/>
        <v>64.427604675,40.810173035</v>
      </c>
      <c r="T4861" s="12"/>
    </row>
    <row r="4862">
      <c r="A4862" s="16" t="s">
        <v>31357</v>
      </c>
      <c r="B4862" s="16" t="s">
        <v>31358</v>
      </c>
      <c r="C4862" s="16" t="s">
        <v>31359</v>
      </c>
      <c r="D4862" s="16" t="s">
        <v>16</v>
      </c>
      <c r="E4862" s="17" t="s">
        <v>31360</v>
      </c>
      <c r="F4862" s="16" t="s">
        <v>14706</v>
      </c>
      <c r="G4862" s="16">
        <v>23.61</v>
      </c>
      <c r="H4862" s="16"/>
      <c r="I4862" s="16"/>
      <c r="J4862" s="16" t="s">
        <v>31361</v>
      </c>
      <c r="K4862" s="16" t="s">
        <v>31362</v>
      </c>
      <c r="L4862" s="16"/>
      <c r="M4862" s="16"/>
      <c r="N4862" s="12"/>
      <c r="O4862" s="12"/>
      <c r="P4862" s="13">
        <f>IFERROR(__xludf.DUMMYFUNCTION("VALUE(SUBSTITUTE((INDEX(SPLIT(A4862,"",""),1)),""."","","",1))"),64.522331238)</f>
        <v>64.52233124</v>
      </c>
      <c r="Q4862" s="13">
        <f>IFERROR(__xludf.DUMMYFUNCTION("VALUE(SUBSTITUTE((INDEX(SPLIT(A4862,"",""),2)),""."","","",1))"),40.677494049)</f>
        <v>40.67749405</v>
      </c>
      <c r="R4862" s="14" t="b">
        <f t="shared" si="1"/>
        <v>0</v>
      </c>
      <c r="S4862" s="14" t="str">
        <f t="shared" si="2"/>
        <v>64.522331238,40.677494049</v>
      </c>
      <c r="T4862" s="12"/>
    </row>
    <row r="4863">
      <c r="A4863" s="10" t="s">
        <v>31363</v>
      </c>
      <c r="B4863" s="8" t="s">
        <v>31364</v>
      </c>
      <c r="C4863" s="8" t="s">
        <v>31365</v>
      </c>
      <c r="D4863" s="8" t="s">
        <v>16</v>
      </c>
      <c r="E4863" s="9" t="s">
        <v>31366</v>
      </c>
      <c r="F4863" s="10" t="s">
        <v>14706</v>
      </c>
      <c r="G4863" s="8">
        <v>23.61</v>
      </c>
      <c r="H4863" s="8"/>
      <c r="I4863" s="10"/>
      <c r="J4863" s="10" t="s">
        <v>31367</v>
      </c>
      <c r="K4863" s="10" t="s">
        <v>31368</v>
      </c>
      <c r="L4863" s="11" t="s">
        <v>31369</v>
      </c>
      <c r="M4863" s="10"/>
      <c r="N4863" s="12"/>
      <c r="O4863" s="12"/>
      <c r="P4863" s="13">
        <f>IFERROR(__xludf.DUMMYFUNCTION("VALUE(SUBSTITUTE((INDEX(SPLIT(A4863,"",""),1)),""."","","",1))"),64.538215637)</f>
        <v>64.53821564</v>
      </c>
      <c r="Q4863" s="13">
        <f>IFERROR(__xludf.DUMMYFUNCTION("VALUE(SUBSTITUTE((INDEX(SPLIT(A4863,"",""),2)),""."","","",1))"),40.566162109)</f>
        <v>40.56616211</v>
      </c>
      <c r="R4863" s="14" t="b">
        <f t="shared" si="1"/>
        <v>0</v>
      </c>
      <c r="S4863" s="14" t="str">
        <f t="shared" si="2"/>
        <v>64.538215637,40.566162109</v>
      </c>
      <c r="T4863" s="12"/>
    </row>
    <row r="4864">
      <c r="A4864" s="16" t="s">
        <v>31370</v>
      </c>
      <c r="B4864" s="16" t="s">
        <v>31371</v>
      </c>
      <c r="C4864" s="16" t="s">
        <v>31372</v>
      </c>
      <c r="D4864" s="16" t="s">
        <v>16</v>
      </c>
      <c r="E4864" s="17" t="s">
        <v>31373</v>
      </c>
      <c r="F4864" s="16" t="s">
        <v>14706</v>
      </c>
      <c r="G4864" s="16">
        <v>23.61</v>
      </c>
      <c r="H4864" s="16"/>
      <c r="I4864" s="16"/>
      <c r="J4864" s="16" t="s">
        <v>31374</v>
      </c>
      <c r="K4864" s="16" t="s">
        <v>31375</v>
      </c>
      <c r="L4864" s="16"/>
      <c r="M4864" s="25" t="s">
        <v>31376</v>
      </c>
      <c r="N4864" s="12"/>
      <c r="O4864" s="12"/>
      <c r="P4864" s="13">
        <f>IFERROR(__xludf.DUMMYFUNCTION("VALUE(SUBSTITUTE((INDEX(SPLIT(A4864,"",""),1)),""."","","",1))"),64.560020447)</f>
        <v>64.56002045</v>
      </c>
      <c r="Q4864" s="13">
        <f>IFERROR(__xludf.DUMMYFUNCTION("VALUE(SUBSTITUTE((INDEX(SPLIT(A4864,"",""),2)),""."","","",1))"),39.783149719)</f>
        <v>39.78314972</v>
      </c>
      <c r="R4864" s="14" t="b">
        <f t="shared" si="1"/>
        <v>0</v>
      </c>
      <c r="S4864" s="14" t="str">
        <f t="shared" si="2"/>
        <v>64.560020447,39.783149719</v>
      </c>
      <c r="T4864" s="12"/>
    </row>
    <row r="4865">
      <c r="A4865" s="8" t="s">
        <v>31377</v>
      </c>
      <c r="B4865" s="8" t="s">
        <v>31378</v>
      </c>
      <c r="C4865" s="8" t="s">
        <v>31379</v>
      </c>
      <c r="D4865" s="8" t="s">
        <v>16</v>
      </c>
      <c r="E4865" s="19" t="s">
        <v>31380</v>
      </c>
      <c r="F4865" s="8" t="s">
        <v>14706</v>
      </c>
      <c r="G4865" s="8">
        <v>23.61</v>
      </c>
      <c r="H4865" s="8"/>
      <c r="I4865" s="8"/>
      <c r="J4865" s="8" t="s">
        <v>31381</v>
      </c>
      <c r="K4865" s="8" t="s">
        <v>31382</v>
      </c>
      <c r="L4865" s="8"/>
      <c r="M4865" s="24" t="s">
        <v>31383</v>
      </c>
      <c r="N4865" s="12"/>
      <c r="O4865" s="12"/>
      <c r="P4865" s="13">
        <f>IFERROR(__xludf.DUMMYFUNCTION("VALUE(SUBSTITUTE((INDEX(SPLIT(A4865,"",""),1)),""."","","",1))"),64.578987122)</f>
        <v>64.57898712</v>
      </c>
      <c r="Q4865" s="13">
        <f>IFERROR(__xludf.DUMMYFUNCTION("VALUE(SUBSTITUTE((INDEX(SPLIT(A4865,"",""),2)),""."","","",1))"),39.864078522)</f>
        <v>39.86407852</v>
      </c>
      <c r="R4865" s="14" t="b">
        <f t="shared" si="1"/>
        <v>0</v>
      </c>
      <c r="S4865" s="14" t="str">
        <f t="shared" si="2"/>
        <v>64.578987122,39.864078522</v>
      </c>
      <c r="T4865" s="12"/>
    </row>
    <row r="4866">
      <c r="A4866" s="16" t="s">
        <v>31384</v>
      </c>
      <c r="B4866" s="16" t="s">
        <v>31385</v>
      </c>
      <c r="C4866" s="16" t="s">
        <v>31386</v>
      </c>
      <c r="D4866" s="16" t="s">
        <v>16</v>
      </c>
      <c r="E4866" s="17" t="s">
        <v>31387</v>
      </c>
      <c r="F4866" s="16" t="s">
        <v>14706</v>
      </c>
      <c r="G4866" s="16">
        <v>23.61</v>
      </c>
      <c r="H4866" s="16"/>
      <c r="I4866" s="16"/>
      <c r="J4866" s="16" t="s">
        <v>31388</v>
      </c>
      <c r="K4866" s="16" t="s">
        <v>31389</v>
      </c>
      <c r="L4866" s="16"/>
      <c r="M4866" s="25" t="s">
        <v>31390</v>
      </c>
      <c r="N4866" s="12"/>
      <c r="O4866" s="12"/>
      <c r="P4866" s="13">
        <f>IFERROR(__xludf.DUMMYFUNCTION("VALUE(SUBSTITUTE((INDEX(SPLIT(A4866,"",""),1)),""."","","",1))"),64.58430481)</f>
        <v>64.58430481</v>
      </c>
      <c r="Q4866" s="13">
        <f>IFERROR(__xludf.DUMMYFUNCTION("VALUE(SUBSTITUTE((INDEX(SPLIT(A4866,"",""),2)),""."","","",1))"),40.597667694)</f>
        <v>40.59766769</v>
      </c>
      <c r="R4866" s="14" t="b">
        <f t="shared" si="1"/>
        <v>0</v>
      </c>
      <c r="S4866" s="14" t="str">
        <f t="shared" si="2"/>
        <v>64.58430481,40.597667694</v>
      </c>
      <c r="T4866" s="12"/>
    </row>
    <row r="4867">
      <c r="A4867" s="8" t="s">
        <v>31391</v>
      </c>
      <c r="B4867" s="8" t="s">
        <v>31392</v>
      </c>
      <c r="C4867" s="8" t="s">
        <v>31393</v>
      </c>
      <c r="D4867" s="8" t="s">
        <v>16</v>
      </c>
      <c r="E4867" s="19" t="s">
        <v>31394</v>
      </c>
      <c r="F4867" s="8" t="s">
        <v>14706</v>
      </c>
      <c r="G4867" s="8">
        <v>23.61</v>
      </c>
      <c r="H4867" s="8"/>
      <c r="I4867" s="27" t="s">
        <v>31395</v>
      </c>
      <c r="J4867" s="8" t="s">
        <v>31396</v>
      </c>
      <c r="K4867" s="8" t="s">
        <v>31397</v>
      </c>
      <c r="L4867" s="8"/>
      <c r="M4867" s="8"/>
      <c r="N4867" s="12"/>
      <c r="O4867" s="12"/>
      <c r="P4867" s="13">
        <f>IFERROR(__xludf.DUMMYFUNCTION("VALUE(SUBSTITUTE((INDEX(SPLIT(A4867,"",""),1)),""."","","",1))"),64.590446472)</f>
        <v>64.59044647</v>
      </c>
      <c r="Q4867" s="13">
        <f>IFERROR(__xludf.DUMMYFUNCTION("VALUE(SUBSTITUTE((INDEX(SPLIT(A4867,"",""),2)),""."","","",1))"),39.874271393)</f>
        <v>39.87427139</v>
      </c>
      <c r="R4867" s="14" t="b">
        <f t="shared" si="1"/>
        <v>0</v>
      </c>
      <c r="S4867" s="14" t="str">
        <f t="shared" si="2"/>
        <v>64.590446472,39.874271393</v>
      </c>
      <c r="T4867" s="12"/>
    </row>
    <row r="4868">
      <c r="A4868" s="16" t="s">
        <v>26474</v>
      </c>
      <c r="B4868" s="16" t="s">
        <v>31398</v>
      </c>
      <c r="C4868" s="16" t="s">
        <v>31399</v>
      </c>
      <c r="D4868" s="16" t="s">
        <v>16</v>
      </c>
      <c r="E4868" s="17" t="s">
        <v>31400</v>
      </c>
      <c r="F4868" s="16" t="s">
        <v>18995</v>
      </c>
      <c r="G4868" s="16">
        <v>23.61</v>
      </c>
      <c r="H4868" s="16"/>
      <c r="I4868" s="16"/>
      <c r="J4868" s="16" t="s">
        <v>31401</v>
      </c>
      <c r="K4868" s="16" t="s">
        <v>31402</v>
      </c>
      <c r="L4868" s="16"/>
      <c r="M4868" s="25" t="s">
        <v>31403</v>
      </c>
      <c r="N4868" s="12"/>
      <c r="O4868" s="12"/>
      <c r="P4868" s="13">
        <f>IFERROR(__xludf.DUMMYFUNCTION("VALUE(SUBSTITUTE((INDEX(SPLIT(A4868,"",""),1)),""."","","",1))"),57.262517)</f>
        <v>57.262517</v>
      </c>
      <c r="Q4868" s="13">
        <f>IFERROR(__xludf.DUMMYFUNCTION("VALUE(SUBSTITUTE((INDEX(SPLIT(A4868,"",""),2)),""."","","",1))"),65.121229)</f>
        <v>65.121229</v>
      </c>
      <c r="R4868" s="14" t="b">
        <f t="shared" si="1"/>
        <v>0</v>
      </c>
      <c r="S4868" s="14" t="str">
        <f t="shared" si="2"/>
        <v>57.262517,65.121229</v>
      </c>
      <c r="T4868" s="12"/>
    </row>
    <row r="4869">
      <c r="A4869" s="10" t="s">
        <v>26481</v>
      </c>
      <c r="B4869" s="8" t="s">
        <v>2881</v>
      </c>
      <c r="C4869" s="8" t="s">
        <v>2882</v>
      </c>
      <c r="D4869" s="8" t="s">
        <v>16</v>
      </c>
      <c r="E4869" s="9" t="s">
        <v>31404</v>
      </c>
      <c r="F4869" s="10" t="s">
        <v>22263</v>
      </c>
      <c r="G4869" s="8">
        <v>23.61</v>
      </c>
      <c r="H4869" s="8"/>
      <c r="I4869" s="10"/>
      <c r="J4869" s="10" t="s">
        <v>31405</v>
      </c>
      <c r="K4869" s="10" t="s">
        <v>31406</v>
      </c>
      <c r="L4869" s="11" t="s">
        <v>31407</v>
      </c>
      <c r="M4869" s="10"/>
      <c r="N4869" s="12"/>
      <c r="O4869" s="12"/>
      <c r="P4869" s="13">
        <f>IFERROR(__xludf.DUMMYFUNCTION("VALUE(SUBSTITUTE((INDEX(SPLIT(A4869,"",""),1)),""."","","",1))"),58.079875)</f>
        <v>58.079875</v>
      </c>
      <c r="Q4869" s="13">
        <f>IFERROR(__xludf.DUMMYFUNCTION("VALUE(SUBSTITUTE((INDEX(SPLIT(A4869,"",""),2)),""."","","",1))"),65.234506)</f>
        <v>65.234506</v>
      </c>
      <c r="R4869" s="14" t="b">
        <f t="shared" si="1"/>
        <v>0</v>
      </c>
      <c r="S4869" s="14" t="str">
        <f t="shared" si="2"/>
        <v>58.079875,65.234506</v>
      </c>
      <c r="T4869" s="12"/>
    </row>
    <row r="4870">
      <c r="A4870" s="22" t="s">
        <v>26489</v>
      </c>
      <c r="B4870" s="16" t="s">
        <v>31408</v>
      </c>
      <c r="C4870" s="16" t="s">
        <v>31409</v>
      </c>
      <c r="D4870" s="16" t="s">
        <v>16</v>
      </c>
      <c r="E4870" s="21" t="s">
        <v>31410</v>
      </c>
      <c r="F4870" s="22" t="s">
        <v>18995</v>
      </c>
      <c r="G4870" s="16">
        <v>23.61</v>
      </c>
      <c r="H4870" s="16"/>
      <c r="I4870" s="22"/>
      <c r="J4870" s="22" t="s">
        <v>31411</v>
      </c>
      <c r="K4870" s="22" t="s">
        <v>31412</v>
      </c>
      <c r="L4870" s="23" t="s">
        <v>31413</v>
      </c>
      <c r="M4870" s="22"/>
      <c r="N4870" s="12"/>
      <c r="O4870" s="12"/>
      <c r="P4870" s="13">
        <f>IFERROR(__xludf.DUMMYFUNCTION("VALUE(SUBSTITUTE((INDEX(SPLIT(A4870,"",""),1)),""."","","",1))"),57.143786)</f>
        <v>57.143786</v>
      </c>
      <c r="Q4870" s="13">
        <f>IFERROR(__xludf.DUMMYFUNCTION("VALUE(SUBSTITUTE((INDEX(SPLIT(A4870,"",""),2)),""."","","",1))"),65.265112)</f>
        <v>65.265112</v>
      </c>
      <c r="R4870" s="14" t="b">
        <f t="shared" si="1"/>
        <v>0</v>
      </c>
      <c r="S4870" s="14" t="str">
        <f t="shared" si="2"/>
        <v>57.143786,65.265112</v>
      </c>
      <c r="T4870" s="12"/>
    </row>
    <row r="4871">
      <c r="A4871" s="10" t="s">
        <v>26497</v>
      </c>
      <c r="B4871" s="8" t="s">
        <v>31414</v>
      </c>
      <c r="C4871" s="8" t="s">
        <v>31415</v>
      </c>
      <c r="D4871" s="8" t="s">
        <v>16</v>
      </c>
      <c r="E4871" s="9" t="s">
        <v>31416</v>
      </c>
      <c r="F4871" s="10" t="s">
        <v>31293</v>
      </c>
      <c r="G4871" s="8">
        <v>23.61</v>
      </c>
      <c r="H4871" s="8"/>
      <c r="I4871" s="10"/>
      <c r="J4871" s="10" t="s">
        <v>31417</v>
      </c>
      <c r="K4871" s="10" t="s">
        <v>31418</v>
      </c>
      <c r="L4871" s="11" t="s">
        <v>31419</v>
      </c>
      <c r="M4871" s="11" t="s">
        <v>31420</v>
      </c>
      <c r="N4871" s="12"/>
      <c r="O4871" s="12"/>
      <c r="P4871" s="13">
        <f>IFERROR(__xludf.DUMMYFUNCTION("VALUE(SUBSTITUTE((INDEX(SPLIT(A4871,"",""),1)),""."","","",1))"),55.425088)</f>
        <v>55.425088</v>
      </c>
      <c r="Q4871" s="13">
        <f>IFERROR(__xludf.DUMMYFUNCTION("VALUE(SUBSTITUTE((INDEX(SPLIT(A4871,"",""),2)),""."","","",1))"),65.283006)</f>
        <v>65.283006</v>
      </c>
      <c r="R4871" s="14" t="b">
        <f t="shared" si="1"/>
        <v>0</v>
      </c>
      <c r="S4871" s="14" t="str">
        <f t="shared" si="2"/>
        <v>55.425088,65.283006</v>
      </c>
      <c r="T4871" s="12"/>
    </row>
    <row r="4872">
      <c r="A4872" s="16" t="s">
        <v>26503</v>
      </c>
      <c r="B4872" s="16" t="s">
        <v>31421</v>
      </c>
      <c r="C4872" s="16" t="s">
        <v>31422</v>
      </c>
      <c r="D4872" s="16" t="s">
        <v>16</v>
      </c>
      <c r="E4872" s="17" t="s">
        <v>31423</v>
      </c>
      <c r="F4872" s="16" t="s">
        <v>31293</v>
      </c>
      <c r="G4872" s="16">
        <v>23.61</v>
      </c>
      <c r="H4872" s="16"/>
      <c r="I4872" s="16"/>
      <c r="J4872" s="16" t="s">
        <v>31424</v>
      </c>
      <c r="K4872" s="16" t="s">
        <v>31425</v>
      </c>
      <c r="L4872" s="16"/>
      <c r="M4872" s="25" t="s">
        <v>31426</v>
      </c>
      <c r="N4872" s="12"/>
      <c r="O4872" s="12"/>
      <c r="P4872" s="13">
        <f>IFERROR(__xludf.DUMMYFUNCTION("VALUE(SUBSTITUTE((INDEX(SPLIT(A4872,"",""),1)),""."","","",1))"),55.448673)</f>
        <v>55.448673</v>
      </c>
      <c r="Q4872" s="13">
        <f>IFERROR(__xludf.DUMMYFUNCTION("VALUE(SUBSTITUTE((INDEX(SPLIT(A4872,"",""),2)),""."","","",1))"),65.319639)</f>
        <v>65.319639</v>
      </c>
      <c r="R4872" s="14" t="b">
        <f t="shared" si="1"/>
        <v>0</v>
      </c>
      <c r="S4872" s="14" t="str">
        <f t="shared" si="2"/>
        <v>55.448673,65.319639</v>
      </c>
      <c r="T4872" s="12"/>
    </row>
    <row r="4873">
      <c r="A4873" s="8" t="s">
        <v>26511</v>
      </c>
      <c r="B4873" s="8" t="s">
        <v>31427</v>
      </c>
      <c r="C4873" s="8" t="s">
        <v>31428</v>
      </c>
      <c r="D4873" s="8" t="s">
        <v>16</v>
      </c>
      <c r="E4873" s="19" t="s">
        <v>31429</v>
      </c>
      <c r="F4873" s="8" t="s">
        <v>31293</v>
      </c>
      <c r="G4873" s="8">
        <v>23.61</v>
      </c>
      <c r="H4873" s="8"/>
      <c r="I4873" s="8"/>
      <c r="J4873" s="8" t="s">
        <v>31430</v>
      </c>
      <c r="K4873" s="8" t="s">
        <v>31431</v>
      </c>
      <c r="L4873" s="8"/>
      <c r="M4873" s="24" t="s">
        <v>31432</v>
      </c>
      <c r="N4873" s="12"/>
      <c r="O4873" s="12"/>
      <c r="P4873" s="13">
        <f>IFERROR(__xludf.DUMMYFUNCTION("VALUE(SUBSTITUTE((INDEX(SPLIT(A4873,"",""),1)),""."","","",1))"),55.493079)</f>
        <v>55.493079</v>
      </c>
      <c r="Q4873" s="13">
        <f>IFERROR(__xludf.DUMMYFUNCTION("VALUE(SUBSTITUTE((INDEX(SPLIT(A4873,"",""),2)),""."","","",1))"),65.322496)</f>
        <v>65.322496</v>
      </c>
      <c r="R4873" s="14" t="b">
        <f t="shared" si="1"/>
        <v>0</v>
      </c>
      <c r="S4873" s="14" t="str">
        <f t="shared" si="2"/>
        <v>55.493079,65.322496</v>
      </c>
      <c r="T4873" s="12"/>
    </row>
    <row r="4874">
      <c r="A4874" s="16" t="s">
        <v>26518</v>
      </c>
      <c r="B4874" s="16" t="s">
        <v>31433</v>
      </c>
      <c r="C4874" s="16" t="s">
        <v>31434</v>
      </c>
      <c r="D4874" s="16" t="s">
        <v>16</v>
      </c>
      <c r="E4874" s="17" t="s">
        <v>31435</v>
      </c>
      <c r="F4874" s="16" t="s">
        <v>31293</v>
      </c>
      <c r="G4874" s="16">
        <v>23.61</v>
      </c>
      <c r="H4874" s="16"/>
      <c r="I4874" s="16"/>
      <c r="J4874" s="16" t="s">
        <v>31436</v>
      </c>
      <c r="K4874" s="16" t="s">
        <v>31437</v>
      </c>
      <c r="L4874" s="16"/>
      <c r="M4874" s="16"/>
      <c r="N4874" s="12"/>
      <c r="O4874" s="12"/>
      <c r="P4874" s="13">
        <f>IFERROR(__xludf.DUMMYFUNCTION("VALUE(SUBSTITUTE((INDEX(SPLIT(A4874,"",""),1)),""."","","",1))"),55.472801)</f>
        <v>55.472801</v>
      </c>
      <c r="Q4874" s="13">
        <f>IFERROR(__xludf.DUMMYFUNCTION("VALUE(SUBSTITUTE((INDEX(SPLIT(A4874,"",""),2)),""."","","",1))"),65.328676)</f>
        <v>65.328676</v>
      </c>
      <c r="R4874" s="14" t="b">
        <f t="shared" si="1"/>
        <v>0</v>
      </c>
      <c r="S4874" s="14" t="str">
        <f t="shared" si="2"/>
        <v>55.472801,65.328676</v>
      </c>
      <c r="T4874" s="12"/>
    </row>
    <row r="4875">
      <c r="A4875" s="8" t="s">
        <v>26524</v>
      </c>
      <c r="B4875" s="8" t="s">
        <v>31438</v>
      </c>
      <c r="C4875" s="8" t="s">
        <v>31439</v>
      </c>
      <c r="D4875" s="8" t="s">
        <v>16</v>
      </c>
      <c r="E4875" s="19" t="s">
        <v>31440</v>
      </c>
      <c r="F4875" s="8" t="s">
        <v>31293</v>
      </c>
      <c r="G4875" s="8">
        <v>23.61</v>
      </c>
      <c r="H4875" s="8"/>
      <c r="I4875" s="8"/>
      <c r="J4875" s="8" t="s">
        <v>31441</v>
      </c>
      <c r="K4875" s="8" t="s">
        <v>31442</v>
      </c>
      <c r="L4875" s="8"/>
      <c r="M4875" s="24" t="s">
        <v>31443</v>
      </c>
      <c r="N4875" s="12"/>
      <c r="O4875" s="12"/>
      <c r="P4875" s="13">
        <f>IFERROR(__xludf.DUMMYFUNCTION("VALUE(SUBSTITUTE((INDEX(SPLIT(A4875,"",""),1)),""."","","",1))"),55.498143)</f>
        <v>55.498143</v>
      </c>
      <c r="Q4875" s="13">
        <f>IFERROR(__xludf.DUMMYFUNCTION("VALUE(SUBSTITUTE((INDEX(SPLIT(A4875,"",""),2)),""."","","",1))"),65.336959)</f>
        <v>65.336959</v>
      </c>
      <c r="R4875" s="14" t="b">
        <f t="shared" si="1"/>
        <v>0</v>
      </c>
      <c r="S4875" s="14" t="str">
        <f t="shared" si="2"/>
        <v>55.498143,65.336959</v>
      </c>
      <c r="T4875" s="12"/>
    </row>
    <row r="4876">
      <c r="A4876" s="22" t="s">
        <v>26530</v>
      </c>
      <c r="B4876" s="16" t="s">
        <v>31444</v>
      </c>
      <c r="C4876" s="16" t="s">
        <v>31445</v>
      </c>
      <c r="D4876" s="16" t="s">
        <v>16</v>
      </c>
      <c r="E4876" s="21" t="s">
        <v>31446</v>
      </c>
      <c r="F4876" s="22" t="s">
        <v>31293</v>
      </c>
      <c r="G4876" s="16">
        <v>23.61</v>
      </c>
      <c r="H4876" s="16"/>
      <c r="I4876" s="22"/>
      <c r="J4876" s="22" t="s">
        <v>31447</v>
      </c>
      <c r="K4876" s="22" t="s">
        <v>31448</v>
      </c>
      <c r="L4876" s="23" t="s">
        <v>31449</v>
      </c>
      <c r="M4876" s="23" t="s">
        <v>31450</v>
      </c>
      <c r="N4876" s="12"/>
      <c r="O4876" s="12"/>
      <c r="P4876" s="13">
        <f>IFERROR(__xludf.DUMMYFUNCTION("VALUE(SUBSTITUTE((INDEX(SPLIT(A4876,"",""),1)),""."","","",1))"),55.436586)</f>
        <v>55.436586</v>
      </c>
      <c r="Q4876" s="13">
        <f>IFERROR(__xludf.DUMMYFUNCTION("VALUE(SUBSTITUTE((INDEX(SPLIT(A4876,"",""),2)),""."","","",1))"),65.337336)</f>
        <v>65.337336</v>
      </c>
      <c r="R4876" s="14" t="b">
        <f t="shared" si="1"/>
        <v>0</v>
      </c>
      <c r="S4876" s="14" t="str">
        <f t="shared" si="2"/>
        <v>55.436586,65.337336</v>
      </c>
      <c r="T4876" s="12"/>
    </row>
    <row r="4877">
      <c r="A4877" s="10" t="s">
        <v>26536</v>
      </c>
      <c r="B4877" s="8" t="s">
        <v>24281</v>
      </c>
      <c r="C4877" s="8" t="s">
        <v>24282</v>
      </c>
      <c r="D4877" s="8" t="s">
        <v>16</v>
      </c>
      <c r="E4877" s="9" t="s">
        <v>31451</v>
      </c>
      <c r="F4877" s="10" t="s">
        <v>31293</v>
      </c>
      <c r="G4877" s="8">
        <v>23.61</v>
      </c>
      <c r="H4877" s="8"/>
      <c r="I4877" s="10"/>
      <c r="J4877" s="10" t="s">
        <v>31452</v>
      </c>
      <c r="K4877" s="10" t="s">
        <v>31453</v>
      </c>
      <c r="L4877" s="11" t="s">
        <v>31454</v>
      </c>
      <c r="M4877" s="10"/>
      <c r="N4877" s="12"/>
      <c r="O4877" s="12"/>
      <c r="P4877" s="13">
        <f>IFERROR(__xludf.DUMMYFUNCTION("VALUE(SUBSTITUTE((INDEX(SPLIT(A4877,"",""),1)),""."","","",1))"),55.441668)</f>
        <v>55.441668</v>
      </c>
      <c r="Q4877" s="13">
        <f>IFERROR(__xludf.DUMMYFUNCTION("VALUE(SUBSTITUTE((INDEX(SPLIT(A4877,"",""),2)),""."","","",1))"),65.345053)</f>
        <v>65.345053</v>
      </c>
      <c r="R4877" s="14" t="b">
        <f t="shared" si="1"/>
        <v>0</v>
      </c>
      <c r="S4877" s="14" t="str">
        <f t="shared" si="2"/>
        <v>55.441668,65.345053</v>
      </c>
      <c r="T4877" s="12"/>
    </row>
    <row r="4878">
      <c r="A4878" s="22" t="s">
        <v>26542</v>
      </c>
      <c r="B4878" s="16" t="s">
        <v>31455</v>
      </c>
      <c r="C4878" s="16" t="s">
        <v>31456</v>
      </c>
      <c r="D4878" s="16" t="s">
        <v>16</v>
      </c>
      <c r="E4878" s="21" t="s">
        <v>31457</v>
      </c>
      <c r="F4878" s="22" t="s">
        <v>31293</v>
      </c>
      <c r="G4878" s="16">
        <v>23.61</v>
      </c>
      <c r="H4878" s="16"/>
      <c r="I4878" s="22"/>
      <c r="J4878" s="22" t="s">
        <v>31458</v>
      </c>
      <c r="K4878" s="22" t="s">
        <v>31459</v>
      </c>
      <c r="L4878" s="23" t="s">
        <v>31460</v>
      </c>
      <c r="M4878" s="22"/>
      <c r="N4878" s="12"/>
      <c r="O4878" s="12"/>
      <c r="P4878" s="13">
        <f>IFERROR(__xludf.DUMMYFUNCTION("VALUE(SUBSTITUTE((INDEX(SPLIT(A4878,"",""),1)),""."","","",1))"),55.473847)</f>
        <v>55.473847</v>
      </c>
      <c r="Q4878" s="13">
        <f>IFERROR(__xludf.DUMMYFUNCTION("VALUE(SUBSTITUTE((INDEX(SPLIT(A4878,"",""),2)),""."","","",1))"),65.347397)</f>
        <v>65.347397</v>
      </c>
      <c r="R4878" s="14" t="b">
        <f t="shared" si="1"/>
        <v>0</v>
      </c>
      <c r="S4878" s="14" t="str">
        <f t="shared" si="2"/>
        <v>55.473847,65.347397</v>
      </c>
      <c r="T4878" s="12"/>
    </row>
    <row r="4879">
      <c r="A4879" s="10" t="s">
        <v>26547</v>
      </c>
      <c r="B4879" s="8" t="s">
        <v>31461</v>
      </c>
      <c r="C4879" s="8" t="s">
        <v>31462</v>
      </c>
      <c r="D4879" s="8" t="s">
        <v>16</v>
      </c>
      <c r="E4879" s="9" t="s">
        <v>31463</v>
      </c>
      <c r="F4879" s="10" t="s">
        <v>18995</v>
      </c>
      <c r="G4879" s="8">
        <v>23.61</v>
      </c>
      <c r="H4879" s="8"/>
      <c r="I4879" s="10"/>
      <c r="J4879" s="10" t="s">
        <v>31464</v>
      </c>
      <c r="K4879" s="10" t="s">
        <v>31465</v>
      </c>
      <c r="L4879" s="11" t="s">
        <v>31466</v>
      </c>
      <c r="M4879" s="10"/>
      <c r="N4879" s="12"/>
      <c r="O4879" s="12"/>
      <c r="P4879" s="13">
        <f>IFERROR(__xludf.DUMMYFUNCTION("VALUE(SUBSTITUTE((INDEX(SPLIT(A4879,"",""),1)),""."","","",1))"),57.257723)</f>
        <v>57.257723</v>
      </c>
      <c r="Q4879" s="13">
        <f>IFERROR(__xludf.DUMMYFUNCTION("VALUE(SUBSTITUTE((INDEX(SPLIT(A4879,"",""),2)),""."","","",1))"),65.356893)</f>
        <v>65.356893</v>
      </c>
      <c r="R4879" s="14" t="b">
        <f t="shared" si="1"/>
        <v>0</v>
      </c>
      <c r="S4879" s="14" t="str">
        <f t="shared" si="2"/>
        <v>57.257723,65.356893</v>
      </c>
      <c r="T4879" s="12"/>
    </row>
    <row r="4880">
      <c r="A4880" s="16" t="s">
        <v>26553</v>
      </c>
      <c r="B4880" s="16" t="s">
        <v>2685</v>
      </c>
      <c r="C4880" s="16" t="s">
        <v>2686</v>
      </c>
      <c r="D4880" s="16" t="s">
        <v>16</v>
      </c>
      <c r="E4880" s="17" t="s">
        <v>31467</v>
      </c>
      <c r="F4880" s="16" t="s">
        <v>18995</v>
      </c>
      <c r="G4880" s="16">
        <v>23.61</v>
      </c>
      <c r="H4880" s="16"/>
      <c r="I4880" s="16"/>
      <c r="J4880" s="16" t="s">
        <v>31468</v>
      </c>
      <c r="K4880" s="16" t="s">
        <v>31469</v>
      </c>
      <c r="L4880" s="16"/>
      <c r="M4880" s="16"/>
      <c r="N4880" s="12"/>
      <c r="O4880" s="12"/>
      <c r="P4880" s="13">
        <f>IFERROR(__xludf.DUMMYFUNCTION("VALUE(SUBSTITUTE((INDEX(SPLIT(A4880,"",""),1)),""."","","",1))"),57.216958)</f>
        <v>57.216958</v>
      </c>
      <c r="Q4880" s="13">
        <f>IFERROR(__xludf.DUMMYFUNCTION("VALUE(SUBSTITUTE((INDEX(SPLIT(A4880,"",""),2)),""."","","",1))"),65.360306)</f>
        <v>65.360306</v>
      </c>
      <c r="R4880" s="14" t="b">
        <f t="shared" si="1"/>
        <v>0</v>
      </c>
      <c r="S4880" s="14" t="str">
        <f t="shared" si="2"/>
        <v>57.216958,65.360306</v>
      </c>
      <c r="T4880" s="12"/>
    </row>
    <row r="4881">
      <c r="A4881" s="10" t="s">
        <v>31470</v>
      </c>
      <c r="B4881" s="8" t="s">
        <v>89</v>
      </c>
      <c r="C4881" s="8" t="s">
        <v>90</v>
      </c>
      <c r="D4881" s="8" t="s">
        <v>16</v>
      </c>
      <c r="E4881" s="9" t="s">
        <v>31471</v>
      </c>
      <c r="F4881" s="10" t="s">
        <v>10045</v>
      </c>
      <c r="G4881" s="8">
        <v>23.61</v>
      </c>
      <c r="H4881" s="8"/>
      <c r="I4881" s="10"/>
      <c r="J4881" s="10" t="s">
        <v>31472</v>
      </c>
      <c r="K4881" s="10" t="s">
        <v>31473</v>
      </c>
      <c r="L4881" s="11" t="s">
        <v>31474</v>
      </c>
      <c r="M4881" s="10"/>
      <c r="N4881" s="12"/>
      <c r="O4881" s="12"/>
      <c r="P4881" s="13">
        <f>IFERROR(__xludf.DUMMYFUNCTION("VALUE(SUBSTITUTE((INDEX(SPLIT(A4881,"",""),1)),""."","","",1))"),65.433393)</f>
        <v>65.433393</v>
      </c>
      <c r="Q4881" s="13">
        <f>IFERROR(__xludf.DUMMYFUNCTION("VALUE(SUBSTITUTE((INDEX(SPLIT(A4881,"",""),2)),""."","","",1))"),62.14681)</f>
        <v>62.14681</v>
      </c>
      <c r="R4881" s="14" t="b">
        <f t="shared" si="1"/>
        <v>0</v>
      </c>
      <c r="S4881" s="14" t="str">
        <f t="shared" si="2"/>
        <v>65.433393,62.14681</v>
      </c>
      <c r="T4881" s="12"/>
    </row>
    <row r="4882">
      <c r="A4882" s="22" t="s">
        <v>26567</v>
      </c>
      <c r="B4882" s="16" t="s">
        <v>31475</v>
      </c>
      <c r="C4882" s="16" t="s">
        <v>31476</v>
      </c>
      <c r="D4882" s="16" t="s">
        <v>16</v>
      </c>
      <c r="E4882" s="21" t="s">
        <v>31477</v>
      </c>
      <c r="F4882" s="22" t="s">
        <v>18995</v>
      </c>
      <c r="G4882" s="16">
        <v>23.61</v>
      </c>
      <c r="H4882" s="16"/>
      <c r="I4882" s="22"/>
      <c r="J4882" s="22" t="s">
        <v>31478</v>
      </c>
      <c r="K4882" s="22" t="s">
        <v>31479</v>
      </c>
      <c r="L4882" s="23" t="s">
        <v>31480</v>
      </c>
      <c r="M4882" s="23" t="s">
        <v>31481</v>
      </c>
      <c r="N4882" s="12"/>
      <c r="O4882" s="12"/>
      <c r="P4882" s="13">
        <f>IFERROR(__xludf.DUMMYFUNCTION("VALUE(SUBSTITUTE((INDEX(SPLIT(A4882,"",""),1)),""."","","",1))"),57.154317)</f>
        <v>57.154317</v>
      </c>
      <c r="Q4882" s="13">
        <f>IFERROR(__xludf.DUMMYFUNCTION("VALUE(SUBSTITUTE((INDEX(SPLIT(A4882,"",""),2)),""."","","",1))"),65.441415)</f>
        <v>65.441415</v>
      </c>
      <c r="R4882" s="14" t="b">
        <f t="shared" si="1"/>
        <v>0</v>
      </c>
      <c r="S4882" s="14" t="str">
        <f t="shared" si="2"/>
        <v>57.154317,65.441415</v>
      </c>
      <c r="T4882" s="12"/>
    </row>
    <row r="4883">
      <c r="A4883" s="10" t="s">
        <v>26574</v>
      </c>
      <c r="B4883" s="8" t="s">
        <v>31482</v>
      </c>
      <c r="C4883" s="8" t="s">
        <v>31483</v>
      </c>
      <c r="D4883" s="8" t="s">
        <v>16</v>
      </c>
      <c r="E4883" s="9" t="s">
        <v>31484</v>
      </c>
      <c r="F4883" s="10" t="s">
        <v>18995</v>
      </c>
      <c r="G4883" s="8">
        <v>23.61</v>
      </c>
      <c r="H4883" s="8"/>
      <c r="I4883" s="10"/>
      <c r="J4883" s="10" t="s">
        <v>31485</v>
      </c>
      <c r="K4883" s="10" t="s">
        <v>31486</v>
      </c>
      <c r="L4883" s="11" t="s">
        <v>31487</v>
      </c>
      <c r="M4883" s="11" t="s">
        <v>31488</v>
      </c>
      <c r="N4883" s="12"/>
      <c r="O4883" s="12"/>
      <c r="P4883" s="13">
        <f>IFERROR(__xludf.DUMMYFUNCTION("VALUE(SUBSTITUTE((INDEX(SPLIT(A4883,"",""),1)),""."","","",1))"),57.172742)</f>
        <v>57.172742</v>
      </c>
      <c r="Q4883" s="13">
        <f>IFERROR(__xludf.DUMMYFUNCTION("VALUE(SUBSTITUTE((INDEX(SPLIT(A4883,"",""),2)),""."","","",1))"),65.457423)</f>
        <v>65.457423</v>
      </c>
      <c r="R4883" s="14" t="b">
        <f t="shared" si="1"/>
        <v>0</v>
      </c>
      <c r="S4883" s="14" t="str">
        <f t="shared" si="2"/>
        <v>57.172742,65.457423</v>
      </c>
      <c r="T4883" s="12"/>
    </row>
    <row r="4884">
      <c r="A4884" s="16" t="s">
        <v>26580</v>
      </c>
      <c r="B4884" s="16" t="s">
        <v>31489</v>
      </c>
      <c r="C4884" s="16" t="s">
        <v>31490</v>
      </c>
      <c r="D4884" s="16" t="s">
        <v>16</v>
      </c>
      <c r="E4884" s="17" t="s">
        <v>31491</v>
      </c>
      <c r="F4884" s="16" t="s">
        <v>18995</v>
      </c>
      <c r="G4884" s="16">
        <v>23.61</v>
      </c>
      <c r="H4884" s="16"/>
      <c r="I4884" s="16"/>
      <c r="J4884" s="16" t="s">
        <v>31492</v>
      </c>
      <c r="K4884" s="16" t="s">
        <v>31493</v>
      </c>
      <c r="L4884" s="16"/>
      <c r="M4884" s="16"/>
      <c r="N4884" s="12"/>
      <c r="O4884" s="12"/>
      <c r="P4884" s="13">
        <f>IFERROR(__xludf.DUMMYFUNCTION("VALUE(SUBSTITUTE((INDEX(SPLIT(A4884,"",""),1)),""."","","",1))"),57.156949)</f>
        <v>57.156949</v>
      </c>
      <c r="Q4884" s="13">
        <f>IFERROR(__xludf.DUMMYFUNCTION("VALUE(SUBSTITUTE((INDEX(SPLIT(A4884,"",""),2)),""."","","",1))"),65.465804)</f>
        <v>65.465804</v>
      </c>
      <c r="R4884" s="14" t="b">
        <f t="shared" si="1"/>
        <v>0</v>
      </c>
      <c r="S4884" s="14" t="str">
        <f t="shared" si="2"/>
        <v>57.156949,65.465804</v>
      </c>
      <c r="T4884" s="12"/>
    </row>
    <row r="4885">
      <c r="A4885" s="8" t="s">
        <v>26580</v>
      </c>
      <c r="B4885" s="8" t="s">
        <v>31494</v>
      </c>
      <c r="C4885" s="8" t="s">
        <v>31495</v>
      </c>
      <c r="D4885" s="8" t="s">
        <v>16</v>
      </c>
      <c r="E4885" s="19" t="s">
        <v>31496</v>
      </c>
      <c r="F4885" s="8" t="s">
        <v>18995</v>
      </c>
      <c r="G4885" s="8">
        <v>23.61</v>
      </c>
      <c r="H4885" s="8"/>
      <c r="I4885" s="8"/>
      <c r="J4885" s="8" t="s">
        <v>31497</v>
      </c>
      <c r="K4885" s="8" t="s">
        <v>31493</v>
      </c>
      <c r="L4885" s="8"/>
      <c r="M4885" s="24" t="s">
        <v>31498</v>
      </c>
      <c r="N4885" s="12"/>
      <c r="O4885" s="12"/>
      <c r="P4885" s="13">
        <f>IFERROR(__xludf.DUMMYFUNCTION("VALUE(SUBSTITUTE((INDEX(SPLIT(A4885,"",""),1)),""."","","",1))"),57.156949)</f>
        <v>57.156949</v>
      </c>
      <c r="Q4885" s="13">
        <f>IFERROR(__xludf.DUMMYFUNCTION("VALUE(SUBSTITUTE((INDEX(SPLIT(A4885,"",""),2)),""."","","",1))"),65.465804)</f>
        <v>65.465804</v>
      </c>
      <c r="R4885" s="14" t="b">
        <f t="shared" si="1"/>
        <v>0</v>
      </c>
      <c r="S4885" s="14" t="str">
        <f t="shared" si="2"/>
        <v>57.156949,65.465804</v>
      </c>
      <c r="T4885" s="12"/>
    </row>
    <row r="4886">
      <c r="A4886" s="16" t="s">
        <v>26595</v>
      </c>
      <c r="B4886" s="16" t="s">
        <v>31499</v>
      </c>
      <c r="C4886" s="16" t="s">
        <v>31500</v>
      </c>
      <c r="D4886" s="16" t="s">
        <v>16</v>
      </c>
      <c r="E4886" s="17" t="s">
        <v>31501</v>
      </c>
      <c r="F4886" s="16" t="s">
        <v>18995</v>
      </c>
      <c r="G4886" s="16">
        <v>23.61</v>
      </c>
      <c r="H4886" s="16"/>
      <c r="I4886" s="16"/>
      <c r="J4886" s="16" t="s">
        <v>31502</v>
      </c>
      <c r="K4886" s="16" t="s">
        <v>31503</v>
      </c>
      <c r="L4886" s="16"/>
      <c r="M4886" s="16"/>
      <c r="N4886" s="12"/>
      <c r="O4886" s="12"/>
      <c r="P4886" s="13">
        <f>IFERROR(__xludf.DUMMYFUNCTION("VALUE(SUBSTITUTE((INDEX(SPLIT(A4886,"",""),1)),""."","","",1))"),57.177455)</f>
        <v>57.177455</v>
      </c>
      <c r="Q4886" s="13">
        <f>IFERROR(__xludf.DUMMYFUNCTION("VALUE(SUBSTITUTE((INDEX(SPLIT(A4886,"",""),2)),""."","","",1))"),65.475291)</f>
        <v>65.475291</v>
      </c>
      <c r="R4886" s="14" t="b">
        <f t="shared" si="1"/>
        <v>0</v>
      </c>
      <c r="S4886" s="14" t="str">
        <f t="shared" si="2"/>
        <v>57.177455,65.475291</v>
      </c>
      <c r="T4886" s="12"/>
    </row>
    <row r="4887">
      <c r="A4887" s="8" t="s">
        <v>26600</v>
      </c>
      <c r="B4887" s="8" t="s">
        <v>31504</v>
      </c>
      <c r="C4887" s="8" t="s">
        <v>31505</v>
      </c>
      <c r="D4887" s="8" t="s">
        <v>16</v>
      </c>
      <c r="E4887" s="19" t="s">
        <v>31506</v>
      </c>
      <c r="F4887" s="8" t="s">
        <v>18995</v>
      </c>
      <c r="G4887" s="8">
        <v>23.61</v>
      </c>
      <c r="H4887" s="8"/>
      <c r="I4887" s="8"/>
      <c r="J4887" s="8" t="s">
        <v>31507</v>
      </c>
      <c r="K4887" s="8" t="s">
        <v>31508</v>
      </c>
      <c r="L4887" s="8"/>
      <c r="M4887" s="8"/>
      <c r="N4887" s="12"/>
      <c r="O4887" s="12"/>
      <c r="P4887" s="13">
        <f>IFERROR(__xludf.DUMMYFUNCTION("VALUE(SUBSTITUTE((INDEX(SPLIT(A4887,"",""),1)),""."","","",1))"),57.135283)</f>
        <v>57.135283</v>
      </c>
      <c r="Q4887" s="13">
        <f>IFERROR(__xludf.DUMMYFUNCTION("VALUE(SUBSTITUTE((INDEX(SPLIT(A4887,"",""),2)),""."","","",1))"),65.476575)</f>
        <v>65.476575</v>
      </c>
      <c r="R4887" s="14" t="b">
        <f t="shared" si="1"/>
        <v>0</v>
      </c>
      <c r="S4887" s="14" t="str">
        <f t="shared" si="2"/>
        <v>57.135283,65.476575</v>
      </c>
      <c r="T4887" s="12"/>
    </row>
    <row r="4888">
      <c r="A4888" s="16" t="s">
        <v>26607</v>
      </c>
      <c r="B4888" s="16" t="s">
        <v>31509</v>
      </c>
      <c r="C4888" s="16" t="s">
        <v>31510</v>
      </c>
      <c r="D4888" s="16" t="s">
        <v>16</v>
      </c>
      <c r="E4888" s="17" t="s">
        <v>31511</v>
      </c>
      <c r="F4888" s="16" t="s">
        <v>18995</v>
      </c>
      <c r="G4888" s="16">
        <v>23.61</v>
      </c>
      <c r="H4888" s="16"/>
      <c r="I4888" s="16"/>
      <c r="J4888" s="16" t="s">
        <v>31512</v>
      </c>
      <c r="K4888" s="16" t="s">
        <v>31513</v>
      </c>
      <c r="L4888" s="16"/>
      <c r="M4888" s="25" t="s">
        <v>31514</v>
      </c>
      <c r="N4888" s="12"/>
      <c r="O4888" s="12"/>
      <c r="P4888" s="13">
        <f>IFERROR(__xludf.DUMMYFUNCTION("VALUE(SUBSTITUTE((INDEX(SPLIT(A4888,"",""),1)),""."","","",1))"),57.095067)</f>
        <v>57.095067</v>
      </c>
      <c r="Q4888" s="13">
        <f>IFERROR(__xludf.DUMMYFUNCTION("VALUE(SUBSTITUTE((INDEX(SPLIT(A4888,"",""),2)),""."","","",1))"),65.478489)</f>
        <v>65.478489</v>
      </c>
      <c r="R4888" s="14" t="b">
        <f t="shared" si="1"/>
        <v>0</v>
      </c>
      <c r="S4888" s="14" t="str">
        <f t="shared" si="2"/>
        <v>57.095067,65.478489</v>
      </c>
      <c r="T4888" s="12"/>
    </row>
    <row r="4889">
      <c r="A4889" s="10" t="s">
        <v>26607</v>
      </c>
      <c r="B4889" s="8" t="s">
        <v>31515</v>
      </c>
      <c r="C4889" s="8" t="s">
        <v>31516</v>
      </c>
      <c r="D4889" s="8" t="s">
        <v>16</v>
      </c>
      <c r="E4889" s="9" t="s">
        <v>31517</v>
      </c>
      <c r="F4889" s="10" t="s">
        <v>18995</v>
      </c>
      <c r="G4889" s="8">
        <v>23.61</v>
      </c>
      <c r="H4889" s="8"/>
      <c r="I4889" s="10"/>
      <c r="J4889" s="10" t="s">
        <v>31518</v>
      </c>
      <c r="K4889" s="10" t="s">
        <v>31519</v>
      </c>
      <c r="L4889" s="29" t="s">
        <v>31520</v>
      </c>
      <c r="M4889" s="10"/>
      <c r="N4889" s="12"/>
      <c r="O4889" s="12"/>
      <c r="P4889" s="13">
        <f>IFERROR(__xludf.DUMMYFUNCTION("VALUE(SUBSTITUTE((INDEX(SPLIT(A4889,"",""),1)),""."","","",1))"),57.095067)</f>
        <v>57.095067</v>
      </c>
      <c r="Q4889" s="13">
        <f>IFERROR(__xludf.DUMMYFUNCTION("VALUE(SUBSTITUTE((INDEX(SPLIT(A4889,"",""),2)),""."","","",1))"),65.478489)</f>
        <v>65.478489</v>
      </c>
      <c r="R4889" s="14" t="b">
        <f t="shared" si="1"/>
        <v>0</v>
      </c>
      <c r="S4889" s="14" t="str">
        <f t="shared" si="2"/>
        <v>57.095067,65.478489</v>
      </c>
      <c r="T4889" s="12"/>
    </row>
    <row r="4890">
      <c r="A4890" s="16" t="s">
        <v>26617</v>
      </c>
      <c r="B4890" s="16" t="s">
        <v>31521</v>
      </c>
      <c r="C4890" s="16" t="s">
        <v>31522</v>
      </c>
      <c r="D4890" s="16" t="s">
        <v>16</v>
      </c>
      <c r="E4890" s="17" t="s">
        <v>31523</v>
      </c>
      <c r="F4890" s="16" t="s">
        <v>18995</v>
      </c>
      <c r="G4890" s="16">
        <v>23.61</v>
      </c>
      <c r="H4890" s="16"/>
      <c r="I4890" s="16"/>
      <c r="J4890" s="16" t="s">
        <v>31524</v>
      </c>
      <c r="K4890" s="16" t="s">
        <v>31525</v>
      </c>
      <c r="L4890" s="16"/>
      <c r="M4890" s="25" t="s">
        <v>31526</v>
      </c>
      <c r="N4890" s="12"/>
      <c r="O4890" s="12"/>
      <c r="P4890" s="13">
        <f>IFERROR(__xludf.DUMMYFUNCTION("VALUE(SUBSTITUTE((INDEX(SPLIT(A4890,"",""),1)),""."","","",1))"),57.164666)</f>
        <v>57.164666</v>
      </c>
      <c r="Q4890" s="13">
        <f>IFERROR(__xludf.DUMMYFUNCTION("VALUE(SUBSTITUTE((INDEX(SPLIT(A4890,"",""),2)),""."","","",1))"),65.487211)</f>
        <v>65.487211</v>
      </c>
      <c r="R4890" s="14" t="b">
        <f t="shared" si="1"/>
        <v>0</v>
      </c>
      <c r="S4890" s="14" t="str">
        <f t="shared" si="2"/>
        <v>57.164666,65.487211</v>
      </c>
      <c r="T4890" s="12"/>
    </row>
    <row r="4891">
      <c r="A4891" s="10" t="s">
        <v>26624</v>
      </c>
      <c r="B4891" s="8" t="s">
        <v>31527</v>
      </c>
      <c r="C4891" s="8" t="s">
        <v>31528</v>
      </c>
      <c r="D4891" s="8" t="s">
        <v>16</v>
      </c>
      <c r="E4891" s="9" t="s">
        <v>31529</v>
      </c>
      <c r="F4891" s="10" t="s">
        <v>18995</v>
      </c>
      <c r="G4891" s="8">
        <v>23.61</v>
      </c>
      <c r="H4891" s="8"/>
      <c r="I4891" s="10"/>
      <c r="J4891" s="10" t="s">
        <v>31530</v>
      </c>
      <c r="K4891" s="10" t="s">
        <v>31531</v>
      </c>
      <c r="L4891" s="11" t="s">
        <v>31532</v>
      </c>
      <c r="M4891" s="10"/>
      <c r="N4891" s="12"/>
      <c r="O4891" s="12"/>
      <c r="P4891" s="13">
        <f>IFERROR(__xludf.DUMMYFUNCTION("VALUE(SUBSTITUTE((INDEX(SPLIT(A4891,"",""),1)),""."","","",1))"),57.1254)</f>
        <v>57.1254</v>
      </c>
      <c r="Q4891" s="13">
        <f>IFERROR(__xludf.DUMMYFUNCTION("VALUE(SUBSTITUTE((INDEX(SPLIT(A4891,"",""),2)),""."","","",1))"),65.511969)</f>
        <v>65.511969</v>
      </c>
      <c r="R4891" s="14" t="b">
        <f t="shared" si="1"/>
        <v>0</v>
      </c>
      <c r="S4891" s="14" t="str">
        <f t="shared" si="2"/>
        <v>57.1254,65.511969</v>
      </c>
      <c r="T4891" s="12"/>
    </row>
    <row r="4892">
      <c r="A4892" s="22" t="s">
        <v>26630</v>
      </c>
      <c r="B4892" s="16" t="s">
        <v>31533</v>
      </c>
      <c r="C4892" s="16" t="s">
        <v>31534</v>
      </c>
      <c r="D4892" s="16" t="s">
        <v>16</v>
      </c>
      <c r="E4892" s="21" t="s">
        <v>31535</v>
      </c>
      <c r="F4892" s="22" t="s">
        <v>18995</v>
      </c>
      <c r="G4892" s="16">
        <v>23.61</v>
      </c>
      <c r="H4892" s="16"/>
      <c r="I4892" s="22"/>
      <c r="J4892" s="22" t="s">
        <v>31536</v>
      </c>
      <c r="K4892" s="22" t="s">
        <v>31537</v>
      </c>
      <c r="L4892" s="23" t="s">
        <v>31538</v>
      </c>
      <c r="M4892" s="23" t="s">
        <v>31539</v>
      </c>
      <c r="N4892" s="12"/>
      <c r="O4892" s="12"/>
      <c r="P4892" s="13">
        <f>IFERROR(__xludf.DUMMYFUNCTION("VALUE(SUBSTITUTE((INDEX(SPLIT(A4892,"",""),1)),""."","","",1))"),57.131258)</f>
        <v>57.131258</v>
      </c>
      <c r="Q4892" s="13">
        <f>IFERROR(__xludf.DUMMYFUNCTION("VALUE(SUBSTITUTE((INDEX(SPLIT(A4892,"",""),2)),""."","","",1))"),65.528309)</f>
        <v>65.528309</v>
      </c>
      <c r="R4892" s="14" t="b">
        <f t="shared" si="1"/>
        <v>0</v>
      </c>
      <c r="S4892" s="14" t="str">
        <f t="shared" si="2"/>
        <v>57.131258,65.528309</v>
      </c>
      <c r="T4892" s="12"/>
    </row>
    <row r="4893">
      <c r="A4893" s="8" t="s">
        <v>26636</v>
      </c>
      <c r="B4893" s="8" t="s">
        <v>31540</v>
      </c>
      <c r="C4893" s="8" t="s">
        <v>31541</v>
      </c>
      <c r="D4893" s="8" t="s">
        <v>16</v>
      </c>
      <c r="E4893" s="19" t="s">
        <v>31542</v>
      </c>
      <c r="F4893" s="8" t="s">
        <v>18995</v>
      </c>
      <c r="G4893" s="8">
        <v>23.61</v>
      </c>
      <c r="H4893" s="8"/>
      <c r="I4893" s="27" t="s">
        <v>31543</v>
      </c>
      <c r="J4893" s="8" t="s">
        <v>31544</v>
      </c>
      <c r="K4893" s="8" t="s">
        <v>31545</v>
      </c>
      <c r="L4893" s="8"/>
      <c r="M4893" s="8"/>
      <c r="N4893" s="12"/>
      <c r="O4893" s="12"/>
      <c r="P4893" s="13">
        <f>IFERROR(__xludf.DUMMYFUNCTION("VALUE(SUBSTITUTE((INDEX(SPLIT(A4893,"",""),1)),""."","","",1))"),57.090822)</f>
        <v>57.090822</v>
      </c>
      <c r="Q4893" s="13">
        <f>IFERROR(__xludf.DUMMYFUNCTION("VALUE(SUBSTITUTE((INDEX(SPLIT(A4893,"",""),2)),""."","","",1))"),65.531004)</f>
        <v>65.531004</v>
      </c>
      <c r="R4893" s="14" t="b">
        <f t="shared" si="1"/>
        <v>0</v>
      </c>
      <c r="S4893" s="14" t="str">
        <f t="shared" si="2"/>
        <v>57.090822,65.531004</v>
      </c>
      <c r="T4893" s="12"/>
    </row>
    <row r="4894">
      <c r="A4894" s="22" t="s">
        <v>26642</v>
      </c>
      <c r="B4894" s="16" t="s">
        <v>31546</v>
      </c>
      <c r="C4894" s="16" t="s">
        <v>31547</v>
      </c>
      <c r="D4894" s="16" t="s">
        <v>16</v>
      </c>
      <c r="E4894" s="21" t="s">
        <v>31548</v>
      </c>
      <c r="F4894" s="22" t="s">
        <v>18995</v>
      </c>
      <c r="G4894" s="16">
        <v>23.61</v>
      </c>
      <c r="H4894" s="16"/>
      <c r="I4894" s="22"/>
      <c r="J4894" s="22" t="s">
        <v>31549</v>
      </c>
      <c r="K4894" s="22" t="s">
        <v>31550</v>
      </c>
      <c r="L4894" s="23" t="s">
        <v>31551</v>
      </c>
      <c r="M4894" s="22"/>
      <c r="N4894" s="12"/>
      <c r="O4894" s="12"/>
      <c r="P4894" s="13">
        <f>IFERROR(__xludf.DUMMYFUNCTION("VALUE(SUBSTITUTE((INDEX(SPLIT(A4894,"",""),1)),""."","","",1))"),57.156138)</f>
        <v>57.156138</v>
      </c>
      <c r="Q4894" s="13">
        <f>IFERROR(__xludf.DUMMYFUNCTION("VALUE(SUBSTITUTE((INDEX(SPLIT(A4894,"",""),2)),""."","","",1))"),65.539349)</f>
        <v>65.539349</v>
      </c>
      <c r="R4894" s="14" t="b">
        <f t="shared" si="1"/>
        <v>0</v>
      </c>
      <c r="S4894" s="14" t="str">
        <f t="shared" si="2"/>
        <v>57.156138,65.539349</v>
      </c>
      <c r="T4894" s="12"/>
    </row>
    <row r="4895">
      <c r="A4895" s="8" t="s">
        <v>26649</v>
      </c>
      <c r="B4895" s="8" t="s">
        <v>31552</v>
      </c>
      <c r="C4895" s="8" t="s">
        <v>31553</v>
      </c>
      <c r="D4895" s="8" t="s">
        <v>16</v>
      </c>
      <c r="E4895" s="19" t="s">
        <v>31554</v>
      </c>
      <c r="F4895" s="8" t="s">
        <v>18995</v>
      </c>
      <c r="G4895" s="8">
        <v>23.61</v>
      </c>
      <c r="H4895" s="8"/>
      <c r="I4895" s="27" t="s">
        <v>31555</v>
      </c>
      <c r="J4895" s="8" t="s">
        <v>31556</v>
      </c>
      <c r="K4895" s="8" t="s">
        <v>31557</v>
      </c>
      <c r="L4895" s="8"/>
      <c r="M4895" s="8"/>
      <c r="N4895" s="12"/>
      <c r="O4895" s="12"/>
      <c r="P4895" s="13">
        <f>IFERROR(__xludf.DUMMYFUNCTION("VALUE(SUBSTITUTE((INDEX(SPLIT(A4895,"",""),1)),""."","","",1))"),57.152985)</f>
        <v>57.152985</v>
      </c>
      <c r="Q4895" s="13">
        <f>IFERROR(__xludf.DUMMYFUNCTION("VALUE(SUBSTITUTE((INDEX(SPLIT(A4895,"",""),2)),""."","","",1))"),65.541227)</f>
        <v>65.541227</v>
      </c>
      <c r="R4895" s="14" t="b">
        <f t="shared" si="1"/>
        <v>0</v>
      </c>
      <c r="S4895" s="14" t="str">
        <f t="shared" si="2"/>
        <v>57.152985,65.541227</v>
      </c>
      <c r="T4895" s="12"/>
    </row>
    <row r="4896">
      <c r="A4896" s="22" t="s">
        <v>26649</v>
      </c>
      <c r="B4896" s="16" t="s">
        <v>31558</v>
      </c>
      <c r="C4896" s="16" t="s">
        <v>31559</v>
      </c>
      <c r="D4896" s="16" t="s">
        <v>16</v>
      </c>
      <c r="E4896" s="21" t="s">
        <v>31560</v>
      </c>
      <c r="F4896" s="22" t="s">
        <v>18995</v>
      </c>
      <c r="G4896" s="16">
        <v>23.61</v>
      </c>
      <c r="H4896" s="16"/>
      <c r="I4896" s="22"/>
      <c r="J4896" s="22" t="s">
        <v>31561</v>
      </c>
      <c r="K4896" s="22" t="s">
        <v>31562</v>
      </c>
      <c r="L4896" s="23" t="s">
        <v>31563</v>
      </c>
      <c r="M4896" s="22"/>
      <c r="N4896" s="12"/>
      <c r="O4896" s="12"/>
      <c r="P4896" s="13">
        <f>IFERROR(__xludf.DUMMYFUNCTION("VALUE(SUBSTITUTE((INDEX(SPLIT(A4896,"",""),1)),""."","","",1))"),57.152985)</f>
        <v>57.152985</v>
      </c>
      <c r="Q4896" s="13">
        <f>IFERROR(__xludf.DUMMYFUNCTION("VALUE(SUBSTITUTE((INDEX(SPLIT(A4896,"",""),2)),""."","","",1))"),65.541227)</f>
        <v>65.541227</v>
      </c>
      <c r="R4896" s="14" t="b">
        <f t="shared" si="1"/>
        <v>0</v>
      </c>
      <c r="S4896" s="14" t="str">
        <f t="shared" si="2"/>
        <v>57.152985,65.541227</v>
      </c>
      <c r="T4896" s="12"/>
    </row>
    <row r="4897">
      <c r="A4897" s="10" t="s">
        <v>26662</v>
      </c>
      <c r="B4897" s="8" t="s">
        <v>31564</v>
      </c>
      <c r="C4897" s="8" t="s">
        <v>31565</v>
      </c>
      <c r="D4897" s="8" t="s">
        <v>16</v>
      </c>
      <c r="E4897" s="9" t="s">
        <v>31566</v>
      </c>
      <c r="F4897" s="10" t="s">
        <v>18995</v>
      </c>
      <c r="G4897" s="8">
        <v>23.61</v>
      </c>
      <c r="H4897" s="8"/>
      <c r="I4897" s="10"/>
      <c r="J4897" s="10" t="s">
        <v>31567</v>
      </c>
      <c r="K4897" s="10" t="s">
        <v>31568</v>
      </c>
      <c r="L4897" s="11" t="s">
        <v>31569</v>
      </c>
      <c r="M4897" s="10"/>
      <c r="N4897" s="12"/>
      <c r="O4897" s="12"/>
      <c r="P4897" s="13">
        <f>IFERROR(__xludf.DUMMYFUNCTION("VALUE(SUBSTITUTE((INDEX(SPLIT(A4897,"",""),1)),""."","","",1))"),57.147184)</f>
        <v>57.147184</v>
      </c>
      <c r="Q4897" s="13">
        <f>IFERROR(__xludf.DUMMYFUNCTION("VALUE(SUBSTITUTE((INDEX(SPLIT(A4897,"",""),2)),""."","","",1))"),65.545889)</f>
        <v>65.545889</v>
      </c>
      <c r="R4897" s="14" t="b">
        <f t="shared" si="1"/>
        <v>0</v>
      </c>
      <c r="S4897" s="14" t="str">
        <f t="shared" si="2"/>
        <v>57.147184,65.545889</v>
      </c>
      <c r="T4897" s="12"/>
    </row>
    <row r="4898">
      <c r="A4898" s="16" t="s">
        <v>26669</v>
      </c>
      <c r="B4898" s="16" t="s">
        <v>1840</v>
      </c>
      <c r="C4898" s="16" t="s">
        <v>1841</v>
      </c>
      <c r="D4898" s="16" t="s">
        <v>16</v>
      </c>
      <c r="E4898" s="17" t="s">
        <v>31570</v>
      </c>
      <c r="F4898" s="16" t="s">
        <v>18995</v>
      </c>
      <c r="G4898" s="16">
        <v>23.61</v>
      </c>
      <c r="H4898" s="16"/>
      <c r="I4898" s="16"/>
      <c r="J4898" s="16" t="s">
        <v>31571</v>
      </c>
      <c r="K4898" s="16" t="s">
        <v>31572</v>
      </c>
      <c r="L4898" s="16"/>
      <c r="M4898" s="25" t="s">
        <v>31573</v>
      </c>
      <c r="N4898" s="12"/>
      <c r="O4898" s="12"/>
      <c r="P4898" s="13">
        <f>IFERROR(__xludf.DUMMYFUNCTION("VALUE(SUBSTITUTE((INDEX(SPLIT(A4898,"",""),1)),""."","","",1))"),57.139141)</f>
        <v>57.139141</v>
      </c>
      <c r="Q4898" s="13">
        <f>IFERROR(__xludf.DUMMYFUNCTION("VALUE(SUBSTITUTE((INDEX(SPLIT(A4898,"",""),2)),""."","","",1))"),65.546967)</f>
        <v>65.546967</v>
      </c>
      <c r="R4898" s="14" t="b">
        <f t="shared" si="1"/>
        <v>0</v>
      </c>
      <c r="S4898" s="14" t="str">
        <f t="shared" si="2"/>
        <v>57.139141,65.546967</v>
      </c>
      <c r="T4898" s="12"/>
    </row>
    <row r="4899">
      <c r="A4899" s="10" t="s">
        <v>26675</v>
      </c>
      <c r="B4899" s="8" t="s">
        <v>31574</v>
      </c>
      <c r="C4899" s="8" t="s">
        <v>31575</v>
      </c>
      <c r="D4899" s="8" t="s">
        <v>16</v>
      </c>
      <c r="E4899" s="9" t="s">
        <v>31576</v>
      </c>
      <c r="F4899" s="10" t="s">
        <v>18995</v>
      </c>
      <c r="G4899" s="8">
        <v>23.61</v>
      </c>
      <c r="H4899" s="8"/>
      <c r="I4899" s="10"/>
      <c r="J4899" s="10" t="s">
        <v>31577</v>
      </c>
      <c r="K4899" s="10" t="s">
        <v>31578</v>
      </c>
      <c r="L4899" s="11" t="s">
        <v>31579</v>
      </c>
      <c r="M4899" s="10"/>
      <c r="N4899" s="12"/>
      <c r="O4899" s="12"/>
      <c r="P4899" s="13">
        <f>IFERROR(__xludf.DUMMYFUNCTION("VALUE(SUBSTITUTE((INDEX(SPLIT(A4899,"",""),1)),""."","","",1))"),57.150612)</f>
        <v>57.150612</v>
      </c>
      <c r="Q4899" s="13">
        <f>IFERROR(__xludf.DUMMYFUNCTION("VALUE(SUBSTITUTE((INDEX(SPLIT(A4899,"",""),2)),""."","","",1))"),65.547308)</f>
        <v>65.547308</v>
      </c>
      <c r="R4899" s="14" t="b">
        <f t="shared" si="1"/>
        <v>0</v>
      </c>
      <c r="S4899" s="14" t="str">
        <f t="shared" si="2"/>
        <v>57.150612,65.547308</v>
      </c>
      <c r="T4899" s="12"/>
    </row>
    <row r="4900">
      <c r="A4900" s="16" t="s">
        <v>26682</v>
      </c>
      <c r="B4900" s="16" t="s">
        <v>31580</v>
      </c>
      <c r="C4900" s="16" t="s">
        <v>31581</v>
      </c>
      <c r="D4900" s="16" t="s">
        <v>16</v>
      </c>
      <c r="E4900" s="17" t="s">
        <v>31582</v>
      </c>
      <c r="F4900" s="16" t="s">
        <v>18995</v>
      </c>
      <c r="G4900" s="16">
        <v>23.61</v>
      </c>
      <c r="H4900" s="16"/>
      <c r="I4900" s="16"/>
      <c r="J4900" s="16" t="s">
        <v>31583</v>
      </c>
      <c r="K4900" s="16" t="s">
        <v>31584</v>
      </c>
      <c r="L4900" s="16"/>
      <c r="M4900" s="25" t="s">
        <v>31585</v>
      </c>
      <c r="N4900" s="12"/>
      <c r="O4900" s="12"/>
      <c r="P4900" s="13">
        <f>IFERROR(__xludf.DUMMYFUNCTION("VALUE(SUBSTITUTE((INDEX(SPLIT(A4900,"",""),1)),""."","","",1))"),57.155279)</f>
        <v>57.155279</v>
      </c>
      <c r="Q4900" s="13">
        <f>IFERROR(__xludf.DUMMYFUNCTION("VALUE(SUBSTITUTE((INDEX(SPLIT(A4900,"",""),2)),""."","","",1))"),65.547946)</f>
        <v>65.547946</v>
      </c>
      <c r="R4900" s="14" t="b">
        <f t="shared" si="1"/>
        <v>0</v>
      </c>
      <c r="S4900" s="14" t="str">
        <f t="shared" si="2"/>
        <v>57.155279,65.547946</v>
      </c>
      <c r="T4900" s="12"/>
    </row>
    <row r="4901">
      <c r="A4901" s="8" t="s">
        <v>26689</v>
      </c>
      <c r="B4901" s="8" t="s">
        <v>31586</v>
      </c>
      <c r="C4901" s="8" t="s">
        <v>31587</v>
      </c>
      <c r="D4901" s="8" t="s">
        <v>16</v>
      </c>
      <c r="E4901" s="19" t="s">
        <v>31588</v>
      </c>
      <c r="F4901" s="8" t="s">
        <v>18995</v>
      </c>
      <c r="G4901" s="8">
        <v>23.61</v>
      </c>
      <c r="H4901" s="8"/>
      <c r="I4901" s="8"/>
      <c r="J4901" s="8" t="s">
        <v>31589</v>
      </c>
      <c r="K4901" s="8" t="s">
        <v>31590</v>
      </c>
      <c r="L4901" s="8"/>
      <c r="M4901" s="8"/>
      <c r="N4901" s="12"/>
      <c r="O4901" s="12"/>
      <c r="P4901" s="13">
        <f>IFERROR(__xludf.DUMMYFUNCTION("VALUE(SUBSTITUTE((INDEX(SPLIT(A4901,"",""),1)),""."","","",1))"),57.122166)</f>
        <v>57.122166</v>
      </c>
      <c r="Q4901" s="13">
        <f>IFERROR(__xludf.DUMMYFUNCTION("VALUE(SUBSTITUTE((INDEX(SPLIT(A4901,"",""),2)),""."","","",1))"),65.548027)</f>
        <v>65.548027</v>
      </c>
      <c r="R4901" s="14" t="b">
        <f t="shared" si="1"/>
        <v>0</v>
      </c>
      <c r="S4901" s="14" t="str">
        <f t="shared" si="2"/>
        <v>57.122166,65.548027</v>
      </c>
      <c r="T4901" s="12"/>
    </row>
    <row r="4902">
      <c r="A4902" s="22" t="s">
        <v>26697</v>
      </c>
      <c r="B4902" s="16" t="s">
        <v>31591</v>
      </c>
      <c r="C4902" s="16" t="s">
        <v>31592</v>
      </c>
      <c r="D4902" s="16" t="s">
        <v>16</v>
      </c>
      <c r="E4902" s="21" t="s">
        <v>31593</v>
      </c>
      <c r="F4902" s="22" t="s">
        <v>18995</v>
      </c>
      <c r="G4902" s="16">
        <v>23.61</v>
      </c>
      <c r="H4902" s="16"/>
      <c r="I4902" s="22"/>
      <c r="J4902" s="22" t="s">
        <v>31594</v>
      </c>
      <c r="K4902" s="22" t="s">
        <v>31595</v>
      </c>
      <c r="L4902" s="23" t="s">
        <v>31596</v>
      </c>
      <c r="M4902" s="22"/>
      <c r="N4902" s="12"/>
      <c r="O4902" s="12"/>
      <c r="P4902" s="13">
        <f>IFERROR(__xludf.DUMMYFUNCTION("VALUE(SUBSTITUTE((INDEX(SPLIT(A4902,"",""),1)),""."","","",1))"),57.146344)</f>
        <v>57.146344</v>
      </c>
      <c r="Q4902" s="13">
        <f>IFERROR(__xludf.DUMMYFUNCTION("VALUE(SUBSTITUTE((INDEX(SPLIT(A4902,"",""),2)),""."","","",1))"),65.549195)</f>
        <v>65.549195</v>
      </c>
      <c r="R4902" s="14" t="b">
        <f t="shared" si="1"/>
        <v>0</v>
      </c>
      <c r="S4902" s="14" t="str">
        <f t="shared" si="2"/>
        <v>57.146344,65.549195</v>
      </c>
      <c r="T4902" s="12"/>
    </row>
    <row r="4903">
      <c r="A4903" s="10" t="s">
        <v>26703</v>
      </c>
      <c r="B4903" s="8" t="s">
        <v>31597</v>
      </c>
      <c r="C4903" s="8" t="s">
        <v>31598</v>
      </c>
      <c r="D4903" s="8" t="s">
        <v>16</v>
      </c>
      <c r="E4903" s="9" t="s">
        <v>31599</v>
      </c>
      <c r="F4903" s="10" t="s">
        <v>18995</v>
      </c>
      <c r="G4903" s="8">
        <v>23.61</v>
      </c>
      <c r="H4903" s="8"/>
      <c r="I4903" s="10"/>
      <c r="J4903" s="10" t="s">
        <v>31600</v>
      </c>
      <c r="K4903" s="10" t="s">
        <v>31601</v>
      </c>
      <c r="L4903" s="11" t="s">
        <v>31602</v>
      </c>
      <c r="M4903" s="11" t="s">
        <v>31603</v>
      </c>
      <c r="N4903" s="12"/>
      <c r="O4903" s="12"/>
      <c r="P4903" s="13">
        <f>IFERROR(__xludf.DUMMYFUNCTION("VALUE(SUBSTITUTE((INDEX(SPLIT(A4903,"",""),1)),""."","","",1))"),57.156597)</f>
        <v>57.156597</v>
      </c>
      <c r="Q4903" s="13">
        <f>IFERROR(__xludf.DUMMYFUNCTION("VALUE(SUBSTITUTE((INDEX(SPLIT(A4903,"",""),2)),""."","","",1))"),65.557064)</f>
        <v>65.557064</v>
      </c>
      <c r="R4903" s="14" t="b">
        <f t="shared" si="1"/>
        <v>0</v>
      </c>
      <c r="S4903" s="14" t="str">
        <f t="shared" si="2"/>
        <v>57.156597,65.557064</v>
      </c>
      <c r="T4903" s="12"/>
    </row>
    <row r="4904">
      <c r="A4904" s="22" t="s">
        <v>26711</v>
      </c>
      <c r="B4904" s="16" t="s">
        <v>31604</v>
      </c>
      <c r="C4904" s="16" t="s">
        <v>31605</v>
      </c>
      <c r="D4904" s="16" t="s">
        <v>16</v>
      </c>
      <c r="E4904" s="21" t="s">
        <v>31606</v>
      </c>
      <c r="F4904" s="22" t="s">
        <v>18995</v>
      </c>
      <c r="G4904" s="16">
        <v>23.61</v>
      </c>
      <c r="H4904" s="16"/>
      <c r="I4904" s="28" t="s">
        <v>31607</v>
      </c>
      <c r="J4904" s="22" t="s">
        <v>31608</v>
      </c>
      <c r="K4904" s="22" t="s">
        <v>31609</v>
      </c>
      <c r="L4904" s="23" t="s">
        <v>31610</v>
      </c>
      <c r="M4904" s="22"/>
      <c r="N4904" s="12"/>
      <c r="O4904" s="12"/>
      <c r="P4904" s="13">
        <f>IFERROR(__xludf.DUMMYFUNCTION("VALUE(SUBSTITUTE((INDEX(SPLIT(A4904,"",""),1)),""."","","",1))"),57.122991)</f>
        <v>57.122991</v>
      </c>
      <c r="Q4904" s="13">
        <f>IFERROR(__xludf.DUMMYFUNCTION("VALUE(SUBSTITUTE((INDEX(SPLIT(A4904,"",""),2)),""."","","",1))"),65.557927)</f>
        <v>65.557927</v>
      </c>
      <c r="R4904" s="14" t="b">
        <f t="shared" si="1"/>
        <v>0</v>
      </c>
      <c r="S4904" s="14" t="str">
        <f t="shared" si="2"/>
        <v>57.122991,65.557927</v>
      </c>
      <c r="T4904" s="12"/>
    </row>
    <row r="4905">
      <c r="A4905" s="8" t="s">
        <v>26718</v>
      </c>
      <c r="B4905" s="8" t="s">
        <v>31611</v>
      </c>
      <c r="C4905" s="8" t="s">
        <v>31612</v>
      </c>
      <c r="D4905" s="8" t="s">
        <v>16</v>
      </c>
      <c r="E4905" s="19" t="s">
        <v>31613</v>
      </c>
      <c r="F4905" s="8" t="s">
        <v>18995</v>
      </c>
      <c r="G4905" s="8">
        <v>23.61</v>
      </c>
      <c r="H4905" s="8"/>
      <c r="I4905" s="8"/>
      <c r="J4905" s="8" t="s">
        <v>31614</v>
      </c>
      <c r="K4905" s="8" t="s">
        <v>31615</v>
      </c>
      <c r="L4905" s="8"/>
      <c r="M4905" s="8"/>
      <c r="N4905" s="12"/>
      <c r="O4905" s="12"/>
      <c r="P4905" s="13">
        <f>IFERROR(__xludf.DUMMYFUNCTION("VALUE(SUBSTITUTE((INDEX(SPLIT(A4905,"",""),1)),""."","","",1))"),57.134809)</f>
        <v>57.134809</v>
      </c>
      <c r="Q4905" s="13">
        <f>IFERROR(__xludf.DUMMYFUNCTION("VALUE(SUBSTITUTE((INDEX(SPLIT(A4905,"",""),2)),""."","","",1))"),65.557971)</f>
        <v>65.557971</v>
      </c>
      <c r="R4905" s="14" t="b">
        <f t="shared" si="1"/>
        <v>0</v>
      </c>
      <c r="S4905" s="14" t="str">
        <f t="shared" si="2"/>
        <v>57.134809,65.557971</v>
      </c>
      <c r="T4905" s="12"/>
    </row>
    <row r="4906">
      <c r="A4906" s="22" t="s">
        <v>26724</v>
      </c>
      <c r="B4906" s="16" t="s">
        <v>31616</v>
      </c>
      <c r="C4906" s="16" t="s">
        <v>31617</v>
      </c>
      <c r="D4906" s="16" t="s">
        <v>16</v>
      </c>
      <c r="E4906" s="21" t="s">
        <v>31618</v>
      </c>
      <c r="F4906" s="22" t="s">
        <v>18995</v>
      </c>
      <c r="G4906" s="16">
        <v>23.61</v>
      </c>
      <c r="H4906" s="16"/>
      <c r="I4906" s="22"/>
      <c r="J4906" s="22" t="s">
        <v>31619</v>
      </c>
      <c r="K4906" s="22" t="s">
        <v>31620</v>
      </c>
      <c r="L4906" s="23" t="s">
        <v>31621</v>
      </c>
      <c r="M4906" s="23" t="s">
        <v>31622</v>
      </c>
      <c r="N4906" s="12"/>
      <c r="O4906" s="12"/>
      <c r="P4906" s="13">
        <f>IFERROR(__xludf.DUMMYFUNCTION("VALUE(SUBSTITUTE((INDEX(SPLIT(A4906,"",""),1)),""."","","",1))"),57.136714)</f>
        <v>57.136714</v>
      </c>
      <c r="Q4906" s="13">
        <f>IFERROR(__xludf.DUMMYFUNCTION("VALUE(SUBSTITUTE((INDEX(SPLIT(A4906,"",""),2)),""."","","",1))"),65.559561)</f>
        <v>65.559561</v>
      </c>
      <c r="R4906" s="14" t="b">
        <f t="shared" si="1"/>
        <v>0</v>
      </c>
      <c r="S4906" s="14" t="str">
        <f t="shared" si="2"/>
        <v>57.136714,65.559561</v>
      </c>
      <c r="T4906" s="12"/>
    </row>
    <row r="4907">
      <c r="A4907" s="10" t="s">
        <v>26730</v>
      </c>
      <c r="B4907" s="8" t="s">
        <v>31623</v>
      </c>
      <c r="C4907" s="8" t="s">
        <v>31624</v>
      </c>
      <c r="D4907" s="8" t="s">
        <v>16</v>
      </c>
      <c r="E4907" s="9" t="s">
        <v>31625</v>
      </c>
      <c r="F4907" s="10" t="s">
        <v>18995</v>
      </c>
      <c r="G4907" s="8">
        <v>23.61</v>
      </c>
      <c r="H4907" s="8"/>
      <c r="I4907" s="10"/>
      <c r="J4907" s="10" t="s">
        <v>31626</v>
      </c>
      <c r="K4907" s="10" t="s">
        <v>31627</v>
      </c>
      <c r="L4907" s="11" t="s">
        <v>31628</v>
      </c>
      <c r="M4907" s="11" t="s">
        <v>31629</v>
      </c>
      <c r="N4907" s="12"/>
      <c r="O4907" s="12"/>
      <c r="P4907" s="13">
        <f>IFERROR(__xludf.DUMMYFUNCTION("VALUE(SUBSTITUTE((INDEX(SPLIT(A4907,"",""),1)),""."","","",1))"),57.125332)</f>
        <v>57.125332</v>
      </c>
      <c r="Q4907" s="13">
        <f>IFERROR(__xludf.DUMMYFUNCTION("VALUE(SUBSTITUTE((INDEX(SPLIT(A4907,"",""),2)),""."","","",1))"),65.567709)</f>
        <v>65.567709</v>
      </c>
      <c r="R4907" s="14" t="b">
        <f t="shared" si="1"/>
        <v>0</v>
      </c>
      <c r="S4907" s="14" t="str">
        <f t="shared" si="2"/>
        <v>57.125332,65.567709</v>
      </c>
      <c r="T4907" s="12"/>
    </row>
    <row r="4908">
      <c r="A4908" s="22" t="s">
        <v>26737</v>
      </c>
      <c r="B4908" s="16" t="s">
        <v>31630</v>
      </c>
      <c r="C4908" s="16" t="s">
        <v>31631</v>
      </c>
      <c r="D4908" s="16" t="s">
        <v>16</v>
      </c>
      <c r="E4908" s="21" t="s">
        <v>31632</v>
      </c>
      <c r="F4908" s="22" t="s">
        <v>18995</v>
      </c>
      <c r="G4908" s="16">
        <v>23.61</v>
      </c>
      <c r="H4908" s="16"/>
      <c r="I4908" s="22"/>
      <c r="J4908" s="22" t="s">
        <v>31633</v>
      </c>
      <c r="K4908" s="22" t="s">
        <v>31634</v>
      </c>
      <c r="L4908" s="23" t="s">
        <v>31635</v>
      </c>
      <c r="M4908" s="23" t="s">
        <v>31636</v>
      </c>
      <c r="N4908" s="12"/>
      <c r="O4908" s="12"/>
      <c r="P4908" s="13">
        <f>IFERROR(__xludf.DUMMYFUNCTION("VALUE(SUBSTITUTE((INDEX(SPLIT(A4908,"",""),1)),""."","","",1))"),57.099858)</f>
        <v>57.099858</v>
      </c>
      <c r="Q4908" s="13">
        <f>IFERROR(__xludf.DUMMYFUNCTION("VALUE(SUBSTITUTE((INDEX(SPLIT(A4908,"",""),2)),""."","","",1))"),65.569407)</f>
        <v>65.569407</v>
      </c>
      <c r="R4908" s="14" t="b">
        <f t="shared" si="1"/>
        <v>0</v>
      </c>
      <c r="S4908" s="14" t="str">
        <f t="shared" si="2"/>
        <v>57.099858,65.569407</v>
      </c>
      <c r="T4908" s="12"/>
    </row>
    <row r="4909">
      <c r="A4909" s="10" t="s">
        <v>26742</v>
      </c>
      <c r="B4909" s="8" t="s">
        <v>31637</v>
      </c>
      <c r="C4909" s="8" t="s">
        <v>31638</v>
      </c>
      <c r="D4909" s="8" t="s">
        <v>16</v>
      </c>
      <c r="E4909" s="9" t="s">
        <v>31639</v>
      </c>
      <c r="F4909" s="10" t="s">
        <v>18995</v>
      </c>
      <c r="G4909" s="8">
        <v>23.61</v>
      </c>
      <c r="H4909" s="8"/>
      <c r="I4909" s="10"/>
      <c r="J4909" s="10" t="s">
        <v>31640</v>
      </c>
      <c r="K4909" s="10" t="s">
        <v>31641</v>
      </c>
      <c r="L4909" s="11" t="s">
        <v>31642</v>
      </c>
      <c r="M4909" s="10"/>
      <c r="N4909" s="12"/>
      <c r="O4909" s="12"/>
      <c r="P4909" s="13">
        <f>IFERROR(__xludf.DUMMYFUNCTION("VALUE(SUBSTITUTE((INDEX(SPLIT(A4909,"",""),1)),""."","","",1))"),57.112372)</f>
        <v>57.112372</v>
      </c>
      <c r="Q4909" s="13">
        <f>IFERROR(__xludf.DUMMYFUNCTION("VALUE(SUBSTITUTE((INDEX(SPLIT(A4909,"",""),2)),""."","","",1))"),65.589242)</f>
        <v>65.589242</v>
      </c>
      <c r="R4909" s="14" t="b">
        <f t="shared" si="1"/>
        <v>0</v>
      </c>
      <c r="S4909" s="14" t="str">
        <f t="shared" si="2"/>
        <v>57.112372,65.589242</v>
      </c>
      <c r="T4909" s="12"/>
    </row>
    <row r="4910">
      <c r="A4910" s="16" t="s">
        <v>26749</v>
      </c>
      <c r="B4910" s="16" t="s">
        <v>31643</v>
      </c>
      <c r="C4910" s="16" t="s">
        <v>31644</v>
      </c>
      <c r="D4910" s="16" t="s">
        <v>16</v>
      </c>
      <c r="E4910" s="17" t="s">
        <v>31645</v>
      </c>
      <c r="F4910" s="16" t="s">
        <v>18995</v>
      </c>
      <c r="G4910" s="16">
        <v>23.61</v>
      </c>
      <c r="H4910" s="16"/>
      <c r="I4910" s="16"/>
      <c r="J4910" s="16" t="s">
        <v>31646</v>
      </c>
      <c r="K4910" s="16" t="s">
        <v>31647</v>
      </c>
      <c r="L4910" s="16"/>
      <c r="M4910" s="25" t="s">
        <v>31648</v>
      </c>
      <c r="N4910" s="12"/>
      <c r="O4910" s="12"/>
      <c r="P4910" s="13">
        <f>IFERROR(__xludf.DUMMYFUNCTION("VALUE(SUBSTITUTE((INDEX(SPLIT(A4910,"",""),1)),""."","","",1))"),57.204699)</f>
        <v>57.204699</v>
      </c>
      <c r="Q4910" s="13">
        <f>IFERROR(__xludf.DUMMYFUNCTION("VALUE(SUBSTITUTE((INDEX(SPLIT(A4910,"",""),2)),""."","","",1))"),65.594021)</f>
        <v>65.594021</v>
      </c>
      <c r="R4910" s="14" t="b">
        <f t="shared" si="1"/>
        <v>0</v>
      </c>
      <c r="S4910" s="14" t="str">
        <f t="shared" si="2"/>
        <v>57.204699,65.594021</v>
      </c>
      <c r="T4910" s="12"/>
    </row>
    <row r="4911">
      <c r="A4911" s="10" t="s">
        <v>26754</v>
      </c>
      <c r="B4911" s="8" t="s">
        <v>31649</v>
      </c>
      <c r="C4911" s="8" t="s">
        <v>31650</v>
      </c>
      <c r="D4911" s="8" t="s">
        <v>16</v>
      </c>
      <c r="E4911" s="9" t="s">
        <v>31651</v>
      </c>
      <c r="F4911" s="10" t="s">
        <v>18995</v>
      </c>
      <c r="G4911" s="8">
        <v>23.61</v>
      </c>
      <c r="H4911" s="8"/>
      <c r="I4911" s="10"/>
      <c r="J4911" s="10" t="s">
        <v>31652</v>
      </c>
      <c r="K4911" s="10" t="s">
        <v>31653</v>
      </c>
      <c r="L4911" s="11" t="s">
        <v>31654</v>
      </c>
      <c r="M4911" s="10"/>
      <c r="N4911" s="12"/>
      <c r="O4911" s="12"/>
      <c r="P4911" s="13">
        <f>IFERROR(__xludf.DUMMYFUNCTION("VALUE(SUBSTITUTE((INDEX(SPLIT(A4911,"",""),1)),""."","","",1))"),57.142809)</f>
        <v>57.142809</v>
      </c>
      <c r="Q4911" s="13">
        <f>IFERROR(__xludf.DUMMYFUNCTION("VALUE(SUBSTITUTE((INDEX(SPLIT(A4911,"",""),2)),""."","","",1))"),65.597003)</f>
        <v>65.597003</v>
      </c>
      <c r="R4911" s="14" t="b">
        <f t="shared" si="1"/>
        <v>0</v>
      </c>
      <c r="S4911" s="14" t="str">
        <f t="shared" si="2"/>
        <v>57.142809,65.597003</v>
      </c>
      <c r="T4911" s="12"/>
    </row>
    <row r="4912">
      <c r="A4912" s="22" t="s">
        <v>26754</v>
      </c>
      <c r="B4912" s="16" t="s">
        <v>31655</v>
      </c>
      <c r="C4912" s="16" t="s">
        <v>31656</v>
      </c>
      <c r="D4912" s="16" t="s">
        <v>16</v>
      </c>
      <c r="E4912" s="21" t="s">
        <v>31657</v>
      </c>
      <c r="F4912" s="22" t="s">
        <v>18995</v>
      </c>
      <c r="G4912" s="16">
        <v>23.61</v>
      </c>
      <c r="H4912" s="16"/>
      <c r="I4912" s="22"/>
      <c r="J4912" s="22" t="s">
        <v>31658</v>
      </c>
      <c r="K4912" s="22" t="s">
        <v>31653</v>
      </c>
      <c r="L4912" s="23" t="s">
        <v>31654</v>
      </c>
      <c r="M4912" s="22"/>
      <c r="N4912" s="12"/>
      <c r="O4912" s="12"/>
      <c r="P4912" s="13">
        <f>IFERROR(__xludf.DUMMYFUNCTION("VALUE(SUBSTITUTE((INDEX(SPLIT(A4912,"",""),1)),""."","","",1))"),57.142809)</f>
        <v>57.142809</v>
      </c>
      <c r="Q4912" s="13">
        <f>IFERROR(__xludf.DUMMYFUNCTION("VALUE(SUBSTITUTE((INDEX(SPLIT(A4912,"",""),2)),""."","","",1))"),65.597003)</f>
        <v>65.597003</v>
      </c>
      <c r="R4912" s="14" t="b">
        <f t="shared" si="1"/>
        <v>0</v>
      </c>
      <c r="S4912" s="14" t="str">
        <f t="shared" si="2"/>
        <v>57.142809,65.597003</v>
      </c>
      <c r="T4912" s="12"/>
    </row>
    <row r="4913">
      <c r="A4913" s="8" t="s">
        <v>26767</v>
      </c>
      <c r="B4913" s="8" t="s">
        <v>31659</v>
      </c>
      <c r="C4913" s="8" t="s">
        <v>31660</v>
      </c>
      <c r="D4913" s="8" t="s">
        <v>16</v>
      </c>
      <c r="E4913" s="19" t="s">
        <v>31661</v>
      </c>
      <c r="F4913" s="8" t="s">
        <v>18995</v>
      </c>
      <c r="G4913" s="8">
        <v>23.61</v>
      </c>
      <c r="H4913" s="8"/>
      <c r="I4913" s="8"/>
      <c r="J4913" s="8" t="s">
        <v>31662</v>
      </c>
      <c r="K4913" s="8" t="s">
        <v>31663</v>
      </c>
      <c r="L4913" s="8"/>
      <c r="M4913" s="24" t="s">
        <v>31629</v>
      </c>
      <c r="N4913" s="12"/>
      <c r="O4913" s="12"/>
      <c r="P4913" s="13">
        <f>IFERROR(__xludf.DUMMYFUNCTION("VALUE(SUBSTITUTE((INDEX(SPLIT(A4913,"",""),1)),""."","","",1))"),57.212513)</f>
        <v>57.212513</v>
      </c>
      <c r="Q4913" s="13">
        <f>IFERROR(__xludf.DUMMYFUNCTION("VALUE(SUBSTITUTE((INDEX(SPLIT(A4913,"",""),2)),""."","","",1))"),65.599069)</f>
        <v>65.599069</v>
      </c>
      <c r="R4913" s="14" t="b">
        <f t="shared" si="1"/>
        <v>0</v>
      </c>
      <c r="S4913" s="14" t="str">
        <f t="shared" si="2"/>
        <v>57.212513,65.599069</v>
      </c>
      <c r="T4913" s="12"/>
    </row>
    <row r="4914">
      <c r="A4914" s="22" t="s">
        <v>26775</v>
      </c>
      <c r="B4914" s="16" t="s">
        <v>31664</v>
      </c>
      <c r="C4914" s="16" t="s">
        <v>31665</v>
      </c>
      <c r="D4914" s="16" t="s">
        <v>16</v>
      </c>
      <c r="E4914" s="21" t="s">
        <v>31666</v>
      </c>
      <c r="F4914" s="22" t="s">
        <v>22263</v>
      </c>
      <c r="G4914" s="16">
        <v>23.61</v>
      </c>
      <c r="H4914" s="16"/>
      <c r="I4914" s="22"/>
      <c r="J4914" s="22" t="s">
        <v>31667</v>
      </c>
      <c r="K4914" s="22" t="s">
        <v>31668</v>
      </c>
      <c r="L4914" s="23" t="s">
        <v>31669</v>
      </c>
      <c r="M4914" s="22"/>
      <c r="N4914" s="12"/>
      <c r="O4914" s="12"/>
      <c r="P4914" s="13">
        <f>IFERROR(__xludf.DUMMYFUNCTION("VALUE(SUBSTITUTE((INDEX(SPLIT(A4914,"",""),1)),""."","","",1))"),57.114748)</f>
        <v>57.114748</v>
      </c>
      <c r="Q4914" s="13">
        <f>IFERROR(__xludf.DUMMYFUNCTION("VALUE(SUBSTITUTE((INDEX(SPLIT(A4914,"",""),2)),""."","","",1))"),65.599195)</f>
        <v>65.599195</v>
      </c>
      <c r="R4914" s="14" t="b">
        <f t="shared" si="1"/>
        <v>0</v>
      </c>
      <c r="S4914" s="14" t="str">
        <f t="shared" si="2"/>
        <v>57.114748,65.599195</v>
      </c>
      <c r="T4914" s="12"/>
    </row>
    <row r="4915">
      <c r="A4915" s="8" t="s">
        <v>26781</v>
      </c>
      <c r="B4915" s="8" t="s">
        <v>31670</v>
      </c>
      <c r="C4915" s="8" t="s">
        <v>31671</v>
      </c>
      <c r="D4915" s="8" t="s">
        <v>16</v>
      </c>
      <c r="E4915" s="19" t="s">
        <v>31672</v>
      </c>
      <c r="F4915" s="8" t="s">
        <v>18995</v>
      </c>
      <c r="G4915" s="8">
        <v>23.61</v>
      </c>
      <c r="H4915" s="8"/>
      <c r="I4915" s="8"/>
      <c r="J4915" s="8" t="s">
        <v>31673</v>
      </c>
      <c r="K4915" s="8" t="s">
        <v>31674</v>
      </c>
      <c r="L4915" s="8"/>
      <c r="M4915" s="24" t="s">
        <v>31675</v>
      </c>
      <c r="N4915" s="12"/>
      <c r="O4915" s="12"/>
      <c r="P4915" s="13">
        <f>IFERROR(__xludf.DUMMYFUNCTION("VALUE(SUBSTITUTE((INDEX(SPLIT(A4915,"",""),1)),""."","","",1))"),57.132396)</f>
        <v>57.132396</v>
      </c>
      <c r="Q4915" s="13">
        <f>IFERROR(__xludf.DUMMYFUNCTION("VALUE(SUBSTITUTE((INDEX(SPLIT(A4915,"",""),2)),""."","","",1))"),65.601621)</f>
        <v>65.601621</v>
      </c>
      <c r="R4915" s="14" t="b">
        <f t="shared" si="1"/>
        <v>0</v>
      </c>
      <c r="S4915" s="14" t="str">
        <f t="shared" si="2"/>
        <v>57.132396,65.601621</v>
      </c>
      <c r="T4915" s="12"/>
    </row>
    <row r="4916">
      <c r="A4916" s="22" t="s">
        <v>26789</v>
      </c>
      <c r="B4916" s="16" t="s">
        <v>31676</v>
      </c>
      <c r="C4916" s="16" t="s">
        <v>31677</v>
      </c>
      <c r="D4916" s="16" t="s">
        <v>16</v>
      </c>
      <c r="E4916" s="21" t="s">
        <v>31678</v>
      </c>
      <c r="F4916" s="22" t="s">
        <v>31293</v>
      </c>
      <c r="G4916" s="16">
        <v>23.61</v>
      </c>
      <c r="H4916" s="16"/>
      <c r="I4916" s="22"/>
      <c r="J4916" s="22" t="s">
        <v>31679</v>
      </c>
      <c r="K4916" s="22" t="s">
        <v>31680</v>
      </c>
      <c r="L4916" s="23" t="s">
        <v>31681</v>
      </c>
      <c r="M4916" s="23" t="s">
        <v>31682</v>
      </c>
      <c r="N4916" s="12"/>
      <c r="O4916" s="12"/>
      <c r="P4916" s="13">
        <f>IFERROR(__xludf.DUMMYFUNCTION("VALUE(SUBSTITUTE((INDEX(SPLIT(A4916,"",""),1)),""."","","",1))"),55.479312)</f>
        <v>55.479312</v>
      </c>
      <c r="Q4916" s="13">
        <f>IFERROR(__xludf.DUMMYFUNCTION("VALUE(SUBSTITUTE((INDEX(SPLIT(A4916,"",""),2)),""."","","",1))"),65.605941)</f>
        <v>65.605941</v>
      </c>
      <c r="R4916" s="14" t="b">
        <f t="shared" si="1"/>
        <v>0</v>
      </c>
      <c r="S4916" s="14" t="str">
        <f t="shared" si="2"/>
        <v>55.479312,65.605941</v>
      </c>
      <c r="T4916" s="12"/>
    </row>
    <row r="4917">
      <c r="A4917" s="8" t="s">
        <v>26796</v>
      </c>
      <c r="B4917" s="8" t="s">
        <v>21797</v>
      </c>
      <c r="C4917" s="8" t="s">
        <v>21798</v>
      </c>
      <c r="D4917" s="8" t="s">
        <v>16</v>
      </c>
      <c r="E4917" s="19" t="s">
        <v>31683</v>
      </c>
      <c r="F4917" s="8" t="s">
        <v>18995</v>
      </c>
      <c r="G4917" s="8">
        <v>23.61</v>
      </c>
      <c r="H4917" s="8"/>
      <c r="I4917" s="8"/>
      <c r="J4917" s="8" t="s">
        <v>31684</v>
      </c>
      <c r="K4917" s="8" t="s">
        <v>31685</v>
      </c>
      <c r="L4917" s="8"/>
      <c r="M4917" s="8"/>
      <c r="N4917" s="12"/>
      <c r="O4917" s="12"/>
      <c r="P4917" s="13">
        <f>IFERROR(__xludf.DUMMYFUNCTION("VALUE(SUBSTITUTE((INDEX(SPLIT(A4917,"",""),1)),""."","","",1))"),57.127828)</f>
        <v>57.127828</v>
      </c>
      <c r="Q4917" s="13">
        <f>IFERROR(__xludf.DUMMYFUNCTION("VALUE(SUBSTITUTE((INDEX(SPLIT(A4917,"",""),2)),""."","","",1))"),65.606193)</f>
        <v>65.606193</v>
      </c>
      <c r="R4917" s="14" t="b">
        <f t="shared" si="1"/>
        <v>0</v>
      </c>
      <c r="S4917" s="14" t="str">
        <f t="shared" si="2"/>
        <v>57.127828,65.606193</v>
      </c>
      <c r="T4917" s="12"/>
    </row>
    <row r="4918">
      <c r="A4918" s="16" t="s">
        <v>26802</v>
      </c>
      <c r="B4918" s="16" t="s">
        <v>31686</v>
      </c>
      <c r="C4918" s="16" t="s">
        <v>31687</v>
      </c>
      <c r="D4918" s="16" t="s">
        <v>16</v>
      </c>
      <c r="E4918" s="17" t="s">
        <v>31688</v>
      </c>
      <c r="F4918" s="16" t="s">
        <v>18995</v>
      </c>
      <c r="G4918" s="16">
        <v>23.61</v>
      </c>
      <c r="H4918" s="16"/>
      <c r="I4918" s="16"/>
      <c r="J4918" s="16" t="s">
        <v>31689</v>
      </c>
      <c r="K4918" s="16" t="s">
        <v>31690</v>
      </c>
      <c r="L4918" s="16"/>
      <c r="M4918" s="25" t="s">
        <v>31691</v>
      </c>
      <c r="N4918" s="12"/>
      <c r="O4918" s="12"/>
      <c r="P4918" s="13">
        <f>IFERROR(__xludf.DUMMYFUNCTION("VALUE(SUBSTITUTE((INDEX(SPLIT(A4918,"",""),1)),""."","","",1))"),57.209993)</f>
        <v>57.209993</v>
      </c>
      <c r="Q4918" s="13">
        <f>IFERROR(__xludf.DUMMYFUNCTION("VALUE(SUBSTITUTE((INDEX(SPLIT(A4918,"",""),2)),""."","","",1))"),65.607316)</f>
        <v>65.607316</v>
      </c>
      <c r="R4918" s="14" t="b">
        <f t="shared" si="1"/>
        <v>0</v>
      </c>
      <c r="S4918" s="14" t="str">
        <f t="shared" si="2"/>
        <v>57.209993,65.607316</v>
      </c>
      <c r="T4918" s="12"/>
    </row>
    <row r="4919">
      <c r="A4919" s="10" t="s">
        <v>26810</v>
      </c>
      <c r="B4919" s="8" t="s">
        <v>31692</v>
      </c>
      <c r="C4919" s="8" t="s">
        <v>31693</v>
      </c>
      <c r="D4919" s="8" t="s">
        <v>16</v>
      </c>
      <c r="E4919" s="9" t="s">
        <v>31694</v>
      </c>
      <c r="F4919" s="10" t="s">
        <v>18995</v>
      </c>
      <c r="G4919" s="8">
        <v>23.61</v>
      </c>
      <c r="H4919" s="8"/>
      <c r="I4919" s="10"/>
      <c r="J4919" s="10" t="s">
        <v>31695</v>
      </c>
      <c r="K4919" s="10" t="s">
        <v>31545</v>
      </c>
      <c r="L4919" s="11" t="s">
        <v>31696</v>
      </c>
      <c r="M4919" s="10"/>
      <c r="N4919" s="12"/>
      <c r="O4919" s="12"/>
      <c r="P4919" s="13">
        <f>IFERROR(__xludf.DUMMYFUNCTION("VALUE(SUBSTITUTE((INDEX(SPLIT(A4919,"",""),1)),""."","","",1))"),57.108643)</f>
        <v>57.108643</v>
      </c>
      <c r="Q4919" s="13">
        <f>IFERROR(__xludf.DUMMYFUNCTION("VALUE(SUBSTITUTE((INDEX(SPLIT(A4919,"",""),2)),""."","","",1))"),65.608538)</f>
        <v>65.608538</v>
      </c>
      <c r="R4919" s="14" t="b">
        <f t="shared" si="1"/>
        <v>0</v>
      </c>
      <c r="S4919" s="14" t="str">
        <f t="shared" si="2"/>
        <v>57.108643,65.608538</v>
      </c>
      <c r="T4919" s="12"/>
    </row>
    <row r="4920">
      <c r="A4920" s="22" t="s">
        <v>26819</v>
      </c>
      <c r="B4920" s="16" t="s">
        <v>31697</v>
      </c>
      <c r="C4920" s="16" t="s">
        <v>31698</v>
      </c>
      <c r="D4920" s="16" t="s">
        <v>16</v>
      </c>
      <c r="E4920" s="21" t="s">
        <v>31699</v>
      </c>
      <c r="F4920" s="22" t="s">
        <v>18995</v>
      </c>
      <c r="G4920" s="16">
        <v>23.61</v>
      </c>
      <c r="H4920" s="16"/>
      <c r="I4920" s="22"/>
      <c r="J4920" s="22" t="s">
        <v>31700</v>
      </c>
      <c r="K4920" s="22" t="s">
        <v>31701</v>
      </c>
      <c r="L4920" s="23" t="s">
        <v>31702</v>
      </c>
      <c r="M4920" s="22"/>
      <c r="N4920" s="12"/>
      <c r="O4920" s="12"/>
      <c r="P4920" s="13">
        <f>IFERROR(__xludf.DUMMYFUNCTION("VALUE(SUBSTITUTE((INDEX(SPLIT(A4920,"",""),1)),""."","","",1))"),57.131204)</f>
        <v>57.131204</v>
      </c>
      <c r="Q4920" s="13">
        <f>IFERROR(__xludf.DUMMYFUNCTION("VALUE(SUBSTITUTE((INDEX(SPLIT(A4920,"",""),2)),""."","","",1))"),65.614493)</f>
        <v>65.614493</v>
      </c>
      <c r="R4920" s="14" t="b">
        <f t="shared" si="1"/>
        <v>0</v>
      </c>
      <c r="S4920" s="14" t="str">
        <f t="shared" si="2"/>
        <v>57.131204,65.614493</v>
      </c>
      <c r="T4920" s="12"/>
    </row>
    <row r="4921">
      <c r="A4921" s="10" t="s">
        <v>26825</v>
      </c>
      <c r="B4921" s="8" t="s">
        <v>516</v>
      </c>
      <c r="C4921" s="8" t="s">
        <v>517</v>
      </c>
      <c r="D4921" s="8" t="s">
        <v>16</v>
      </c>
      <c r="E4921" s="9" t="s">
        <v>31703</v>
      </c>
      <c r="F4921" s="10" t="s">
        <v>18995</v>
      </c>
      <c r="G4921" s="8">
        <v>23.61</v>
      </c>
      <c r="H4921" s="8"/>
      <c r="I4921" s="10"/>
      <c r="J4921" s="10" t="s">
        <v>31704</v>
      </c>
      <c r="K4921" s="10" t="s">
        <v>31705</v>
      </c>
      <c r="L4921" s="11" t="s">
        <v>31706</v>
      </c>
      <c r="M4921" s="11" t="s">
        <v>31707</v>
      </c>
      <c r="N4921" s="12"/>
      <c r="O4921" s="12"/>
      <c r="P4921" s="13">
        <f>IFERROR(__xludf.DUMMYFUNCTION("VALUE(SUBSTITUTE((INDEX(SPLIT(A4921,"",""),1)),""."","","",1))"),57.12774)</f>
        <v>57.12774</v>
      </c>
      <c r="Q4921" s="13">
        <f>IFERROR(__xludf.DUMMYFUNCTION("VALUE(SUBSTITUTE((INDEX(SPLIT(A4921,"",""),2)),""."","","",1))"),65.617763)</f>
        <v>65.617763</v>
      </c>
      <c r="R4921" s="14" t="b">
        <f t="shared" si="1"/>
        <v>0</v>
      </c>
      <c r="S4921" s="14" t="str">
        <f t="shared" si="2"/>
        <v>57.12774,65.617763</v>
      </c>
      <c r="T4921" s="12"/>
    </row>
    <row r="4922">
      <c r="A4922" s="16" t="s">
        <v>26832</v>
      </c>
      <c r="B4922" s="16" t="s">
        <v>31708</v>
      </c>
      <c r="C4922" s="16" t="s">
        <v>31709</v>
      </c>
      <c r="D4922" s="16" t="s">
        <v>16</v>
      </c>
      <c r="E4922" s="17" t="s">
        <v>31710</v>
      </c>
      <c r="F4922" s="16" t="s">
        <v>18995</v>
      </c>
      <c r="G4922" s="16">
        <v>23.61</v>
      </c>
      <c r="H4922" s="16"/>
      <c r="I4922" s="16"/>
      <c r="J4922" s="16" t="s">
        <v>31711</v>
      </c>
      <c r="K4922" s="16" t="s">
        <v>31712</v>
      </c>
      <c r="L4922" s="16"/>
      <c r="M4922" s="16"/>
      <c r="N4922" s="12"/>
      <c r="O4922" s="12"/>
      <c r="P4922" s="13">
        <f>IFERROR(__xludf.DUMMYFUNCTION("VALUE(SUBSTITUTE((INDEX(SPLIT(A4922,"",""),1)),""."","","",1))"),57.121506)</f>
        <v>57.121506</v>
      </c>
      <c r="Q4922" s="13">
        <f>IFERROR(__xludf.DUMMYFUNCTION("VALUE(SUBSTITUTE((INDEX(SPLIT(A4922,"",""),2)),""."","","",1))"),65.618922)</f>
        <v>65.618922</v>
      </c>
      <c r="R4922" s="14" t="b">
        <f t="shared" si="1"/>
        <v>0</v>
      </c>
      <c r="S4922" s="14" t="str">
        <f t="shared" si="2"/>
        <v>57.121506,65.618922</v>
      </c>
      <c r="T4922" s="12"/>
    </row>
    <row r="4923">
      <c r="A4923" s="10" t="s">
        <v>26839</v>
      </c>
      <c r="B4923" s="8" t="s">
        <v>31713</v>
      </c>
      <c r="C4923" s="8" t="s">
        <v>31714</v>
      </c>
      <c r="D4923" s="8" t="s">
        <v>16</v>
      </c>
      <c r="E4923" s="9" t="s">
        <v>31715</v>
      </c>
      <c r="F4923" s="10" t="s">
        <v>18995</v>
      </c>
      <c r="G4923" s="8">
        <v>23.61</v>
      </c>
      <c r="H4923" s="8"/>
      <c r="I4923" s="10"/>
      <c r="J4923" s="10" t="s">
        <v>31716</v>
      </c>
      <c r="K4923" s="10" t="s">
        <v>31717</v>
      </c>
      <c r="L4923" s="11" t="s">
        <v>31718</v>
      </c>
      <c r="M4923" s="10"/>
      <c r="N4923" s="12"/>
      <c r="O4923" s="12"/>
      <c r="P4923" s="13">
        <f>IFERROR(__xludf.DUMMYFUNCTION("VALUE(SUBSTITUTE((INDEX(SPLIT(A4923,"",""),1)),""."","","",1))"),57.139889)</f>
        <v>57.139889</v>
      </c>
      <c r="Q4923" s="13">
        <f>IFERROR(__xludf.DUMMYFUNCTION("VALUE(SUBSTITUTE((INDEX(SPLIT(A4923,"",""),2)),""."","","",1))"),65.619488)</f>
        <v>65.619488</v>
      </c>
      <c r="R4923" s="14" t="b">
        <f t="shared" si="1"/>
        <v>0</v>
      </c>
      <c r="S4923" s="14" t="str">
        <f t="shared" si="2"/>
        <v>57.139889,65.619488</v>
      </c>
      <c r="T4923" s="12"/>
    </row>
    <row r="4924">
      <c r="A4924" s="16" t="s">
        <v>26846</v>
      </c>
      <c r="B4924" s="16" t="s">
        <v>89</v>
      </c>
      <c r="C4924" s="16" t="s">
        <v>90</v>
      </c>
      <c r="D4924" s="16" t="s">
        <v>16</v>
      </c>
      <c r="E4924" s="17" t="s">
        <v>31719</v>
      </c>
      <c r="F4924" s="16" t="s">
        <v>18995</v>
      </c>
      <c r="G4924" s="16">
        <v>23.61</v>
      </c>
      <c r="H4924" s="16"/>
      <c r="I4924" s="16"/>
      <c r="J4924" s="16" t="s">
        <v>31720</v>
      </c>
      <c r="K4924" s="16" t="s">
        <v>31721</v>
      </c>
      <c r="L4924" s="16"/>
      <c r="M4924" s="16"/>
      <c r="N4924" s="12"/>
      <c r="O4924" s="12"/>
      <c r="P4924" s="13">
        <f>IFERROR(__xludf.DUMMYFUNCTION("VALUE(SUBSTITUTE((INDEX(SPLIT(A4924,"",""),1)),""."","","",1))"),57.116776)</f>
        <v>57.116776</v>
      </c>
      <c r="Q4924" s="13">
        <f>IFERROR(__xludf.DUMMYFUNCTION("VALUE(SUBSTITUTE((INDEX(SPLIT(A4924,"",""),2)),""."","","",1))"),65.624052)</f>
        <v>65.624052</v>
      </c>
      <c r="R4924" s="14" t="b">
        <f t="shared" si="1"/>
        <v>0</v>
      </c>
      <c r="S4924" s="14" t="str">
        <f t="shared" si="2"/>
        <v>57.116776,65.624052</v>
      </c>
      <c r="T4924" s="12"/>
    </row>
    <row r="4925">
      <c r="A4925" s="10" t="s">
        <v>26854</v>
      </c>
      <c r="B4925" s="8" t="s">
        <v>31722</v>
      </c>
      <c r="C4925" s="8" t="s">
        <v>31723</v>
      </c>
      <c r="D4925" s="8" t="s">
        <v>16</v>
      </c>
      <c r="E4925" s="9" t="s">
        <v>31724</v>
      </c>
      <c r="F4925" s="10" t="s">
        <v>18995</v>
      </c>
      <c r="G4925" s="8">
        <v>23.61</v>
      </c>
      <c r="H4925" s="8"/>
      <c r="I4925" s="10"/>
      <c r="J4925" s="10" t="s">
        <v>31725</v>
      </c>
      <c r="K4925" s="10" t="s">
        <v>31726</v>
      </c>
      <c r="L4925" s="11" t="s">
        <v>31727</v>
      </c>
      <c r="M4925" s="11" t="s">
        <v>31728</v>
      </c>
      <c r="N4925" s="12"/>
      <c r="O4925" s="12"/>
      <c r="P4925" s="13">
        <f>IFERROR(__xludf.DUMMYFUNCTION("VALUE(SUBSTITUTE((INDEX(SPLIT(A4925,"",""),1)),""."","","",1))"),57.211572)</f>
        <v>57.211572</v>
      </c>
      <c r="Q4925" s="13">
        <f>IFERROR(__xludf.DUMMYFUNCTION("VALUE(SUBSTITUTE((INDEX(SPLIT(A4925,"",""),2)),""."","","",1))"),65.638892)</f>
        <v>65.638892</v>
      </c>
      <c r="R4925" s="14" t="b">
        <f t="shared" si="1"/>
        <v>0</v>
      </c>
      <c r="S4925" s="14" t="str">
        <f t="shared" si="2"/>
        <v>57.211572,65.638892</v>
      </c>
      <c r="T4925" s="12"/>
    </row>
    <row r="4926">
      <c r="A4926" s="22" t="s">
        <v>26859</v>
      </c>
      <c r="B4926" s="16" t="s">
        <v>9645</v>
      </c>
      <c r="C4926" s="16" t="s">
        <v>9646</v>
      </c>
      <c r="D4926" s="16" t="s">
        <v>16</v>
      </c>
      <c r="E4926" s="21" t="s">
        <v>31729</v>
      </c>
      <c r="F4926" s="22" t="s">
        <v>18995</v>
      </c>
      <c r="G4926" s="16">
        <v>23.61</v>
      </c>
      <c r="H4926" s="16"/>
      <c r="I4926" s="22"/>
      <c r="J4926" s="22" t="s">
        <v>31730</v>
      </c>
      <c r="K4926" s="22" t="s">
        <v>31731</v>
      </c>
      <c r="L4926" s="23" t="s">
        <v>31732</v>
      </c>
      <c r="M4926" s="22"/>
      <c r="N4926" s="12"/>
      <c r="O4926" s="12"/>
      <c r="P4926" s="13">
        <f>IFERROR(__xludf.DUMMYFUNCTION("VALUE(SUBSTITUTE((INDEX(SPLIT(A4926,"",""),1)),""."","","",1))"),57.114753)</f>
        <v>57.114753</v>
      </c>
      <c r="Q4926" s="13">
        <f>IFERROR(__xludf.DUMMYFUNCTION("VALUE(SUBSTITUTE((INDEX(SPLIT(A4926,"",""),2)),""."","","",1))"),65.645431)</f>
        <v>65.645431</v>
      </c>
      <c r="R4926" s="14" t="b">
        <f t="shared" si="1"/>
        <v>0</v>
      </c>
      <c r="S4926" s="14" t="str">
        <f t="shared" si="2"/>
        <v>57.114753,65.645431</v>
      </c>
      <c r="T4926" s="12"/>
    </row>
    <row r="4927">
      <c r="A4927" s="8" t="s">
        <v>26866</v>
      </c>
      <c r="B4927" s="8" t="s">
        <v>3880</v>
      </c>
      <c r="C4927" s="8" t="s">
        <v>3881</v>
      </c>
      <c r="D4927" s="8" t="s">
        <v>16</v>
      </c>
      <c r="E4927" s="19" t="s">
        <v>31733</v>
      </c>
      <c r="F4927" s="8" t="s">
        <v>18995</v>
      </c>
      <c r="G4927" s="8">
        <v>23.61</v>
      </c>
      <c r="H4927" s="8"/>
      <c r="I4927" s="8"/>
      <c r="J4927" s="8" t="s">
        <v>31734</v>
      </c>
      <c r="K4927" s="8" t="s">
        <v>31735</v>
      </c>
      <c r="L4927" s="8"/>
      <c r="M4927" s="8"/>
      <c r="N4927" s="12"/>
      <c r="O4927" s="12"/>
      <c r="P4927" s="13">
        <f>IFERROR(__xludf.DUMMYFUNCTION("VALUE(SUBSTITUTE((INDEX(SPLIT(A4927,"",""),1)),""."","","",1))"),57.190075)</f>
        <v>57.190075</v>
      </c>
      <c r="Q4927" s="13">
        <f>IFERROR(__xludf.DUMMYFUNCTION("VALUE(SUBSTITUTE((INDEX(SPLIT(A4927,"",""),2)),""."","","",1))"),65.648216)</f>
        <v>65.648216</v>
      </c>
      <c r="R4927" s="14" t="b">
        <f t="shared" si="1"/>
        <v>0</v>
      </c>
      <c r="S4927" s="14" t="str">
        <f t="shared" si="2"/>
        <v>57.190075,65.648216</v>
      </c>
      <c r="T4927" s="12"/>
    </row>
    <row r="4928">
      <c r="A4928" s="16" t="s">
        <v>26873</v>
      </c>
      <c r="B4928" s="16" t="s">
        <v>1054</v>
      </c>
      <c r="C4928" s="16" t="s">
        <v>1055</v>
      </c>
      <c r="D4928" s="16" t="s">
        <v>16</v>
      </c>
      <c r="E4928" s="17" t="s">
        <v>31736</v>
      </c>
      <c r="F4928" s="16" t="s">
        <v>18995</v>
      </c>
      <c r="G4928" s="16">
        <v>23.61</v>
      </c>
      <c r="H4928" s="16"/>
      <c r="I4928" s="16"/>
      <c r="J4928" s="16" t="s">
        <v>31737</v>
      </c>
      <c r="K4928" s="16" t="s">
        <v>31738</v>
      </c>
      <c r="L4928" s="16"/>
      <c r="M4928" s="16"/>
      <c r="N4928" s="12"/>
      <c r="O4928" s="12"/>
      <c r="P4928" s="13">
        <f>IFERROR(__xludf.DUMMYFUNCTION("VALUE(SUBSTITUTE((INDEX(SPLIT(A4928,"",""),1)),""."","","",1))"),57.106595)</f>
        <v>57.106595</v>
      </c>
      <c r="Q4928" s="13">
        <f>IFERROR(__xludf.DUMMYFUNCTION("VALUE(SUBSTITUTE((INDEX(SPLIT(A4928,"",""),2)),""."","","",1))"),65.649222)</f>
        <v>65.649222</v>
      </c>
      <c r="R4928" s="14" t="b">
        <f t="shared" si="1"/>
        <v>0</v>
      </c>
      <c r="S4928" s="14" t="str">
        <f t="shared" si="2"/>
        <v>57.106595,65.649222</v>
      </c>
      <c r="T4928" s="12"/>
    </row>
    <row r="4929">
      <c r="A4929" s="8" t="s">
        <v>26879</v>
      </c>
      <c r="B4929" s="8" t="s">
        <v>31739</v>
      </c>
      <c r="C4929" s="8" t="s">
        <v>31740</v>
      </c>
      <c r="D4929" s="8" t="s">
        <v>16</v>
      </c>
      <c r="E4929" s="19" t="s">
        <v>31741</v>
      </c>
      <c r="F4929" s="8" t="s">
        <v>18995</v>
      </c>
      <c r="G4929" s="8">
        <v>23.61</v>
      </c>
      <c r="H4929" s="8"/>
      <c r="I4929" s="8"/>
      <c r="J4929" s="8" t="s">
        <v>31742</v>
      </c>
      <c r="K4929" s="8" t="s">
        <v>31743</v>
      </c>
      <c r="L4929" s="8"/>
      <c r="M4929" s="8"/>
      <c r="N4929" s="12"/>
      <c r="O4929" s="12"/>
      <c r="P4929" s="13">
        <f>IFERROR(__xludf.DUMMYFUNCTION("VALUE(SUBSTITUTE((INDEX(SPLIT(A4929,"",""),1)),""."","","",1))"),57.115183)</f>
        <v>57.115183</v>
      </c>
      <c r="Q4929" s="13">
        <f>IFERROR(__xludf.DUMMYFUNCTION("VALUE(SUBSTITUTE((INDEX(SPLIT(A4929,"",""),2)),""."","","",1))"),65.656301)</f>
        <v>65.656301</v>
      </c>
      <c r="R4929" s="14" t="b">
        <f t="shared" si="1"/>
        <v>0</v>
      </c>
      <c r="S4929" s="14" t="str">
        <f t="shared" si="2"/>
        <v>57.115183,65.656301</v>
      </c>
      <c r="T4929" s="12"/>
    </row>
    <row r="4930">
      <c r="A4930" s="22" t="s">
        <v>26884</v>
      </c>
      <c r="B4930" s="16" t="s">
        <v>31744</v>
      </c>
      <c r="C4930" s="16" t="s">
        <v>31745</v>
      </c>
      <c r="D4930" s="16" t="s">
        <v>16</v>
      </c>
      <c r="E4930" s="21" t="s">
        <v>31746</v>
      </c>
      <c r="F4930" s="22" t="s">
        <v>18995</v>
      </c>
      <c r="G4930" s="16">
        <v>23.61</v>
      </c>
      <c r="H4930" s="16"/>
      <c r="I4930" s="22"/>
      <c r="J4930" s="22" t="s">
        <v>31747</v>
      </c>
      <c r="K4930" s="22" t="s">
        <v>31748</v>
      </c>
      <c r="L4930" s="23" t="s">
        <v>31749</v>
      </c>
      <c r="M4930" s="23" t="s">
        <v>31750</v>
      </c>
      <c r="N4930" s="12"/>
      <c r="O4930" s="12"/>
      <c r="P4930" s="13">
        <f>IFERROR(__xludf.DUMMYFUNCTION("VALUE(SUBSTITUTE((INDEX(SPLIT(A4930,"",""),1)),""."","","",1))"),57.118506)</f>
        <v>57.118506</v>
      </c>
      <c r="Q4930" s="13">
        <f>IFERROR(__xludf.DUMMYFUNCTION("VALUE(SUBSTITUTE((INDEX(SPLIT(A4930,"",""),2)),""."","","",1))"),65.664952)</f>
        <v>65.664952</v>
      </c>
      <c r="R4930" s="14" t="b">
        <f t="shared" si="1"/>
        <v>0</v>
      </c>
      <c r="S4930" s="14" t="str">
        <f t="shared" si="2"/>
        <v>57.118506,65.664952</v>
      </c>
      <c r="T4930" s="12"/>
    </row>
    <row r="4931">
      <c r="A4931" s="10" t="s">
        <v>26884</v>
      </c>
      <c r="B4931" s="8" t="s">
        <v>31751</v>
      </c>
      <c r="C4931" s="8" t="s">
        <v>31752</v>
      </c>
      <c r="D4931" s="8" t="s">
        <v>16</v>
      </c>
      <c r="E4931" s="9" t="s">
        <v>31753</v>
      </c>
      <c r="F4931" s="10" t="s">
        <v>18995</v>
      </c>
      <c r="G4931" s="8">
        <v>23.61</v>
      </c>
      <c r="H4931" s="8"/>
      <c r="I4931" s="10"/>
      <c r="J4931" s="10" t="s">
        <v>31754</v>
      </c>
      <c r="K4931" s="10" t="s">
        <v>31755</v>
      </c>
      <c r="L4931" s="11" t="s">
        <v>31749</v>
      </c>
      <c r="M4931" s="11" t="s">
        <v>31756</v>
      </c>
      <c r="N4931" s="12"/>
      <c r="O4931" s="12"/>
      <c r="P4931" s="13">
        <f>IFERROR(__xludf.DUMMYFUNCTION("VALUE(SUBSTITUTE((INDEX(SPLIT(A4931,"",""),1)),""."","","",1))"),57.118506)</f>
        <v>57.118506</v>
      </c>
      <c r="Q4931" s="13">
        <f>IFERROR(__xludf.DUMMYFUNCTION("VALUE(SUBSTITUTE((INDEX(SPLIT(A4931,"",""),2)),""."","","",1))"),65.664952)</f>
        <v>65.664952</v>
      </c>
      <c r="R4931" s="14" t="b">
        <f t="shared" si="1"/>
        <v>0</v>
      </c>
      <c r="S4931" s="14" t="str">
        <f t="shared" si="2"/>
        <v>57.118506,65.664952</v>
      </c>
      <c r="T4931" s="12"/>
    </row>
    <row r="4932">
      <c r="A4932" s="16" t="s">
        <v>26884</v>
      </c>
      <c r="B4932" s="16" t="s">
        <v>31757</v>
      </c>
      <c r="C4932" s="16" t="s">
        <v>31758</v>
      </c>
      <c r="D4932" s="16" t="s">
        <v>16</v>
      </c>
      <c r="E4932" s="17" t="s">
        <v>31759</v>
      </c>
      <c r="F4932" s="16" t="s">
        <v>18995</v>
      </c>
      <c r="G4932" s="16">
        <v>23.61</v>
      </c>
      <c r="H4932" s="16"/>
      <c r="I4932" s="16"/>
      <c r="J4932" s="16" t="s">
        <v>31760</v>
      </c>
      <c r="K4932" s="16" t="s">
        <v>31748</v>
      </c>
      <c r="L4932" s="16"/>
      <c r="M4932" s="25" t="s">
        <v>31761</v>
      </c>
      <c r="N4932" s="12"/>
      <c r="O4932" s="12"/>
      <c r="P4932" s="13">
        <f>IFERROR(__xludf.DUMMYFUNCTION("VALUE(SUBSTITUTE((INDEX(SPLIT(A4932,"",""),1)),""."","","",1))"),57.118506)</f>
        <v>57.118506</v>
      </c>
      <c r="Q4932" s="13">
        <f>IFERROR(__xludf.DUMMYFUNCTION("VALUE(SUBSTITUTE((INDEX(SPLIT(A4932,"",""),2)),""."","","",1))"),65.664952)</f>
        <v>65.664952</v>
      </c>
      <c r="R4932" s="14" t="b">
        <f t="shared" si="1"/>
        <v>0</v>
      </c>
      <c r="S4932" s="14" t="str">
        <f t="shared" si="2"/>
        <v>57.118506,65.664952</v>
      </c>
      <c r="T4932" s="12"/>
    </row>
    <row r="4933">
      <c r="A4933" s="10" t="s">
        <v>26901</v>
      </c>
      <c r="B4933" s="8" t="s">
        <v>24</v>
      </c>
      <c r="C4933" s="8" t="s">
        <v>25</v>
      </c>
      <c r="D4933" s="8" t="s">
        <v>16</v>
      </c>
      <c r="E4933" s="9" t="s">
        <v>31762</v>
      </c>
      <c r="F4933" s="10" t="s">
        <v>18995</v>
      </c>
      <c r="G4933" s="8">
        <v>23.61</v>
      </c>
      <c r="H4933" s="8"/>
      <c r="I4933" s="10"/>
      <c r="J4933" s="10" t="s">
        <v>31763</v>
      </c>
      <c r="K4933" s="10" t="s">
        <v>31764</v>
      </c>
      <c r="L4933" s="11" t="s">
        <v>31765</v>
      </c>
      <c r="M4933" s="10"/>
      <c r="N4933" s="12"/>
      <c r="O4933" s="12"/>
      <c r="P4933" s="13">
        <f>IFERROR(__xludf.DUMMYFUNCTION("VALUE(SUBSTITUTE((INDEX(SPLIT(A4933,"",""),1)),""."","","",1))"),57.15605)</f>
        <v>57.15605</v>
      </c>
      <c r="Q4933" s="13">
        <f>IFERROR(__xludf.DUMMYFUNCTION("VALUE(SUBSTITUTE((INDEX(SPLIT(A4933,"",""),2)),""."","","",1))"),65.676684)</f>
        <v>65.676684</v>
      </c>
      <c r="R4933" s="14" t="b">
        <f t="shared" si="1"/>
        <v>0</v>
      </c>
      <c r="S4933" s="14" t="str">
        <f t="shared" si="2"/>
        <v>57.15605,65.676684</v>
      </c>
      <c r="T4933" s="12"/>
    </row>
    <row r="4934">
      <c r="A4934" s="16" t="s">
        <v>26906</v>
      </c>
      <c r="B4934" s="16" t="s">
        <v>31766</v>
      </c>
      <c r="C4934" s="16" t="s">
        <v>31767</v>
      </c>
      <c r="D4934" s="16" t="s">
        <v>16</v>
      </c>
      <c r="E4934" s="17" t="s">
        <v>31768</v>
      </c>
      <c r="F4934" s="16" t="s">
        <v>18995</v>
      </c>
      <c r="G4934" s="16">
        <v>23.61</v>
      </c>
      <c r="H4934" s="16"/>
      <c r="I4934" s="16"/>
      <c r="J4934" s="16" t="s">
        <v>31769</v>
      </c>
      <c r="K4934" s="16" t="s">
        <v>31770</v>
      </c>
      <c r="L4934" s="16"/>
      <c r="M4934" s="25" t="s">
        <v>31771</v>
      </c>
      <c r="N4934" s="12"/>
      <c r="O4934" s="12"/>
      <c r="P4934" s="13">
        <f>IFERROR(__xludf.DUMMYFUNCTION("VALUE(SUBSTITUTE((INDEX(SPLIT(A4934,"",""),1)),""."","","",1))"),57.032914)</f>
        <v>57.032914</v>
      </c>
      <c r="Q4934" s="13">
        <f>IFERROR(__xludf.DUMMYFUNCTION("VALUE(SUBSTITUTE((INDEX(SPLIT(A4934,"",""),2)),""."","","",1))"),65.719848)</f>
        <v>65.719848</v>
      </c>
      <c r="R4934" s="14" t="b">
        <f t="shared" si="1"/>
        <v>0</v>
      </c>
      <c r="S4934" s="14" t="str">
        <f t="shared" si="2"/>
        <v>57.032914,65.719848</v>
      </c>
      <c r="T4934" s="12"/>
    </row>
    <row r="4935">
      <c r="A4935" s="10" t="s">
        <v>26911</v>
      </c>
      <c r="B4935" s="8" t="s">
        <v>31772</v>
      </c>
      <c r="C4935" s="8" t="s">
        <v>31773</v>
      </c>
      <c r="D4935" s="8" t="s">
        <v>16</v>
      </c>
      <c r="E4935" s="9" t="s">
        <v>31774</v>
      </c>
      <c r="F4935" s="10" t="s">
        <v>18995</v>
      </c>
      <c r="G4935" s="8">
        <v>23.61</v>
      </c>
      <c r="H4935" s="8"/>
      <c r="I4935" s="10"/>
      <c r="J4935" s="10" t="s">
        <v>31775</v>
      </c>
      <c r="K4935" s="10" t="s">
        <v>31776</v>
      </c>
      <c r="L4935" s="11" t="s">
        <v>31777</v>
      </c>
      <c r="M4935" s="11" t="s">
        <v>31778</v>
      </c>
      <c r="N4935" s="12"/>
      <c r="O4935" s="12"/>
      <c r="P4935" s="13">
        <f>IFERROR(__xludf.DUMMYFUNCTION("VALUE(SUBSTITUTE((INDEX(SPLIT(A4935,"",""),1)),""."","","",1))"),56.979924)</f>
        <v>56.979924</v>
      </c>
      <c r="Q4935" s="13">
        <f>IFERROR(__xludf.DUMMYFUNCTION("VALUE(SUBSTITUTE((INDEX(SPLIT(A4935,"",""),2)),""."","","",1))"),65.777807)</f>
        <v>65.777807</v>
      </c>
      <c r="R4935" s="14" t="b">
        <f t="shared" si="1"/>
        <v>0</v>
      </c>
      <c r="S4935" s="14" t="str">
        <f t="shared" si="2"/>
        <v>56.979924,65.777807</v>
      </c>
      <c r="T4935" s="12"/>
    </row>
    <row r="4936">
      <c r="A4936" s="16" t="s">
        <v>26918</v>
      </c>
      <c r="B4936" s="16" t="s">
        <v>31779</v>
      </c>
      <c r="C4936" s="16" t="s">
        <v>31780</v>
      </c>
      <c r="D4936" s="16" t="s">
        <v>16</v>
      </c>
      <c r="E4936" s="17" t="s">
        <v>31781</v>
      </c>
      <c r="F4936" s="16" t="s">
        <v>31293</v>
      </c>
      <c r="G4936" s="16">
        <v>23.61</v>
      </c>
      <c r="H4936" s="16"/>
      <c r="I4936" s="16"/>
      <c r="J4936" s="16" t="s">
        <v>31782</v>
      </c>
      <c r="K4936" s="16" t="s">
        <v>31783</v>
      </c>
      <c r="L4936" s="16"/>
      <c r="M4936" s="16"/>
      <c r="N4936" s="12"/>
      <c r="O4936" s="12"/>
      <c r="P4936" s="13">
        <f>IFERROR(__xludf.DUMMYFUNCTION("VALUE(SUBSTITUTE((INDEX(SPLIT(A4936,"",""),1)),""."","","",1))"),55.374759)</f>
        <v>55.374759</v>
      </c>
      <c r="Q4936" s="13">
        <f>IFERROR(__xludf.DUMMYFUNCTION("VALUE(SUBSTITUTE((INDEX(SPLIT(A4936,"",""),2)),""."","","",1))"),65.815923)</f>
        <v>65.815923</v>
      </c>
      <c r="R4936" s="14" t="b">
        <f t="shared" si="1"/>
        <v>0</v>
      </c>
      <c r="S4936" s="14" t="str">
        <f t="shared" si="2"/>
        <v>55.374759,65.815923</v>
      </c>
      <c r="T4936" s="12"/>
    </row>
    <row r="4937">
      <c r="A4937" s="10" t="s">
        <v>26926</v>
      </c>
      <c r="B4937" s="8" t="s">
        <v>31784</v>
      </c>
      <c r="C4937" s="8" t="s">
        <v>31785</v>
      </c>
      <c r="D4937" s="8" t="s">
        <v>16</v>
      </c>
      <c r="E4937" s="9" t="s">
        <v>31786</v>
      </c>
      <c r="F4937" s="10" t="s">
        <v>18995</v>
      </c>
      <c r="G4937" s="8">
        <v>23.61</v>
      </c>
      <c r="H4937" s="8"/>
      <c r="I4937" s="10"/>
      <c r="J4937" s="10" t="s">
        <v>31787</v>
      </c>
      <c r="K4937" s="10" t="s">
        <v>31788</v>
      </c>
      <c r="L4937" s="11" t="s">
        <v>31789</v>
      </c>
      <c r="M4937" s="11" t="s">
        <v>31790</v>
      </c>
      <c r="N4937" s="12"/>
      <c r="O4937" s="12"/>
      <c r="P4937" s="13">
        <f>IFERROR(__xludf.DUMMYFUNCTION("VALUE(SUBSTITUTE((INDEX(SPLIT(A4937,"",""),1)),""."","","",1))"),57.173938)</f>
        <v>57.173938</v>
      </c>
      <c r="Q4937" s="13">
        <f>IFERROR(__xludf.DUMMYFUNCTION("VALUE(SUBSTITUTE((INDEX(SPLIT(A4937,"",""),2)),""."","","",1))"),65.891516)</f>
        <v>65.891516</v>
      </c>
      <c r="R4937" s="14" t="b">
        <f t="shared" si="1"/>
        <v>0</v>
      </c>
      <c r="S4937" s="14" t="str">
        <f t="shared" si="2"/>
        <v>57.173938,65.891516</v>
      </c>
      <c r="T4937" s="12"/>
    </row>
    <row r="4938">
      <c r="A4938" s="22" t="s">
        <v>26932</v>
      </c>
      <c r="B4938" s="16" t="s">
        <v>31791</v>
      </c>
      <c r="C4938" s="16" t="s">
        <v>31792</v>
      </c>
      <c r="D4938" s="16" t="s">
        <v>16</v>
      </c>
      <c r="E4938" s="21" t="s">
        <v>31793</v>
      </c>
      <c r="F4938" s="22" t="s">
        <v>18995</v>
      </c>
      <c r="G4938" s="16">
        <v>23.61</v>
      </c>
      <c r="H4938" s="16"/>
      <c r="I4938" s="22"/>
      <c r="J4938" s="22" t="s">
        <v>31794</v>
      </c>
      <c r="K4938" s="22" t="s">
        <v>31795</v>
      </c>
      <c r="L4938" s="23" t="s">
        <v>31796</v>
      </c>
      <c r="M4938" s="22"/>
      <c r="N4938" s="12"/>
      <c r="O4938" s="12"/>
      <c r="P4938" s="13">
        <f>IFERROR(__xludf.DUMMYFUNCTION("VALUE(SUBSTITUTE((INDEX(SPLIT(A4938,"",""),1)),""."","","",1))"),57.660099)</f>
        <v>57.660099</v>
      </c>
      <c r="Q4938" s="13">
        <f>IFERROR(__xludf.DUMMYFUNCTION("VALUE(SUBSTITUTE((INDEX(SPLIT(A4938,"",""),2)),""."","","",1))"),66.161217)</f>
        <v>66.161217</v>
      </c>
      <c r="R4938" s="14" t="b">
        <f t="shared" si="1"/>
        <v>0</v>
      </c>
      <c r="S4938" s="14" t="str">
        <f t="shared" si="2"/>
        <v>57.660099,66.161217</v>
      </c>
      <c r="T4938" s="12"/>
    </row>
    <row r="4939">
      <c r="A4939" s="8" t="s">
        <v>26940</v>
      </c>
      <c r="B4939" s="8" t="s">
        <v>31797</v>
      </c>
      <c r="C4939" s="8" t="s">
        <v>31798</v>
      </c>
      <c r="D4939" s="8" t="s">
        <v>16</v>
      </c>
      <c r="E4939" s="19" t="s">
        <v>31799</v>
      </c>
      <c r="F4939" s="8" t="s">
        <v>18995</v>
      </c>
      <c r="G4939" s="8">
        <v>23.61</v>
      </c>
      <c r="H4939" s="8"/>
      <c r="I4939" s="8"/>
      <c r="J4939" s="8" t="s">
        <v>31800</v>
      </c>
      <c r="K4939" s="8" t="s">
        <v>29660</v>
      </c>
      <c r="L4939" s="8"/>
      <c r="M4939" s="24" t="s">
        <v>31801</v>
      </c>
      <c r="N4939" s="12"/>
      <c r="O4939" s="12"/>
      <c r="P4939" s="13">
        <f>IFERROR(__xludf.DUMMYFUNCTION("VALUE(SUBSTITUTE((INDEX(SPLIT(A4939,"",""),1)),""."","","",1))"),56.660037)</f>
        <v>56.660037</v>
      </c>
      <c r="Q4939" s="13">
        <f>IFERROR(__xludf.DUMMYFUNCTION("VALUE(SUBSTITUTE((INDEX(SPLIT(A4939,"",""),2)),""."","","",1))"),66.269976)</f>
        <v>66.269976</v>
      </c>
      <c r="R4939" s="14" t="b">
        <f t="shared" si="1"/>
        <v>0</v>
      </c>
      <c r="S4939" s="14" t="str">
        <f t="shared" si="2"/>
        <v>56.660037,66.269976</v>
      </c>
      <c r="T4939" s="12"/>
    </row>
    <row r="4940">
      <c r="A4940" s="16" t="s">
        <v>26948</v>
      </c>
      <c r="B4940" s="16" t="s">
        <v>31802</v>
      </c>
      <c r="C4940" s="16" t="s">
        <v>31803</v>
      </c>
      <c r="D4940" s="16" t="s">
        <v>16</v>
      </c>
      <c r="E4940" s="17" t="s">
        <v>31804</v>
      </c>
      <c r="F4940" s="16" t="s">
        <v>18995</v>
      </c>
      <c r="G4940" s="16">
        <v>23.61</v>
      </c>
      <c r="H4940" s="16"/>
      <c r="I4940" s="16"/>
      <c r="J4940" s="16" t="s">
        <v>31805</v>
      </c>
      <c r="K4940" s="16" t="s">
        <v>31806</v>
      </c>
      <c r="L4940" s="16"/>
      <c r="M4940" s="25" t="s">
        <v>31807</v>
      </c>
      <c r="N4940" s="12"/>
      <c r="O4940" s="12"/>
      <c r="P4940" s="13">
        <f>IFERROR(__xludf.DUMMYFUNCTION("VALUE(SUBSTITUTE((INDEX(SPLIT(A4940,"",""),1)),""."","","",1))"),56.327271)</f>
        <v>56.327271</v>
      </c>
      <c r="Q4940" s="13">
        <f>IFERROR(__xludf.DUMMYFUNCTION("VALUE(SUBSTITUTE((INDEX(SPLIT(A4940,"",""),2)),""."","","",1))"),66.284421)</f>
        <v>66.284421</v>
      </c>
      <c r="R4940" s="14" t="b">
        <f t="shared" si="1"/>
        <v>0</v>
      </c>
      <c r="S4940" s="14" t="str">
        <f t="shared" si="2"/>
        <v>56.327271,66.284421</v>
      </c>
      <c r="T4940" s="12"/>
    </row>
    <row r="4941">
      <c r="A4941" s="10" t="s">
        <v>26954</v>
      </c>
      <c r="B4941" s="8" t="s">
        <v>31808</v>
      </c>
      <c r="C4941" s="8" t="s">
        <v>31809</v>
      </c>
      <c r="D4941" s="8" t="s">
        <v>16</v>
      </c>
      <c r="E4941" s="9" t="s">
        <v>31810</v>
      </c>
      <c r="F4941" s="10" t="s">
        <v>18995</v>
      </c>
      <c r="G4941" s="8">
        <v>23.61</v>
      </c>
      <c r="H4941" s="8"/>
      <c r="I4941" s="10"/>
      <c r="J4941" s="10" t="s">
        <v>31811</v>
      </c>
      <c r="K4941" s="10" t="s">
        <v>31812</v>
      </c>
      <c r="L4941" s="11" t="s">
        <v>31813</v>
      </c>
      <c r="M4941" s="11" t="s">
        <v>31814</v>
      </c>
      <c r="N4941" s="12"/>
      <c r="O4941" s="12"/>
      <c r="P4941" s="13">
        <f>IFERROR(__xludf.DUMMYFUNCTION("VALUE(SUBSTITUTE((INDEX(SPLIT(A4941,"",""),1)),""."","","",1))"),56.663253)</f>
        <v>56.663253</v>
      </c>
      <c r="Q4941" s="13">
        <f>IFERROR(__xludf.DUMMYFUNCTION("VALUE(SUBSTITUTE((INDEX(SPLIT(A4941,"",""),2)),""."","","",1))"),66.284691)</f>
        <v>66.284691</v>
      </c>
      <c r="R4941" s="14" t="b">
        <f t="shared" si="1"/>
        <v>0</v>
      </c>
      <c r="S4941" s="14" t="str">
        <f t="shared" si="2"/>
        <v>56.663253,66.284691</v>
      </c>
      <c r="T4941" s="12"/>
    </row>
    <row r="4942">
      <c r="A4942" s="16" t="s">
        <v>26958</v>
      </c>
      <c r="B4942" s="16" t="s">
        <v>31815</v>
      </c>
      <c r="C4942" s="16" t="s">
        <v>31816</v>
      </c>
      <c r="D4942" s="16" t="s">
        <v>16</v>
      </c>
      <c r="E4942" s="17" t="s">
        <v>31817</v>
      </c>
      <c r="F4942" s="16" t="s">
        <v>18995</v>
      </c>
      <c r="G4942" s="16">
        <v>23.61</v>
      </c>
      <c r="H4942" s="16"/>
      <c r="I4942" s="16"/>
      <c r="J4942" s="16" t="s">
        <v>31818</v>
      </c>
      <c r="K4942" s="16" t="s">
        <v>31819</v>
      </c>
      <c r="L4942" s="16"/>
      <c r="M4942" s="25" t="s">
        <v>31820</v>
      </c>
      <c r="N4942" s="12"/>
      <c r="O4942" s="12"/>
      <c r="P4942" s="13">
        <f>IFERROR(__xludf.DUMMYFUNCTION("VALUE(SUBSTITUTE((INDEX(SPLIT(A4942,"",""),1)),""."","","",1))"),56.630966)</f>
        <v>56.630966</v>
      </c>
      <c r="Q4942" s="13">
        <f>IFERROR(__xludf.DUMMYFUNCTION("VALUE(SUBSTITUTE((INDEX(SPLIT(A4942,"",""),2)),""."","","",1))"),66.287448)</f>
        <v>66.287448</v>
      </c>
      <c r="R4942" s="14" t="b">
        <f t="shared" si="1"/>
        <v>0</v>
      </c>
      <c r="S4942" s="14" t="str">
        <f t="shared" si="2"/>
        <v>56.630966,66.287448</v>
      </c>
      <c r="T4942" s="12"/>
    </row>
    <row r="4943">
      <c r="A4943" s="10" t="s">
        <v>26965</v>
      </c>
      <c r="B4943" s="8" t="s">
        <v>31821</v>
      </c>
      <c r="C4943" s="8" t="s">
        <v>31822</v>
      </c>
      <c r="D4943" s="8" t="s">
        <v>16</v>
      </c>
      <c r="E4943" s="9" t="s">
        <v>31823</v>
      </c>
      <c r="F4943" s="10" t="s">
        <v>18995</v>
      </c>
      <c r="G4943" s="8">
        <v>23.61</v>
      </c>
      <c r="H4943" s="8"/>
      <c r="I4943" s="10"/>
      <c r="J4943" s="10" t="s">
        <v>31824</v>
      </c>
      <c r="K4943" s="10" t="s">
        <v>31825</v>
      </c>
      <c r="L4943" s="29" t="s">
        <v>31826</v>
      </c>
      <c r="M4943" s="10"/>
      <c r="N4943" s="12"/>
      <c r="O4943" s="12"/>
      <c r="P4943" s="13">
        <f>IFERROR(__xludf.DUMMYFUNCTION("VALUE(SUBSTITUTE((INDEX(SPLIT(A4943,"",""),1)),""."","","",1))"),56.524347)</f>
        <v>56.524347</v>
      </c>
      <c r="Q4943" s="13">
        <f>IFERROR(__xludf.DUMMYFUNCTION("VALUE(SUBSTITUTE((INDEX(SPLIT(A4943,"",""),2)),""."","","",1))"),66.476912)</f>
        <v>66.476912</v>
      </c>
      <c r="R4943" s="14" t="b">
        <f t="shared" si="1"/>
        <v>0</v>
      </c>
      <c r="S4943" s="14" t="str">
        <f t="shared" si="2"/>
        <v>56.524347,66.476912</v>
      </c>
      <c r="T4943" s="12"/>
    </row>
    <row r="4944">
      <c r="A4944" s="22" t="s">
        <v>26972</v>
      </c>
      <c r="B4944" s="16" t="s">
        <v>31827</v>
      </c>
      <c r="C4944" s="16" t="s">
        <v>31828</v>
      </c>
      <c r="D4944" s="16" t="s">
        <v>16</v>
      </c>
      <c r="E4944" s="21" t="s">
        <v>31829</v>
      </c>
      <c r="F4944" s="22" t="s">
        <v>18995</v>
      </c>
      <c r="G4944" s="16">
        <v>23.61</v>
      </c>
      <c r="H4944" s="16"/>
      <c r="I4944" s="22"/>
      <c r="J4944" s="22" t="s">
        <v>31830</v>
      </c>
      <c r="K4944" s="22" t="s">
        <v>31831</v>
      </c>
      <c r="L4944" s="23" t="s">
        <v>31832</v>
      </c>
      <c r="M4944" s="22"/>
      <c r="N4944" s="12"/>
      <c r="O4944" s="12"/>
      <c r="P4944" s="13">
        <f>IFERROR(__xludf.DUMMYFUNCTION("VALUE(SUBSTITUTE((INDEX(SPLIT(A4944,"",""),1)),""."","","",1))"),56.483457)</f>
        <v>56.483457</v>
      </c>
      <c r="Q4944" s="13">
        <f>IFERROR(__xludf.DUMMYFUNCTION("VALUE(SUBSTITUTE((INDEX(SPLIT(A4944,"",""),2)),""."","","",1))"),66.575861)</f>
        <v>66.575861</v>
      </c>
      <c r="R4944" s="14" t="b">
        <f t="shared" si="1"/>
        <v>0</v>
      </c>
      <c r="S4944" s="14" t="str">
        <f t="shared" si="2"/>
        <v>56.483457,66.575861</v>
      </c>
      <c r="T4944" s="12"/>
    </row>
    <row r="4945">
      <c r="A4945" s="10" t="s">
        <v>31833</v>
      </c>
      <c r="B4945" s="8" t="s">
        <v>31834</v>
      </c>
      <c r="C4945" s="8" t="s">
        <v>31835</v>
      </c>
      <c r="D4945" s="8" t="s">
        <v>16</v>
      </c>
      <c r="E4945" s="9" t="s">
        <v>31836</v>
      </c>
      <c r="F4945" s="10" t="s">
        <v>4881</v>
      </c>
      <c r="G4945" s="8">
        <v>23.61</v>
      </c>
      <c r="H4945" s="8"/>
      <c r="I4945" s="10"/>
      <c r="J4945" s="10" t="s">
        <v>31837</v>
      </c>
      <c r="K4945" s="10" t="s">
        <v>31838</v>
      </c>
      <c r="L4945" s="11" t="s">
        <v>31839</v>
      </c>
      <c r="M4945" s="11" t="s">
        <v>31840</v>
      </c>
      <c r="N4945" s="12"/>
      <c r="O4945" s="12"/>
      <c r="P4945" s="13">
        <f>IFERROR(__xludf.DUMMYFUNCTION("VALUE(SUBSTITUTE((INDEX(SPLIT(A4945,"",""),1)),""."","","",1))"),66.638735)</f>
        <v>66.638735</v>
      </c>
      <c r="Q4945" s="13">
        <f>IFERROR(__xludf.DUMMYFUNCTION("VALUE(SUBSTITUTE((INDEX(SPLIT(A4945,"",""),2)),""."","","",1))"),66.528552)</f>
        <v>66.528552</v>
      </c>
      <c r="R4945" s="14" t="b">
        <f t="shared" si="1"/>
        <v>0</v>
      </c>
      <c r="S4945" s="14" t="str">
        <f t="shared" si="2"/>
        <v>66.638735,66.528552</v>
      </c>
      <c r="T4945" s="12"/>
    </row>
    <row r="4946">
      <c r="A4946" s="22" t="s">
        <v>31841</v>
      </c>
      <c r="B4946" s="16" t="s">
        <v>31842</v>
      </c>
      <c r="C4946" s="16" t="s">
        <v>31843</v>
      </c>
      <c r="D4946" s="16" t="s">
        <v>16</v>
      </c>
      <c r="E4946" s="21" t="s">
        <v>31844</v>
      </c>
      <c r="F4946" s="22" t="s">
        <v>4881</v>
      </c>
      <c r="G4946" s="16">
        <v>23.61</v>
      </c>
      <c r="H4946" s="16"/>
      <c r="I4946" s="22"/>
      <c r="J4946" s="22" t="s">
        <v>31845</v>
      </c>
      <c r="K4946" s="22" t="s">
        <v>31846</v>
      </c>
      <c r="L4946" s="23" t="s">
        <v>31847</v>
      </c>
      <c r="M4946" s="23" t="s">
        <v>31848</v>
      </c>
      <c r="N4946" s="12"/>
      <c r="O4946" s="12"/>
      <c r="P4946" s="13">
        <f>IFERROR(__xludf.DUMMYFUNCTION("VALUE(SUBSTITUTE((INDEX(SPLIT(A4946,"",""),1)),""."","","",1))"),66.644133)</f>
        <v>66.644133</v>
      </c>
      <c r="Q4946" s="13">
        <f>IFERROR(__xludf.DUMMYFUNCTION("VALUE(SUBSTITUTE((INDEX(SPLIT(A4946,"",""),2)),""."","","",1))"),66.539516)</f>
        <v>66.539516</v>
      </c>
      <c r="R4946" s="14" t="b">
        <f t="shared" si="1"/>
        <v>0</v>
      </c>
      <c r="S4946" s="14" t="str">
        <f t="shared" si="2"/>
        <v>66.644133,66.539516</v>
      </c>
      <c r="T4946" s="12"/>
    </row>
    <row r="4947">
      <c r="A4947" s="10" t="s">
        <v>31849</v>
      </c>
      <c r="B4947" s="8" t="s">
        <v>31850</v>
      </c>
      <c r="C4947" s="8" t="s">
        <v>31851</v>
      </c>
      <c r="D4947" s="8" t="s">
        <v>16</v>
      </c>
      <c r="E4947" s="9" t="s">
        <v>31852</v>
      </c>
      <c r="F4947" s="10" t="s">
        <v>10045</v>
      </c>
      <c r="G4947" s="8">
        <v>23.61</v>
      </c>
      <c r="H4947" s="8"/>
      <c r="I4947" s="10"/>
      <c r="J4947" s="10" t="s">
        <v>31853</v>
      </c>
      <c r="K4947" s="10" t="s">
        <v>31854</v>
      </c>
      <c r="L4947" s="11" t="s">
        <v>31855</v>
      </c>
      <c r="M4947" s="10"/>
      <c r="N4947" s="12"/>
      <c r="O4947" s="12"/>
      <c r="P4947" s="13">
        <f>IFERROR(__xludf.DUMMYFUNCTION("VALUE(SUBSTITUTE((INDEX(SPLIT(A4947,"",""),1)),""."","","",1))"),66.684908)</f>
        <v>66.684908</v>
      </c>
      <c r="Q4947" s="13">
        <f>IFERROR(__xludf.DUMMYFUNCTION("VALUE(SUBSTITUTE((INDEX(SPLIT(A4947,"",""),2)),""."","","",1))"),63.709474)</f>
        <v>63.709474</v>
      </c>
      <c r="R4947" s="14" t="b">
        <f t="shared" si="1"/>
        <v>0</v>
      </c>
      <c r="S4947" s="14" t="str">
        <f t="shared" si="2"/>
        <v>66.684908,63.709474</v>
      </c>
      <c r="T4947" s="12"/>
    </row>
    <row r="4948">
      <c r="A4948" s="22" t="s">
        <v>31856</v>
      </c>
      <c r="B4948" s="16" t="s">
        <v>31857</v>
      </c>
      <c r="C4948" s="16" t="s">
        <v>31858</v>
      </c>
      <c r="D4948" s="16" t="s">
        <v>16</v>
      </c>
      <c r="E4948" s="21" t="s">
        <v>31859</v>
      </c>
      <c r="F4948" s="22" t="s">
        <v>18995</v>
      </c>
      <c r="G4948" s="16">
        <v>23.61</v>
      </c>
      <c r="H4948" s="16"/>
      <c r="I4948" s="22"/>
      <c r="J4948" s="22" t="s">
        <v>31860</v>
      </c>
      <c r="K4948" s="22" t="s">
        <v>31861</v>
      </c>
      <c r="L4948" s="23" t="s">
        <v>31862</v>
      </c>
      <c r="M4948" s="22"/>
      <c r="N4948" s="12"/>
      <c r="O4948" s="12"/>
      <c r="P4948" s="13">
        <f>IFERROR(__xludf.DUMMYFUNCTION("VALUE(SUBSTITUTE((INDEX(SPLIT(A4948,"",""),1)),""."","","",1))"),67.362218492749)</f>
        <v>67.36221849</v>
      </c>
      <c r="Q4948" s="13">
        <f>IFERROR(__xludf.DUMMYFUNCTION("VALUE(SUBSTITUTE((INDEX(SPLIT(A4948,"",""),2)),""."","","",1))"),79.006131356196)</f>
        <v>79.00613136</v>
      </c>
      <c r="R4948" s="14" t="b">
        <f t="shared" si="1"/>
        <v>0</v>
      </c>
      <c r="S4948" s="14" t="str">
        <f t="shared" si="2"/>
        <v>67.362218492749,79.006131356196</v>
      </c>
      <c r="T4948" s="12"/>
    </row>
    <row r="4949">
      <c r="A4949" s="22" t="s">
        <v>26998</v>
      </c>
      <c r="B4949" s="16" t="s">
        <v>31863</v>
      </c>
      <c r="C4949" s="16" t="s">
        <v>31864</v>
      </c>
      <c r="D4949" s="16" t="s">
        <v>16</v>
      </c>
      <c r="E4949" s="21" t="s">
        <v>31865</v>
      </c>
      <c r="F4949" s="22" t="s">
        <v>18995</v>
      </c>
      <c r="G4949" s="16">
        <v>23.61</v>
      </c>
      <c r="H4949" s="16"/>
      <c r="I4949" s="22"/>
      <c r="J4949" s="22" t="s">
        <v>31866</v>
      </c>
      <c r="K4949" s="22" t="s">
        <v>31867</v>
      </c>
      <c r="L4949" s="23" t="s">
        <v>31868</v>
      </c>
      <c r="M4949" s="23" t="s">
        <v>31869</v>
      </c>
      <c r="N4949" s="12"/>
      <c r="O4949" s="12"/>
      <c r="P4949" s="13">
        <f>IFERROR(__xludf.DUMMYFUNCTION("VALUE(SUBSTITUTE((INDEX(SPLIT(A4949,"",""),1)),""."","","",1))"),58.185598)</f>
        <v>58.185598</v>
      </c>
      <c r="Q4949" s="13">
        <f>IFERROR(__xludf.DUMMYFUNCTION("VALUE(SUBSTITUTE((INDEX(SPLIT(A4949,"",""),2)),""."","","",1))"),68.260337)</f>
        <v>68.260337</v>
      </c>
      <c r="R4949" s="14" t="b">
        <f t="shared" si="1"/>
        <v>0</v>
      </c>
      <c r="S4949" s="14" t="str">
        <f t="shared" si="2"/>
        <v>58.185598,68.260337</v>
      </c>
      <c r="T4949" s="12"/>
    </row>
    <row r="4950">
      <c r="A4950" s="10" t="s">
        <v>27005</v>
      </c>
      <c r="B4950" s="8" t="s">
        <v>31870</v>
      </c>
      <c r="C4950" s="8" t="s">
        <v>31871</v>
      </c>
      <c r="D4950" s="8" t="s">
        <v>16</v>
      </c>
      <c r="E4950" s="9" t="s">
        <v>31872</v>
      </c>
      <c r="F4950" s="10" t="s">
        <v>4881</v>
      </c>
      <c r="G4950" s="8">
        <v>23.61</v>
      </c>
      <c r="H4950" s="8"/>
      <c r="I4950" s="10"/>
      <c r="J4950" s="10" t="s">
        <v>31873</v>
      </c>
      <c r="K4950" s="10" t="s">
        <v>31874</v>
      </c>
      <c r="L4950" s="11" t="s">
        <v>31875</v>
      </c>
      <c r="M4950" s="10"/>
      <c r="N4950" s="12"/>
      <c r="O4950" s="12"/>
      <c r="P4950" s="13">
        <f>IFERROR(__xludf.DUMMYFUNCTION("VALUE(SUBSTITUTE((INDEX(SPLIT(A4950,"",""),1)),""."","","",1))"),58.1757)</f>
        <v>58.1757</v>
      </c>
      <c r="Q4950" s="13">
        <f>IFERROR(__xludf.DUMMYFUNCTION("VALUE(SUBSTITUTE((INDEX(SPLIT(A4950,"",""),2)),""."","","",1))"),68.324594)</f>
        <v>68.324594</v>
      </c>
      <c r="R4950" s="14" t="b">
        <f t="shared" si="1"/>
        <v>0</v>
      </c>
      <c r="S4950" s="14" t="str">
        <f t="shared" si="2"/>
        <v>58.1757,68.324594</v>
      </c>
      <c r="T4950" s="12"/>
    </row>
    <row r="4951">
      <c r="A4951" s="22" t="s">
        <v>27011</v>
      </c>
      <c r="B4951" s="16" t="s">
        <v>31876</v>
      </c>
      <c r="C4951" s="16" t="s">
        <v>31877</v>
      </c>
      <c r="D4951" s="16" t="s">
        <v>16</v>
      </c>
      <c r="E4951" s="21" t="s">
        <v>31878</v>
      </c>
      <c r="F4951" s="22" t="s">
        <v>18995</v>
      </c>
      <c r="G4951" s="16">
        <v>23.61</v>
      </c>
      <c r="H4951" s="16"/>
      <c r="I4951" s="22"/>
      <c r="J4951" s="22" t="s">
        <v>31879</v>
      </c>
      <c r="K4951" s="22" t="s">
        <v>31880</v>
      </c>
      <c r="L4951" s="23" t="s">
        <v>31881</v>
      </c>
      <c r="M4951" s="22"/>
      <c r="N4951" s="12"/>
      <c r="O4951" s="12"/>
      <c r="P4951" s="13">
        <f>IFERROR(__xludf.DUMMYFUNCTION("VALUE(SUBSTITUTE((INDEX(SPLIT(A4951,"",""),1)),""."","","",1))"),56.407063)</f>
        <v>56.407063</v>
      </c>
      <c r="Q4951" s="13">
        <f>IFERROR(__xludf.DUMMYFUNCTION("VALUE(SUBSTITUTE((INDEX(SPLIT(A4951,"",""),2)),""."","","",1))"),68.360419)</f>
        <v>68.360419</v>
      </c>
      <c r="R4951" s="14" t="b">
        <f t="shared" si="1"/>
        <v>0</v>
      </c>
      <c r="S4951" s="14" t="str">
        <f t="shared" si="2"/>
        <v>56.407063,68.360419</v>
      </c>
      <c r="T4951" s="12"/>
    </row>
    <row r="4952">
      <c r="A4952" s="16" t="s">
        <v>27018</v>
      </c>
      <c r="B4952" s="16" t="s">
        <v>31882</v>
      </c>
      <c r="C4952" s="16" t="s">
        <v>31883</v>
      </c>
      <c r="D4952" s="16" t="s">
        <v>16</v>
      </c>
      <c r="E4952" s="17" t="s">
        <v>31884</v>
      </c>
      <c r="F4952" s="16" t="s">
        <v>10045</v>
      </c>
      <c r="G4952" s="16">
        <v>23.61</v>
      </c>
      <c r="H4952" s="16"/>
      <c r="I4952" s="16"/>
      <c r="J4952" s="16" t="s">
        <v>31885</v>
      </c>
      <c r="K4952" s="16" t="s">
        <v>31886</v>
      </c>
      <c r="L4952" s="16"/>
      <c r="M4952" s="25" t="s">
        <v>31887</v>
      </c>
      <c r="N4952" s="12"/>
      <c r="O4952" s="12"/>
      <c r="P4952" s="13">
        <f>IFERROR(__xludf.DUMMYFUNCTION("VALUE(SUBSTITUTE((INDEX(SPLIT(A4952,"",""),1)),""."","","",1))"),61.005583)</f>
        <v>61.005583</v>
      </c>
      <c r="Q4952" s="13">
        <f>IFERROR(__xludf.DUMMYFUNCTION("VALUE(SUBSTITUTE((INDEX(SPLIT(A4952,"",""),2)),""."","","",1))"),69.018515)</f>
        <v>69.018515</v>
      </c>
      <c r="R4952" s="14" t="b">
        <f t="shared" si="1"/>
        <v>0</v>
      </c>
      <c r="S4952" s="14" t="str">
        <f t="shared" si="2"/>
        <v>61.005583,69.018515</v>
      </c>
      <c r="T4952" s="12"/>
    </row>
    <row r="4953">
      <c r="A4953" s="10" t="s">
        <v>27024</v>
      </c>
      <c r="B4953" s="8" t="s">
        <v>31888</v>
      </c>
      <c r="C4953" s="8" t="s">
        <v>31889</v>
      </c>
      <c r="D4953" s="8" t="s">
        <v>16</v>
      </c>
      <c r="E4953" s="9" t="s">
        <v>31890</v>
      </c>
      <c r="F4953" s="10" t="s">
        <v>10045</v>
      </c>
      <c r="G4953" s="8">
        <v>23.61</v>
      </c>
      <c r="H4953" s="8"/>
      <c r="I4953" s="10"/>
      <c r="J4953" s="10" t="s">
        <v>31891</v>
      </c>
      <c r="K4953" s="10" t="s">
        <v>31892</v>
      </c>
      <c r="L4953" s="11" t="s">
        <v>31893</v>
      </c>
      <c r="M4953" s="11" t="s">
        <v>31894</v>
      </c>
      <c r="N4953" s="12"/>
      <c r="O4953" s="12"/>
      <c r="P4953" s="13">
        <f>IFERROR(__xludf.DUMMYFUNCTION("VALUE(SUBSTITUTE((INDEX(SPLIT(A4953,"",""),1)),""."","","",1))"),60.973123)</f>
        <v>60.973123</v>
      </c>
      <c r="Q4953" s="13">
        <f>IFERROR(__xludf.DUMMYFUNCTION("VALUE(SUBSTITUTE((INDEX(SPLIT(A4953,"",""),2)),""."","","",1))"),69.025612)</f>
        <v>69.025612</v>
      </c>
      <c r="R4953" s="14" t="b">
        <f t="shared" si="1"/>
        <v>0</v>
      </c>
      <c r="S4953" s="14" t="str">
        <f t="shared" si="2"/>
        <v>60.973123,69.025612</v>
      </c>
      <c r="T4953" s="12"/>
    </row>
    <row r="4954">
      <c r="A4954" s="22" t="s">
        <v>27031</v>
      </c>
      <c r="B4954" s="16" t="s">
        <v>31895</v>
      </c>
      <c r="C4954" s="16" t="s">
        <v>31896</v>
      </c>
      <c r="D4954" s="16" t="s">
        <v>16</v>
      </c>
      <c r="E4954" s="21" t="s">
        <v>31897</v>
      </c>
      <c r="F4954" s="22" t="s">
        <v>10045</v>
      </c>
      <c r="G4954" s="16">
        <v>23.61</v>
      </c>
      <c r="H4954" s="16"/>
      <c r="I4954" s="22"/>
      <c r="J4954" s="22" t="s">
        <v>31898</v>
      </c>
      <c r="K4954" s="22" t="s">
        <v>31899</v>
      </c>
      <c r="L4954" s="23" t="s">
        <v>31900</v>
      </c>
      <c r="M4954" s="22"/>
      <c r="N4954" s="12"/>
      <c r="O4954" s="12"/>
      <c r="P4954" s="13">
        <f>IFERROR(__xludf.DUMMYFUNCTION("VALUE(SUBSTITUTE((INDEX(SPLIT(A4954,"",""),1)),""."","","",1))"),60.984847)</f>
        <v>60.984847</v>
      </c>
      <c r="Q4954" s="13">
        <f>IFERROR(__xludf.DUMMYFUNCTION("VALUE(SUBSTITUTE((INDEX(SPLIT(A4954,"",""),2)),""."","","",1))"),69.052041)</f>
        <v>69.052041</v>
      </c>
      <c r="R4954" s="14" t="b">
        <f t="shared" si="1"/>
        <v>0</v>
      </c>
      <c r="S4954" s="14" t="str">
        <f t="shared" si="2"/>
        <v>60.984847,69.052041</v>
      </c>
      <c r="T4954" s="12"/>
    </row>
    <row r="4955">
      <c r="A4955" s="10" t="s">
        <v>27037</v>
      </c>
      <c r="B4955" s="8" t="s">
        <v>31901</v>
      </c>
      <c r="C4955" s="8" t="s">
        <v>31902</v>
      </c>
      <c r="D4955" s="8" t="s">
        <v>16</v>
      </c>
      <c r="E4955" s="9" t="s">
        <v>31903</v>
      </c>
      <c r="F4955" s="10" t="s">
        <v>10045</v>
      </c>
      <c r="G4955" s="8">
        <v>23.61</v>
      </c>
      <c r="H4955" s="8"/>
      <c r="I4955" s="10"/>
      <c r="J4955" s="10" t="s">
        <v>31904</v>
      </c>
      <c r="K4955" s="10" t="s">
        <v>31905</v>
      </c>
      <c r="L4955" s="11" t="s">
        <v>31906</v>
      </c>
      <c r="M4955" s="10"/>
      <c r="N4955" s="12"/>
      <c r="O4955" s="12"/>
      <c r="P4955" s="13">
        <f>IFERROR(__xludf.DUMMYFUNCTION("VALUE(SUBSTITUTE((INDEX(SPLIT(A4955,"",""),1)),""."","","",1))"),60.996506)</f>
        <v>60.996506</v>
      </c>
      <c r="Q4955" s="13">
        <f>IFERROR(__xludf.DUMMYFUNCTION("VALUE(SUBSTITUTE((INDEX(SPLIT(A4955,"",""),2)),""."","","",1))"),69.065623)</f>
        <v>69.065623</v>
      </c>
      <c r="R4955" s="14" t="b">
        <f t="shared" si="1"/>
        <v>0</v>
      </c>
      <c r="S4955" s="14" t="str">
        <f t="shared" si="2"/>
        <v>60.996506,69.065623</v>
      </c>
      <c r="T4955" s="12"/>
    </row>
    <row r="4956">
      <c r="A4956" s="10" t="s">
        <v>27045</v>
      </c>
      <c r="B4956" s="8" t="s">
        <v>31907</v>
      </c>
      <c r="C4956" s="8" t="s">
        <v>31908</v>
      </c>
      <c r="D4956" s="8" t="s">
        <v>16</v>
      </c>
      <c r="E4956" s="9" t="s">
        <v>31909</v>
      </c>
      <c r="F4956" s="10" t="s">
        <v>18995</v>
      </c>
      <c r="G4956" s="8">
        <v>23.61</v>
      </c>
      <c r="H4956" s="8"/>
      <c r="I4956" s="10"/>
      <c r="J4956" s="10" t="s">
        <v>31910</v>
      </c>
      <c r="K4956" s="10" t="s">
        <v>31911</v>
      </c>
      <c r="L4956" s="11" t="s">
        <v>31912</v>
      </c>
      <c r="M4956" s="10"/>
      <c r="N4956" s="12"/>
      <c r="O4956" s="12"/>
      <c r="P4956" s="13">
        <f>IFERROR(__xludf.DUMMYFUNCTION("VALUE(SUBSTITUTE((INDEX(SPLIT(A4956,"",""),1)),""."","","",1))"),56.10164)</f>
        <v>56.10164</v>
      </c>
      <c r="Q4956" s="13">
        <f>IFERROR(__xludf.DUMMYFUNCTION("VALUE(SUBSTITUTE((INDEX(SPLIT(A4956,"",""),2)),""."","","",1))"),69.465086)</f>
        <v>69.465086</v>
      </c>
      <c r="R4956" s="14" t="b">
        <f t="shared" si="1"/>
        <v>0</v>
      </c>
      <c r="S4956" s="14" t="str">
        <f t="shared" si="2"/>
        <v>56.10164,69.465086</v>
      </c>
      <c r="T4956" s="12"/>
    </row>
    <row r="4957">
      <c r="A4957" s="16" t="s">
        <v>27051</v>
      </c>
      <c r="B4957" s="16" t="s">
        <v>31913</v>
      </c>
      <c r="C4957" s="16" t="s">
        <v>31914</v>
      </c>
      <c r="D4957" s="16" t="s">
        <v>16</v>
      </c>
      <c r="E4957" s="17" t="s">
        <v>31915</v>
      </c>
      <c r="F4957" s="16" t="s">
        <v>18995</v>
      </c>
      <c r="G4957" s="16">
        <v>23.61</v>
      </c>
      <c r="H4957" s="16"/>
      <c r="I4957" s="16"/>
      <c r="J4957" s="16" t="s">
        <v>31916</v>
      </c>
      <c r="K4957" s="16" t="s">
        <v>31917</v>
      </c>
      <c r="L4957" s="16"/>
      <c r="M4957" s="16"/>
      <c r="N4957" s="12"/>
      <c r="O4957" s="12"/>
      <c r="P4957" s="13">
        <f>IFERROR(__xludf.DUMMYFUNCTION("VALUE(SUBSTITUTE((INDEX(SPLIT(A4957,"",""),1)),""."","","",1))"),56.111629)</f>
        <v>56.111629</v>
      </c>
      <c r="Q4957" s="13">
        <f>IFERROR(__xludf.DUMMYFUNCTION("VALUE(SUBSTITUTE((INDEX(SPLIT(A4957,"",""),2)),""."","","",1))"),69.475327)</f>
        <v>69.475327</v>
      </c>
      <c r="R4957" s="14" t="b">
        <f t="shared" si="1"/>
        <v>0</v>
      </c>
      <c r="S4957" s="14" t="str">
        <f t="shared" si="2"/>
        <v>56.111629,69.475327</v>
      </c>
      <c r="T4957" s="12"/>
    </row>
    <row r="4958">
      <c r="A4958" s="10" t="s">
        <v>27058</v>
      </c>
      <c r="B4958" s="8" t="s">
        <v>16328</v>
      </c>
      <c r="C4958" s="8" t="s">
        <v>16329</v>
      </c>
      <c r="D4958" s="8" t="s">
        <v>16</v>
      </c>
      <c r="E4958" s="9" t="s">
        <v>31918</v>
      </c>
      <c r="F4958" s="10" t="s">
        <v>18995</v>
      </c>
      <c r="G4958" s="8">
        <v>23.61</v>
      </c>
      <c r="H4958" s="8"/>
      <c r="I4958" s="10"/>
      <c r="J4958" s="10" t="s">
        <v>31919</v>
      </c>
      <c r="K4958" s="10" t="s">
        <v>31920</v>
      </c>
      <c r="L4958" s="11" t="s">
        <v>31921</v>
      </c>
      <c r="M4958" s="11" t="s">
        <v>31922</v>
      </c>
      <c r="N4958" s="12"/>
      <c r="O4958" s="12"/>
      <c r="P4958" s="13">
        <f>IFERROR(__xludf.DUMMYFUNCTION("VALUE(SUBSTITUTE((INDEX(SPLIT(A4958,"",""),1)),""."","","",1))"),56.111313)</f>
        <v>56.111313</v>
      </c>
      <c r="Q4958" s="13">
        <f>IFERROR(__xludf.DUMMYFUNCTION("VALUE(SUBSTITUTE((INDEX(SPLIT(A4958,"",""),2)),""."","","",1))"),69.489323)</f>
        <v>69.489323</v>
      </c>
      <c r="R4958" s="14" t="b">
        <f t="shared" si="1"/>
        <v>0</v>
      </c>
      <c r="S4958" s="14" t="str">
        <f t="shared" si="2"/>
        <v>56.111313,69.489323</v>
      </c>
      <c r="T4958" s="12"/>
    </row>
    <row r="4959">
      <c r="A4959" s="10" t="s">
        <v>27071</v>
      </c>
      <c r="B4959" s="8" t="s">
        <v>31923</v>
      </c>
      <c r="C4959" s="8" t="s">
        <v>31924</v>
      </c>
      <c r="D4959" s="8" t="s">
        <v>16</v>
      </c>
      <c r="E4959" s="9" t="s">
        <v>31925</v>
      </c>
      <c r="F4959" s="10" t="s">
        <v>10045</v>
      </c>
      <c r="G4959" s="8">
        <v>23.61</v>
      </c>
      <c r="H4959" s="8"/>
      <c r="I4959" s="10"/>
      <c r="J4959" s="10" t="s">
        <v>31926</v>
      </c>
      <c r="K4959" s="10" t="s">
        <v>31927</v>
      </c>
      <c r="L4959" s="11" t="s">
        <v>31928</v>
      </c>
      <c r="M4959" s="10"/>
      <c r="N4959" s="12"/>
      <c r="O4959" s="12"/>
      <c r="P4959" s="13">
        <f>IFERROR(__xludf.DUMMYFUNCTION("VALUE(SUBSTITUTE((INDEX(SPLIT(A4959,"",""),1)),""."","","",1))"),61.097258)</f>
        <v>61.097258</v>
      </c>
      <c r="Q4959" s="13">
        <f>IFERROR(__xludf.DUMMYFUNCTION("VALUE(SUBSTITUTE((INDEX(SPLIT(A4959,"",""),2)),""."","","",1))"),72.610932)</f>
        <v>72.610932</v>
      </c>
      <c r="R4959" s="14" t="b">
        <f t="shared" si="1"/>
        <v>0</v>
      </c>
      <c r="S4959" s="14" t="str">
        <f t="shared" si="2"/>
        <v>61.097258,72.610932</v>
      </c>
      <c r="T4959" s="12"/>
    </row>
    <row r="4960">
      <c r="A4960" s="22" t="s">
        <v>27077</v>
      </c>
      <c r="B4960" s="16" t="s">
        <v>31929</v>
      </c>
      <c r="C4960" s="16" t="s">
        <v>31930</v>
      </c>
      <c r="D4960" s="16" t="s">
        <v>16</v>
      </c>
      <c r="E4960" s="21" t="s">
        <v>31931</v>
      </c>
      <c r="F4960" s="22" t="s">
        <v>10045</v>
      </c>
      <c r="G4960" s="16">
        <v>23.61</v>
      </c>
      <c r="H4960" s="16"/>
      <c r="I4960" s="22"/>
      <c r="J4960" s="22" t="s">
        <v>31932</v>
      </c>
      <c r="K4960" s="22" t="s">
        <v>31933</v>
      </c>
      <c r="L4960" s="23" t="s">
        <v>31934</v>
      </c>
      <c r="M4960" s="22"/>
      <c r="N4960" s="12"/>
      <c r="O4960" s="12"/>
      <c r="P4960" s="13">
        <f>IFERROR(__xludf.DUMMYFUNCTION("VALUE(SUBSTITUTE((INDEX(SPLIT(A4960,"",""),1)),""."","","",1))"),61.094897)</f>
        <v>61.094897</v>
      </c>
      <c r="Q4960" s="13">
        <f>IFERROR(__xludf.DUMMYFUNCTION("VALUE(SUBSTITUTE((INDEX(SPLIT(A4960,"",""),2)),""."","","",1))"),72.623365)</f>
        <v>72.623365</v>
      </c>
      <c r="R4960" s="14" t="b">
        <f t="shared" si="1"/>
        <v>0</v>
      </c>
      <c r="S4960" s="14" t="str">
        <f t="shared" si="2"/>
        <v>61.094897,72.623365</v>
      </c>
      <c r="T4960" s="12"/>
    </row>
    <row r="4961">
      <c r="A4961" s="22" t="s">
        <v>27089</v>
      </c>
      <c r="B4961" s="16" t="s">
        <v>31935</v>
      </c>
      <c r="C4961" s="16" t="s">
        <v>31936</v>
      </c>
      <c r="D4961" s="16" t="s">
        <v>16</v>
      </c>
      <c r="E4961" s="21" t="s">
        <v>31937</v>
      </c>
      <c r="F4961" s="22" t="s">
        <v>4881</v>
      </c>
      <c r="G4961" s="16">
        <v>23.61</v>
      </c>
      <c r="H4961" s="16"/>
      <c r="I4961" s="22"/>
      <c r="J4961" s="22" t="s">
        <v>31938</v>
      </c>
      <c r="K4961" s="22" t="s">
        <v>31939</v>
      </c>
      <c r="L4961" s="23" t="s">
        <v>31940</v>
      </c>
      <c r="M4961" s="22"/>
      <c r="N4961" s="12"/>
      <c r="O4961" s="12"/>
      <c r="P4961" s="13">
        <f>IFERROR(__xludf.DUMMYFUNCTION("VALUE(SUBSTITUTE((INDEX(SPLIT(A4961,"",""),1)),""."","","",1))"),61.286392)</f>
        <v>61.286392</v>
      </c>
      <c r="Q4961" s="13">
        <f>IFERROR(__xludf.DUMMYFUNCTION("VALUE(SUBSTITUTE((INDEX(SPLIT(A4961,"",""),2)),""."","","",1))"),73.178739)</f>
        <v>73.178739</v>
      </c>
      <c r="R4961" s="14" t="b">
        <f t="shared" si="1"/>
        <v>0</v>
      </c>
      <c r="S4961" s="14" t="str">
        <f t="shared" si="2"/>
        <v>61.286392,73.178739</v>
      </c>
      <c r="T4961" s="12"/>
    </row>
    <row r="4962">
      <c r="A4962" s="8" t="s">
        <v>27391</v>
      </c>
      <c r="B4962" s="8" t="s">
        <v>31941</v>
      </c>
      <c r="C4962" s="8" t="s">
        <v>31942</v>
      </c>
      <c r="D4962" s="8" t="s">
        <v>16</v>
      </c>
      <c r="E4962" s="19" t="s">
        <v>31943</v>
      </c>
      <c r="F4962" s="8" t="s">
        <v>10045</v>
      </c>
      <c r="G4962" s="8">
        <v>23.61</v>
      </c>
      <c r="H4962" s="8"/>
      <c r="I4962" s="8"/>
      <c r="J4962" s="8" t="s">
        <v>31944</v>
      </c>
      <c r="K4962" s="8" t="s">
        <v>31945</v>
      </c>
      <c r="L4962" s="8"/>
      <c r="M4962" s="8"/>
      <c r="N4962" s="12"/>
      <c r="O4962" s="12"/>
      <c r="P4962" s="13">
        <f>IFERROR(__xludf.DUMMYFUNCTION("VALUE(SUBSTITUTE((INDEX(SPLIT(A4962,"",""),1)),""."","","",1))"),61.253247)</f>
        <v>61.253247</v>
      </c>
      <c r="Q4962" s="13">
        <f>IFERROR(__xludf.DUMMYFUNCTION("VALUE(SUBSTITUTE((INDEX(SPLIT(A4962,"",""),2)),""."","","",1))"),73.423665)</f>
        <v>73.423665</v>
      </c>
      <c r="R4962" s="14" t="b">
        <f t="shared" si="1"/>
        <v>0</v>
      </c>
      <c r="S4962" s="14" t="str">
        <f t="shared" si="2"/>
        <v>61.253247,73.423665</v>
      </c>
      <c r="T4962" s="12"/>
    </row>
    <row r="4963">
      <c r="A4963" s="8" t="s">
        <v>27433</v>
      </c>
      <c r="B4963" s="8" t="s">
        <v>31946</v>
      </c>
      <c r="C4963" s="8" t="s">
        <v>31947</v>
      </c>
      <c r="D4963" s="8" t="s">
        <v>16</v>
      </c>
      <c r="E4963" s="19" t="s">
        <v>31948</v>
      </c>
      <c r="F4963" s="8" t="s">
        <v>10045</v>
      </c>
      <c r="G4963" s="8">
        <v>23.61</v>
      </c>
      <c r="H4963" s="8"/>
      <c r="I4963" s="8"/>
      <c r="J4963" s="8" t="s">
        <v>31949</v>
      </c>
      <c r="K4963" s="8" t="s">
        <v>31950</v>
      </c>
      <c r="L4963" s="8"/>
      <c r="M4963" s="24" t="s">
        <v>31951</v>
      </c>
      <c r="N4963" s="12"/>
      <c r="O4963" s="12"/>
      <c r="P4963" s="13">
        <f>IFERROR(__xludf.DUMMYFUNCTION("VALUE(SUBSTITUTE((INDEX(SPLIT(A4963,"",""),1)),""."","","",1))"),61.280894)</f>
        <v>61.280894</v>
      </c>
      <c r="Q4963" s="13">
        <f>IFERROR(__xludf.DUMMYFUNCTION("VALUE(SUBSTITUTE((INDEX(SPLIT(A4963,"",""),2)),""."","","",1))"),73.443985)</f>
        <v>73.443985</v>
      </c>
      <c r="R4963" s="14" t="b">
        <f t="shared" si="1"/>
        <v>0</v>
      </c>
      <c r="S4963" s="14" t="str">
        <f t="shared" si="2"/>
        <v>61.280894,73.443985</v>
      </c>
      <c r="T4963" s="12"/>
    </row>
    <row r="4964">
      <c r="A4964" s="16" t="s">
        <v>27440</v>
      </c>
      <c r="B4964" s="16" t="s">
        <v>31952</v>
      </c>
      <c r="C4964" s="16" t="s">
        <v>31953</v>
      </c>
      <c r="D4964" s="16" t="s">
        <v>16</v>
      </c>
      <c r="E4964" s="17" t="s">
        <v>31954</v>
      </c>
      <c r="F4964" s="16" t="s">
        <v>10045</v>
      </c>
      <c r="G4964" s="16">
        <v>23.61</v>
      </c>
      <c r="H4964" s="16"/>
      <c r="I4964" s="16"/>
      <c r="J4964" s="16" t="s">
        <v>31955</v>
      </c>
      <c r="K4964" s="16" t="s">
        <v>31956</v>
      </c>
      <c r="L4964" s="16"/>
      <c r="M4964" s="25" t="s">
        <v>31957</v>
      </c>
      <c r="N4964" s="12"/>
      <c r="O4964" s="12"/>
      <c r="P4964" s="13">
        <f>IFERROR(__xludf.DUMMYFUNCTION("VALUE(SUBSTITUTE((INDEX(SPLIT(A4964,"",""),1)),""."","","",1))"),61.250984)</f>
        <v>61.250984</v>
      </c>
      <c r="Q4964" s="13">
        <f>IFERROR(__xludf.DUMMYFUNCTION("VALUE(SUBSTITUTE((INDEX(SPLIT(A4964,"",""),2)),""."","","",1))"),73.446797)</f>
        <v>73.446797</v>
      </c>
      <c r="R4964" s="14" t="b">
        <f t="shared" si="1"/>
        <v>0</v>
      </c>
      <c r="S4964" s="14" t="str">
        <f t="shared" si="2"/>
        <v>61.250984,73.446797</v>
      </c>
      <c r="T4964" s="12"/>
    </row>
    <row r="4965">
      <c r="A4965" s="10" t="s">
        <v>27447</v>
      </c>
      <c r="B4965" s="8" t="s">
        <v>31958</v>
      </c>
      <c r="C4965" s="8" t="s">
        <v>31959</v>
      </c>
      <c r="D4965" s="8" t="s">
        <v>16</v>
      </c>
      <c r="E4965" s="9" t="s">
        <v>31960</v>
      </c>
      <c r="F4965" s="10" t="s">
        <v>10045</v>
      </c>
      <c r="G4965" s="8">
        <v>23.61</v>
      </c>
      <c r="H4965" s="8"/>
      <c r="I4965" s="10"/>
      <c r="J4965" s="10" t="s">
        <v>31961</v>
      </c>
      <c r="K4965" s="10" t="s">
        <v>31962</v>
      </c>
      <c r="L4965" s="11" t="s">
        <v>31963</v>
      </c>
      <c r="M4965" s="10"/>
      <c r="N4965" s="12"/>
      <c r="O4965" s="12"/>
      <c r="P4965" s="13">
        <f>IFERROR(__xludf.DUMMYFUNCTION("VALUE(SUBSTITUTE((INDEX(SPLIT(A4965,"",""),1)),""."","","",1))"),61.267804)</f>
        <v>61.267804</v>
      </c>
      <c r="Q4965" s="13">
        <f>IFERROR(__xludf.DUMMYFUNCTION("VALUE(SUBSTITUTE((INDEX(SPLIT(A4965,"",""),2)),""."","","",1))"),73.454917)</f>
        <v>73.454917</v>
      </c>
      <c r="R4965" s="14" t="b">
        <f t="shared" si="1"/>
        <v>0</v>
      </c>
      <c r="S4965" s="14" t="str">
        <f t="shared" si="2"/>
        <v>61.267804,73.454917</v>
      </c>
      <c r="T4965" s="12"/>
    </row>
    <row r="4966">
      <c r="A4966" s="16" t="s">
        <v>27466</v>
      </c>
      <c r="B4966" s="16" t="s">
        <v>31964</v>
      </c>
      <c r="C4966" s="16" t="s">
        <v>31965</v>
      </c>
      <c r="D4966" s="16" t="s">
        <v>16</v>
      </c>
      <c r="E4966" s="17" t="s">
        <v>31966</v>
      </c>
      <c r="F4966" s="16" t="s">
        <v>10045</v>
      </c>
      <c r="G4966" s="16">
        <v>23.61</v>
      </c>
      <c r="H4966" s="16"/>
      <c r="I4966" s="16"/>
      <c r="J4966" s="16" t="s">
        <v>31967</v>
      </c>
      <c r="K4966" s="16" t="s">
        <v>31968</v>
      </c>
      <c r="L4966" s="16"/>
      <c r="M4966" s="25" t="s">
        <v>31969</v>
      </c>
      <c r="N4966" s="12"/>
      <c r="O4966" s="12"/>
      <c r="P4966" s="13">
        <f>IFERROR(__xludf.DUMMYFUNCTION("VALUE(SUBSTITUTE((INDEX(SPLIT(A4966,"",""),1)),""."","","",1))"),61.259845)</f>
        <v>61.259845</v>
      </c>
      <c r="Q4966" s="13">
        <f>IFERROR(__xludf.DUMMYFUNCTION("VALUE(SUBSTITUTE((INDEX(SPLIT(A4966,"",""),2)),""."","","",1))"),73.48458)</f>
        <v>73.48458</v>
      </c>
      <c r="R4966" s="14" t="b">
        <f t="shared" si="1"/>
        <v>0</v>
      </c>
      <c r="S4966" s="14" t="str">
        <f t="shared" si="2"/>
        <v>61.259845,73.48458</v>
      </c>
      <c r="T4966" s="12"/>
    </row>
    <row r="4967">
      <c r="A4967" s="10" t="s">
        <v>27472</v>
      </c>
      <c r="B4967" s="8" t="s">
        <v>22964</v>
      </c>
      <c r="C4967" s="8" t="s">
        <v>22965</v>
      </c>
      <c r="D4967" s="8" t="s">
        <v>16</v>
      </c>
      <c r="E4967" s="9" t="s">
        <v>31970</v>
      </c>
      <c r="F4967" s="10" t="s">
        <v>10045</v>
      </c>
      <c r="G4967" s="8">
        <v>23.61</v>
      </c>
      <c r="H4967" s="8"/>
      <c r="I4967" s="10"/>
      <c r="J4967" s="10" t="s">
        <v>31971</v>
      </c>
      <c r="K4967" s="10" t="s">
        <v>31972</v>
      </c>
      <c r="L4967" s="11" t="s">
        <v>31973</v>
      </c>
      <c r="M4967" s="11" t="s">
        <v>31974</v>
      </c>
      <c r="N4967" s="12"/>
      <c r="O4967" s="12"/>
      <c r="P4967" s="13">
        <f>IFERROR(__xludf.DUMMYFUNCTION("VALUE(SUBSTITUTE((INDEX(SPLIT(A4967,"",""),1)),""."","","",1))"),61.277469)</f>
        <v>61.277469</v>
      </c>
      <c r="Q4967" s="13">
        <f>IFERROR(__xludf.DUMMYFUNCTION("VALUE(SUBSTITUTE((INDEX(SPLIT(A4967,"",""),2)),""."","","",1))"),73.489583)</f>
        <v>73.489583</v>
      </c>
      <c r="R4967" s="14" t="b">
        <f t="shared" si="1"/>
        <v>0</v>
      </c>
      <c r="S4967" s="14" t="str">
        <f t="shared" si="2"/>
        <v>61.277469,73.489583</v>
      </c>
      <c r="T4967" s="12"/>
    </row>
    <row r="4968">
      <c r="A4968" s="22" t="s">
        <v>27492</v>
      </c>
      <c r="B4968" s="16" t="s">
        <v>31975</v>
      </c>
      <c r="C4968" s="16" t="s">
        <v>31976</v>
      </c>
      <c r="D4968" s="16" t="s">
        <v>16</v>
      </c>
      <c r="E4968" s="21" t="s">
        <v>31977</v>
      </c>
      <c r="F4968" s="22" t="s">
        <v>23238</v>
      </c>
      <c r="G4968" s="16">
        <v>23.61</v>
      </c>
      <c r="H4968" s="16"/>
      <c r="I4968" s="22"/>
      <c r="J4968" s="22" t="s">
        <v>31978</v>
      </c>
      <c r="K4968" s="22" t="s">
        <v>31979</v>
      </c>
      <c r="L4968" s="23" t="s">
        <v>31980</v>
      </c>
      <c r="M4968" s="22"/>
      <c r="N4968" s="12"/>
      <c r="O4968" s="12"/>
      <c r="P4968" s="13">
        <f>IFERROR(__xludf.DUMMYFUNCTION("VALUE(SUBSTITUTE((INDEX(SPLIT(A4968,"",""),1)),""."","","",1))"),56.660285)</f>
        <v>56.660285</v>
      </c>
      <c r="Q4968" s="13">
        <f>IFERROR(__xludf.DUMMYFUNCTION("VALUE(SUBSTITUTE((INDEX(SPLIT(A4968,"",""),2)),""."","","",1))"),74.071844)</f>
        <v>74.071844</v>
      </c>
      <c r="R4968" s="14" t="b">
        <f t="shared" si="1"/>
        <v>0</v>
      </c>
      <c r="S4968" s="14" t="str">
        <f t="shared" si="2"/>
        <v>56.660285,74.071844</v>
      </c>
      <c r="T4968" s="12"/>
    </row>
    <row r="4969">
      <c r="A4969" s="8" t="s">
        <v>27513</v>
      </c>
      <c r="B4969" s="8" t="s">
        <v>31981</v>
      </c>
      <c r="C4969" s="8" t="s">
        <v>31982</v>
      </c>
      <c r="D4969" s="8" t="s">
        <v>16</v>
      </c>
      <c r="E4969" s="19" t="s">
        <v>31983</v>
      </c>
      <c r="F4969" s="8" t="s">
        <v>10045</v>
      </c>
      <c r="G4969" s="8">
        <v>23.61</v>
      </c>
      <c r="H4969" s="8"/>
      <c r="I4969" s="8"/>
      <c r="J4969" s="8" t="s">
        <v>31984</v>
      </c>
      <c r="K4969" s="8" t="s">
        <v>31985</v>
      </c>
      <c r="L4969" s="8"/>
      <c r="M4969" s="24" t="s">
        <v>31986</v>
      </c>
      <c r="N4969" s="12"/>
      <c r="O4969" s="12"/>
      <c r="P4969" s="13">
        <f>IFERROR(__xludf.DUMMYFUNCTION("VALUE(SUBSTITUTE((INDEX(SPLIT(A4969,"",""),1)),""."","","",1))"),61.13109)</f>
        <v>61.13109</v>
      </c>
      <c r="Q4969" s="13">
        <f>IFERROR(__xludf.DUMMYFUNCTION("VALUE(SUBSTITUTE((INDEX(SPLIT(A4969,"",""),2)),""."","","",1))"),74.851771)</f>
        <v>74.851771</v>
      </c>
      <c r="R4969" s="14" t="b">
        <f t="shared" si="1"/>
        <v>0</v>
      </c>
      <c r="S4969" s="14" t="str">
        <f t="shared" si="2"/>
        <v>61.13109,74.851771</v>
      </c>
      <c r="T4969" s="12"/>
    </row>
    <row r="4970">
      <c r="A4970" s="10" t="s">
        <v>27527</v>
      </c>
      <c r="B4970" s="8" t="s">
        <v>31987</v>
      </c>
      <c r="C4970" s="8" t="s">
        <v>31988</v>
      </c>
      <c r="D4970" s="8" t="s">
        <v>16</v>
      </c>
      <c r="E4970" s="9" t="s">
        <v>31989</v>
      </c>
      <c r="F4970" s="10" t="s">
        <v>10045</v>
      </c>
      <c r="G4970" s="8">
        <v>23.61</v>
      </c>
      <c r="H4970" s="8"/>
      <c r="I4970" s="10"/>
      <c r="J4970" s="10" t="s">
        <v>31990</v>
      </c>
      <c r="K4970" s="10" t="s">
        <v>31991</v>
      </c>
      <c r="L4970" s="11" t="s">
        <v>31992</v>
      </c>
      <c r="M4970" s="10"/>
      <c r="N4970" s="12"/>
      <c r="O4970" s="12"/>
      <c r="P4970" s="13">
        <f>IFERROR(__xludf.DUMMYFUNCTION("VALUE(SUBSTITUTE((INDEX(SPLIT(A4970,"",""),1)),""."","","",1))"),61.025281)</f>
        <v>61.025281</v>
      </c>
      <c r="Q4970" s="13">
        <f>IFERROR(__xludf.DUMMYFUNCTION("VALUE(SUBSTITUTE((INDEX(SPLIT(A4970,"",""),2)),""."","","",1))"),76.110697)</f>
        <v>76.110697</v>
      </c>
      <c r="R4970" s="14" t="b">
        <f t="shared" si="1"/>
        <v>0</v>
      </c>
      <c r="S4970" s="14" t="str">
        <f t="shared" si="2"/>
        <v>61.025281,76.110697</v>
      </c>
      <c r="T4970" s="12"/>
    </row>
    <row r="4971">
      <c r="A4971" s="22" t="s">
        <v>27534</v>
      </c>
      <c r="B4971" s="16" t="s">
        <v>31993</v>
      </c>
      <c r="C4971" s="16" t="s">
        <v>31994</v>
      </c>
      <c r="D4971" s="16" t="s">
        <v>16</v>
      </c>
      <c r="E4971" s="21" t="s">
        <v>31995</v>
      </c>
      <c r="F4971" s="22" t="s">
        <v>10045</v>
      </c>
      <c r="G4971" s="16">
        <v>23.61</v>
      </c>
      <c r="H4971" s="16"/>
      <c r="I4971" s="22"/>
      <c r="J4971" s="22" t="s">
        <v>31996</v>
      </c>
      <c r="K4971" s="22" t="s">
        <v>31997</v>
      </c>
      <c r="L4971" s="23" t="s">
        <v>31998</v>
      </c>
      <c r="M4971" s="23" t="s">
        <v>31999</v>
      </c>
      <c r="N4971" s="12"/>
      <c r="O4971" s="12"/>
      <c r="P4971" s="13">
        <f>IFERROR(__xludf.DUMMYFUNCTION("VALUE(SUBSTITUTE((INDEX(SPLIT(A4971,"",""),1)),""."","","",1))"),61.024501)</f>
        <v>61.024501</v>
      </c>
      <c r="Q4971" s="13">
        <f>IFERROR(__xludf.DUMMYFUNCTION("VALUE(SUBSTITUTE((INDEX(SPLIT(A4971,"",""),2)),""."","","",1))"),76.119006)</f>
        <v>76.119006</v>
      </c>
      <c r="R4971" s="14" t="b">
        <f t="shared" si="1"/>
        <v>0</v>
      </c>
      <c r="S4971" s="14" t="str">
        <f t="shared" si="2"/>
        <v>61.024501,76.119006</v>
      </c>
      <c r="T4971" s="12"/>
    </row>
    <row r="4972">
      <c r="A4972" s="10" t="s">
        <v>27553</v>
      </c>
      <c r="B4972" s="8" t="s">
        <v>32000</v>
      </c>
      <c r="C4972" s="8" t="s">
        <v>32001</v>
      </c>
      <c r="D4972" s="8" t="s">
        <v>16</v>
      </c>
      <c r="E4972" s="9" t="s">
        <v>32002</v>
      </c>
      <c r="F4972" s="10" t="s">
        <v>10045</v>
      </c>
      <c r="G4972" s="8">
        <v>23.61</v>
      </c>
      <c r="H4972" s="8"/>
      <c r="I4972" s="10"/>
      <c r="J4972" s="10" t="s">
        <v>32003</v>
      </c>
      <c r="K4972" s="10" t="s">
        <v>32004</v>
      </c>
      <c r="L4972" s="11" t="s">
        <v>32005</v>
      </c>
      <c r="M4972" s="11" t="s">
        <v>32006</v>
      </c>
      <c r="N4972" s="12"/>
      <c r="O4972" s="12"/>
      <c r="P4972" s="13">
        <f>IFERROR(__xludf.DUMMYFUNCTION("VALUE(SUBSTITUTE((INDEX(SPLIT(A4972,"",""),1)),""."","","",1))"),60.952479)</f>
        <v>60.952479</v>
      </c>
      <c r="Q4972" s="13">
        <f>IFERROR(__xludf.DUMMYFUNCTION("VALUE(SUBSTITUTE((INDEX(SPLIT(A4972,"",""),2)),""."","","",1))"),76.501491)</f>
        <v>76.501491</v>
      </c>
      <c r="R4972" s="14" t="b">
        <f t="shared" si="1"/>
        <v>0</v>
      </c>
      <c r="S4972" s="14" t="str">
        <f t="shared" si="2"/>
        <v>60.952479,76.501491</v>
      </c>
      <c r="T4972" s="12"/>
    </row>
    <row r="4973">
      <c r="A4973" s="22" t="s">
        <v>27558</v>
      </c>
      <c r="B4973" s="16" t="s">
        <v>15271</v>
      </c>
      <c r="C4973" s="16" t="s">
        <v>15272</v>
      </c>
      <c r="D4973" s="16" t="s">
        <v>16</v>
      </c>
      <c r="E4973" s="21" t="s">
        <v>32007</v>
      </c>
      <c r="F4973" s="22" t="s">
        <v>10045</v>
      </c>
      <c r="G4973" s="16">
        <v>23.61</v>
      </c>
      <c r="H4973" s="16"/>
      <c r="I4973" s="22"/>
      <c r="J4973" s="22" t="s">
        <v>32008</v>
      </c>
      <c r="K4973" s="22" t="s">
        <v>32009</v>
      </c>
      <c r="L4973" s="23" t="s">
        <v>32010</v>
      </c>
      <c r="M4973" s="22"/>
      <c r="N4973" s="12"/>
      <c r="O4973" s="12"/>
      <c r="P4973" s="13">
        <f>IFERROR(__xludf.DUMMYFUNCTION("VALUE(SUBSTITUTE((INDEX(SPLIT(A4973,"",""),1)),""."","","",1))"),60.914021)</f>
        <v>60.914021</v>
      </c>
      <c r="Q4973" s="13">
        <f>IFERROR(__xludf.DUMMYFUNCTION("VALUE(SUBSTITUTE((INDEX(SPLIT(A4973,"",""),2)),""."","","",1))"),76.51183)</f>
        <v>76.51183</v>
      </c>
      <c r="R4973" s="14" t="b">
        <f t="shared" si="1"/>
        <v>0</v>
      </c>
      <c r="S4973" s="14" t="str">
        <f t="shared" si="2"/>
        <v>60.914021,76.51183</v>
      </c>
      <c r="T4973" s="12"/>
    </row>
    <row r="4974">
      <c r="A4974" s="10" t="s">
        <v>27565</v>
      </c>
      <c r="B4974" s="8" t="s">
        <v>32011</v>
      </c>
      <c r="C4974" s="8" t="s">
        <v>32012</v>
      </c>
      <c r="D4974" s="8" t="s">
        <v>16</v>
      </c>
      <c r="E4974" s="9" t="s">
        <v>32013</v>
      </c>
      <c r="F4974" s="10" t="s">
        <v>10045</v>
      </c>
      <c r="G4974" s="8">
        <v>23.61</v>
      </c>
      <c r="H4974" s="8"/>
      <c r="I4974" s="10"/>
      <c r="J4974" s="10" t="s">
        <v>32014</v>
      </c>
      <c r="K4974" s="10" t="s">
        <v>32015</v>
      </c>
      <c r="L4974" s="11" t="s">
        <v>32016</v>
      </c>
      <c r="M4974" s="10"/>
      <c r="N4974" s="12"/>
      <c r="O4974" s="12"/>
      <c r="P4974" s="13">
        <f>IFERROR(__xludf.DUMMYFUNCTION("VALUE(SUBSTITUTE((INDEX(SPLIT(A4974,"",""),1)),""."","","",1))"),60.944947)</f>
        <v>60.944947</v>
      </c>
      <c r="Q4974" s="13">
        <f>IFERROR(__xludf.DUMMYFUNCTION("VALUE(SUBSTITUTE((INDEX(SPLIT(A4974,"",""),2)),""."","","",1))"),76.518271)</f>
        <v>76.518271</v>
      </c>
      <c r="R4974" s="14" t="b">
        <f t="shared" si="1"/>
        <v>0</v>
      </c>
      <c r="S4974" s="14" t="str">
        <f t="shared" si="2"/>
        <v>60.944947,76.518271</v>
      </c>
      <c r="T4974" s="12"/>
    </row>
    <row r="4975">
      <c r="A4975" s="22" t="s">
        <v>27572</v>
      </c>
      <c r="B4975" s="16" t="s">
        <v>4745</v>
      </c>
      <c r="C4975" s="16" t="s">
        <v>2779</v>
      </c>
      <c r="D4975" s="16" t="s">
        <v>16</v>
      </c>
      <c r="E4975" s="21" t="s">
        <v>32017</v>
      </c>
      <c r="F4975" s="22" t="s">
        <v>10045</v>
      </c>
      <c r="G4975" s="16">
        <v>23.61</v>
      </c>
      <c r="H4975" s="16"/>
      <c r="I4975" s="22"/>
      <c r="J4975" s="22" t="s">
        <v>32018</v>
      </c>
      <c r="K4975" s="22" t="s">
        <v>32019</v>
      </c>
      <c r="L4975" s="23" t="s">
        <v>32020</v>
      </c>
      <c r="M4975" s="23" t="s">
        <v>32021</v>
      </c>
      <c r="N4975" s="12"/>
      <c r="O4975" s="12"/>
      <c r="P4975" s="13">
        <f>IFERROR(__xludf.DUMMYFUNCTION("VALUE(SUBSTITUTE((INDEX(SPLIT(A4975,"",""),1)),""."","","",1))"),60.963124)</f>
        <v>60.963124</v>
      </c>
      <c r="Q4975" s="13">
        <f>IFERROR(__xludf.DUMMYFUNCTION("VALUE(SUBSTITUTE((INDEX(SPLIT(A4975,"",""),2)),""."","","",1))"),76.523688)</f>
        <v>76.523688</v>
      </c>
      <c r="R4975" s="14" t="b">
        <f t="shared" si="1"/>
        <v>0</v>
      </c>
      <c r="S4975" s="14" t="str">
        <f t="shared" si="2"/>
        <v>60.963124,76.523688</v>
      </c>
      <c r="T4975" s="12"/>
    </row>
    <row r="4976">
      <c r="A4976" s="8" t="s">
        <v>27579</v>
      </c>
      <c r="B4976" s="8" t="s">
        <v>32022</v>
      </c>
      <c r="C4976" s="8" t="s">
        <v>1841</v>
      </c>
      <c r="D4976" s="8" t="s">
        <v>16</v>
      </c>
      <c r="E4976" s="19" t="s">
        <v>32023</v>
      </c>
      <c r="F4976" s="8" t="s">
        <v>10045</v>
      </c>
      <c r="G4976" s="8">
        <v>23.61</v>
      </c>
      <c r="H4976" s="8"/>
      <c r="I4976" s="8"/>
      <c r="J4976" s="8" t="s">
        <v>32024</v>
      </c>
      <c r="K4976" s="8" t="s">
        <v>32025</v>
      </c>
      <c r="L4976" s="8"/>
      <c r="M4976" s="24" t="s">
        <v>32026</v>
      </c>
      <c r="N4976" s="12"/>
      <c r="O4976" s="12"/>
      <c r="P4976" s="13">
        <f>IFERROR(__xludf.DUMMYFUNCTION("VALUE(SUBSTITUTE((INDEX(SPLIT(A4976,"",""),1)),""."","","",1))"),60.938545)</f>
        <v>60.938545</v>
      </c>
      <c r="Q4976" s="13">
        <f>IFERROR(__xludf.DUMMYFUNCTION("VALUE(SUBSTITUTE((INDEX(SPLIT(A4976,"",""),2)),""."","","",1))"),76.558902)</f>
        <v>76.558902</v>
      </c>
      <c r="R4976" s="14" t="b">
        <f t="shared" si="1"/>
        <v>0</v>
      </c>
      <c r="S4976" s="14" t="str">
        <f t="shared" si="2"/>
        <v>60.938545,76.558902</v>
      </c>
      <c r="T4976" s="12"/>
    </row>
    <row r="4977">
      <c r="A4977" s="16" t="s">
        <v>27600</v>
      </c>
      <c r="B4977" s="16" t="s">
        <v>32027</v>
      </c>
      <c r="C4977" s="16" t="s">
        <v>32028</v>
      </c>
      <c r="D4977" s="16" t="s">
        <v>16</v>
      </c>
      <c r="E4977" s="17" t="s">
        <v>32029</v>
      </c>
      <c r="F4977" s="16" t="s">
        <v>10045</v>
      </c>
      <c r="G4977" s="16">
        <v>23.61</v>
      </c>
      <c r="H4977" s="16"/>
      <c r="I4977" s="16"/>
      <c r="J4977" s="16" t="s">
        <v>32030</v>
      </c>
      <c r="K4977" s="16" t="s">
        <v>32031</v>
      </c>
      <c r="L4977" s="16"/>
      <c r="M4977" s="16"/>
      <c r="N4977" s="12"/>
      <c r="O4977" s="12"/>
      <c r="P4977" s="13">
        <f>IFERROR(__xludf.DUMMYFUNCTION("VALUE(SUBSTITUTE((INDEX(SPLIT(A4977,"",""),1)),""."","","",1))"),60.955131)</f>
        <v>60.955131</v>
      </c>
      <c r="Q4977" s="13">
        <f>IFERROR(__xludf.DUMMYFUNCTION("VALUE(SUBSTITUTE((INDEX(SPLIT(A4977,"",""),2)),""."","","",1))"),76.883984)</f>
        <v>76.883984</v>
      </c>
      <c r="R4977" s="14" t="b">
        <f t="shared" si="1"/>
        <v>0</v>
      </c>
      <c r="S4977" s="14" t="str">
        <f t="shared" si="2"/>
        <v>60.955131,76.883984</v>
      </c>
      <c r="T4977" s="12"/>
    </row>
    <row r="4978">
      <c r="A4978" s="10" t="s">
        <v>27608</v>
      </c>
      <c r="B4978" s="8" t="s">
        <v>32032</v>
      </c>
      <c r="C4978" s="8" t="s">
        <v>32033</v>
      </c>
      <c r="D4978" s="8" t="s">
        <v>16</v>
      </c>
      <c r="E4978" s="9" t="s">
        <v>32034</v>
      </c>
      <c r="F4978" s="10" t="s">
        <v>9648</v>
      </c>
      <c r="G4978" s="8">
        <v>23.61</v>
      </c>
      <c r="H4978" s="8"/>
      <c r="I4978" s="10"/>
      <c r="J4978" s="10" t="s">
        <v>32035</v>
      </c>
      <c r="K4978" s="10" t="s">
        <v>32036</v>
      </c>
      <c r="L4978" s="11" t="s">
        <v>32037</v>
      </c>
      <c r="M4978" s="10"/>
      <c r="N4978" s="12"/>
      <c r="O4978" s="12"/>
      <c r="P4978" s="13">
        <f>IFERROR(__xludf.DUMMYFUNCTION("VALUE(SUBSTITUTE((INDEX(SPLIT(A4978,"",""),1)),""."","","",1))"),55.454055)</f>
        <v>55.454055</v>
      </c>
      <c r="Q4978" s="13">
        <f>IFERROR(__xludf.DUMMYFUNCTION("VALUE(SUBSTITUTE((INDEX(SPLIT(A4978,"",""),2)),""."","","",1))"),78.265459)</f>
        <v>78.265459</v>
      </c>
      <c r="R4978" s="14" t="b">
        <f t="shared" si="1"/>
        <v>0</v>
      </c>
      <c r="S4978" s="14" t="str">
        <f t="shared" si="2"/>
        <v>55.454055,78.265459</v>
      </c>
      <c r="T4978" s="12"/>
    </row>
    <row r="4979">
      <c r="A4979" s="16" t="s">
        <v>27616</v>
      </c>
      <c r="B4979" s="16" t="s">
        <v>32038</v>
      </c>
      <c r="C4979" s="16" t="s">
        <v>32039</v>
      </c>
      <c r="D4979" s="16" t="s">
        <v>16</v>
      </c>
      <c r="E4979" s="17" t="s">
        <v>32040</v>
      </c>
      <c r="F4979" s="16" t="s">
        <v>9648</v>
      </c>
      <c r="G4979" s="16">
        <v>23.61</v>
      </c>
      <c r="H4979" s="16"/>
      <c r="I4979" s="16"/>
      <c r="J4979" s="16" t="s">
        <v>32041</v>
      </c>
      <c r="K4979" s="16" t="s">
        <v>32042</v>
      </c>
      <c r="L4979" s="16"/>
      <c r="M4979" s="16"/>
      <c r="N4979" s="12"/>
      <c r="O4979" s="12"/>
      <c r="P4979" s="13">
        <f>IFERROR(__xludf.DUMMYFUNCTION("VALUE(SUBSTITUTE((INDEX(SPLIT(A4979,"",""),1)),""."","","",1))"),55.446749)</f>
        <v>55.446749</v>
      </c>
      <c r="Q4979" s="13">
        <f>IFERROR(__xludf.DUMMYFUNCTION("VALUE(SUBSTITUTE((INDEX(SPLIT(A4979,"",""),2)),""."","","",1))"),78.35653)</f>
        <v>78.35653</v>
      </c>
      <c r="R4979" s="14" t="b">
        <f t="shared" si="1"/>
        <v>0</v>
      </c>
      <c r="S4979" s="14" t="str">
        <f t="shared" si="2"/>
        <v>55.446749,78.35653</v>
      </c>
      <c r="T4979" s="12"/>
    </row>
    <row r="4980">
      <c r="A4980" s="8" t="s">
        <v>27616</v>
      </c>
      <c r="B4980" s="8" t="s">
        <v>16328</v>
      </c>
      <c r="C4980" s="8" t="s">
        <v>16329</v>
      </c>
      <c r="D4980" s="8" t="s">
        <v>16</v>
      </c>
      <c r="E4980" s="19" t="s">
        <v>32043</v>
      </c>
      <c r="F4980" s="8" t="s">
        <v>9648</v>
      </c>
      <c r="G4980" s="8">
        <v>23.61</v>
      </c>
      <c r="H4980" s="8"/>
      <c r="I4980" s="8"/>
      <c r="J4980" s="8" t="s">
        <v>32044</v>
      </c>
      <c r="K4980" s="8" t="s">
        <v>32045</v>
      </c>
      <c r="L4980" s="8"/>
      <c r="M4980" s="24" t="s">
        <v>32046</v>
      </c>
      <c r="N4980" s="12"/>
      <c r="O4980" s="12"/>
      <c r="P4980" s="13">
        <f>IFERROR(__xludf.DUMMYFUNCTION("VALUE(SUBSTITUTE((INDEX(SPLIT(A4980,"",""),1)),""."","","",1))"),55.446749)</f>
        <v>55.446749</v>
      </c>
      <c r="Q4980" s="13">
        <f>IFERROR(__xludf.DUMMYFUNCTION("VALUE(SUBSTITUTE((INDEX(SPLIT(A4980,"",""),2)),""."","","",1))"),78.35653)</f>
        <v>78.35653</v>
      </c>
      <c r="R4980" s="14" t="b">
        <f t="shared" si="1"/>
        <v>0</v>
      </c>
      <c r="S4980" s="14" t="str">
        <f t="shared" si="2"/>
        <v>55.446749,78.35653</v>
      </c>
      <c r="T4980" s="12"/>
    </row>
    <row r="4981">
      <c r="A4981" s="22" t="s">
        <v>27665</v>
      </c>
      <c r="B4981" s="16" t="s">
        <v>32047</v>
      </c>
      <c r="C4981" s="16" t="s">
        <v>32048</v>
      </c>
      <c r="D4981" s="16" t="s">
        <v>16</v>
      </c>
      <c r="E4981" s="21" t="s">
        <v>32049</v>
      </c>
      <c r="F4981" s="22" t="s">
        <v>9648</v>
      </c>
      <c r="G4981" s="16">
        <v>23.61</v>
      </c>
      <c r="H4981" s="16"/>
      <c r="I4981" s="22"/>
      <c r="J4981" s="22" t="s">
        <v>32050</v>
      </c>
      <c r="K4981" s="22" t="s">
        <v>32051</v>
      </c>
      <c r="L4981" s="23" t="s">
        <v>32052</v>
      </c>
      <c r="M4981" s="22"/>
      <c r="N4981" s="12"/>
      <c r="O4981" s="12"/>
      <c r="P4981" s="13">
        <f>IFERROR(__xludf.DUMMYFUNCTION("VALUE(SUBSTITUTE((INDEX(SPLIT(A4981,"",""),1)),""."","","",1))"),55.316744)</f>
        <v>55.316744</v>
      </c>
      <c r="Q4981" s="13">
        <f>IFERROR(__xludf.DUMMYFUNCTION("VALUE(SUBSTITUTE((INDEX(SPLIT(A4981,"",""),2)),""."","","",1))"),82.74268)</f>
        <v>82.74268</v>
      </c>
      <c r="R4981" s="14" t="b">
        <f t="shared" si="1"/>
        <v>0</v>
      </c>
      <c r="S4981" s="14" t="str">
        <f t="shared" si="2"/>
        <v>55.316744,82.74268</v>
      </c>
      <c r="T4981" s="12"/>
    </row>
    <row r="4982">
      <c r="A4982" s="10" t="s">
        <v>27670</v>
      </c>
      <c r="B4982" s="8" t="s">
        <v>14556</v>
      </c>
      <c r="C4982" s="8" t="s">
        <v>14557</v>
      </c>
      <c r="D4982" s="8" t="s">
        <v>16</v>
      </c>
      <c r="E4982" s="9" t="s">
        <v>32053</v>
      </c>
      <c r="F4982" s="10" t="s">
        <v>9648</v>
      </c>
      <c r="G4982" s="8">
        <v>23.61</v>
      </c>
      <c r="H4982" s="8"/>
      <c r="I4982" s="10"/>
      <c r="J4982" s="10" t="s">
        <v>32054</v>
      </c>
      <c r="K4982" s="10" t="s">
        <v>32055</v>
      </c>
      <c r="L4982" s="11" t="s">
        <v>32056</v>
      </c>
      <c r="M4982" s="10"/>
      <c r="N4982" s="12"/>
      <c r="O4982" s="12"/>
      <c r="P4982" s="13">
        <f>IFERROR(__xludf.DUMMYFUNCTION("VALUE(SUBSTITUTE((INDEX(SPLIT(A4982,"",""),1)),""."","","",1))"),55.30232)</f>
        <v>55.30232</v>
      </c>
      <c r="Q4982" s="13">
        <f>IFERROR(__xludf.DUMMYFUNCTION("VALUE(SUBSTITUTE((INDEX(SPLIT(A4982,"",""),2)),""."","","",1))"),82.743668)</f>
        <v>82.743668</v>
      </c>
      <c r="R4982" s="14" t="b">
        <f t="shared" si="1"/>
        <v>0</v>
      </c>
      <c r="S4982" s="14" t="str">
        <f t="shared" si="2"/>
        <v>55.30232,82.743668</v>
      </c>
      <c r="T4982" s="12"/>
    </row>
    <row r="4983">
      <c r="A4983" s="16" t="s">
        <v>27675</v>
      </c>
      <c r="B4983" s="16" t="s">
        <v>22964</v>
      </c>
      <c r="C4983" s="16" t="s">
        <v>22965</v>
      </c>
      <c r="D4983" s="16" t="s">
        <v>16</v>
      </c>
      <c r="E4983" s="17" t="s">
        <v>32057</v>
      </c>
      <c r="F4983" s="16" t="s">
        <v>9648</v>
      </c>
      <c r="G4983" s="16">
        <v>23.61</v>
      </c>
      <c r="H4983" s="16"/>
      <c r="I4983" s="16"/>
      <c r="J4983" s="16" t="s">
        <v>32058</v>
      </c>
      <c r="K4983" s="16" t="s">
        <v>32055</v>
      </c>
      <c r="L4983" s="16"/>
      <c r="M4983" s="16"/>
      <c r="N4983" s="12"/>
      <c r="O4983" s="12"/>
      <c r="P4983" s="13">
        <f>IFERROR(__xludf.DUMMYFUNCTION("VALUE(SUBSTITUTE((INDEX(SPLIT(A4983,"",""),1)),""."","","",1))"),55.302499)</f>
        <v>55.302499</v>
      </c>
      <c r="Q4983" s="13">
        <f>IFERROR(__xludf.DUMMYFUNCTION("VALUE(SUBSTITUTE((INDEX(SPLIT(A4983,"",""),2)),""."","","",1))"),82.743722)</f>
        <v>82.743722</v>
      </c>
      <c r="R4983" s="14" t="b">
        <f t="shared" si="1"/>
        <v>0</v>
      </c>
      <c r="S4983" s="14" t="str">
        <f t="shared" si="2"/>
        <v>55.302499,82.743722</v>
      </c>
      <c r="T4983" s="12"/>
    </row>
    <row r="4984">
      <c r="A4984" s="22" t="s">
        <v>28510</v>
      </c>
      <c r="B4984" s="16" t="s">
        <v>32059</v>
      </c>
      <c r="C4984" s="16" t="s">
        <v>32060</v>
      </c>
      <c r="D4984" s="16" t="s">
        <v>16</v>
      </c>
      <c r="E4984" s="21" t="s">
        <v>32061</v>
      </c>
      <c r="F4984" s="22" t="s">
        <v>9648</v>
      </c>
      <c r="G4984" s="16">
        <v>23.61</v>
      </c>
      <c r="H4984" s="16"/>
      <c r="I4984" s="22"/>
      <c r="J4984" s="22" t="s">
        <v>32062</v>
      </c>
      <c r="K4984" s="22" t="s">
        <v>32063</v>
      </c>
      <c r="L4984" s="30" t="s">
        <v>32064</v>
      </c>
      <c r="M4984" s="22"/>
      <c r="N4984" s="12"/>
      <c r="O4984" s="12"/>
      <c r="P4984" s="13">
        <f>IFERROR(__xludf.DUMMYFUNCTION("VALUE(SUBSTITUTE((INDEX(SPLIT(A4984,"",""),1)),""."","","",1))"),55.302889)</f>
        <v>55.302889</v>
      </c>
      <c r="Q4984" s="13">
        <f>IFERROR(__xludf.DUMMYFUNCTION("VALUE(SUBSTITUTE((INDEX(SPLIT(A4984,"",""),2)),""."","","",1))"),83.62761)</f>
        <v>83.62761</v>
      </c>
      <c r="R4984" s="14" t="b">
        <f t="shared" si="1"/>
        <v>0</v>
      </c>
      <c r="S4984" s="14" t="str">
        <f t="shared" si="2"/>
        <v>55.302889,83.62761</v>
      </c>
      <c r="T4984" s="12"/>
    </row>
    <row r="4985">
      <c r="A4985" s="16" t="s">
        <v>28771</v>
      </c>
      <c r="B4985" s="16" t="s">
        <v>32065</v>
      </c>
      <c r="C4985" s="16" t="s">
        <v>32066</v>
      </c>
      <c r="D4985" s="16" t="s">
        <v>16</v>
      </c>
      <c r="E4985" s="17" t="s">
        <v>32067</v>
      </c>
      <c r="F4985" s="16" t="s">
        <v>28210</v>
      </c>
      <c r="G4985" s="16">
        <v>23.61</v>
      </c>
      <c r="H4985" s="16"/>
      <c r="I4985" s="16"/>
      <c r="J4985" s="16" t="s">
        <v>32068</v>
      </c>
      <c r="K4985" s="16" t="s">
        <v>32069</v>
      </c>
      <c r="L4985" s="16"/>
      <c r="M4985" s="16"/>
      <c r="N4985" s="12"/>
      <c r="O4985" s="12"/>
      <c r="P4985" s="13">
        <f>IFERROR(__xludf.DUMMYFUNCTION("VALUE(SUBSTITUTE((INDEX(SPLIT(A4985,"",""),1)),""."","","",1))"),56.739317)</f>
        <v>56.739317</v>
      </c>
      <c r="Q4985" s="13">
        <f>IFERROR(__xludf.DUMMYFUNCTION("VALUE(SUBSTITUTE((INDEX(SPLIT(A4985,"",""),2)),""."","","",1))"),84.715201)</f>
        <v>84.715201</v>
      </c>
      <c r="R4985" s="14" t="b">
        <f t="shared" si="1"/>
        <v>0</v>
      </c>
      <c r="S4985" s="14" t="str">
        <f t="shared" si="2"/>
        <v>56.739317,84.715201</v>
      </c>
      <c r="T4985" s="12"/>
    </row>
    <row r="4986">
      <c r="A4986" s="8" t="s">
        <v>28778</v>
      </c>
      <c r="B4986" s="8" t="s">
        <v>32070</v>
      </c>
      <c r="C4986" s="8" t="s">
        <v>32071</v>
      </c>
      <c r="D4986" s="8" t="s">
        <v>16</v>
      </c>
      <c r="E4986" s="19" t="s">
        <v>32072</v>
      </c>
      <c r="F4986" s="8" t="s">
        <v>28210</v>
      </c>
      <c r="G4986" s="8">
        <v>23.61</v>
      </c>
      <c r="H4986" s="8"/>
      <c r="I4986" s="8"/>
      <c r="J4986" s="8" t="s">
        <v>32073</v>
      </c>
      <c r="K4986" s="8" t="s">
        <v>32074</v>
      </c>
      <c r="L4986" s="8"/>
      <c r="M4986" s="8"/>
      <c r="N4986" s="12"/>
      <c r="O4986" s="12"/>
      <c r="P4986" s="13">
        <f>IFERROR(__xludf.DUMMYFUNCTION("VALUE(SUBSTITUTE((INDEX(SPLIT(A4986,"",""),1)),""."","","",1))"),56.51161)</f>
        <v>56.51161</v>
      </c>
      <c r="Q4986" s="13">
        <f>IFERROR(__xludf.DUMMYFUNCTION("VALUE(SUBSTITUTE((INDEX(SPLIT(A4986,"",""),2)),""."","","",1))"),84.743004)</f>
        <v>84.743004</v>
      </c>
      <c r="R4986" s="14" t="b">
        <f t="shared" si="1"/>
        <v>0</v>
      </c>
      <c r="S4986" s="14" t="str">
        <f t="shared" si="2"/>
        <v>56.51161,84.743004</v>
      </c>
      <c r="T4986" s="12"/>
    </row>
    <row r="4987">
      <c r="A4987" s="16" t="s">
        <v>28785</v>
      </c>
      <c r="B4987" s="16" t="s">
        <v>32075</v>
      </c>
      <c r="C4987" s="16" t="s">
        <v>32076</v>
      </c>
      <c r="D4987" s="16" t="s">
        <v>16</v>
      </c>
      <c r="E4987" s="17" t="s">
        <v>32077</v>
      </c>
      <c r="F4987" s="16" t="s">
        <v>28210</v>
      </c>
      <c r="G4987" s="16">
        <v>23.61</v>
      </c>
      <c r="H4987" s="16"/>
      <c r="I4987" s="16"/>
      <c r="J4987" s="16" t="s">
        <v>32078</v>
      </c>
      <c r="K4987" s="16" t="s">
        <v>32079</v>
      </c>
      <c r="L4987" s="16"/>
      <c r="M4987" s="16"/>
      <c r="N4987" s="12"/>
      <c r="O4987" s="12"/>
      <c r="P4987" s="13">
        <f>IFERROR(__xludf.DUMMYFUNCTION("VALUE(SUBSTITUTE((INDEX(SPLIT(A4987,"",""),1)),""."","","",1))"),56.420364)</f>
        <v>56.420364</v>
      </c>
      <c r="Q4987" s="13">
        <f>IFERROR(__xludf.DUMMYFUNCTION("VALUE(SUBSTITUTE((INDEX(SPLIT(A4987,"",""),2)),""."","","",1))"),84.870744)</f>
        <v>84.870744</v>
      </c>
      <c r="R4987" s="14" t="b">
        <f t="shared" si="1"/>
        <v>0</v>
      </c>
      <c r="S4987" s="14" t="str">
        <f t="shared" si="2"/>
        <v>56.420364,84.870744</v>
      </c>
      <c r="T4987" s="12"/>
    </row>
    <row r="4988">
      <c r="A4988" s="8" t="s">
        <v>28792</v>
      </c>
      <c r="B4988" s="8" t="s">
        <v>32080</v>
      </c>
      <c r="C4988" s="8" t="s">
        <v>32081</v>
      </c>
      <c r="D4988" s="8" t="s">
        <v>16</v>
      </c>
      <c r="E4988" s="19" t="s">
        <v>32082</v>
      </c>
      <c r="F4988" s="8" t="s">
        <v>28210</v>
      </c>
      <c r="G4988" s="8">
        <v>23.61</v>
      </c>
      <c r="H4988" s="8"/>
      <c r="I4988" s="8"/>
      <c r="J4988" s="8" t="s">
        <v>32083</v>
      </c>
      <c r="K4988" s="8" t="s">
        <v>32084</v>
      </c>
      <c r="L4988" s="8"/>
      <c r="M4988" s="8"/>
      <c r="N4988" s="12"/>
      <c r="O4988" s="12"/>
      <c r="P4988" s="13">
        <f>IFERROR(__xludf.DUMMYFUNCTION("VALUE(SUBSTITUTE((INDEX(SPLIT(A4988,"",""),1)),""."","","",1))"),56.607842)</f>
        <v>56.607842</v>
      </c>
      <c r="Q4988" s="13">
        <f>IFERROR(__xludf.DUMMYFUNCTION("VALUE(SUBSTITUTE((INDEX(SPLIT(A4988,"",""),2)),""."","","",1))"),84.887039)</f>
        <v>84.887039</v>
      </c>
      <c r="R4988" s="14" t="b">
        <f t="shared" si="1"/>
        <v>0</v>
      </c>
      <c r="S4988" s="14" t="str">
        <f t="shared" si="2"/>
        <v>56.607842,84.887039</v>
      </c>
      <c r="T4988" s="12"/>
    </row>
    <row r="4989">
      <c r="A4989" s="16" t="s">
        <v>28800</v>
      </c>
      <c r="B4989" s="16" t="s">
        <v>32085</v>
      </c>
      <c r="C4989" s="16" t="s">
        <v>32086</v>
      </c>
      <c r="D4989" s="16" t="s">
        <v>16</v>
      </c>
      <c r="E4989" s="17" t="s">
        <v>32087</v>
      </c>
      <c r="F4989" s="16" t="s">
        <v>24698</v>
      </c>
      <c r="G4989" s="16">
        <v>23.61</v>
      </c>
      <c r="H4989" s="16"/>
      <c r="I4989" s="16"/>
      <c r="J4989" s="16" t="s">
        <v>32088</v>
      </c>
      <c r="K4989" s="16" t="s">
        <v>32089</v>
      </c>
      <c r="L4989" s="16"/>
      <c r="M4989" s="16"/>
      <c r="N4989" s="12"/>
      <c r="O4989" s="12"/>
      <c r="P4989" s="13">
        <f>IFERROR(__xludf.DUMMYFUNCTION("VALUE(SUBSTITUTE((INDEX(SPLIT(A4989,"",""),1)),""."","","",1))"),55.724048)</f>
        <v>55.724048</v>
      </c>
      <c r="Q4989" s="13">
        <f>IFERROR(__xludf.DUMMYFUNCTION("VALUE(SUBSTITUTE((INDEX(SPLIT(A4989,"",""),2)),""."","","",1))"),84.893211)</f>
        <v>84.893211</v>
      </c>
      <c r="R4989" s="14" t="b">
        <f t="shared" si="1"/>
        <v>0</v>
      </c>
      <c r="S4989" s="14" t="str">
        <f t="shared" si="2"/>
        <v>55.724048,84.893211</v>
      </c>
      <c r="T4989" s="12"/>
    </row>
    <row r="4990">
      <c r="A4990" s="10" t="s">
        <v>28800</v>
      </c>
      <c r="B4990" s="8" t="s">
        <v>32090</v>
      </c>
      <c r="C4990" s="8" t="s">
        <v>32091</v>
      </c>
      <c r="D4990" s="8" t="s">
        <v>16</v>
      </c>
      <c r="E4990" s="9" t="s">
        <v>32092</v>
      </c>
      <c r="F4990" s="10" t="s">
        <v>24698</v>
      </c>
      <c r="G4990" s="8">
        <v>23.61</v>
      </c>
      <c r="H4990" s="8"/>
      <c r="I4990" s="10"/>
      <c r="J4990" s="10" t="s">
        <v>32093</v>
      </c>
      <c r="K4990" s="10" t="s">
        <v>32089</v>
      </c>
      <c r="L4990" s="29" t="s">
        <v>32094</v>
      </c>
      <c r="M4990" s="10"/>
      <c r="N4990" s="12"/>
      <c r="O4990" s="12"/>
      <c r="P4990" s="13">
        <f>IFERROR(__xludf.DUMMYFUNCTION("VALUE(SUBSTITUTE((INDEX(SPLIT(A4990,"",""),1)),""."","","",1))"),55.724048)</f>
        <v>55.724048</v>
      </c>
      <c r="Q4990" s="13">
        <f>IFERROR(__xludf.DUMMYFUNCTION("VALUE(SUBSTITUTE((INDEX(SPLIT(A4990,"",""),2)),""."","","",1))"),84.893211)</f>
        <v>84.893211</v>
      </c>
      <c r="R4990" s="14" t="b">
        <f t="shared" si="1"/>
        <v>0</v>
      </c>
      <c r="S4990" s="14" t="str">
        <f t="shared" si="2"/>
        <v>55.724048,84.893211</v>
      </c>
      <c r="T4990" s="12"/>
    </row>
    <row r="4991">
      <c r="A4991" s="22" t="s">
        <v>28813</v>
      </c>
      <c r="B4991" s="16" t="s">
        <v>32095</v>
      </c>
      <c r="C4991" s="16" t="s">
        <v>32096</v>
      </c>
      <c r="D4991" s="16" t="s">
        <v>16</v>
      </c>
      <c r="E4991" s="21" t="s">
        <v>32097</v>
      </c>
      <c r="F4991" s="22" t="s">
        <v>24698</v>
      </c>
      <c r="G4991" s="16">
        <v>23.61</v>
      </c>
      <c r="H4991" s="16"/>
      <c r="I4991" s="22"/>
      <c r="J4991" s="22" t="s">
        <v>32098</v>
      </c>
      <c r="K4991" s="22" t="s">
        <v>32099</v>
      </c>
      <c r="L4991" s="23" t="s">
        <v>32100</v>
      </c>
      <c r="M4991" s="22"/>
      <c r="N4991" s="12"/>
      <c r="O4991" s="12"/>
      <c r="P4991" s="13">
        <f>IFERROR(__xludf.DUMMYFUNCTION("VALUE(SUBSTITUTE((INDEX(SPLIT(A4991,"",""),1)),""."","","",1))"),55.710352)</f>
        <v>55.710352</v>
      </c>
      <c r="Q4991" s="13">
        <f>IFERROR(__xludf.DUMMYFUNCTION("VALUE(SUBSTITUTE((INDEX(SPLIT(A4991,"",""),2)),""."","","",1))"),84.904853)</f>
        <v>84.904853</v>
      </c>
      <c r="R4991" s="14" t="b">
        <f t="shared" si="1"/>
        <v>0</v>
      </c>
      <c r="S4991" s="14" t="str">
        <f t="shared" si="2"/>
        <v>55.710352,84.904853</v>
      </c>
      <c r="T4991" s="12"/>
    </row>
    <row r="4992">
      <c r="A4992" s="10" t="s">
        <v>28820</v>
      </c>
      <c r="B4992" s="8" t="s">
        <v>3834</v>
      </c>
      <c r="C4992" s="8" t="s">
        <v>3835</v>
      </c>
      <c r="D4992" s="8" t="s">
        <v>16</v>
      </c>
      <c r="E4992" s="9" t="s">
        <v>32101</v>
      </c>
      <c r="F4992" s="10" t="s">
        <v>28210</v>
      </c>
      <c r="G4992" s="8">
        <v>23.61</v>
      </c>
      <c r="H4992" s="8"/>
      <c r="I4992" s="10"/>
      <c r="J4992" s="10" t="s">
        <v>32102</v>
      </c>
      <c r="K4992" s="10" t="s">
        <v>32103</v>
      </c>
      <c r="L4992" s="11" t="s">
        <v>32104</v>
      </c>
      <c r="M4992" s="11" t="s">
        <v>32105</v>
      </c>
      <c r="N4992" s="12"/>
      <c r="O4992" s="12"/>
      <c r="P4992" s="13">
        <f>IFERROR(__xludf.DUMMYFUNCTION("VALUE(SUBSTITUTE((INDEX(SPLIT(A4992,"",""),1)),""."","","",1))"),56.594618)</f>
        <v>56.594618</v>
      </c>
      <c r="Q4992" s="13">
        <f>IFERROR(__xludf.DUMMYFUNCTION("VALUE(SUBSTITUTE((INDEX(SPLIT(A4992,"",""),2)),""."","","",1))"),84.914905)</f>
        <v>84.914905</v>
      </c>
      <c r="R4992" s="14" t="b">
        <f t="shared" si="1"/>
        <v>0</v>
      </c>
      <c r="S4992" s="14" t="str">
        <f t="shared" si="2"/>
        <v>56.594618,84.914905</v>
      </c>
      <c r="T4992" s="12"/>
    </row>
    <row r="4993">
      <c r="A4993" s="16" t="s">
        <v>28827</v>
      </c>
      <c r="B4993" s="16" t="s">
        <v>32106</v>
      </c>
      <c r="C4993" s="16" t="s">
        <v>32107</v>
      </c>
      <c r="D4993" s="16" t="s">
        <v>16</v>
      </c>
      <c r="E4993" s="17" t="s">
        <v>32108</v>
      </c>
      <c r="F4993" s="16" t="s">
        <v>24698</v>
      </c>
      <c r="G4993" s="16">
        <v>23.61</v>
      </c>
      <c r="H4993" s="16"/>
      <c r="I4993" s="16"/>
      <c r="J4993" s="16" t="s">
        <v>32109</v>
      </c>
      <c r="K4993" s="16" t="s">
        <v>32110</v>
      </c>
      <c r="L4993" s="16"/>
      <c r="M4993" s="16"/>
      <c r="N4993" s="12"/>
      <c r="O4993" s="12"/>
      <c r="P4993" s="13">
        <f>IFERROR(__xludf.DUMMYFUNCTION("VALUE(SUBSTITUTE((INDEX(SPLIT(A4993,"",""),1)),""."","","",1))"),55.7227)</f>
        <v>55.7227</v>
      </c>
      <c r="Q4993" s="13">
        <f>IFERROR(__xludf.DUMMYFUNCTION("VALUE(SUBSTITUTE((INDEX(SPLIT(A4993,"",""),2)),""."","","",1))"),84.934506)</f>
        <v>84.934506</v>
      </c>
      <c r="R4993" s="14" t="b">
        <f t="shared" si="1"/>
        <v>0</v>
      </c>
      <c r="S4993" s="14" t="str">
        <f t="shared" si="2"/>
        <v>55.7227,84.934506</v>
      </c>
      <c r="T4993" s="12"/>
    </row>
    <row r="4994">
      <c r="A4994" s="8" t="s">
        <v>28835</v>
      </c>
      <c r="B4994" s="8" t="s">
        <v>32111</v>
      </c>
      <c r="C4994" s="8" t="s">
        <v>32112</v>
      </c>
      <c r="D4994" s="8" t="s">
        <v>16</v>
      </c>
      <c r="E4994" s="19" t="s">
        <v>32113</v>
      </c>
      <c r="F4994" s="8" t="s">
        <v>28210</v>
      </c>
      <c r="G4994" s="8">
        <v>23.61</v>
      </c>
      <c r="H4994" s="8"/>
      <c r="I4994" s="8"/>
      <c r="J4994" s="8" t="s">
        <v>32114</v>
      </c>
      <c r="K4994" s="8" t="s">
        <v>32115</v>
      </c>
      <c r="L4994" s="8"/>
      <c r="M4994" s="8"/>
      <c r="N4994" s="12"/>
      <c r="O4994" s="12"/>
      <c r="P4994" s="13">
        <f>IFERROR(__xludf.DUMMYFUNCTION("VALUE(SUBSTITUTE((INDEX(SPLIT(A4994,"",""),1)),""."","","",1))"),56.527282)</f>
        <v>56.527282</v>
      </c>
      <c r="Q4994" s="13">
        <f>IFERROR(__xludf.DUMMYFUNCTION("VALUE(SUBSTITUTE((INDEX(SPLIT(A4994,"",""),2)),""."","","",1))"),84.941217)</f>
        <v>84.941217</v>
      </c>
      <c r="R4994" s="14" t="b">
        <f t="shared" si="1"/>
        <v>0</v>
      </c>
      <c r="S4994" s="14" t="str">
        <f t="shared" si="2"/>
        <v>56.527282,84.941217</v>
      </c>
      <c r="T4994" s="12"/>
    </row>
    <row r="4995">
      <c r="A4995" s="16" t="s">
        <v>28842</v>
      </c>
      <c r="B4995" s="16" t="s">
        <v>8640</v>
      </c>
      <c r="C4995" s="16" t="s">
        <v>8641</v>
      </c>
      <c r="D4995" s="16" t="s">
        <v>16</v>
      </c>
      <c r="E4995" s="17" t="s">
        <v>32116</v>
      </c>
      <c r="F4995" s="16" t="s">
        <v>28210</v>
      </c>
      <c r="G4995" s="16">
        <v>23.61</v>
      </c>
      <c r="H4995" s="16"/>
      <c r="I4995" s="16"/>
      <c r="J4995" s="16" t="s">
        <v>32117</v>
      </c>
      <c r="K4995" s="16" t="s">
        <v>32118</v>
      </c>
      <c r="L4995" s="16"/>
      <c r="M4995" s="16"/>
      <c r="N4995" s="12"/>
      <c r="O4995" s="12"/>
      <c r="P4995" s="13">
        <f>IFERROR(__xludf.DUMMYFUNCTION("VALUE(SUBSTITUTE((INDEX(SPLIT(A4995,"",""),1)),""."","","",1))"),56.507224)</f>
        <v>56.507224</v>
      </c>
      <c r="Q4995" s="13">
        <f>IFERROR(__xludf.DUMMYFUNCTION("VALUE(SUBSTITUTE((INDEX(SPLIT(A4995,"",""),2)),""."","","",1))"),84.947056)</f>
        <v>84.947056</v>
      </c>
      <c r="R4995" s="14" t="b">
        <f t="shared" si="1"/>
        <v>0</v>
      </c>
      <c r="S4995" s="14" t="str">
        <f t="shared" si="2"/>
        <v>56.507224,84.947056</v>
      </c>
      <c r="T4995" s="12"/>
    </row>
    <row r="4996">
      <c r="A4996" s="10" t="s">
        <v>28849</v>
      </c>
      <c r="B4996" s="8" t="s">
        <v>32119</v>
      </c>
      <c r="C4996" s="8" t="s">
        <v>32120</v>
      </c>
      <c r="D4996" s="8" t="s">
        <v>16</v>
      </c>
      <c r="E4996" s="9" t="s">
        <v>32121</v>
      </c>
      <c r="F4996" s="10" t="s">
        <v>28210</v>
      </c>
      <c r="G4996" s="8">
        <v>23.61</v>
      </c>
      <c r="H4996" s="8"/>
      <c r="I4996" s="10"/>
      <c r="J4996" s="10" t="s">
        <v>32122</v>
      </c>
      <c r="K4996" s="10" t="s">
        <v>32123</v>
      </c>
      <c r="L4996" s="11" t="s">
        <v>32124</v>
      </c>
      <c r="M4996" s="10"/>
      <c r="N4996" s="12"/>
      <c r="O4996" s="12"/>
      <c r="P4996" s="13">
        <f>IFERROR(__xludf.DUMMYFUNCTION("VALUE(SUBSTITUTE((INDEX(SPLIT(A4996,"",""),1)),""."","","",1))"),56.485982)</f>
        <v>56.485982</v>
      </c>
      <c r="Q4996" s="13">
        <f>IFERROR(__xludf.DUMMYFUNCTION("VALUE(SUBSTITUTE((INDEX(SPLIT(A4996,"",""),2)),""."","","",1))"),84.950748)</f>
        <v>84.950748</v>
      </c>
      <c r="R4996" s="14" t="b">
        <f t="shared" si="1"/>
        <v>0</v>
      </c>
      <c r="S4996" s="14" t="str">
        <f t="shared" si="2"/>
        <v>56.485982,84.950748</v>
      </c>
      <c r="T4996" s="12"/>
    </row>
    <row r="4997">
      <c r="A4997" s="22" t="s">
        <v>28856</v>
      </c>
      <c r="B4997" s="16" t="s">
        <v>32125</v>
      </c>
      <c r="C4997" s="16" t="s">
        <v>32126</v>
      </c>
      <c r="D4997" s="16" t="s">
        <v>16</v>
      </c>
      <c r="E4997" s="21" t="s">
        <v>32127</v>
      </c>
      <c r="F4997" s="22" t="s">
        <v>28210</v>
      </c>
      <c r="G4997" s="16">
        <v>23.61</v>
      </c>
      <c r="H4997" s="16"/>
      <c r="I4997" s="22"/>
      <c r="J4997" s="22" t="s">
        <v>32128</v>
      </c>
      <c r="K4997" s="22" t="s">
        <v>32129</v>
      </c>
      <c r="L4997" s="23" t="s">
        <v>32130</v>
      </c>
      <c r="M4997" s="22"/>
      <c r="N4997" s="12"/>
      <c r="O4997" s="12"/>
      <c r="P4997" s="13">
        <f>IFERROR(__xludf.DUMMYFUNCTION("VALUE(SUBSTITUTE((INDEX(SPLIT(A4997,"",""),1)),""."","","",1))"),56.497218)</f>
        <v>56.497218</v>
      </c>
      <c r="Q4997" s="13">
        <f>IFERROR(__xludf.DUMMYFUNCTION("VALUE(SUBSTITUTE((INDEX(SPLIT(A4997,"",""),2)),""."","","",1))"),84.963288)</f>
        <v>84.963288</v>
      </c>
      <c r="R4997" s="14" t="b">
        <f t="shared" si="1"/>
        <v>0</v>
      </c>
      <c r="S4997" s="14" t="str">
        <f t="shared" si="2"/>
        <v>56.497218,84.963288</v>
      </c>
      <c r="T4997" s="12"/>
    </row>
    <row r="4998">
      <c r="A4998" s="8" t="s">
        <v>28860</v>
      </c>
      <c r="B4998" s="8" t="s">
        <v>32131</v>
      </c>
      <c r="C4998" s="8" t="s">
        <v>32132</v>
      </c>
      <c r="D4998" s="8" t="s">
        <v>16</v>
      </c>
      <c r="E4998" s="19" t="s">
        <v>32133</v>
      </c>
      <c r="F4998" s="8" t="s">
        <v>28210</v>
      </c>
      <c r="G4998" s="8">
        <v>23.61</v>
      </c>
      <c r="H4998" s="8"/>
      <c r="I4998" s="8"/>
      <c r="J4998" s="8" t="s">
        <v>32134</v>
      </c>
      <c r="K4998" s="8" t="s">
        <v>32135</v>
      </c>
      <c r="L4998" s="8"/>
      <c r="M4998" s="8"/>
      <c r="N4998" s="12"/>
      <c r="O4998" s="12"/>
      <c r="P4998" s="13">
        <f>IFERROR(__xludf.DUMMYFUNCTION("VALUE(SUBSTITUTE((INDEX(SPLIT(A4998,"",""),1)),""."","","",1))"),56.532569)</f>
        <v>56.532569</v>
      </c>
      <c r="Q4998" s="13">
        <f>IFERROR(__xludf.DUMMYFUNCTION("VALUE(SUBSTITUTE((INDEX(SPLIT(A4998,"",""),2)),""."","","",1))"),84.965067)</f>
        <v>84.965067</v>
      </c>
      <c r="R4998" s="14" t="b">
        <f t="shared" si="1"/>
        <v>0</v>
      </c>
      <c r="S4998" s="14" t="str">
        <f t="shared" si="2"/>
        <v>56.532569,84.965067</v>
      </c>
      <c r="T4998" s="12"/>
    </row>
    <row r="4999">
      <c r="A4999" s="16" t="s">
        <v>28868</v>
      </c>
      <c r="B4999" s="16" t="s">
        <v>32136</v>
      </c>
      <c r="C4999" s="16" t="s">
        <v>32137</v>
      </c>
      <c r="D4999" s="16" t="s">
        <v>16</v>
      </c>
      <c r="E4999" s="17" t="s">
        <v>32138</v>
      </c>
      <c r="F4999" s="16" t="s">
        <v>28210</v>
      </c>
      <c r="G4999" s="16">
        <v>23.61</v>
      </c>
      <c r="H4999" s="16"/>
      <c r="I4999" s="16"/>
      <c r="J4999" s="16" t="s">
        <v>32139</v>
      </c>
      <c r="K4999" s="16" t="s">
        <v>28247</v>
      </c>
      <c r="L4999" s="16"/>
      <c r="M4999" s="16"/>
      <c r="N4999" s="12"/>
      <c r="O4999" s="12"/>
      <c r="P4999" s="13">
        <f>IFERROR(__xludf.DUMMYFUNCTION("VALUE(SUBSTITUTE((INDEX(SPLIT(A4999,"",""),1)),""."","","",1))"),56.496552)</f>
        <v>56.496552</v>
      </c>
      <c r="Q4999" s="13">
        <f>IFERROR(__xludf.DUMMYFUNCTION("VALUE(SUBSTITUTE((INDEX(SPLIT(A4999,"",""),2)),""."","","",1))"),84.966927)</f>
        <v>84.966927</v>
      </c>
      <c r="R4999" s="14" t="b">
        <f t="shared" si="1"/>
        <v>0</v>
      </c>
      <c r="S4999" s="14" t="str">
        <f t="shared" si="2"/>
        <v>56.496552,84.966927</v>
      </c>
      <c r="T4999" s="12"/>
    </row>
    <row r="5000">
      <c r="A5000" s="8" t="s">
        <v>28875</v>
      </c>
      <c r="B5000" s="8" t="s">
        <v>32140</v>
      </c>
      <c r="C5000" s="8" t="s">
        <v>32141</v>
      </c>
      <c r="D5000" s="8" t="s">
        <v>16</v>
      </c>
      <c r="E5000" s="19" t="s">
        <v>32142</v>
      </c>
      <c r="F5000" s="8" t="s">
        <v>28210</v>
      </c>
      <c r="G5000" s="8">
        <v>23.61</v>
      </c>
      <c r="H5000" s="8"/>
      <c r="I5000" s="8"/>
      <c r="J5000" s="8" t="s">
        <v>32143</v>
      </c>
      <c r="K5000" s="8" t="s">
        <v>32144</v>
      </c>
      <c r="L5000" s="8"/>
      <c r="M5000" s="24" t="s">
        <v>32145</v>
      </c>
      <c r="N5000" s="12"/>
      <c r="O5000" s="12"/>
      <c r="P5000" s="13">
        <f>IFERROR(__xludf.DUMMYFUNCTION("VALUE(SUBSTITUTE((INDEX(SPLIT(A5000,"",""),1)),""."","","",1))"),56.476886)</f>
        <v>56.476886</v>
      </c>
      <c r="Q5000" s="13">
        <f>IFERROR(__xludf.DUMMYFUNCTION("VALUE(SUBSTITUTE((INDEX(SPLIT(A5000,"",""),2)),""."","","",1))"),84.968822)</f>
        <v>84.968822</v>
      </c>
      <c r="R5000" s="14" t="b">
        <f t="shared" si="1"/>
        <v>0</v>
      </c>
      <c r="S5000" s="14" t="str">
        <f t="shared" si="2"/>
        <v>56.476886,84.968822</v>
      </c>
      <c r="T5000" s="12"/>
    </row>
    <row r="5001">
      <c r="A5001" s="16" t="s">
        <v>28882</v>
      </c>
      <c r="B5001" s="16" t="s">
        <v>32146</v>
      </c>
      <c r="C5001" s="16" t="s">
        <v>32147</v>
      </c>
      <c r="D5001" s="16" t="s">
        <v>16</v>
      </c>
      <c r="E5001" s="17" t="s">
        <v>32148</v>
      </c>
      <c r="F5001" s="16" t="s">
        <v>28210</v>
      </c>
      <c r="G5001" s="16">
        <v>23.61</v>
      </c>
      <c r="H5001" s="16"/>
      <c r="I5001" s="16"/>
      <c r="J5001" s="16" t="s">
        <v>32149</v>
      </c>
      <c r="K5001" s="16" t="s">
        <v>32150</v>
      </c>
      <c r="L5001" s="16"/>
      <c r="M5001" s="16"/>
      <c r="N5001" s="12"/>
      <c r="O5001" s="12"/>
      <c r="P5001" s="13">
        <f>IFERROR(__xludf.DUMMYFUNCTION("VALUE(SUBSTITUTE((INDEX(SPLIT(A5001,"",""),1)),""."","","",1))"),56.491792)</f>
        <v>56.491792</v>
      </c>
      <c r="Q5001" s="13">
        <f>IFERROR(__xludf.DUMMYFUNCTION("VALUE(SUBSTITUTE((INDEX(SPLIT(A5001,"",""),2)),""."","","",1))"),84.971409)</f>
        <v>84.971409</v>
      </c>
      <c r="R5001" s="14" t="b">
        <f t="shared" si="1"/>
        <v>0</v>
      </c>
      <c r="S5001" s="14" t="str">
        <f t="shared" si="2"/>
        <v>56.491792,84.971409</v>
      </c>
      <c r="T5001" s="12"/>
    </row>
    <row r="5002">
      <c r="A5002" s="8" t="s">
        <v>28888</v>
      </c>
      <c r="B5002" s="8" t="s">
        <v>32151</v>
      </c>
      <c r="C5002" s="8" t="s">
        <v>32152</v>
      </c>
      <c r="D5002" s="8" t="s">
        <v>16</v>
      </c>
      <c r="E5002" s="19" t="s">
        <v>32153</v>
      </c>
      <c r="F5002" s="8" t="s">
        <v>28210</v>
      </c>
      <c r="G5002" s="8">
        <v>23.61</v>
      </c>
      <c r="H5002" s="8"/>
      <c r="I5002" s="8"/>
      <c r="J5002" s="8" t="s">
        <v>32154</v>
      </c>
      <c r="K5002" s="8" t="s">
        <v>32155</v>
      </c>
      <c r="L5002" s="8"/>
      <c r="M5002" s="8"/>
      <c r="N5002" s="12"/>
      <c r="O5002" s="12"/>
      <c r="P5002" s="13">
        <f>IFERROR(__xludf.DUMMYFUNCTION("VALUE(SUBSTITUTE((INDEX(SPLIT(A5002,"",""),1)),""."","","",1))"),56.498709)</f>
        <v>56.498709</v>
      </c>
      <c r="Q5002" s="13">
        <f>IFERROR(__xludf.DUMMYFUNCTION("VALUE(SUBSTITUTE((INDEX(SPLIT(A5002,"",""),2)),""."","","",1))"),84.974149)</f>
        <v>84.974149</v>
      </c>
      <c r="R5002" s="14" t="b">
        <f t="shared" si="1"/>
        <v>0</v>
      </c>
      <c r="S5002" s="14" t="str">
        <f t="shared" si="2"/>
        <v>56.498709,84.974149</v>
      </c>
      <c r="T5002" s="12"/>
    </row>
    <row r="5003">
      <c r="A5003" s="16" t="s">
        <v>28888</v>
      </c>
      <c r="B5003" s="16" t="s">
        <v>32156</v>
      </c>
      <c r="C5003" s="16" t="s">
        <v>32157</v>
      </c>
      <c r="D5003" s="16" t="s">
        <v>16</v>
      </c>
      <c r="E5003" s="17" t="s">
        <v>32158</v>
      </c>
      <c r="F5003" s="16" t="s">
        <v>28210</v>
      </c>
      <c r="G5003" s="16">
        <v>23.61</v>
      </c>
      <c r="H5003" s="16"/>
      <c r="I5003" s="16"/>
      <c r="J5003" s="16" t="s">
        <v>32154</v>
      </c>
      <c r="K5003" s="16" t="s">
        <v>32155</v>
      </c>
      <c r="L5003" s="16"/>
      <c r="M5003" s="16"/>
      <c r="N5003" s="12"/>
      <c r="O5003" s="12"/>
      <c r="P5003" s="13">
        <f>IFERROR(__xludf.DUMMYFUNCTION("VALUE(SUBSTITUTE((INDEX(SPLIT(A5003,"",""),1)),""."","","",1))"),56.498709)</f>
        <v>56.498709</v>
      </c>
      <c r="Q5003" s="13">
        <f>IFERROR(__xludf.DUMMYFUNCTION("VALUE(SUBSTITUTE((INDEX(SPLIT(A5003,"",""),2)),""."","","",1))"),84.974149)</f>
        <v>84.974149</v>
      </c>
      <c r="R5003" s="14" t="b">
        <f t="shared" si="1"/>
        <v>0</v>
      </c>
      <c r="S5003" s="14" t="str">
        <f t="shared" si="2"/>
        <v>56.498709,84.974149</v>
      </c>
      <c r="T5003" s="12"/>
    </row>
    <row r="5004">
      <c r="A5004" s="10" t="s">
        <v>28901</v>
      </c>
      <c r="B5004" s="8" t="s">
        <v>32159</v>
      </c>
      <c r="C5004" s="8" t="s">
        <v>32160</v>
      </c>
      <c r="D5004" s="8" t="s">
        <v>16</v>
      </c>
      <c r="E5004" s="9" t="s">
        <v>32161</v>
      </c>
      <c r="F5004" s="10" t="s">
        <v>28210</v>
      </c>
      <c r="G5004" s="8">
        <v>23.61</v>
      </c>
      <c r="H5004" s="8"/>
      <c r="I5004" s="31" t="s">
        <v>32162</v>
      </c>
      <c r="J5004" s="10" t="s">
        <v>32163</v>
      </c>
      <c r="K5004" s="10" t="s">
        <v>32164</v>
      </c>
      <c r="L5004" s="11" t="s">
        <v>32165</v>
      </c>
      <c r="M5004" s="11" t="s">
        <v>32166</v>
      </c>
      <c r="N5004" s="12"/>
      <c r="O5004" s="12"/>
      <c r="P5004" s="13">
        <f>IFERROR(__xludf.DUMMYFUNCTION("VALUE(SUBSTITUTE((INDEX(SPLIT(A5004,"",""),1)),""."","","",1))"),56.486683)</f>
        <v>56.486683</v>
      </c>
      <c r="Q5004" s="13">
        <f>IFERROR(__xludf.DUMMYFUNCTION("VALUE(SUBSTITUTE((INDEX(SPLIT(A5004,"",""),2)),""."","","",1))"),84.979988)</f>
        <v>84.979988</v>
      </c>
      <c r="R5004" s="14" t="b">
        <f t="shared" si="1"/>
        <v>0</v>
      </c>
      <c r="S5004" s="14" t="str">
        <f t="shared" si="2"/>
        <v>56.486683,84.979988</v>
      </c>
      <c r="T5004" s="12"/>
    </row>
    <row r="5005">
      <c r="A5005" s="16" t="s">
        <v>28909</v>
      </c>
      <c r="B5005" s="16" t="s">
        <v>32167</v>
      </c>
      <c r="C5005" s="16" t="s">
        <v>32168</v>
      </c>
      <c r="D5005" s="16" t="s">
        <v>16</v>
      </c>
      <c r="E5005" s="17" t="s">
        <v>32169</v>
      </c>
      <c r="F5005" s="16" t="s">
        <v>28210</v>
      </c>
      <c r="G5005" s="16">
        <v>23.61</v>
      </c>
      <c r="H5005" s="16"/>
      <c r="I5005" s="16"/>
      <c r="J5005" s="16" t="s">
        <v>32170</v>
      </c>
      <c r="K5005" s="16" t="s">
        <v>32171</v>
      </c>
      <c r="L5005" s="16"/>
      <c r="M5005" s="16"/>
      <c r="N5005" s="12"/>
      <c r="O5005" s="12"/>
      <c r="P5005" s="13">
        <f>IFERROR(__xludf.DUMMYFUNCTION("VALUE(SUBSTITUTE((INDEX(SPLIT(A5005,"",""),1)),""."","","",1))"),56.454279)</f>
        <v>56.454279</v>
      </c>
      <c r="Q5005" s="13">
        <f>IFERROR(__xludf.DUMMYFUNCTION("VALUE(SUBSTITUTE((INDEX(SPLIT(A5005,"",""),2)),""."","","",1))"),84.983447)</f>
        <v>84.983447</v>
      </c>
      <c r="R5005" s="14" t="b">
        <f t="shared" si="1"/>
        <v>0</v>
      </c>
      <c r="S5005" s="14" t="str">
        <f t="shared" si="2"/>
        <v>56.454279,84.983447</v>
      </c>
      <c r="T5005" s="12"/>
    </row>
    <row r="5006">
      <c r="A5006" s="8" t="s">
        <v>28914</v>
      </c>
      <c r="B5006" s="8" t="s">
        <v>32172</v>
      </c>
      <c r="C5006" s="8" t="s">
        <v>32173</v>
      </c>
      <c r="D5006" s="8" t="s">
        <v>16</v>
      </c>
      <c r="E5006" s="19" t="s">
        <v>32174</v>
      </c>
      <c r="F5006" s="8" t="s">
        <v>28210</v>
      </c>
      <c r="G5006" s="8">
        <v>23.61</v>
      </c>
      <c r="H5006" s="8"/>
      <c r="I5006" s="8"/>
      <c r="J5006" s="8" t="s">
        <v>32175</v>
      </c>
      <c r="K5006" s="8" t="s">
        <v>32176</v>
      </c>
      <c r="L5006" s="8"/>
      <c r="M5006" s="8"/>
      <c r="N5006" s="12"/>
      <c r="O5006" s="12"/>
      <c r="P5006" s="13">
        <f>IFERROR(__xludf.DUMMYFUNCTION("VALUE(SUBSTITUTE((INDEX(SPLIT(A5006,"",""),1)),""."","","",1))"),56.472869)</f>
        <v>56.472869</v>
      </c>
      <c r="Q5006" s="13">
        <f>IFERROR(__xludf.DUMMYFUNCTION("VALUE(SUBSTITUTE((INDEX(SPLIT(A5006,"",""),2)),""."","","",1))"),84.987839)</f>
        <v>84.987839</v>
      </c>
      <c r="R5006" s="14" t="b">
        <f t="shared" si="1"/>
        <v>0</v>
      </c>
      <c r="S5006" s="14" t="str">
        <f t="shared" si="2"/>
        <v>56.472869,84.987839</v>
      </c>
      <c r="T5006" s="12"/>
    </row>
    <row r="5007">
      <c r="A5007" s="16" t="s">
        <v>28921</v>
      </c>
      <c r="B5007" s="16" t="s">
        <v>5124</v>
      </c>
      <c r="C5007" s="16" t="s">
        <v>5125</v>
      </c>
      <c r="D5007" s="16" t="s">
        <v>16</v>
      </c>
      <c r="E5007" s="17" t="s">
        <v>32177</v>
      </c>
      <c r="F5007" s="16" t="s">
        <v>28210</v>
      </c>
      <c r="G5007" s="16">
        <v>23.61</v>
      </c>
      <c r="H5007" s="16"/>
      <c r="I5007" s="16"/>
      <c r="J5007" s="16" t="s">
        <v>32178</v>
      </c>
      <c r="K5007" s="16" t="s">
        <v>32179</v>
      </c>
      <c r="L5007" s="16"/>
      <c r="M5007" s="16"/>
      <c r="N5007" s="12"/>
      <c r="O5007" s="12"/>
      <c r="P5007" s="13">
        <f>IFERROR(__xludf.DUMMYFUNCTION("VALUE(SUBSTITUTE((INDEX(SPLIT(A5007,"",""),1)),""."","","",1))"),56.506116)</f>
        <v>56.506116</v>
      </c>
      <c r="Q5007" s="13">
        <f>IFERROR(__xludf.DUMMYFUNCTION("VALUE(SUBSTITUTE((INDEX(SPLIT(A5007,"",""),2)),""."","","",1))"),85.013217)</f>
        <v>85.013217</v>
      </c>
      <c r="R5007" s="14" t="b">
        <f t="shared" si="1"/>
        <v>0</v>
      </c>
      <c r="S5007" s="14" t="str">
        <f t="shared" si="2"/>
        <v>56.506116,85.013217</v>
      </c>
      <c r="T5007" s="12"/>
    </row>
    <row r="5008">
      <c r="A5008" s="8" t="s">
        <v>28928</v>
      </c>
      <c r="B5008" s="8" t="s">
        <v>32180</v>
      </c>
      <c r="C5008" s="8" t="s">
        <v>32181</v>
      </c>
      <c r="D5008" s="8" t="s">
        <v>16</v>
      </c>
      <c r="E5008" s="19" t="s">
        <v>32182</v>
      </c>
      <c r="F5008" s="8" t="s">
        <v>28210</v>
      </c>
      <c r="G5008" s="8">
        <v>23.61</v>
      </c>
      <c r="H5008" s="8"/>
      <c r="I5008" s="8"/>
      <c r="J5008" s="8" t="s">
        <v>32183</v>
      </c>
      <c r="K5008" s="8" t="s">
        <v>32184</v>
      </c>
      <c r="L5008" s="8"/>
      <c r="M5008" s="8"/>
      <c r="N5008" s="12"/>
      <c r="O5008" s="12"/>
      <c r="P5008" s="13">
        <f>IFERROR(__xludf.DUMMYFUNCTION("VALUE(SUBSTITUTE((INDEX(SPLIT(A5008,"",""),1)),""."","","",1))"),56.517505)</f>
        <v>56.517505</v>
      </c>
      <c r="Q5008" s="13">
        <f>IFERROR(__xludf.DUMMYFUNCTION("VALUE(SUBSTITUTE((INDEX(SPLIT(A5008,"",""),2)),""."","","",1))"),85.013576)</f>
        <v>85.013576</v>
      </c>
      <c r="R5008" s="14" t="b">
        <f t="shared" si="1"/>
        <v>0</v>
      </c>
      <c r="S5008" s="14" t="str">
        <f t="shared" si="2"/>
        <v>56.517505,85.013576</v>
      </c>
      <c r="T5008" s="12"/>
    </row>
    <row r="5009">
      <c r="A5009" s="16" t="s">
        <v>28934</v>
      </c>
      <c r="B5009" s="16" t="s">
        <v>32185</v>
      </c>
      <c r="C5009" s="16" t="s">
        <v>32186</v>
      </c>
      <c r="D5009" s="16" t="s">
        <v>16</v>
      </c>
      <c r="E5009" s="17" t="s">
        <v>32187</v>
      </c>
      <c r="F5009" s="16" t="s">
        <v>28210</v>
      </c>
      <c r="G5009" s="16">
        <v>23.61</v>
      </c>
      <c r="H5009" s="16"/>
      <c r="I5009" s="16"/>
      <c r="J5009" s="16" t="s">
        <v>32188</v>
      </c>
      <c r="K5009" s="16" t="s">
        <v>32189</v>
      </c>
      <c r="L5009" s="16"/>
      <c r="M5009" s="25" t="s">
        <v>32190</v>
      </c>
      <c r="N5009" s="12"/>
      <c r="O5009" s="12"/>
      <c r="P5009" s="13">
        <f>IFERROR(__xludf.DUMMYFUNCTION("VALUE(SUBSTITUTE((INDEX(SPLIT(A5009,"",""),1)),""."","","",1))"),56.472844)</f>
        <v>56.472844</v>
      </c>
      <c r="Q5009" s="13">
        <f>IFERROR(__xludf.DUMMYFUNCTION("VALUE(SUBSTITUTE((INDEX(SPLIT(A5009,"",""),2)),""."","","",1))"),85.016289)</f>
        <v>85.016289</v>
      </c>
      <c r="R5009" s="14" t="b">
        <f t="shared" si="1"/>
        <v>0</v>
      </c>
      <c r="S5009" s="14" t="str">
        <f t="shared" si="2"/>
        <v>56.472844,85.016289</v>
      </c>
      <c r="T5009" s="12"/>
    </row>
    <row r="5010">
      <c r="A5010" s="8" t="s">
        <v>28940</v>
      </c>
      <c r="B5010" s="8" t="s">
        <v>32191</v>
      </c>
      <c r="C5010" s="8" t="s">
        <v>32192</v>
      </c>
      <c r="D5010" s="8" t="s">
        <v>16</v>
      </c>
      <c r="E5010" s="19" t="s">
        <v>32193</v>
      </c>
      <c r="F5010" s="8" t="s">
        <v>28210</v>
      </c>
      <c r="G5010" s="8">
        <v>23.61</v>
      </c>
      <c r="H5010" s="8"/>
      <c r="I5010" s="27" t="s">
        <v>32194</v>
      </c>
      <c r="J5010" s="8" t="s">
        <v>32195</v>
      </c>
      <c r="K5010" s="8" t="s">
        <v>32196</v>
      </c>
      <c r="L5010" s="8"/>
      <c r="M5010" s="8"/>
      <c r="N5010" s="12"/>
      <c r="O5010" s="12"/>
      <c r="P5010" s="13">
        <f>IFERROR(__xludf.DUMMYFUNCTION("VALUE(SUBSTITUTE((INDEX(SPLIT(A5010,"",""),1)),""."","","",1))"),56.514366)</f>
        <v>56.514366</v>
      </c>
      <c r="Q5010" s="13">
        <f>IFERROR(__xludf.DUMMYFUNCTION("VALUE(SUBSTITUTE((INDEX(SPLIT(A5010,"",""),2)),""."","","",1))"),85.016487)</f>
        <v>85.016487</v>
      </c>
      <c r="R5010" s="14" t="b">
        <f t="shared" si="1"/>
        <v>0</v>
      </c>
      <c r="S5010" s="14" t="str">
        <f t="shared" si="2"/>
        <v>56.514366,85.016487</v>
      </c>
      <c r="T5010" s="12"/>
    </row>
    <row r="5011">
      <c r="A5011" s="22" t="s">
        <v>28940</v>
      </c>
      <c r="B5011" s="16" t="s">
        <v>32197</v>
      </c>
      <c r="C5011" s="16" t="s">
        <v>32198</v>
      </c>
      <c r="D5011" s="16" t="s">
        <v>16</v>
      </c>
      <c r="E5011" s="21" t="s">
        <v>32199</v>
      </c>
      <c r="F5011" s="22" t="s">
        <v>28210</v>
      </c>
      <c r="G5011" s="16">
        <v>23.61</v>
      </c>
      <c r="H5011" s="16"/>
      <c r="I5011" s="22"/>
      <c r="J5011" s="22" t="s">
        <v>32200</v>
      </c>
      <c r="K5011" s="22" t="s">
        <v>32201</v>
      </c>
      <c r="L5011" s="23" t="s">
        <v>32202</v>
      </c>
      <c r="M5011" s="23" t="s">
        <v>32203</v>
      </c>
      <c r="N5011" s="12"/>
      <c r="O5011" s="12"/>
      <c r="P5011" s="13">
        <f>IFERROR(__xludf.DUMMYFUNCTION("VALUE(SUBSTITUTE((INDEX(SPLIT(A5011,"",""),1)),""."","","",1))"),56.514366)</f>
        <v>56.514366</v>
      </c>
      <c r="Q5011" s="13">
        <f>IFERROR(__xludf.DUMMYFUNCTION("VALUE(SUBSTITUTE((INDEX(SPLIT(A5011,"",""),2)),""."","","",1))"),85.016487)</f>
        <v>85.016487</v>
      </c>
      <c r="R5011" s="14" t="b">
        <f t="shared" si="1"/>
        <v>0</v>
      </c>
      <c r="S5011" s="14" t="str">
        <f t="shared" si="2"/>
        <v>56.514366,85.016487</v>
      </c>
      <c r="T5011" s="12"/>
    </row>
    <row r="5012">
      <c r="A5012" s="8" t="s">
        <v>28950</v>
      </c>
      <c r="B5012" s="8" t="s">
        <v>32204</v>
      </c>
      <c r="C5012" s="8" t="s">
        <v>32205</v>
      </c>
      <c r="D5012" s="8" t="s">
        <v>16</v>
      </c>
      <c r="E5012" s="19" t="s">
        <v>32206</v>
      </c>
      <c r="F5012" s="8" t="s">
        <v>28210</v>
      </c>
      <c r="G5012" s="8">
        <v>23.61</v>
      </c>
      <c r="H5012" s="8"/>
      <c r="I5012" s="8"/>
      <c r="J5012" s="8" t="s">
        <v>32207</v>
      </c>
      <c r="K5012" s="8" t="s">
        <v>32208</v>
      </c>
      <c r="L5012" s="8"/>
      <c r="M5012" s="24" t="s">
        <v>32209</v>
      </c>
      <c r="N5012" s="12"/>
      <c r="O5012" s="12"/>
      <c r="P5012" s="13">
        <f>IFERROR(__xludf.DUMMYFUNCTION("VALUE(SUBSTITUTE((INDEX(SPLIT(A5012,"",""),1)),""."","","",1))"),56.482578)</f>
        <v>56.482578</v>
      </c>
      <c r="Q5012" s="13">
        <f>IFERROR(__xludf.DUMMYFUNCTION("VALUE(SUBSTITUTE((INDEX(SPLIT(A5012,"",""),2)),""."","","",1))"),85.021068)</f>
        <v>85.021068</v>
      </c>
      <c r="R5012" s="14" t="b">
        <f t="shared" si="1"/>
        <v>0</v>
      </c>
      <c r="S5012" s="14" t="str">
        <f t="shared" si="2"/>
        <v>56.482578,85.021068</v>
      </c>
      <c r="T5012" s="12"/>
    </row>
    <row r="5013">
      <c r="A5013" s="16" t="s">
        <v>28957</v>
      </c>
      <c r="B5013" s="16" t="s">
        <v>32210</v>
      </c>
      <c r="C5013" s="16" t="s">
        <v>32211</v>
      </c>
      <c r="D5013" s="16" t="s">
        <v>16</v>
      </c>
      <c r="E5013" s="17" t="s">
        <v>32212</v>
      </c>
      <c r="F5013" s="16" t="s">
        <v>28210</v>
      </c>
      <c r="G5013" s="16">
        <v>23.61</v>
      </c>
      <c r="H5013" s="16"/>
      <c r="I5013" s="16"/>
      <c r="J5013" s="16" t="s">
        <v>32213</v>
      </c>
      <c r="K5013" s="16" t="s">
        <v>32196</v>
      </c>
      <c r="L5013" s="16"/>
      <c r="M5013" s="25" t="s">
        <v>32214</v>
      </c>
      <c r="N5013" s="12"/>
      <c r="O5013" s="12"/>
      <c r="P5013" s="13">
        <f>IFERROR(__xludf.DUMMYFUNCTION("VALUE(SUBSTITUTE((INDEX(SPLIT(A5013,"",""),1)),""."","","",1))"),56.534038)</f>
        <v>56.534038</v>
      </c>
      <c r="Q5013" s="13">
        <f>IFERROR(__xludf.DUMMYFUNCTION("VALUE(SUBSTITUTE((INDEX(SPLIT(A5013,"",""),2)),""."","","",1))"),85.022721)</f>
        <v>85.022721</v>
      </c>
      <c r="R5013" s="14" t="b">
        <f t="shared" si="1"/>
        <v>0</v>
      </c>
      <c r="S5013" s="14" t="str">
        <f t="shared" si="2"/>
        <v>56.534038,85.022721</v>
      </c>
      <c r="T5013" s="12"/>
    </row>
    <row r="5014">
      <c r="A5014" s="8" t="s">
        <v>28963</v>
      </c>
      <c r="B5014" s="8" t="s">
        <v>32215</v>
      </c>
      <c r="C5014" s="8" t="s">
        <v>32216</v>
      </c>
      <c r="D5014" s="8" t="s">
        <v>16</v>
      </c>
      <c r="E5014" s="19" t="s">
        <v>32217</v>
      </c>
      <c r="F5014" s="8" t="s">
        <v>28210</v>
      </c>
      <c r="G5014" s="8">
        <v>23.61</v>
      </c>
      <c r="H5014" s="8"/>
      <c r="I5014" s="8"/>
      <c r="J5014" s="8" t="s">
        <v>32218</v>
      </c>
      <c r="K5014" s="8" t="s">
        <v>28260</v>
      </c>
      <c r="L5014" s="8"/>
      <c r="M5014" s="8"/>
      <c r="N5014" s="12"/>
      <c r="O5014" s="12"/>
      <c r="P5014" s="13">
        <f>IFERROR(__xludf.DUMMYFUNCTION("VALUE(SUBSTITUTE((INDEX(SPLIT(A5014,"",""),1)),""."","","",1))"),56.532142)</f>
        <v>56.532142</v>
      </c>
      <c r="Q5014" s="13">
        <f>IFERROR(__xludf.DUMMYFUNCTION("VALUE(SUBSTITUTE((INDEX(SPLIT(A5014,"",""),2)),""."","","",1))"),85.02379)</f>
        <v>85.02379</v>
      </c>
      <c r="R5014" s="14" t="b">
        <f t="shared" si="1"/>
        <v>0</v>
      </c>
      <c r="S5014" s="14" t="str">
        <f t="shared" si="2"/>
        <v>56.532142,85.02379</v>
      </c>
      <c r="T5014" s="12"/>
    </row>
    <row r="5015">
      <c r="A5015" s="22" t="s">
        <v>28969</v>
      </c>
      <c r="B5015" s="16" t="s">
        <v>32219</v>
      </c>
      <c r="C5015" s="16" t="s">
        <v>32220</v>
      </c>
      <c r="D5015" s="16" t="s">
        <v>16</v>
      </c>
      <c r="E5015" s="21" t="s">
        <v>32221</v>
      </c>
      <c r="F5015" s="22" t="s">
        <v>28210</v>
      </c>
      <c r="G5015" s="16">
        <v>23.61</v>
      </c>
      <c r="H5015" s="16"/>
      <c r="I5015" s="22"/>
      <c r="J5015" s="22" t="s">
        <v>32222</v>
      </c>
      <c r="K5015" s="22" t="s">
        <v>32223</v>
      </c>
      <c r="L5015" s="23" t="s">
        <v>32224</v>
      </c>
      <c r="M5015" s="22"/>
      <c r="N5015" s="12"/>
      <c r="O5015" s="12"/>
      <c r="P5015" s="13">
        <f>IFERROR(__xludf.DUMMYFUNCTION("VALUE(SUBSTITUTE((INDEX(SPLIT(A5015,"",""),1)),""."","","",1))"),56.444867)</f>
        <v>56.444867</v>
      </c>
      <c r="Q5015" s="13">
        <f>IFERROR(__xludf.DUMMYFUNCTION("VALUE(SUBSTITUTE((INDEX(SPLIT(A5015,"",""),2)),""."","","",1))"),85.024958)</f>
        <v>85.024958</v>
      </c>
      <c r="R5015" s="14" t="b">
        <f t="shared" si="1"/>
        <v>0</v>
      </c>
      <c r="S5015" s="14" t="str">
        <f t="shared" si="2"/>
        <v>56.444867,85.024958</v>
      </c>
      <c r="T5015" s="12"/>
    </row>
    <row r="5016">
      <c r="A5016" s="10" t="s">
        <v>28972</v>
      </c>
      <c r="B5016" s="8" t="s">
        <v>32225</v>
      </c>
      <c r="C5016" s="8" t="s">
        <v>32226</v>
      </c>
      <c r="D5016" s="8" t="s">
        <v>16</v>
      </c>
      <c r="E5016" s="9" t="s">
        <v>32227</v>
      </c>
      <c r="F5016" s="10" t="s">
        <v>28210</v>
      </c>
      <c r="G5016" s="8">
        <v>23.61</v>
      </c>
      <c r="H5016" s="8"/>
      <c r="I5016" s="10"/>
      <c r="J5016" s="10" t="s">
        <v>32228</v>
      </c>
      <c r="K5016" s="10" t="s">
        <v>32229</v>
      </c>
      <c r="L5016" s="11" t="s">
        <v>32230</v>
      </c>
      <c r="M5016" s="10"/>
      <c r="N5016" s="12"/>
      <c r="O5016" s="12"/>
      <c r="P5016" s="13">
        <f>IFERROR(__xludf.DUMMYFUNCTION("VALUE(SUBSTITUTE((INDEX(SPLIT(A5016,"",""),1)),""."","","",1))"),56.484625)</f>
        <v>56.484625</v>
      </c>
      <c r="Q5016" s="13">
        <f>IFERROR(__xludf.DUMMYFUNCTION("VALUE(SUBSTITUTE((INDEX(SPLIT(A5016,"",""),2)),""."","","",1))"),85.032899)</f>
        <v>85.032899</v>
      </c>
      <c r="R5016" s="14" t="b">
        <f t="shared" si="1"/>
        <v>0</v>
      </c>
      <c r="S5016" s="14" t="str">
        <f t="shared" si="2"/>
        <v>56.484625,85.032899</v>
      </c>
      <c r="T5016" s="12"/>
    </row>
    <row r="5017">
      <c r="A5017" s="16" t="s">
        <v>28977</v>
      </c>
      <c r="B5017" s="16" t="s">
        <v>32231</v>
      </c>
      <c r="C5017" s="16" t="s">
        <v>32232</v>
      </c>
      <c r="D5017" s="16" t="s">
        <v>16</v>
      </c>
      <c r="E5017" s="17" t="s">
        <v>32233</v>
      </c>
      <c r="F5017" s="16" t="s">
        <v>28210</v>
      </c>
      <c r="G5017" s="16">
        <v>23.61</v>
      </c>
      <c r="H5017" s="16"/>
      <c r="I5017" s="16"/>
      <c r="J5017" s="16" t="s">
        <v>32234</v>
      </c>
      <c r="K5017" s="16" t="s">
        <v>32235</v>
      </c>
      <c r="L5017" s="16"/>
      <c r="M5017" s="16"/>
      <c r="N5017" s="12"/>
      <c r="O5017" s="12"/>
      <c r="P5017" s="13">
        <f>IFERROR(__xludf.DUMMYFUNCTION("VALUE(SUBSTITUTE((INDEX(SPLIT(A5017,"",""),1)),""."","","",1))"),56.417416)</f>
        <v>56.417416</v>
      </c>
      <c r="Q5017" s="13">
        <f>IFERROR(__xludf.DUMMYFUNCTION("VALUE(SUBSTITUTE((INDEX(SPLIT(A5017,"",""),2)),""."","","",1))"),85.041505)</f>
        <v>85.041505</v>
      </c>
      <c r="R5017" s="14" t="b">
        <f t="shared" si="1"/>
        <v>0</v>
      </c>
      <c r="S5017" s="14" t="str">
        <f t="shared" si="2"/>
        <v>56.417416,85.041505</v>
      </c>
      <c r="T5017" s="12"/>
    </row>
    <row r="5018">
      <c r="A5018" s="8" t="s">
        <v>28984</v>
      </c>
      <c r="B5018" s="8" t="s">
        <v>32236</v>
      </c>
      <c r="C5018" s="8" t="s">
        <v>32237</v>
      </c>
      <c r="D5018" s="8" t="s">
        <v>16</v>
      </c>
      <c r="E5018" s="19" t="s">
        <v>32238</v>
      </c>
      <c r="F5018" s="8" t="s">
        <v>28210</v>
      </c>
      <c r="G5018" s="8">
        <v>23.61</v>
      </c>
      <c r="H5018" s="8"/>
      <c r="I5018" s="8"/>
      <c r="J5018" s="8" t="s">
        <v>32239</v>
      </c>
      <c r="K5018" s="8" t="s">
        <v>32240</v>
      </c>
      <c r="L5018" s="8"/>
      <c r="M5018" s="8"/>
      <c r="N5018" s="12"/>
      <c r="O5018" s="12"/>
      <c r="P5018" s="13">
        <f>IFERROR(__xludf.DUMMYFUNCTION("VALUE(SUBSTITUTE((INDEX(SPLIT(A5018,"",""),1)),""."","","",1))"),56.521487)</f>
        <v>56.521487</v>
      </c>
      <c r="Q5018" s="13">
        <f>IFERROR(__xludf.DUMMYFUNCTION("VALUE(SUBSTITUTE((INDEX(SPLIT(A5018,"",""),2)),""."","","",1))"),85.108968)</f>
        <v>85.108968</v>
      </c>
      <c r="R5018" s="14" t="b">
        <f t="shared" si="1"/>
        <v>0</v>
      </c>
      <c r="S5018" s="14" t="str">
        <f t="shared" si="2"/>
        <v>56.521487,85.108968</v>
      </c>
      <c r="T5018" s="12"/>
    </row>
    <row r="5019">
      <c r="A5019" s="16" t="s">
        <v>28984</v>
      </c>
      <c r="B5019" s="16" t="s">
        <v>32241</v>
      </c>
      <c r="C5019" s="16" t="s">
        <v>32242</v>
      </c>
      <c r="D5019" s="16" t="s">
        <v>16</v>
      </c>
      <c r="E5019" s="17" t="s">
        <v>32243</v>
      </c>
      <c r="F5019" s="16" t="s">
        <v>28210</v>
      </c>
      <c r="G5019" s="16">
        <v>23.61</v>
      </c>
      <c r="H5019" s="16"/>
      <c r="I5019" s="16"/>
      <c r="J5019" s="16" t="s">
        <v>32244</v>
      </c>
      <c r="K5019" s="16" t="s">
        <v>32240</v>
      </c>
      <c r="L5019" s="16"/>
      <c r="M5019" s="25" t="s">
        <v>32245</v>
      </c>
      <c r="N5019" s="12"/>
      <c r="O5019" s="12"/>
      <c r="P5019" s="13">
        <f>IFERROR(__xludf.DUMMYFUNCTION("VALUE(SUBSTITUTE((INDEX(SPLIT(A5019,"",""),1)),""."","","",1))"),56.521487)</f>
        <v>56.521487</v>
      </c>
      <c r="Q5019" s="13">
        <f>IFERROR(__xludf.DUMMYFUNCTION("VALUE(SUBSTITUTE((INDEX(SPLIT(A5019,"",""),2)),""."","","",1))"),85.108968)</f>
        <v>85.108968</v>
      </c>
      <c r="R5019" s="14" t="b">
        <f t="shared" si="1"/>
        <v>0</v>
      </c>
      <c r="S5019" s="14" t="str">
        <f t="shared" si="2"/>
        <v>56.521487,85.108968</v>
      </c>
      <c r="T5019" s="12"/>
    </row>
    <row r="5020">
      <c r="A5020" s="10" t="s">
        <v>29045</v>
      </c>
      <c r="B5020" s="8" t="s">
        <v>32246</v>
      </c>
      <c r="C5020" s="8" t="s">
        <v>32247</v>
      </c>
      <c r="D5020" s="8" t="s">
        <v>16</v>
      </c>
      <c r="E5020" s="9" t="s">
        <v>32248</v>
      </c>
      <c r="F5020" s="10" t="s">
        <v>28210</v>
      </c>
      <c r="G5020" s="8">
        <v>23.61</v>
      </c>
      <c r="H5020" s="8"/>
      <c r="I5020" s="10"/>
      <c r="J5020" s="10" t="s">
        <v>32249</v>
      </c>
      <c r="K5020" s="10" t="s">
        <v>32250</v>
      </c>
      <c r="L5020" s="11" t="s">
        <v>32251</v>
      </c>
      <c r="M5020" s="11" t="s">
        <v>32252</v>
      </c>
      <c r="N5020" s="12"/>
      <c r="O5020" s="12"/>
      <c r="P5020" s="13">
        <f>IFERROR(__xludf.DUMMYFUNCTION("VALUE(SUBSTITUTE((INDEX(SPLIT(A5020,"",""),1)),""."","","",1))"),56.500676)</f>
        <v>56.500676</v>
      </c>
      <c r="Q5020" s="13">
        <f>IFERROR(__xludf.DUMMYFUNCTION("VALUE(SUBSTITUTE((INDEX(SPLIT(A5020,"",""),2)),""."","","",1))"),85.178147)</f>
        <v>85.178147</v>
      </c>
      <c r="R5020" s="14" t="b">
        <f t="shared" si="1"/>
        <v>0</v>
      </c>
      <c r="S5020" s="14" t="str">
        <f t="shared" si="2"/>
        <v>56.500676,85.178147</v>
      </c>
      <c r="T5020" s="12"/>
    </row>
    <row r="5021">
      <c r="A5021" s="8" t="s">
        <v>29094</v>
      </c>
      <c r="B5021" s="8" t="s">
        <v>32253</v>
      </c>
      <c r="C5021" s="8" t="s">
        <v>32254</v>
      </c>
      <c r="D5021" s="8" t="s">
        <v>16</v>
      </c>
      <c r="E5021" s="19" t="s">
        <v>32255</v>
      </c>
      <c r="F5021" s="8" t="s">
        <v>24698</v>
      </c>
      <c r="G5021" s="8">
        <v>23.61</v>
      </c>
      <c r="H5021" s="8"/>
      <c r="I5021" s="8"/>
      <c r="J5021" s="8" t="s">
        <v>32256</v>
      </c>
      <c r="K5021" s="8" t="s">
        <v>32257</v>
      </c>
      <c r="L5021" s="8"/>
      <c r="M5021" s="8"/>
      <c r="N5021" s="12"/>
      <c r="O5021" s="12"/>
      <c r="P5021" s="13">
        <f>IFERROR(__xludf.DUMMYFUNCTION("VALUE(SUBSTITUTE((INDEX(SPLIT(A5021,"",""),1)),""."","","",1))"),55.334086)</f>
        <v>55.334086</v>
      </c>
      <c r="Q5021" s="13">
        <f>IFERROR(__xludf.DUMMYFUNCTION("VALUE(SUBSTITUTE((INDEX(SPLIT(A5021,"",""),2)),""."","","",1))"),85.97339)</f>
        <v>85.97339</v>
      </c>
      <c r="R5021" s="14" t="b">
        <f t="shared" si="1"/>
        <v>0</v>
      </c>
      <c r="S5021" s="14" t="str">
        <f t="shared" si="2"/>
        <v>55.334086,85.97339</v>
      </c>
      <c r="T5021" s="12"/>
    </row>
    <row r="5022">
      <c r="A5022" s="22" t="s">
        <v>29102</v>
      </c>
      <c r="B5022" s="16" t="s">
        <v>32258</v>
      </c>
      <c r="C5022" s="16" t="s">
        <v>32259</v>
      </c>
      <c r="D5022" s="16" t="s">
        <v>16</v>
      </c>
      <c r="E5022" s="21" t="s">
        <v>32260</v>
      </c>
      <c r="F5022" s="22" t="s">
        <v>24698</v>
      </c>
      <c r="G5022" s="16">
        <v>23.61</v>
      </c>
      <c r="H5022" s="16"/>
      <c r="I5022" s="22"/>
      <c r="J5022" s="22" t="s">
        <v>32261</v>
      </c>
      <c r="K5022" s="22" t="s">
        <v>32262</v>
      </c>
      <c r="L5022" s="23" t="s">
        <v>32263</v>
      </c>
      <c r="M5022" s="22"/>
      <c r="N5022" s="12"/>
      <c r="O5022" s="12"/>
      <c r="P5022" s="13">
        <f>IFERROR(__xludf.DUMMYFUNCTION("VALUE(SUBSTITUTE((INDEX(SPLIT(A5022,"",""),1)),""."","","",1))"),55.286404)</f>
        <v>55.286404</v>
      </c>
      <c r="Q5022" s="13">
        <f>IFERROR(__xludf.DUMMYFUNCTION("VALUE(SUBSTITUTE((INDEX(SPLIT(A5022,"",""),2)),""."","","",1))"),85.975618)</f>
        <v>85.975618</v>
      </c>
      <c r="R5022" s="14" t="b">
        <f t="shared" si="1"/>
        <v>0</v>
      </c>
      <c r="S5022" s="14" t="str">
        <f t="shared" si="2"/>
        <v>55.286404,85.975618</v>
      </c>
      <c r="T5022" s="12"/>
    </row>
    <row r="5023">
      <c r="A5023" s="22" t="s">
        <v>29115</v>
      </c>
      <c r="B5023" s="16" t="s">
        <v>32264</v>
      </c>
      <c r="C5023" s="16" t="s">
        <v>32265</v>
      </c>
      <c r="D5023" s="16" t="s">
        <v>16</v>
      </c>
      <c r="E5023" s="21" t="s">
        <v>32266</v>
      </c>
      <c r="F5023" s="22" t="s">
        <v>24698</v>
      </c>
      <c r="G5023" s="16">
        <v>23.61</v>
      </c>
      <c r="H5023" s="16"/>
      <c r="I5023" s="22"/>
      <c r="J5023" s="22" t="s">
        <v>32267</v>
      </c>
      <c r="K5023" s="22" t="s">
        <v>32268</v>
      </c>
      <c r="L5023" s="23" t="s">
        <v>32269</v>
      </c>
      <c r="M5023" s="22"/>
      <c r="N5023" s="12"/>
      <c r="O5023" s="12"/>
      <c r="P5023" s="13">
        <f>IFERROR(__xludf.DUMMYFUNCTION("VALUE(SUBSTITUTE((INDEX(SPLIT(A5023,"",""),1)),""."","","",1))"),55.360955)</f>
        <v>55.360955</v>
      </c>
      <c r="Q5023" s="13">
        <f>IFERROR(__xludf.DUMMYFUNCTION("VALUE(SUBSTITUTE((INDEX(SPLIT(A5023,"",""),2)),""."","","",1))"),85.991258)</f>
        <v>85.991258</v>
      </c>
      <c r="R5023" s="14" t="b">
        <f t="shared" si="1"/>
        <v>0</v>
      </c>
      <c r="S5023" s="14" t="str">
        <f t="shared" si="2"/>
        <v>55.360955,85.991258</v>
      </c>
      <c r="T5023" s="12"/>
    </row>
    <row r="5024">
      <c r="A5024" s="8" t="s">
        <v>29115</v>
      </c>
      <c r="B5024" s="8" t="s">
        <v>32270</v>
      </c>
      <c r="C5024" s="8" t="s">
        <v>32271</v>
      </c>
      <c r="D5024" s="8" t="s">
        <v>16</v>
      </c>
      <c r="E5024" s="19" t="s">
        <v>32272</v>
      </c>
      <c r="F5024" s="8" t="s">
        <v>24698</v>
      </c>
      <c r="G5024" s="8">
        <v>23.61</v>
      </c>
      <c r="H5024" s="8"/>
      <c r="I5024" s="8"/>
      <c r="J5024" s="8" t="s">
        <v>32273</v>
      </c>
      <c r="K5024" s="8" t="s">
        <v>32274</v>
      </c>
      <c r="L5024" s="8"/>
      <c r="M5024" s="8"/>
      <c r="N5024" s="12"/>
      <c r="O5024" s="12"/>
      <c r="P5024" s="13">
        <f>IFERROR(__xludf.DUMMYFUNCTION("VALUE(SUBSTITUTE((INDEX(SPLIT(A5024,"",""),1)),""."","","",1))"),55.360955)</f>
        <v>55.360955</v>
      </c>
      <c r="Q5024" s="13">
        <f>IFERROR(__xludf.DUMMYFUNCTION("VALUE(SUBSTITUTE((INDEX(SPLIT(A5024,"",""),2)),""."","","",1))"),85.991258)</f>
        <v>85.991258</v>
      </c>
      <c r="R5024" s="14" t="b">
        <f t="shared" si="1"/>
        <v>0</v>
      </c>
      <c r="S5024" s="14" t="str">
        <f t="shared" si="2"/>
        <v>55.360955,85.991258</v>
      </c>
      <c r="T5024" s="12"/>
    </row>
    <row r="5025">
      <c r="A5025" s="8" t="s">
        <v>29144</v>
      </c>
      <c r="B5025" s="8" t="s">
        <v>32275</v>
      </c>
      <c r="C5025" s="8" t="s">
        <v>32276</v>
      </c>
      <c r="D5025" s="8" t="s">
        <v>16</v>
      </c>
      <c r="E5025" s="19" t="s">
        <v>32277</v>
      </c>
      <c r="F5025" s="8" t="s">
        <v>24698</v>
      </c>
      <c r="G5025" s="8">
        <v>23.61</v>
      </c>
      <c r="H5025" s="8"/>
      <c r="I5025" s="8"/>
      <c r="J5025" s="8" t="s">
        <v>32278</v>
      </c>
      <c r="K5025" s="8" t="s">
        <v>32279</v>
      </c>
      <c r="L5025" s="8"/>
      <c r="M5025" s="24" t="s">
        <v>32280</v>
      </c>
      <c r="N5025" s="12"/>
      <c r="O5025" s="12"/>
      <c r="P5025" s="13">
        <f>IFERROR(__xludf.DUMMYFUNCTION("VALUE(SUBSTITUTE((INDEX(SPLIT(A5025,"",""),1)),""."","","",1))"),55.322512)</f>
        <v>55.322512</v>
      </c>
      <c r="Q5025" s="13">
        <f>IFERROR(__xludf.DUMMYFUNCTION("VALUE(SUBSTITUTE((INDEX(SPLIT(A5025,"",""),2)),""."","","",1))"),86.068513)</f>
        <v>86.068513</v>
      </c>
      <c r="R5025" s="14" t="b">
        <f t="shared" si="1"/>
        <v>0</v>
      </c>
      <c r="S5025" s="14" t="str">
        <f t="shared" si="2"/>
        <v>55.322512,86.068513</v>
      </c>
      <c r="T5025" s="12"/>
    </row>
    <row r="5026">
      <c r="A5026" s="22" t="s">
        <v>29150</v>
      </c>
      <c r="B5026" s="16" t="s">
        <v>16946</v>
      </c>
      <c r="C5026" s="16" t="s">
        <v>16947</v>
      </c>
      <c r="D5026" s="16" t="s">
        <v>16</v>
      </c>
      <c r="E5026" s="21" t="s">
        <v>32281</v>
      </c>
      <c r="F5026" s="22" t="s">
        <v>24698</v>
      </c>
      <c r="G5026" s="16">
        <v>23.61</v>
      </c>
      <c r="H5026" s="16"/>
      <c r="I5026" s="22"/>
      <c r="J5026" s="22" t="s">
        <v>32282</v>
      </c>
      <c r="K5026" s="22" t="s">
        <v>32283</v>
      </c>
      <c r="L5026" s="23" t="s">
        <v>32284</v>
      </c>
      <c r="M5026" s="22"/>
      <c r="N5026" s="12"/>
      <c r="O5026" s="12"/>
      <c r="P5026" s="13">
        <f>IFERROR(__xludf.DUMMYFUNCTION("VALUE(SUBSTITUTE((INDEX(SPLIT(A5026,"",""),1)),""."","","",1))"),55.393487)</f>
        <v>55.393487</v>
      </c>
      <c r="Q5026" s="13">
        <f>IFERROR(__xludf.DUMMYFUNCTION("VALUE(SUBSTITUTE((INDEX(SPLIT(A5026,"",""),2)),""."","","",1))"),86.070606)</f>
        <v>86.070606</v>
      </c>
      <c r="R5026" s="14" t="b">
        <f t="shared" si="1"/>
        <v>0</v>
      </c>
      <c r="S5026" s="14" t="str">
        <f t="shared" si="2"/>
        <v>55.393487,86.070606</v>
      </c>
      <c r="T5026" s="12"/>
    </row>
    <row r="5027">
      <c r="A5027" s="8" t="s">
        <v>29150</v>
      </c>
      <c r="B5027" s="8" t="s">
        <v>11614</v>
      </c>
      <c r="C5027" s="8" t="s">
        <v>11615</v>
      </c>
      <c r="D5027" s="8" t="s">
        <v>16</v>
      </c>
      <c r="E5027" s="19" t="s">
        <v>32285</v>
      </c>
      <c r="F5027" s="8" t="s">
        <v>24698</v>
      </c>
      <c r="G5027" s="8">
        <v>23.61</v>
      </c>
      <c r="H5027" s="8"/>
      <c r="I5027" s="8"/>
      <c r="J5027" s="8" t="s">
        <v>32286</v>
      </c>
      <c r="K5027" s="8" t="s">
        <v>32287</v>
      </c>
      <c r="L5027" s="8"/>
      <c r="M5027" s="8"/>
      <c r="N5027" s="12"/>
      <c r="O5027" s="12"/>
      <c r="P5027" s="13">
        <f>IFERROR(__xludf.DUMMYFUNCTION("VALUE(SUBSTITUTE((INDEX(SPLIT(A5027,"",""),1)),""."","","",1))"),55.393487)</f>
        <v>55.393487</v>
      </c>
      <c r="Q5027" s="13">
        <f>IFERROR(__xludf.DUMMYFUNCTION("VALUE(SUBSTITUTE((INDEX(SPLIT(A5027,"",""),2)),""."","","",1))"),86.070606)</f>
        <v>86.070606</v>
      </c>
      <c r="R5027" s="14" t="b">
        <f t="shared" si="1"/>
        <v>0</v>
      </c>
      <c r="S5027" s="14" t="str">
        <f t="shared" si="2"/>
        <v>55.393487,86.070606</v>
      </c>
      <c r="T5027" s="12"/>
    </row>
    <row r="5028">
      <c r="A5028" s="16" t="s">
        <v>29163</v>
      </c>
      <c r="B5028" s="16" t="s">
        <v>19144</v>
      </c>
      <c r="C5028" s="16" t="s">
        <v>19145</v>
      </c>
      <c r="D5028" s="16" t="s">
        <v>16</v>
      </c>
      <c r="E5028" s="17" t="s">
        <v>32288</v>
      </c>
      <c r="F5028" s="16" t="s">
        <v>24698</v>
      </c>
      <c r="G5028" s="16">
        <v>23.61</v>
      </c>
      <c r="H5028" s="16"/>
      <c r="I5028" s="16"/>
      <c r="J5028" s="16" t="s">
        <v>32289</v>
      </c>
      <c r="K5028" s="16" t="s">
        <v>32290</v>
      </c>
      <c r="L5028" s="16"/>
      <c r="M5028" s="16"/>
      <c r="N5028" s="12"/>
      <c r="O5028" s="12"/>
      <c r="P5028" s="13">
        <f>IFERROR(__xludf.DUMMYFUNCTION("VALUE(SUBSTITUTE((INDEX(SPLIT(A5028,"",""),1)),""."","","",1))"),55.362521)</f>
        <v>55.362521</v>
      </c>
      <c r="Q5028" s="13">
        <f>IFERROR(__xludf.DUMMYFUNCTION("VALUE(SUBSTITUTE((INDEX(SPLIT(A5028,"",""),2)),""."","","",1))"),86.070624)</f>
        <v>86.070624</v>
      </c>
      <c r="R5028" s="14" t="b">
        <f t="shared" si="1"/>
        <v>0</v>
      </c>
      <c r="S5028" s="14" t="str">
        <f t="shared" si="2"/>
        <v>55.362521,86.070624</v>
      </c>
      <c r="T5028" s="12"/>
    </row>
    <row r="5029">
      <c r="A5029" s="10" t="s">
        <v>29168</v>
      </c>
      <c r="B5029" s="8" t="s">
        <v>32291</v>
      </c>
      <c r="C5029" s="8" t="s">
        <v>32292</v>
      </c>
      <c r="D5029" s="8" t="s">
        <v>16</v>
      </c>
      <c r="E5029" s="9" t="s">
        <v>32293</v>
      </c>
      <c r="F5029" s="10" t="s">
        <v>24698</v>
      </c>
      <c r="G5029" s="8">
        <v>23.61</v>
      </c>
      <c r="H5029" s="8"/>
      <c r="I5029" s="31" t="s">
        <v>32294</v>
      </c>
      <c r="J5029" s="10" t="s">
        <v>32295</v>
      </c>
      <c r="K5029" s="10" t="s">
        <v>32296</v>
      </c>
      <c r="L5029" s="11" t="s">
        <v>32297</v>
      </c>
      <c r="M5029" s="11" t="s">
        <v>32298</v>
      </c>
      <c r="N5029" s="12"/>
      <c r="O5029" s="12"/>
      <c r="P5029" s="13">
        <f>IFERROR(__xludf.DUMMYFUNCTION("VALUE(SUBSTITUTE((INDEX(SPLIT(A5029,"",""),1)),""."","","",1))"),55.392817)</f>
        <v>55.392817</v>
      </c>
      <c r="Q5029" s="13">
        <f>IFERROR(__xludf.DUMMYFUNCTION("VALUE(SUBSTITUTE((INDEX(SPLIT(A5029,"",""),2)),""."","","",1))"),86.084242)</f>
        <v>86.084242</v>
      </c>
      <c r="R5029" s="14" t="b">
        <f t="shared" si="1"/>
        <v>0</v>
      </c>
      <c r="S5029" s="14" t="str">
        <f t="shared" si="2"/>
        <v>55.392817,86.084242</v>
      </c>
      <c r="T5029" s="12"/>
    </row>
    <row r="5030">
      <c r="A5030" s="16" t="s">
        <v>29174</v>
      </c>
      <c r="B5030" s="16" t="s">
        <v>32299</v>
      </c>
      <c r="C5030" s="16" t="s">
        <v>32300</v>
      </c>
      <c r="D5030" s="16" t="s">
        <v>16</v>
      </c>
      <c r="E5030" s="17" t="s">
        <v>32301</v>
      </c>
      <c r="F5030" s="16" t="s">
        <v>24698</v>
      </c>
      <c r="G5030" s="16">
        <v>23.61</v>
      </c>
      <c r="H5030" s="16"/>
      <c r="I5030" s="16"/>
      <c r="J5030" s="16" t="s">
        <v>32302</v>
      </c>
      <c r="K5030" s="16" t="s">
        <v>32303</v>
      </c>
      <c r="L5030" s="16"/>
      <c r="M5030" s="25" t="s">
        <v>32304</v>
      </c>
      <c r="N5030" s="12"/>
      <c r="O5030" s="12"/>
      <c r="P5030" s="13">
        <f>IFERROR(__xludf.DUMMYFUNCTION("VALUE(SUBSTITUTE((INDEX(SPLIT(A5030,"",""),1)),""."","","",1))"),55.352015)</f>
        <v>55.352015</v>
      </c>
      <c r="Q5030" s="13">
        <f>IFERROR(__xludf.DUMMYFUNCTION("VALUE(SUBSTITUTE((INDEX(SPLIT(A5030,"",""),2)),""."","","",1))"),86.084278)</f>
        <v>86.084278</v>
      </c>
      <c r="R5030" s="14" t="b">
        <f t="shared" si="1"/>
        <v>0</v>
      </c>
      <c r="S5030" s="14" t="str">
        <f t="shared" si="2"/>
        <v>55.352015,86.084278</v>
      </c>
      <c r="T5030" s="12"/>
    </row>
    <row r="5031">
      <c r="A5031" s="8" t="s">
        <v>29181</v>
      </c>
      <c r="B5031" s="8" t="s">
        <v>32305</v>
      </c>
      <c r="C5031" s="8" t="s">
        <v>32306</v>
      </c>
      <c r="D5031" s="8" t="s">
        <v>16</v>
      </c>
      <c r="E5031" s="19" t="s">
        <v>32307</v>
      </c>
      <c r="F5031" s="8" t="s">
        <v>24698</v>
      </c>
      <c r="G5031" s="8">
        <v>23.61</v>
      </c>
      <c r="H5031" s="8"/>
      <c r="I5031" s="8"/>
      <c r="J5031" s="8" t="s">
        <v>32308</v>
      </c>
      <c r="K5031" s="8" t="s">
        <v>32309</v>
      </c>
      <c r="L5031" s="8"/>
      <c r="M5031" s="24" t="s">
        <v>32310</v>
      </c>
      <c r="N5031" s="12"/>
      <c r="O5031" s="12"/>
      <c r="P5031" s="13">
        <f>IFERROR(__xludf.DUMMYFUNCTION("VALUE(SUBSTITUTE((INDEX(SPLIT(A5031,"",""),1)),""."","","",1))"),55.312363)</f>
        <v>55.312363</v>
      </c>
      <c r="Q5031" s="13">
        <f>IFERROR(__xludf.DUMMYFUNCTION("VALUE(SUBSTITUTE((INDEX(SPLIT(A5031,"",""),2)),""."","","",1))"),86.106574)</f>
        <v>86.106574</v>
      </c>
      <c r="R5031" s="14" t="b">
        <f t="shared" si="1"/>
        <v>0</v>
      </c>
      <c r="S5031" s="14" t="str">
        <f t="shared" si="2"/>
        <v>55.312363,86.106574</v>
      </c>
      <c r="T5031" s="12"/>
    </row>
    <row r="5032">
      <c r="A5032" s="16" t="s">
        <v>29189</v>
      </c>
      <c r="B5032" s="16" t="s">
        <v>32311</v>
      </c>
      <c r="C5032" s="16" t="s">
        <v>32312</v>
      </c>
      <c r="D5032" s="16" t="s">
        <v>16</v>
      </c>
      <c r="E5032" s="17" t="s">
        <v>32313</v>
      </c>
      <c r="F5032" s="16" t="s">
        <v>24698</v>
      </c>
      <c r="G5032" s="16">
        <v>23.61</v>
      </c>
      <c r="H5032" s="16"/>
      <c r="I5032" s="16"/>
      <c r="J5032" s="16" t="s">
        <v>32314</v>
      </c>
      <c r="K5032" s="16" t="s">
        <v>32315</v>
      </c>
      <c r="L5032" s="16"/>
      <c r="M5032" s="16"/>
      <c r="N5032" s="12"/>
      <c r="O5032" s="12"/>
      <c r="P5032" s="13">
        <f>IFERROR(__xludf.DUMMYFUNCTION("VALUE(SUBSTITUTE((INDEX(SPLIT(A5032,"",""),1)),""."","","",1))"),55.328253)</f>
        <v>55.328253</v>
      </c>
      <c r="Q5032" s="13">
        <f>IFERROR(__xludf.DUMMYFUNCTION("VALUE(SUBSTITUTE((INDEX(SPLIT(A5032,"",""),2)),""."","","",1))"),86.130604)</f>
        <v>86.130604</v>
      </c>
      <c r="R5032" s="14" t="b">
        <f t="shared" si="1"/>
        <v>0</v>
      </c>
      <c r="S5032" s="14" t="str">
        <f t="shared" si="2"/>
        <v>55.328253,86.130604</v>
      </c>
      <c r="T5032" s="12"/>
    </row>
    <row r="5033">
      <c r="A5033" s="8" t="s">
        <v>29207</v>
      </c>
      <c r="B5033" s="8" t="s">
        <v>32316</v>
      </c>
      <c r="C5033" s="8" t="s">
        <v>32317</v>
      </c>
      <c r="D5033" s="8" t="s">
        <v>16</v>
      </c>
      <c r="E5033" s="19" t="s">
        <v>32318</v>
      </c>
      <c r="F5033" s="8" t="s">
        <v>24698</v>
      </c>
      <c r="G5033" s="8">
        <v>23.61</v>
      </c>
      <c r="H5033" s="8"/>
      <c r="I5033" s="8"/>
      <c r="J5033" s="8" t="s">
        <v>32319</v>
      </c>
      <c r="K5033" s="8" t="s">
        <v>32320</v>
      </c>
      <c r="L5033" s="8"/>
      <c r="M5033" s="8"/>
      <c r="N5033" s="12"/>
      <c r="O5033" s="12"/>
      <c r="P5033" s="13">
        <f>IFERROR(__xludf.DUMMYFUNCTION("VALUE(SUBSTITUTE((INDEX(SPLIT(A5033,"",""),1)),""."","","",1))"),55.304775)</f>
        <v>55.304775</v>
      </c>
      <c r="Q5033" s="13">
        <f>IFERROR(__xludf.DUMMYFUNCTION("VALUE(SUBSTITUTE((INDEX(SPLIT(A5033,"",""),2)),""."","","",1))"),86.1658)</f>
        <v>86.1658</v>
      </c>
      <c r="R5033" s="14" t="b">
        <f t="shared" si="1"/>
        <v>0</v>
      </c>
      <c r="S5033" s="14" t="str">
        <f t="shared" si="2"/>
        <v>55.304775,86.1658</v>
      </c>
      <c r="T5033" s="12"/>
    </row>
    <row r="5034">
      <c r="A5034" s="22" t="s">
        <v>29214</v>
      </c>
      <c r="B5034" s="16" t="s">
        <v>32321</v>
      </c>
      <c r="C5034" s="16" t="s">
        <v>32322</v>
      </c>
      <c r="D5034" s="16" t="s">
        <v>16</v>
      </c>
      <c r="E5034" s="21" t="s">
        <v>32323</v>
      </c>
      <c r="F5034" s="22" t="s">
        <v>24698</v>
      </c>
      <c r="G5034" s="16">
        <v>23.61</v>
      </c>
      <c r="H5034" s="16"/>
      <c r="I5034" s="22"/>
      <c r="J5034" s="22" t="s">
        <v>32324</v>
      </c>
      <c r="K5034" s="22" t="s">
        <v>32325</v>
      </c>
      <c r="L5034" s="23" t="s">
        <v>32326</v>
      </c>
      <c r="M5034" s="22"/>
      <c r="N5034" s="12"/>
      <c r="O5034" s="12"/>
      <c r="P5034" s="13">
        <f>IFERROR(__xludf.DUMMYFUNCTION("VALUE(SUBSTITUTE((INDEX(SPLIT(A5034,"",""),1)),""."","","",1))"),55.349962)</f>
        <v>55.349962</v>
      </c>
      <c r="Q5034" s="13">
        <f>IFERROR(__xludf.DUMMYFUNCTION("VALUE(SUBSTITUTE((INDEX(SPLIT(A5034,"",""),2)),""."","","",1))"),86.167049)</f>
        <v>86.167049</v>
      </c>
      <c r="R5034" s="14" t="b">
        <f t="shared" si="1"/>
        <v>0</v>
      </c>
      <c r="S5034" s="14" t="str">
        <f t="shared" si="2"/>
        <v>55.349962,86.167049</v>
      </c>
      <c r="T5034" s="12"/>
    </row>
    <row r="5035">
      <c r="A5035" s="10" t="s">
        <v>29220</v>
      </c>
      <c r="B5035" s="8" t="s">
        <v>32327</v>
      </c>
      <c r="C5035" s="8" t="s">
        <v>32328</v>
      </c>
      <c r="D5035" s="8" t="s">
        <v>16</v>
      </c>
      <c r="E5035" s="9" t="s">
        <v>32329</v>
      </c>
      <c r="F5035" s="10" t="s">
        <v>24698</v>
      </c>
      <c r="G5035" s="8">
        <v>23.61</v>
      </c>
      <c r="H5035" s="8"/>
      <c r="I5035" s="10"/>
      <c r="J5035" s="10" t="s">
        <v>32330</v>
      </c>
      <c r="K5035" s="10" t="s">
        <v>32331</v>
      </c>
      <c r="L5035" s="11" t="s">
        <v>32332</v>
      </c>
      <c r="M5035" s="10"/>
      <c r="N5035" s="12"/>
      <c r="O5035" s="12"/>
      <c r="P5035" s="13">
        <f>IFERROR(__xludf.DUMMYFUNCTION("VALUE(SUBSTITUTE((INDEX(SPLIT(A5035,"",""),1)),""."","","",1))"),55.354543)</f>
        <v>55.354543</v>
      </c>
      <c r="Q5035" s="13">
        <f>IFERROR(__xludf.DUMMYFUNCTION("VALUE(SUBSTITUTE((INDEX(SPLIT(A5035,"",""),2)),""."","","",1))"),86.170489)</f>
        <v>86.170489</v>
      </c>
      <c r="R5035" s="14" t="b">
        <f t="shared" si="1"/>
        <v>0</v>
      </c>
      <c r="S5035" s="14" t="str">
        <f t="shared" si="2"/>
        <v>55.354543,86.170489</v>
      </c>
      <c r="T5035" s="12"/>
    </row>
    <row r="5036">
      <c r="A5036" s="16" t="s">
        <v>29226</v>
      </c>
      <c r="B5036" s="16" t="s">
        <v>13263</v>
      </c>
      <c r="C5036" s="16" t="s">
        <v>13264</v>
      </c>
      <c r="D5036" s="16" t="s">
        <v>16</v>
      </c>
      <c r="E5036" s="17" t="s">
        <v>32333</v>
      </c>
      <c r="F5036" s="16" t="s">
        <v>24698</v>
      </c>
      <c r="G5036" s="16">
        <v>23.61</v>
      </c>
      <c r="H5036" s="16"/>
      <c r="I5036" s="16"/>
      <c r="J5036" s="16" t="s">
        <v>32334</v>
      </c>
      <c r="K5036" s="16" t="s">
        <v>32335</v>
      </c>
      <c r="L5036" s="16"/>
      <c r="M5036" s="16"/>
      <c r="N5036" s="12"/>
      <c r="O5036" s="12"/>
      <c r="P5036" s="13">
        <f>IFERROR(__xludf.DUMMYFUNCTION("VALUE(SUBSTITUTE((INDEX(SPLIT(A5036,"",""),1)),""."","","",1))"),55.338167)</f>
        <v>55.338167</v>
      </c>
      <c r="Q5036" s="13">
        <f>IFERROR(__xludf.DUMMYFUNCTION("VALUE(SUBSTITUTE((INDEX(SPLIT(A5036,"",""),2)),""."","","",1))"),86.185689)</f>
        <v>86.185689</v>
      </c>
      <c r="R5036" s="14" t="b">
        <f t="shared" si="1"/>
        <v>0</v>
      </c>
      <c r="S5036" s="14" t="str">
        <f t="shared" si="2"/>
        <v>55.338167,86.185689</v>
      </c>
      <c r="T5036" s="12"/>
    </row>
    <row r="5037">
      <c r="A5037" s="10" t="s">
        <v>29245</v>
      </c>
      <c r="B5037" s="8" t="s">
        <v>32336</v>
      </c>
      <c r="C5037" s="8" t="s">
        <v>32337</v>
      </c>
      <c r="D5037" s="8" t="s">
        <v>16</v>
      </c>
      <c r="E5037" s="9" t="s">
        <v>32338</v>
      </c>
      <c r="F5037" s="10" t="s">
        <v>28210</v>
      </c>
      <c r="G5037" s="8">
        <v>23.61</v>
      </c>
      <c r="H5037" s="8"/>
      <c r="I5037" s="10"/>
      <c r="J5037" s="10" t="s">
        <v>32339</v>
      </c>
      <c r="K5037" s="10" t="s">
        <v>32340</v>
      </c>
      <c r="L5037" s="11" t="s">
        <v>32341</v>
      </c>
      <c r="M5037" s="10"/>
      <c r="N5037" s="12"/>
      <c r="O5037" s="12"/>
      <c r="P5037" s="13">
        <f>IFERROR(__xludf.DUMMYFUNCTION("VALUE(SUBSTITUTE((INDEX(SPLIT(A5037,"",""),1)),""."","","",1))"),56.709294)</f>
        <v>56.709294</v>
      </c>
      <c r="Q5037" s="13">
        <f>IFERROR(__xludf.DUMMYFUNCTION("VALUE(SUBSTITUTE((INDEX(SPLIT(A5037,"",""),2)),""."","","",1))"),86.807045)</f>
        <v>86.807045</v>
      </c>
      <c r="R5037" s="14" t="b">
        <f t="shared" si="1"/>
        <v>0</v>
      </c>
      <c r="S5037" s="14" t="str">
        <f t="shared" si="2"/>
        <v>56.709294,86.807045</v>
      </c>
      <c r="T5037" s="12"/>
    </row>
    <row r="5038">
      <c r="A5038" s="16" t="s">
        <v>29388</v>
      </c>
      <c r="B5038" s="16" t="s">
        <v>32342</v>
      </c>
      <c r="C5038" s="16" t="s">
        <v>32343</v>
      </c>
      <c r="D5038" s="16" t="s">
        <v>16</v>
      </c>
      <c r="E5038" s="17" t="s">
        <v>32344</v>
      </c>
      <c r="F5038" s="16" t="s">
        <v>26306</v>
      </c>
      <c r="G5038" s="16">
        <v>23.61</v>
      </c>
      <c r="H5038" s="16"/>
      <c r="I5038" s="16"/>
      <c r="J5038" s="16" t="s">
        <v>32345</v>
      </c>
      <c r="K5038" s="16" t="s">
        <v>32346</v>
      </c>
      <c r="L5038" s="16"/>
      <c r="M5038" s="16"/>
      <c r="N5038" s="12"/>
      <c r="O5038" s="12"/>
      <c r="P5038" s="13">
        <f>IFERROR(__xludf.DUMMYFUNCTION("VALUE(SUBSTITUTE((INDEX(SPLIT(A5038,"",""),1)),""."","","",1))"),56.487498)</f>
        <v>56.487498</v>
      </c>
      <c r="Q5038" s="13">
        <f>IFERROR(__xludf.DUMMYFUNCTION("VALUE(SUBSTITUTE((INDEX(SPLIT(A5038,"",""),2)),""."","","",1))"),88.977087)</f>
        <v>88.977087</v>
      </c>
      <c r="R5038" s="14" t="b">
        <f t="shared" si="1"/>
        <v>0</v>
      </c>
      <c r="S5038" s="14" t="str">
        <f t="shared" si="2"/>
        <v>56.487498,88.977087</v>
      </c>
      <c r="T5038" s="12"/>
    </row>
    <row r="5039">
      <c r="A5039" s="8" t="s">
        <v>29395</v>
      </c>
      <c r="B5039" s="8" t="s">
        <v>32347</v>
      </c>
      <c r="C5039" s="8" t="s">
        <v>32348</v>
      </c>
      <c r="D5039" s="8" t="s">
        <v>16</v>
      </c>
      <c r="E5039" s="19" t="s">
        <v>32349</v>
      </c>
      <c r="F5039" s="8" t="s">
        <v>26306</v>
      </c>
      <c r="G5039" s="8">
        <v>23.61</v>
      </c>
      <c r="H5039" s="8"/>
      <c r="I5039" s="8"/>
      <c r="J5039" s="8" t="s">
        <v>32350</v>
      </c>
      <c r="K5039" s="8" t="s">
        <v>32351</v>
      </c>
      <c r="L5039" s="8"/>
      <c r="M5039" s="8"/>
      <c r="N5039" s="12"/>
      <c r="O5039" s="12"/>
      <c r="P5039" s="13">
        <f>IFERROR(__xludf.DUMMYFUNCTION("VALUE(SUBSTITUTE((INDEX(SPLIT(A5039,"",""),1)),""."","","",1))"),55.533659)</f>
        <v>55.533659</v>
      </c>
      <c r="Q5039" s="13">
        <f>IFERROR(__xludf.DUMMYFUNCTION("VALUE(SUBSTITUTE((INDEX(SPLIT(A5039,"",""),2)),""."","","",1))"),89.185226)</f>
        <v>89.185226</v>
      </c>
      <c r="R5039" s="14" t="b">
        <f t="shared" si="1"/>
        <v>0</v>
      </c>
      <c r="S5039" s="14" t="str">
        <f t="shared" si="2"/>
        <v>55.533659,89.185226</v>
      </c>
      <c r="T5039" s="12"/>
    </row>
    <row r="5040">
      <c r="A5040" s="10" t="s">
        <v>29410</v>
      </c>
      <c r="B5040" s="8" t="s">
        <v>7439</v>
      </c>
      <c r="C5040" s="8" t="s">
        <v>7440</v>
      </c>
      <c r="D5040" s="8" t="s">
        <v>16</v>
      </c>
      <c r="E5040" s="9" t="s">
        <v>32352</v>
      </c>
      <c r="F5040" s="10" t="s">
        <v>26306</v>
      </c>
      <c r="G5040" s="8">
        <v>23.61</v>
      </c>
      <c r="H5040" s="8"/>
      <c r="I5040" s="10"/>
      <c r="J5040" s="10" t="s">
        <v>32353</v>
      </c>
      <c r="K5040" s="10" t="s">
        <v>32354</v>
      </c>
      <c r="L5040" s="11" t="s">
        <v>32355</v>
      </c>
      <c r="M5040" s="10"/>
      <c r="N5040" s="12"/>
      <c r="O5040" s="12"/>
      <c r="P5040" s="13">
        <f>IFERROR(__xludf.DUMMYFUNCTION("VALUE(SUBSTITUTE((INDEX(SPLIT(A5040,"",""),1)),""."","","",1))"),56.208069)</f>
        <v>56.208069</v>
      </c>
      <c r="Q5040" s="13">
        <f>IFERROR(__xludf.DUMMYFUNCTION("VALUE(SUBSTITUTE((INDEX(SPLIT(A5040,"",""),2)),""."","","",1))"),89.526335)</f>
        <v>89.526335</v>
      </c>
      <c r="R5040" s="14" t="b">
        <f t="shared" si="1"/>
        <v>0</v>
      </c>
      <c r="S5040" s="14" t="str">
        <f t="shared" si="2"/>
        <v>56.208069,89.526335</v>
      </c>
      <c r="T5040" s="12"/>
    </row>
    <row r="5041">
      <c r="A5041" s="16" t="s">
        <v>29417</v>
      </c>
      <c r="B5041" s="16" t="s">
        <v>32356</v>
      </c>
      <c r="C5041" s="16" t="s">
        <v>32357</v>
      </c>
      <c r="D5041" s="16" t="s">
        <v>16</v>
      </c>
      <c r="E5041" s="17" t="s">
        <v>32358</v>
      </c>
      <c r="F5041" s="16" t="s">
        <v>26306</v>
      </c>
      <c r="G5041" s="16">
        <v>23.61</v>
      </c>
      <c r="H5041" s="16"/>
      <c r="I5041" s="16"/>
      <c r="J5041" s="16" t="s">
        <v>32359</v>
      </c>
      <c r="K5041" s="16" t="s">
        <v>32360</v>
      </c>
      <c r="L5041" s="16"/>
      <c r="M5041" s="25" t="s">
        <v>32361</v>
      </c>
      <c r="N5041" s="12"/>
      <c r="O5041" s="12"/>
      <c r="P5041" s="13">
        <f>IFERROR(__xludf.DUMMYFUNCTION("VALUE(SUBSTITUTE((INDEX(SPLIT(A5041,"",""),1)),""."","","",1))"),56.010267)</f>
        <v>56.010267</v>
      </c>
      <c r="Q5041" s="13">
        <f>IFERROR(__xludf.DUMMYFUNCTION("VALUE(SUBSTITUTE((INDEX(SPLIT(A5041,"",""),2)),""."","","",1))"),90.385034)</f>
        <v>90.385034</v>
      </c>
      <c r="R5041" s="14" t="b">
        <f t="shared" si="1"/>
        <v>0</v>
      </c>
      <c r="S5041" s="14" t="str">
        <f t="shared" si="2"/>
        <v>56.010267,90.385034</v>
      </c>
      <c r="T5041" s="12"/>
    </row>
    <row r="5042">
      <c r="A5042" s="8" t="s">
        <v>29425</v>
      </c>
      <c r="B5042" s="8" t="s">
        <v>4675</v>
      </c>
      <c r="C5042" s="8" t="s">
        <v>4676</v>
      </c>
      <c r="D5042" s="8" t="s">
        <v>16</v>
      </c>
      <c r="E5042" s="19" t="s">
        <v>32362</v>
      </c>
      <c r="F5042" s="8" t="s">
        <v>26306</v>
      </c>
      <c r="G5042" s="8">
        <v>23.61</v>
      </c>
      <c r="H5042" s="8"/>
      <c r="I5042" s="8"/>
      <c r="J5042" s="8" t="s">
        <v>32363</v>
      </c>
      <c r="K5042" s="8" t="s">
        <v>32364</v>
      </c>
      <c r="L5042" s="8"/>
      <c r="M5042" s="24" t="s">
        <v>32365</v>
      </c>
      <c r="N5042" s="12"/>
      <c r="O5042" s="12"/>
      <c r="P5042" s="13">
        <f>IFERROR(__xludf.DUMMYFUNCTION("VALUE(SUBSTITUTE((INDEX(SPLIT(A5042,"",""),1)),""."","","",1))"),55.936121)</f>
        <v>55.936121</v>
      </c>
      <c r="Q5042" s="13">
        <f>IFERROR(__xludf.DUMMYFUNCTION("VALUE(SUBSTITUTE((INDEX(SPLIT(A5042,"",""),2)),""."","","",1))"),90.428773)</f>
        <v>90.428773</v>
      </c>
      <c r="R5042" s="14" t="b">
        <f t="shared" si="1"/>
        <v>0</v>
      </c>
      <c r="S5042" s="14" t="str">
        <f t="shared" si="2"/>
        <v>55.936121,90.428773</v>
      </c>
      <c r="T5042" s="12"/>
    </row>
    <row r="5043">
      <c r="A5043" s="22" t="s">
        <v>29433</v>
      </c>
      <c r="B5043" s="16" t="s">
        <v>32366</v>
      </c>
      <c r="C5043" s="16" t="s">
        <v>32367</v>
      </c>
      <c r="D5043" s="16" t="s">
        <v>16</v>
      </c>
      <c r="E5043" s="21" t="s">
        <v>32368</v>
      </c>
      <c r="F5043" s="22" t="s">
        <v>26306</v>
      </c>
      <c r="G5043" s="16">
        <v>23.61</v>
      </c>
      <c r="H5043" s="16"/>
      <c r="I5043" s="22"/>
      <c r="J5043" s="22" t="s">
        <v>32369</v>
      </c>
      <c r="K5043" s="22" t="s">
        <v>32370</v>
      </c>
      <c r="L5043" s="23" t="s">
        <v>32371</v>
      </c>
      <c r="M5043" s="22"/>
      <c r="N5043" s="12"/>
      <c r="O5043" s="12"/>
      <c r="P5043" s="13">
        <f>IFERROR(__xludf.DUMMYFUNCTION("VALUE(SUBSTITUTE((INDEX(SPLIT(A5043,"",""),1)),""."","","",1))"),55.997421)</f>
        <v>55.997421</v>
      </c>
      <c r="Q5043" s="13">
        <f>IFERROR(__xludf.DUMMYFUNCTION("VALUE(SUBSTITUTE((INDEX(SPLIT(A5043,"",""),2)),""."","","",1))"),90.443533)</f>
        <v>90.443533</v>
      </c>
      <c r="R5043" s="14" t="b">
        <f t="shared" si="1"/>
        <v>0</v>
      </c>
      <c r="S5043" s="14" t="str">
        <f t="shared" si="2"/>
        <v>55.997421,90.443533</v>
      </c>
      <c r="T5043" s="12"/>
    </row>
    <row r="5044">
      <c r="A5044" s="10" t="s">
        <v>29438</v>
      </c>
      <c r="B5044" s="8" t="s">
        <v>32372</v>
      </c>
      <c r="C5044" s="8" t="s">
        <v>32373</v>
      </c>
      <c r="D5044" s="8" t="s">
        <v>16</v>
      </c>
      <c r="E5044" s="9" t="s">
        <v>32374</v>
      </c>
      <c r="F5044" s="10" t="s">
        <v>26306</v>
      </c>
      <c r="G5044" s="8">
        <v>23.61</v>
      </c>
      <c r="H5044" s="8"/>
      <c r="I5044" s="10"/>
      <c r="J5044" s="10" t="s">
        <v>32375</v>
      </c>
      <c r="K5044" s="10" t="s">
        <v>32376</v>
      </c>
      <c r="L5044" s="11" t="s">
        <v>32377</v>
      </c>
      <c r="M5044" s="10"/>
      <c r="N5044" s="12"/>
      <c r="O5044" s="12"/>
      <c r="P5044" s="13">
        <f>IFERROR(__xludf.DUMMYFUNCTION("VALUE(SUBSTITUTE((INDEX(SPLIT(A5044,"",""),1)),""."","","",1))"),56.249847)</f>
        <v>56.249847</v>
      </c>
      <c r="Q5044" s="13">
        <f>IFERROR(__xludf.DUMMYFUNCTION("VALUE(SUBSTITUTE((INDEX(SPLIT(A5044,"",""),2)),""."","","",1))"),90.487065)</f>
        <v>90.487065</v>
      </c>
      <c r="R5044" s="14" t="b">
        <f t="shared" si="1"/>
        <v>0</v>
      </c>
      <c r="S5044" s="14" t="str">
        <f t="shared" si="2"/>
        <v>56.249847,90.487065</v>
      </c>
      <c r="T5044" s="12"/>
    </row>
    <row r="5045">
      <c r="A5045" s="16" t="s">
        <v>29444</v>
      </c>
      <c r="B5045" s="16" t="s">
        <v>32378</v>
      </c>
      <c r="C5045" s="16" t="s">
        <v>32379</v>
      </c>
      <c r="D5045" s="16" t="s">
        <v>16</v>
      </c>
      <c r="E5045" s="17" t="s">
        <v>32380</v>
      </c>
      <c r="F5045" s="16" t="s">
        <v>26306</v>
      </c>
      <c r="G5045" s="16">
        <v>23.61</v>
      </c>
      <c r="H5045" s="16"/>
      <c r="I5045" s="16"/>
      <c r="J5045" s="16" t="s">
        <v>32381</v>
      </c>
      <c r="K5045" s="16" t="s">
        <v>32382</v>
      </c>
      <c r="L5045" s="16"/>
      <c r="M5045" s="16"/>
      <c r="N5045" s="12"/>
      <c r="O5045" s="12"/>
      <c r="P5045" s="13">
        <f>IFERROR(__xludf.DUMMYFUNCTION("VALUE(SUBSTITUTE((INDEX(SPLIT(A5045,"",""),1)),""."","","",1))"),56.253852)</f>
        <v>56.253852</v>
      </c>
      <c r="Q5045" s="13">
        <f>IFERROR(__xludf.DUMMYFUNCTION("VALUE(SUBSTITUTE((INDEX(SPLIT(A5045,"",""),2)),""."","","",1))"),90.488772)</f>
        <v>90.488772</v>
      </c>
      <c r="R5045" s="14" t="b">
        <f t="shared" si="1"/>
        <v>0</v>
      </c>
      <c r="S5045" s="14" t="str">
        <f t="shared" si="2"/>
        <v>56.253852,90.488772</v>
      </c>
      <c r="T5045" s="12"/>
    </row>
    <row r="5046">
      <c r="A5046" s="10" t="s">
        <v>29450</v>
      </c>
      <c r="B5046" s="8" t="s">
        <v>11676</v>
      </c>
      <c r="C5046" s="8" t="s">
        <v>11677</v>
      </c>
      <c r="D5046" s="8" t="s">
        <v>16</v>
      </c>
      <c r="E5046" s="9" t="s">
        <v>32383</v>
      </c>
      <c r="F5046" s="10" t="s">
        <v>26306</v>
      </c>
      <c r="G5046" s="8">
        <v>23.61</v>
      </c>
      <c r="H5046" s="8"/>
      <c r="I5046" s="10"/>
      <c r="J5046" s="10" t="s">
        <v>32384</v>
      </c>
      <c r="K5046" s="10" t="s">
        <v>32385</v>
      </c>
      <c r="L5046" s="11" t="s">
        <v>32386</v>
      </c>
      <c r="M5046" s="10"/>
      <c r="N5046" s="12"/>
      <c r="O5046" s="12"/>
      <c r="P5046" s="13">
        <f>IFERROR(__xludf.DUMMYFUNCTION("VALUE(SUBSTITUTE((INDEX(SPLIT(A5046,"",""),1)),""."","","",1))"),56.269501)</f>
        <v>56.269501</v>
      </c>
      <c r="Q5046" s="13">
        <f>IFERROR(__xludf.DUMMYFUNCTION("VALUE(SUBSTITUTE((INDEX(SPLIT(A5046,"",""),2)),""."","","",1))"),90.49524)</f>
        <v>90.49524</v>
      </c>
      <c r="R5046" s="14" t="b">
        <f t="shared" si="1"/>
        <v>0</v>
      </c>
      <c r="S5046" s="14" t="str">
        <f t="shared" si="2"/>
        <v>56.269501,90.49524</v>
      </c>
      <c r="T5046" s="12"/>
    </row>
    <row r="5047">
      <c r="A5047" s="16" t="s">
        <v>29457</v>
      </c>
      <c r="B5047" s="16" t="s">
        <v>32387</v>
      </c>
      <c r="C5047" s="16" t="s">
        <v>32388</v>
      </c>
      <c r="D5047" s="16" t="s">
        <v>16</v>
      </c>
      <c r="E5047" s="17" t="s">
        <v>32389</v>
      </c>
      <c r="F5047" s="16" t="s">
        <v>26306</v>
      </c>
      <c r="G5047" s="16">
        <v>23.61</v>
      </c>
      <c r="H5047" s="16"/>
      <c r="I5047" s="16"/>
      <c r="J5047" s="16" t="s">
        <v>32390</v>
      </c>
      <c r="K5047" s="16" t="s">
        <v>32391</v>
      </c>
      <c r="L5047" s="16"/>
      <c r="M5047" s="16"/>
      <c r="N5047" s="12"/>
      <c r="O5047" s="12"/>
      <c r="P5047" s="13">
        <f>IFERROR(__xludf.DUMMYFUNCTION("VALUE(SUBSTITUTE((INDEX(SPLIT(A5047,"",""),1)),""."","","",1))"),56.275984)</f>
        <v>56.275984</v>
      </c>
      <c r="Q5047" s="13">
        <f>IFERROR(__xludf.DUMMYFUNCTION("VALUE(SUBSTITUTE((INDEX(SPLIT(A5047,"",""),2)),""."","","",1))"),90.519683)</f>
        <v>90.519683</v>
      </c>
      <c r="R5047" s="14" t="b">
        <f t="shared" si="1"/>
        <v>0</v>
      </c>
      <c r="S5047" s="14" t="str">
        <f t="shared" si="2"/>
        <v>56.275984,90.519683</v>
      </c>
      <c r="T5047" s="12"/>
    </row>
    <row r="5048">
      <c r="A5048" s="8" t="s">
        <v>29457</v>
      </c>
      <c r="B5048" s="8" t="s">
        <v>32392</v>
      </c>
      <c r="C5048" s="8" t="s">
        <v>32393</v>
      </c>
      <c r="D5048" s="8" t="s">
        <v>16</v>
      </c>
      <c r="E5048" s="19" t="s">
        <v>32394</v>
      </c>
      <c r="F5048" s="8" t="s">
        <v>26306</v>
      </c>
      <c r="G5048" s="8">
        <v>23.61</v>
      </c>
      <c r="H5048" s="8"/>
      <c r="I5048" s="8"/>
      <c r="J5048" s="8" t="s">
        <v>32395</v>
      </c>
      <c r="K5048" s="8" t="s">
        <v>32396</v>
      </c>
      <c r="L5048" s="8"/>
      <c r="M5048" s="8"/>
      <c r="N5048" s="12"/>
      <c r="O5048" s="12"/>
      <c r="P5048" s="13">
        <f>IFERROR(__xludf.DUMMYFUNCTION("VALUE(SUBSTITUTE((INDEX(SPLIT(A5048,"",""),1)),""."","","",1))"),56.275984)</f>
        <v>56.275984</v>
      </c>
      <c r="Q5048" s="13">
        <f>IFERROR(__xludf.DUMMYFUNCTION("VALUE(SUBSTITUTE((INDEX(SPLIT(A5048,"",""),2)),""."","","",1))"),90.519683)</f>
        <v>90.519683</v>
      </c>
      <c r="R5048" s="14" t="b">
        <f t="shared" si="1"/>
        <v>0</v>
      </c>
      <c r="S5048" s="14" t="str">
        <f t="shared" si="2"/>
        <v>56.275984,90.519683</v>
      </c>
      <c r="T5048" s="12"/>
    </row>
    <row r="5049">
      <c r="A5049" s="22" t="s">
        <v>29703</v>
      </c>
      <c r="B5049" s="16" t="s">
        <v>32397</v>
      </c>
      <c r="C5049" s="16" t="s">
        <v>32398</v>
      </c>
      <c r="D5049" s="16" t="s">
        <v>16</v>
      </c>
      <c r="E5049" s="21" t="s">
        <v>32399</v>
      </c>
      <c r="F5049" s="22" t="s">
        <v>26306</v>
      </c>
      <c r="G5049" s="16">
        <v>23.61</v>
      </c>
      <c r="H5049" s="16"/>
      <c r="I5049" s="22"/>
      <c r="J5049" s="22" t="s">
        <v>32400</v>
      </c>
      <c r="K5049" s="22" t="s">
        <v>32401</v>
      </c>
      <c r="L5049" s="23" t="s">
        <v>32402</v>
      </c>
      <c r="M5049" s="23" t="s">
        <v>32403</v>
      </c>
      <c r="N5049" s="12"/>
      <c r="O5049" s="12"/>
      <c r="P5049" s="13">
        <f>IFERROR(__xludf.DUMMYFUNCTION("VALUE(SUBSTITUTE((INDEX(SPLIT(A5049,"",""),1)),""."","","",1))"),55.962201)</f>
        <v>55.962201</v>
      </c>
      <c r="Q5049" s="13">
        <f>IFERROR(__xludf.DUMMYFUNCTION("VALUE(SUBSTITUTE((INDEX(SPLIT(A5049,"",""),2)),""."","","",1))"),92.411679)</f>
        <v>92.411679</v>
      </c>
      <c r="R5049" s="14" t="b">
        <f t="shared" si="1"/>
        <v>0</v>
      </c>
      <c r="S5049" s="14" t="str">
        <f t="shared" si="2"/>
        <v>55.962201,92.411679</v>
      </c>
      <c r="T5049" s="12"/>
    </row>
    <row r="5050">
      <c r="A5050" s="8" t="s">
        <v>29710</v>
      </c>
      <c r="B5050" s="8" t="s">
        <v>89</v>
      </c>
      <c r="C5050" s="8" t="s">
        <v>90</v>
      </c>
      <c r="D5050" s="8" t="s">
        <v>16</v>
      </c>
      <c r="E5050" s="19" t="s">
        <v>32404</v>
      </c>
      <c r="F5050" s="8" t="s">
        <v>26306</v>
      </c>
      <c r="G5050" s="8">
        <v>23.61</v>
      </c>
      <c r="H5050" s="8"/>
      <c r="I5050" s="8"/>
      <c r="J5050" s="8" t="s">
        <v>32405</v>
      </c>
      <c r="K5050" s="8" t="s">
        <v>32406</v>
      </c>
      <c r="L5050" s="8"/>
      <c r="M5050" s="24" t="s">
        <v>32407</v>
      </c>
      <c r="N5050" s="12"/>
      <c r="O5050" s="12"/>
      <c r="P5050" s="13">
        <f>IFERROR(__xludf.DUMMYFUNCTION("VALUE(SUBSTITUTE((INDEX(SPLIT(A5050,"",""),1)),""."","","",1))"),56.078277)</f>
        <v>56.078277</v>
      </c>
      <c r="Q5050" s="13">
        <f>IFERROR(__xludf.DUMMYFUNCTION("VALUE(SUBSTITUTE((INDEX(SPLIT(A5050,"",""),2)),""."","","",1))"),92.592734)</f>
        <v>92.592734</v>
      </c>
      <c r="R5050" s="14" t="b">
        <f t="shared" si="1"/>
        <v>0</v>
      </c>
      <c r="S5050" s="14" t="str">
        <f t="shared" si="2"/>
        <v>56.078277,92.592734</v>
      </c>
      <c r="T5050" s="12"/>
    </row>
    <row r="5051">
      <c r="A5051" s="16" t="s">
        <v>29717</v>
      </c>
      <c r="B5051" s="16" t="s">
        <v>13209</v>
      </c>
      <c r="C5051" s="16" t="s">
        <v>13210</v>
      </c>
      <c r="D5051" s="16" t="s">
        <v>16</v>
      </c>
      <c r="E5051" s="17" t="s">
        <v>32408</v>
      </c>
      <c r="F5051" s="16" t="s">
        <v>26306</v>
      </c>
      <c r="G5051" s="16">
        <v>23.61</v>
      </c>
      <c r="H5051" s="16"/>
      <c r="I5051" s="16"/>
      <c r="J5051" s="16" t="s">
        <v>32409</v>
      </c>
      <c r="K5051" s="16" t="s">
        <v>32410</v>
      </c>
      <c r="L5051" s="16"/>
      <c r="M5051" s="16"/>
      <c r="N5051" s="12"/>
      <c r="O5051" s="12"/>
      <c r="P5051" s="13">
        <f>IFERROR(__xludf.DUMMYFUNCTION("VALUE(SUBSTITUTE((INDEX(SPLIT(A5051,"",""),1)),""."","","",1))"),56.177671)</f>
        <v>56.177671</v>
      </c>
      <c r="Q5051" s="13">
        <f>IFERROR(__xludf.DUMMYFUNCTION("VALUE(SUBSTITUTE((INDEX(SPLIT(A5051,"",""),2)),""."","","",1))"),92.628056)</f>
        <v>92.628056</v>
      </c>
      <c r="R5051" s="14" t="b">
        <f t="shared" si="1"/>
        <v>0</v>
      </c>
      <c r="S5051" s="14" t="str">
        <f t="shared" si="2"/>
        <v>56.177671,92.628056</v>
      </c>
      <c r="T5051" s="12"/>
    </row>
    <row r="5052">
      <c r="A5052" s="8" t="s">
        <v>29724</v>
      </c>
      <c r="B5052" s="8" t="s">
        <v>32411</v>
      </c>
      <c r="C5052" s="8" t="s">
        <v>32412</v>
      </c>
      <c r="D5052" s="8" t="s">
        <v>16</v>
      </c>
      <c r="E5052" s="19" t="s">
        <v>32413</v>
      </c>
      <c r="F5052" s="8" t="s">
        <v>26306</v>
      </c>
      <c r="G5052" s="8">
        <v>23.61</v>
      </c>
      <c r="H5052" s="8"/>
      <c r="I5052" s="8"/>
      <c r="J5052" s="8" t="s">
        <v>32414</v>
      </c>
      <c r="K5052" s="8" t="s">
        <v>32415</v>
      </c>
      <c r="L5052" s="8"/>
      <c r="M5052" s="24" t="s">
        <v>32416</v>
      </c>
      <c r="N5052" s="12"/>
      <c r="O5052" s="12"/>
      <c r="P5052" s="13">
        <f>IFERROR(__xludf.DUMMYFUNCTION("VALUE(SUBSTITUTE((INDEX(SPLIT(A5052,"",""),1)),""."","","",1))"),56.168651)</f>
        <v>56.168651</v>
      </c>
      <c r="Q5052" s="13">
        <f>IFERROR(__xludf.DUMMYFUNCTION("VALUE(SUBSTITUTE((INDEX(SPLIT(A5052,"",""),2)),""."","","",1))"),92.686617)</f>
        <v>92.686617</v>
      </c>
      <c r="R5052" s="14" t="b">
        <f t="shared" si="1"/>
        <v>0</v>
      </c>
      <c r="S5052" s="14" t="str">
        <f t="shared" si="2"/>
        <v>56.168651,92.686617</v>
      </c>
      <c r="T5052" s="12"/>
    </row>
    <row r="5053">
      <c r="A5053" s="22" t="s">
        <v>29729</v>
      </c>
      <c r="B5053" s="16" t="s">
        <v>32417</v>
      </c>
      <c r="C5053" s="16" t="s">
        <v>32418</v>
      </c>
      <c r="D5053" s="16" t="s">
        <v>16</v>
      </c>
      <c r="E5053" s="21" t="s">
        <v>32419</v>
      </c>
      <c r="F5053" s="22" t="s">
        <v>26306</v>
      </c>
      <c r="G5053" s="16">
        <v>23.61</v>
      </c>
      <c r="H5053" s="16"/>
      <c r="I5053" s="22"/>
      <c r="J5053" s="22" t="s">
        <v>32420</v>
      </c>
      <c r="K5053" s="22" t="s">
        <v>32421</v>
      </c>
      <c r="L5053" s="23" t="s">
        <v>32422</v>
      </c>
      <c r="M5053" s="22"/>
      <c r="N5053" s="12"/>
      <c r="O5053" s="12"/>
      <c r="P5053" s="13">
        <f>IFERROR(__xludf.DUMMYFUNCTION("VALUE(SUBSTITUTE((INDEX(SPLIT(A5053,"",""),1)),""."","","",1))"),56.075478)</f>
        <v>56.075478</v>
      </c>
      <c r="Q5053" s="13">
        <f>IFERROR(__xludf.DUMMYFUNCTION("VALUE(SUBSTITUTE((INDEX(SPLIT(A5053,"",""),2)),""."","","",1))"),92.708473)</f>
        <v>92.708473</v>
      </c>
      <c r="R5053" s="14" t="b">
        <f t="shared" si="1"/>
        <v>0</v>
      </c>
      <c r="S5053" s="14" t="str">
        <f t="shared" si="2"/>
        <v>56.075478,92.708473</v>
      </c>
      <c r="T5053" s="12"/>
    </row>
    <row r="5054">
      <c r="A5054" s="10" t="s">
        <v>29736</v>
      </c>
      <c r="B5054" s="8" t="s">
        <v>32423</v>
      </c>
      <c r="C5054" s="8" t="s">
        <v>32424</v>
      </c>
      <c r="D5054" s="8" t="s">
        <v>16</v>
      </c>
      <c r="E5054" s="9" t="s">
        <v>32425</v>
      </c>
      <c r="F5054" s="10" t="s">
        <v>26306</v>
      </c>
      <c r="G5054" s="8">
        <v>23.61</v>
      </c>
      <c r="H5054" s="8"/>
      <c r="I5054" s="10"/>
      <c r="J5054" s="10" t="s">
        <v>32426</v>
      </c>
      <c r="K5054" s="10" t="s">
        <v>32427</v>
      </c>
      <c r="L5054" s="11" t="s">
        <v>32428</v>
      </c>
      <c r="M5054" s="10"/>
      <c r="N5054" s="12"/>
      <c r="O5054" s="12"/>
      <c r="P5054" s="13">
        <f>IFERROR(__xludf.DUMMYFUNCTION("VALUE(SUBSTITUTE((INDEX(SPLIT(A5054,"",""),1)),""."","","",1))"),56.040299)</f>
        <v>56.040299</v>
      </c>
      <c r="Q5054" s="13">
        <f>IFERROR(__xludf.DUMMYFUNCTION("VALUE(SUBSTITUTE((INDEX(SPLIT(A5054,"",""),2)),""."","","",1))"),92.743292)</f>
        <v>92.743292</v>
      </c>
      <c r="R5054" s="14" t="b">
        <f t="shared" si="1"/>
        <v>0</v>
      </c>
      <c r="S5054" s="14" t="str">
        <f t="shared" si="2"/>
        <v>56.040299,92.743292</v>
      </c>
      <c r="T5054" s="12"/>
    </row>
    <row r="5055">
      <c r="A5055" s="22" t="s">
        <v>29744</v>
      </c>
      <c r="B5055" s="16" t="s">
        <v>20739</v>
      </c>
      <c r="C5055" s="16" t="s">
        <v>20740</v>
      </c>
      <c r="D5055" s="16" t="s">
        <v>16</v>
      </c>
      <c r="E5055" s="21" t="s">
        <v>32429</v>
      </c>
      <c r="F5055" s="22" t="s">
        <v>26306</v>
      </c>
      <c r="G5055" s="16">
        <v>23.61</v>
      </c>
      <c r="H5055" s="16"/>
      <c r="I5055" s="22"/>
      <c r="J5055" s="22" t="s">
        <v>32430</v>
      </c>
      <c r="K5055" s="22" t="s">
        <v>32431</v>
      </c>
      <c r="L5055" s="23" t="s">
        <v>32432</v>
      </c>
      <c r="M5055" s="22"/>
      <c r="N5055" s="12"/>
      <c r="O5055" s="12"/>
      <c r="P5055" s="13">
        <f>IFERROR(__xludf.DUMMYFUNCTION("VALUE(SUBSTITUTE((INDEX(SPLIT(A5055,"",""),1)),""."","","",1))"),56.027077)</f>
        <v>56.027077</v>
      </c>
      <c r="Q5055" s="13">
        <f>IFERROR(__xludf.DUMMYFUNCTION("VALUE(SUBSTITUTE((INDEX(SPLIT(A5055,"",""),2)),""."","","",1))"),92.780769)</f>
        <v>92.780769</v>
      </c>
      <c r="R5055" s="14" t="b">
        <f t="shared" si="1"/>
        <v>0</v>
      </c>
      <c r="S5055" s="14" t="str">
        <f t="shared" si="2"/>
        <v>56.027077,92.780769</v>
      </c>
      <c r="T5055" s="12"/>
    </row>
    <row r="5056">
      <c r="A5056" s="8" t="s">
        <v>29751</v>
      </c>
      <c r="B5056" s="8" t="s">
        <v>32433</v>
      </c>
      <c r="C5056" s="8" t="s">
        <v>32434</v>
      </c>
      <c r="D5056" s="8" t="s">
        <v>16</v>
      </c>
      <c r="E5056" s="19" t="s">
        <v>32435</v>
      </c>
      <c r="F5056" s="8" t="s">
        <v>26306</v>
      </c>
      <c r="G5056" s="8">
        <v>23.61</v>
      </c>
      <c r="H5056" s="8"/>
      <c r="I5056" s="8"/>
      <c r="J5056" s="8" t="s">
        <v>32436</v>
      </c>
      <c r="K5056" s="8" t="s">
        <v>14860</v>
      </c>
      <c r="L5056" s="8"/>
      <c r="M5056" s="8"/>
      <c r="N5056" s="12"/>
      <c r="O5056" s="12"/>
      <c r="P5056" s="13">
        <f>IFERROR(__xludf.DUMMYFUNCTION("VALUE(SUBSTITUTE((INDEX(SPLIT(A5056,"",""),1)),""."","","",1))"),56.014947)</f>
        <v>56.014947</v>
      </c>
      <c r="Q5056" s="13">
        <f>IFERROR(__xludf.DUMMYFUNCTION("VALUE(SUBSTITUTE((INDEX(SPLIT(A5056,"",""),2)),""."","","",1))"),92.784578)</f>
        <v>92.784578</v>
      </c>
      <c r="R5056" s="14" t="b">
        <f t="shared" si="1"/>
        <v>0</v>
      </c>
      <c r="S5056" s="14" t="str">
        <f t="shared" si="2"/>
        <v>56.014947,92.784578</v>
      </c>
      <c r="T5056" s="12"/>
    </row>
    <row r="5057">
      <c r="A5057" s="16" t="s">
        <v>29759</v>
      </c>
      <c r="B5057" s="16" t="s">
        <v>32437</v>
      </c>
      <c r="C5057" s="16" t="s">
        <v>32438</v>
      </c>
      <c r="D5057" s="16" t="s">
        <v>16</v>
      </c>
      <c r="E5057" s="17" t="s">
        <v>32439</v>
      </c>
      <c r="F5057" s="16" t="s">
        <v>26306</v>
      </c>
      <c r="G5057" s="16">
        <v>23.61</v>
      </c>
      <c r="H5057" s="16"/>
      <c r="I5057" s="16"/>
      <c r="J5057" s="16" t="s">
        <v>32440</v>
      </c>
      <c r="K5057" s="16" t="s">
        <v>32441</v>
      </c>
      <c r="L5057" s="16"/>
      <c r="M5057" s="25" t="s">
        <v>32442</v>
      </c>
      <c r="N5057" s="12"/>
      <c r="O5057" s="12"/>
      <c r="P5057" s="13">
        <f>IFERROR(__xludf.DUMMYFUNCTION("VALUE(SUBSTITUTE((INDEX(SPLIT(A5057,"",""),1)),""."","","",1))"),56.02936)</f>
        <v>56.02936</v>
      </c>
      <c r="Q5057" s="13">
        <f>IFERROR(__xludf.DUMMYFUNCTION("VALUE(SUBSTITUTE((INDEX(SPLIT(A5057,"",""),2)),""."","","",1))"),92.791037)</f>
        <v>92.791037</v>
      </c>
      <c r="R5057" s="14" t="b">
        <f t="shared" si="1"/>
        <v>0</v>
      </c>
      <c r="S5057" s="14" t="str">
        <f t="shared" si="2"/>
        <v>56.02936,92.791037</v>
      </c>
      <c r="T5057" s="12"/>
    </row>
    <row r="5058">
      <c r="A5058" s="8" t="s">
        <v>29766</v>
      </c>
      <c r="B5058" s="8" t="s">
        <v>32443</v>
      </c>
      <c r="C5058" s="8" t="s">
        <v>32444</v>
      </c>
      <c r="D5058" s="8" t="s">
        <v>16</v>
      </c>
      <c r="E5058" s="19" t="s">
        <v>32445</v>
      </c>
      <c r="F5058" s="8" t="s">
        <v>26306</v>
      </c>
      <c r="G5058" s="8">
        <v>23.61</v>
      </c>
      <c r="H5058" s="8"/>
      <c r="I5058" s="8"/>
      <c r="J5058" s="8" t="s">
        <v>32446</v>
      </c>
      <c r="K5058" s="8" t="s">
        <v>32447</v>
      </c>
      <c r="L5058" s="8"/>
      <c r="M5058" s="8"/>
      <c r="N5058" s="12"/>
      <c r="O5058" s="12"/>
      <c r="P5058" s="13">
        <f>IFERROR(__xludf.DUMMYFUNCTION("VALUE(SUBSTITUTE((INDEX(SPLIT(A5058,"",""),1)),""."","","",1))"),56.021915)</f>
        <v>56.021915</v>
      </c>
      <c r="Q5058" s="13">
        <f>IFERROR(__xludf.DUMMYFUNCTION("VALUE(SUBSTITUTE((INDEX(SPLIT(A5058,"",""),2)),""."","","",1))"),92.795744)</f>
        <v>92.795744</v>
      </c>
      <c r="R5058" s="14" t="b">
        <f t="shared" si="1"/>
        <v>0</v>
      </c>
      <c r="S5058" s="14" t="str">
        <f t="shared" si="2"/>
        <v>56.021915,92.795744</v>
      </c>
      <c r="T5058" s="12"/>
    </row>
    <row r="5059">
      <c r="A5059" s="22" t="s">
        <v>29772</v>
      </c>
      <c r="B5059" s="16" t="s">
        <v>32448</v>
      </c>
      <c r="C5059" s="16" t="s">
        <v>32449</v>
      </c>
      <c r="D5059" s="16" t="s">
        <v>16</v>
      </c>
      <c r="E5059" s="21" t="s">
        <v>32450</v>
      </c>
      <c r="F5059" s="22" t="s">
        <v>26306</v>
      </c>
      <c r="G5059" s="16">
        <v>23.61</v>
      </c>
      <c r="H5059" s="16"/>
      <c r="I5059" s="22"/>
      <c r="J5059" s="22" t="s">
        <v>32451</v>
      </c>
      <c r="K5059" s="22" t="s">
        <v>32452</v>
      </c>
      <c r="L5059" s="23" t="s">
        <v>32453</v>
      </c>
      <c r="M5059" s="22"/>
      <c r="N5059" s="12"/>
      <c r="O5059" s="12"/>
      <c r="P5059" s="13">
        <f>IFERROR(__xludf.DUMMYFUNCTION("VALUE(SUBSTITUTE((INDEX(SPLIT(A5059,"",""),1)),""."","","",1))"),56.018821)</f>
        <v>56.018821</v>
      </c>
      <c r="Q5059" s="13">
        <f>IFERROR(__xludf.DUMMYFUNCTION("VALUE(SUBSTITUTE((INDEX(SPLIT(A5059,"",""),2)),""."","","",1))"),92.797819)</f>
        <v>92.797819</v>
      </c>
      <c r="R5059" s="14" t="b">
        <f t="shared" si="1"/>
        <v>0</v>
      </c>
      <c r="S5059" s="14" t="str">
        <f t="shared" si="2"/>
        <v>56.018821,92.797819</v>
      </c>
      <c r="T5059" s="12"/>
    </row>
    <row r="5060">
      <c r="A5060" s="10" t="s">
        <v>29778</v>
      </c>
      <c r="B5060" s="8" t="s">
        <v>32454</v>
      </c>
      <c r="C5060" s="8" t="s">
        <v>32455</v>
      </c>
      <c r="D5060" s="8" t="s">
        <v>16</v>
      </c>
      <c r="E5060" s="9" t="s">
        <v>32456</v>
      </c>
      <c r="F5060" s="10" t="s">
        <v>26306</v>
      </c>
      <c r="G5060" s="8">
        <v>23.61</v>
      </c>
      <c r="H5060" s="8"/>
      <c r="I5060" s="10"/>
      <c r="J5060" s="10" t="s">
        <v>32457</v>
      </c>
      <c r="K5060" s="10" t="s">
        <v>32458</v>
      </c>
      <c r="L5060" s="11" t="s">
        <v>32459</v>
      </c>
      <c r="M5060" s="10"/>
      <c r="N5060" s="12"/>
      <c r="O5060" s="12"/>
      <c r="P5060" s="13">
        <f>IFERROR(__xludf.DUMMYFUNCTION("VALUE(SUBSTITUTE((INDEX(SPLIT(A5060,"",""),1)),""."","","",1))"),56.025879)</f>
        <v>56.025879</v>
      </c>
      <c r="Q5060" s="13">
        <f>IFERROR(__xludf.DUMMYFUNCTION("VALUE(SUBSTITUTE((INDEX(SPLIT(A5060,"",""),2)),""."","","",1))"),92.800317)</f>
        <v>92.800317</v>
      </c>
      <c r="R5060" s="14" t="b">
        <f t="shared" si="1"/>
        <v>0</v>
      </c>
      <c r="S5060" s="14" t="str">
        <f t="shared" si="2"/>
        <v>56.025879,92.800317</v>
      </c>
      <c r="T5060" s="12"/>
    </row>
    <row r="5061">
      <c r="A5061" s="22" t="s">
        <v>29778</v>
      </c>
      <c r="B5061" s="16" t="s">
        <v>32460</v>
      </c>
      <c r="C5061" s="16" t="s">
        <v>32461</v>
      </c>
      <c r="D5061" s="16" t="s">
        <v>16</v>
      </c>
      <c r="E5061" s="21" t="s">
        <v>32462</v>
      </c>
      <c r="F5061" s="22" t="s">
        <v>26306</v>
      </c>
      <c r="G5061" s="16">
        <v>23.61</v>
      </c>
      <c r="H5061" s="16"/>
      <c r="I5061" s="22"/>
      <c r="J5061" s="22" t="s">
        <v>32463</v>
      </c>
      <c r="K5061" s="22" t="s">
        <v>32464</v>
      </c>
      <c r="L5061" s="23" t="s">
        <v>32459</v>
      </c>
      <c r="M5061" s="22"/>
      <c r="N5061" s="12"/>
      <c r="O5061" s="12"/>
      <c r="P5061" s="13">
        <f>IFERROR(__xludf.DUMMYFUNCTION("VALUE(SUBSTITUTE((INDEX(SPLIT(A5061,"",""),1)),""."","","",1))"),56.025879)</f>
        <v>56.025879</v>
      </c>
      <c r="Q5061" s="13">
        <f>IFERROR(__xludf.DUMMYFUNCTION("VALUE(SUBSTITUTE((INDEX(SPLIT(A5061,"",""),2)),""."","","",1))"),92.800317)</f>
        <v>92.800317</v>
      </c>
      <c r="R5061" s="14" t="b">
        <f t="shared" si="1"/>
        <v>0</v>
      </c>
      <c r="S5061" s="14" t="str">
        <f t="shared" si="2"/>
        <v>56.025879,92.800317</v>
      </c>
      <c r="T5061" s="12"/>
    </row>
    <row r="5062">
      <c r="A5062" s="10" t="s">
        <v>29791</v>
      </c>
      <c r="B5062" s="8" t="s">
        <v>32465</v>
      </c>
      <c r="C5062" s="8" t="s">
        <v>32466</v>
      </c>
      <c r="D5062" s="8" t="s">
        <v>16</v>
      </c>
      <c r="E5062" s="9" t="s">
        <v>32467</v>
      </c>
      <c r="F5062" s="10" t="s">
        <v>26306</v>
      </c>
      <c r="G5062" s="8">
        <v>23.61</v>
      </c>
      <c r="H5062" s="8"/>
      <c r="I5062" s="10"/>
      <c r="J5062" s="10" t="s">
        <v>32468</v>
      </c>
      <c r="K5062" s="10" t="s">
        <v>32469</v>
      </c>
      <c r="L5062" s="11" t="s">
        <v>32470</v>
      </c>
      <c r="M5062" s="10"/>
      <c r="N5062" s="12"/>
      <c r="O5062" s="12"/>
      <c r="P5062" s="13">
        <f>IFERROR(__xludf.DUMMYFUNCTION("VALUE(SUBSTITUTE((INDEX(SPLIT(A5062,"",""),1)),""."","","",1))"),56.002083)</f>
        <v>56.002083</v>
      </c>
      <c r="Q5062" s="13">
        <f>IFERROR(__xludf.DUMMYFUNCTION("VALUE(SUBSTITUTE((INDEX(SPLIT(A5062,"",""),2)),""."","","",1))"),92.805904)</f>
        <v>92.805904</v>
      </c>
      <c r="R5062" s="14" t="b">
        <f t="shared" si="1"/>
        <v>0</v>
      </c>
      <c r="S5062" s="14" t="str">
        <f t="shared" si="2"/>
        <v>56.002083,92.805904</v>
      </c>
      <c r="T5062" s="12"/>
    </row>
    <row r="5063">
      <c r="A5063" s="16" t="s">
        <v>29798</v>
      </c>
      <c r="B5063" s="16" t="s">
        <v>32471</v>
      </c>
      <c r="C5063" s="16" t="s">
        <v>32472</v>
      </c>
      <c r="D5063" s="16" t="s">
        <v>16</v>
      </c>
      <c r="E5063" s="17" t="s">
        <v>32473</v>
      </c>
      <c r="F5063" s="16" t="s">
        <v>26306</v>
      </c>
      <c r="G5063" s="16">
        <v>23.61</v>
      </c>
      <c r="H5063" s="16"/>
      <c r="I5063" s="16"/>
      <c r="J5063" s="16" t="s">
        <v>32474</v>
      </c>
      <c r="K5063" s="16" t="s">
        <v>32475</v>
      </c>
      <c r="L5063" s="16"/>
      <c r="M5063" s="16"/>
      <c r="N5063" s="12"/>
      <c r="O5063" s="12"/>
      <c r="P5063" s="13">
        <f>IFERROR(__xludf.DUMMYFUNCTION("VALUE(SUBSTITUTE((INDEX(SPLIT(A5063,"",""),1)),""."","","",1))"),56.066645)</f>
        <v>56.066645</v>
      </c>
      <c r="Q5063" s="13">
        <f>IFERROR(__xludf.DUMMYFUNCTION("VALUE(SUBSTITUTE((INDEX(SPLIT(A5063,"",""),2)),""."","","",1))"),92.821373)</f>
        <v>92.821373</v>
      </c>
      <c r="R5063" s="14" t="b">
        <f t="shared" si="1"/>
        <v>0</v>
      </c>
      <c r="S5063" s="14" t="str">
        <f t="shared" si="2"/>
        <v>56.066645,92.821373</v>
      </c>
      <c r="T5063" s="12"/>
    </row>
    <row r="5064">
      <c r="A5064" s="8" t="s">
        <v>29798</v>
      </c>
      <c r="B5064" s="8" t="s">
        <v>32476</v>
      </c>
      <c r="C5064" s="8" t="s">
        <v>32477</v>
      </c>
      <c r="D5064" s="8" t="s">
        <v>16</v>
      </c>
      <c r="E5064" s="19" t="s">
        <v>32478</v>
      </c>
      <c r="F5064" s="8" t="s">
        <v>26306</v>
      </c>
      <c r="G5064" s="8">
        <v>23.61</v>
      </c>
      <c r="H5064" s="8"/>
      <c r="I5064" s="8"/>
      <c r="J5064" s="8" t="s">
        <v>32479</v>
      </c>
      <c r="K5064" s="8" t="s">
        <v>32480</v>
      </c>
      <c r="L5064" s="8"/>
      <c r="M5064" s="8"/>
      <c r="N5064" s="12"/>
      <c r="O5064" s="12"/>
      <c r="P5064" s="13">
        <f>IFERROR(__xludf.DUMMYFUNCTION("VALUE(SUBSTITUTE((INDEX(SPLIT(A5064,"",""),1)),""."","","",1))"),56.066645)</f>
        <v>56.066645</v>
      </c>
      <c r="Q5064" s="13">
        <f>IFERROR(__xludf.DUMMYFUNCTION("VALUE(SUBSTITUTE((INDEX(SPLIT(A5064,"",""),2)),""."","","",1))"),92.821373)</f>
        <v>92.821373</v>
      </c>
      <c r="R5064" s="14" t="b">
        <f t="shared" si="1"/>
        <v>0</v>
      </c>
      <c r="S5064" s="14" t="str">
        <f t="shared" si="2"/>
        <v>56.066645,92.821373</v>
      </c>
      <c r="T5064" s="12"/>
    </row>
    <row r="5065">
      <c r="A5065" s="22" t="s">
        <v>29807</v>
      </c>
      <c r="B5065" s="16" t="s">
        <v>32481</v>
      </c>
      <c r="C5065" s="16" t="s">
        <v>32482</v>
      </c>
      <c r="D5065" s="16" t="s">
        <v>16</v>
      </c>
      <c r="E5065" s="21" t="s">
        <v>32483</v>
      </c>
      <c r="F5065" s="22" t="s">
        <v>26306</v>
      </c>
      <c r="G5065" s="16">
        <v>23.61</v>
      </c>
      <c r="H5065" s="16"/>
      <c r="I5065" s="22"/>
      <c r="J5065" s="22" t="s">
        <v>32484</v>
      </c>
      <c r="K5065" s="22" t="s">
        <v>32485</v>
      </c>
      <c r="L5065" s="23" t="s">
        <v>32486</v>
      </c>
      <c r="M5065" s="23" t="s">
        <v>32487</v>
      </c>
      <c r="N5065" s="12"/>
      <c r="O5065" s="12"/>
      <c r="P5065" s="13">
        <f>IFERROR(__xludf.DUMMYFUNCTION("VALUE(SUBSTITUTE((INDEX(SPLIT(A5065,"",""),1)),""."","","",1))"),56.012038)</f>
        <v>56.012038</v>
      </c>
      <c r="Q5065" s="13">
        <f>IFERROR(__xludf.DUMMYFUNCTION("VALUE(SUBSTITUTE((INDEX(SPLIT(A5065,"",""),2)),""."","","",1))"),92.823125)</f>
        <v>92.823125</v>
      </c>
      <c r="R5065" s="14" t="b">
        <f t="shared" si="1"/>
        <v>0</v>
      </c>
      <c r="S5065" s="14" t="str">
        <f t="shared" si="2"/>
        <v>56.012038,92.823125</v>
      </c>
      <c r="T5065" s="12"/>
    </row>
    <row r="5066">
      <c r="A5066" s="8" t="s">
        <v>29813</v>
      </c>
      <c r="B5066" s="8" t="s">
        <v>32488</v>
      </c>
      <c r="C5066" s="8" t="s">
        <v>32489</v>
      </c>
      <c r="D5066" s="8" t="s">
        <v>16</v>
      </c>
      <c r="E5066" s="19" t="s">
        <v>32490</v>
      </c>
      <c r="F5066" s="8" t="s">
        <v>26306</v>
      </c>
      <c r="G5066" s="8">
        <v>23.61</v>
      </c>
      <c r="H5066" s="8"/>
      <c r="I5066" s="8"/>
      <c r="J5066" s="8" t="s">
        <v>32491</v>
      </c>
      <c r="K5066" s="8" t="s">
        <v>32492</v>
      </c>
      <c r="L5066" s="8"/>
      <c r="M5066" s="8"/>
      <c r="N5066" s="12"/>
      <c r="O5066" s="12"/>
      <c r="P5066" s="13">
        <f>IFERROR(__xludf.DUMMYFUNCTION("VALUE(SUBSTITUTE((INDEX(SPLIT(A5066,"",""),1)),""."","","",1))"),56.039097)</f>
        <v>56.039097</v>
      </c>
      <c r="Q5066" s="13">
        <f>IFERROR(__xludf.DUMMYFUNCTION("VALUE(SUBSTITUTE((INDEX(SPLIT(A5066,"",""),2)),""."","","",1))"),92.83191)</f>
        <v>92.83191</v>
      </c>
      <c r="R5066" s="14" t="b">
        <f t="shared" si="1"/>
        <v>0</v>
      </c>
      <c r="S5066" s="14" t="str">
        <f t="shared" si="2"/>
        <v>56.039097,92.83191</v>
      </c>
      <c r="T5066" s="12"/>
    </row>
    <row r="5067">
      <c r="A5067" s="16" t="s">
        <v>29818</v>
      </c>
      <c r="B5067" s="16" t="s">
        <v>32493</v>
      </c>
      <c r="C5067" s="16" t="s">
        <v>32494</v>
      </c>
      <c r="D5067" s="16" t="s">
        <v>16</v>
      </c>
      <c r="E5067" s="17" t="s">
        <v>32495</v>
      </c>
      <c r="F5067" s="16" t="s">
        <v>26306</v>
      </c>
      <c r="G5067" s="16">
        <v>23.61</v>
      </c>
      <c r="H5067" s="16"/>
      <c r="I5067" s="16"/>
      <c r="J5067" s="16" t="s">
        <v>32496</v>
      </c>
      <c r="K5067" s="16" t="s">
        <v>32497</v>
      </c>
      <c r="L5067" s="16"/>
      <c r="M5067" s="25" t="s">
        <v>32498</v>
      </c>
      <c r="N5067" s="12"/>
      <c r="O5067" s="12"/>
      <c r="P5067" s="13">
        <f>IFERROR(__xludf.DUMMYFUNCTION("VALUE(SUBSTITUTE((INDEX(SPLIT(A5067,"",""),1)),""."","","",1))"),56.02191)</f>
        <v>56.02191</v>
      </c>
      <c r="Q5067" s="13">
        <f>IFERROR(__xludf.DUMMYFUNCTION("VALUE(SUBSTITUTE((INDEX(SPLIT(A5067,"",""),2)),""."","","",1))"),92.839582)</f>
        <v>92.839582</v>
      </c>
      <c r="R5067" s="14" t="b">
        <f t="shared" si="1"/>
        <v>0</v>
      </c>
      <c r="S5067" s="14" t="str">
        <f t="shared" si="2"/>
        <v>56.02191,92.839582</v>
      </c>
      <c r="T5067" s="12"/>
    </row>
    <row r="5068">
      <c r="A5068" s="10" t="s">
        <v>29825</v>
      </c>
      <c r="B5068" s="8" t="s">
        <v>16946</v>
      </c>
      <c r="C5068" s="8" t="s">
        <v>16947</v>
      </c>
      <c r="D5068" s="8" t="s">
        <v>16</v>
      </c>
      <c r="E5068" s="9" t="s">
        <v>32499</v>
      </c>
      <c r="F5068" s="10" t="s">
        <v>26306</v>
      </c>
      <c r="G5068" s="8">
        <v>23.61</v>
      </c>
      <c r="H5068" s="8"/>
      <c r="I5068" s="10"/>
      <c r="J5068" s="10" t="s">
        <v>32500</v>
      </c>
      <c r="K5068" s="10" t="s">
        <v>32452</v>
      </c>
      <c r="L5068" s="11" t="s">
        <v>27335</v>
      </c>
      <c r="M5068" s="10"/>
      <c r="N5068" s="12"/>
      <c r="O5068" s="12"/>
      <c r="P5068" s="13">
        <f>IFERROR(__xludf.DUMMYFUNCTION("VALUE(SUBSTITUTE((INDEX(SPLIT(A5068,"",""),1)),""."","","",1))"),56.021729)</f>
        <v>56.021729</v>
      </c>
      <c r="Q5068" s="13">
        <f>IFERROR(__xludf.DUMMYFUNCTION("VALUE(SUBSTITUTE((INDEX(SPLIT(A5068,"",""),2)),""."","","",1))"),92.841747)</f>
        <v>92.841747</v>
      </c>
      <c r="R5068" s="14" t="b">
        <f t="shared" si="1"/>
        <v>0</v>
      </c>
      <c r="S5068" s="14" t="str">
        <f t="shared" si="2"/>
        <v>56.021729,92.841747</v>
      </c>
      <c r="T5068" s="12"/>
    </row>
    <row r="5069">
      <c r="A5069" s="16" t="s">
        <v>29832</v>
      </c>
      <c r="B5069" s="16" t="s">
        <v>32501</v>
      </c>
      <c r="C5069" s="16" t="s">
        <v>32502</v>
      </c>
      <c r="D5069" s="16" t="s">
        <v>16</v>
      </c>
      <c r="E5069" s="17" t="s">
        <v>32503</v>
      </c>
      <c r="F5069" s="16" t="s">
        <v>26306</v>
      </c>
      <c r="G5069" s="16">
        <v>23.61</v>
      </c>
      <c r="H5069" s="16"/>
      <c r="I5069" s="16"/>
      <c r="J5069" s="16" t="s">
        <v>32504</v>
      </c>
      <c r="K5069" s="16" t="s">
        <v>32505</v>
      </c>
      <c r="L5069" s="16"/>
      <c r="M5069" s="25" t="s">
        <v>32506</v>
      </c>
      <c r="N5069" s="12"/>
      <c r="O5069" s="12"/>
      <c r="P5069" s="13">
        <f>IFERROR(__xludf.DUMMYFUNCTION("VALUE(SUBSTITUTE((INDEX(SPLIT(A5069,"",""),1)),""."","","",1))"),56.005933)</f>
        <v>56.005933</v>
      </c>
      <c r="Q5069" s="13">
        <f>IFERROR(__xludf.DUMMYFUNCTION("VALUE(SUBSTITUTE((INDEX(SPLIT(A5069,"",""),2)),""."","","",1))"),92.841909)</f>
        <v>92.841909</v>
      </c>
      <c r="R5069" s="14" t="b">
        <f t="shared" si="1"/>
        <v>0</v>
      </c>
      <c r="S5069" s="14" t="str">
        <f t="shared" si="2"/>
        <v>56.005933,92.841909</v>
      </c>
      <c r="T5069" s="12"/>
    </row>
    <row r="5070">
      <c r="A5070" s="8" t="s">
        <v>29838</v>
      </c>
      <c r="B5070" s="8" t="s">
        <v>32507</v>
      </c>
      <c r="C5070" s="8" t="s">
        <v>32507</v>
      </c>
      <c r="D5070" s="8" t="s">
        <v>16</v>
      </c>
      <c r="E5070" s="19" t="s">
        <v>32508</v>
      </c>
      <c r="F5070" s="8" t="s">
        <v>26306</v>
      </c>
      <c r="G5070" s="8">
        <v>23.61</v>
      </c>
      <c r="H5070" s="8"/>
      <c r="I5070" s="8"/>
      <c r="J5070" s="8" t="s">
        <v>32509</v>
      </c>
      <c r="K5070" s="8" t="s">
        <v>32510</v>
      </c>
      <c r="L5070" s="8"/>
      <c r="M5070" s="8"/>
      <c r="N5070" s="12"/>
      <c r="O5070" s="12"/>
      <c r="P5070" s="13">
        <f>IFERROR(__xludf.DUMMYFUNCTION("VALUE(SUBSTITUTE((INDEX(SPLIT(A5070,"",""),1)),""."","","",1))"),56.068283)</f>
        <v>56.068283</v>
      </c>
      <c r="Q5070" s="13">
        <f>IFERROR(__xludf.DUMMYFUNCTION("VALUE(SUBSTITUTE((INDEX(SPLIT(A5070,"",""),2)),""."","","",1))"),92.844667)</f>
        <v>92.844667</v>
      </c>
      <c r="R5070" s="14" t="b">
        <f t="shared" si="1"/>
        <v>0</v>
      </c>
      <c r="S5070" s="14" t="str">
        <f t="shared" si="2"/>
        <v>56.068283,92.844667</v>
      </c>
      <c r="T5070" s="12"/>
    </row>
    <row r="5071">
      <c r="A5071" s="22" t="s">
        <v>29845</v>
      </c>
      <c r="B5071" s="16" t="s">
        <v>32511</v>
      </c>
      <c r="C5071" s="16" t="s">
        <v>32512</v>
      </c>
      <c r="D5071" s="16" t="s">
        <v>16</v>
      </c>
      <c r="E5071" s="21" t="s">
        <v>32513</v>
      </c>
      <c r="F5071" s="22" t="s">
        <v>26306</v>
      </c>
      <c r="G5071" s="16">
        <v>23.61</v>
      </c>
      <c r="H5071" s="16"/>
      <c r="I5071" s="22"/>
      <c r="J5071" s="22" t="s">
        <v>32514</v>
      </c>
      <c r="K5071" s="22" t="s">
        <v>32515</v>
      </c>
      <c r="L5071" s="23" t="s">
        <v>32516</v>
      </c>
      <c r="M5071" s="22"/>
      <c r="N5071" s="12"/>
      <c r="O5071" s="12"/>
      <c r="P5071" s="13">
        <f>IFERROR(__xludf.DUMMYFUNCTION("VALUE(SUBSTITUTE((INDEX(SPLIT(A5071,"",""),1)),""."","","",1))"),55.986631)</f>
        <v>55.986631</v>
      </c>
      <c r="Q5071" s="13">
        <f>IFERROR(__xludf.DUMMYFUNCTION("VALUE(SUBSTITUTE((INDEX(SPLIT(A5071,"",""),2)),""."","","",1))"),92.845538)</f>
        <v>92.845538</v>
      </c>
      <c r="R5071" s="14" t="b">
        <f t="shared" si="1"/>
        <v>0</v>
      </c>
      <c r="S5071" s="14" t="str">
        <f t="shared" si="2"/>
        <v>55.986631,92.845538</v>
      </c>
      <c r="T5071" s="12"/>
    </row>
    <row r="5072">
      <c r="A5072" s="10" t="s">
        <v>29853</v>
      </c>
      <c r="B5072" s="8" t="s">
        <v>32517</v>
      </c>
      <c r="C5072" s="8" t="s">
        <v>32518</v>
      </c>
      <c r="D5072" s="8" t="s">
        <v>16</v>
      </c>
      <c r="E5072" s="9" t="s">
        <v>32519</v>
      </c>
      <c r="F5072" s="10" t="s">
        <v>26306</v>
      </c>
      <c r="G5072" s="8">
        <v>23.61</v>
      </c>
      <c r="H5072" s="8"/>
      <c r="I5072" s="10"/>
      <c r="J5072" s="10" t="s">
        <v>32520</v>
      </c>
      <c r="K5072" s="10" t="s">
        <v>32521</v>
      </c>
      <c r="L5072" s="11" t="s">
        <v>32522</v>
      </c>
      <c r="M5072" s="10"/>
      <c r="N5072" s="12"/>
      <c r="O5072" s="12"/>
      <c r="P5072" s="13">
        <f>IFERROR(__xludf.DUMMYFUNCTION("VALUE(SUBSTITUTE((INDEX(SPLIT(A5072,"",""),1)),""."","","",1))"),55.979248)</f>
        <v>55.979248</v>
      </c>
      <c r="Q5072" s="13">
        <f>IFERROR(__xludf.DUMMYFUNCTION("VALUE(SUBSTITUTE((INDEX(SPLIT(A5072,"",""),2)),""."","","",1))"),92.84729)</f>
        <v>92.84729</v>
      </c>
      <c r="R5072" s="14" t="b">
        <f t="shared" si="1"/>
        <v>0</v>
      </c>
      <c r="S5072" s="14" t="str">
        <f t="shared" si="2"/>
        <v>55.979248,92.84729</v>
      </c>
      <c r="T5072" s="12"/>
    </row>
    <row r="5073">
      <c r="A5073" s="22" t="s">
        <v>29860</v>
      </c>
      <c r="B5073" s="16" t="s">
        <v>32523</v>
      </c>
      <c r="C5073" s="16" t="s">
        <v>32524</v>
      </c>
      <c r="D5073" s="16" t="s">
        <v>16</v>
      </c>
      <c r="E5073" s="21" t="s">
        <v>32525</v>
      </c>
      <c r="F5073" s="22" t="s">
        <v>26306</v>
      </c>
      <c r="G5073" s="16">
        <v>23.61</v>
      </c>
      <c r="H5073" s="16"/>
      <c r="I5073" s="22"/>
      <c r="J5073" s="22" t="s">
        <v>32526</v>
      </c>
      <c r="K5073" s="22" t="s">
        <v>32527</v>
      </c>
      <c r="L5073" s="23" t="s">
        <v>32528</v>
      </c>
      <c r="M5073" s="22"/>
      <c r="N5073" s="12"/>
      <c r="O5073" s="12"/>
      <c r="P5073" s="13">
        <f>IFERROR(__xludf.DUMMYFUNCTION("VALUE(SUBSTITUTE((INDEX(SPLIT(A5073,"",""),1)),""."","","",1))"),56.010569)</f>
        <v>56.010569</v>
      </c>
      <c r="Q5073" s="13">
        <f>IFERROR(__xludf.DUMMYFUNCTION("VALUE(SUBSTITUTE((INDEX(SPLIT(A5073,"",""),2)),""."","","",1))"),92.852572)</f>
        <v>92.852572</v>
      </c>
      <c r="R5073" s="14" t="b">
        <f t="shared" si="1"/>
        <v>0</v>
      </c>
      <c r="S5073" s="14" t="str">
        <f t="shared" si="2"/>
        <v>56.010569,92.852572</v>
      </c>
      <c r="T5073" s="12"/>
    </row>
    <row r="5074">
      <c r="A5074" s="8" t="s">
        <v>29860</v>
      </c>
      <c r="B5074" s="8" t="s">
        <v>32529</v>
      </c>
      <c r="C5074" s="8" t="s">
        <v>32530</v>
      </c>
      <c r="D5074" s="8" t="s">
        <v>16</v>
      </c>
      <c r="E5074" s="19" t="s">
        <v>32531</v>
      </c>
      <c r="F5074" s="8" t="s">
        <v>26306</v>
      </c>
      <c r="G5074" s="8">
        <v>23.61</v>
      </c>
      <c r="H5074" s="8"/>
      <c r="I5074" s="8"/>
      <c r="J5074" s="8" t="s">
        <v>32532</v>
      </c>
      <c r="K5074" s="8" t="s">
        <v>32533</v>
      </c>
      <c r="L5074" s="8"/>
      <c r="M5074" s="8"/>
      <c r="N5074" s="12"/>
      <c r="O5074" s="12"/>
      <c r="P5074" s="13">
        <f>IFERROR(__xludf.DUMMYFUNCTION("VALUE(SUBSTITUTE((INDEX(SPLIT(A5074,"",""),1)),""."","","",1))"),56.010569)</f>
        <v>56.010569</v>
      </c>
      <c r="Q5074" s="13">
        <f>IFERROR(__xludf.DUMMYFUNCTION("VALUE(SUBSTITUTE((INDEX(SPLIT(A5074,"",""),2)),""."","","",1))"),92.852572)</f>
        <v>92.852572</v>
      </c>
      <c r="R5074" s="14" t="b">
        <f t="shared" si="1"/>
        <v>0</v>
      </c>
      <c r="S5074" s="14" t="str">
        <f t="shared" si="2"/>
        <v>56.010569,92.852572</v>
      </c>
      <c r="T5074" s="12"/>
    </row>
    <row r="5075">
      <c r="A5075" s="22" t="s">
        <v>29860</v>
      </c>
      <c r="B5075" s="16" t="s">
        <v>32534</v>
      </c>
      <c r="C5075" s="16" t="s">
        <v>32535</v>
      </c>
      <c r="D5075" s="16" t="s">
        <v>16</v>
      </c>
      <c r="E5075" s="21" t="s">
        <v>32536</v>
      </c>
      <c r="F5075" s="22" t="s">
        <v>26306</v>
      </c>
      <c r="G5075" s="16">
        <v>23.61</v>
      </c>
      <c r="H5075" s="16"/>
      <c r="I5075" s="22"/>
      <c r="J5075" s="22" t="s">
        <v>32537</v>
      </c>
      <c r="K5075" s="22" t="s">
        <v>32538</v>
      </c>
      <c r="L5075" s="23" t="s">
        <v>32539</v>
      </c>
      <c r="M5075" s="22"/>
      <c r="N5075" s="12"/>
      <c r="O5075" s="12"/>
      <c r="P5075" s="13">
        <f>IFERROR(__xludf.DUMMYFUNCTION("VALUE(SUBSTITUTE((INDEX(SPLIT(A5075,"",""),1)),""."","","",1))"),56.010569)</f>
        <v>56.010569</v>
      </c>
      <c r="Q5075" s="13">
        <f>IFERROR(__xludf.DUMMYFUNCTION("VALUE(SUBSTITUTE((INDEX(SPLIT(A5075,"",""),2)),""."","","",1))"),92.852572)</f>
        <v>92.852572</v>
      </c>
      <c r="R5075" s="14" t="b">
        <f t="shared" si="1"/>
        <v>0</v>
      </c>
      <c r="S5075" s="14" t="str">
        <f t="shared" si="2"/>
        <v>56.010569,92.852572</v>
      </c>
      <c r="T5075" s="12"/>
    </row>
    <row r="5076">
      <c r="A5076" s="8" t="s">
        <v>29860</v>
      </c>
      <c r="B5076" s="8" t="s">
        <v>8367</v>
      </c>
      <c r="C5076" s="8" t="s">
        <v>8368</v>
      </c>
      <c r="D5076" s="8" t="s">
        <v>16</v>
      </c>
      <c r="E5076" s="19" t="s">
        <v>32540</v>
      </c>
      <c r="F5076" s="8" t="s">
        <v>26306</v>
      </c>
      <c r="G5076" s="8">
        <v>23.61</v>
      </c>
      <c r="H5076" s="8"/>
      <c r="I5076" s="8"/>
      <c r="J5076" s="8" t="s">
        <v>32541</v>
      </c>
      <c r="K5076" s="8" t="s">
        <v>32542</v>
      </c>
      <c r="L5076" s="8"/>
      <c r="M5076" s="24" t="s">
        <v>32543</v>
      </c>
      <c r="N5076" s="12"/>
      <c r="O5076" s="12"/>
      <c r="P5076" s="13">
        <f>IFERROR(__xludf.DUMMYFUNCTION("VALUE(SUBSTITUTE((INDEX(SPLIT(A5076,"",""),1)),""."","","",1))"),56.010569)</f>
        <v>56.010569</v>
      </c>
      <c r="Q5076" s="13">
        <f>IFERROR(__xludf.DUMMYFUNCTION("VALUE(SUBSTITUTE((INDEX(SPLIT(A5076,"",""),2)),""."","","",1))"),92.852572)</f>
        <v>92.852572</v>
      </c>
      <c r="R5076" s="14" t="b">
        <f t="shared" si="1"/>
        <v>0</v>
      </c>
      <c r="S5076" s="14" t="str">
        <f t="shared" si="2"/>
        <v>56.010569,92.852572</v>
      </c>
      <c r="T5076" s="12"/>
    </row>
    <row r="5077">
      <c r="A5077" s="16" t="s">
        <v>29885</v>
      </c>
      <c r="B5077" s="16" t="s">
        <v>15879</v>
      </c>
      <c r="C5077" s="16" t="s">
        <v>15880</v>
      </c>
      <c r="D5077" s="16" t="s">
        <v>16</v>
      </c>
      <c r="E5077" s="17" t="s">
        <v>32544</v>
      </c>
      <c r="F5077" s="16" t="s">
        <v>26306</v>
      </c>
      <c r="G5077" s="16">
        <v>23.61</v>
      </c>
      <c r="H5077" s="16"/>
      <c r="I5077" s="16"/>
      <c r="J5077" s="16" t="s">
        <v>32545</v>
      </c>
      <c r="K5077" s="16" t="s">
        <v>32546</v>
      </c>
      <c r="L5077" s="16"/>
      <c r="M5077" s="16"/>
      <c r="N5077" s="12"/>
      <c r="O5077" s="12"/>
      <c r="P5077" s="13">
        <f>IFERROR(__xludf.DUMMYFUNCTION("VALUE(SUBSTITUTE((INDEX(SPLIT(A5077,"",""),1)),""."","","",1))"),55.979828)</f>
        <v>55.979828</v>
      </c>
      <c r="Q5077" s="13">
        <f>IFERROR(__xludf.DUMMYFUNCTION("VALUE(SUBSTITUTE((INDEX(SPLIT(A5077,"",""),2)),""."","","",1))"),92.85603)</f>
        <v>92.85603</v>
      </c>
      <c r="R5077" s="14" t="b">
        <f t="shared" si="1"/>
        <v>0</v>
      </c>
      <c r="S5077" s="14" t="str">
        <f t="shared" si="2"/>
        <v>55.979828,92.85603</v>
      </c>
      <c r="T5077" s="12"/>
    </row>
    <row r="5078">
      <c r="A5078" s="10" t="s">
        <v>29891</v>
      </c>
      <c r="B5078" s="8" t="s">
        <v>32547</v>
      </c>
      <c r="C5078" s="8" t="s">
        <v>32548</v>
      </c>
      <c r="D5078" s="8" t="s">
        <v>16</v>
      </c>
      <c r="E5078" s="9" t="s">
        <v>32549</v>
      </c>
      <c r="F5078" s="10" t="s">
        <v>26306</v>
      </c>
      <c r="G5078" s="8">
        <v>23.61</v>
      </c>
      <c r="H5078" s="8"/>
      <c r="I5078" s="10"/>
      <c r="J5078" s="10" t="s">
        <v>32550</v>
      </c>
      <c r="K5078" s="10" t="s">
        <v>32551</v>
      </c>
      <c r="L5078" s="11" t="s">
        <v>32552</v>
      </c>
      <c r="M5078" s="10"/>
      <c r="N5078" s="12"/>
      <c r="O5078" s="12"/>
      <c r="P5078" s="13">
        <f>IFERROR(__xludf.DUMMYFUNCTION("VALUE(SUBSTITUTE((INDEX(SPLIT(A5078,"",""),1)),""."","","",1))"),56.007952)</f>
        <v>56.007952</v>
      </c>
      <c r="Q5078" s="13">
        <f>IFERROR(__xludf.DUMMYFUNCTION("VALUE(SUBSTITUTE((INDEX(SPLIT(A5078,"",""),2)),""."","","",1))"),92.860171)</f>
        <v>92.860171</v>
      </c>
      <c r="R5078" s="14" t="b">
        <f t="shared" si="1"/>
        <v>0</v>
      </c>
      <c r="S5078" s="14" t="str">
        <f t="shared" si="2"/>
        <v>56.007952,92.860171</v>
      </c>
      <c r="T5078" s="12"/>
    </row>
    <row r="5079">
      <c r="A5079" s="22" t="s">
        <v>29898</v>
      </c>
      <c r="B5079" s="16" t="s">
        <v>32553</v>
      </c>
      <c r="C5079" s="16" t="s">
        <v>32554</v>
      </c>
      <c r="D5079" s="16" t="s">
        <v>16</v>
      </c>
      <c r="E5079" s="21" t="s">
        <v>32555</v>
      </c>
      <c r="F5079" s="22" t="s">
        <v>26306</v>
      </c>
      <c r="G5079" s="16">
        <v>23.61</v>
      </c>
      <c r="H5079" s="16"/>
      <c r="I5079" s="22"/>
      <c r="J5079" s="22" t="s">
        <v>32556</v>
      </c>
      <c r="K5079" s="22" t="s">
        <v>32557</v>
      </c>
      <c r="L5079" s="23" t="s">
        <v>32558</v>
      </c>
      <c r="M5079" s="22"/>
      <c r="N5079" s="12"/>
      <c r="O5079" s="12"/>
      <c r="P5079" s="13">
        <f>IFERROR(__xludf.DUMMYFUNCTION("VALUE(SUBSTITUTE((INDEX(SPLIT(A5079,"",""),1)),""."","","",1))"),56.015153)</f>
        <v>56.015153</v>
      </c>
      <c r="Q5079" s="13">
        <f>IFERROR(__xludf.DUMMYFUNCTION("VALUE(SUBSTITUTE((INDEX(SPLIT(A5079,"",""),2)),""."","","",1))"),92.862705)</f>
        <v>92.862705</v>
      </c>
      <c r="R5079" s="14" t="b">
        <f t="shared" si="1"/>
        <v>0</v>
      </c>
      <c r="S5079" s="14" t="str">
        <f t="shared" si="2"/>
        <v>56.015153,92.862705</v>
      </c>
      <c r="T5079" s="12"/>
    </row>
    <row r="5080">
      <c r="A5080" s="10" t="s">
        <v>29905</v>
      </c>
      <c r="B5080" s="8" t="s">
        <v>32559</v>
      </c>
      <c r="C5080" s="8" t="s">
        <v>32560</v>
      </c>
      <c r="D5080" s="8" t="s">
        <v>16</v>
      </c>
      <c r="E5080" s="9" t="s">
        <v>32561</v>
      </c>
      <c r="F5080" s="10" t="s">
        <v>26306</v>
      </c>
      <c r="G5080" s="8">
        <v>23.61</v>
      </c>
      <c r="H5080" s="8"/>
      <c r="I5080" s="10"/>
      <c r="J5080" s="10" t="s">
        <v>32562</v>
      </c>
      <c r="K5080" s="10" t="s">
        <v>32563</v>
      </c>
      <c r="L5080" s="11" t="s">
        <v>32564</v>
      </c>
      <c r="M5080" s="11" t="s">
        <v>32565</v>
      </c>
      <c r="N5080" s="12"/>
      <c r="O5080" s="12"/>
      <c r="P5080" s="13">
        <f>IFERROR(__xludf.DUMMYFUNCTION("VALUE(SUBSTITUTE((INDEX(SPLIT(A5080,"",""),1)),""."","","",1))"),55.978266)</f>
        <v>55.978266</v>
      </c>
      <c r="Q5080" s="13">
        <f>IFERROR(__xludf.DUMMYFUNCTION("VALUE(SUBSTITUTE((INDEX(SPLIT(A5080,"",""),2)),""."","","",1))"),92.877168)</f>
        <v>92.877168</v>
      </c>
      <c r="R5080" s="14" t="b">
        <f t="shared" si="1"/>
        <v>0</v>
      </c>
      <c r="S5080" s="14" t="str">
        <f t="shared" si="2"/>
        <v>55.978266,92.877168</v>
      </c>
      <c r="T5080" s="12"/>
    </row>
    <row r="5081">
      <c r="A5081" s="22" t="s">
        <v>29913</v>
      </c>
      <c r="B5081" s="16" t="s">
        <v>32566</v>
      </c>
      <c r="C5081" s="16" t="s">
        <v>32567</v>
      </c>
      <c r="D5081" s="16" t="s">
        <v>16</v>
      </c>
      <c r="E5081" s="21" t="s">
        <v>32568</v>
      </c>
      <c r="F5081" s="22" t="s">
        <v>26306</v>
      </c>
      <c r="G5081" s="16">
        <v>23.61</v>
      </c>
      <c r="H5081" s="16"/>
      <c r="I5081" s="28" t="s">
        <v>32569</v>
      </c>
      <c r="J5081" s="22" t="s">
        <v>32570</v>
      </c>
      <c r="K5081" s="22" t="s">
        <v>32571</v>
      </c>
      <c r="L5081" s="23" t="s">
        <v>32572</v>
      </c>
      <c r="M5081" s="23" t="s">
        <v>32573</v>
      </c>
      <c r="N5081" s="12"/>
      <c r="O5081" s="12"/>
      <c r="P5081" s="13">
        <f>IFERROR(__xludf.DUMMYFUNCTION("VALUE(SUBSTITUTE((INDEX(SPLIT(A5081,"",""),1)),""."","","",1))"),55.970277)</f>
        <v>55.970277</v>
      </c>
      <c r="Q5081" s="13">
        <f>IFERROR(__xludf.DUMMYFUNCTION("VALUE(SUBSTITUTE((INDEX(SPLIT(A5081,"",""),2)),""."","","",1))"),92.884435)</f>
        <v>92.884435</v>
      </c>
      <c r="R5081" s="14" t="b">
        <f t="shared" si="1"/>
        <v>0</v>
      </c>
      <c r="S5081" s="14" t="str">
        <f t="shared" si="2"/>
        <v>55.970277,92.884435</v>
      </c>
      <c r="T5081" s="12"/>
    </row>
    <row r="5082">
      <c r="A5082" s="8" t="s">
        <v>29919</v>
      </c>
      <c r="B5082" s="8" t="s">
        <v>32574</v>
      </c>
      <c r="C5082" s="8" t="s">
        <v>32575</v>
      </c>
      <c r="D5082" s="8" t="s">
        <v>16</v>
      </c>
      <c r="E5082" s="19" t="s">
        <v>32576</v>
      </c>
      <c r="F5082" s="8" t="s">
        <v>26306</v>
      </c>
      <c r="G5082" s="8">
        <v>23.61</v>
      </c>
      <c r="H5082" s="8"/>
      <c r="I5082" s="8"/>
      <c r="J5082" s="8" t="s">
        <v>32577</v>
      </c>
      <c r="K5082" s="8" t="s">
        <v>32578</v>
      </c>
      <c r="L5082" s="8"/>
      <c r="M5082" s="24" t="s">
        <v>32579</v>
      </c>
      <c r="N5082" s="12"/>
      <c r="O5082" s="12"/>
      <c r="P5082" s="13">
        <f>IFERROR(__xludf.DUMMYFUNCTION("VALUE(SUBSTITUTE((INDEX(SPLIT(A5082,"",""),1)),""."","","",1))"),56.021709)</f>
        <v>56.021709</v>
      </c>
      <c r="Q5082" s="13">
        <f>IFERROR(__xludf.DUMMYFUNCTION("VALUE(SUBSTITUTE((INDEX(SPLIT(A5082,"",""),2)),""."","","",1))"),92.888118)</f>
        <v>92.888118</v>
      </c>
      <c r="R5082" s="14" t="b">
        <f t="shared" si="1"/>
        <v>0</v>
      </c>
      <c r="S5082" s="14" t="str">
        <f t="shared" si="2"/>
        <v>56.021709,92.888118</v>
      </c>
      <c r="T5082" s="12"/>
    </row>
    <row r="5083">
      <c r="A5083" s="16" t="s">
        <v>29927</v>
      </c>
      <c r="B5083" s="16" t="s">
        <v>32580</v>
      </c>
      <c r="C5083" s="16" t="s">
        <v>32581</v>
      </c>
      <c r="D5083" s="16" t="s">
        <v>16</v>
      </c>
      <c r="E5083" s="17" t="s">
        <v>32582</v>
      </c>
      <c r="F5083" s="16" t="s">
        <v>26306</v>
      </c>
      <c r="G5083" s="16">
        <v>23.61</v>
      </c>
      <c r="H5083" s="16"/>
      <c r="I5083" s="16"/>
      <c r="J5083" s="16" t="s">
        <v>32583</v>
      </c>
      <c r="K5083" s="16" t="s">
        <v>32584</v>
      </c>
      <c r="L5083" s="16"/>
      <c r="M5083" s="25" t="s">
        <v>32585</v>
      </c>
      <c r="N5083" s="12"/>
      <c r="O5083" s="12"/>
      <c r="P5083" s="13">
        <f>IFERROR(__xludf.DUMMYFUNCTION("VALUE(SUBSTITUTE((INDEX(SPLIT(A5083,"",""),1)),""."","","",1))"),56.063585)</f>
        <v>56.063585</v>
      </c>
      <c r="Q5083" s="13">
        <f>IFERROR(__xludf.DUMMYFUNCTION("VALUE(SUBSTITUTE((INDEX(SPLIT(A5083,"",""),2)),""."","","",1))"),92.895942)</f>
        <v>92.895942</v>
      </c>
      <c r="R5083" s="14" t="b">
        <f t="shared" si="1"/>
        <v>0</v>
      </c>
      <c r="S5083" s="14" t="str">
        <f t="shared" si="2"/>
        <v>56.063585,92.895942</v>
      </c>
      <c r="T5083" s="12"/>
    </row>
    <row r="5084">
      <c r="A5084" s="10" t="s">
        <v>29934</v>
      </c>
      <c r="B5084" s="8" t="s">
        <v>32586</v>
      </c>
      <c r="C5084" s="8" t="s">
        <v>32587</v>
      </c>
      <c r="D5084" s="8" t="s">
        <v>16</v>
      </c>
      <c r="E5084" s="9" t="s">
        <v>32588</v>
      </c>
      <c r="F5084" s="10" t="s">
        <v>26306</v>
      </c>
      <c r="G5084" s="8">
        <v>23.61</v>
      </c>
      <c r="H5084" s="8"/>
      <c r="I5084" s="10"/>
      <c r="J5084" s="10" t="s">
        <v>32589</v>
      </c>
      <c r="K5084" s="10" t="s">
        <v>32590</v>
      </c>
      <c r="L5084" s="11" t="s">
        <v>32591</v>
      </c>
      <c r="M5084" s="10"/>
      <c r="N5084" s="12"/>
      <c r="O5084" s="12"/>
      <c r="P5084" s="13">
        <f>IFERROR(__xludf.DUMMYFUNCTION("VALUE(SUBSTITUTE((INDEX(SPLIT(A5084,"",""),1)),""."","","",1))"),56.038957)</f>
        <v>56.038957</v>
      </c>
      <c r="Q5084" s="13">
        <f>IFERROR(__xludf.DUMMYFUNCTION("VALUE(SUBSTITUTE((INDEX(SPLIT(A5084,"",""),2)),""."","","",1))"),92.896877)</f>
        <v>92.896877</v>
      </c>
      <c r="R5084" s="14" t="b">
        <f t="shared" si="1"/>
        <v>0</v>
      </c>
      <c r="S5084" s="14" t="str">
        <f t="shared" si="2"/>
        <v>56.038957,92.896877</v>
      </c>
      <c r="T5084" s="12"/>
    </row>
    <row r="5085">
      <c r="A5085" s="22" t="s">
        <v>29940</v>
      </c>
      <c r="B5085" s="16" t="s">
        <v>32592</v>
      </c>
      <c r="C5085" s="16" t="s">
        <v>32593</v>
      </c>
      <c r="D5085" s="16" t="s">
        <v>16</v>
      </c>
      <c r="E5085" s="21" t="s">
        <v>32594</v>
      </c>
      <c r="F5085" s="22" t="s">
        <v>26306</v>
      </c>
      <c r="G5085" s="16">
        <v>23.61</v>
      </c>
      <c r="H5085" s="16"/>
      <c r="I5085" s="22"/>
      <c r="J5085" s="22" t="s">
        <v>32595</v>
      </c>
      <c r="K5085" s="22" t="s">
        <v>32596</v>
      </c>
      <c r="L5085" s="23" t="s">
        <v>32597</v>
      </c>
      <c r="M5085" s="22"/>
      <c r="N5085" s="12"/>
      <c r="O5085" s="12"/>
      <c r="P5085" s="13">
        <f>IFERROR(__xludf.DUMMYFUNCTION("VALUE(SUBSTITUTE((INDEX(SPLIT(A5085,"",""),1)),""."","","",1))"),56.026418)</f>
        <v>56.026418</v>
      </c>
      <c r="Q5085" s="13">
        <f>IFERROR(__xludf.DUMMYFUNCTION("VALUE(SUBSTITUTE((INDEX(SPLIT(A5085,"",""),2)),""."","","",1))"),92.897757)</f>
        <v>92.897757</v>
      </c>
      <c r="R5085" s="14" t="b">
        <f t="shared" si="1"/>
        <v>0</v>
      </c>
      <c r="S5085" s="14" t="str">
        <f t="shared" si="2"/>
        <v>56.026418,92.897757</v>
      </c>
      <c r="T5085" s="12"/>
    </row>
    <row r="5086">
      <c r="A5086" s="10" t="s">
        <v>29945</v>
      </c>
      <c r="B5086" s="8" t="s">
        <v>32598</v>
      </c>
      <c r="C5086" s="8" t="s">
        <v>32599</v>
      </c>
      <c r="D5086" s="8" t="s">
        <v>16</v>
      </c>
      <c r="E5086" s="9" t="s">
        <v>32600</v>
      </c>
      <c r="F5086" s="10" t="s">
        <v>26306</v>
      </c>
      <c r="G5086" s="8">
        <v>23.61</v>
      </c>
      <c r="H5086" s="8"/>
      <c r="I5086" s="10"/>
      <c r="J5086" s="10" t="s">
        <v>32601</v>
      </c>
      <c r="K5086" s="10" t="s">
        <v>32602</v>
      </c>
      <c r="L5086" s="11" t="s">
        <v>32603</v>
      </c>
      <c r="M5086" s="10"/>
      <c r="N5086" s="12"/>
      <c r="O5086" s="12"/>
      <c r="P5086" s="13">
        <f>IFERROR(__xludf.DUMMYFUNCTION("VALUE(SUBSTITUTE((INDEX(SPLIT(A5086,"",""),1)),""."","","",1))"),55.982104)</f>
        <v>55.982104</v>
      </c>
      <c r="Q5086" s="13">
        <f>IFERROR(__xludf.DUMMYFUNCTION("VALUE(SUBSTITUTE((INDEX(SPLIT(A5086,"",""),2)),""."","","",1))"),92.900685)</f>
        <v>92.900685</v>
      </c>
      <c r="R5086" s="14" t="b">
        <f t="shared" si="1"/>
        <v>0</v>
      </c>
      <c r="S5086" s="14" t="str">
        <f t="shared" si="2"/>
        <v>55.982104,92.900685</v>
      </c>
      <c r="T5086" s="12"/>
    </row>
    <row r="5087">
      <c r="A5087" s="16" t="s">
        <v>29953</v>
      </c>
      <c r="B5087" s="16" t="s">
        <v>32604</v>
      </c>
      <c r="C5087" s="16" t="s">
        <v>32605</v>
      </c>
      <c r="D5087" s="16" t="s">
        <v>16</v>
      </c>
      <c r="E5087" s="17" t="s">
        <v>32606</v>
      </c>
      <c r="F5087" s="16" t="s">
        <v>26306</v>
      </c>
      <c r="G5087" s="16">
        <v>23.61</v>
      </c>
      <c r="H5087" s="16"/>
      <c r="I5087" s="16"/>
      <c r="J5087" s="16" t="s">
        <v>32607</v>
      </c>
      <c r="K5087" s="16" t="s">
        <v>32608</v>
      </c>
      <c r="L5087" s="16"/>
      <c r="M5087" s="25" t="s">
        <v>32609</v>
      </c>
      <c r="N5087" s="12"/>
      <c r="O5087" s="12"/>
      <c r="P5087" s="13">
        <f>IFERROR(__xludf.DUMMYFUNCTION("VALUE(SUBSTITUTE((INDEX(SPLIT(A5087,"",""),1)),""."","","",1))"),56.052064)</f>
        <v>56.052064</v>
      </c>
      <c r="Q5087" s="13">
        <f>IFERROR(__xludf.DUMMYFUNCTION("VALUE(SUBSTITUTE((INDEX(SPLIT(A5087,"",""),2)),""."","","",1))"),92.911519)</f>
        <v>92.911519</v>
      </c>
      <c r="R5087" s="14" t="b">
        <f t="shared" si="1"/>
        <v>0</v>
      </c>
      <c r="S5087" s="14" t="str">
        <f t="shared" si="2"/>
        <v>56.052064,92.911519</v>
      </c>
      <c r="T5087" s="12"/>
    </row>
    <row r="5088">
      <c r="A5088" s="8" t="s">
        <v>29960</v>
      </c>
      <c r="B5088" s="8" t="s">
        <v>32610</v>
      </c>
      <c r="C5088" s="8" t="s">
        <v>32611</v>
      </c>
      <c r="D5088" s="8" t="s">
        <v>16</v>
      </c>
      <c r="E5088" s="19" t="s">
        <v>32612</v>
      </c>
      <c r="F5088" s="8" t="s">
        <v>26306</v>
      </c>
      <c r="G5088" s="8">
        <v>23.61</v>
      </c>
      <c r="H5088" s="8"/>
      <c r="I5088" s="8"/>
      <c r="J5088" s="8" t="s">
        <v>32613</v>
      </c>
      <c r="K5088" s="8" t="s">
        <v>32614</v>
      </c>
      <c r="L5088" s="8"/>
      <c r="M5088" s="24" t="s">
        <v>32615</v>
      </c>
      <c r="N5088" s="12"/>
      <c r="O5088" s="12"/>
      <c r="P5088" s="13">
        <f>IFERROR(__xludf.DUMMYFUNCTION("VALUE(SUBSTITUTE((INDEX(SPLIT(A5088,"",""),1)),""."","","",1))"),56.047012)</f>
        <v>56.047012</v>
      </c>
      <c r="Q5088" s="13">
        <f>IFERROR(__xludf.DUMMYFUNCTION("VALUE(SUBSTITUTE((INDEX(SPLIT(A5088,"",""),2)),""."","","",1))"),92.912202)</f>
        <v>92.912202</v>
      </c>
      <c r="R5088" s="14" t="b">
        <f t="shared" si="1"/>
        <v>0</v>
      </c>
      <c r="S5088" s="14" t="str">
        <f t="shared" si="2"/>
        <v>56.047012,92.912202</v>
      </c>
      <c r="T5088" s="12"/>
    </row>
    <row r="5089">
      <c r="A5089" s="22" t="s">
        <v>29968</v>
      </c>
      <c r="B5089" s="16" t="s">
        <v>32616</v>
      </c>
      <c r="C5089" s="16" t="s">
        <v>32617</v>
      </c>
      <c r="D5089" s="16" t="s">
        <v>16</v>
      </c>
      <c r="E5089" s="21" t="s">
        <v>32618</v>
      </c>
      <c r="F5089" s="22" t="s">
        <v>26306</v>
      </c>
      <c r="G5089" s="16">
        <v>23.61</v>
      </c>
      <c r="H5089" s="16"/>
      <c r="I5089" s="22"/>
      <c r="J5089" s="22" t="s">
        <v>32619</v>
      </c>
      <c r="K5089" s="22" t="s">
        <v>32620</v>
      </c>
      <c r="L5089" s="23" t="s">
        <v>32621</v>
      </c>
      <c r="M5089" s="23" t="s">
        <v>32622</v>
      </c>
      <c r="N5089" s="12"/>
      <c r="O5089" s="12"/>
      <c r="P5089" s="13">
        <f>IFERROR(__xludf.DUMMYFUNCTION("VALUE(SUBSTITUTE((INDEX(SPLIT(A5089,"",""),1)),""."","","",1))"),56.056619)</f>
        <v>56.056619</v>
      </c>
      <c r="Q5089" s="13">
        <f>IFERROR(__xludf.DUMMYFUNCTION("VALUE(SUBSTITUTE((INDEX(SPLIT(A5089,"",""),2)),""."","","",1))"),92.912633)</f>
        <v>92.912633</v>
      </c>
      <c r="R5089" s="14" t="b">
        <f t="shared" si="1"/>
        <v>0</v>
      </c>
      <c r="S5089" s="14" t="str">
        <f t="shared" si="2"/>
        <v>56.056619,92.912633</v>
      </c>
      <c r="T5089" s="12"/>
    </row>
    <row r="5090">
      <c r="A5090" s="8" t="s">
        <v>29976</v>
      </c>
      <c r="B5090" s="8" t="s">
        <v>32623</v>
      </c>
      <c r="C5090" s="8" t="s">
        <v>32624</v>
      </c>
      <c r="D5090" s="8" t="s">
        <v>16</v>
      </c>
      <c r="E5090" s="19" t="s">
        <v>32625</v>
      </c>
      <c r="F5090" s="8" t="s">
        <v>26306</v>
      </c>
      <c r="G5090" s="8">
        <v>23.61</v>
      </c>
      <c r="H5090" s="8"/>
      <c r="I5090" s="8"/>
      <c r="J5090" s="8" t="s">
        <v>32626</v>
      </c>
      <c r="K5090" s="8" t="s">
        <v>32627</v>
      </c>
      <c r="L5090" s="8"/>
      <c r="M5090" s="24" t="s">
        <v>32628</v>
      </c>
      <c r="N5090" s="12"/>
      <c r="O5090" s="12"/>
      <c r="P5090" s="13">
        <f>IFERROR(__xludf.DUMMYFUNCTION("VALUE(SUBSTITUTE((INDEX(SPLIT(A5090,"",""),1)),""."","","",1))"),56.06159)</f>
        <v>56.06159</v>
      </c>
      <c r="Q5090" s="13">
        <f>IFERROR(__xludf.DUMMYFUNCTION("VALUE(SUBSTITUTE((INDEX(SPLIT(A5090,"",""),2)),""."","","",1))"),92.918032)</f>
        <v>92.918032</v>
      </c>
      <c r="R5090" s="14" t="b">
        <f t="shared" si="1"/>
        <v>0</v>
      </c>
      <c r="S5090" s="14" t="str">
        <f t="shared" si="2"/>
        <v>56.06159,92.918032</v>
      </c>
      <c r="T5090" s="12"/>
    </row>
    <row r="5091">
      <c r="A5091" s="16" t="s">
        <v>29982</v>
      </c>
      <c r="B5091" s="16" t="s">
        <v>32629</v>
      </c>
      <c r="C5091" s="16" t="s">
        <v>32630</v>
      </c>
      <c r="D5091" s="16" t="s">
        <v>16</v>
      </c>
      <c r="E5091" s="17" t="s">
        <v>32631</v>
      </c>
      <c r="F5091" s="16" t="s">
        <v>26306</v>
      </c>
      <c r="G5091" s="16">
        <v>23.61</v>
      </c>
      <c r="H5091" s="16"/>
      <c r="I5091" s="16"/>
      <c r="J5091" s="16" t="s">
        <v>32632</v>
      </c>
      <c r="K5091" s="16" t="s">
        <v>32633</v>
      </c>
      <c r="L5091" s="16"/>
      <c r="M5091" s="25" t="s">
        <v>32634</v>
      </c>
      <c r="N5091" s="12"/>
      <c r="O5091" s="12"/>
      <c r="P5091" s="13">
        <f>IFERROR(__xludf.DUMMYFUNCTION("VALUE(SUBSTITUTE((INDEX(SPLIT(A5091,"",""),1)),""."","","",1))"),56.042713)</f>
        <v>56.042713</v>
      </c>
      <c r="Q5091" s="13">
        <f>IFERROR(__xludf.DUMMYFUNCTION("VALUE(SUBSTITUTE((INDEX(SPLIT(A5091,"",""),2)),""."","","",1))"),92.918787)</f>
        <v>92.918787</v>
      </c>
      <c r="R5091" s="14" t="b">
        <f t="shared" si="1"/>
        <v>0</v>
      </c>
      <c r="S5091" s="14" t="str">
        <f t="shared" si="2"/>
        <v>56.042713,92.918787</v>
      </c>
      <c r="T5091" s="12"/>
    </row>
    <row r="5092">
      <c r="A5092" s="10" t="s">
        <v>29990</v>
      </c>
      <c r="B5092" s="8" t="s">
        <v>32635</v>
      </c>
      <c r="C5092" s="8" t="s">
        <v>32636</v>
      </c>
      <c r="D5092" s="8" t="s">
        <v>16</v>
      </c>
      <c r="E5092" s="9" t="s">
        <v>32637</v>
      </c>
      <c r="F5092" s="10" t="s">
        <v>26306</v>
      </c>
      <c r="G5092" s="8">
        <v>23.61</v>
      </c>
      <c r="H5092" s="8"/>
      <c r="I5092" s="10"/>
      <c r="J5092" s="10" t="s">
        <v>32638</v>
      </c>
      <c r="K5092" s="10" t="s">
        <v>32639</v>
      </c>
      <c r="L5092" s="11" t="s">
        <v>32640</v>
      </c>
      <c r="M5092" s="11" t="s">
        <v>32641</v>
      </c>
      <c r="N5092" s="12"/>
      <c r="O5092" s="12"/>
      <c r="P5092" s="13">
        <f>IFERROR(__xludf.DUMMYFUNCTION("VALUE(SUBSTITUTE((INDEX(SPLIT(A5092,"",""),1)),""."","","",1))"),56.102097)</f>
        <v>56.102097</v>
      </c>
      <c r="Q5092" s="13">
        <f>IFERROR(__xludf.DUMMYFUNCTION("VALUE(SUBSTITUTE((INDEX(SPLIT(A5092,"",""),2)),""."","","",1))"),92.919334)</f>
        <v>92.919334</v>
      </c>
      <c r="R5092" s="14" t="b">
        <f t="shared" si="1"/>
        <v>0</v>
      </c>
      <c r="S5092" s="14" t="str">
        <f t="shared" si="2"/>
        <v>56.102097,92.919334</v>
      </c>
      <c r="T5092" s="12"/>
    </row>
    <row r="5093">
      <c r="A5093" s="16" t="s">
        <v>29997</v>
      </c>
      <c r="B5093" s="16" t="s">
        <v>32642</v>
      </c>
      <c r="C5093" s="16" t="s">
        <v>32643</v>
      </c>
      <c r="D5093" s="16" t="s">
        <v>16</v>
      </c>
      <c r="E5093" s="17" t="s">
        <v>32644</v>
      </c>
      <c r="F5093" s="16" t="s">
        <v>26306</v>
      </c>
      <c r="G5093" s="16">
        <v>23.61</v>
      </c>
      <c r="H5093" s="16"/>
      <c r="I5093" s="16"/>
      <c r="J5093" s="16" t="s">
        <v>32645</v>
      </c>
      <c r="K5093" s="16" t="s">
        <v>32646</v>
      </c>
      <c r="L5093" s="16"/>
      <c r="M5093" s="16"/>
      <c r="N5093" s="12"/>
      <c r="O5093" s="12"/>
      <c r="P5093" s="13">
        <f>IFERROR(__xludf.DUMMYFUNCTION("VALUE(SUBSTITUTE((INDEX(SPLIT(A5093,"",""),1)),""."","","",1))"),56.12128)</f>
        <v>56.12128</v>
      </c>
      <c r="Q5093" s="13">
        <f>IFERROR(__xludf.DUMMYFUNCTION("VALUE(SUBSTITUTE((INDEX(SPLIT(A5093,"",""),2)),""."","","",1))"),92.922964)</f>
        <v>92.922964</v>
      </c>
      <c r="R5093" s="14" t="b">
        <f t="shared" si="1"/>
        <v>0</v>
      </c>
      <c r="S5093" s="14" t="str">
        <f t="shared" si="2"/>
        <v>56.12128,92.922964</v>
      </c>
      <c r="T5093" s="12"/>
    </row>
    <row r="5094">
      <c r="A5094" s="10" t="s">
        <v>30004</v>
      </c>
      <c r="B5094" s="8" t="s">
        <v>32647</v>
      </c>
      <c r="C5094" s="8" t="s">
        <v>32648</v>
      </c>
      <c r="D5094" s="8" t="s">
        <v>16</v>
      </c>
      <c r="E5094" s="9" t="s">
        <v>32649</v>
      </c>
      <c r="F5094" s="10" t="s">
        <v>26306</v>
      </c>
      <c r="G5094" s="8">
        <v>23.61</v>
      </c>
      <c r="H5094" s="8"/>
      <c r="I5094" s="10"/>
      <c r="J5094" s="10" t="s">
        <v>32650</v>
      </c>
      <c r="K5094" s="10" t="s">
        <v>32351</v>
      </c>
      <c r="L5094" s="11" t="s">
        <v>32651</v>
      </c>
      <c r="M5094" s="11" t="s">
        <v>32652</v>
      </c>
      <c r="N5094" s="12"/>
      <c r="O5094" s="12"/>
      <c r="P5094" s="13">
        <f>IFERROR(__xludf.DUMMYFUNCTION("VALUE(SUBSTITUTE((INDEX(SPLIT(A5094,"",""),1)),""."","","",1))"),56.11169)</f>
        <v>56.11169</v>
      </c>
      <c r="Q5094" s="13">
        <f>IFERROR(__xludf.DUMMYFUNCTION("VALUE(SUBSTITUTE((INDEX(SPLIT(A5094,"",""),2)),""."","","",1))"),92.925326)</f>
        <v>92.925326</v>
      </c>
      <c r="R5094" s="14" t="b">
        <f t="shared" si="1"/>
        <v>0</v>
      </c>
      <c r="S5094" s="14" t="str">
        <f t="shared" si="2"/>
        <v>56.11169,92.925326</v>
      </c>
      <c r="T5094" s="12"/>
    </row>
    <row r="5095">
      <c r="A5095" s="16" t="s">
        <v>30012</v>
      </c>
      <c r="B5095" s="16" t="s">
        <v>32653</v>
      </c>
      <c r="C5095" s="16" t="s">
        <v>32654</v>
      </c>
      <c r="D5095" s="16" t="s">
        <v>16</v>
      </c>
      <c r="E5095" s="17" t="s">
        <v>32655</v>
      </c>
      <c r="F5095" s="16" t="s">
        <v>26306</v>
      </c>
      <c r="G5095" s="16">
        <v>23.61</v>
      </c>
      <c r="H5095" s="16"/>
      <c r="I5095" s="16"/>
      <c r="J5095" s="16" t="s">
        <v>32656</v>
      </c>
      <c r="K5095" s="16" t="s">
        <v>32657</v>
      </c>
      <c r="L5095" s="16"/>
      <c r="M5095" s="25" t="s">
        <v>32658</v>
      </c>
      <c r="N5095" s="12"/>
      <c r="O5095" s="12"/>
      <c r="P5095" s="13">
        <f>IFERROR(__xludf.DUMMYFUNCTION("VALUE(SUBSTITUTE((INDEX(SPLIT(A5095,"",""),1)),""."","","",1))"),56.067128)</f>
        <v>56.067128</v>
      </c>
      <c r="Q5095" s="13">
        <f>IFERROR(__xludf.DUMMYFUNCTION("VALUE(SUBSTITUTE((INDEX(SPLIT(A5095,"",""),2)),""."","","",1))"),92.927563)</f>
        <v>92.927563</v>
      </c>
      <c r="R5095" s="14" t="b">
        <f t="shared" si="1"/>
        <v>0</v>
      </c>
      <c r="S5095" s="14" t="str">
        <f t="shared" si="2"/>
        <v>56.067128,92.927563</v>
      </c>
      <c r="T5095" s="12"/>
    </row>
    <row r="5096">
      <c r="A5096" s="8" t="s">
        <v>30018</v>
      </c>
      <c r="B5096" s="8" t="s">
        <v>32659</v>
      </c>
      <c r="C5096" s="8" t="s">
        <v>32660</v>
      </c>
      <c r="D5096" s="8" t="s">
        <v>16</v>
      </c>
      <c r="E5096" s="19" t="s">
        <v>32661</v>
      </c>
      <c r="F5096" s="8" t="s">
        <v>26306</v>
      </c>
      <c r="G5096" s="8">
        <v>23.61</v>
      </c>
      <c r="H5096" s="8"/>
      <c r="I5096" s="8"/>
      <c r="J5096" s="8" t="s">
        <v>32662</v>
      </c>
      <c r="K5096" s="8" t="s">
        <v>32663</v>
      </c>
      <c r="L5096" s="8"/>
      <c r="M5096" s="24" t="s">
        <v>32664</v>
      </c>
      <c r="N5096" s="12"/>
      <c r="O5096" s="12"/>
      <c r="P5096" s="13">
        <f>IFERROR(__xludf.DUMMYFUNCTION("VALUE(SUBSTITUTE((INDEX(SPLIT(A5096,"",""),1)),""."","","",1))"),55.983837)</f>
        <v>55.983837</v>
      </c>
      <c r="Q5096" s="13">
        <f>IFERROR(__xludf.DUMMYFUNCTION("VALUE(SUBSTITUTE((INDEX(SPLIT(A5096,"",""),2)),""."","","",1))"),92.928057)</f>
        <v>92.928057</v>
      </c>
      <c r="R5096" s="14" t="b">
        <f t="shared" si="1"/>
        <v>0</v>
      </c>
      <c r="S5096" s="14" t="str">
        <f t="shared" si="2"/>
        <v>55.983837,92.928057</v>
      </c>
      <c r="T5096" s="12"/>
    </row>
    <row r="5097">
      <c r="A5097" s="16" t="s">
        <v>30025</v>
      </c>
      <c r="B5097" s="16" t="s">
        <v>32665</v>
      </c>
      <c r="C5097" s="16" t="s">
        <v>32666</v>
      </c>
      <c r="D5097" s="16" t="s">
        <v>16</v>
      </c>
      <c r="E5097" s="17" t="s">
        <v>32667</v>
      </c>
      <c r="F5097" s="16" t="s">
        <v>26306</v>
      </c>
      <c r="G5097" s="16">
        <v>23.61</v>
      </c>
      <c r="H5097" s="16"/>
      <c r="I5097" s="16"/>
      <c r="J5097" s="16" t="s">
        <v>32668</v>
      </c>
      <c r="K5097" s="16" t="s">
        <v>32346</v>
      </c>
      <c r="L5097" s="16"/>
      <c r="M5097" s="25" t="s">
        <v>32669</v>
      </c>
      <c r="N5097" s="12"/>
      <c r="O5097" s="12"/>
      <c r="P5097" s="13">
        <f>IFERROR(__xludf.DUMMYFUNCTION("VALUE(SUBSTITUTE((INDEX(SPLIT(A5097,"",""),1)),""."","","",1))"),55.978428)</f>
        <v>55.978428</v>
      </c>
      <c r="Q5097" s="13">
        <f>IFERROR(__xludf.DUMMYFUNCTION("VALUE(SUBSTITUTE((INDEX(SPLIT(A5097,"",""),2)),""."","","",1))"),92.933815)</f>
        <v>92.933815</v>
      </c>
      <c r="R5097" s="14" t="b">
        <f t="shared" si="1"/>
        <v>0</v>
      </c>
      <c r="S5097" s="14" t="str">
        <f t="shared" si="2"/>
        <v>55.978428,92.933815</v>
      </c>
      <c r="T5097" s="12"/>
    </row>
    <row r="5098">
      <c r="A5098" s="10" t="s">
        <v>30032</v>
      </c>
      <c r="B5098" s="8" t="s">
        <v>32670</v>
      </c>
      <c r="C5098" s="8" t="s">
        <v>32671</v>
      </c>
      <c r="D5098" s="8" t="s">
        <v>16</v>
      </c>
      <c r="E5098" s="9" t="s">
        <v>32672</v>
      </c>
      <c r="F5098" s="10" t="s">
        <v>26306</v>
      </c>
      <c r="G5098" s="8">
        <v>23.61</v>
      </c>
      <c r="H5098" s="8"/>
      <c r="I5098" s="10"/>
      <c r="J5098" s="10" t="s">
        <v>32673</v>
      </c>
      <c r="K5098" s="10" t="s">
        <v>32674</v>
      </c>
      <c r="L5098" s="11" t="s">
        <v>32675</v>
      </c>
      <c r="M5098" s="10"/>
      <c r="N5098" s="12"/>
      <c r="O5098" s="12"/>
      <c r="P5098" s="13">
        <f>IFERROR(__xludf.DUMMYFUNCTION("VALUE(SUBSTITUTE((INDEX(SPLIT(A5098,"",""),1)),""."","","",1))"),56.058931)</f>
        <v>56.058931</v>
      </c>
      <c r="Q5098" s="13">
        <f>IFERROR(__xludf.DUMMYFUNCTION("VALUE(SUBSTITUTE((INDEX(SPLIT(A5098,"",""),2)),""."","","",1))"),92.937597)</f>
        <v>92.937597</v>
      </c>
      <c r="R5098" s="14" t="b">
        <f t="shared" si="1"/>
        <v>0</v>
      </c>
      <c r="S5098" s="14" t="str">
        <f t="shared" si="2"/>
        <v>56.058931,92.937597</v>
      </c>
      <c r="T5098" s="12"/>
    </row>
    <row r="5099">
      <c r="A5099" s="22" t="s">
        <v>30039</v>
      </c>
      <c r="B5099" s="16" t="s">
        <v>6148</v>
      </c>
      <c r="C5099" s="16" t="s">
        <v>6149</v>
      </c>
      <c r="D5099" s="16" t="s">
        <v>16</v>
      </c>
      <c r="E5099" s="21" t="s">
        <v>32676</v>
      </c>
      <c r="F5099" s="22" t="s">
        <v>26306</v>
      </c>
      <c r="G5099" s="16">
        <v>23.61</v>
      </c>
      <c r="H5099" s="16"/>
      <c r="I5099" s="22"/>
      <c r="J5099" s="22" t="s">
        <v>32677</v>
      </c>
      <c r="K5099" s="22" t="s">
        <v>32678</v>
      </c>
      <c r="L5099" s="23" t="s">
        <v>32679</v>
      </c>
      <c r="M5099" s="23" t="s">
        <v>32680</v>
      </c>
      <c r="N5099" s="12"/>
      <c r="O5099" s="12"/>
      <c r="P5099" s="13">
        <f>IFERROR(__xludf.DUMMYFUNCTION("VALUE(SUBSTITUTE((INDEX(SPLIT(A5099,"",""),1)),""."","","",1))"),56.059237)</f>
        <v>56.059237</v>
      </c>
      <c r="Q5099" s="13">
        <f>IFERROR(__xludf.DUMMYFUNCTION("VALUE(SUBSTITUTE((INDEX(SPLIT(A5099,"",""),2)),""."","","",1))"),92.944281)</f>
        <v>92.944281</v>
      </c>
      <c r="R5099" s="14" t="b">
        <f t="shared" si="1"/>
        <v>0</v>
      </c>
      <c r="S5099" s="14" t="str">
        <f t="shared" si="2"/>
        <v>56.059237,92.944281</v>
      </c>
      <c r="T5099" s="12"/>
    </row>
    <row r="5100">
      <c r="A5100" s="8" t="s">
        <v>30046</v>
      </c>
      <c r="B5100" s="8" t="s">
        <v>32681</v>
      </c>
      <c r="C5100" s="8" t="s">
        <v>32682</v>
      </c>
      <c r="D5100" s="8" t="s">
        <v>16</v>
      </c>
      <c r="E5100" s="19" t="s">
        <v>32683</v>
      </c>
      <c r="F5100" s="8" t="s">
        <v>26306</v>
      </c>
      <c r="G5100" s="8">
        <v>23.61</v>
      </c>
      <c r="H5100" s="8"/>
      <c r="I5100" s="8"/>
      <c r="J5100" s="8" t="s">
        <v>32684</v>
      </c>
      <c r="K5100" s="8" t="s">
        <v>32685</v>
      </c>
      <c r="L5100" s="8"/>
      <c r="M5100" s="24" t="s">
        <v>32686</v>
      </c>
      <c r="N5100" s="12"/>
      <c r="O5100" s="12"/>
      <c r="P5100" s="13">
        <f>IFERROR(__xludf.DUMMYFUNCTION("VALUE(SUBSTITUTE((INDEX(SPLIT(A5100,"",""),1)),""."","","",1))"),56.064062)</f>
        <v>56.064062</v>
      </c>
      <c r="Q5100" s="13">
        <f>IFERROR(__xludf.DUMMYFUNCTION("VALUE(SUBSTITUTE((INDEX(SPLIT(A5100,"",""),2)),""."","","",1))"),92.944568)</f>
        <v>92.944568</v>
      </c>
      <c r="R5100" s="14" t="b">
        <f t="shared" si="1"/>
        <v>0</v>
      </c>
      <c r="S5100" s="14" t="str">
        <f t="shared" si="2"/>
        <v>56.064062,92.944568</v>
      </c>
      <c r="T5100" s="12"/>
    </row>
    <row r="5101">
      <c r="A5101" s="22" t="s">
        <v>30052</v>
      </c>
      <c r="B5101" s="16" t="s">
        <v>9633</v>
      </c>
      <c r="C5101" s="16" t="s">
        <v>9634</v>
      </c>
      <c r="D5101" s="16" t="s">
        <v>16</v>
      </c>
      <c r="E5101" s="21" t="s">
        <v>32687</v>
      </c>
      <c r="F5101" s="22" t="s">
        <v>26306</v>
      </c>
      <c r="G5101" s="16">
        <v>23.61</v>
      </c>
      <c r="H5101" s="16"/>
      <c r="I5101" s="22"/>
      <c r="J5101" s="22" t="s">
        <v>32688</v>
      </c>
      <c r="K5101" s="22" t="s">
        <v>32689</v>
      </c>
      <c r="L5101" s="23" t="s">
        <v>32690</v>
      </c>
      <c r="M5101" s="23" t="s">
        <v>30611</v>
      </c>
      <c r="N5101" s="12"/>
      <c r="O5101" s="12"/>
      <c r="P5101" s="13">
        <f>IFERROR(__xludf.DUMMYFUNCTION("VALUE(SUBSTITUTE((INDEX(SPLIT(A5101,"",""),1)),""."","","",1))"),56.017422)</f>
        <v>56.017422</v>
      </c>
      <c r="Q5101" s="13">
        <f>IFERROR(__xludf.DUMMYFUNCTION("VALUE(SUBSTITUTE((INDEX(SPLIT(A5101,"",""),2)),""."","","",1))"),92.960163)</f>
        <v>92.960163</v>
      </c>
      <c r="R5101" s="14" t="b">
        <f t="shared" si="1"/>
        <v>0</v>
      </c>
      <c r="S5101" s="14" t="str">
        <f t="shared" si="2"/>
        <v>56.017422,92.960163</v>
      </c>
      <c r="T5101" s="12"/>
    </row>
    <row r="5102">
      <c r="A5102" s="10" t="s">
        <v>30059</v>
      </c>
      <c r="B5102" s="8" t="s">
        <v>32691</v>
      </c>
      <c r="C5102" s="8" t="s">
        <v>32692</v>
      </c>
      <c r="D5102" s="8" t="s">
        <v>16</v>
      </c>
      <c r="E5102" s="9" t="s">
        <v>32693</v>
      </c>
      <c r="F5102" s="10" t="s">
        <v>26306</v>
      </c>
      <c r="G5102" s="8">
        <v>23.61</v>
      </c>
      <c r="H5102" s="8"/>
      <c r="I5102" s="10"/>
      <c r="J5102" s="10" t="s">
        <v>32694</v>
      </c>
      <c r="K5102" s="10" t="s">
        <v>32695</v>
      </c>
      <c r="L5102" s="11" t="s">
        <v>32696</v>
      </c>
      <c r="M5102" s="10"/>
      <c r="N5102" s="12"/>
      <c r="O5102" s="12"/>
      <c r="P5102" s="13">
        <f>IFERROR(__xludf.DUMMYFUNCTION("VALUE(SUBSTITUTE((INDEX(SPLIT(A5102,"",""),1)),""."","","",1))"),56.008903)</f>
        <v>56.008903</v>
      </c>
      <c r="Q5102" s="13">
        <f>IFERROR(__xludf.DUMMYFUNCTION("VALUE(SUBSTITUTE((INDEX(SPLIT(A5102,"",""),2)),""."","","",1))"),92.969353)</f>
        <v>92.969353</v>
      </c>
      <c r="R5102" s="14" t="b">
        <f t="shared" si="1"/>
        <v>0</v>
      </c>
      <c r="S5102" s="14" t="str">
        <f t="shared" si="2"/>
        <v>56.008903,92.969353</v>
      </c>
      <c r="T5102" s="12"/>
    </row>
    <row r="5103">
      <c r="A5103" s="22" t="s">
        <v>30067</v>
      </c>
      <c r="B5103" s="16" t="s">
        <v>32697</v>
      </c>
      <c r="C5103" s="16" t="s">
        <v>32698</v>
      </c>
      <c r="D5103" s="16" t="s">
        <v>16</v>
      </c>
      <c r="E5103" s="21" t="s">
        <v>32699</v>
      </c>
      <c r="F5103" s="22" t="s">
        <v>26306</v>
      </c>
      <c r="G5103" s="16">
        <v>23.61</v>
      </c>
      <c r="H5103" s="16"/>
      <c r="I5103" s="22"/>
      <c r="J5103" s="22" t="s">
        <v>32700</v>
      </c>
      <c r="K5103" s="22" t="s">
        <v>27340</v>
      </c>
      <c r="L5103" s="23" t="s">
        <v>32701</v>
      </c>
      <c r="M5103" s="22"/>
      <c r="N5103" s="12"/>
      <c r="O5103" s="12"/>
      <c r="P5103" s="13">
        <f>IFERROR(__xludf.DUMMYFUNCTION("VALUE(SUBSTITUTE((INDEX(SPLIT(A5103,"",""),1)),""."","","",1))"),56.083164)</f>
        <v>56.083164</v>
      </c>
      <c r="Q5103" s="13">
        <f>IFERROR(__xludf.DUMMYFUNCTION("VALUE(SUBSTITUTE((INDEX(SPLIT(A5103,"",""),2)),""."","","",1))"),92.975309)</f>
        <v>92.975309</v>
      </c>
      <c r="R5103" s="14" t="b">
        <f t="shared" si="1"/>
        <v>0</v>
      </c>
      <c r="S5103" s="14" t="str">
        <f t="shared" si="2"/>
        <v>56.083164,92.975309</v>
      </c>
      <c r="T5103" s="12"/>
    </row>
    <row r="5104">
      <c r="A5104" s="8" t="s">
        <v>30075</v>
      </c>
      <c r="B5104" s="8" t="s">
        <v>32702</v>
      </c>
      <c r="C5104" s="8" t="s">
        <v>32703</v>
      </c>
      <c r="D5104" s="8" t="s">
        <v>16</v>
      </c>
      <c r="E5104" s="19" t="s">
        <v>32704</v>
      </c>
      <c r="F5104" s="8" t="s">
        <v>26306</v>
      </c>
      <c r="G5104" s="8">
        <v>23.61</v>
      </c>
      <c r="H5104" s="8"/>
      <c r="I5104" s="8"/>
      <c r="J5104" s="8" t="s">
        <v>32705</v>
      </c>
      <c r="K5104" s="8" t="s">
        <v>32706</v>
      </c>
      <c r="L5104" s="8"/>
      <c r="M5104" s="24" t="s">
        <v>32707</v>
      </c>
      <c r="N5104" s="12"/>
      <c r="O5104" s="12"/>
      <c r="P5104" s="13">
        <f>IFERROR(__xludf.DUMMYFUNCTION("VALUE(SUBSTITUTE((INDEX(SPLIT(A5104,"",""),1)),""."","","",1))"),56.084285)</f>
        <v>56.084285</v>
      </c>
      <c r="Q5104" s="13">
        <f>IFERROR(__xludf.DUMMYFUNCTION("VALUE(SUBSTITUTE((INDEX(SPLIT(A5104,"",""),2)),""."","","",1))"),92.980384)</f>
        <v>92.980384</v>
      </c>
      <c r="R5104" s="14" t="b">
        <f t="shared" si="1"/>
        <v>0</v>
      </c>
      <c r="S5104" s="14" t="str">
        <f t="shared" si="2"/>
        <v>56.084285,92.980384</v>
      </c>
      <c r="T5104" s="12"/>
    </row>
    <row r="5105">
      <c r="A5105" s="16" t="s">
        <v>30081</v>
      </c>
      <c r="B5105" s="16" t="s">
        <v>21797</v>
      </c>
      <c r="C5105" s="16" t="s">
        <v>21798</v>
      </c>
      <c r="D5105" s="16" t="s">
        <v>16</v>
      </c>
      <c r="E5105" s="17" t="s">
        <v>32708</v>
      </c>
      <c r="F5105" s="16" t="s">
        <v>26306</v>
      </c>
      <c r="G5105" s="16">
        <v>23.61</v>
      </c>
      <c r="H5105" s="16"/>
      <c r="I5105" s="16"/>
      <c r="J5105" s="16" t="s">
        <v>32709</v>
      </c>
      <c r="K5105" s="16" t="s">
        <v>32710</v>
      </c>
      <c r="L5105" s="16"/>
      <c r="M5105" s="16"/>
      <c r="N5105" s="12"/>
      <c r="O5105" s="12"/>
      <c r="P5105" s="13">
        <f>IFERROR(__xludf.DUMMYFUNCTION("VALUE(SUBSTITUTE((INDEX(SPLIT(A5105,"",""),1)),""."","","",1))"),56.081818)</f>
        <v>56.081818</v>
      </c>
      <c r="Q5105" s="13">
        <f>IFERROR(__xludf.DUMMYFUNCTION("VALUE(SUBSTITUTE((INDEX(SPLIT(A5105,"",""),2)),""."","","",1))"),92.98042)</f>
        <v>92.98042</v>
      </c>
      <c r="R5105" s="14" t="b">
        <f t="shared" si="1"/>
        <v>0</v>
      </c>
      <c r="S5105" s="14" t="str">
        <f t="shared" si="2"/>
        <v>56.081818,92.98042</v>
      </c>
      <c r="T5105" s="12"/>
    </row>
    <row r="5106">
      <c r="A5106" s="8" t="s">
        <v>30089</v>
      </c>
      <c r="B5106" s="8" t="s">
        <v>21797</v>
      </c>
      <c r="C5106" s="8" t="s">
        <v>21798</v>
      </c>
      <c r="D5106" s="8" t="s">
        <v>16</v>
      </c>
      <c r="E5106" s="19" t="s">
        <v>32711</v>
      </c>
      <c r="F5106" s="8" t="s">
        <v>26306</v>
      </c>
      <c r="G5106" s="8">
        <v>23.61</v>
      </c>
      <c r="H5106" s="8"/>
      <c r="I5106" s="8"/>
      <c r="J5106" s="8" t="s">
        <v>32712</v>
      </c>
      <c r="K5106" s="8" t="s">
        <v>32710</v>
      </c>
      <c r="L5106" s="8"/>
      <c r="M5106" s="24" t="s">
        <v>32713</v>
      </c>
      <c r="N5106" s="12"/>
      <c r="O5106" s="12"/>
      <c r="P5106" s="13">
        <f>IFERROR(__xludf.DUMMYFUNCTION("VALUE(SUBSTITUTE((INDEX(SPLIT(A5106,"",""),1)),""."","","",1))"),56.076775)</f>
        <v>56.076775</v>
      </c>
      <c r="Q5106" s="13">
        <f>IFERROR(__xludf.DUMMYFUNCTION("VALUE(SUBSTITUTE((INDEX(SPLIT(A5106,"",""),2)),""."","","",1))"),92.986618)</f>
        <v>92.986618</v>
      </c>
      <c r="R5106" s="14" t="b">
        <f t="shared" si="1"/>
        <v>0</v>
      </c>
      <c r="S5106" s="14" t="str">
        <f t="shared" si="2"/>
        <v>56.076775,92.986618</v>
      </c>
      <c r="T5106" s="12"/>
    </row>
    <row r="5107">
      <c r="A5107" s="16" t="s">
        <v>30097</v>
      </c>
      <c r="B5107" s="16" t="s">
        <v>2363</v>
      </c>
      <c r="C5107" s="16" t="s">
        <v>2364</v>
      </c>
      <c r="D5107" s="16" t="s">
        <v>16</v>
      </c>
      <c r="E5107" s="17" t="s">
        <v>32714</v>
      </c>
      <c r="F5107" s="16" t="s">
        <v>26306</v>
      </c>
      <c r="G5107" s="16">
        <v>23.61</v>
      </c>
      <c r="H5107" s="16"/>
      <c r="I5107" s="16"/>
      <c r="J5107" s="16" t="s">
        <v>32715</v>
      </c>
      <c r="K5107" s="16" t="s">
        <v>32716</v>
      </c>
      <c r="L5107" s="16"/>
      <c r="M5107" s="25" t="s">
        <v>32717</v>
      </c>
      <c r="N5107" s="12"/>
      <c r="O5107" s="12"/>
      <c r="P5107" s="13">
        <f>IFERROR(__xludf.DUMMYFUNCTION("VALUE(SUBSTITUTE((INDEX(SPLIT(A5107,"",""),1)),""."","","",1))"),56.078628)</f>
        <v>56.078628</v>
      </c>
      <c r="Q5107" s="13">
        <f>IFERROR(__xludf.DUMMYFUNCTION("VALUE(SUBSTITUTE((INDEX(SPLIT(A5107,"",""),2)),""."","","",1))"),92.988136)</f>
        <v>92.988136</v>
      </c>
      <c r="R5107" s="14" t="b">
        <f t="shared" si="1"/>
        <v>0</v>
      </c>
      <c r="S5107" s="14" t="str">
        <f t="shared" si="2"/>
        <v>56.078628,92.988136</v>
      </c>
      <c r="T5107" s="12"/>
    </row>
    <row r="5108">
      <c r="A5108" s="8" t="s">
        <v>30104</v>
      </c>
      <c r="B5108" s="8" t="s">
        <v>32718</v>
      </c>
      <c r="C5108" s="8" t="s">
        <v>32719</v>
      </c>
      <c r="D5108" s="8" t="s">
        <v>16</v>
      </c>
      <c r="E5108" s="19" t="s">
        <v>32720</v>
      </c>
      <c r="F5108" s="8" t="s">
        <v>26306</v>
      </c>
      <c r="G5108" s="8">
        <v>23.61</v>
      </c>
      <c r="H5108" s="8"/>
      <c r="I5108" s="8"/>
      <c r="J5108" s="8" t="s">
        <v>32721</v>
      </c>
      <c r="K5108" s="8" t="s">
        <v>32722</v>
      </c>
      <c r="L5108" s="8"/>
      <c r="M5108" s="24" t="s">
        <v>32723</v>
      </c>
      <c r="N5108" s="12"/>
      <c r="O5108" s="12"/>
      <c r="P5108" s="13">
        <f>IFERROR(__xludf.DUMMYFUNCTION("VALUE(SUBSTITUTE((INDEX(SPLIT(A5108,"",""),1)),""."","","",1))"),56.082426)</f>
        <v>56.082426</v>
      </c>
      <c r="Q5108" s="13">
        <f>IFERROR(__xludf.DUMMYFUNCTION("VALUE(SUBSTITUTE((INDEX(SPLIT(A5108,"",""),2)),""."","","",1))"),92.989223)</f>
        <v>92.989223</v>
      </c>
      <c r="R5108" s="14" t="b">
        <f t="shared" si="1"/>
        <v>0</v>
      </c>
      <c r="S5108" s="14" t="str">
        <f t="shared" si="2"/>
        <v>56.082426,92.989223</v>
      </c>
      <c r="T5108" s="12"/>
    </row>
    <row r="5109">
      <c r="A5109" s="22" t="s">
        <v>30111</v>
      </c>
      <c r="B5109" s="16" t="s">
        <v>14690</v>
      </c>
      <c r="C5109" s="16" t="s">
        <v>14691</v>
      </c>
      <c r="D5109" s="16" t="s">
        <v>16</v>
      </c>
      <c r="E5109" s="21" t="s">
        <v>32724</v>
      </c>
      <c r="F5109" s="22" t="s">
        <v>26306</v>
      </c>
      <c r="G5109" s="16">
        <v>23.61</v>
      </c>
      <c r="H5109" s="16"/>
      <c r="I5109" s="22"/>
      <c r="J5109" s="22" t="s">
        <v>32725</v>
      </c>
      <c r="K5109" s="22" t="s">
        <v>32706</v>
      </c>
      <c r="L5109" s="23" t="s">
        <v>32726</v>
      </c>
      <c r="M5109" s="23" t="s">
        <v>32727</v>
      </c>
      <c r="N5109" s="12"/>
      <c r="O5109" s="12"/>
      <c r="P5109" s="13">
        <f>IFERROR(__xludf.DUMMYFUNCTION("VALUE(SUBSTITUTE((INDEX(SPLIT(A5109,"",""),1)),""."","","",1))"),56.080301)</f>
        <v>56.080301</v>
      </c>
      <c r="Q5109" s="13">
        <f>IFERROR(__xludf.DUMMYFUNCTION("VALUE(SUBSTITUTE((INDEX(SPLIT(A5109,"",""),2)),""."","","",1))"),92.989969)</f>
        <v>92.989969</v>
      </c>
      <c r="R5109" s="14" t="b">
        <f t="shared" si="1"/>
        <v>0</v>
      </c>
      <c r="S5109" s="14" t="str">
        <f t="shared" si="2"/>
        <v>56.080301,92.989969</v>
      </c>
      <c r="T5109" s="12"/>
    </row>
    <row r="5110">
      <c r="A5110" s="8" t="s">
        <v>30117</v>
      </c>
      <c r="B5110" s="8" t="s">
        <v>32728</v>
      </c>
      <c r="C5110" s="8" t="s">
        <v>32729</v>
      </c>
      <c r="D5110" s="8" t="s">
        <v>16</v>
      </c>
      <c r="E5110" s="19" t="s">
        <v>32730</v>
      </c>
      <c r="F5110" s="8" t="s">
        <v>26306</v>
      </c>
      <c r="G5110" s="8">
        <v>23.61</v>
      </c>
      <c r="H5110" s="8"/>
      <c r="I5110" s="8"/>
      <c r="J5110" s="8" t="s">
        <v>32731</v>
      </c>
      <c r="K5110" s="8" t="s">
        <v>32732</v>
      </c>
      <c r="L5110" s="8"/>
      <c r="M5110" s="8"/>
      <c r="N5110" s="12"/>
      <c r="O5110" s="12"/>
      <c r="P5110" s="13">
        <f>IFERROR(__xludf.DUMMYFUNCTION("VALUE(SUBSTITUTE((INDEX(SPLIT(A5110,"",""),1)),""."","","",1))"),56.068635)</f>
        <v>56.068635</v>
      </c>
      <c r="Q5110" s="13">
        <f>IFERROR(__xludf.DUMMYFUNCTION("VALUE(SUBSTITUTE((INDEX(SPLIT(A5110,"",""),2)),""."","","",1))"),92.992287)</f>
        <v>92.992287</v>
      </c>
      <c r="R5110" s="14" t="b">
        <f t="shared" si="1"/>
        <v>0</v>
      </c>
      <c r="S5110" s="14" t="str">
        <f t="shared" si="2"/>
        <v>56.068635,92.992287</v>
      </c>
      <c r="T5110" s="12"/>
    </row>
    <row r="5111">
      <c r="A5111" s="16" t="s">
        <v>30124</v>
      </c>
      <c r="B5111" s="16" t="s">
        <v>32733</v>
      </c>
      <c r="C5111" s="16" t="s">
        <v>32734</v>
      </c>
      <c r="D5111" s="16" t="s">
        <v>16</v>
      </c>
      <c r="E5111" s="17" t="s">
        <v>32735</v>
      </c>
      <c r="F5111" s="16" t="s">
        <v>26306</v>
      </c>
      <c r="G5111" s="16">
        <v>23.61</v>
      </c>
      <c r="H5111" s="16"/>
      <c r="I5111" s="16"/>
      <c r="J5111" s="16" t="s">
        <v>32736</v>
      </c>
      <c r="K5111" s="16" t="s">
        <v>32737</v>
      </c>
      <c r="L5111" s="16"/>
      <c r="M5111" s="25" t="s">
        <v>32738</v>
      </c>
      <c r="N5111" s="12"/>
      <c r="O5111" s="12"/>
      <c r="P5111" s="13">
        <f>IFERROR(__xludf.DUMMYFUNCTION("VALUE(SUBSTITUTE((INDEX(SPLIT(A5111,"",""),1)),""."","","",1))"),56.021452)</f>
        <v>56.021452</v>
      </c>
      <c r="Q5111" s="13">
        <f>IFERROR(__xludf.DUMMYFUNCTION("VALUE(SUBSTITUTE((INDEX(SPLIT(A5111,"",""),2)),""."","","",1))"),92.997174)</f>
        <v>92.997174</v>
      </c>
      <c r="R5111" s="14" t="b">
        <f t="shared" si="1"/>
        <v>0</v>
      </c>
      <c r="S5111" s="14" t="str">
        <f t="shared" si="2"/>
        <v>56.021452,92.997174</v>
      </c>
      <c r="T5111" s="12"/>
    </row>
    <row r="5112">
      <c r="A5112" s="10" t="s">
        <v>30131</v>
      </c>
      <c r="B5112" s="8" t="s">
        <v>32739</v>
      </c>
      <c r="C5112" s="8" t="s">
        <v>32740</v>
      </c>
      <c r="D5112" s="8" t="s">
        <v>16</v>
      </c>
      <c r="E5112" s="9" t="s">
        <v>32741</v>
      </c>
      <c r="F5112" s="10" t="s">
        <v>26306</v>
      </c>
      <c r="G5112" s="8">
        <v>23.61</v>
      </c>
      <c r="H5112" s="8"/>
      <c r="I5112" s="10"/>
      <c r="J5112" s="10" t="s">
        <v>27550</v>
      </c>
      <c r="K5112" s="10" t="s">
        <v>32742</v>
      </c>
      <c r="L5112" s="11" t="s">
        <v>32743</v>
      </c>
      <c r="M5112" s="10"/>
      <c r="N5112" s="12"/>
      <c r="O5112" s="12"/>
      <c r="P5112" s="13">
        <f>IFERROR(__xludf.DUMMYFUNCTION("VALUE(SUBSTITUTE((INDEX(SPLIT(A5112,"",""),1)),""."","","",1))"),56.078397)</f>
        <v>56.078397</v>
      </c>
      <c r="Q5112" s="13">
        <f>IFERROR(__xludf.DUMMYFUNCTION("VALUE(SUBSTITUTE((INDEX(SPLIT(A5112,"",""),2)),""."","","",1))"),92.997371)</f>
        <v>92.997371</v>
      </c>
      <c r="R5112" s="14" t="b">
        <f t="shared" si="1"/>
        <v>0</v>
      </c>
      <c r="S5112" s="14" t="str">
        <f t="shared" si="2"/>
        <v>56.078397,92.997371</v>
      </c>
      <c r="T5112" s="12"/>
    </row>
    <row r="5113">
      <c r="A5113" s="22" t="s">
        <v>30131</v>
      </c>
      <c r="B5113" s="16" t="s">
        <v>32744</v>
      </c>
      <c r="C5113" s="16" t="s">
        <v>32745</v>
      </c>
      <c r="D5113" s="16" t="s">
        <v>16</v>
      </c>
      <c r="E5113" s="21" t="s">
        <v>32746</v>
      </c>
      <c r="F5113" s="22" t="s">
        <v>26306</v>
      </c>
      <c r="G5113" s="16">
        <v>23.61</v>
      </c>
      <c r="H5113" s="16"/>
      <c r="I5113" s="22"/>
      <c r="J5113" s="22" t="s">
        <v>32747</v>
      </c>
      <c r="K5113" s="22" t="s">
        <v>32538</v>
      </c>
      <c r="L5113" s="23" t="s">
        <v>32748</v>
      </c>
      <c r="M5113" s="22"/>
      <c r="N5113" s="12"/>
      <c r="O5113" s="12"/>
      <c r="P5113" s="13">
        <f>IFERROR(__xludf.DUMMYFUNCTION("VALUE(SUBSTITUTE((INDEX(SPLIT(A5113,"",""),1)),""."","","",1))"),56.078397)</f>
        <v>56.078397</v>
      </c>
      <c r="Q5113" s="13">
        <f>IFERROR(__xludf.DUMMYFUNCTION("VALUE(SUBSTITUTE((INDEX(SPLIT(A5113,"",""),2)),""."","","",1))"),92.997371)</f>
        <v>92.997371</v>
      </c>
      <c r="R5113" s="14" t="b">
        <f t="shared" si="1"/>
        <v>0</v>
      </c>
      <c r="S5113" s="14" t="str">
        <f t="shared" si="2"/>
        <v>56.078397,92.997371</v>
      </c>
      <c r="T5113" s="12"/>
    </row>
    <row r="5114">
      <c r="A5114" s="10" t="s">
        <v>30131</v>
      </c>
      <c r="B5114" s="8" t="s">
        <v>20529</v>
      </c>
      <c r="C5114" s="8" t="s">
        <v>20530</v>
      </c>
      <c r="D5114" s="8" t="s">
        <v>16</v>
      </c>
      <c r="E5114" s="9" t="s">
        <v>32749</v>
      </c>
      <c r="F5114" s="10" t="s">
        <v>26306</v>
      </c>
      <c r="G5114" s="8">
        <v>23.61</v>
      </c>
      <c r="H5114" s="8"/>
      <c r="I5114" s="10"/>
      <c r="J5114" s="10" t="s">
        <v>32750</v>
      </c>
      <c r="K5114" s="10" t="s">
        <v>32751</v>
      </c>
      <c r="L5114" s="11" t="s">
        <v>32752</v>
      </c>
      <c r="M5114" s="10"/>
      <c r="N5114" s="12"/>
      <c r="O5114" s="12"/>
      <c r="P5114" s="13">
        <f>IFERROR(__xludf.DUMMYFUNCTION("VALUE(SUBSTITUTE((INDEX(SPLIT(A5114,"",""),1)),""."","","",1))"),56.078397)</f>
        <v>56.078397</v>
      </c>
      <c r="Q5114" s="13">
        <f>IFERROR(__xludf.DUMMYFUNCTION("VALUE(SUBSTITUTE((INDEX(SPLIT(A5114,"",""),2)),""."","","",1))"),92.997371)</f>
        <v>92.997371</v>
      </c>
      <c r="R5114" s="14" t="b">
        <f t="shared" si="1"/>
        <v>0</v>
      </c>
      <c r="S5114" s="14" t="str">
        <f t="shared" si="2"/>
        <v>56.078397,92.997371</v>
      </c>
      <c r="T5114" s="12"/>
    </row>
    <row r="5115">
      <c r="A5115" s="16" t="s">
        <v>30150</v>
      </c>
      <c r="B5115" s="16" t="s">
        <v>32753</v>
      </c>
      <c r="C5115" s="16" t="s">
        <v>32754</v>
      </c>
      <c r="D5115" s="16" t="s">
        <v>16</v>
      </c>
      <c r="E5115" s="17" t="s">
        <v>32755</v>
      </c>
      <c r="F5115" s="16" t="s">
        <v>26306</v>
      </c>
      <c r="G5115" s="16">
        <v>23.61</v>
      </c>
      <c r="H5115" s="16"/>
      <c r="I5115" s="32" t="s">
        <v>32756</v>
      </c>
      <c r="J5115" s="16" t="s">
        <v>32757</v>
      </c>
      <c r="K5115" s="16" t="s">
        <v>32758</v>
      </c>
      <c r="L5115" s="16"/>
      <c r="M5115" s="25" t="s">
        <v>32759</v>
      </c>
      <c r="N5115" s="12"/>
      <c r="O5115" s="12"/>
      <c r="P5115" s="13">
        <f>IFERROR(__xludf.DUMMYFUNCTION("VALUE(SUBSTITUTE((INDEX(SPLIT(A5115,"",""),1)),""."","","",1))"),56.074695)</f>
        <v>56.074695</v>
      </c>
      <c r="Q5115" s="13">
        <f>IFERROR(__xludf.DUMMYFUNCTION("VALUE(SUBSTITUTE((INDEX(SPLIT(A5115,"",""),2)),""."","","",1))"),92.998737)</f>
        <v>92.998737</v>
      </c>
      <c r="R5115" s="14" t="b">
        <f t="shared" si="1"/>
        <v>0</v>
      </c>
      <c r="S5115" s="14" t="str">
        <f t="shared" si="2"/>
        <v>56.074695,92.998737</v>
      </c>
      <c r="T5115" s="12"/>
    </row>
    <row r="5116">
      <c r="A5116" s="8" t="s">
        <v>30157</v>
      </c>
      <c r="B5116" s="8" t="s">
        <v>32760</v>
      </c>
      <c r="C5116" s="8" t="s">
        <v>32761</v>
      </c>
      <c r="D5116" s="8" t="s">
        <v>16</v>
      </c>
      <c r="E5116" s="19" t="s">
        <v>32762</v>
      </c>
      <c r="F5116" s="8" t="s">
        <v>26306</v>
      </c>
      <c r="G5116" s="8">
        <v>23.61</v>
      </c>
      <c r="H5116" s="8"/>
      <c r="I5116" s="8"/>
      <c r="J5116" s="8" t="s">
        <v>32763</v>
      </c>
      <c r="K5116" s="8" t="s">
        <v>32764</v>
      </c>
      <c r="L5116" s="8"/>
      <c r="M5116" s="24" t="s">
        <v>32765</v>
      </c>
      <c r="N5116" s="12"/>
      <c r="O5116" s="12"/>
      <c r="P5116" s="13">
        <f>IFERROR(__xludf.DUMMYFUNCTION("VALUE(SUBSTITUTE((INDEX(SPLIT(A5116,"",""),1)),""."","","",1))"),56.013291)</f>
        <v>56.013291</v>
      </c>
      <c r="Q5116" s="13">
        <f>IFERROR(__xludf.DUMMYFUNCTION("VALUE(SUBSTITUTE((INDEX(SPLIT(A5116,"",""),2)),""."","","",1))"),93.010136)</f>
        <v>93.010136</v>
      </c>
      <c r="R5116" s="14" t="b">
        <f t="shared" si="1"/>
        <v>0</v>
      </c>
      <c r="S5116" s="14" t="str">
        <f t="shared" si="2"/>
        <v>56.013291,93.010136</v>
      </c>
      <c r="T5116" s="12"/>
    </row>
    <row r="5117">
      <c r="A5117" s="16" t="s">
        <v>30162</v>
      </c>
      <c r="B5117" s="16" t="s">
        <v>32766</v>
      </c>
      <c r="C5117" s="16" t="s">
        <v>32767</v>
      </c>
      <c r="D5117" s="16" t="s">
        <v>16</v>
      </c>
      <c r="E5117" s="17" t="s">
        <v>32768</v>
      </c>
      <c r="F5117" s="16" t="s">
        <v>26306</v>
      </c>
      <c r="G5117" s="16">
        <v>23.61</v>
      </c>
      <c r="H5117" s="16"/>
      <c r="I5117" s="16"/>
      <c r="J5117" s="16" t="s">
        <v>32769</v>
      </c>
      <c r="K5117" s="16" t="s">
        <v>32770</v>
      </c>
      <c r="L5117" s="16"/>
      <c r="M5117" s="25" t="s">
        <v>32771</v>
      </c>
      <c r="N5117" s="12"/>
      <c r="O5117" s="12"/>
      <c r="P5117" s="13">
        <f>IFERROR(__xludf.DUMMYFUNCTION("VALUE(SUBSTITUTE((INDEX(SPLIT(A5117,"",""),1)),""."","","",1))"),56.008389)</f>
        <v>56.008389</v>
      </c>
      <c r="Q5117" s="13">
        <f>IFERROR(__xludf.DUMMYFUNCTION("VALUE(SUBSTITUTE((INDEX(SPLIT(A5117,"",""),2)),""."","","",1))"),93.018338)</f>
        <v>93.018338</v>
      </c>
      <c r="R5117" s="14" t="b">
        <f t="shared" si="1"/>
        <v>0</v>
      </c>
      <c r="S5117" s="14" t="str">
        <f t="shared" si="2"/>
        <v>56.008389,93.018338</v>
      </c>
      <c r="T5117" s="12"/>
    </row>
    <row r="5118">
      <c r="A5118" s="8" t="s">
        <v>30167</v>
      </c>
      <c r="B5118" s="8" t="s">
        <v>32772</v>
      </c>
      <c r="C5118" s="8" t="s">
        <v>32773</v>
      </c>
      <c r="D5118" s="8" t="s">
        <v>16</v>
      </c>
      <c r="E5118" s="19" t="s">
        <v>32774</v>
      </c>
      <c r="F5118" s="8" t="s">
        <v>26306</v>
      </c>
      <c r="G5118" s="8">
        <v>23.61</v>
      </c>
      <c r="H5118" s="8"/>
      <c r="I5118" s="8"/>
      <c r="J5118" s="8" t="s">
        <v>32775</v>
      </c>
      <c r="K5118" s="8" t="s">
        <v>32776</v>
      </c>
      <c r="L5118" s="8"/>
      <c r="M5118" s="8"/>
      <c r="N5118" s="12"/>
      <c r="O5118" s="12"/>
      <c r="P5118" s="13">
        <f>IFERROR(__xludf.DUMMYFUNCTION("VALUE(SUBSTITUTE((INDEX(SPLIT(A5118,"",""),1)),""."","","",1))"),55.995277)</f>
        <v>55.995277</v>
      </c>
      <c r="Q5118" s="13">
        <f>IFERROR(__xludf.DUMMYFUNCTION("VALUE(SUBSTITUTE((INDEX(SPLIT(A5118,"",""),2)),""."","","",1))"),93.026521)</f>
        <v>93.026521</v>
      </c>
      <c r="R5118" s="14" t="b">
        <f t="shared" si="1"/>
        <v>0</v>
      </c>
      <c r="S5118" s="14" t="str">
        <f t="shared" si="2"/>
        <v>55.995277,93.026521</v>
      </c>
      <c r="T5118" s="12"/>
    </row>
    <row r="5119">
      <c r="A5119" s="16" t="s">
        <v>30173</v>
      </c>
      <c r="B5119" s="16" t="s">
        <v>32777</v>
      </c>
      <c r="C5119" s="16" t="s">
        <v>32778</v>
      </c>
      <c r="D5119" s="16" t="s">
        <v>16</v>
      </c>
      <c r="E5119" s="17" t="s">
        <v>32779</v>
      </c>
      <c r="F5119" s="16" t="s">
        <v>26306</v>
      </c>
      <c r="G5119" s="16">
        <v>23.61</v>
      </c>
      <c r="H5119" s="16"/>
      <c r="I5119" s="16"/>
      <c r="J5119" s="16" t="s">
        <v>32780</v>
      </c>
      <c r="K5119" s="16" t="s">
        <v>32781</v>
      </c>
      <c r="L5119" s="16"/>
      <c r="M5119" s="25" t="s">
        <v>32782</v>
      </c>
      <c r="N5119" s="12"/>
      <c r="O5119" s="12"/>
      <c r="P5119" s="13">
        <f>IFERROR(__xludf.DUMMYFUNCTION("VALUE(SUBSTITUTE((INDEX(SPLIT(A5119,"",""),1)),""."","","",1))"),56.004771)</f>
        <v>56.004771</v>
      </c>
      <c r="Q5119" s="13">
        <f>IFERROR(__xludf.DUMMYFUNCTION("VALUE(SUBSTITUTE((INDEX(SPLIT(A5119,"",""),2)),""."","","",1))"),93.036457)</f>
        <v>93.036457</v>
      </c>
      <c r="R5119" s="14" t="b">
        <f t="shared" si="1"/>
        <v>0</v>
      </c>
      <c r="S5119" s="14" t="str">
        <f t="shared" si="2"/>
        <v>56.004771,93.036457</v>
      </c>
      <c r="T5119" s="12"/>
    </row>
    <row r="5120">
      <c r="A5120" s="10" t="s">
        <v>30180</v>
      </c>
      <c r="B5120" s="8" t="s">
        <v>32783</v>
      </c>
      <c r="C5120" s="8" t="s">
        <v>32784</v>
      </c>
      <c r="D5120" s="8" t="s">
        <v>16</v>
      </c>
      <c r="E5120" s="9" t="s">
        <v>32785</v>
      </c>
      <c r="F5120" s="10" t="s">
        <v>26306</v>
      </c>
      <c r="G5120" s="8">
        <v>23.61</v>
      </c>
      <c r="H5120" s="8"/>
      <c r="I5120" s="10"/>
      <c r="J5120" s="10" t="s">
        <v>32786</v>
      </c>
      <c r="K5120" s="10" t="s">
        <v>32787</v>
      </c>
      <c r="L5120" s="11" t="s">
        <v>32788</v>
      </c>
      <c r="M5120" s="10"/>
      <c r="N5120" s="12"/>
      <c r="O5120" s="12"/>
      <c r="P5120" s="13">
        <f>IFERROR(__xludf.DUMMYFUNCTION("VALUE(SUBSTITUTE((INDEX(SPLIT(A5120,"",""),1)),""."","","",1))"),56.000598)</f>
        <v>56.000598</v>
      </c>
      <c r="Q5120" s="13">
        <f>IFERROR(__xludf.DUMMYFUNCTION("VALUE(SUBSTITUTE((INDEX(SPLIT(A5120,"",""),2)),""."","","",1))"),93.037957)</f>
        <v>93.037957</v>
      </c>
      <c r="R5120" s="14" t="b">
        <f t="shared" si="1"/>
        <v>0</v>
      </c>
      <c r="S5120" s="14" t="str">
        <f t="shared" si="2"/>
        <v>56.000598,93.037957</v>
      </c>
      <c r="T5120" s="12"/>
    </row>
    <row r="5121">
      <c r="A5121" s="16" t="s">
        <v>30187</v>
      </c>
      <c r="B5121" s="16" t="s">
        <v>32789</v>
      </c>
      <c r="C5121" s="16" t="s">
        <v>32790</v>
      </c>
      <c r="D5121" s="16" t="s">
        <v>16</v>
      </c>
      <c r="E5121" s="17" t="s">
        <v>32791</v>
      </c>
      <c r="F5121" s="16" t="s">
        <v>26306</v>
      </c>
      <c r="G5121" s="16">
        <v>23.61</v>
      </c>
      <c r="H5121" s="16"/>
      <c r="I5121" s="16"/>
      <c r="J5121" s="16" t="s">
        <v>32792</v>
      </c>
      <c r="K5121" s="16" t="s">
        <v>32793</v>
      </c>
      <c r="L5121" s="16"/>
      <c r="M5121" s="25" t="s">
        <v>32794</v>
      </c>
      <c r="N5121" s="12"/>
      <c r="O5121" s="12"/>
      <c r="P5121" s="13">
        <f>IFERROR(__xludf.DUMMYFUNCTION("VALUE(SUBSTITUTE((INDEX(SPLIT(A5121,"",""),1)),""."","","",1))"),56.004323)</f>
        <v>56.004323</v>
      </c>
      <c r="Q5121" s="13">
        <f>IFERROR(__xludf.DUMMYFUNCTION("VALUE(SUBSTITUTE((INDEX(SPLIT(A5121,"",""),2)),""."","","",1))"),93.038334)</f>
        <v>93.038334</v>
      </c>
      <c r="R5121" s="14" t="b">
        <f t="shared" si="1"/>
        <v>0</v>
      </c>
      <c r="S5121" s="14" t="str">
        <f t="shared" si="2"/>
        <v>56.004323,93.038334</v>
      </c>
      <c r="T5121" s="12"/>
    </row>
    <row r="5122">
      <c r="A5122" s="8" t="s">
        <v>30191</v>
      </c>
      <c r="B5122" s="8" t="s">
        <v>32795</v>
      </c>
      <c r="C5122" s="8" t="s">
        <v>32796</v>
      </c>
      <c r="D5122" s="8" t="s">
        <v>16</v>
      </c>
      <c r="E5122" s="19" t="s">
        <v>32797</v>
      </c>
      <c r="F5122" s="8" t="s">
        <v>26306</v>
      </c>
      <c r="G5122" s="8">
        <v>23.61</v>
      </c>
      <c r="H5122" s="8"/>
      <c r="I5122" s="8"/>
      <c r="J5122" s="8" t="s">
        <v>32798</v>
      </c>
      <c r="K5122" s="8" t="s">
        <v>32799</v>
      </c>
      <c r="L5122" s="8"/>
      <c r="M5122" s="24" t="s">
        <v>32800</v>
      </c>
      <c r="N5122" s="12"/>
      <c r="O5122" s="12"/>
      <c r="P5122" s="13">
        <f>IFERROR(__xludf.DUMMYFUNCTION("VALUE(SUBSTITUTE((INDEX(SPLIT(A5122,"",""),1)),""."","","",1))"),56.032549)</f>
        <v>56.032549</v>
      </c>
      <c r="Q5122" s="13">
        <f>IFERROR(__xludf.DUMMYFUNCTION("VALUE(SUBSTITUTE((INDEX(SPLIT(A5122,"",""),2)),""."","","",1))"),93.045988)</f>
        <v>93.045988</v>
      </c>
      <c r="R5122" s="14" t="b">
        <f t="shared" si="1"/>
        <v>0</v>
      </c>
      <c r="S5122" s="14" t="str">
        <f t="shared" si="2"/>
        <v>56.032549,93.045988</v>
      </c>
      <c r="T5122" s="12"/>
    </row>
    <row r="5123">
      <c r="A5123" s="16" t="s">
        <v>30198</v>
      </c>
      <c r="B5123" s="16" t="s">
        <v>83</v>
      </c>
      <c r="C5123" s="16" t="s">
        <v>84</v>
      </c>
      <c r="D5123" s="16" t="s">
        <v>16</v>
      </c>
      <c r="E5123" s="17" t="s">
        <v>32801</v>
      </c>
      <c r="F5123" s="16" t="s">
        <v>26306</v>
      </c>
      <c r="G5123" s="16">
        <v>23.61</v>
      </c>
      <c r="H5123" s="16"/>
      <c r="I5123" s="16"/>
      <c r="J5123" s="16" t="s">
        <v>32802</v>
      </c>
      <c r="K5123" s="16" t="s">
        <v>32803</v>
      </c>
      <c r="L5123" s="16"/>
      <c r="M5123" s="16"/>
      <c r="N5123" s="12"/>
      <c r="O5123" s="12"/>
      <c r="P5123" s="13">
        <f>IFERROR(__xludf.DUMMYFUNCTION("VALUE(SUBSTITUTE((INDEX(SPLIT(A5123,"",""),1)),""."","","",1))"),56.106058)</f>
        <v>56.106058</v>
      </c>
      <c r="Q5123" s="13">
        <f>IFERROR(__xludf.DUMMYFUNCTION("VALUE(SUBSTITUTE((INDEX(SPLIT(A5123,"",""),2)),""."","","",1))"),93.071392)</f>
        <v>93.071392</v>
      </c>
      <c r="R5123" s="14" t="b">
        <f t="shared" si="1"/>
        <v>0</v>
      </c>
      <c r="S5123" s="14" t="str">
        <f t="shared" si="2"/>
        <v>56.106058,93.071392</v>
      </c>
      <c r="T5123" s="12"/>
    </row>
    <row r="5124">
      <c r="A5124" s="10" t="s">
        <v>30204</v>
      </c>
      <c r="B5124" s="8" t="s">
        <v>32804</v>
      </c>
      <c r="C5124" s="8" t="s">
        <v>32805</v>
      </c>
      <c r="D5124" s="8" t="s">
        <v>16</v>
      </c>
      <c r="E5124" s="9" t="s">
        <v>32806</v>
      </c>
      <c r="F5124" s="10" t="s">
        <v>26306</v>
      </c>
      <c r="G5124" s="8">
        <v>23.61</v>
      </c>
      <c r="H5124" s="8"/>
      <c r="I5124" s="10"/>
      <c r="J5124" s="10" t="s">
        <v>32807</v>
      </c>
      <c r="K5124" s="10" t="s">
        <v>32808</v>
      </c>
      <c r="L5124" s="11" t="s">
        <v>32809</v>
      </c>
      <c r="M5124" s="11" t="s">
        <v>32810</v>
      </c>
      <c r="N5124" s="12"/>
      <c r="O5124" s="12"/>
      <c r="P5124" s="13">
        <f>IFERROR(__xludf.DUMMYFUNCTION("VALUE(SUBSTITUTE((INDEX(SPLIT(A5124,"",""),1)),""."","","",1))"),56.035542)</f>
        <v>56.035542</v>
      </c>
      <c r="Q5124" s="13">
        <f>IFERROR(__xludf.DUMMYFUNCTION("VALUE(SUBSTITUTE((INDEX(SPLIT(A5124,"",""),2)),""."","","",1))"),93.112302)</f>
        <v>93.112302</v>
      </c>
      <c r="R5124" s="14" t="b">
        <f t="shared" si="1"/>
        <v>0</v>
      </c>
      <c r="S5124" s="14" t="str">
        <f t="shared" si="2"/>
        <v>56.035542,93.112302</v>
      </c>
      <c r="T5124" s="12"/>
    </row>
    <row r="5125">
      <c r="A5125" s="22" t="s">
        <v>30209</v>
      </c>
      <c r="B5125" s="16" t="s">
        <v>16887</v>
      </c>
      <c r="C5125" s="16" t="s">
        <v>16888</v>
      </c>
      <c r="D5125" s="16" t="s">
        <v>16</v>
      </c>
      <c r="E5125" s="21" t="s">
        <v>32811</v>
      </c>
      <c r="F5125" s="22" t="s">
        <v>26306</v>
      </c>
      <c r="G5125" s="16">
        <v>23.61</v>
      </c>
      <c r="H5125" s="16"/>
      <c r="I5125" s="22"/>
      <c r="J5125" s="22" t="s">
        <v>32812</v>
      </c>
      <c r="K5125" s="22" t="s">
        <v>32813</v>
      </c>
      <c r="L5125" s="23" t="s">
        <v>32814</v>
      </c>
      <c r="M5125" s="22"/>
      <c r="N5125" s="12"/>
      <c r="O5125" s="12"/>
      <c r="P5125" s="13">
        <f>IFERROR(__xludf.DUMMYFUNCTION("VALUE(SUBSTITUTE((INDEX(SPLIT(A5125,"",""),1)),""."","","",1))"),56.037136)</f>
        <v>56.037136</v>
      </c>
      <c r="Q5125" s="13">
        <f>IFERROR(__xludf.DUMMYFUNCTION("VALUE(SUBSTITUTE((INDEX(SPLIT(A5125,"",""),2)),""."","","",1))"),93.126603)</f>
        <v>93.126603</v>
      </c>
      <c r="R5125" s="14" t="b">
        <f t="shared" si="1"/>
        <v>0</v>
      </c>
      <c r="S5125" s="14" t="str">
        <f t="shared" si="2"/>
        <v>56.037136,93.126603</v>
      </c>
      <c r="T5125" s="12"/>
    </row>
    <row r="5126">
      <c r="A5126" s="10" t="s">
        <v>30216</v>
      </c>
      <c r="B5126" s="8" t="s">
        <v>32815</v>
      </c>
      <c r="C5126" s="8" t="s">
        <v>32816</v>
      </c>
      <c r="D5126" s="8" t="s">
        <v>16</v>
      </c>
      <c r="E5126" s="9" t="s">
        <v>32817</v>
      </c>
      <c r="F5126" s="10" t="s">
        <v>26306</v>
      </c>
      <c r="G5126" s="8">
        <v>23.61</v>
      </c>
      <c r="H5126" s="8"/>
      <c r="I5126" s="10"/>
      <c r="J5126" s="10" t="s">
        <v>32818</v>
      </c>
      <c r="K5126" s="10" t="s">
        <v>32819</v>
      </c>
      <c r="L5126" s="11" t="s">
        <v>32591</v>
      </c>
      <c r="M5126" s="10"/>
      <c r="N5126" s="12"/>
      <c r="O5126" s="12"/>
      <c r="P5126" s="13">
        <f>IFERROR(__xludf.DUMMYFUNCTION("VALUE(SUBSTITUTE((INDEX(SPLIT(A5126,"",""),1)),""."","","",1))"),56.117401)</f>
        <v>56.117401</v>
      </c>
      <c r="Q5126" s="13">
        <f>IFERROR(__xludf.DUMMYFUNCTION("VALUE(SUBSTITUTE((INDEX(SPLIT(A5126,"",""),2)),""."","","",1))"),93.329065)</f>
        <v>93.329065</v>
      </c>
      <c r="R5126" s="14" t="b">
        <f t="shared" si="1"/>
        <v>0</v>
      </c>
      <c r="S5126" s="14" t="str">
        <f t="shared" si="2"/>
        <v>56.117401,93.329065</v>
      </c>
      <c r="T5126" s="12"/>
    </row>
    <row r="5127">
      <c r="A5127" s="16" t="s">
        <v>30223</v>
      </c>
      <c r="B5127" s="16" t="s">
        <v>32820</v>
      </c>
      <c r="C5127" s="16" t="s">
        <v>32821</v>
      </c>
      <c r="D5127" s="16" t="s">
        <v>16</v>
      </c>
      <c r="E5127" s="17" t="s">
        <v>32822</v>
      </c>
      <c r="F5127" s="16" t="s">
        <v>26306</v>
      </c>
      <c r="G5127" s="16">
        <v>23.61</v>
      </c>
      <c r="H5127" s="16"/>
      <c r="I5127" s="16"/>
      <c r="J5127" s="16" t="s">
        <v>32823</v>
      </c>
      <c r="K5127" s="16" t="s">
        <v>32824</v>
      </c>
      <c r="L5127" s="16"/>
      <c r="M5127" s="25" t="s">
        <v>32825</v>
      </c>
      <c r="N5127" s="12"/>
      <c r="O5127" s="12"/>
      <c r="P5127" s="13">
        <f>IFERROR(__xludf.DUMMYFUNCTION("VALUE(SUBSTITUTE((INDEX(SPLIT(A5127,"",""),1)),""."","","",1))"),56.118179)</f>
        <v>56.118179</v>
      </c>
      <c r="Q5127" s="13">
        <f>IFERROR(__xludf.DUMMYFUNCTION("VALUE(SUBSTITUTE((INDEX(SPLIT(A5127,"",""),2)),""."","","",1))"),93.329128)</f>
        <v>93.329128</v>
      </c>
      <c r="R5127" s="14" t="b">
        <f t="shared" si="1"/>
        <v>0</v>
      </c>
      <c r="S5127" s="14" t="str">
        <f t="shared" si="2"/>
        <v>56.118179,93.329128</v>
      </c>
      <c r="T5127" s="12"/>
    </row>
    <row r="5128">
      <c r="A5128" s="10" t="s">
        <v>30228</v>
      </c>
      <c r="B5128" s="8" t="s">
        <v>32826</v>
      </c>
      <c r="C5128" s="8" t="s">
        <v>32827</v>
      </c>
      <c r="D5128" s="8" t="s">
        <v>16</v>
      </c>
      <c r="E5128" s="9" t="s">
        <v>32828</v>
      </c>
      <c r="F5128" s="10" t="s">
        <v>26306</v>
      </c>
      <c r="G5128" s="8">
        <v>23.61</v>
      </c>
      <c r="H5128" s="8"/>
      <c r="I5128" s="31" t="s">
        <v>32829</v>
      </c>
      <c r="J5128" s="10" t="s">
        <v>32830</v>
      </c>
      <c r="K5128" s="10" t="s">
        <v>32831</v>
      </c>
      <c r="L5128" s="11" t="s">
        <v>32832</v>
      </c>
      <c r="M5128" s="10"/>
      <c r="N5128" s="12"/>
      <c r="O5128" s="12"/>
      <c r="P5128" s="13">
        <f>IFERROR(__xludf.DUMMYFUNCTION("VALUE(SUBSTITUTE((INDEX(SPLIT(A5128,"",""),1)),""."","","",1))"),56.133146)</f>
        <v>56.133146</v>
      </c>
      <c r="Q5128" s="13">
        <f>IFERROR(__xludf.DUMMYFUNCTION("VALUE(SUBSTITUTE((INDEX(SPLIT(A5128,"",""),2)),""."","","",1))"),93.352403)</f>
        <v>93.352403</v>
      </c>
      <c r="R5128" s="14" t="b">
        <f t="shared" si="1"/>
        <v>0</v>
      </c>
      <c r="S5128" s="14" t="str">
        <f t="shared" si="2"/>
        <v>56.133146,93.352403</v>
      </c>
      <c r="T5128" s="12"/>
    </row>
    <row r="5129">
      <c r="A5129" s="16" t="s">
        <v>30235</v>
      </c>
      <c r="B5129" s="16" t="s">
        <v>32833</v>
      </c>
      <c r="C5129" s="16" t="s">
        <v>32834</v>
      </c>
      <c r="D5129" s="16" t="s">
        <v>16</v>
      </c>
      <c r="E5129" s="17" t="s">
        <v>32835</v>
      </c>
      <c r="F5129" s="16" t="s">
        <v>26306</v>
      </c>
      <c r="G5129" s="16">
        <v>23.61</v>
      </c>
      <c r="H5129" s="16"/>
      <c r="I5129" s="16"/>
      <c r="J5129" s="16" t="s">
        <v>32836</v>
      </c>
      <c r="K5129" s="16" t="s">
        <v>12698</v>
      </c>
      <c r="L5129" s="16"/>
      <c r="M5129" s="16"/>
      <c r="N5129" s="12"/>
      <c r="O5129" s="12"/>
      <c r="P5129" s="13">
        <f>IFERROR(__xludf.DUMMYFUNCTION("VALUE(SUBSTITUTE((INDEX(SPLIT(A5129,"",""),1)),""."","","",1))"),56.137636)</f>
        <v>56.137636</v>
      </c>
      <c r="Q5129" s="13">
        <f>IFERROR(__xludf.DUMMYFUNCTION("VALUE(SUBSTITUTE((INDEX(SPLIT(A5129,"",""),2)),""."","","",1))"),93.364028)</f>
        <v>93.364028</v>
      </c>
      <c r="R5129" s="14" t="b">
        <f t="shared" si="1"/>
        <v>0</v>
      </c>
      <c r="S5129" s="14" t="str">
        <f t="shared" si="2"/>
        <v>56.137636,93.364028</v>
      </c>
      <c r="T5129" s="12"/>
    </row>
    <row r="5130">
      <c r="A5130" s="8" t="s">
        <v>30269</v>
      </c>
      <c r="B5130" s="8" t="s">
        <v>32837</v>
      </c>
      <c r="C5130" s="8" t="s">
        <v>32838</v>
      </c>
      <c r="D5130" s="8" t="s">
        <v>16</v>
      </c>
      <c r="E5130" s="19" t="s">
        <v>32839</v>
      </c>
      <c r="F5130" s="8" t="s">
        <v>26306</v>
      </c>
      <c r="G5130" s="8">
        <v>23.61</v>
      </c>
      <c r="H5130" s="8"/>
      <c r="I5130" s="8"/>
      <c r="J5130" s="8" t="s">
        <v>32840</v>
      </c>
      <c r="K5130" s="8" t="s">
        <v>32841</v>
      </c>
      <c r="L5130" s="8"/>
      <c r="M5130" s="24" t="s">
        <v>32842</v>
      </c>
      <c r="N5130" s="12"/>
      <c r="O5130" s="12"/>
      <c r="P5130" s="13">
        <f>IFERROR(__xludf.DUMMYFUNCTION("VALUE(SUBSTITUTE((INDEX(SPLIT(A5130,"",""),1)),""."","","",1))"),56.109893)</f>
        <v>56.109893</v>
      </c>
      <c r="Q5130" s="13">
        <f>IFERROR(__xludf.DUMMYFUNCTION("VALUE(SUBSTITUTE((INDEX(SPLIT(A5130,"",""),2)),""."","","",1))"),94.599247)</f>
        <v>94.599247</v>
      </c>
      <c r="R5130" s="14" t="b">
        <f t="shared" si="1"/>
        <v>0</v>
      </c>
      <c r="S5130" s="14" t="str">
        <f t="shared" si="2"/>
        <v>56.109893,94.599247</v>
      </c>
      <c r="T5130" s="12"/>
    </row>
    <row r="5131">
      <c r="A5131" s="16" t="s">
        <v>30276</v>
      </c>
      <c r="B5131" s="16" t="s">
        <v>4362</v>
      </c>
      <c r="C5131" s="16" t="s">
        <v>4363</v>
      </c>
      <c r="D5131" s="16" t="s">
        <v>16</v>
      </c>
      <c r="E5131" s="17" t="s">
        <v>32843</v>
      </c>
      <c r="F5131" s="16" t="s">
        <v>26306</v>
      </c>
      <c r="G5131" s="16">
        <v>23.61</v>
      </c>
      <c r="H5131" s="16"/>
      <c r="I5131" s="16"/>
      <c r="J5131" s="16" t="s">
        <v>32844</v>
      </c>
      <c r="K5131" s="16" t="s">
        <v>32845</v>
      </c>
      <c r="L5131" s="16"/>
      <c r="M5131" s="25" t="s">
        <v>32846</v>
      </c>
      <c r="N5131" s="12"/>
      <c r="O5131" s="12"/>
      <c r="P5131" s="13">
        <f>IFERROR(__xludf.DUMMYFUNCTION("VALUE(SUBSTITUTE((INDEX(SPLIT(A5131,"",""),1)),""."","","",1))"),55.665843)</f>
        <v>55.665843</v>
      </c>
      <c r="Q5131" s="13">
        <f>IFERROR(__xludf.DUMMYFUNCTION("VALUE(SUBSTITUTE((INDEX(SPLIT(A5131,"",""),2)),""."","","",1))"),95.507659)</f>
        <v>95.507659</v>
      </c>
      <c r="R5131" s="14" t="b">
        <f t="shared" si="1"/>
        <v>0</v>
      </c>
      <c r="S5131" s="14" t="str">
        <f t="shared" si="2"/>
        <v>55.665843,95.507659</v>
      </c>
      <c r="T5131" s="12"/>
    </row>
    <row r="5132">
      <c r="A5132" s="8" t="s">
        <v>30281</v>
      </c>
      <c r="B5132" s="8" t="s">
        <v>32847</v>
      </c>
      <c r="C5132" s="8" t="s">
        <v>32848</v>
      </c>
      <c r="D5132" s="8" t="s">
        <v>16</v>
      </c>
      <c r="E5132" s="19" t="s">
        <v>32849</v>
      </c>
      <c r="F5132" s="8" t="s">
        <v>26306</v>
      </c>
      <c r="G5132" s="8">
        <v>23.61</v>
      </c>
      <c r="H5132" s="8"/>
      <c r="I5132" s="8"/>
      <c r="J5132" s="8" t="s">
        <v>32850</v>
      </c>
      <c r="K5132" s="8" t="s">
        <v>32851</v>
      </c>
      <c r="L5132" s="8"/>
      <c r="M5132" s="8"/>
      <c r="N5132" s="12"/>
      <c r="O5132" s="12"/>
      <c r="P5132" s="13">
        <f>IFERROR(__xludf.DUMMYFUNCTION("VALUE(SUBSTITUTE((INDEX(SPLIT(A5132,"",""),1)),""."","","",1))"),56.249006)</f>
        <v>56.249006</v>
      </c>
      <c r="Q5132" s="13">
        <f>IFERROR(__xludf.DUMMYFUNCTION("VALUE(SUBSTITUTE((INDEX(SPLIT(A5132,"",""),2)),""."","","",1))"),95.601192)</f>
        <v>95.601192</v>
      </c>
      <c r="R5132" s="14" t="b">
        <f t="shared" si="1"/>
        <v>0</v>
      </c>
      <c r="S5132" s="14" t="str">
        <f t="shared" si="2"/>
        <v>56.249006,95.601192</v>
      </c>
      <c r="T5132" s="12"/>
    </row>
    <row r="5133">
      <c r="A5133" s="16" t="s">
        <v>30287</v>
      </c>
      <c r="B5133" s="16" t="s">
        <v>32852</v>
      </c>
      <c r="C5133" s="16" t="s">
        <v>32853</v>
      </c>
      <c r="D5133" s="16" t="s">
        <v>16</v>
      </c>
      <c r="E5133" s="17" t="s">
        <v>32854</v>
      </c>
      <c r="F5133" s="16" t="s">
        <v>26306</v>
      </c>
      <c r="G5133" s="16">
        <v>23.61</v>
      </c>
      <c r="H5133" s="16"/>
      <c r="I5133" s="16"/>
      <c r="J5133" s="16" t="s">
        <v>32855</v>
      </c>
      <c r="K5133" s="16" t="s">
        <v>32856</v>
      </c>
      <c r="L5133" s="16"/>
      <c r="M5133" s="16"/>
      <c r="N5133" s="12"/>
      <c r="O5133" s="12"/>
      <c r="P5133" s="13">
        <f>IFERROR(__xludf.DUMMYFUNCTION("VALUE(SUBSTITUTE((INDEX(SPLIT(A5133,"",""),1)),""."","","",1))"),56.233824)</f>
        <v>56.233824</v>
      </c>
      <c r="Q5133" s="13">
        <f>IFERROR(__xludf.DUMMYFUNCTION("VALUE(SUBSTITUTE((INDEX(SPLIT(A5133,"",""),2)),""."","","",1))"),95.692604)</f>
        <v>95.692604</v>
      </c>
      <c r="R5133" s="14" t="b">
        <f t="shared" si="1"/>
        <v>0</v>
      </c>
      <c r="S5133" s="14" t="str">
        <f t="shared" si="2"/>
        <v>56.233824,95.692604</v>
      </c>
      <c r="T5133" s="12"/>
    </row>
    <row r="5134">
      <c r="A5134" s="8" t="s">
        <v>30294</v>
      </c>
      <c r="B5134" s="8" t="s">
        <v>32857</v>
      </c>
      <c r="C5134" s="8" t="s">
        <v>32858</v>
      </c>
      <c r="D5134" s="8" t="s">
        <v>16</v>
      </c>
      <c r="E5134" s="19" t="s">
        <v>32859</v>
      </c>
      <c r="F5134" s="8" t="s">
        <v>26306</v>
      </c>
      <c r="G5134" s="8">
        <v>23.61</v>
      </c>
      <c r="H5134" s="8"/>
      <c r="I5134" s="8"/>
      <c r="J5134" s="8" t="s">
        <v>32860</v>
      </c>
      <c r="K5134" s="8" t="s">
        <v>32861</v>
      </c>
      <c r="L5134" s="8"/>
      <c r="M5134" s="8"/>
      <c r="N5134" s="12"/>
      <c r="O5134" s="12"/>
      <c r="P5134" s="13">
        <f>IFERROR(__xludf.DUMMYFUNCTION("VALUE(SUBSTITUTE((INDEX(SPLIT(A5134,"",""),1)),""."","","",1))"),58.409473)</f>
        <v>58.409473</v>
      </c>
      <c r="Q5134" s="13">
        <f>IFERROR(__xludf.DUMMYFUNCTION("VALUE(SUBSTITUTE((INDEX(SPLIT(A5134,"",""),2)),""."","","",1))"),97.221232)</f>
        <v>97.221232</v>
      </c>
      <c r="R5134" s="14" t="b">
        <f t="shared" si="1"/>
        <v>0</v>
      </c>
      <c r="S5134" s="14" t="str">
        <f t="shared" si="2"/>
        <v>58.409473,97.221232</v>
      </c>
      <c r="T5134" s="12"/>
    </row>
    <row r="5135">
      <c r="A5135" s="16" t="s">
        <v>30303</v>
      </c>
      <c r="B5135" s="16" t="s">
        <v>32862</v>
      </c>
      <c r="C5135" s="16" t="s">
        <v>32863</v>
      </c>
      <c r="D5135" s="16" t="s">
        <v>16</v>
      </c>
      <c r="E5135" s="17" t="s">
        <v>32864</v>
      </c>
      <c r="F5135" s="16" t="s">
        <v>26306</v>
      </c>
      <c r="G5135" s="16">
        <v>23.61</v>
      </c>
      <c r="H5135" s="16"/>
      <c r="I5135" s="16"/>
      <c r="J5135" s="16" t="s">
        <v>32865</v>
      </c>
      <c r="K5135" s="16" t="s">
        <v>32866</v>
      </c>
      <c r="L5135" s="16"/>
      <c r="M5135" s="16"/>
      <c r="N5135" s="12"/>
      <c r="O5135" s="12"/>
      <c r="P5135" s="13">
        <f>IFERROR(__xludf.DUMMYFUNCTION("VALUE(SUBSTITUTE((INDEX(SPLIT(A5135,"",""),1)),""."","","",1))"),58.380944)</f>
        <v>58.380944</v>
      </c>
      <c r="Q5135" s="13">
        <f>IFERROR(__xludf.DUMMYFUNCTION("VALUE(SUBSTITUTE((INDEX(SPLIT(A5135,"",""),2)),""."","","",1))"),97.42876)</f>
        <v>97.42876</v>
      </c>
      <c r="R5135" s="14" t="b">
        <f t="shared" si="1"/>
        <v>0</v>
      </c>
      <c r="S5135" s="14" t="str">
        <f t="shared" si="2"/>
        <v>58.380944,97.42876</v>
      </c>
      <c r="T5135" s="12"/>
    </row>
    <row r="5136">
      <c r="A5136" s="10" t="s">
        <v>30310</v>
      </c>
      <c r="B5136" s="8" t="s">
        <v>32867</v>
      </c>
      <c r="C5136" s="34" t="s">
        <v>32868</v>
      </c>
      <c r="D5136" s="8" t="s">
        <v>16</v>
      </c>
      <c r="E5136" s="9" t="s">
        <v>32869</v>
      </c>
      <c r="F5136" s="10" t="s">
        <v>26306</v>
      </c>
      <c r="G5136" s="8">
        <v>23.61</v>
      </c>
      <c r="H5136" s="8"/>
      <c r="I5136" s="10"/>
      <c r="J5136" s="10" t="s">
        <v>32870</v>
      </c>
      <c r="K5136" s="10" t="s">
        <v>32871</v>
      </c>
      <c r="L5136" s="11" t="s">
        <v>32872</v>
      </c>
      <c r="M5136" s="10"/>
      <c r="N5136" s="12"/>
      <c r="O5136" s="12"/>
      <c r="P5136" s="13">
        <f>IFERROR(__xludf.DUMMYFUNCTION("VALUE(SUBSTITUTE((INDEX(SPLIT(A5136,"",""),1)),""."","","",1))"),58.603412)</f>
        <v>58.603412</v>
      </c>
      <c r="Q5136" s="13">
        <f>IFERROR(__xludf.DUMMYFUNCTION("VALUE(SUBSTITUTE((INDEX(SPLIT(A5136,"",""),2)),""."","","",1))"),99.179712)</f>
        <v>99.179712</v>
      </c>
      <c r="R5136" s="14" t="b">
        <f t="shared" si="1"/>
        <v>0</v>
      </c>
      <c r="S5136" s="14" t="str">
        <f t="shared" si="2"/>
        <v>58.603412,99.179712</v>
      </c>
      <c r="T5136" s="12"/>
    </row>
    <row r="5137">
      <c r="A5137" s="35" t="s">
        <v>32873</v>
      </c>
      <c r="B5137" s="36" t="s">
        <v>25526</v>
      </c>
      <c r="C5137" s="36" t="s">
        <v>32874</v>
      </c>
      <c r="D5137" s="37" t="s">
        <v>32875</v>
      </c>
      <c r="E5137" s="38" t="s">
        <v>25528</v>
      </c>
      <c r="F5137" s="36" t="s">
        <v>9648</v>
      </c>
      <c r="G5137" s="36" t="s">
        <v>32876</v>
      </c>
      <c r="H5137" s="37" t="s">
        <v>32877</v>
      </c>
      <c r="I5137" s="39" t="s">
        <v>32878</v>
      </c>
      <c r="J5137" s="36" t="s">
        <v>25529</v>
      </c>
      <c r="K5137" s="36" t="s">
        <v>25530</v>
      </c>
      <c r="L5137" s="40" t="s">
        <v>32879</v>
      </c>
      <c r="M5137" s="39" t="s">
        <v>32880</v>
      </c>
      <c r="N5137" s="12"/>
      <c r="O5137" s="12"/>
      <c r="P5137" s="13">
        <f>IFERROR(__xludf.DUMMYFUNCTION("VALUE(SUBSTITUTE((INDEX(SPLIT(A5137,"",""),1)),""."","","",1))"),55.013576508)</f>
        <v>55.01357651</v>
      </c>
      <c r="Q5137" s="13">
        <f>IFERROR(__xludf.DUMMYFUNCTION("VALUE(SUBSTITUTE((INDEX(SPLIT(A5137,"",""),2)),""."","","",1))"),82.941894531)</f>
        <v>82.94189453</v>
      </c>
      <c r="R5137" s="14" t="b">
        <f t="shared" si="1"/>
        <v>0</v>
      </c>
      <c r="S5137" s="14" t="str">
        <f t="shared" si="2"/>
        <v>55.013576508,82.941894531</v>
      </c>
      <c r="T5137" s="12"/>
    </row>
    <row r="5138">
      <c r="A5138" s="41" t="s">
        <v>32881</v>
      </c>
      <c r="B5138" s="42" t="s">
        <v>32882</v>
      </c>
      <c r="C5138" s="42" t="s">
        <v>32883</v>
      </c>
      <c r="D5138" s="42" t="s">
        <v>32875</v>
      </c>
      <c r="E5138" s="43" t="s">
        <v>32884</v>
      </c>
      <c r="F5138" s="42" t="s">
        <v>3760</v>
      </c>
      <c r="G5138" s="44">
        <v>39016.0</v>
      </c>
      <c r="H5138" s="41"/>
      <c r="I5138" s="45"/>
      <c r="J5138" s="46" t="s">
        <v>32885</v>
      </c>
      <c r="K5138" s="42" t="s">
        <v>32886</v>
      </c>
      <c r="L5138" s="47" t="s">
        <v>32887</v>
      </c>
      <c r="M5138" s="48" t="s">
        <v>32888</v>
      </c>
      <c r="N5138" s="12"/>
      <c r="O5138" s="12"/>
      <c r="P5138" s="13">
        <f>IFERROR(__xludf.DUMMYFUNCTION("VALUE(SUBSTITUTE((INDEX(SPLIT(A5138,"",""),1)),""."","","",1))"),55.172825)</f>
        <v>55.172825</v>
      </c>
      <c r="Q5138" s="13">
        <f>IFERROR(__xludf.DUMMYFUNCTION("VALUE(SUBSTITUTE((INDEX(SPLIT(A5138,"",""),2)),""."","","",1))"),37.419459)</f>
        <v>37.419459</v>
      </c>
      <c r="R5138" s="14" t="b">
        <f t="shared" si="1"/>
        <v>0</v>
      </c>
      <c r="S5138" s="14" t="str">
        <f t="shared" si="2"/>
        <v>55.172825,37.419459</v>
      </c>
      <c r="T5138" s="12"/>
    </row>
    <row r="5139">
      <c r="A5139" s="35" t="s">
        <v>32889</v>
      </c>
      <c r="B5139" s="49" t="s">
        <v>32890</v>
      </c>
      <c r="C5139" s="36" t="s">
        <v>32891</v>
      </c>
      <c r="D5139" s="37" t="s">
        <v>32875</v>
      </c>
      <c r="E5139" s="38" t="s">
        <v>32892</v>
      </c>
      <c r="F5139" s="36" t="s">
        <v>11562</v>
      </c>
      <c r="G5139" s="50">
        <v>44950.0</v>
      </c>
      <c r="H5139" s="51"/>
      <c r="I5139" s="39" t="s">
        <v>32893</v>
      </c>
      <c r="J5139" s="52" t="s">
        <v>32894</v>
      </c>
      <c r="K5139" s="52" t="s">
        <v>32895</v>
      </c>
      <c r="L5139" s="40" t="s">
        <v>32896</v>
      </c>
      <c r="M5139" s="39" t="s">
        <v>32897</v>
      </c>
      <c r="N5139" s="12"/>
      <c r="O5139" s="12"/>
      <c r="P5139" s="13">
        <f>IFERROR(__xludf.DUMMYFUNCTION("VALUE(SUBSTITUTE((INDEX(SPLIT(A5139,"",""),1)),""."","","",1))"),59.136016846)</f>
        <v>59.13601685</v>
      </c>
      <c r="Q5139" s="13">
        <f>IFERROR(__xludf.DUMMYFUNCTION("VALUE(SUBSTITUTE((INDEX(SPLIT(A5139,"",""),2)),""."","","",1))"),37.868976593)</f>
        <v>37.86897659</v>
      </c>
      <c r="R5139" s="14" t="b">
        <f t="shared" si="1"/>
        <v>0</v>
      </c>
      <c r="S5139" s="14" t="str">
        <f t="shared" si="2"/>
        <v>59.136016846,37.868976593</v>
      </c>
      <c r="T5139" s="12"/>
    </row>
    <row r="5140">
      <c r="A5140" s="53" t="s">
        <v>32898</v>
      </c>
      <c r="B5140" s="54" t="s">
        <v>32899</v>
      </c>
      <c r="C5140" s="54" t="s">
        <v>32900</v>
      </c>
      <c r="D5140" s="55" t="s">
        <v>32875</v>
      </c>
      <c r="E5140" s="56" t="s">
        <v>32901</v>
      </c>
      <c r="F5140" s="54" t="s">
        <v>23544</v>
      </c>
      <c r="G5140" s="57">
        <v>44950.0</v>
      </c>
      <c r="H5140" s="58"/>
      <c r="I5140" s="59" t="s">
        <v>32902</v>
      </c>
      <c r="J5140" s="60" t="s">
        <v>32903</v>
      </c>
      <c r="K5140" s="54" t="s">
        <v>32904</v>
      </c>
      <c r="L5140" s="61" t="s">
        <v>32905</v>
      </c>
      <c r="M5140" s="59" t="s">
        <v>32906</v>
      </c>
      <c r="N5140" s="12"/>
      <c r="O5140" s="12"/>
      <c r="P5140" s="13">
        <f>IFERROR(__xludf.DUMMYFUNCTION("VALUE(SUBSTITUTE((INDEX(SPLIT(A5140,"",""),1)),""."","","",1))"),55.26390486642)</f>
        <v>55.26390487</v>
      </c>
      <c r="Q5140" s="13">
        <f>IFERROR(__xludf.DUMMYFUNCTION("VALUE(SUBSTITUTE((INDEX(SPLIT(A5140,"",""),2)),""."","","",1))"),61.413400406676)</f>
        <v>61.41340041</v>
      </c>
      <c r="R5140" s="14" t="b">
        <f t="shared" si="1"/>
        <v>0</v>
      </c>
      <c r="S5140" s="14" t="str">
        <f t="shared" si="2"/>
        <v>55.26390486642,61.413400406676</v>
      </c>
      <c r="T5140" s="12"/>
    </row>
    <row r="5141">
      <c r="A5141" s="35" t="s">
        <v>32907</v>
      </c>
      <c r="B5141" s="36" t="s">
        <v>32908</v>
      </c>
      <c r="C5141" s="36" t="s">
        <v>32909</v>
      </c>
      <c r="D5141" s="37" t="s">
        <v>32875</v>
      </c>
      <c r="E5141" s="38" t="s">
        <v>32910</v>
      </c>
      <c r="F5141" s="36" t="s">
        <v>24698</v>
      </c>
      <c r="G5141" s="62">
        <v>39014.0</v>
      </c>
      <c r="H5141" s="51"/>
      <c r="I5141" s="39" t="s">
        <v>32911</v>
      </c>
      <c r="J5141" s="36" t="s">
        <v>32912</v>
      </c>
      <c r="K5141" s="36" t="s">
        <v>32913</v>
      </c>
      <c r="L5141" s="40" t="s">
        <v>32914</v>
      </c>
      <c r="M5141" s="39" t="s">
        <v>32915</v>
      </c>
      <c r="N5141" s="12"/>
      <c r="O5141" s="12"/>
      <c r="P5141" s="13">
        <f>IFERROR(__xludf.DUMMYFUNCTION("VALUE(SUBSTITUTE((INDEX(SPLIT(A5141,"",""),1)),""."","","",1))"),53.893386841)</f>
        <v>53.89338684</v>
      </c>
      <c r="Q5141" s="13">
        <f>IFERROR(__xludf.DUMMYFUNCTION("VALUE(SUBSTITUTE((INDEX(SPLIT(A5141,"",""),2)),""."","","",1))"),87.279579163)</f>
        <v>87.27957916</v>
      </c>
      <c r="R5141" s="14" t="b">
        <f t="shared" si="1"/>
        <v>0</v>
      </c>
      <c r="S5141" s="14" t="str">
        <f t="shared" si="2"/>
        <v>53.893386841,87.279579163</v>
      </c>
      <c r="T5141" s="12"/>
    </row>
    <row r="5142">
      <c r="A5142" s="53" t="s">
        <v>32916</v>
      </c>
      <c r="B5142" s="54" t="s">
        <v>32917</v>
      </c>
      <c r="C5142" s="54" t="s">
        <v>32918</v>
      </c>
      <c r="D5142" s="55" t="s">
        <v>32875</v>
      </c>
      <c r="E5142" s="56" t="s">
        <v>32919</v>
      </c>
      <c r="F5142" s="63" t="s">
        <v>32920</v>
      </c>
      <c r="G5142" s="54">
        <v>24100.0</v>
      </c>
      <c r="H5142" s="58"/>
      <c r="I5142" s="59" t="s">
        <v>32921</v>
      </c>
      <c r="J5142" s="64" t="s">
        <v>32922</v>
      </c>
      <c r="K5142" s="53"/>
      <c r="L5142" s="61" t="s">
        <v>32923</v>
      </c>
      <c r="M5142" s="59" t="s">
        <v>32924</v>
      </c>
      <c r="N5142" s="12"/>
      <c r="O5142" s="12"/>
      <c r="P5142" s="13">
        <f>IFERROR(__xludf.DUMMYFUNCTION("VALUE(SUBSTITUTE((INDEX(SPLIT(A5142,"",""),1)),""."","","",1))"),53.954797225983)</f>
        <v>53.95479723</v>
      </c>
      <c r="Q5142" s="13">
        <f>IFERROR(__xludf.DUMMYFUNCTION("VALUE(SUBSTITUTE((INDEX(SPLIT(A5142,"",""),2)),""."","","",1))"),58.344533610318)</f>
        <v>58.34453361</v>
      </c>
      <c r="R5142" s="14" t="b">
        <f t="shared" si="1"/>
        <v>0</v>
      </c>
      <c r="S5142" s="14" t="str">
        <f t="shared" si="2"/>
        <v>53.954797225983,58.344533610318</v>
      </c>
      <c r="T5142" s="12"/>
    </row>
    <row r="5143">
      <c r="A5143" s="35" t="s">
        <v>32925</v>
      </c>
      <c r="B5143" s="49" t="s">
        <v>32926</v>
      </c>
      <c r="C5143" s="36" t="s">
        <v>32927</v>
      </c>
      <c r="D5143" s="37" t="s">
        <v>32875</v>
      </c>
      <c r="E5143" s="38" t="s">
        <v>32928</v>
      </c>
      <c r="F5143" s="36" t="s">
        <v>32929</v>
      </c>
      <c r="G5143" s="36" t="s">
        <v>32930</v>
      </c>
      <c r="H5143" s="51"/>
      <c r="I5143" s="39" t="s">
        <v>32931</v>
      </c>
      <c r="J5143" s="65" t="s">
        <v>32932</v>
      </c>
      <c r="K5143" s="36" t="s">
        <v>32933</v>
      </c>
      <c r="L5143" s="40" t="s">
        <v>32934</v>
      </c>
      <c r="M5143" s="39" t="s">
        <v>32935</v>
      </c>
      <c r="N5143" s="12"/>
      <c r="O5143" s="12"/>
      <c r="P5143" s="13">
        <f>IFERROR(__xludf.DUMMYFUNCTION("VALUE(SUBSTITUTE((INDEX(SPLIT(A5143,"",""),1)),""."","","",1))"),58.294425964)</f>
        <v>58.29442596</v>
      </c>
      <c r="Q5143" s="13">
        <f>IFERROR(__xludf.DUMMYFUNCTION("VALUE(SUBSTITUTE((INDEX(SPLIT(A5143,"",""),2)),""."","","",1))"),57.814884186)</f>
        <v>57.81488419</v>
      </c>
      <c r="R5143" s="14" t="b">
        <f t="shared" si="1"/>
        <v>0</v>
      </c>
      <c r="S5143" s="14" t="str">
        <f t="shared" si="2"/>
        <v>58.294425964,57.814884186</v>
      </c>
      <c r="T5143" s="12"/>
    </row>
    <row r="5144">
      <c r="A5144" s="53" t="s">
        <v>32936</v>
      </c>
      <c r="B5144" s="54" t="s">
        <v>32937</v>
      </c>
      <c r="C5144" s="54" t="s">
        <v>32938</v>
      </c>
      <c r="D5144" s="55" t="s">
        <v>32875</v>
      </c>
      <c r="E5144" s="56" t="s">
        <v>32939</v>
      </c>
      <c r="F5144" s="54" t="s">
        <v>23544</v>
      </c>
      <c r="G5144" s="57">
        <v>45223.0</v>
      </c>
      <c r="H5144" s="58"/>
      <c r="I5144" s="59" t="s">
        <v>32940</v>
      </c>
      <c r="J5144" s="54" t="s">
        <v>24589</v>
      </c>
      <c r="K5144" s="54" t="s">
        <v>32941</v>
      </c>
      <c r="L5144" s="61" t="s">
        <v>32942</v>
      </c>
      <c r="M5144" s="59" t="s">
        <v>32943</v>
      </c>
      <c r="N5144" s="12"/>
      <c r="O5144" s="12"/>
      <c r="P5144" s="13">
        <f>IFERROR(__xludf.DUMMYFUNCTION("VALUE(SUBSTITUTE((INDEX(SPLIT(A5144,"",""),1)),""."","","",1))"),53.414848328)</f>
        <v>53.41484833</v>
      </c>
      <c r="Q5144" s="13">
        <f>IFERROR(__xludf.DUMMYFUNCTION("VALUE(SUBSTITUTE((INDEX(SPLIT(A5144,"",""),2)),""."","","",1))"),59.052864075)</f>
        <v>59.05286408</v>
      </c>
      <c r="R5144" s="14" t="b">
        <f t="shared" si="1"/>
        <v>0</v>
      </c>
      <c r="S5144" s="14" t="str">
        <f t="shared" si="2"/>
        <v>53.414848328,59.052864075</v>
      </c>
      <c r="T5144" s="12"/>
    </row>
    <row r="5145">
      <c r="A5145" s="35" t="s">
        <v>32944</v>
      </c>
      <c r="B5145" s="36" t="s">
        <v>32945</v>
      </c>
      <c r="C5145" s="36" t="s">
        <v>32946</v>
      </c>
      <c r="D5145" s="37" t="s">
        <v>32875</v>
      </c>
      <c r="E5145" s="38" t="s">
        <v>32947</v>
      </c>
      <c r="F5145" s="36" t="s">
        <v>2057</v>
      </c>
      <c r="G5145" s="62">
        <v>37553.0</v>
      </c>
      <c r="H5145" s="51"/>
      <c r="I5145" s="39" t="s">
        <v>32948</v>
      </c>
      <c r="J5145" s="36" t="s">
        <v>32949</v>
      </c>
      <c r="K5145" s="36" t="s">
        <v>32950</v>
      </c>
      <c r="L5145" s="40" t="s">
        <v>32951</v>
      </c>
      <c r="M5145" s="39" t="s">
        <v>32952</v>
      </c>
      <c r="N5145" s="12"/>
      <c r="O5145" s="12"/>
      <c r="P5145" s="13">
        <f>IFERROR(__xludf.DUMMYFUNCTION("VALUE(SUBSTITUTE((INDEX(SPLIT(A5145,"",""),1)),""."","","",1))"),50.557891846)</f>
        <v>50.55789185</v>
      </c>
      <c r="Q5145" s="13">
        <f>IFERROR(__xludf.DUMMYFUNCTION("VALUE(SUBSTITUTE((INDEX(SPLIT(A5145,"",""),2)),""."","","",1))"),136.957458496)</f>
        <v>136.9574585</v>
      </c>
      <c r="R5145" s="14" t="b">
        <f t="shared" si="1"/>
        <v>0</v>
      </c>
      <c r="S5145" s="14" t="str">
        <f t="shared" si="2"/>
        <v>50.557891846,136.957458496</v>
      </c>
      <c r="T5145" s="12"/>
    </row>
    <row r="5146">
      <c r="A5146" s="53" t="s">
        <v>32953</v>
      </c>
      <c r="B5146" s="54" t="s">
        <v>32954</v>
      </c>
      <c r="C5146" s="54" t="s">
        <v>32955</v>
      </c>
      <c r="D5146" s="55" t="s">
        <v>32875</v>
      </c>
      <c r="E5146" s="56" t="s">
        <v>32956</v>
      </c>
      <c r="F5146" s="54" t="s">
        <v>4327</v>
      </c>
      <c r="G5146" s="66">
        <v>39014.0</v>
      </c>
      <c r="H5146" s="58"/>
      <c r="I5146" s="59" t="s">
        <v>32957</v>
      </c>
      <c r="J5146" s="54" t="s">
        <v>32958</v>
      </c>
      <c r="K5146" s="54" t="s">
        <v>32959</v>
      </c>
      <c r="L5146" s="61" t="s">
        <v>32960</v>
      </c>
      <c r="M5146" s="59" t="s">
        <v>32961</v>
      </c>
      <c r="N5146" s="12"/>
      <c r="O5146" s="12"/>
      <c r="P5146" s="13">
        <f>IFERROR(__xludf.DUMMYFUNCTION("VALUE(SUBSTITUTE((INDEX(SPLIT(A5146,"",""),1)),""."","","",1))"),51.335820051066)</f>
        <v>51.33582005</v>
      </c>
      <c r="Q5146" s="13">
        <f>IFERROR(__xludf.DUMMYFUNCTION("VALUE(SUBSTITUTE((INDEX(SPLIT(A5146,"",""),2)),""."","","",1))"),37.876035062538)</f>
        <v>37.87603506</v>
      </c>
      <c r="R5146" s="14" t="b">
        <f t="shared" si="1"/>
        <v>0</v>
      </c>
      <c r="S5146" s="14" t="str">
        <f t="shared" si="2"/>
        <v>51.335820051066,37.876035062538</v>
      </c>
      <c r="T5146" s="12"/>
    </row>
    <row r="5147">
      <c r="A5147" s="35" t="s">
        <v>32962</v>
      </c>
      <c r="B5147" s="36" t="s">
        <v>32963</v>
      </c>
      <c r="C5147" s="36" t="s">
        <v>32964</v>
      </c>
      <c r="D5147" s="37" t="s">
        <v>32875</v>
      </c>
      <c r="E5147" s="38" t="s">
        <v>32965</v>
      </c>
      <c r="F5147" s="36" t="s">
        <v>23544</v>
      </c>
      <c r="G5147" s="36" t="s">
        <v>32966</v>
      </c>
      <c r="H5147" s="51"/>
      <c r="I5147" s="39" t="s">
        <v>32967</v>
      </c>
      <c r="J5147" s="36" t="s">
        <v>32968</v>
      </c>
      <c r="K5147" s="36" t="s">
        <v>32969</v>
      </c>
      <c r="L5147" s="40" t="s">
        <v>32970</v>
      </c>
      <c r="M5147" s="39" t="s">
        <v>32971</v>
      </c>
      <c r="N5147" s="12"/>
      <c r="O5147" s="12"/>
      <c r="P5147" s="13">
        <f>IFERROR(__xludf.DUMMYFUNCTION("VALUE(SUBSTITUTE((INDEX(SPLIT(A5147,"",""),1)),""."","","",1))"),53.406631654783)</f>
        <v>53.40663165</v>
      </c>
      <c r="Q5147" s="13">
        <f>IFERROR(__xludf.DUMMYFUNCTION("VALUE(SUBSTITUTE((INDEX(SPLIT(A5147,"",""),2)),""."","","",1))"),59.061138303513)</f>
        <v>59.0611383</v>
      </c>
      <c r="R5147" s="14" t="b">
        <f t="shared" si="1"/>
        <v>0</v>
      </c>
      <c r="S5147" s="14" t="str">
        <f t="shared" si="2"/>
        <v>53.406631654783,59.061138303513</v>
      </c>
      <c r="T5147" s="12"/>
    </row>
    <row r="5148">
      <c r="A5148" s="41" t="s">
        <v>32972</v>
      </c>
      <c r="B5148" s="67" t="s">
        <v>32973</v>
      </c>
      <c r="C5148" s="42" t="s">
        <v>32974</v>
      </c>
      <c r="D5148" s="42" t="s">
        <v>32875</v>
      </c>
      <c r="E5148" s="68" t="s">
        <v>32975</v>
      </c>
      <c r="F5148" s="42" t="s">
        <v>22263</v>
      </c>
      <c r="G5148" s="69">
        <v>44953.0</v>
      </c>
      <c r="H5148" s="70"/>
      <c r="I5148" s="45"/>
      <c r="J5148" s="42" t="s">
        <v>32976</v>
      </c>
      <c r="K5148" s="42" t="s">
        <v>32977</v>
      </c>
      <c r="L5148" s="47" t="s">
        <v>32978</v>
      </c>
      <c r="M5148" s="45"/>
      <c r="N5148" s="12"/>
      <c r="O5148" s="12"/>
      <c r="P5148" s="13">
        <f>IFERROR(__xludf.DUMMYFUNCTION("VALUE(SUBSTITUTE((INDEX(SPLIT(A5148,"",""),1)),""."","","",1))"),58.076065063)</f>
        <v>58.07606506</v>
      </c>
      <c r="Q5148" s="13">
        <f>IFERROR(__xludf.DUMMYFUNCTION("VALUE(SUBSTITUTE((INDEX(SPLIT(A5148,"",""),2)),""."","","",1))"),60.696006775)</f>
        <v>60.69600678</v>
      </c>
      <c r="R5148" s="14" t="b">
        <f t="shared" si="1"/>
        <v>0</v>
      </c>
      <c r="S5148" s="14" t="str">
        <f t="shared" si="2"/>
        <v>58.076065063,60.696006775</v>
      </c>
      <c r="T5148" s="12"/>
    </row>
    <row r="5149">
      <c r="A5149" s="35" t="s">
        <v>32979</v>
      </c>
      <c r="B5149" s="36" t="s">
        <v>32980</v>
      </c>
      <c r="C5149" s="36" t="s">
        <v>32981</v>
      </c>
      <c r="D5149" s="37" t="s">
        <v>32875</v>
      </c>
      <c r="E5149" s="38" t="s">
        <v>32982</v>
      </c>
      <c r="F5149" s="36" t="s">
        <v>22263</v>
      </c>
      <c r="G5149" s="36" t="s">
        <v>32983</v>
      </c>
      <c r="H5149" s="51"/>
      <c r="I5149" s="39" t="s">
        <v>32984</v>
      </c>
      <c r="J5149" s="36" t="s">
        <v>32985</v>
      </c>
      <c r="K5149" s="36" t="s">
        <v>32986</v>
      </c>
      <c r="L5149" s="40" t="s">
        <v>32987</v>
      </c>
      <c r="M5149" s="39" t="s">
        <v>32988</v>
      </c>
      <c r="N5149" s="12"/>
      <c r="O5149" s="12"/>
      <c r="P5149" s="13">
        <f>IFERROR(__xludf.DUMMYFUNCTION("VALUE(SUBSTITUTE((INDEX(SPLIT(A5149,"",""),1)),""."","","",1))"),56.801883698)</f>
        <v>56.8018837</v>
      </c>
      <c r="Q5149" s="13">
        <f>IFERROR(__xludf.DUMMYFUNCTION("VALUE(SUBSTITUTE((INDEX(SPLIT(A5149,"",""),2)),""."","","",1))"),59.936359406)</f>
        <v>59.93635941</v>
      </c>
      <c r="R5149" s="14" t="b">
        <f t="shared" si="1"/>
        <v>0</v>
      </c>
      <c r="S5149" s="14" t="str">
        <f t="shared" si="2"/>
        <v>56.801883698,59.936359406</v>
      </c>
      <c r="T5149" s="12"/>
    </row>
    <row r="5150">
      <c r="A5150" s="53" t="s">
        <v>32916</v>
      </c>
      <c r="B5150" s="54" t="s">
        <v>32989</v>
      </c>
      <c r="C5150" s="54" t="s">
        <v>32990</v>
      </c>
      <c r="D5150" s="55" t="s">
        <v>32875</v>
      </c>
      <c r="E5150" s="56" t="s">
        <v>32991</v>
      </c>
      <c r="F5150" s="54" t="s">
        <v>19948</v>
      </c>
      <c r="G5150" s="54" t="s">
        <v>32966</v>
      </c>
      <c r="H5150" s="58"/>
      <c r="I5150" s="59" t="s">
        <v>32992</v>
      </c>
      <c r="J5150" s="54" t="s">
        <v>32993</v>
      </c>
      <c r="K5150" s="54" t="s">
        <v>32994</v>
      </c>
      <c r="L5150" s="61" t="s">
        <v>32995</v>
      </c>
      <c r="M5150" s="59" t="s">
        <v>32996</v>
      </c>
      <c r="N5150" s="12"/>
      <c r="O5150" s="12"/>
      <c r="P5150" s="13">
        <f>IFERROR(__xludf.DUMMYFUNCTION("VALUE(SUBSTITUTE((INDEX(SPLIT(A5150,"",""),1)),""."","","",1))"),53.954797225983)</f>
        <v>53.95479723</v>
      </c>
      <c r="Q5150" s="13">
        <f>IFERROR(__xludf.DUMMYFUNCTION("VALUE(SUBSTITUTE((INDEX(SPLIT(A5150,"",""),2)),""."","","",1))"),58.344533610318)</f>
        <v>58.34453361</v>
      </c>
      <c r="R5150" s="14" t="b">
        <f t="shared" si="1"/>
        <v>0</v>
      </c>
      <c r="S5150" s="14" t="str">
        <f t="shared" si="2"/>
        <v>53.954797225983,58.344533610318</v>
      </c>
      <c r="T5150" s="12"/>
    </row>
    <row r="5151">
      <c r="A5151" s="35" t="s">
        <v>32997</v>
      </c>
      <c r="B5151" s="36" t="s">
        <v>32998</v>
      </c>
      <c r="C5151" s="36" t="s">
        <v>32999</v>
      </c>
      <c r="D5151" s="37" t="s">
        <v>32875</v>
      </c>
      <c r="E5151" s="38" t="s">
        <v>33000</v>
      </c>
      <c r="F5151" s="36" t="s">
        <v>11562</v>
      </c>
      <c r="G5151" s="36" t="s">
        <v>32966</v>
      </c>
      <c r="H5151" s="51"/>
      <c r="I5151" s="39" t="s">
        <v>33001</v>
      </c>
      <c r="J5151" s="36" t="s">
        <v>33002</v>
      </c>
      <c r="K5151" s="36" t="s">
        <v>33003</v>
      </c>
      <c r="L5151" s="40" t="s">
        <v>33004</v>
      </c>
      <c r="M5151" s="39" t="s">
        <v>33005</v>
      </c>
      <c r="N5151" s="12"/>
      <c r="O5151" s="12"/>
      <c r="P5151" s="13">
        <f>IFERROR(__xludf.DUMMYFUNCTION("VALUE(SUBSTITUTE((INDEX(SPLIT(A5151,"",""),1)),""."","","",1))"),59.131271362)</f>
        <v>59.13127136</v>
      </c>
      <c r="Q5151" s="13">
        <f>IFERROR(__xludf.DUMMYFUNCTION("VALUE(SUBSTITUTE((INDEX(SPLIT(A5151,"",""),2)),""."","","",1))"),37.870578766)</f>
        <v>37.87057877</v>
      </c>
      <c r="R5151" s="14" t="b">
        <f t="shared" si="1"/>
        <v>0</v>
      </c>
      <c r="S5151" s="14" t="str">
        <f t="shared" si="2"/>
        <v>59.131271362,37.870578766</v>
      </c>
      <c r="T5151" s="12"/>
    </row>
    <row r="5152">
      <c r="A5152" s="53" t="s">
        <v>33006</v>
      </c>
      <c r="B5152" s="54" t="s">
        <v>33007</v>
      </c>
      <c r="C5152" s="54" t="s">
        <v>33008</v>
      </c>
      <c r="D5152" s="55" t="s">
        <v>32875</v>
      </c>
      <c r="E5152" s="56" t="s">
        <v>33009</v>
      </c>
      <c r="F5152" s="54" t="s">
        <v>6732</v>
      </c>
      <c r="G5152" s="66">
        <v>37553.0</v>
      </c>
      <c r="H5152" s="58"/>
      <c r="I5152" s="59" t="s">
        <v>33010</v>
      </c>
      <c r="J5152" s="54" t="s">
        <v>33011</v>
      </c>
      <c r="K5152" s="54" t="s">
        <v>33012</v>
      </c>
      <c r="L5152" s="61" t="s">
        <v>33013</v>
      </c>
      <c r="M5152" s="59" t="s">
        <v>33014</v>
      </c>
      <c r="N5152" s="12"/>
      <c r="O5152" s="12"/>
      <c r="P5152" s="13">
        <f>IFERROR(__xludf.DUMMYFUNCTION("VALUE(SUBSTITUTE((INDEX(SPLIT(A5152,"",""),1)),""."","","",1))"),54.155034)</f>
        <v>54.155034</v>
      </c>
      <c r="Q5152" s="13">
        <f>IFERROR(__xludf.DUMMYFUNCTION("VALUE(SUBSTITUTE((INDEX(SPLIT(A5152,"",""),2)),""."","","",1))"),37.71733)</f>
        <v>37.71733</v>
      </c>
      <c r="R5152" s="14" t="b">
        <f t="shared" si="1"/>
        <v>0</v>
      </c>
      <c r="S5152" s="14" t="str">
        <f t="shared" si="2"/>
        <v>54.155034,37.717330</v>
      </c>
      <c r="T5152" s="12"/>
    </row>
    <row r="5153">
      <c r="A5153" s="35" t="s">
        <v>33015</v>
      </c>
      <c r="B5153" s="36" t="s">
        <v>33016</v>
      </c>
      <c r="C5153" s="36" t="s">
        <v>33017</v>
      </c>
      <c r="D5153" s="37" t="s">
        <v>32875</v>
      </c>
      <c r="E5153" s="38" t="s">
        <v>33018</v>
      </c>
      <c r="F5153" s="36" t="s">
        <v>8566</v>
      </c>
      <c r="G5153" s="50">
        <v>39014.0</v>
      </c>
      <c r="H5153" s="51"/>
      <c r="I5153" s="39" t="s">
        <v>33019</v>
      </c>
      <c r="J5153" s="36" t="s">
        <v>33020</v>
      </c>
      <c r="K5153" s="36" t="s">
        <v>33021</v>
      </c>
      <c r="L5153" s="40" t="s">
        <v>33022</v>
      </c>
      <c r="M5153" s="39" t="s">
        <v>33023</v>
      </c>
      <c r="N5153" s="12"/>
      <c r="O5153" s="12"/>
      <c r="P5153" s="13">
        <f>IFERROR(__xludf.DUMMYFUNCTION("VALUE(SUBSTITUTE((INDEX(SPLIT(A5153,"",""),1)),""."","","",1))"),55.232428)</f>
        <v>55.232428</v>
      </c>
      <c r="Q5153" s="13">
        <f>IFERROR(__xludf.DUMMYFUNCTION("VALUE(SUBSTITUTE((INDEX(SPLIT(A5153,"",""),2)),""."","","",1))"),36.679722)</f>
        <v>36.679722</v>
      </c>
      <c r="R5153" s="14" t="b">
        <f t="shared" si="1"/>
        <v>0</v>
      </c>
      <c r="S5153" s="14" t="str">
        <f t="shared" si="2"/>
        <v>55.232428,36.679722</v>
      </c>
      <c r="T5153" s="12"/>
    </row>
    <row r="5154">
      <c r="A5154" s="53" t="s">
        <v>33024</v>
      </c>
      <c r="B5154" s="54" t="s">
        <v>33025</v>
      </c>
      <c r="C5154" s="54" t="s">
        <v>33026</v>
      </c>
      <c r="D5154" s="55" t="s">
        <v>32875</v>
      </c>
      <c r="E5154" s="56" t="s">
        <v>33027</v>
      </c>
      <c r="F5154" s="54" t="s">
        <v>12912</v>
      </c>
      <c r="G5154" s="66">
        <v>37553.0</v>
      </c>
      <c r="H5154" s="58"/>
      <c r="I5154" s="59" t="s">
        <v>33028</v>
      </c>
      <c r="J5154" s="54" t="s">
        <v>33029</v>
      </c>
      <c r="K5154" s="54" t="s">
        <v>33030</v>
      </c>
      <c r="L5154" s="61" t="s">
        <v>33031</v>
      </c>
      <c r="M5154" s="59" t="s">
        <v>33032</v>
      </c>
      <c r="N5154" s="12"/>
      <c r="O5154" s="12"/>
      <c r="P5154" s="13">
        <f>IFERROR(__xludf.DUMMYFUNCTION("VALUE(SUBSTITUTE((INDEX(SPLIT(A5154,"",""),1)),""."","","",1))"),47.714252472)</f>
        <v>47.71425247</v>
      </c>
      <c r="Q5154" s="13">
        <f>IFERROR(__xludf.DUMMYFUNCTION("VALUE(SUBSTITUTE((INDEX(SPLIT(A5154,"",""),2)),""."","","",1))"),40.228874207)</f>
        <v>40.22887421</v>
      </c>
      <c r="R5154" s="14" t="b">
        <f t="shared" si="1"/>
        <v>0</v>
      </c>
      <c r="S5154" s="14" t="str">
        <f t="shared" si="2"/>
        <v>47.714252472,40.228874207</v>
      </c>
      <c r="T5154" s="12"/>
    </row>
    <row r="5155">
      <c r="A5155" s="35" t="s">
        <v>33015</v>
      </c>
      <c r="B5155" s="36" t="s">
        <v>33033</v>
      </c>
      <c r="C5155" s="36" t="s">
        <v>33034</v>
      </c>
      <c r="D5155" s="37" t="s">
        <v>32875</v>
      </c>
      <c r="E5155" s="38" t="s">
        <v>33035</v>
      </c>
      <c r="F5155" s="36" t="s">
        <v>6724</v>
      </c>
      <c r="G5155" s="50">
        <v>37553.0</v>
      </c>
      <c r="H5155" s="51"/>
      <c r="I5155" s="39" t="s">
        <v>33036</v>
      </c>
      <c r="J5155" s="36" t="s">
        <v>33037</v>
      </c>
      <c r="K5155" s="36" t="s">
        <v>33038</v>
      </c>
      <c r="L5155" s="40" t="s">
        <v>33039</v>
      </c>
      <c r="M5155" s="39" t="s">
        <v>33040</v>
      </c>
      <c r="N5155" s="12"/>
      <c r="O5155" s="12"/>
      <c r="P5155" s="13">
        <f>IFERROR(__xludf.DUMMYFUNCTION("VALUE(SUBSTITUTE((INDEX(SPLIT(A5155,"",""),1)),""."","","",1))"),55.232428)</f>
        <v>55.232428</v>
      </c>
      <c r="Q5155" s="13">
        <f>IFERROR(__xludf.DUMMYFUNCTION("VALUE(SUBSTITUTE((INDEX(SPLIT(A5155,"",""),2)),""."","","",1))"),36.679722)</f>
        <v>36.679722</v>
      </c>
      <c r="R5155" s="14" t="b">
        <f t="shared" si="1"/>
        <v>0</v>
      </c>
      <c r="S5155" s="14" t="str">
        <f t="shared" si="2"/>
        <v>55.232428,36.679722</v>
      </c>
      <c r="T5155" s="12"/>
    </row>
    <row r="5156">
      <c r="A5156" s="53" t="s">
        <v>33041</v>
      </c>
      <c r="B5156" s="54" t="s">
        <v>33042</v>
      </c>
      <c r="C5156" s="54" t="s">
        <v>33043</v>
      </c>
      <c r="D5156" s="55" t="s">
        <v>32875</v>
      </c>
      <c r="E5156" s="56" t="s">
        <v>33044</v>
      </c>
      <c r="F5156" s="54" t="s">
        <v>22263</v>
      </c>
      <c r="G5156" s="55" t="s">
        <v>33045</v>
      </c>
      <c r="H5156" s="58"/>
      <c r="I5156" s="59" t="s">
        <v>33046</v>
      </c>
      <c r="J5156" s="54" t="s">
        <v>33047</v>
      </c>
      <c r="K5156" s="54" t="s">
        <v>33048</v>
      </c>
      <c r="L5156" s="61" t="s">
        <v>33049</v>
      </c>
      <c r="M5156" s="59" t="s">
        <v>33050</v>
      </c>
      <c r="N5156" s="12"/>
      <c r="O5156" s="12"/>
      <c r="P5156" s="13">
        <f>IFERROR(__xludf.DUMMYFUNCTION("VALUE(SUBSTITUTE((INDEX(SPLIT(A5156,"",""),1)),""."","","",1))"),56.980135)</f>
        <v>56.980135</v>
      </c>
      <c r="Q5156" s="13">
        <f>IFERROR(__xludf.DUMMYFUNCTION("VALUE(SUBSTITUTE((INDEX(SPLIT(A5156,"",""),2)),""."","","",1))"),60.547393)</f>
        <v>60.547393</v>
      </c>
      <c r="R5156" s="14" t="b">
        <f t="shared" si="1"/>
        <v>0</v>
      </c>
      <c r="S5156" s="14" t="str">
        <f t="shared" si="2"/>
        <v>56.980135,60.547393</v>
      </c>
      <c r="T5156" s="12"/>
    </row>
    <row r="5157">
      <c r="A5157" s="35" t="s">
        <v>33051</v>
      </c>
      <c r="B5157" s="36" t="s">
        <v>33052</v>
      </c>
      <c r="C5157" s="36" t="s">
        <v>33053</v>
      </c>
      <c r="D5157" s="37" t="s">
        <v>32875</v>
      </c>
      <c r="E5157" s="38" t="s">
        <v>33054</v>
      </c>
      <c r="F5157" s="36" t="s">
        <v>22263</v>
      </c>
      <c r="G5157" s="71">
        <v>39014.0</v>
      </c>
      <c r="H5157" s="51"/>
      <c r="I5157" s="39" t="s">
        <v>32984</v>
      </c>
      <c r="J5157" s="36" t="s">
        <v>33055</v>
      </c>
      <c r="K5157" s="36" t="s">
        <v>33056</v>
      </c>
      <c r="L5157" s="40" t="s">
        <v>33057</v>
      </c>
      <c r="M5157" s="39" t="s">
        <v>33058</v>
      </c>
      <c r="N5157" s="12"/>
      <c r="O5157" s="12"/>
      <c r="P5157" s="13">
        <f>IFERROR(__xludf.DUMMYFUNCTION("VALUE(SUBSTITUTE((INDEX(SPLIT(A5157,"",""),1)),""."","","",1))"),56.664825439)</f>
        <v>56.66482544</v>
      </c>
      <c r="Q5157" s="13">
        <f>IFERROR(__xludf.DUMMYFUNCTION("VALUE(SUBSTITUTE((INDEX(SPLIT(A5157,"",""),2)),""."","","",1))"),59.30657196)</f>
        <v>59.30657196</v>
      </c>
      <c r="R5157" s="14" t="b">
        <f t="shared" si="1"/>
        <v>0</v>
      </c>
      <c r="S5157" s="14" t="str">
        <f t="shared" si="2"/>
        <v>56.664825439,59.30657196</v>
      </c>
      <c r="T5157" s="12"/>
    </row>
    <row r="5158">
      <c r="A5158" s="53" t="s">
        <v>33059</v>
      </c>
      <c r="B5158" s="54" t="s">
        <v>33060</v>
      </c>
      <c r="C5158" s="54" t="s">
        <v>33061</v>
      </c>
      <c r="D5158" s="55" t="s">
        <v>32875</v>
      </c>
      <c r="E5158" s="56" t="s">
        <v>33062</v>
      </c>
      <c r="F5158" s="54" t="s">
        <v>17071</v>
      </c>
      <c r="G5158" s="72">
        <v>44950.0</v>
      </c>
      <c r="H5158" s="58"/>
      <c r="I5158" s="59" t="s">
        <v>33063</v>
      </c>
      <c r="J5158" s="54" t="s">
        <v>33064</v>
      </c>
      <c r="K5158" s="54" t="s">
        <v>33065</v>
      </c>
      <c r="L5158" s="61" t="s">
        <v>33066</v>
      </c>
      <c r="M5158" s="59" t="s">
        <v>33067</v>
      </c>
      <c r="N5158" s="12"/>
      <c r="O5158" s="12"/>
      <c r="P5158" s="13">
        <f>IFERROR(__xludf.DUMMYFUNCTION("VALUE(SUBSTITUTE((INDEX(SPLIT(A5158,"",""),1)),""."","","",1))"),51.950694)</f>
        <v>51.950694</v>
      </c>
      <c r="Q5158" s="13">
        <f>IFERROR(__xludf.DUMMYFUNCTION("VALUE(SUBSTITUTE((INDEX(SPLIT(A5158,"",""),2)),""."","","",1))"),47.775102)</f>
        <v>47.775102</v>
      </c>
      <c r="R5158" s="14" t="b">
        <f t="shared" si="1"/>
        <v>0</v>
      </c>
      <c r="S5158" s="14" t="str">
        <f t="shared" si="2"/>
        <v>51.950694,47.775102</v>
      </c>
      <c r="T5158" s="12"/>
    </row>
    <row r="5159">
      <c r="A5159" s="35" t="s">
        <v>33068</v>
      </c>
      <c r="B5159" s="36" t="s">
        <v>33069</v>
      </c>
      <c r="C5159" s="36" t="s">
        <v>33070</v>
      </c>
      <c r="D5159" s="37" t="s">
        <v>32875</v>
      </c>
      <c r="E5159" s="38" t="s">
        <v>33071</v>
      </c>
      <c r="F5159" s="36" t="s">
        <v>8566</v>
      </c>
      <c r="G5159" s="73">
        <v>39014.0</v>
      </c>
      <c r="H5159" s="51"/>
      <c r="I5159" s="39" t="s">
        <v>33072</v>
      </c>
      <c r="J5159" s="36" t="s">
        <v>33073</v>
      </c>
      <c r="K5159" s="36" t="s">
        <v>33074</v>
      </c>
      <c r="L5159" s="40" t="s">
        <v>33075</v>
      </c>
      <c r="M5159" s="39" t="s">
        <v>33076</v>
      </c>
      <c r="N5159" s="12"/>
      <c r="O5159" s="12"/>
      <c r="P5159" s="13">
        <f>IFERROR(__xludf.DUMMYFUNCTION("VALUE(SUBSTITUTE((INDEX(SPLIT(A5159,"",""),1)),""."","","",1))"),47.753655)</f>
        <v>47.753655</v>
      </c>
      <c r="Q5159" s="13">
        <f>IFERROR(__xludf.DUMMYFUNCTION("VALUE(SUBSTITUTE((INDEX(SPLIT(A5159,"",""),2)),""."","","",1))"),40.177151)</f>
        <v>40.177151</v>
      </c>
      <c r="R5159" s="14" t="b">
        <f t="shared" si="1"/>
        <v>0</v>
      </c>
      <c r="S5159" s="14" t="str">
        <f t="shared" si="2"/>
        <v>47.753655,40.177151</v>
      </c>
      <c r="T5159" s="12"/>
    </row>
    <row r="5160">
      <c r="A5160" s="41" t="s">
        <v>33077</v>
      </c>
      <c r="B5160" s="42" t="s">
        <v>33078</v>
      </c>
      <c r="C5160" s="42" t="s">
        <v>33079</v>
      </c>
      <c r="D5160" s="42" t="s">
        <v>32875</v>
      </c>
      <c r="E5160" s="68" t="s">
        <v>33080</v>
      </c>
      <c r="F5160" s="42" t="s">
        <v>6732</v>
      </c>
      <c r="G5160" s="42" t="s">
        <v>33081</v>
      </c>
      <c r="H5160" s="70"/>
      <c r="I5160" s="48" t="s">
        <v>33082</v>
      </c>
      <c r="J5160" s="42" t="s">
        <v>33083</v>
      </c>
      <c r="K5160" s="42" t="s">
        <v>33084</v>
      </c>
      <c r="L5160" s="47" t="s">
        <v>32978</v>
      </c>
      <c r="M5160" s="48" t="s">
        <v>33085</v>
      </c>
      <c r="N5160" s="12"/>
      <c r="O5160" s="12"/>
      <c r="P5160" s="13">
        <f>IFERROR(__xludf.DUMMYFUNCTION("VALUE(SUBSTITUTE((INDEX(SPLIT(A5160,"",""),1)),""."","","",1))"),54.187728)</f>
        <v>54.187728</v>
      </c>
      <c r="Q5160" s="13">
        <f>IFERROR(__xludf.DUMMYFUNCTION("VALUE(SUBSTITUTE((INDEX(SPLIT(A5160,"",""),2)),""."","","",1))"),37.560673)</f>
        <v>37.560673</v>
      </c>
      <c r="R5160" s="14" t="b">
        <f t="shared" si="1"/>
        <v>0</v>
      </c>
      <c r="S5160" s="14" t="str">
        <f t="shared" si="2"/>
        <v>54.187728,37.560673</v>
      </c>
      <c r="T5160" s="12"/>
    </row>
    <row r="5161">
      <c r="A5161" s="74" t="s">
        <v>33086</v>
      </c>
      <c r="B5161" s="75" t="s">
        <v>33087</v>
      </c>
      <c r="C5161" s="76" t="s">
        <v>33088</v>
      </c>
      <c r="D5161" s="77" t="s">
        <v>33089</v>
      </c>
      <c r="E5161" s="78" t="s">
        <v>33090</v>
      </c>
      <c r="F5161" s="75" t="s">
        <v>13482</v>
      </c>
      <c r="G5161" s="79">
        <v>45100.0</v>
      </c>
      <c r="H5161" s="80"/>
      <c r="I5161" s="81" t="s">
        <v>33091</v>
      </c>
      <c r="J5161" s="76" t="s">
        <v>33092</v>
      </c>
      <c r="K5161" s="82"/>
      <c r="L5161" s="83" t="s">
        <v>33093</v>
      </c>
      <c r="M5161" s="82"/>
      <c r="N5161" s="12"/>
      <c r="O5161" s="12"/>
      <c r="P5161" s="13">
        <f>IFERROR(__xludf.DUMMYFUNCTION("VALUE(SUBSTITUTE((INDEX(SPLIT(A5161,"",""),1)),""."","","",1))"),56.148238)</f>
        <v>56.148238</v>
      </c>
      <c r="Q5161" s="13">
        <f>IFERROR(__xludf.DUMMYFUNCTION("VALUE(SUBSTITUTE((INDEX(SPLIT(A5161,"",""),2)),""."","","",1))"),47.259379)</f>
        <v>47.259379</v>
      </c>
      <c r="R5161" s="14" t="b">
        <f t="shared" si="1"/>
        <v>0</v>
      </c>
      <c r="S5161" s="14" t="str">
        <f t="shared" si="2"/>
        <v>56.148238,47.259379</v>
      </c>
      <c r="T5161" s="12"/>
    </row>
    <row r="5162">
      <c r="A5162" s="84" t="s">
        <v>20598</v>
      </c>
      <c r="B5162" s="85" t="s">
        <v>33094</v>
      </c>
      <c r="C5162" s="86" t="s">
        <v>33095</v>
      </c>
      <c r="D5162" s="87" t="s">
        <v>33089</v>
      </c>
      <c r="E5162" s="88" t="s">
        <v>21696</v>
      </c>
      <c r="F5162" s="85" t="s">
        <v>10183</v>
      </c>
      <c r="G5162" s="89">
        <v>45100.0</v>
      </c>
      <c r="H5162" s="90"/>
      <c r="I5162" s="91" t="s">
        <v>33096</v>
      </c>
      <c r="J5162" s="86" t="s">
        <v>33097</v>
      </c>
      <c r="K5162" s="92"/>
      <c r="L5162" s="93" t="s">
        <v>33098</v>
      </c>
      <c r="M5162" s="86" t="s">
        <v>33099</v>
      </c>
      <c r="N5162" s="12"/>
      <c r="O5162" s="12"/>
      <c r="P5162" s="13">
        <f>IFERROR(__xludf.DUMMYFUNCTION("VALUE(SUBSTITUTE((INDEX(SPLIT(A5162,"",""),1)),""."","","",1))"),55.624845)</f>
        <v>55.624845</v>
      </c>
      <c r="Q5162" s="13">
        <f>IFERROR(__xludf.DUMMYFUNCTION("VALUE(SUBSTITUTE((INDEX(SPLIT(A5162,"",""),2)),""."","","",1))"),49.140451)</f>
        <v>49.140451</v>
      </c>
      <c r="R5162" s="14" t="b">
        <f t="shared" si="1"/>
        <v>0</v>
      </c>
      <c r="S5162" s="14" t="str">
        <f t="shared" si="2"/>
        <v>55.624845,49.140451</v>
      </c>
      <c r="T5162" s="12"/>
    </row>
    <row r="5163">
      <c r="A5163" s="74" t="s">
        <v>33100</v>
      </c>
      <c r="B5163" s="75" t="s">
        <v>33101</v>
      </c>
      <c r="C5163" s="76" t="s">
        <v>33102</v>
      </c>
      <c r="D5163" s="77" t="s">
        <v>33089</v>
      </c>
      <c r="E5163" s="78" t="s">
        <v>33103</v>
      </c>
      <c r="F5163" s="75" t="s">
        <v>10609</v>
      </c>
      <c r="G5163" s="79">
        <v>45100.0</v>
      </c>
      <c r="H5163" s="80"/>
      <c r="I5163" s="81" t="s">
        <v>33104</v>
      </c>
      <c r="J5163" s="76" t="s">
        <v>33105</v>
      </c>
      <c r="K5163" s="82"/>
      <c r="L5163" s="83" t="s">
        <v>33106</v>
      </c>
      <c r="M5163" s="81" t="s">
        <v>33107</v>
      </c>
      <c r="N5163" s="12"/>
      <c r="O5163" s="12"/>
      <c r="P5163" s="13">
        <f>IFERROR(__xludf.DUMMYFUNCTION("VALUE(SUBSTITUTE((INDEX(SPLIT(A5163,"",""),1)),""."","","",1))"),56.829724)</f>
        <v>56.829724</v>
      </c>
      <c r="Q5163" s="13">
        <f>IFERROR(__xludf.DUMMYFUNCTION("VALUE(SUBSTITUTE((INDEX(SPLIT(A5163,"",""),2)),""."","","",1))"),53.127067)</f>
        <v>53.127067</v>
      </c>
      <c r="R5163" s="14" t="b">
        <f t="shared" si="1"/>
        <v>0</v>
      </c>
      <c r="S5163" s="14" t="str">
        <f t="shared" si="2"/>
        <v>56.829724,53.127067</v>
      </c>
      <c r="T5163" s="12"/>
    </row>
    <row r="5164">
      <c r="A5164" s="84" t="s">
        <v>20515</v>
      </c>
      <c r="B5164" s="85" t="s">
        <v>33108</v>
      </c>
      <c r="C5164" s="86" t="s">
        <v>33109</v>
      </c>
      <c r="D5164" s="87" t="s">
        <v>33089</v>
      </c>
      <c r="E5164" s="88" t="s">
        <v>21618</v>
      </c>
      <c r="F5164" s="85" t="s">
        <v>10183</v>
      </c>
      <c r="G5164" s="89">
        <v>45100.0</v>
      </c>
      <c r="H5164" s="90"/>
      <c r="I5164" s="91" t="s">
        <v>33110</v>
      </c>
      <c r="J5164" s="86" t="s">
        <v>33111</v>
      </c>
      <c r="K5164" s="92"/>
      <c r="L5164" s="93" t="s">
        <v>33112</v>
      </c>
      <c r="M5164" s="91" t="s">
        <v>33113</v>
      </c>
      <c r="N5164" s="12"/>
      <c r="O5164" s="12"/>
      <c r="P5164" s="13">
        <f>IFERROR(__xludf.DUMMYFUNCTION("VALUE(SUBSTITUTE((INDEX(SPLIT(A5164,"",""),1)),""."","","",1))"),55.786273)</f>
        <v>55.786273</v>
      </c>
      <c r="Q5164" s="13">
        <f>IFERROR(__xludf.DUMMYFUNCTION("VALUE(SUBSTITUTE((INDEX(SPLIT(A5164,"",""),2)),""."","","",1))"),49.111463)</f>
        <v>49.111463</v>
      </c>
      <c r="R5164" s="14" t="b">
        <f t="shared" si="1"/>
        <v>0</v>
      </c>
      <c r="S5164" s="14" t="str">
        <f t="shared" si="2"/>
        <v>55.786273,49.111463</v>
      </c>
      <c r="T5164" s="12"/>
    </row>
    <row r="5165">
      <c r="A5165" s="74" t="s">
        <v>33114</v>
      </c>
      <c r="B5165" s="75" t="s">
        <v>33115</v>
      </c>
      <c r="C5165" s="76" t="s">
        <v>33116</v>
      </c>
      <c r="D5165" s="77" t="s">
        <v>33089</v>
      </c>
      <c r="E5165" s="78" t="s">
        <v>33117</v>
      </c>
      <c r="F5165" s="75" t="s">
        <v>3340</v>
      </c>
      <c r="G5165" s="79">
        <v>45100.0</v>
      </c>
      <c r="H5165" s="80"/>
      <c r="I5165" s="81" t="s">
        <v>33118</v>
      </c>
      <c r="J5165" s="76" t="s">
        <v>33119</v>
      </c>
      <c r="K5165" s="82"/>
      <c r="L5165" s="83" t="s">
        <v>33120</v>
      </c>
      <c r="M5165" s="81" t="s">
        <v>33121</v>
      </c>
      <c r="N5165" s="12"/>
      <c r="O5165" s="12"/>
      <c r="P5165" s="13">
        <f>IFERROR(__xludf.DUMMYFUNCTION("VALUE(SUBSTITUTE((INDEX(SPLIT(A5165,"",""),1)),""."","","",1))"),44.895654)</f>
        <v>44.895654</v>
      </c>
      <c r="Q5165" s="13">
        <f>IFERROR(__xludf.DUMMYFUNCTION("VALUE(SUBSTITUTE((INDEX(SPLIT(A5165,"",""),2)),""."","","",1))"),38.874729)</f>
        <v>38.874729</v>
      </c>
      <c r="R5165" s="14" t="b">
        <f t="shared" si="1"/>
        <v>0</v>
      </c>
      <c r="S5165" s="14" t="str">
        <f t="shared" si="2"/>
        <v>44.895654,38.874729</v>
      </c>
      <c r="T5165" s="12"/>
    </row>
    <row r="5166">
      <c r="A5166" s="84" t="s">
        <v>15277</v>
      </c>
      <c r="B5166" s="85" t="s">
        <v>33122</v>
      </c>
      <c r="C5166" s="86" t="s">
        <v>33123</v>
      </c>
      <c r="D5166" s="87" t="s">
        <v>33089</v>
      </c>
      <c r="E5166" s="88" t="s">
        <v>33124</v>
      </c>
      <c r="F5166" s="85" t="s">
        <v>4263</v>
      </c>
      <c r="G5166" s="89">
        <v>45100.0</v>
      </c>
      <c r="H5166" s="90"/>
      <c r="I5166" s="91" t="s">
        <v>33125</v>
      </c>
      <c r="J5166" s="86" t="s">
        <v>15282</v>
      </c>
      <c r="K5166" s="92"/>
      <c r="L5166" s="93" t="s">
        <v>33126</v>
      </c>
      <c r="M5166" s="91" t="s">
        <v>33127</v>
      </c>
      <c r="N5166" s="12"/>
      <c r="O5166" s="12"/>
      <c r="P5166" s="13">
        <f>IFERROR(__xludf.DUMMYFUNCTION("VALUE(SUBSTITUTE((INDEX(SPLIT(A5166,"",""),1)),""."","","",1))"),44.630346)</f>
        <v>44.630346</v>
      </c>
      <c r="Q5166" s="13">
        <f>IFERROR(__xludf.DUMMYFUNCTION("VALUE(SUBSTITUTE((INDEX(SPLIT(A5166,"",""),2)),""."","","",1))"),40.129702)</f>
        <v>40.129702</v>
      </c>
      <c r="R5166" s="14" t="b">
        <f t="shared" si="1"/>
        <v>0</v>
      </c>
      <c r="S5166" s="14" t="str">
        <f t="shared" si="2"/>
        <v>44.630346,40.129702</v>
      </c>
      <c r="T5166" s="12"/>
    </row>
    <row r="5167">
      <c r="A5167" s="74" t="s">
        <v>33128</v>
      </c>
      <c r="B5167" s="75" t="s">
        <v>33122</v>
      </c>
      <c r="C5167" s="76" t="s">
        <v>33123</v>
      </c>
      <c r="D5167" s="77" t="s">
        <v>33089</v>
      </c>
      <c r="E5167" s="78" t="s">
        <v>33129</v>
      </c>
      <c r="F5167" s="75" t="s">
        <v>4263</v>
      </c>
      <c r="G5167" s="79">
        <v>45100.0</v>
      </c>
      <c r="H5167" s="80"/>
      <c r="I5167" s="81" t="s">
        <v>33125</v>
      </c>
      <c r="J5167" s="76" t="s">
        <v>33130</v>
      </c>
      <c r="K5167" s="82"/>
      <c r="L5167" s="83" t="s">
        <v>33131</v>
      </c>
      <c r="M5167" s="81" t="s">
        <v>33127</v>
      </c>
      <c r="N5167" s="12"/>
      <c r="O5167" s="12"/>
      <c r="P5167" s="13">
        <f>IFERROR(__xludf.DUMMYFUNCTION("VALUE(SUBSTITUTE((INDEX(SPLIT(A5167,"",""),1)),""."","","",1))"),44.599489)</f>
        <v>44.599489</v>
      </c>
      <c r="Q5167" s="13">
        <f>IFERROR(__xludf.DUMMYFUNCTION("VALUE(SUBSTITUTE((INDEX(SPLIT(A5167,"",""),2)),""."","","",1))"),40.742344)</f>
        <v>40.742344</v>
      </c>
      <c r="R5167" s="14" t="b">
        <f t="shared" si="1"/>
        <v>0</v>
      </c>
      <c r="S5167" s="14" t="str">
        <f t="shared" si="2"/>
        <v>44.599489,40.742344</v>
      </c>
      <c r="T5167" s="12"/>
    </row>
    <row r="5168">
      <c r="A5168" s="84" t="s">
        <v>26057</v>
      </c>
      <c r="B5168" s="85" t="s">
        <v>33132</v>
      </c>
      <c r="C5168" s="86" t="s">
        <v>33133</v>
      </c>
      <c r="D5168" s="87" t="s">
        <v>33089</v>
      </c>
      <c r="E5168" s="88" t="s">
        <v>33134</v>
      </c>
      <c r="F5168" s="85" t="s">
        <v>23544</v>
      </c>
      <c r="G5168" s="89">
        <v>45100.0</v>
      </c>
      <c r="H5168" s="90"/>
      <c r="I5168" s="91" t="s">
        <v>33135</v>
      </c>
      <c r="J5168" s="86" t="s">
        <v>33136</v>
      </c>
      <c r="K5168" s="92"/>
      <c r="L5168" s="93" t="s">
        <v>33137</v>
      </c>
      <c r="M5168" s="91" t="s">
        <v>33138</v>
      </c>
      <c r="N5168" s="12"/>
      <c r="O5168" s="12"/>
      <c r="P5168" s="13">
        <f>IFERROR(__xludf.DUMMYFUNCTION("VALUE(SUBSTITUTE((INDEX(SPLIT(A5168,"",""),1)),""."","","",1))"),55.157701)</f>
        <v>55.157701</v>
      </c>
      <c r="Q5168" s="13">
        <f>IFERROR(__xludf.DUMMYFUNCTION("VALUE(SUBSTITUTE((INDEX(SPLIT(A5168,"",""),2)),""."","","",1))"),61.374742)</f>
        <v>61.374742</v>
      </c>
      <c r="R5168" s="14" t="b">
        <f t="shared" si="1"/>
        <v>0</v>
      </c>
      <c r="S5168" s="14" t="str">
        <f t="shared" si="2"/>
        <v>55.157701,61.374742</v>
      </c>
      <c r="T5168" s="12"/>
    </row>
    <row r="5169">
      <c r="A5169" s="74" t="s">
        <v>33139</v>
      </c>
      <c r="B5169" s="75" t="s">
        <v>33140</v>
      </c>
      <c r="C5169" s="76" t="s">
        <v>33141</v>
      </c>
      <c r="D5169" s="77" t="s">
        <v>33089</v>
      </c>
      <c r="E5169" s="78" t="s">
        <v>33142</v>
      </c>
      <c r="F5169" s="75" t="s">
        <v>23238</v>
      </c>
      <c r="G5169" s="79">
        <v>45100.0</v>
      </c>
      <c r="H5169" s="80"/>
      <c r="I5169" s="81" t="s">
        <v>33143</v>
      </c>
      <c r="J5169" s="76" t="s">
        <v>33144</v>
      </c>
      <c r="K5169" s="82"/>
      <c r="L5169" s="83" t="s">
        <v>33145</v>
      </c>
      <c r="M5169" s="81" t="s">
        <v>33146</v>
      </c>
      <c r="N5169" s="12"/>
      <c r="O5169" s="12"/>
      <c r="P5169" s="13">
        <f>IFERROR(__xludf.DUMMYFUNCTION("VALUE(SUBSTITUTE((INDEX(SPLIT(A5169,"",""),1)),""."","","",1))"),54.912294)</f>
        <v>54.912294</v>
      </c>
      <c r="Q5169" s="13">
        <f>IFERROR(__xludf.DUMMYFUNCTION("VALUE(SUBSTITUTE((INDEX(SPLIT(A5169,"",""),2)),""."","","",1))"),73.283645)</f>
        <v>73.283645</v>
      </c>
      <c r="R5169" s="14" t="b">
        <f t="shared" si="1"/>
        <v>0</v>
      </c>
      <c r="S5169" s="14" t="str">
        <f t="shared" si="2"/>
        <v>54.912294,73.283645</v>
      </c>
      <c r="T5169" s="12"/>
    </row>
    <row r="5170">
      <c r="A5170" s="84" t="s">
        <v>33147</v>
      </c>
      <c r="B5170" s="85" t="s">
        <v>33148</v>
      </c>
      <c r="C5170" s="86" t="s">
        <v>33149</v>
      </c>
      <c r="D5170" s="87" t="s">
        <v>33089</v>
      </c>
      <c r="E5170" s="88" t="s">
        <v>33150</v>
      </c>
      <c r="F5170" s="85" t="s">
        <v>23238</v>
      </c>
      <c r="G5170" s="89">
        <v>45100.0</v>
      </c>
      <c r="H5170" s="90"/>
      <c r="I5170" s="91" t="s">
        <v>33151</v>
      </c>
      <c r="J5170" s="86" t="s">
        <v>33152</v>
      </c>
      <c r="K5170" s="92"/>
      <c r="L5170" s="93" t="s">
        <v>33153</v>
      </c>
      <c r="M5170" s="91" t="s">
        <v>33154</v>
      </c>
      <c r="N5170" s="12"/>
      <c r="O5170" s="12"/>
      <c r="P5170" s="13">
        <f>IFERROR(__xludf.DUMMYFUNCTION("VALUE(SUBSTITUTE((INDEX(SPLIT(A5170,"",""),1)),""."","","",1))"),55.083951)</f>
        <v>55.083951</v>
      </c>
      <c r="Q5170" s="13">
        <f>IFERROR(__xludf.DUMMYFUNCTION("VALUE(SUBSTITUTE((INDEX(SPLIT(A5170,"",""),2)),""."","","",1))"),73.26204)</f>
        <v>73.26204</v>
      </c>
      <c r="R5170" s="14" t="b">
        <f t="shared" si="1"/>
        <v>0</v>
      </c>
      <c r="S5170" s="14" t="str">
        <f t="shared" si="2"/>
        <v>55.083951,73.262040</v>
      </c>
      <c r="T5170" s="12"/>
    </row>
    <row r="5171">
      <c r="A5171" s="74" t="s">
        <v>33155</v>
      </c>
      <c r="B5171" s="75" t="s">
        <v>33156</v>
      </c>
      <c r="C5171" s="76" t="s">
        <v>33157</v>
      </c>
      <c r="D5171" s="77" t="s">
        <v>33089</v>
      </c>
      <c r="E5171" s="78" t="s">
        <v>33158</v>
      </c>
      <c r="F5171" s="75" t="s">
        <v>22263</v>
      </c>
      <c r="G5171" s="79">
        <v>45100.0</v>
      </c>
      <c r="H5171" s="80"/>
      <c r="I5171" s="81" t="s">
        <v>33159</v>
      </c>
      <c r="J5171" s="76" t="s">
        <v>33160</v>
      </c>
      <c r="K5171" s="82"/>
      <c r="L5171" s="83" t="s">
        <v>33161</v>
      </c>
      <c r="M5171" s="76" t="s">
        <v>33162</v>
      </c>
      <c r="N5171" s="12"/>
      <c r="O5171" s="12"/>
      <c r="P5171" s="13">
        <f>IFERROR(__xludf.DUMMYFUNCTION("VALUE(SUBSTITUTE((INDEX(SPLIT(A5171,"",""),1)),""."","","",1))"),58.278097)</f>
        <v>58.278097</v>
      </c>
      <c r="Q5171" s="13">
        <f>IFERROR(__xludf.DUMMYFUNCTION("VALUE(SUBSTITUTE((INDEX(SPLIT(A5171,"",""),2)),""."","","",1))"),59.705282)</f>
        <v>59.705282</v>
      </c>
      <c r="R5171" s="14" t="b">
        <f t="shared" si="1"/>
        <v>0</v>
      </c>
      <c r="S5171" s="14" t="str">
        <f t="shared" si="2"/>
        <v>58.278097,59.705282</v>
      </c>
      <c r="T5171" s="12"/>
    </row>
    <row r="5172">
      <c r="A5172" s="84" t="s">
        <v>33163</v>
      </c>
      <c r="B5172" s="85" t="s">
        <v>33164</v>
      </c>
      <c r="C5172" s="86" t="s">
        <v>33165</v>
      </c>
      <c r="D5172" s="87" t="s">
        <v>33089</v>
      </c>
      <c r="E5172" s="88" t="s">
        <v>33166</v>
      </c>
      <c r="F5172" s="85" t="s">
        <v>19927</v>
      </c>
      <c r="G5172" s="89">
        <v>45100.0</v>
      </c>
      <c r="H5172" s="90"/>
      <c r="I5172" s="91" t="s">
        <v>33167</v>
      </c>
      <c r="J5172" s="86" t="s">
        <v>33168</v>
      </c>
      <c r="K5172" s="92"/>
      <c r="L5172" s="93" t="s">
        <v>33169</v>
      </c>
      <c r="M5172" s="86" t="s">
        <v>33170</v>
      </c>
      <c r="N5172" s="12"/>
      <c r="O5172" s="12"/>
      <c r="P5172" s="13">
        <f>IFERROR(__xludf.DUMMYFUNCTION("VALUE(SUBSTITUTE((INDEX(SPLIT(A5172,"",""),1)),""."","","",1))"),46.411427)</f>
        <v>46.411427</v>
      </c>
      <c r="Q5172" s="13">
        <f>IFERROR(__xludf.DUMMYFUNCTION("VALUE(SUBSTITUTE((INDEX(SPLIT(A5172,"",""),2)),""."","","",1))"),48.132227)</f>
        <v>48.132227</v>
      </c>
      <c r="R5172" s="14" t="b">
        <f t="shared" si="1"/>
        <v>0</v>
      </c>
      <c r="S5172" s="14" t="str">
        <f t="shared" si="2"/>
        <v>46.411427,48.132227</v>
      </c>
      <c r="T5172" s="12"/>
    </row>
    <row r="5173">
      <c r="A5173" s="74" t="s">
        <v>33171</v>
      </c>
      <c r="B5173" s="75" t="s">
        <v>33172</v>
      </c>
      <c r="C5173" s="76" t="s">
        <v>33173</v>
      </c>
      <c r="D5173" s="77" t="s">
        <v>33089</v>
      </c>
      <c r="E5173" s="78" t="s">
        <v>33174</v>
      </c>
      <c r="F5173" s="75" t="s">
        <v>2057</v>
      </c>
      <c r="G5173" s="79">
        <v>45100.0</v>
      </c>
      <c r="H5173" s="80"/>
      <c r="I5173" s="81" t="s">
        <v>33175</v>
      </c>
      <c r="J5173" s="76" t="s">
        <v>33176</v>
      </c>
      <c r="K5173" s="82"/>
      <c r="L5173" s="83" t="s">
        <v>33177</v>
      </c>
      <c r="M5173" s="76" t="s">
        <v>33178</v>
      </c>
      <c r="N5173" s="12"/>
      <c r="O5173" s="12"/>
      <c r="P5173" s="13">
        <f>IFERROR(__xludf.DUMMYFUNCTION("VALUE(SUBSTITUTE((INDEX(SPLIT(A5173,"",""),1)),""."","","",1))"),54.76355)</f>
        <v>54.76355</v>
      </c>
      <c r="Q5173" s="13">
        <f>IFERROR(__xludf.DUMMYFUNCTION("VALUE(SUBSTITUTE((INDEX(SPLIT(A5173,"",""),2)),""."","","",1))"),56.253698)</f>
        <v>56.253698</v>
      </c>
      <c r="R5173" s="14" t="b">
        <f t="shared" si="1"/>
        <v>0</v>
      </c>
      <c r="S5173" s="14" t="str">
        <f t="shared" si="2"/>
        <v>54.763550,56.253698</v>
      </c>
      <c r="T5173" s="12"/>
    </row>
    <row r="5174">
      <c r="A5174" s="84" t="s">
        <v>33179</v>
      </c>
      <c r="B5174" s="85" t="s">
        <v>17045</v>
      </c>
      <c r="C5174" s="86" t="s">
        <v>17045</v>
      </c>
      <c r="D5174" s="87" t="s">
        <v>33089</v>
      </c>
      <c r="E5174" s="88" t="s">
        <v>17046</v>
      </c>
      <c r="F5174" s="85" t="s">
        <v>9648</v>
      </c>
      <c r="G5174" s="89">
        <v>45100.0</v>
      </c>
      <c r="H5174" s="90"/>
      <c r="I5174" s="91" t="s">
        <v>33180</v>
      </c>
      <c r="J5174" s="86" t="s">
        <v>33181</v>
      </c>
      <c r="K5174" s="92"/>
      <c r="L5174" s="93" t="s">
        <v>33182</v>
      </c>
      <c r="M5174" s="86" t="s">
        <v>33183</v>
      </c>
      <c r="N5174" s="12"/>
      <c r="O5174" s="12"/>
      <c r="P5174" s="13">
        <f>IFERROR(__xludf.DUMMYFUNCTION("VALUE(SUBSTITUTE((INDEX(SPLIT(A5174,"",""),1)),""."","","",1))"),43.186865)</f>
        <v>43.186865</v>
      </c>
      <c r="Q5174" s="13">
        <f>IFERROR(__xludf.DUMMYFUNCTION("VALUE(SUBSTITUTE((INDEX(SPLIT(A5174,"",""),2)),""."","","",1))"),46.851292)</f>
        <v>46.851292</v>
      </c>
      <c r="R5174" s="14" t="b">
        <f t="shared" si="1"/>
        <v>0</v>
      </c>
      <c r="S5174" s="14" t="str">
        <f t="shared" si="2"/>
        <v>43.186865,46.851292</v>
      </c>
      <c r="T5174" s="12"/>
    </row>
    <row r="5175">
      <c r="A5175" s="74" t="s">
        <v>19501</v>
      </c>
      <c r="B5175" s="75" t="s">
        <v>33184</v>
      </c>
      <c r="C5175" s="76" t="s">
        <v>33185</v>
      </c>
      <c r="D5175" s="77" t="s">
        <v>33089</v>
      </c>
      <c r="E5175" s="78" t="s">
        <v>20191</v>
      </c>
      <c r="F5175" s="75" t="s">
        <v>13482</v>
      </c>
      <c r="G5175" s="79">
        <v>45100.0</v>
      </c>
      <c r="H5175" s="80"/>
      <c r="I5175" s="81" t="s">
        <v>33186</v>
      </c>
      <c r="J5175" s="76" t="s">
        <v>33187</v>
      </c>
      <c r="K5175" s="82"/>
      <c r="L5175" s="83" t="s">
        <v>33188</v>
      </c>
      <c r="M5175" s="76" t="s">
        <v>33189</v>
      </c>
      <c r="N5175" s="12"/>
      <c r="O5175" s="12"/>
      <c r="P5175" s="13">
        <f>IFERROR(__xludf.DUMMYFUNCTION("VALUE(SUBSTITUTE((INDEX(SPLIT(A5175,"",""),1)),""."","","",1))"),56.095042)</f>
        <v>56.095042</v>
      </c>
      <c r="Q5175" s="13">
        <f>IFERROR(__xludf.DUMMYFUNCTION("VALUE(SUBSTITUTE((INDEX(SPLIT(A5175,"",""),2)),""."","","",1))"),47.500244)</f>
        <v>47.500244</v>
      </c>
      <c r="R5175" s="14" t="b">
        <f t="shared" si="1"/>
        <v>0</v>
      </c>
      <c r="S5175" s="14" t="str">
        <f t="shared" si="2"/>
        <v>56.095042,47.500244</v>
      </c>
      <c r="T5175" s="12"/>
    </row>
    <row r="5176">
      <c r="A5176" s="84" t="s">
        <v>33190</v>
      </c>
      <c r="B5176" s="85" t="s">
        <v>33191</v>
      </c>
      <c r="C5176" s="86" t="s">
        <v>33192</v>
      </c>
      <c r="D5176" s="87" t="s">
        <v>33089</v>
      </c>
      <c r="E5176" s="88" t="s">
        <v>33193</v>
      </c>
      <c r="F5176" s="85" t="s">
        <v>8566</v>
      </c>
      <c r="G5176" s="89">
        <v>45100.0</v>
      </c>
      <c r="H5176" s="90"/>
      <c r="I5176" s="91" t="s">
        <v>33194</v>
      </c>
      <c r="J5176" s="86" t="s">
        <v>33195</v>
      </c>
      <c r="K5176" s="92"/>
      <c r="L5176" s="93" t="s">
        <v>33196</v>
      </c>
      <c r="M5176" s="91" t="s">
        <v>33197</v>
      </c>
      <c r="N5176" s="12"/>
      <c r="O5176" s="12"/>
      <c r="P5176" s="13">
        <f>IFERROR(__xludf.DUMMYFUNCTION("VALUE(SUBSTITUTE((INDEX(SPLIT(A5176,"",""),1)),""."","","",1))"),44.8435494314026)</f>
        <v>44.84354943</v>
      </c>
      <c r="Q5176" s="13">
        <f>IFERROR(__xludf.DUMMYFUNCTION("VALUE(SUBSTITUTE((INDEX(SPLIT(A5176,"",""),2)),""."","","",1))"),38.8788462937197)</f>
        <v>38.87884629</v>
      </c>
      <c r="R5176" s="14" t="b">
        <f t="shared" si="1"/>
        <v>0</v>
      </c>
      <c r="S5176" s="14" t="str">
        <f t="shared" si="2"/>
        <v>44.84354943140267,38.87884629371979</v>
      </c>
      <c r="T5176" s="12"/>
    </row>
    <row r="5177">
      <c r="A5177" s="74" t="s">
        <v>33198</v>
      </c>
      <c r="B5177" s="75" t="s">
        <v>33199</v>
      </c>
      <c r="C5177" s="94" t="s">
        <v>33200</v>
      </c>
      <c r="D5177" s="77" t="s">
        <v>33089</v>
      </c>
      <c r="E5177" s="95" t="s">
        <v>33201</v>
      </c>
      <c r="F5177" s="75" t="s">
        <v>3883</v>
      </c>
      <c r="G5177" s="79">
        <v>45100.0</v>
      </c>
      <c r="H5177" s="80"/>
      <c r="I5177" s="96"/>
      <c r="J5177" s="94" t="s">
        <v>33202</v>
      </c>
      <c r="K5177" s="97"/>
      <c r="L5177" s="83" t="s">
        <v>33203</v>
      </c>
      <c r="M5177" s="98" t="s">
        <v>33204</v>
      </c>
      <c r="N5177" s="12"/>
      <c r="O5177" s="12"/>
      <c r="P5177" s="13">
        <f>IFERROR(__xludf.DUMMYFUNCTION("VALUE(SUBSTITUTE((INDEX(SPLIT(A5177,"",""),1)),""."","","",1))"),55.729975)</f>
        <v>55.729975</v>
      </c>
      <c r="Q5177" s="13">
        <f>IFERROR(__xludf.DUMMYFUNCTION("VALUE(SUBSTITUTE((INDEX(SPLIT(A5177,"",""),2)),""."","","",1))"),37.747388)</f>
        <v>37.747388</v>
      </c>
      <c r="R5177" s="14" t="b">
        <f t="shared" si="1"/>
        <v>0</v>
      </c>
      <c r="S5177" s="14" t="str">
        <f t="shared" si="2"/>
        <v>55.729975,37.747388</v>
      </c>
      <c r="T5177" s="12"/>
    </row>
    <row r="5178">
      <c r="A5178" s="99" t="s">
        <v>33205</v>
      </c>
      <c r="B5178" s="100" t="s">
        <v>33206</v>
      </c>
      <c r="C5178" s="100" t="s">
        <v>33207</v>
      </c>
      <c r="D5178" s="87" t="s">
        <v>33089</v>
      </c>
      <c r="E5178" s="101" t="s">
        <v>33208</v>
      </c>
      <c r="F5178" s="85" t="s">
        <v>16731</v>
      </c>
      <c r="G5178" s="89">
        <v>45100.0</v>
      </c>
      <c r="H5178" s="102"/>
      <c r="I5178" s="103" t="s">
        <v>33209</v>
      </c>
      <c r="J5178" s="104" t="s">
        <v>33210</v>
      </c>
      <c r="K5178" s="105"/>
      <c r="L5178" s="93" t="s">
        <v>33211</v>
      </c>
      <c r="M5178" s="104" t="s">
        <v>33212</v>
      </c>
      <c r="N5178" s="12"/>
      <c r="O5178" s="12"/>
      <c r="P5178" s="13">
        <f>IFERROR(__xludf.DUMMYFUNCTION("VALUE(SUBSTITUTE((INDEX(SPLIT(A5178,"",""),1)),""."","","",1))"),53.321313)</f>
        <v>53.321313</v>
      </c>
      <c r="Q5178" s="13">
        <f>IFERROR(__xludf.DUMMYFUNCTION("VALUE(SUBSTITUTE((INDEX(SPLIT(A5178,"",""),2)),""."","","",1))"),83.620873)</f>
        <v>83.620873</v>
      </c>
      <c r="R5178" s="14" t="b">
        <f t="shared" si="1"/>
        <v>0</v>
      </c>
      <c r="S5178" s="14" t="str">
        <f t="shared" si="2"/>
        <v>53.321313,83.620873</v>
      </c>
      <c r="T5178" s="12"/>
    </row>
    <row r="5179">
      <c r="A5179" s="74" t="s">
        <v>33213</v>
      </c>
      <c r="B5179" s="76" t="s">
        <v>33214</v>
      </c>
      <c r="C5179" s="76" t="s">
        <v>33215</v>
      </c>
      <c r="D5179" s="77" t="s">
        <v>33089</v>
      </c>
      <c r="E5179" s="106" t="s">
        <v>29248</v>
      </c>
      <c r="F5179" s="75" t="s">
        <v>19378</v>
      </c>
      <c r="G5179" s="79">
        <v>45100.0</v>
      </c>
      <c r="H5179" s="80"/>
      <c r="I5179" s="107" t="s">
        <v>33216</v>
      </c>
      <c r="J5179" s="108" t="s">
        <v>33217</v>
      </c>
      <c r="K5179" s="82"/>
      <c r="L5179" s="83" t="s">
        <v>33218</v>
      </c>
      <c r="M5179" s="108" t="s">
        <v>33219</v>
      </c>
      <c r="N5179" s="12"/>
      <c r="O5179" s="12"/>
      <c r="P5179" s="13">
        <f>IFERROR(__xludf.DUMMYFUNCTION("VALUE(SUBSTITUTE((INDEX(SPLIT(A5179,"",""),1)),""."","","",1))"),59.45237)</f>
        <v>59.45237</v>
      </c>
      <c r="Q5179" s="13">
        <f>IFERROR(__xludf.DUMMYFUNCTION("VALUE(SUBSTITUTE((INDEX(SPLIT(A5179,"",""),2)),""."","","",1))"),56.741357)</f>
        <v>56.741357</v>
      </c>
      <c r="R5179" s="14" t="b">
        <f t="shared" si="1"/>
        <v>0</v>
      </c>
      <c r="S5179" s="14" t="str">
        <f t="shared" si="2"/>
        <v>59.452370,56.741357</v>
      </c>
      <c r="T5179" s="12"/>
    </row>
    <row r="5180">
      <c r="A5180" s="99" t="s">
        <v>33220</v>
      </c>
      <c r="B5180" s="100" t="s">
        <v>33221</v>
      </c>
      <c r="C5180" s="100" t="s">
        <v>33222</v>
      </c>
      <c r="D5180" s="87" t="s">
        <v>33089</v>
      </c>
      <c r="E5180" s="109" t="s">
        <v>28863</v>
      </c>
      <c r="F5180" s="85" t="s">
        <v>19378</v>
      </c>
      <c r="G5180" s="89">
        <v>45100.0</v>
      </c>
      <c r="H5180" s="102"/>
      <c r="I5180" s="110" t="s">
        <v>33223</v>
      </c>
      <c r="J5180" s="104" t="s">
        <v>33224</v>
      </c>
      <c r="K5180" s="105"/>
      <c r="L5180" s="93" t="s">
        <v>33225</v>
      </c>
      <c r="M5180" s="111" t="s">
        <v>33226</v>
      </c>
      <c r="N5180" s="12"/>
      <c r="O5180" s="12"/>
      <c r="P5180" s="13">
        <f>IFERROR(__xludf.DUMMYFUNCTION("VALUE(SUBSTITUTE((INDEX(SPLIT(A5180,"",""),1)),""."","","",1))"),58.072484)</f>
        <v>58.072484</v>
      </c>
      <c r="Q5180" s="13">
        <f>IFERROR(__xludf.DUMMYFUNCTION("VALUE(SUBSTITUTE((INDEX(SPLIT(A5180,"",""),2)),""."","","",1))"),55.875552)</f>
        <v>55.875552</v>
      </c>
      <c r="R5180" s="14" t="b">
        <f t="shared" si="1"/>
        <v>0</v>
      </c>
      <c r="S5180" s="14" t="str">
        <f t="shared" si="2"/>
        <v>58.072484,55.875552</v>
      </c>
      <c r="T5180" s="12"/>
    </row>
    <row r="5181">
      <c r="A5181" s="112" t="s">
        <v>33227</v>
      </c>
      <c r="B5181" s="113" t="s">
        <v>33221</v>
      </c>
      <c r="C5181" s="113" t="s">
        <v>33222</v>
      </c>
      <c r="D5181" s="114" t="s">
        <v>33089</v>
      </c>
      <c r="E5181" s="115" t="s">
        <v>28863</v>
      </c>
      <c r="F5181" s="116" t="s">
        <v>19378</v>
      </c>
      <c r="G5181" s="117">
        <v>45100.0</v>
      </c>
      <c r="H5181" s="118"/>
      <c r="I5181" s="119"/>
      <c r="J5181" s="116" t="s">
        <v>33228</v>
      </c>
      <c r="K5181" s="120"/>
      <c r="L5181" s="121" t="s">
        <v>32978</v>
      </c>
      <c r="M5181" s="119"/>
      <c r="N5181" s="12"/>
      <c r="O5181" s="12"/>
      <c r="P5181" s="13">
        <f>IFERROR(__xludf.DUMMYFUNCTION("VALUE(SUBSTITUTE((INDEX(SPLIT(A5181,"",""),1)),""."","","",1))"),58.687112)</f>
        <v>58.687112</v>
      </c>
      <c r="Q5181" s="13">
        <f>IFERROR(__xludf.DUMMYFUNCTION("VALUE(SUBSTITUTE((INDEX(SPLIT(A5181,"",""),2)),""."","","",1))"),59.532252)</f>
        <v>59.532252</v>
      </c>
      <c r="R5181" s="14" t="b">
        <f t="shared" si="1"/>
        <v>0</v>
      </c>
      <c r="S5181" s="14" t="str">
        <f t="shared" si="2"/>
        <v>58.687112,59.532252</v>
      </c>
      <c r="T5181" s="12"/>
    </row>
    <row r="5182">
      <c r="A5182" s="99" t="s">
        <v>33229</v>
      </c>
      <c r="B5182" s="100" t="s">
        <v>33230</v>
      </c>
      <c r="C5182" s="100" t="s">
        <v>33231</v>
      </c>
      <c r="D5182" s="87" t="s">
        <v>33089</v>
      </c>
      <c r="E5182" s="101" t="s">
        <v>28143</v>
      </c>
      <c r="F5182" s="85" t="s">
        <v>19378</v>
      </c>
      <c r="G5182" s="89">
        <v>45100.0</v>
      </c>
      <c r="H5182" s="102"/>
      <c r="I5182" s="103" t="s">
        <v>33232</v>
      </c>
      <c r="J5182" s="104" t="s">
        <v>33233</v>
      </c>
      <c r="K5182" s="105"/>
      <c r="L5182" s="93" t="s">
        <v>33234</v>
      </c>
      <c r="M5182" s="104" t="s">
        <v>33235</v>
      </c>
      <c r="N5182" s="12"/>
      <c r="O5182" s="12"/>
      <c r="P5182" s="13">
        <f>IFERROR(__xludf.DUMMYFUNCTION("VALUE(SUBSTITUTE((INDEX(SPLIT(A5182,"",""),1)),""."","","",1))"),57.971732)</f>
        <v>57.971732</v>
      </c>
      <c r="Q5182" s="13">
        <f>IFERROR(__xludf.DUMMYFUNCTION("VALUE(SUBSTITUTE((INDEX(SPLIT(A5182,"",""),2)),""."","","",1))"),56.26013)</f>
        <v>56.26013</v>
      </c>
      <c r="R5182" s="14" t="b">
        <f t="shared" si="1"/>
        <v>0</v>
      </c>
      <c r="S5182" s="14" t="str">
        <f t="shared" si="2"/>
        <v>57.971732,56.260130</v>
      </c>
      <c r="T5182" s="12"/>
    </row>
    <row r="5183">
      <c r="A5183" s="74" t="s">
        <v>33236</v>
      </c>
      <c r="B5183" s="76" t="s">
        <v>33237</v>
      </c>
      <c r="C5183" s="76" t="s">
        <v>33238</v>
      </c>
      <c r="D5183" s="77" t="s">
        <v>33089</v>
      </c>
      <c r="E5183" s="106" t="s">
        <v>28830</v>
      </c>
      <c r="F5183" s="75" t="s">
        <v>19378</v>
      </c>
      <c r="G5183" s="79">
        <v>45100.0</v>
      </c>
      <c r="H5183" s="80"/>
      <c r="I5183" s="39" t="s">
        <v>33239</v>
      </c>
      <c r="J5183" s="108" t="s">
        <v>33240</v>
      </c>
      <c r="K5183" s="82"/>
      <c r="L5183" s="83" t="s">
        <v>33241</v>
      </c>
      <c r="M5183" s="108" t="s">
        <v>33242</v>
      </c>
      <c r="N5183" s="12"/>
      <c r="O5183" s="12"/>
      <c r="P5183" s="13">
        <f>IFERROR(__xludf.DUMMYFUNCTION("VALUE(SUBSTITUTE((INDEX(SPLIT(A5183,"",""),1)),""."","","",1))"),58.038894653)</f>
        <v>58.03889465</v>
      </c>
      <c r="Q5183" s="13">
        <f>IFERROR(__xludf.DUMMYFUNCTION("VALUE(SUBSTITUTE((INDEX(SPLIT(A5183,"",""),2)),""."","","",1))"),56.161453247)</f>
        <v>56.16145325</v>
      </c>
      <c r="R5183" s="14" t="b">
        <f t="shared" si="1"/>
        <v>0</v>
      </c>
      <c r="S5183" s="14" t="str">
        <f t="shared" si="2"/>
        <v>58.038894653,56.161453247</v>
      </c>
      <c r="T5183" s="12"/>
    </row>
    <row r="5184">
      <c r="A5184" s="99" t="s">
        <v>33243</v>
      </c>
      <c r="B5184" s="100" t="s">
        <v>33244</v>
      </c>
      <c r="C5184" s="100" t="s">
        <v>33245</v>
      </c>
      <c r="D5184" s="87" t="s">
        <v>33089</v>
      </c>
      <c r="E5184" s="101" t="s">
        <v>33246</v>
      </c>
      <c r="F5184" s="85" t="s">
        <v>23238</v>
      </c>
      <c r="G5184" s="89">
        <v>45100.0</v>
      </c>
      <c r="H5184" s="102"/>
      <c r="I5184" s="103" t="s">
        <v>33247</v>
      </c>
      <c r="J5184" s="104" t="s">
        <v>33248</v>
      </c>
      <c r="K5184" s="105"/>
      <c r="L5184" s="93" t="s">
        <v>33249</v>
      </c>
      <c r="M5184" s="104" t="s">
        <v>33250</v>
      </c>
      <c r="N5184" s="12"/>
      <c r="O5184" s="12"/>
      <c r="P5184" s="13">
        <f>IFERROR(__xludf.DUMMYFUNCTION("VALUE(SUBSTITUTE((INDEX(SPLIT(A5184,"",""),1)),""."","","",1))"),55.082622528)</f>
        <v>55.08262253</v>
      </c>
      <c r="Q5184" s="13">
        <f>IFERROR(__xludf.DUMMYFUNCTION("VALUE(SUBSTITUTE((INDEX(SPLIT(A5184,"",""),2)),""."","","",1))"),73.207817078)</f>
        <v>73.20781708</v>
      </c>
      <c r="R5184" s="14" t="b">
        <f t="shared" si="1"/>
        <v>0</v>
      </c>
      <c r="S5184" s="14" t="str">
        <f t="shared" si="2"/>
        <v>55.082622528,73.207817078</v>
      </c>
      <c r="T5184" s="12"/>
    </row>
    <row r="5185">
      <c r="A5185" s="74" t="s">
        <v>33251</v>
      </c>
      <c r="B5185" s="76" t="s">
        <v>33252</v>
      </c>
      <c r="C5185" s="76" t="s">
        <v>33253</v>
      </c>
      <c r="D5185" s="77" t="s">
        <v>33089</v>
      </c>
      <c r="E5185" s="106" t="s">
        <v>33254</v>
      </c>
      <c r="F5185" s="75" t="s">
        <v>8566</v>
      </c>
      <c r="G5185" s="79">
        <v>45100.0</v>
      </c>
      <c r="H5185" s="80"/>
      <c r="I5185" s="39" t="s">
        <v>33255</v>
      </c>
      <c r="J5185" s="108" t="s">
        <v>33256</v>
      </c>
      <c r="K5185" s="82"/>
      <c r="L5185" s="83" t="s">
        <v>33257</v>
      </c>
      <c r="M5185" s="122"/>
      <c r="N5185" s="12"/>
      <c r="O5185" s="12"/>
      <c r="P5185" s="13">
        <f>IFERROR(__xludf.DUMMYFUNCTION("VALUE(SUBSTITUTE((INDEX(SPLIT(A5185,"",""),1)),""."","","",1))"),45.01994)</f>
        <v>45.01994</v>
      </c>
      <c r="Q5185" s="13">
        <f>IFERROR(__xludf.DUMMYFUNCTION("VALUE(SUBSTITUTE((INDEX(SPLIT(A5185,"",""),2)),""."","","",1))"),39.049703)</f>
        <v>39.049703</v>
      </c>
      <c r="R5185" s="14" t="b">
        <f t="shared" si="1"/>
        <v>0</v>
      </c>
      <c r="S5185" s="14" t="str">
        <f t="shared" si="2"/>
        <v>45.019940,39.049703</v>
      </c>
      <c r="T5185" s="12"/>
    </row>
    <row r="5186">
      <c r="A5186" s="99" t="s">
        <v>33258</v>
      </c>
      <c r="B5186" s="100" t="s">
        <v>33259</v>
      </c>
      <c r="C5186" s="100" t="s">
        <v>33260</v>
      </c>
      <c r="D5186" s="87" t="s">
        <v>33089</v>
      </c>
      <c r="E5186" s="101" t="s">
        <v>33261</v>
      </c>
      <c r="F5186" s="85" t="s">
        <v>8566</v>
      </c>
      <c r="G5186" s="89">
        <v>45100.0</v>
      </c>
      <c r="H5186" s="102"/>
      <c r="I5186" s="59" t="s">
        <v>33262</v>
      </c>
      <c r="J5186" s="104" t="s">
        <v>33263</v>
      </c>
      <c r="K5186" s="105"/>
      <c r="L5186" s="93" t="s">
        <v>33264</v>
      </c>
      <c r="M5186" s="59" t="s">
        <v>33265</v>
      </c>
      <c r="N5186" s="12"/>
      <c r="O5186" s="12"/>
      <c r="P5186" s="13">
        <f>IFERROR(__xludf.DUMMYFUNCTION("VALUE(SUBSTITUTE((INDEX(SPLIT(A5186,"",""),1)),""."","","",1))"),45.114153)</f>
        <v>45.114153</v>
      </c>
      <c r="Q5186" s="13">
        <f>IFERROR(__xludf.DUMMYFUNCTION("VALUE(SUBSTITUTE((INDEX(SPLIT(A5186,"",""),2)),""."","","",1))"),39.385397)</f>
        <v>39.385397</v>
      </c>
      <c r="R5186" s="14" t="b">
        <f t="shared" si="1"/>
        <v>0</v>
      </c>
      <c r="S5186" s="14" t="str">
        <f t="shared" si="2"/>
        <v>45.114153,39.385397</v>
      </c>
      <c r="T5186" s="12"/>
    </row>
    <row r="5187">
      <c r="A5187" s="74" t="s">
        <v>33266</v>
      </c>
      <c r="B5187" s="76" t="s">
        <v>33267</v>
      </c>
      <c r="C5187" s="76" t="s">
        <v>33268</v>
      </c>
      <c r="D5187" s="77" t="s">
        <v>33089</v>
      </c>
      <c r="E5187" s="106" t="s">
        <v>33269</v>
      </c>
      <c r="F5187" s="75" t="s">
        <v>8566</v>
      </c>
      <c r="G5187" s="79">
        <v>45100.0</v>
      </c>
      <c r="H5187" s="80"/>
      <c r="I5187" s="39" t="s">
        <v>33262</v>
      </c>
      <c r="J5187" s="108" t="s">
        <v>33270</v>
      </c>
      <c r="K5187" s="82"/>
      <c r="L5187" s="83" t="s">
        <v>33271</v>
      </c>
      <c r="M5187" s="39" t="s">
        <v>33272</v>
      </c>
      <c r="N5187" s="12"/>
      <c r="O5187" s="12"/>
      <c r="P5187" s="13">
        <f>IFERROR(__xludf.DUMMYFUNCTION("VALUE(SUBSTITUTE((INDEX(SPLIT(A5187,"",""),1)),""."","","",1))"),45.386744)</f>
        <v>45.386744</v>
      </c>
      <c r="Q5187" s="13">
        <f>IFERROR(__xludf.DUMMYFUNCTION("VALUE(SUBSTITUTE((INDEX(SPLIT(A5187,"",""),2)),""."","","",1))"),40.736793)</f>
        <v>40.736793</v>
      </c>
      <c r="R5187" s="14" t="b">
        <f t="shared" si="1"/>
        <v>0</v>
      </c>
      <c r="S5187" s="14" t="str">
        <f t="shared" si="2"/>
        <v>45.386744,40.736793</v>
      </c>
      <c r="T5187" s="12"/>
    </row>
    <row r="5188">
      <c r="A5188" s="99" t="s">
        <v>33273</v>
      </c>
      <c r="B5188" s="100" t="s">
        <v>33274</v>
      </c>
      <c r="C5188" s="100" t="s">
        <v>33275</v>
      </c>
      <c r="D5188" s="87" t="s">
        <v>33089</v>
      </c>
      <c r="E5188" s="101" t="s">
        <v>33276</v>
      </c>
      <c r="F5188" s="85" t="s">
        <v>13111</v>
      </c>
      <c r="G5188" s="89">
        <v>45100.0</v>
      </c>
      <c r="H5188" s="102"/>
      <c r="I5188" s="59" t="s">
        <v>33277</v>
      </c>
      <c r="J5188" s="104" t="s">
        <v>33278</v>
      </c>
      <c r="K5188" s="105"/>
      <c r="L5188" s="93" t="s">
        <v>33279</v>
      </c>
      <c r="M5188" s="59" t="s">
        <v>33280</v>
      </c>
      <c r="N5188" s="12"/>
      <c r="O5188" s="12"/>
      <c r="P5188" s="13">
        <f>IFERROR(__xludf.DUMMYFUNCTION("VALUE(SUBSTITUTE((INDEX(SPLIT(A5188,"",""),1)),""."","","",1))"),48.784025)</f>
        <v>48.784025</v>
      </c>
      <c r="Q5188" s="13">
        <f>IFERROR(__xludf.DUMMYFUNCTION("VALUE(SUBSTITUTE((INDEX(SPLIT(A5188,"",""),2)),""."","","",1))"),44.823759)</f>
        <v>44.823759</v>
      </c>
      <c r="R5188" s="14" t="b">
        <f t="shared" si="1"/>
        <v>0</v>
      </c>
      <c r="S5188" s="14" t="str">
        <f t="shared" si="2"/>
        <v>48.784025,44.823759</v>
      </c>
      <c r="T5188" s="12"/>
    </row>
    <row r="5189">
      <c r="A5189" s="74" t="s">
        <v>19010</v>
      </c>
      <c r="B5189" s="76" t="s">
        <v>33281</v>
      </c>
      <c r="C5189" s="76" t="s">
        <v>33282</v>
      </c>
      <c r="D5189" s="77" t="s">
        <v>33089</v>
      </c>
      <c r="E5189" s="106" t="s">
        <v>19690</v>
      </c>
      <c r="F5189" s="75" t="s">
        <v>17071</v>
      </c>
      <c r="G5189" s="79">
        <v>45100.0</v>
      </c>
      <c r="H5189" s="80"/>
      <c r="I5189" s="39" t="s">
        <v>33283</v>
      </c>
      <c r="J5189" s="108" t="s">
        <v>19691</v>
      </c>
      <c r="K5189" s="82"/>
      <c r="L5189" s="83" t="s">
        <v>33284</v>
      </c>
      <c r="M5189" s="123"/>
      <c r="N5189" s="12"/>
      <c r="O5189" s="12"/>
      <c r="P5189" s="13">
        <f>IFERROR(__xludf.DUMMYFUNCTION("VALUE(SUBSTITUTE((INDEX(SPLIT(A5189,"",""),1)),""."","","",1))"),51.533562)</f>
        <v>51.533562</v>
      </c>
      <c r="Q5189" s="13">
        <f>IFERROR(__xludf.DUMMYFUNCTION("VALUE(SUBSTITUTE((INDEX(SPLIT(A5189,"",""),2)),""."","","",1))"),46.034266)</f>
        <v>46.034266</v>
      </c>
      <c r="R5189" s="14" t="b">
        <f t="shared" si="1"/>
        <v>0</v>
      </c>
      <c r="S5189" s="14" t="str">
        <f t="shared" si="2"/>
        <v>51.533562,46.034266</v>
      </c>
      <c r="T5189" s="12"/>
    </row>
    <row r="5190">
      <c r="A5190" s="99" t="s">
        <v>2427</v>
      </c>
      <c r="B5190" s="100" t="s">
        <v>33285</v>
      </c>
      <c r="C5190" s="100" t="s">
        <v>33286</v>
      </c>
      <c r="D5190" s="87" t="s">
        <v>33089</v>
      </c>
      <c r="E5190" s="101" t="s">
        <v>2430</v>
      </c>
      <c r="F5190" s="85" t="s">
        <v>2330</v>
      </c>
      <c r="G5190" s="89">
        <v>45100.0</v>
      </c>
      <c r="H5190" s="102"/>
      <c r="I5190" s="59" t="s">
        <v>33287</v>
      </c>
      <c r="J5190" s="104" t="s">
        <v>2431</v>
      </c>
      <c r="K5190" s="105"/>
      <c r="L5190" s="93" t="s">
        <v>33288</v>
      </c>
      <c r="M5190" s="124"/>
      <c r="N5190" s="12"/>
      <c r="O5190" s="12"/>
      <c r="P5190" s="13">
        <f>IFERROR(__xludf.DUMMYFUNCTION("VALUE(SUBSTITUTE((INDEX(SPLIT(A5190,"",""),1)),""."","","",1))"),47.008059)</f>
        <v>47.008059</v>
      </c>
      <c r="Q5190" s="13">
        <f>IFERROR(__xludf.DUMMYFUNCTION("VALUE(SUBSTITUTE((INDEX(SPLIT(A5190,"",""),2)),""."","","",1))"),142.663786)</f>
        <v>142.663786</v>
      </c>
      <c r="R5190" s="14" t="b">
        <f t="shared" si="1"/>
        <v>0</v>
      </c>
      <c r="S5190" s="14" t="str">
        <f t="shared" si="2"/>
        <v>47.008059,142.663786</v>
      </c>
      <c r="T5190" s="12"/>
    </row>
    <row r="5191">
      <c r="A5191" s="74" t="s">
        <v>33289</v>
      </c>
      <c r="B5191" s="76" t="s">
        <v>33290</v>
      </c>
      <c r="C5191" s="76" t="s">
        <v>33291</v>
      </c>
      <c r="D5191" s="77" t="s">
        <v>33089</v>
      </c>
      <c r="E5191" s="106" t="s">
        <v>33292</v>
      </c>
      <c r="F5191" s="75" t="s">
        <v>8566</v>
      </c>
      <c r="G5191" s="79">
        <v>45100.0</v>
      </c>
      <c r="H5191" s="80"/>
      <c r="I5191" s="39" t="s">
        <v>33293</v>
      </c>
      <c r="J5191" s="108" t="s">
        <v>33294</v>
      </c>
      <c r="K5191" s="82"/>
      <c r="L5191" s="83" t="s">
        <v>33295</v>
      </c>
      <c r="M5191" s="39" t="s">
        <v>33296</v>
      </c>
      <c r="N5191" s="12"/>
      <c r="O5191" s="12"/>
      <c r="P5191" s="13">
        <f>IFERROR(__xludf.DUMMYFUNCTION("VALUE(SUBSTITUTE((INDEX(SPLIT(A5191,"",""),1)),""."","","",1))"),45.24115)</f>
        <v>45.24115</v>
      </c>
      <c r="Q5191" s="13">
        <f>IFERROR(__xludf.DUMMYFUNCTION("VALUE(SUBSTITUTE((INDEX(SPLIT(A5191,"",""),2)),""."","","",1))"),39.658949)</f>
        <v>39.658949</v>
      </c>
      <c r="R5191" s="14" t="b">
        <f t="shared" si="1"/>
        <v>0</v>
      </c>
      <c r="S5191" s="14" t="str">
        <f t="shared" si="2"/>
        <v>45.241150,39.658949</v>
      </c>
      <c r="T5191" s="12"/>
    </row>
    <row r="5192">
      <c r="A5192" s="99" t="s">
        <v>25868</v>
      </c>
      <c r="B5192" s="100" t="s">
        <v>33297</v>
      </c>
      <c r="C5192" s="100" t="s">
        <v>33298</v>
      </c>
      <c r="D5192" s="87" t="s">
        <v>33089</v>
      </c>
      <c r="E5192" s="101" t="s">
        <v>30875</v>
      </c>
      <c r="F5192" s="85" t="s">
        <v>23544</v>
      </c>
      <c r="G5192" s="89">
        <v>45100.0</v>
      </c>
      <c r="H5192" s="102"/>
      <c r="I5192" s="59" t="s">
        <v>33299</v>
      </c>
      <c r="J5192" s="104" t="s">
        <v>33300</v>
      </c>
      <c r="K5192" s="105"/>
      <c r="L5192" s="93" t="s">
        <v>33301</v>
      </c>
      <c r="M5192" s="59" t="s">
        <v>33302</v>
      </c>
      <c r="N5192" s="12"/>
      <c r="O5192" s="12"/>
      <c r="P5192" s="13">
        <f>IFERROR(__xludf.DUMMYFUNCTION("VALUE(SUBSTITUTE((INDEX(SPLIT(A5192,"",""),1)),""."","","",1))"),54.790521)</f>
        <v>54.790521</v>
      </c>
      <c r="Q5192" s="13">
        <f>IFERROR(__xludf.DUMMYFUNCTION("VALUE(SUBSTITUTE((INDEX(SPLIT(A5192,"",""),2)),""."","","",1))"),61.231676)</f>
        <v>61.231676</v>
      </c>
      <c r="R5192" s="14" t="b">
        <f t="shared" si="1"/>
        <v>0</v>
      </c>
      <c r="S5192" s="14" t="str">
        <f t="shared" si="2"/>
        <v>54.790521,61.231676</v>
      </c>
      <c r="T5192" s="12"/>
    </row>
    <row r="5193">
      <c r="A5193" s="74" t="s">
        <v>33303</v>
      </c>
      <c r="B5193" s="76" t="s">
        <v>33304</v>
      </c>
      <c r="C5193" s="76" t="s">
        <v>33305</v>
      </c>
      <c r="D5193" s="77" t="s">
        <v>33089</v>
      </c>
      <c r="E5193" s="106" t="s">
        <v>33306</v>
      </c>
      <c r="F5193" s="75" t="s">
        <v>18</v>
      </c>
      <c r="G5193" s="79">
        <v>45100.0</v>
      </c>
      <c r="H5193" s="80"/>
      <c r="I5193" s="39" t="s">
        <v>33307</v>
      </c>
      <c r="J5193" s="108" t="s">
        <v>33308</v>
      </c>
      <c r="K5193" s="82"/>
      <c r="L5193" s="83" t="s">
        <v>33309</v>
      </c>
      <c r="M5193" s="39" t="s">
        <v>33310</v>
      </c>
      <c r="N5193" s="12"/>
      <c r="O5193" s="12"/>
      <c r="P5193" s="13">
        <f>IFERROR(__xludf.DUMMYFUNCTION("VALUE(SUBSTITUTE((INDEX(SPLIT(A5193,"",""),1)),""."","","",1))"),54.0229591870647)</f>
        <v>54.02295919</v>
      </c>
      <c r="Q5193" s="13">
        <f>IFERROR(__xludf.DUMMYFUNCTION("VALUE(SUBSTITUTE((INDEX(SPLIT(A5193,"",""),2)),""."","","",1))"),102.046411443582)</f>
        <v>102.0464114</v>
      </c>
      <c r="R5193" s="14" t="b">
        <f t="shared" si="1"/>
        <v>0</v>
      </c>
      <c r="S5193" s="14" t="str">
        <f t="shared" si="2"/>
        <v>54.02295918706475,102.04641144358244</v>
      </c>
      <c r="T5193" s="12"/>
    </row>
    <row r="5194">
      <c r="A5194" s="125" t="s">
        <v>33311</v>
      </c>
      <c r="B5194" s="126" t="s">
        <v>33312</v>
      </c>
      <c r="C5194" s="126" t="s">
        <v>33313</v>
      </c>
      <c r="D5194" s="127" t="s">
        <v>33089</v>
      </c>
      <c r="E5194" s="128" t="s">
        <v>33314</v>
      </c>
      <c r="F5194" s="129" t="s">
        <v>12993</v>
      </c>
      <c r="G5194" s="130">
        <v>45100.0</v>
      </c>
      <c r="H5194" s="131"/>
      <c r="I5194" s="132"/>
      <c r="J5194" s="129" t="s">
        <v>33315</v>
      </c>
      <c r="K5194" s="133"/>
      <c r="L5194" s="47" t="s">
        <v>32978</v>
      </c>
      <c r="M5194" s="48" t="s">
        <v>33316</v>
      </c>
      <c r="N5194" s="12"/>
      <c r="O5194" s="12"/>
      <c r="P5194" s="13">
        <f>IFERROR(__xludf.DUMMYFUNCTION("VALUE(SUBSTITUTE((INDEX(SPLIT(A5194,"",""),1)),""."","","",1))"),45.0016072291497)</f>
        <v>45.00160723</v>
      </c>
      <c r="Q5194" s="13">
        <f>IFERROR(__xludf.DUMMYFUNCTION("VALUE(SUBSTITUTE((INDEX(SPLIT(A5194,"",""),2)),""."","","",1))"),41.9265857077746)</f>
        <v>41.92658571</v>
      </c>
      <c r="R5194" s="14" t="b">
        <f t="shared" si="1"/>
        <v>0</v>
      </c>
      <c r="S5194" s="14" t="str">
        <f t="shared" si="2"/>
        <v>45.00160722914975,41.92658570777464</v>
      </c>
      <c r="T5194" s="12"/>
    </row>
    <row r="5195">
      <c r="A5195" s="74" t="s">
        <v>33317</v>
      </c>
      <c r="B5195" s="76" t="s">
        <v>33318</v>
      </c>
      <c r="C5195" s="76" t="s">
        <v>33319</v>
      </c>
      <c r="D5195" s="77" t="s">
        <v>33089</v>
      </c>
      <c r="E5195" s="134" t="s">
        <v>28531</v>
      </c>
      <c r="F5195" s="75" t="s">
        <v>22263</v>
      </c>
      <c r="G5195" s="79">
        <v>45100.0</v>
      </c>
      <c r="H5195" s="80"/>
      <c r="I5195" s="135" t="s">
        <v>33320</v>
      </c>
      <c r="J5195" s="108" t="s">
        <v>33321</v>
      </c>
      <c r="K5195" s="82"/>
      <c r="L5195" s="83" t="s">
        <v>33322</v>
      </c>
      <c r="M5195" s="135" t="s">
        <v>33323</v>
      </c>
      <c r="N5195" s="12"/>
      <c r="O5195" s="12"/>
      <c r="P5195" s="13">
        <f>IFERROR(__xludf.DUMMYFUNCTION("VALUE(SUBSTITUTE((INDEX(SPLIT(A5195,"",""),1)),""."","","",1))"),57.122493)</f>
        <v>57.122493</v>
      </c>
      <c r="Q5195" s="13">
        <f>IFERROR(__xludf.DUMMYFUNCTION("VALUE(SUBSTITUTE((INDEX(SPLIT(A5195,"",""),2)),""."","","",1))"),61.700679)</f>
        <v>61.700679</v>
      </c>
      <c r="R5195" s="14" t="b">
        <f t="shared" si="1"/>
        <v>0</v>
      </c>
      <c r="S5195" s="14" t="str">
        <f t="shared" si="2"/>
        <v>57.122493,61.700679</v>
      </c>
      <c r="T5195" s="12"/>
    </row>
    <row r="5196">
      <c r="A5196" s="99" t="s">
        <v>33324</v>
      </c>
      <c r="B5196" s="100" t="s">
        <v>33325</v>
      </c>
      <c r="C5196" s="100" t="s">
        <v>33326</v>
      </c>
      <c r="D5196" s="87" t="s">
        <v>33089</v>
      </c>
      <c r="E5196" s="101" t="s">
        <v>33327</v>
      </c>
      <c r="F5196" s="85" t="s">
        <v>23544</v>
      </c>
      <c r="G5196" s="89">
        <v>45100.0</v>
      </c>
      <c r="H5196" s="102"/>
      <c r="I5196" s="59" t="s">
        <v>33328</v>
      </c>
      <c r="J5196" s="104" t="s">
        <v>33329</v>
      </c>
      <c r="K5196" s="105"/>
      <c r="L5196" s="93" t="s">
        <v>33330</v>
      </c>
      <c r="M5196" s="59" t="s">
        <v>33331</v>
      </c>
      <c r="N5196" s="12"/>
      <c r="O5196" s="12"/>
      <c r="P5196" s="13">
        <f>IFERROR(__xludf.DUMMYFUNCTION("VALUE(SUBSTITUTE((INDEX(SPLIT(A5196,"",""),1)),""."","","",1))"),55.488927)</f>
        <v>55.488927</v>
      </c>
      <c r="Q5196" s="13">
        <f>IFERROR(__xludf.DUMMYFUNCTION("VALUE(SUBSTITUTE((INDEX(SPLIT(A5196,"",""),2)),""."","","",1))"),65.339519)</f>
        <v>65.339519</v>
      </c>
      <c r="R5196" s="14" t="b">
        <f t="shared" si="1"/>
        <v>0</v>
      </c>
      <c r="S5196" s="14" t="str">
        <f t="shared" si="2"/>
        <v>55.488927,65.339519</v>
      </c>
      <c r="T5196" s="12"/>
    </row>
    <row r="5197">
      <c r="A5197" s="74" t="s">
        <v>33332</v>
      </c>
      <c r="B5197" s="76" t="s">
        <v>33333</v>
      </c>
      <c r="C5197" s="76" t="s">
        <v>33334</v>
      </c>
      <c r="D5197" s="77" t="s">
        <v>33089</v>
      </c>
      <c r="E5197" s="106" t="s">
        <v>33335</v>
      </c>
      <c r="F5197" s="75" t="s">
        <v>18</v>
      </c>
      <c r="G5197" s="79">
        <v>45100.0</v>
      </c>
      <c r="H5197" s="80"/>
      <c r="I5197" s="39" t="s">
        <v>33336</v>
      </c>
      <c r="J5197" s="108" t="s">
        <v>33337</v>
      </c>
      <c r="K5197" s="82"/>
      <c r="L5197" s="83" t="s">
        <v>33338</v>
      </c>
      <c r="M5197" s="39" t="s">
        <v>33339</v>
      </c>
      <c r="N5197" s="12"/>
      <c r="O5197" s="12"/>
      <c r="P5197" s="13">
        <f>IFERROR(__xludf.DUMMYFUNCTION("VALUE(SUBSTITUTE((INDEX(SPLIT(A5197,"",""),1)),""."","","",1))"),52.339852)</f>
        <v>52.339852</v>
      </c>
      <c r="Q5197" s="13">
        <f>IFERROR(__xludf.DUMMYFUNCTION("VALUE(SUBSTITUTE((INDEX(SPLIT(A5197,"",""),2)),""."","","",1))"),104.263916)</f>
        <v>104.263916</v>
      </c>
      <c r="R5197" s="14" t="b">
        <f t="shared" si="1"/>
        <v>0</v>
      </c>
      <c r="S5197" s="14" t="str">
        <f t="shared" si="2"/>
        <v>52.339852,104.263916</v>
      </c>
      <c r="T5197" s="12"/>
    </row>
    <row r="5198">
      <c r="A5198" s="136" t="s">
        <v>33340</v>
      </c>
      <c r="B5198" s="137" t="s">
        <v>2398</v>
      </c>
      <c r="C5198" s="137" t="s">
        <v>33341</v>
      </c>
      <c r="D5198" s="137" t="s">
        <v>33342</v>
      </c>
      <c r="E5198" s="138" t="s">
        <v>33343</v>
      </c>
      <c r="F5198" s="136" t="s">
        <v>16443</v>
      </c>
      <c r="G5198" s="136" t="s">
        <v>33344</v>
      </c>
      <c r="H5198" s="136"/>
      <c r="I5198" s="137"/>
      <c r="J5198" s="137" t="s">
        <v>33345</v>
      </c>
      <c r="K5198" s="137" t="s">
        <v>33346</v>
      </c>
      <c r="L5198" s="137"/>
      <c r="M5198" s="137"/>
      <c r="N5198" s="12"/>
      <c r="O5198" s="12"/>
      <c r="P5198" s="13">
        <f>IFERROR(__xludf.DUMMYFUNCTION("VALUE(SUBSTITUTE((INDEX(SPLIT(A5198,"",""),1)),""."","","",1))"),42.688156128)</f>
        <v>42.68815613</v>
      </c>
      <c r="Q5198" s="13">
        <f>IFERROR(__xludf.DUMMYFUNCTION("VALUE(SUBSTITUTE((INDEX(SPLIT(A5198,"",""),2)),""."","","",1))"),46.872936249)</f>
        <v>46.87293625</v>
      </c>
      <c r="R5198" s="14" t="b">
        <f t="shared" si="1"/>
        <v>0</v>
      </c>
      <c r="S5198" s="14" t="str">
        <f t="shared" si="2"/>
        <v>42.688156128,46.872936249</v>
      </c>
      <c r="T5198" s="12"/>
    </row>
    <row r="5199">
      <c r="A5199" s="139" t="s">
        <v>33347</v>
      </c>
      <c r="B5199" s="140" t="s">
        <v>33348</v>
      </c>
      <c r="C5199" s="140" t="s">
        <v>33349</v>
      </c>
      <c r="D5199" s="140" t="s">
        <v>33342</v>
      </c>
      <c r="E5199" s="141" t="s">
        <v>33350</v>
      </c>
      <c r="F5199" s="139" t="s">
        <v>16443</v>
      </c>
      <c r="G5199" s="139" t="s">
        <v>33344</v>
      </c>
      <c r="H5199" s="139"/>
      <c r="I5199" s="140"/>
      <c r="J5199" s="140" t="s">
        <v>33351</v>
      </c>
      <c r="K5199" s="140" t="s">
        <v>33352</v>
      </c>
      <c r="L5199" s="140"/>
      <c r="M5199" s="140"/>
      <c r="N5199" s="12"/>
      <c r="O5199" s="12"/>
      <c r="P5199" s="13">
        <f>IFERROR(__xludf.DUMMYFUNCTION("VALUE(SUBSTITUTE((INDEX(SPLIT(A5199,"",""),1)),""."","","",1))"),42.883579254)</f>
        <v>42.88357925</v>
      </c>
      <c r="Q5199" s="13">
        <f>IFERROR(__xludf.DUMMYFUNCTION("VALUE(SUBSTITUTE((INDEX(SPLIT(A5199,"",""),2)),""."","","",1))"),47.629943848)</f>
        <v>47.62994385</v>
      </c>
      <c r="R5199" s="14" t="b">
        <f t="shared" si="1"/>
        <v>0</v>
      </c>
      <c r="S5199" s="14" t="str">
        <f t="shared" si="2"/>
        <v>42.883579254,47.629943848</v>
      </c>
      <c r="T5199" s="12"/>
    </row>
    <row r="5200">
      <c r="A5200" s="136" t="s">
        <v>33353</v>
      </c>
      <c r="B5200" s="137" t="s">
        <v>33354</v>
      </c>
      <c r="C5200" s="137" t="s">
        <v>33354</v>
      </c>
      <c r="D5200" s="137" t="s">
        <v>33342</v>
      </c>
      <c r="E5200" s="138" t="s">
        <v>33355</v>
      </c>
      <c r="F5200" s="136" t="s">
        <v>16443</v>
      </c>
      <c r="G5200" s="136" t="s">
        <v>33344</v>
      </c>
      <c r="H5200" s="136"/>
      <c r="I5200" s="137"/>
      <c r="J5200" s="137" t="s">
        <v>33356</v>
      </c>
      <c r="K5200" s="137" t="s">
        <v>33357</v>
      </c>
      <c r="L5200" s="137"/>
      <c r="M5200" s="137"/>
      <c r="N5200" s="12"/>
      <c r="O5200" s="12"/>
      <c r="P5200" s="13">
        <f>IFERROR(__xludf.DUMMYFUNCTION("VALUE(SUBSTITUTE((INDEX(SPLIT(A5200,"",""),1)),""."","","",1))"),42.99143219)</f>
        <v>42.99143219</v>
      </c>
      <c r="Q5200" s="13">
        <f>IFERROR(__xludf.DUMMYFUNCTION("VALUE(SUBSTITUTE((INDEX(SPLIT(A5200,"",""),2)),""."","","",1))"),47.487159729)</f>
        <v>47.48715973</v>
      </c>
      <c r="R5200" s="14" t="b">
        <f t="shared" si="1"/>
        <v>0</v>
      </c>
      <c r="S5200" s="14" t="str">
        <f t="shared" si="2"/>
        <v>42.99143219,47.487159729</v>
      </c>
      <c r="T5200" s="12"/>
    </row>
    <row r="5201">
      <c r="A5201" s="139" t="s">
        <v>33358</v>
      </c>
      <c r="B5201" s="140" t="s">
        <v>33359</v>
      </c>
      <c r="C5201" s="140" t="s">
        <v>33360</v>
      </c>
      <c r="D5201" s="140" t="s">
        <v>33342</v>
      </c>
      <c r="E5201" s="141" t="s">
        <v>33361</v>
      </c>
      <c r="F5201" s="139" t="s">
        <v>16936</v>
      </c>
      <c r="G5201" s="139" t="s">
        <v>33344</v>
      </c>
      <c r="H5201" s="139"/>
      <c r="I5201" s="140"/>
      <c r="J5201" s="140" t="s">
        <v>33362</v>
      </c>
      <c r="K5201" s="140" t="s">
        <v>33363</v>
      </c>
      <c r="L5201" s="140"/>
      <c r="M5201" s="140"/>
      <c r="N5201" s="12"/>
      <c r="O5201" s="12"/>
      <c r="P5201" s="13">
        <f>IFERROR(__xludf.DUMMYFUNCTION("VALUE(SUBSTITUTE((INDEX(SPLIT(A5201,"",""),1)),""."","","",1))"),43.024246216)</f>
        <v>43.02424622</v>
      </c>
      <c r="Q5201" s="13">
        <f>IFERROR(__xludf.DUMMYFUNCTION("VALUE(SUBSTITUTE((INDEX(SPLIT(A5201,"",""),2)),""."","","",1))"),44.680335999)</f>
        <v>44.680336</v>
      </c>
      <c r="R5201" s="14" t="b">
        <f t="shared" si="1"/>
        <v>0</v>
      </c>
      <c r="S5201" s="14" t="str">
        <f t="shared" si="2"/>
        <v>43.024246216,44.680335999</v>
      </c>
      <c r="T5201" s="12"/>
    </row>
    <row r="5202">
      <c r="A5202" s="142" t="s">
        <v>33364</v>
      </c>
      <c r="B5202" s="143" t="s">
        <v>155</v>
      </c>
      <c r="C5202" s="143" t="s">
        <v>33365</v>
      </c>
      <c r="D5202" s="143" t="s">
        <v>33342</v>
      </c>
      <c r="E5202" s="144" t="s">
        <v>33366</v>
      </c>
      <c r="F5202" s="142" t="s">
        <v>16936</v>
      </c>
      <c r="G5202" s="142" t="s">
        <v>33344</v>
      </c>
      <c r="H5202" s="142"/>
      <c r="I5202" s="143"/>
      <c r="J5202" s="143" t="s">
        <v>33367</v>
      </c>
      <c r="K5202" s="143" t="s">
        <v>33368</v>
      </c>
      <c r="L5202" s="145" t="s">
        <v>33369</v>
      </c>
      <c r="M5202" s="143"/>
      <c r="N5202" s="12"/>
      <c r="O5202" s="12"/>
      <c r="P5202" s="13">
        <f>IFERROR(__xludf.DUMMYFUNCTION("VALUE(SUBSTITUTE((INDEX(SPLIT(A5202,"",""),1)),""."","","",1))"),43.026168823)</f>
        <v>43.02616882</v>
      </c>
      <c r="Q5202" s="13">
        <f>IFERROR(__xludf.DUMMYFUNCTION("VALUE(SUBSTITUTE((INDEX(SPLIT(A5202,"",""),2)),""."","","",1))"),44.704399109)</f>
        <v>44.70439911</v>
      </c>
      <c r="R5202" s="14" t="b">
        <f t="shared" si="1"/>
        <v>0</v>
      </c>
      <c r="S5202" s="14" t="str">
        <f t="shared" si="2"/>
        <v>43.026168823,44.704399109</v>
      </c>
      <c r="T5202" s="12"/>
    </row>
    <row r="5203">
      <c r="A5203" s="146" t="s">
        <v>33370</v>
      </c>
      <c r="B5203" s="147" t="s">
        <v>19730</v>
      </c>
      <c r="C5203" s="147" t="s">
        <v>33371</v>
      </c>
      <c r="D5203" s="147" t="s">
        <v>33342</v>
      </c>
      <c r="E5203" s="148" t="s">
        <v>33372</v>
      </c>
      <c r="F5203" s="146" t="s">
        <v>16936</v>
      </c>
      <c r="G5203" s="146" t="s">
        <v>33344</v>
      </c>
      <c r="H5203" s="146"/>
      <c r="I5203" s="147"/>
      <c r="J5203" s="147" t="s">
        <v>33373</v>
      </c>
      <c r="K5203" s="147" t="s">
        <v>33374</v>
      </c>
      <c r="L5203" s="149" t="s">
        <v>33375</v>
      </c>
      <c r="M5203" s="147"/>
      <c r="N5203" s="12"/>
      <c r="O5203" s="12"/>
      <c r="P5203" s="13">
        <f>IFERROR(__xludf.DUMMYFUNCTION("VALUE(SUBSTITUTE((INDEX(SPLIT(A5203,"",""),1)),""."","","",1))"),43.027748108)</f>
        <v>43.02774811</v>
      </c>
      <c r="Q5203" s="13">
        <f>IFERROR(__xludf.DUMMYFUNCTION("VALUE(SUBSTITUTE((INDEX(SPLIT(A5203,"",""),2)),""."","","",1))"),44.689781189)</f>
        <v>44.68978119</v>
      </c>
      <c r="R5203" s="14" t="b">
        <f t="shared" si="1"/>
        <v>0</v>
      </c>
      <c r="S5203" s="14" t="str">
        <f t="shared" si="2"/>
        <v>43.027748108,44.689781189</v>
      </c>
      <c r="T5203" s="12"/>
    </row>
    <row r="5204">
      <c r="A5204" s="142" t="s">
        <v>33376</v>
      </c>
      <c r="B5204" s="143" t="s">
        <v>33377</v>
      </c>
      <c r="C5204" s="143" t="s">
        <v>33378</v>
      </c>
      <c r="D5204" s="143" t="s">
        <v>33342</v>
      </c>
      <c r="E5204" s="144" t="s">
        <v>33379</v>
      </c>
      <c r="F5204" s="142" t="s">
        <v>1448</v>
      </c>
      <c r="G5204" s="142" t="s">
        <v>33344</v>
      </c>
      <c r="H5204" s="142"/>
      <c r="I5204" s="143"/>
      <c r="J5204" s="143" t="s">
        <v>33380</v>
      </c>
      <c r="K5204" s="143" t="s">
        <v>33381</v>
      </c>
      <c r="L5204" s="145" t="s">
        <v>33382</v>
      </c>
      <c r="M5204" s="143"/>
      <c r="N5204" s="12"/>
      <c r="O5204" s="12"/>
      <c r="P5204" s="13">
        <f>IFERROR(__xludf.DUMMYFUNCTION("VALUE(SUBSTITUTE((INDEX(SPLIT(A5204,"",""),1)),""."","","",1))"),43.128120422)</f>
        <v>43.12812042</v>
      </c>
      <c r="Q5204" s="13">
        <f>IFERROR(__xludf.DUMMYFUNCTION("VALUE(SUBSTITUTE((INDEX(SPLIT(A5204,"",""),2)),""."","","",1))"),131.916213989)</f>
        <v>131.916214</v>
      </c>
      <c r="R5204" s="14" t="b">
        <f t="shared" si="1"/>
        <v>0</v>
      </c>
      <c r="S5204" s="14" t="str">
        <f t="shared" si="2"/>
        <v>43.128120422,131.916213989</v>
      </c>
      <c r="T5204" s="12"/>
    </row>
    <row r="5205">
      <c r="A5205" s="146" t="s">
        <v>33383</v>
      </c>
      <c r="B5205" s="147" t="s">
        <v>33384</v>
      </c>
      <c r="C5205" s="147" t="s">
        <v>33385</v>
      </c>
      <c r="D5205" s="147" t="s">
        <v>33342</v>
      </c>
      <c r="E5205" s="148" t="s">
        <v>33386</v>
      </c>
      <c r="F5205" s="146" t="s">
        <v>1448</v>
      </c>
      <c r="G5205" s="146" t="s">
        <v>33344</v>
      </c>
      <c r="H5205" s="146"/>
      <c r="I5205" s="147"/>
      <c r="J5205" s="147" t="s">
        <v>33387</v>
      </c>
      <c r="K5205" s="147" t="s">
        <v>33388</v>
      </c>
      <c r="L5205" s="150" t="s">
        <v>33389</v>
      </c>
      <c r="M5205" s="147"/>
      <c r="N5205" s="12"/>
      <c r="O5205" s="12"/>
      <c r="P5205" s="13">
        <f>IFERROR(__xludf.DUMMYFUNCTION("VALUE(SUBSTITUTE((INDEX(SPLIT(A5205,"",""),1)),""."","","",1))"),43.129096985)</f>
        <v>43.12909699</v>
      </c>
      <c r="Q5205" s="13">
        <f>IFERROR(__xludf.DUMMYFUNCTION("VALUE(SUBSTITUTE((INDEX(SPLIT(A5205,"",""),2)),""."","","",1))"),131.946258545)</f>
        <v>131.9462585</v>
      </c>
      <c r="R5205" s="14" t="b">
        <f t="shared" si="1"/>
        <v>0</v>
      </c>
      <c r="S5205" s="14" t="str">
        <f t="shared" si="2"/>
        <v>43.129096985,131.946258545</v>
      </c>
      <c r="T5205" s="12"/>
    </row>
    <row r="5206">
      <c r="A5206" s="142" t="s">
        <v>33390</v>
      </c>
      <c r="B5206" s="143" t="s">
        <v>33391</v>
      </c>
      <c r="C5206" s="143" t="s">
        <v>33392</v>
      </c>
      <c r="D5206" s="143" t="s">
        <v>33342</v>
      </c>
      <c r="E5206" s="144" t="s">
        <v>33393</v>
      </c>
      <c r="F5206" s="142" t="s">
        <v>1448</v>
      </c>
      <c r="G5206" s="142" t="s">
        <v>33344</v>
      </c>
      <c r="H5206" s="142"/>
      <c r="I5206" s="143"/>
      <c r="J5206" s="143" t="s">
        <v>33394</v>
      </c>
      <c r="K5206" s="143" t="s">
        <v>33395</v>
      </c>
      <c r="L5206" s="145" t="s">
        <v>33396</v>
      </c>
      <c r="M5206" s="143"/>
      <c r="N5206" s="12"/>
      <c r="O5206" s="12"/>
      <c r="P5206" s="13">
        <f>IFERROR(__xludf.DUMMYFUNCTION("VALUE(SUBSTITUTE((INDEX(SPLIT(A5206,"",""),1)),""."","","",1))"),43.330188751)</f>
        <v>43.33018875</v>
      </c>
      <c r="Q5206" s="13">
        <f>IFERROR(__xludf.DUMMYFUNCTION("VALUE(SUBSTITUTE((INDEX(SPLIT(A5206,"",""),2)),""."","","",1))"),132.106246948)</f>
        <v>132.1062469</v>
      </c>
      <c r="R5206" s="14" t="b">
        <f t="shared" si="1"/>
        <v>0</v>
      </c>
      <c r="S5206" s="14" t="str">
        <f t="shared" si="2"/>
        <v>43.330188751,132.106246948</v>
      </c>
      <c r="T5206" s="12"/>
    </row>
    <row r="5207">
      <c r="A5207" s="139" t="s">
        <v>33397</v>
      </c>
      <c r="B5207" s="140" t="s">
        <v>33398</v>
      </c>
      <c r="C5207" s="140" t="s">
        <v>33399</v>
      </c>
      <c r="D5207" s="140" t="s">
        <v>33342</v>
      </c>
      <c r="E5207" s="141" t="s">
        <v>33400</v>
      </c>
      <c r="F5207" s="139" t="s">
        <v>1448</v>
      </c>
      <c r="G5207" s="139" t="s">
        <v>33344</v>
      </c>
      <c r="H5207" s="139"/>
      <c r="I5207" s="140"/>
      <c r="J5207" s="140" t="s">
        <v>33401</v>
      </c>
      <c r="K5207" s="140" t="s">
        <v>33402</v>
      </c>
      <c r="L5207" s="140"/>
      <c r="M5207" s="140"/>
      <c r="N5207" s="12"/>
      <c r="O5207" s="12"/>
      <c r="P5207" s="13">
        <f>IFERROR(__xludf.DUMMYFUNCTION("VALUE(SUBSTITUTE((INDEX(SPLIT(A5207,"",""),1)),""."","","",1))"),43.367164612)</f>
        <v>43.36716461</v>
      </c>
      <c r="Q5207" s="13">
        <f>IFERROR(__xludf.DUMMYFUNCTION("VALUE(SUBSTITUTE((INDEX(SPLIT(A5207,"",""),2)),""."","","",1))"),132.023666382)</f>
        <v>132.0236664</v>
      </c>
      <c r="R5207" s="14" t="b">
        <f t="shared" si="1"/>
        <v>0</v>
      </c>
      <c r="S5207" s="14" t="str">
        <f t="shared" si="2"/>
        <v>43.367164612,132.023666382</v>
      </c>
      <c r="T5207" s="12"/>
    </row>
    <row r="5208">
      <c r="A5208" s="142" t="s">
        <v>33403</v>
      </c>
      <c r="B5208" s="143" t="s">
        <v>21955</v>
      </c>
      <c r="C5208" s="143" t="s">
        <v>33404</v>
      </c>
      <c r="D5208" s="143" t="s">
        <v>33342</v>
      </c>
      <c r="E5208" s="144" t="s">
        <v>33405</v>
      </c>
      <c r="F5208" s="142" t="s">
        <v>8566</v>
      </c>
      <c r="G5208" s="142" t="s">
        <v>33344</v>
      </c>
      <c r="H5208" s="142"/>
      <c r="I5208" s="143"/>
      <c r="J5208" s="143" t="s">
        <v>33406</v>
      </c>
      <c r="K5208" s="143" t="s">
        <v>33407</v>
      </c>
      <c r="L5208" s="145" t="s">
        <v>33408</v>
      </c>
      <c r="M5208" s="143"/>
      <c r="N5208" s="12"/>
      <c r="O5208" s="12"/>
      <c r="P5208" s="13">
        <f>IFERROR(__xludf.DUMMYFUNCTION("VALUE(SUBSTITUTE((INDEX(SPLIT(A5208,"",""),1)),""."","","",1))"),43.432640076)</f>
        <v>43.43264008</v>
      </c>
      <c r="Q5208" s="13">
        <f>IFERROR(__xludf.DUMMYFUNCTION("VALUE(SUBSTITUTE((INDEX(SPLIT(A5208,"",""),2)),""."","","",1))"),39.926319122)</f>
        <v>39.92631912</v>
      </c>
      <c r="R5208" s="14" t="b">
        <f t="shared" si="1"/>
        <v>0</v>
      </c>
      <c r="S5208" s="14" t="str">
        <f t="shared" si="2"/>
        <v>43.432640076,39.926319122</v>
      </c>
      <c r="T5208" s="12"/>
    </row>
    <row r="5209">
      <c r="A5209" s="146" t="s">
        <v>33409</v>
      </c>
      <c r="B5209" s="147" t="s">
        <v>33410</v>
      </c>
      <c r="C5209" s="147" t="s">
        <v>33411</v>
      </c>
      <c r="D5209" s="147" t="s">
        <v>33342</v>
      </c>
      <c r="E5209" s="148" t="s">
        <v>33412</v>
      </c>
      <c r="F5209" s="146" t="s">
        <v>8566</v>
      </c>
      <c r="G5209" s="146" t="s">
        <v>33344</v>
      </c>
      <c r="H5209" s="146"/>
      <c r="I5209" s="147"/>
      <c r="J5209" s="147" t="s">
        <v>33413</v>
      </c>
      <c r="K5209" s="147" t="s">
        <v>33414</v>
      </c>
      <c r="L5209" s="149" t="s">
        <v>33415</v>
      </c>
      <c r="M5209" s="147"/>
      <c r="N5209" s="12"/>
      <c r="O5209" s="12"/>
      <c r="P5209" s="13">
        <f>IFERROR(__xludf.DUMMYFUNCTION("VALUE(SUBSTITUTE((INDEX(SPLIT(A5209,"",""),1)),""."","","",1))"),43.45098114)</f>
        <v>43.45098114</v>
      </c>
      <c r="Q5209" s="13">
        <f>IFERROR(__xludf.DUMMYFUNCTION("VALUE(SUBSTITUTE((INDEX(SPLIT(A5209,"",""),2)),""."","","",1))"),39.917858124)</f>
        <v>39.91785812</v>
      </c>
      <c r="R5209" s="14" t="b">
        <f t="shared" si="1"/>
        <v>0</v>
      </c>
      <c r="S5209" s="14" t="str">
        <f t="shared" si="2"/>
        <v>43.45098114,39.917858124</v>
      </c>
      <c r="T5209" s="12"/>
    </row>
    <row r="5210">
      <c r="A5210" s="136" t="s">
        <v>33416</v>
      </c>
      <c r="B5210" s="137" t="s">
        <v>33417</v>
      </c>
      <c r="C5210" s="137" t="s">
        <v>33418</v>
      </c>
      <c r="D5210" s="137" t="s">
        <v>33342</v>
      </c>
      <c r="E5210" s="138" t="s">
        <v>33419</v>
      </c>
      <c r="F5210" s="136" t="s">
        <v>8566</v>
      </c>
      <c r="G5210" s="136" t="s">
        <v>33344</v>
      </c>
      <c r="H5210" s="136"/>
      <c r="I5210" s="137"/>
      <c r="J5210" s="137" t="s">
        <v>33420</v>
      </c>
      <c r="K5210" s="137" t="s">
        <v>33421</v>
      </c>
      <c r="L5210" s="137"/>
      <c r="M5210" s="137"/>
      <c r="N5210" s="12"/>
      <c r="O5210" s="12"/>
      <c r="P5210" s="13">
        <f>IFERROR(__xludf.DUMMYFUNCTION("VALUE(SUBSTITUTE((INDEX(SPLIT(A5210,"",""),1)),""."","","",1))"),43.466625214)</f>
        <v>43.46662521</v>
      </c>
      <c r="Q5210" s="13">
        <f>IFERROR(__xludf.DUMMYFUNCTION("VALUE(SUBSTITUTE((INDEX(SPLIT(A5210,"",""),2)),""."","","",1))"),39.97064209)</f>
        <v>39.97064209</v>
      </c>
      <c r="R5210" s="14" t="b">
        <f t="shared" si="1"/>
        <v>0</v>
      </c>
      <c r="S5210" s="14" t="str">
        <f t="shared" si="2"/>
        <v>43.466625214,39.97064209</v>
      </c>
      <c r="T5210" s="12"/>
    </row>
    <row r="5211">
      <c r="A5211" s="139" t="s">
        <v>33422</v>
      </c>
      <c r="B5211" s="140" t="s">
        <v>33423</v>
      </c>
      <c r="C5211" s="140" t="s">
        <v>33424</v>
      </c>
      <c r="D5211" s="140" t="s">
        <v>33342</v>
      </c>
      <c r="E5211" s="141" t="s">
        <v>33425</v>
      </c>
      <c r="F5211" s="139" t="s">
        <v>8566</v>
      </c>
      <c r="G5211" s="139" t="s">
        <v>33344</v>
      </c>
      <c r="H5211" s="139"/>
      <c r="I5211" s="140"/>
      <c r="J5211" s="140" t="s">
        <v>33426</v>
      </c>
      <c r="K5211" s="140" t="s">
        <v>33427</v>
      </c>
      <c r="L5211" s="140"/>
      <c r="M5211" s="140"/>
      <c r="N5211" s="12"/>
      <c r="O5211" s="12"/>
      <c r="P5211" s="13">
        <f>IFERROR(__xludf.DUMMYFUNCTION("VALUE(SUBSTITUTE((INDEX(SPLIT(A5211,"",""),1)),""."","","",1))"),43.502475739)</f>
        <v>43.50247574</v>
      </c>
      <c r="Q5211" s="13">
        <f>IFERROR(__xludf.DUMMYFUNCTION("VALUE(SUBSTITUTE((INDEX(SPLIT(A5211,"",""),2)),""."","","",1))"),39.892425537)</f>
        <v>39.89242554</v>
      </c>
      <c r="R5211" s="14" t="b">
        <f t="shared" si="1"/>
        <v>0</v>
      </c>
      <c r="S5211" s="14" t="str">
        <f t="shared" si="2"/>
        <v>43.502475739,39.892425537</v>
      </c>
      <c r="T5211" s="12"/>
    </row>
    <row r="5212">
      <c r="A5212" s="142" t="s">
        <v>33428</v>
      </c>
      <c r="B5212" s="143" t="s">
        <v>33429</v>
      </c>
      <c r="C5212" s="143" t="s">
        <v>33430</v>
      </c>
      <c r="D5212" s="143" t="s">
        <v>33342</v>
      </c>
      <c r="E5212" s="144" t="s">
        <v>33431</v>
      </c>
      <c r="F5212" s="142" t="s">
        <v>8566</v>
      </c>
      <c r="G5212" s="142" t="s">
        <v>33344</v>
      </c>
      <c r="H5212" s="142"/>
      <c r="I5212" s="143"/>
      <c r="J5212" s="143" t="s">
        <v>33432</v>
      </c>
      <c r="K5212" s="143" t="s">
        <v>33433</v>
      </c>
      <c r="L5212" s="145" t="s">
        <v>33434</v>
      </c>
      <c r="M5212" s="143"/>
      <c r="N5212" s="12"/>
      <c r="O5212" s="12"/>
      <c r="P5212" s="13">
        <f>IFERROR(__xludf.DUMMYFUNCTION("VALUE(SUBSTITUTE((INDEX(SPLIT(A5212,"",""),1)),""."","","",1))"),43.55709717309)</f>
        <v>43.55709717</v>
      </c>
      <c r="Q5212" s="13">
        <f>IFERROR(__xludf.DUMMYFUNCTION("VALUE(SUBSTITUTE((INDEX(SPLIT(A5212,"",""),2)),""."","","",1))"),39.793996605926)</f>
        <v>39.79399661</v>
      </c>
      <c r="R5212" s="14" t="b">
        <f t="shared" si="1"/>
        <v>0</v>
      </c>
      <c r="S5212" s="14" t="str">
        <f t="shared" si="2"/>
        <v>43.55709717309,39.793996605926</v>
      </c>
      <c r="T5212" s="12"/>
    </row>
    <row r="5213">
      <c r="A5213" s="146" t="s">
        <v>33435</v>
      </c>
      <c r="B5213" s="147" t="s">
        <v>33436</v>
      </c>
      <c r="C5213" s="147" t="s">
        <v>33437</v>
      </c>
      <c r="D5213" s="147" t="s">
        <v>33342</v>
      </c>
      <c r="E5213" s="148" t="s">
        <v>33438</v>
      </c>
      <c r="F5213" s="146" t="s">
        <v>8566</v>
      </c>
      <c r="G5213" s="146" t="s">
        <v>33344</v>
      </c>
      <c r="H5213" s="146"/>
      <c r="I5213" s="151" t="s">
        <v>33439</v>
      </c>
      <c r="J5213" s="147" t="s">
        <v>33440</v>
      </c>
      <c r="K5213" s="147" t="s">
        <v>33441</v>
      </c>
      <c r="L5213" s="149" t="s">
        <v>33442</v>
      </c>
      <c r="M5213" s="147"/>
      <c r="N5213" s="12"/>
      <c r="O5213" s="12"/>
      <c r="P5213" s="13">
        <f>IFERROR(__xludf.DUMMYFUNCTION("VALUE(SUBSTITUTE((INDEX(SPLIT(A5213,"",""),1)),""."","","",1))"),43.563194275)</f>
        <v>43.56319428</v>
      </c>
      <c r="Q5213" s="13">
        <f>IFERROR(__xludf.DUMMYFUNCTION("VALUE(SUBSTITUTE((INDEX(SPLIT(A5213,"",""),2)),""."","","",1))"),39.76499939)</f>
        <v>39.76499939</v>
      </c>
      <c r="R5213" s="14" t="b">
        <f t="shared" si="1"/>
        <v>0</v>
      </c>
      <c r="S5213" s="14" t="str">
        <f t="shared" si="2"/>
        <v>43.563194275,39.76499939</v>
      </c>
      <c r="T5213" s="12"/>
    </row>
    <row r="5214">
      <c r="A5214" s="136" t="s">
        <v>33443</v>
      </c>
      <c r="B5214" s="137" t="s">
        <v>33444</v>
      </c>
      <c r="C5214" s="137" t="s">
        <v>33445</v>
      </c>
      <c r="D5214" s="137" t="s">
        <v>33342</v>
      </c>
      <c r="E5214" s="138" t="s">
        <v>33446</v>
      </c>
      <c r="F5214" s="136" t="s">
        <v>8566</v>
      </c>
      <c r="G5214" s="136" t="s">
        <v>33344</v>
      </c>
      <c r="H5214" s="136"/>
      <c r="I5214" s="137"/>
      <c r="J5214" s="137" t="s">
        <v>33447</v>
      </c>
      <c r="K5214" s="137" t="s">
        <v>33448</v>
      </c>
      <c r="L5214" s="137"/>
      <c r="M5214" s="137"/>
      <c r="N5214" s="12"/>
      <c r="O5214" s="12"/>
      <c r="P5214" s="13">
        <f>IFERROR(__xludf.DUMMYFUNCTION("VALUE(SUBSTITUTE((INDEX(SPLIT(A5214,"",""),1)),""."","","",1))"),43.585372925)</f>
        <v>43.58537293</v>
      </c>
      <c r="Q5214" s="13">
        <f>IFERROR(__xludf.DUMMYFUNCTION("VALUE(SUBSTITUTE((INDEX(SPLIT(A5214,"",""),2)),""."","","",1))"),39.727313995)</f>
        <v>39.727314</v>
      </c>
      <c r="R5214" s="14" t="b">
        <f t="shared" si="1"/>
        <v>0</v>
      </c>
      <c r="S5214" s="14" t="str">
        <f t="shared" si="2"/>
        <v>43.585372925,39.727313995</v>
      </c>
      <c r="T5214" s="12"/>
    </row>
    <row r="5215">
      <c r="A5215" s="146" t="s">
        <v>33449</v>
      </c>
      <c r="B5215" s="147" t="s">
        <v>33450</v>
      </c>
      <c r="C5215" s="147" t="s">
        <v>33451</v>
      </c>
      <c r="D5215" s="147" t="s">
        <v>33342</v>
      </c>
      <c r="E5215" s="148" t="s">
        <v>33452</v>
      </c>
      <c r="F5215" s="146" t="s">
        <v>8566</v>
      </c>
      <c r="G5215" s="146" t="s">
        <v>33344</v>
      </c>
      <c r="H5215" s="146"/>
      <c r="I5215" s="147"/>
      <c r="J5215" s="147" t="s">
        <v>33453</v>
      </c>
      <c r="K5215" s="147" t="s">
        <v>33454</v>
      </c>
      <c r="L5215" s="149" t="s">
        <v>33455</v>
      </c>
      <c r="M5215" s="147"/>
      <c r="N5215" s="12"/>
      <c r="O5215" s="12"/>
      <c r="P5215" s="13">
        <f>IFERROR(__xludf.DUMMYFUNCTION("VALUE(SUBSTITUTE((INDEX(SPLIT(A5215,"",""),1)),""."","","",1))"),43.592697144)</f>
        <v>43.59269714</v>
      </c>
      <c r="Q5215" s="13">
        <f>IFERROR(__xludf.DUMMYFUNCTION("VALUE(SUBSTITUTE((INDEX(SPLIT(A5215,"",""),2)),""."","","",1))"),39.717956543)</f>
        <v>39.71795654</v>
      </c>
      <c r="R5215" s="14" t="b">
        <f t="shared" si="1"/>
        <v>0</v>
      </c>
      <c r="S5215" s="14" t="str">
        <f t="shared" si="2"/>
        <v>43.592697144,39.717956543</v>
      </c>
      <c r="T5215" s="12"/>
    </row>
    <row r="5216">
      <c r="A5216" s="136" t="s">
        <v>33456</v>
      </c>
      <c r="B5216" s="137" t="s">
        <v>33457</v>
      </c>
      <c r="C5216" s="137" t="s">
        <v>33458</v>
      </c>
      <c r="D5216" s="137" t="s">
        <v>33342</v>
      </c>
      <c r="E5216" s="138" t="s">
        <v>33459</v>
      </c>
      <c r="F5216" s="136" t="s">
        <v>8566</v>
      </c>
      <c r="G5216" s="136" t="s">
        <v>33344</v>
      </c>
      <c r="H5216" s="136"/>
      <c r="I5216" s="137"/>
      <c r="J5216" s="137" t="s">
        <v>33460</v>
      </c>
      <c r="K5216" s="137" t="s">
        <v>33461</v>
      </c>
      <c r="L5216" s="137"/>
      <c r="M5216" s="137"/>
      <c r="N5216" s="12"/>
      <c r="O5216" s="12"/>
      <c r="P5216" s="13">
        <f>IFERROR(__xludf.DUMMYFUNCTION("VALUE(SUBSTITUTE((INDEX(SPLIT(A5216,"",""),1)),""."","","",1))"),43.602661133)</f>
        <v>43.60266113</v>
      </c>
      <c r="Q5216" s="13">
        <f>IFERROR(__xludf.DUMMYFUNCTION("VALUE(SUBSTITUTE((INDEX(SPLIT(A5216,"",""),2)),""."","","",1))"),39.717937469)</f>
        <v>39.71793747</v>
      </c>
      <c r="R5216" s="14" t="b">
        <f t="shared" si="1"/>
        <v>0</v>
      </c>
      <c r="S5216" s="14" t="str">
        <f t="shared" si="2"/>
        <v>43.602661133,39.717937469</v>
      </c>
      <c r="T5216" s="12"/>
    </row>
    <row r="5217">
      <c r="A5217" s="139" t="s">
        <v>33462</v>
      </c>
      <c r="B5217" s="140" t="s">
        <v>33463</v>
      </c>
      <c r="C5217" s="140" t="s">
        <v>33464</v>
      </c>
      <c r="D5217" s="140" t="s">
        <v>33342</v>
      </c>
      <c r="E5217" s="141" t="s">
        <v>33465</v>
      </c>
      <c r="F5217" s="139" t="s">
        <v>8566</v>
      </c>
      <c r="G5217" s="139" t="s">
        <v>33344</v>
      </c>
      <c r="H5217" s="139"/>
      <c r="I5217" s="140"/>
      <c r="J5217" s="140" t="s">
        <v>33466</v>
      </c>
      <c r="K5217" s="140" t="s">
        <v>33467</v>
      </c>
      <c r="L5217" s="140"/>
      <c r="M5217" s="140"/>
      <c r="N5217" s="12"/>
      <c r="O5217" s="12"/>
      <c r="P5217" s="13">
        <f>IFERROR(__xludf.DUMMYFUNCTION("VALUE(SUBSTITUTE((INDEX(SPLIT(A5217,"",""),1)),""."","","",1))"),43.625350952)</f>
        <v>43.62535095</v>
      </c>
      <c r="Q5217" s="13">
        <f>IFERROR(__xludf.DUMMYFUNCTION("VALUE(SUBSTITUTE((INDEX(SPLIT(A5217,"",""),2)),""."","","",1))"),39.729045868)</f>
        <v>39.72904587</v>
      </c>
      <c r="R5217" s="14" t="b">
        <f t="shared" si="1"/>
        <v>0</v>
      </c>
      <c r="S5217" s="14" t="str">
        <f t="shared" si="2"/>
        <v>43.625350952,39.729045868</v>
      </c>
      <c r="T5217" s="12"/>
    </row>
    <row r="5218">
      <c r="A5218" s="136" t="s">
        <v>33468</v>
      </c>
      <c r="B5218" s="137" t="s">
        <v>33469</v>
      </c>
      <c r="C5218" s="137" t="s">
        <v>33470</v>
      </c>
      <c r="D5218" s="137" t="s">
        <v>33342</v>
      </c>
      <c r="E5218" s="138" t="s">
        <v>33471</v>
      </c>
      <c r="F5218" s="136" t="s">
        <v>8566</v>
      </c>
      <c r="G5218" s="136" t="s">
        <v>33344</v>
      </c>
      <c r="H5218" s="136"/>
      <c r="I5218" s="137"/>
      <c r="J5218" s="137" t="s">
        <v>33472</v>
      </c>
      <c r="K5218" s="137" t="s">
        <v>33473</v>
      </c>
      <c r="L5218" s="137"/>
      <c r="M5218" s="137"/>
      <c r="N5218" s="12"/>
      <c r="O5218" s="12"/>
      <c r="P5218" s="13">
        <f>IFERROR(__xludf.DUMMYFUNCTION("VALUE(SUBSTITUTE((INDEX(SPLIT(A5218,"",""),1)),""."","","",1))"),43.631874084)</f>
        <v>43.63187408</v>
      </c>
      <c r="Q5218" s="13">
        <f>IFERROR(__xludf.DUMMYFUNCTION("VALUE(SUBSTITUTE((INDEX(SPLIT(A5218,"",""),2)),""."","","",1))"),39.717311859)</f>
        <v>39.71731186</v>
      </c>
      <c r="R5218" s="14" t="b">
        <f t="shared" si="1"/>
        <v>0</v>
      </c>
      <c r="S5218" s="14" t="str">
        <f t="shared" si="2"/>
        <v>43.631874084,39.717311859</v>
      </c>
      <c r="T5218" s="12"/>
    </row>
    <row r="5219">
      <c r="A5219" s="139" t="s">
        <v>33474</v>
      </c>
      <c r="B5219" s="140" t="s">
        <v>33475</v>
      </c>
      <c r="C5219" s="140" t="s">
        <v>33476</v>
      </c>
      <c r="D5219" s="140" t="s">
        <v>33342</v>
      </c>
      <c r="E5219" s="141" t="s">
        <v>33477</v>
      </c>
      <c r="F5219" s="139" t="s">
        <v>8566</v>
      </c>
      <c r="G5219" s="139" t="s">
        <v>33344</v>
      </c>
      <c r="H5219" s="139"/>
      <c r="I5219" s="140"/>
      <c r="J5219" s="140" t="s">
        <v>33478</v>
      </c>
      <c r="K5219" s="140" t="s">
        <v>33479</v>
      </c>
      <c r="L5219" s="140"/>
      <c r="M5219" s="140"/>
      <c r="N5219" s="12"/>
      <c r="O5219" s="12"/>
      <c r="P5219" s="13">
        <f>IFERROR(__xludf.DUMMYFUNCTION("VALUE(SUBSTITUTE((INDEX(SPLIT(A5219,"",""),1)),""."","","",1))"),43.667289734)</f>
        <v>43.66728973</v>
      </c>
      <c r="Q5219" s="13">
        <f>IFERROR(__xludf.DUMMYFUNCTION("VALUE(SUBSTITUTE((INDEX(SPLIT(A5219,"",""),2)),""."","","",1))"),39.679885864)</f>
        <v>39.67988586</v>
      </c>
      <c r="R5219" s="14" t="b">
        <f t="shared" si="1"/>
        <v>0</v>
      </c>
      <c r="S5219" s="14" t="str">
        <f t="shared" si="2"/>
        <v>43.667289734,39.679885864</v>
      </c>
      <c r="T5219" s="12"/>
    </row>
    <row r="5220">
      <c r="A5220" s="142" t="s">
        <v>33480</v>
      </c>
      <c r="B5220" s="143" t="s">
        <v>33481</v>
      </c>
      <c r="C5220" s="143" t="s">
        <v>33482</v>
      </c>
      <c r="D5220" s="143" t="s">
        <v>33342</v>
      </c>
      <c r="E5220" s="144" t="s">
        <v>33483</v>
      </c>
      <c r="F5220" s="142" t="s">
        <v>3169</v>
      </c>
      <c r="G5220" s="142" t="s">
        <v>33344</v>
      </c>
      <c r="H5220" s="142"/>
      <c r="I5220" s="143"/>
      <c r="J5220" s="143" t="s">
        <v>33484</v>
      </c>
      <c r="K5220" s="143" t="s">
        <v>33485</v>
      </c>
      <c r="L5220" s="145" t="s">
        <v>33486</v>
      </c>
      <c r="M5220" s="143"/>
      <c r="N5220" s="12"/>
      <c r="O5220" s="12"/>
      <c r="P5220" s="13">
        <f>IFERROR(__xludf.DUMMYFUNCTION("VALUE(SUBSTITUTE((INDEX(SPLIT(A5220,"",""),1)),""."","","",1))"),43.820392609)</f>
        <v>43.82039261</v>
      </c>
      <c r="Q5220" s="13">
        <f>IFERROR(__xludf.DUMMYFUNCTION("VALUE(SUBSTITUTE((INDEX(SPLIT(A5220,"",""),2)),""."","","",1))"),131.993972778)</f>
        <v>131.9939728</v>
      </c>
      <c r="R5220" s="14" t="b">
        <f t="shared" si="1"/>
        <v>0</v>
      </c>
      <c r="S5220" s="14" t="str">
        <f t="shared" si="2"/>
        <v>43.820392609,131.993972778</v>
      </c>
      <c r="T5220" s="12"/>
    </row>
    <row r="5221">
      <c r="A5221" s="139" t="s">
        <v>33487</v>
      </c>
      <c r="B5221" s="140" t="s">
        <v>33488</v>
      </c>
      <c r="C5221" s="140" t="s">
        <v>33489</v>
      </c>
      <c r="D5221" s="140" t="s">
        <v>33342</v>
      </c>
      <c r="E5221" s="141" t="s">
        <v>33490</v>
      </c>
      <c r="F5221" s="139" t="s">
        <v>8566</v>
      </c>
      <c r="G5221" s="139" t="s">
        <v>33344</v>
      </c>
      <c r="H5221" s="139"/>
      <c r="I5221" s="140"/>
      <c r="J5221" s="140" t="s">
        <v>33491</v>
      </c>
      <c r="K5221" s="140" t="s">
        <v>33492</v>
      </c>
      <c r="L5221" s="140"/>
      <c r="M5221" s="140"/>
      <c r="N5221" s="12"/>
      <c r="O5221" s="12"/>
      <c r="P5221" s="13">
        <f>IFERROR(__xludf.DUMMYFUNCTION("VALUE(SUBSTITUTE((INDEX(SPLIT(A5221,"",""),1)),""."","","",1))"),43.836816788575)</f>
        <v>43.83681679</v>
      </c>
      <c r="Q5221" s="13">
        <f>IFERROR(__xludf.DUMMYFUNCTION("VALUE(SUBSTITUTE((INDEX(SPLIT(A5221,"",""),2)),""."","","",1))"),39.51060135826)</f>
        <v>39.51060136</v>
      </c>
      <c r="R5221" s="14" t="b">
        <f t="shared" si="1"/>
        <v>0</v>
      </c>
      <c r="S5221" s="14" t="str">
        <f t="shared" si="2"/>
        <v>43.836816788575,39.51060135826</v>
      </c>
      <c r="T5221" s="12"/>
    </row>
    <row r="5222">
      <c r="A5222" s="142" t="s">
        <v>33493</v>
      </c>
      <c r="B5222" s="143" t="s">
        <v>26782</v>
      </c>
      <c r="C5222" s="143" t="s">
        <v>33494</v>
      </c>
      <c r="D5222" s="143" t="s">
        <v>33342</v>
      </c>
      <c r="E5222" s="144" t="s">
        <v>33495</v>
      </c>
      <c r="F5222" s="142" t="s">
        <v>8566</v>
      </c>
      <c r="G5222" s="142" t="s">
        <v>33344</v>
      </c>
      <c r="H5222" s="142"/>
      <c r="I5222" s="143"/>
      <c r="J5222" s="143" t="s">
        <v>33496</v>
      </c>
      <c r="K5222" s="143" t="s">
        <v>33497</v>
      </c>
      <c r="L5222" s="145" t="s">
        <v>33498</v>
      </c>
      <c r="M5222" s="143"/>
      <c r="N5222" s="12"/>
      <c r="O5222" s="12"/>
      <c r="P5222" s="13">
        <f>IFERROR(__xludf.DUMMYFUNCTION("VALUE(SUBSTITUTE((INDEX(SPLIT(A5222,"",""),1)),""."","","",1))"),43.912612914067)</f>
        <v>43.91261291</v>
      </c>
      <c r="Q5222" s="13">
        <f>IFERROR(__xludf.DUMMYFUNCTION("VALUE(SUBSTITUTE((INDEX(SPLIT(A5222,"",""),2)),""."","","",1))"),39.339799042484)</f>
        <v>39.33979904</v>
      </c>
      <c r="R5222" s="14" t="b">
        <f t="shared" si="1"/>
        <v>0</v>
      </c>
      <c r="S5222" s="14" t="str">
        <f t="shared" si="2"/>
        <v>43.912612914067,39.339799042484</v>
      </c>
      <c r="T5222" s="12"/>
    </row>
    <row r="5223">
      <c r="A5223" s="146" t="s">
        <v>33499</v>
      </c>
      <c r="B5223" s="147" t="s">
        <v>11022</v>
      </c>
      <c r="C5223" s="147" t="s">
        <v>33500</v>
      </c>
      <c r="D5223" s="147" t="s">
        <v>33342</v>
      </c>
      <c r="E5223" s="148" t="s">
        <v>33501</v>
      </c>
      <c r="F5223" s="146" t="s">
        <v>8566</v>
      </c>
      <c r="G5223" s="146" t="s">
        <v>33344</v>
      </c>
      <c r="H5223" s="146"/>
      <c r="I5223" s="147"/>
      <c r="J5223" s="147" t="s">
        <v>33502</v>
      </c>
      <c r="K5223" s="147" t="s">
        <v>33503</v>
      </c>
      <c r="L5223" s="150" t="s">
        <v>33504</v>
      </c>
      <c r="M5223" s="147"/>
      <c r="N5223" s="12"/>
      <c r="O5223" s="12"/>
      <c r="P5223" s="13">
        <f>IFERROR(__xludf.DUMMYFUNCTION("VALUE(SUBSTITUTE((INDEX(SPLIT(A5223,"",""),1)),""."","","",1))"),43.932201385)</f>
        <v>43.93220139</v>
      </c>
      <c r="Q5223" s="13">
        <f>IFERROR(__xludf.DUMMYFUNCTION("VALUE(SUBSTITUTE((INDEX(SPLIT(A5223,"",""),2)),""."","","",1))"),39.30790329)</f>
        <v>39.30790329</v>
      </c>
      <c r="R5223" s="14" t="b">
        <f t="shared" si="1"/>
        <v>0</v>
      </c>
      <c r="S5223" s="14" t="str">
        <f t="shared" si="2"/>
        <v>43.932201385,39.30790329</v>
      </c>
      <c r="T5223" s="12"/>
    </row>
    <row r="5224">
      <c r="A5224" s="142" t="s">
        <v>33505</v>
      </c>
      <c r="B5224" s="143" t="s">
        <v>33506</v>
      </c>
      <c r="C5224" s="143" t="s">
        <v>33507</v>
      </c>
      <c r="D5224" s="143" t="s">
        <v>33342</v>
      </c>
      <c r="E5224" s="144" t="s">
        <v>33508</v>
      </c>
      <c r="F5224" s="142" t="s">
        <v>12993</v>
      </c>
      <c r="G5224" s="142" t="s">
        <v>33344</v>
      </c>
      <c r="H5224" s="142"/>
      <c r="I5224" s="143"/>
      <c r="J5224" s="143" t="s">
        <v>33509</v>
      </c>
      <c r="K5224" s="143" t="s">
        <v>33510</v>
      </c>
      <c r="L5224" s="145" t="s">
        <v>33511</v>
      </c>
      <c r="M5224" s="143"/>
      <c r="N5224" s="12"/>
      <c r="O5224" s="12"/>
      <c r="P5224" s="13">
        <f>IFERROR(__xludf.DUMMYFUNCTION("VALUE(SUBSTITUTE((INDEX(SPLIT(A5224,"",""),1)),""."","","",1))"),44.060043335)</f>
        <v>44.06004334</v>
      </c>
      <c r="Q5224" s="13">
        <f>IFERROR(__xludf.DUMMYFUNCTION("VALUE(SUBSTITUTE((INDEX(SPLIT(A5224,"",""),2)),""."","","",1))"),43.061786652)</f>
        <v>43.06178665</v>
      </c>
      <c r="R5224" s="14" t="b">
        <f t="shared" si="1"/>
        <v>0</v>
      </c>
      <c r="S5224" s="14" t="str">
        <f t="shared" si="2"/>
        <v>44.060043335,43.061786652</v>
      </c>
      <c r="T5224" s="12"/>
    </row>
    <row r="5225">
      <c r="A5225" s="139" t="s">
        <v>33512</v>
      </c>
      <c r="B5225" s="140" t="s">
        <v>33513</v>
      </c>
      <c r="C5225" s="140" t="s">
        <v>33514</v>
      </c>
      <c r="D5225" s="140" t="s">
        <v>33342</v>
      </c>
      <c r="E5225" s="141" t="s">
        <v>33515</v>
      </c>
      <c r="F5225" s="139" t="s">
        <v>8566</v>
      </c>
      <c r="G5225" s="139" t="s">
        <v>33344</v>
      </c>
      <c r="H5225" s="139"/>
      <c r="I5225" s="140"/>
      <c r="J5225" s="140" t="s">
        <v>33516</v>
      </c>
      <c r="K5225" s="140" t="s">
        <v>33517</v>
      </c>
      <c r="L5225" s="140"/>
      <c r="M5225" s="140"/>
      <c r="N5225" s="12"/>
      <c r="O5225" s="12"/>
      <c r="P5225" s="13">
        <f>IFERROR(__xludf.DUMMYFUNCTION("VALUE(SUBSTITUTE((INDEX(SPLIT(A5225,"",""),1)),""."","","",1))"),44.093604858077)</f>
        <v>44.09360486</v>
      </c>
      <c r="Q5225" s="13">
        <f>IFERROR(__xludf.DUMMYFUNCTION("VALUE(SUBSTITUTE((INDEX(SPLIT(A5225,"",""),2)),""."","","",1))"),39.08997549633)</f>
        <v>39.0899755</v>
      </c>
      <c r="R5225" s="14" t="b">
        <f t="shared" si="1"/>
        <v>0</v>
      </c>
      <c r="S5225" s="14" t="str">
        <f t="shared" si="2"/>
        <v>44.093604858077,39.08997549633</v>
      </c>
      <c r="T5225" s="12"/>
    </row>
    <row r="5226">
      <c r="A5226" s="142" t="s">
        <v>33518</v>
      </c>
      <c r="B5226" s="143" t="s">
        <v>33519</v>
      </c>
      <c r="C5226" s="143" t="s">
        <v>33520</v>
      </c>
      <c r="D5226" s="143" t="s">
        <v>33342</v>
      </c>
      <c r="E5226" s="144" t="s">
        <v>33521</v>
      </c>
      <c r="F5226" s="142" t="s">
        <v>16285</v>
      </c>
      <c r="G5226" s="142" t="s">
        <v>33344</v>
      </c>
      <c r="H5226" s="142"/>
      <c r="I5226" s="143"/>
      <c r="J5226" s="143" t="s">
        <v>33522</v>
      </c>
      <c r="K5226" s="143" t="s">
        <v>33523</v>
      </c>
      <c r="L5226" s="152" t="s">
        <v>33524</v>
      </c>
      <c r="M5226" s="143"/>
      <c r="N5226" s="12"/>
      <c r="O5226" s="12"/>
      <c r="P5226" s="13">
        <f>IFERROR(__xludf.DUMMYFUNCTION("VALUE(SUBSTITUTE((INDEX(SPLIT(A5226,"",""),1)),""."","","",1))"),44.103164673)</f>
        <v>44.10316467</v>
      </c>
      <c r="Q5226" s="13">
        <f>IFERROR(__xludf.DUMMYFUNCTION("VALUE(SUBSTITUTE((INDEX(SPLIT(A5226,"",""),2)),""."","","",1))"),42.935005188)</f>
        <v>42.93500519</v>
      </c>
      <c r="R5226" s="14" t="b">
        <f t="shared" si="1"/>
        <v>0</v>
      </c>
      <c r="S5226" s="14" t="str">
        <f t="shared" si="2"/>
        <v>44.103164673,42.935005188</v>
      </c>
      <c r="T5226" s="12"/>
    </row>
    <row r="5227">
      <c r="A5227" s="139" t="s">
        <v>33525</v>
      </c>
      <c r="B5227" s="140" t="s">
        <v>33526</v>
      </c>
      <c r="C5227" s="140" t="s">
        <v>33527</v>
      </c>
      <c r="D5227" s="140" t="s">
        <v>33342</v>
      </c>
      <c r="E5227" s="141" t="s">
        <v>33528</v>
      </c>
      <c r="F5227" s="139" t="s">
        <v>12993</v>
      </c>
      <c r="G5227" s="139" t="s">
        <v>33344</v>
      </c>
      <c r="H5227" s="139"/>
      <c r="I5227" s="140"/>
      <c r="J5227" s="140" t="s">
        <v>33529</v>
      </c>
      <c r="K5227" s="140" t="s">
        <v>33530</v>
      </c>
      <c r="L5227" s="140"/>
      <c r="M5227" s="140"/>
      <c r="N5227" s="12"/>
      <c r="O5227" s="12"/>
      <c r="P5227" s="13">
        <f>IFERROR(__xludf.DUMMYFUNCTION("VALUE(SUBSTITUTE((INDEX(SPLIT(A5227,"",""),1)),""."","","",1))"),44.134590149)</f>
        <v>44.13459015</v>
      </c>
      <c r="Q5227" s="13">
        <f>IFERROR(__xludf.DUMMYFUNCTION("VALUE(SUBSTITUTE((INDEX(SPLIT(A5227,"",""),2)),""."","","",1))"),43.459136963)</f>
        <v>43.45913696</v>
      </c>
      <c r="R5227" s="14" t="b">
        <f t="shared" si="1"/>
        <v>0</v>
      </c>
      <c r="S5227" s="14" t="str">
        <f t="shared" si="2"/>
        <v>44.134590149,43.459136963</v>
      </c>
      <c r="T5227" s="12"/>
    </row>
    <row r="5228">
      <c r="A5228" s="142" t="s">
        <v>33531</v>
      </c>
      <c r="B5228" s="143" t="s">
        <v>33532</v>
      </c>
      <c r="C5228" s="143" t="s">
        <v>33533</v>
      </c>
      <c r="D5228" s="143" t="s">
        <v>33342</v>
      </c>
      <c r="E5228" s="144" t="s">
        <v>33534</v>
      </c>
      <c r="F5228" s="142" t="s">
        <v>16285</v>
      </c>
      <c r="G5228" s="142" t="s">
        <v>33344</v>
      </c>
      <c r="H5228" s="142"/>
      <c r="I5228" s="143"/>
      <c r="J5228" s="143" t="s">
        <v>33535</v>
      </c>
      <c r="K5228" s="143" t="s">
        <v>33536</v>
      </c>
      <c r="L5228" s="152" t="s">
        <v>33537</v>
      </c>
      <c r="M5228" s="143"/>
      <c r="N5228" s="12"/>
      <c r="O5228" s="12"/>
      <c r="P5228" s="13">
        <f>IFERROR(__xludf.DUMMYFUNCTION("VALUE(SUBSTITUTE((INDEX(SPLIT(A5228,"",""),1)),""."","","",1))"),44.228397369)</f>
        <v>44.22839737</v>
      </c>
      <c r="Q5228" s="13">
        <f>IFERROR(__xludf.DUMMYFUNCTION("VALUE(SUBSTITUTE((INDEX(SPLIT(A5228,"",""),2)),""."","","",1))"),42.057491302)</f>
        <v>42.0574913</v>
      </c>
      <c r="R5228" s="14" t="b">
        <f t="shared" si="1"/>
        <v>0</v>
      </c>
      <c r="S5228" s="14" t="str">
        <f t="shared" si="2"/>
        <v>44.228397369,42.057491302</v>
      </c>
      <c r="T5228" s="12"/>
    </row>
    <row r="5229">
      <c r="A5229" s="139" t="s">
        <v>33538</v>
      </c>
      <c r="B5229" s="140" t="s">
        <v>33539</v>
      </c>
      <c r="C5229" s="140" t="s">
        <v>33540</v>
      </c>
      <c r="D5229" s="140" t="s">
        <v>33342</v>
      </c>
      <c r="E5229" s="141" t="s">
        <v>33541</v>
      </c>
      <c r="F5229" s="139" t="s">
        <v>8566</v>
      </c>
      <c r="G5229" s="139" t="s">
        <v>33344</v>
      </c>
      <c r="H5229" s="139"/>
      <c r="I5229" s="140"/>
      <c r="J5229" s="140" t="s">
        <v>33542</v>
      </c>
      <c r="K5229" s="140" t="s">
        <v>33543</v>
      </c>
      <c r="L5229" s="140"/>
      <c r="M5229" s="140"/>
      <c r="N5229" s="12"/>
      <c r="O5229" s="12"/>
      <c r="P5229" s="13">
        <f>IFERROR(__xludf.DUMMYFUNCTION("VALUE(SUBSTITUTE((INDEX(SPLIT(A5229,"",""),1)),""."","","",1))"),44.559833527)</f>
        <v>44.55983353</v>
      </c>
      <c r="Q5229" s="13">
        <f>IFERROR(__xludf.DUMMYFUNCTION("VALUE(SUBSTITUTE((INDEX(SPLIT(A5229,"",""),2)),""."","","",1))"),38.083335876)</f>
        <v>38.08333588</v>
      </c>
      <c r="R5229" s="14" t="b">
        <f t="shared" si="1"/>
        <v>0</v>
      </c>
      <c r="S5229" s="14" t="str">
        <f t="shared" si="2"/>
        <v>44.559833527,38.083335876</v>
      </c>
      <c r="T5229" s="12"/>
    </row>
    <row r="5230">
      <c r="A5230" s="136" t="s">
        <v>33544</v>
      </c>
      <c r="B5230" s="137" t="s">
        <v>33545</v>
      </c>
      <c r="C5230" s="137" t="s">
        <v>33545</v>
      </c>
      <c r="D5230" s="137" t="s">
        <v>33342</v>
      </c>
      <c r="E5230" s="138" t="s">
        <v>33546</v>
      </c>
      <c r="F5230" s="136" t="s">
        <v>8566</v>
      </c>
      <c r="G5230" s="136" t="s">
        <v>33344</v>
      </c>
      <c r="H5230" s="136"/>
      <c r="I5230" s="137"/>
      <c r="J5230" s="137" t="s">
        <v>33547</v>
      </c>
      <c r="K5230" s="137" t="s">
        <v>33548</v>
      </c>
      <c r="L5230" s="137"/>
      <c r="M5230" s="153" t="s">
        <v>33549</v>
      </c>
      <c r="N5230" s="12"/>
      <c r="O5230" s="12"/>
      <c r="P5230" s="13">
        <f>IFERROR(__xludf.DUMMYFUNCTION("VALUE(SUBSTITUTE((INDEX(SPLIT(A5230,"",""),1)),""."","","",1))"),44.569019318)</f>
        <v>44.56901932</v>
      </c>
      <c r="Q5230" s="13">
        <f>IFERROR(__xludf.DUMMYFUNCTION("VALUE(SUBSTITUTE((INDEX(SPLIT(A5230,"",""),2)),""."","","",1))"),38.090969086)</f>
        <v>38.09096909</v>
      </c>
      <c r="R5230" s="14" t="b">
        <f t="shared" si="1"/>
        <v>0</v>
      </c>
      <c r="S5230" s="14" t="str">
        <f t="shared" si="2"/>
        <v>44.569019318,38.090969086</v>
      </c>
      <c r="T5230" s="12"/>
    </row>
    <row r="5231">
      <c r="A5231" s="139" t="s">
        <v>33550</v>
      </c>
      <c r="B5231" s="140" t="s">
        <v>33551</v>
      </c>
      <c r="C5231" s="140" t="s">
        <v>33552</v>
      </c>
      <c r="D5231" s="140" t="s">
        <v>33342</v>
      </c>
      <c r="E5231" s="141" t="s">
        <v>33553</v>
      </c>
      <c r="F5231" s="139" t="s">
        <v>8566</v>
      </c>
      <c r="G5231" s="139" t="s">
        <v>33344</v>
      </c>
      <c r="H5231" s="139"/>
      <c r="I5231" s="140"/>
      <c r="J5231" s="140" t="s">
        <v>33554</v>
      </c>
      <c r="K5231" s="140" t="s">
        <v>33555</v>
      </c>
      <c r="L5231" s="140"/>
      <c r="M5231" s="154" t="s">
        <v>33556</v>
      </c>
      <c r="N5231" s="12"/>
      <c r="O5231" s="12"/>
      <c r="P5231" s="13">
        <f>IFERROR(__xludf.DUMMYFUNCTION("VALUE(SUBSTITUTE((INDEX(SPLIT(A5231,"",""),1)),""."","","",1))"),44.570381165)</f>
        <v>44.57038117</v>
      </c>
      <c r="Q5231" s="13">
        <f>IFERROR(__xludf.DUMMYFUNCTION("VALUE(SUBSTITUTE((INDEX(SPLIT(A5231,"",""),2)),""."","","",1))"),38.024318695)</f>
        <v>38.0243187</v>
      </c>
      <c r="R5231" s="14" t="b">
        <f t="shared" si="1"/>
        <v>0</v>
      </c>
      <c r="S5231" s="14" t="str">
        <f t="shared" si="2"/>
        <v>44.570381165,38.024318695</v>
      </c>
      <c r="T5231" s="12"/>
    </row>
    <row r="5232">
      <c r="A5232" s="142" t="s">
        <v>33557</v>
      </c>
      <c r="B5232" s="143" t="s">
        <v>33558</v>
      </c>
      <c r="C5232" s="143" t="s">
        <v>33559</v>
      </c>
      <c r="D5232" s="143" t="s">
        <v>33342</v>
      </c>
      <c r="E5232" s="144" t="s">
        <v>33560</v>
      </c>
      <c r="F5232" s="142" t="s">
        <v>8566</v>
      </c>
      <c r="G5232" s="142" t="s">
        <v>33344</v>
      </c>
      <c r="H5232" s="142"/>
      <c r="I5232" s="143"/>
      <c r="J5232" s="143" t="s">
        <v>33561</v>
      </c>
      <c r="K5232" s="143" t="s">
        <v>33548</v>
      </c>
      <c r="L5232" s="145" t="s">
        <v>33562</v>
      </c>
      <c r="M5232" s="143"/>
      <c r="N5232" s="12"/>
      <c r="O5232" s="12"/>
      <c r="P5232" s="13">
        <f>IFERROR(__xludf.DUMMYFUNCTION("VALUE(SUBSTITUTE((INDEX(SPLIT(A5232,"",""),1)),""."","","",1))"),44.570899963)</f>
        <v>44.57089996</v>
      </c>
      <c r="Q5232" s="13">
        <f>IFERROR(__xludf.DUMMYFUNCTION("VALUE(SUBSTITUTE((INDEX(SPLIT(A5232,"",""),2)),""."","","",1))"),38.093170166)</f>
        <v>38.09317017</v>
      </c>
      <c r="R5232" s="14" t="b">
        <f t="shared" si="1"/>
        <v>0</v>
      </c>
      <c r="S5232" s="14" t="str">
        <f t="shared" si="2"/>
        <v>44.570899963,38.093170166</v>
      </c>
      <c r="T5232" s="12"/>
    </row>
    <row r="5233">
      <c r="A5233" s="146" t="s">
        <v>33563</v>
      </c>
      <c r="B5233" s="147" t="s">
        <v>33564</v>
      </c>
      <c r="C5233" s="147" t="s">
        <v>33565</v>
      </c>
      <c r="D5233" s="147" t="s">
        <v>33342</v>
      </c>
      <c r="E5233" s="148" t="s">
        <v>33566</v>
      </c>
      <c r="F5233" s="146" t="s">
        <v>8566</v>
      </c>
      <c r="G5233" s="146" t="s">
        <v>33344</v>
      </c>
      <c r="H5233" s="146"/>
      <c r="I5233" s="147"/>
      <c r="J5233" s="147" t="s">
        <v>33567</v>
      </c>
      <c r="K5233" s="147" t="s">
        <v>33568</v>
      </c>
      <c r="L5233" s="149" t="s">
        <v>33569</v>
      </c>
      <c r="M5233" s="147"/>
      <c r="N5233" s="12"/>
      <c r="O5233" s="12"/>
      <c r="P5233" s="13">
        <f>IFERROR(__xludf.DUMMYFUNCTION("VALUE(SUBSTITUTE((INDEX(SPLIT(A5233,"",""),1)),""."","","",1))"),44.73097229)</f>
        <v>44.73097229</v>
      </c>
      <c r="Q5233" s="13">
        <f>IFERROR(__xludf.DUMMYFUNCTION("VALUE(SUBSTITUTE((INDEX(SPLIT(A5233,"",""),2)),""."","","",1))"),37.812149048)</f>
        <v>37.81214905</v>
      </c>
      <c r="R5233" s="14" t="b">
        <f t="shared" si="1"/>
        <v>0</v>
      </c>
      <c r="S5233" s="14" t="str">
        <f t="shared" si="2"/>
        <v>44.73097229,37.812149048</v>
      </c>
      <c r="T5233" s="12"/>
    </row>
    <row r="5234">
      <c r="A5234" s="136" t="s">
        <v>33570</v>
      </c>
      <c r="B5234" s="137" t="s">
        <v>89</v>
      </c>
      <c r="C5234" s="137" t="s">
        <v>33571</v>
      </c>
      <c r="D5234" s="137" t="s">
        <v>33342</v>
      </c>
      <c r="E5234" s="138" t="s">
        <v>33572</v>
      </c>
      <c r="F5234" s="136" t="s">
        <v>8566</v>
      </c>
      <c r="G5234" s="136" t="s">
        <v>33344</v>
      </c>
      <c r="H5234" s="136"/>
      <c r="I5234" s="137"/>
      <c r="J5234" s="137" t="s">
        <v>33573</v>
      </c>
      <c r="K5234" s="137" t="s">
        <v>33574</v>
      </c>
      <c r="L5234" s="137"/>
      <c r="M5234" s="137"/>
      <c r="N5234" s="12"/>
      <c r="O5234" s="12"/>
      <c r="P5234" s="13">
        <f>IFERROR(__xludf.DUMMYFUNCTION("VALUE(SUBSTITUTE((INDEX(SPLIT(A5234,"",""),1)),""."","","",1))"),44.759386007096)</f>
        <v>44.75938601</v>
      </c>
      <c r="Q5234" s="13">
        <f>IFERROR(__xludf.DUMMYFUNCTION("VALUE(SUBSTITUTE((INDEX(SPLIT(A5234,"",""),2)),""."","","",1))"),37.715361061373)</f>
        <v>37.71536106</v>
      </c>
      <c r="R5234" s="14" t="b">
        <f t="shared" si="1"/>
        <v>0</v>
      </c>
      <c r="S5234" s="14" t="str">
        <f t="shared" si="2"/>
        <v>44.759386007096,37.715361061373</v>
      </c>
      <c r="T5234" s="12"/>
    </row>
    <row r="5235">
      <c r="A5235" s="139" t="s">
        <v>33575</v>
      </c>
      <c r="B5235" s="140" t="s">
        <v>33576</v>
      </c>
      <c r="C5235" s="140" t="s">
        <v>33577</v>
      </c>
      <c r="D5235" s="140" t="s">
        <v>33342</v>
      </c>
      <c r="E5235" s="141" t="s">
        <v>33578</v>
      </c>
      <c r="F5235" s="139" t="s">
        <v>12993</v>
      </c>
      <c r="G5235" s="139" t="s">
        <v>33344</v>
      </c>
      <c r="H5235" s="139"/>
      <c r="I5235" s="140"/>
      <c r="J5235" s="140" t="s">
        <v>33579</v>
      </c>
      <c r="K5235" s="140" t="s">
        <v>33580</v>
      </c>
      <c r="L5235" s="140"/>
      <c r="M5235" s="140"/>
      <c r="N5235" s="12"/>
      <c r="O5235" s="12"/>
      <c r="P5235" s="13">
        <f>IFERROR(__xludf.DUMMYFUNCTION("VALUE(SUBSTITUTE((INDEX(SPLIT(A5235,"",""),1)),""."","","",1))"),44.78169632)</f>
        <v>44.78169632</v>
      </c>
      <c r="Q5235" s="13">
        <f>IFERROR(__xludf.DUMMYFUNCTION("VALUE(SUBSTITUTE((INDEX(SPLIT(A5235,"",""),2)),""."","","",1))"),44.149978638)</f>
        <v>44.14997864</v>
      </c>
      <c r="R5235" s="14" t="b">
        <f t="shared" si="1"/>
        <v>0</v>
      </c>
      <c r="S5235" s="14" t="str">
        <f t="shared" si="2"/>
        <v>44.78169632,44.149978638</v>
      </c>
      <c r="T5235" s="12"/>
    </row>
    <row r="5236">
      <c r="A5236" s="136" t="s">
        <v>33581</v>
      </c>
      <c r="B5236" s="137" t="s">
        <v>28180</v>
      </c>
      <c r="C5236" s="137" t="s">
        <v>33582</v>
      </c>
      <c r="D5236" s="137" t="s">
        <v>33342</v>
      </c>
      <c r="E5236" s="138" t="s">
        <v>33583</v>
      </c>
      <c r="F5236" s="136" t="s">
        <v>12993</v>
      </c>
      <c r="G5236" s="136" t="s">
        <v>33344</v>
      </c>
      <c r="H5236" s="136"/>
      <c r="I5236" s="137"/>
      <c r="J5236" s="137" t="s">
        <v>33584</v>
      </c>
      <c r="K5236" s="137" t="s">
        <v>33585</v>
      </c>
      <c r="L5236" s="137"/>
      <c r="M5236" s="137"/>
      <c r="N5236" s="12"/>
      <c r="O5236" s="12"/>
      <c r="P5236" s="13">
        <f>IFERROR(__xludf.DUMMYFUNCTION("VALUE(SUBSTITUTE((INDEX(SPLIT(A5236,"",""),1)),""."","","",1))"),44.806762695)</f>
        <v>44.8067627</v>
      </c>
      <c r="Q5236" s="13">
        <f>IFERROR(__xludf.DUMMYFUNCTION("VALUE(SUBSTITUTE((INDEX(SPLIT(A5236,"",""),2)),""."","","",1))"),44.141887665)</f>
        <v>44.14188767</v>
      </c>
      <c r="R5236" s="14" t="b">
        <f t="shared" si="1"/>
        <v>0</v>
      </c>
      <c r="S5236" s="14" t="str">
        <f t="shared" si="2"/>
        <v>44.806762695,44.141887665</v>
      </c>
      <c r="T5236" s="12"/>
    </row>
    <row r="5237">
      <c r="A5237" s="139" t="s">
        <v>33586</v>
      </c>
      <c r="B5237" s="140" t="s">
        <v>33587</v>
      </c>
      <c r="C5237" s="140" t="s">
        <v>33588</v>
      </c>
      <c r="D5237" s="140" t="s">
        <v>33342</v>
      </c>
      <c r="E5237" s="141" t="s">
        <v>33589</v>
      </c>
      <c r="F5237" s="139" t="s">
        <v>8566</v>
      </c>
      <c r="G5237" s="139" t="s">
        <v>33344</v>
      </c>
      <c r="H5237" s="139"/>
      <c r="I5237" s="140"/>
      <c r="J5237" s="140" t="s">
        <v>33590</v>
      </c>
      <c r="K5237" s="140" t="s">
        <v>33591</v>
      </c>
      <c r="L5237" s="140"/>
      <c r="M5237" s="154" t="s">
        <v>33592</v>
      </c>
      <c r="N5237" s="12"/>
      <c r="O5237" s="12"/>
      <c r="P5237" s="13">
        <f>IFERROR(__xludf.DUMMYFUNCTION("VALUE(SUBSTITUTE((INDEX(SPLIT(A5237,"",""),1)),""."","","",1))"),44.841151253915)</f>
        <v>44.84115125</v>
      </c>
      <c r="Q5237" s="13">
        <f>IFERROR(__xludf.DUMMYFUNCTION("VALUE(SUBSTITUTE((INDEX(SPLIT(A5237,"",""),2)),""."","","",1))"),38.661902297528)</f>
        <v>38.6619023</v>
      </c>
      <c r="R5237" s="14" t="b">
        <f t="shared" si="1"/>
        <v>0</v>
      </c>
      <c r="S5237" s="14" t="str">
        <f t="shared" si="2"/>
        <v>44.841151253915,38.661902297528</v>
      </c>
      <c r="T5237" s="12"/>
    </row>
    <row r="5238">
      <c r="A5238" s="142" t="s">
        <v>33593</v>
      </c>
      <c r="B5238" s="143" t="s">
        <v>33594</v>
      </c>
      <c r="C5238" s="143" t="s">
        <v>33595</v>
      </c>
      <c r="D5238" s="143" t="s">
        <v>33342</v>
      </c>
      <c r="E5238" s="144" t="s">
        <v>33596</v>
      </c>
      <c r="F5238" s="142" t="s">
        <v>8566</v>
      </c>
      <c r="G5238" s="142" t="s">
        <v>33344</v>
      </c>
      <c r="H5238" s="142"/>
      <c r="I5238" s="143"/>
      <c r="J5238" s="143" t="s">
        <v>33597</v>
      </c>
      <c r="K5238" s="143" t="s">
        <v>33598</v>
      </c>
      <c r="L5238" s="145" t="s">
        <v>33599</v>
      </c>
      <c r="M5238" s="143"/>
      <c r="N5238" s="12"/>
      <c r="O5238" s="12"/>
      <c r="P5238" s="13">
        <f>IFERROR(__xludf.DUMMYFUNCTION("VALUE(SUBSTITUTE((INDEX(SPLIT(A5238,"",""),1)),""."","","",1))"),44.88948822)</f>
        <v>44.88948822</v>
      </c>
      <c r="Q5238" s="13">
        <f>IFERROR(__xludf.DUMMYFUNCTION("VALUE(SUBSTITUTE((INDEX(SPLIT(A5238,"",""),2)),""."","","",1))"),37.3373909)</f>
        <v>37.3373909</v>
      </c>
      <c r="R5238" s="14" t="b">
        <f t="shared" si="1"/>
        <v>0</v>
      </c>
      <c r="S5238" s="14" t="str">
        <f t="shared" si="2"/>
        <v>44.88948822,37.3373909</v>
      </c>
      <c r="T5238" s="12"/>
    </row>
    <row r="5239">
      <c r="A5239" s="139" t="s">
        <v>33600</v>
      </c>
      <c r="B5239" s="140" t="s">
        <v>9706</v>
      </c>
      <c r="C5239" s="140" t="s">
        <v>33601</v>
      </c>
      <c r="D5239" s="140" t="s">
        <v>33342</v>
      </c>
      <c r="E5239" s="141" t="s">
        <v>33602</v>
      </c>
      <c r="F5239" s="139" t="s">
        <v>8566</v>
      </c>
      <c r="G5239" s="139" t="s">
        <v>33344</v>
      </c>
      <c r="H5239" s="139"/>
      <c r="I5239" s="140"/>
      <c r="J5239" s="140" t="s">
        <v>33603</v>
      </c>
      <c r="K5239" s="140" t="s">
        <v>33604</v>
      </c>
      <c r="L5239" s="140"/>
      <c r="M5239" s="154" t="s">
        <v>33605</v>
      </c>
      <c r="N5239" s="12"/>
      <c r="O5239" s="12"/>
      <c r="P5239" s="13">
        <f>IFERROR(__xludf.DUMMYFUNCTION("VALUE(SUBSTITUTE((INDEX(SPLIT(A5239,"",""),1)),""."","","",1))"),44.89723587)</f>
        <v>44.89723587</v>
      </c>
      <c r="Q5239" s="13">
        <f>IFERROR(__xludf.DUMMYFUNCTION("VALUE(SUBSTITUTE((INDEX(SPLIT(A5239,"",""),2)),""."","","",1))"),37.335285187)</f>
        <v>37.33528519</v>
      </c>
      <c r="R5239" s="14" t="b">
        <f t="shared" si="1"/>
        <v>0</v>
      </c>
      <c r="S5239" s="14" t="str">
        <f t="shared" si="2"/>
        <v>44.89723587,37.335285187</v>
      </c>
      <c r="T5239" s="12"/>
    </row>
    <row r="5240">
      <c r="A5240" s="136" t="s">
        <v>33606</v>
      </c>
      <c r="B5240" s="137" t="s">
        <v>33607</v>
      </c>
      <c r="C5240" s="137" t="s">
        <v>33608</v>
      </c>
      <c r="D5240" s="137" t="s">
        <v>33342</v>
      </c>
      <c r="E5240" s="138" t="s">
        <v>33609</v>
      </c>
      <c r="F5240" s="136" t="s">
        <v>8566</v>
      </c>
      <c r="G5240" s="136" t="s">
        <v>33344</v>
      </c>
      <c r="H5240" s="136"/>
      <c r="I5240" s="137"/>
      <c r="J5240" s="137" t="s">
        <v>33610</v>
      </c>
      <c r="K5240" s="137" t="s">
        <v>33611</v>
      </c>
      <c r="L5240" s="137"/>
      <c r="M5240" s="137"/>
      <c r="N5240" s="12"/>
      <c r="O5240" s="12"/>
      <c r="P5240" s="13">
        <f>IFERROR(__xludf.DUMMYFUNCTION("VALUE(SUBSTITUTE((INDEX(SPLIT(A5240,"",""),1)),""."","","",1))"),44.923851013)</f>
        <v>44.92385101</v>
      </c>
      <c r="Q5240" s="13">
        <f>IFERROR(__xludf.DUMMYFUNCTION("VALUE(SUBSTITUTE((INDEX(SPLIT(A5240,"",""),2)),""."","","",1))"),37.320556641)</f>
        <v>37.32055664</v>
      </c>
      <c r="R5240" s="14" t="b">
        <f t="shared" si="1"/>
        <v>0</v>
      </c>
      <c r="S5240" s="14" t="str">
        <f t="shared" si="2"/>
        <v>44.923851013,37.320556641</v>
      </c>
      <c r="T5240" s="12"/>
    </row>
    <row r="5241">
      <c r="A5241" s="146" t="s">
        <v>33612</v>
      </c>
      <c r="B5241" s="147" t="s">
        <v>2363</v>
      </c>
      <c r="C5241" s="147" t="s">
        <v>33613</v>
      </c>
      <c r="D5241" s="147" t="s">
        <v>33342</v>
      </c>
      <c r="E5241" s="148" t="s">
        <v>33614</v>
      </c>
      <c r="F5241" s="146" t="s">
        <v>8566</v>
      </c>
      <c r="G5241" s="146" t="s">
        <v>33344</v>
      </c>
      <c r="H5241" s="146"/>
      <c r="I5241" s="151" t="s">
        <v>33615</v>
      </c>
      <c r="J5241" s="147" t="s">
        <v>33616</v>
      </c>
      <c r="K5241" s="147" t="s">
        <v>33617</v>
      </c>
      <c r="L5241" s="149" t="s">
        <v>33618</v>
      </c>
      <c r="M5241" s="147"/>
      <c r="N5241" s="12"/>
      <c r="O5241" s="12"/>
      <c r="P5241" s="13">
        <f>IFERROR(__xludf.DUMMYFUNCTION("VALUE(SUBSTITUTE((INDEX(SPLIT(A5241,"",""),1)),""."","","",1))"),45.00345993)</f>
        <v>45.00345993</v>
      </c>
      <c r="Q5241" s="13">
        <f>IFERROR(__xludf.DUMMYFUNCTION("VALUE(SUBSTITUTE((INDEX(SPLIT(A5241,"",""),2)),""."","","",1))"),39.033973694)</f>
        <v>39.03397369</v>
      </c>
      <c r="R5241" s="14" t="b">
        <f t="shared" si="1"/>
        <v>0</v>
      </c>
      <c r="S5241" s="14" t="str">
        <f t="shared" si="2"/>
        <v>45.00345993,39.033973694</v>
      </c>
      <c r="T5241" s="12"/>
    </row>
    <row r="5242">
      <c r="A5242" s="142" t="s">
        <v>33619</v>
      </c>
      <c r="B5242" s="143" t="s">
        <v>33620</v>
      </c>
      <c r="C5242" s="143" t="s">
        <v>33621</v>
      </c>
      <c r="D5242" s="143" t="s">
        <v>33342</v>
      </c>
      <c r="E5242" s="144" t="s">
        <v>33622</v>
      </c>
      <c r="F5242" s="142" t="s">
        <v>8566</v>
      </c>
      <c r="G5242" s="142" t="s">
        <v>33344</v>
      </c>
      <c r="H5242" s="142"/>
      <c r="I5242" s="143"/>
      <c r="J5242" s="143" t="s">
        <v>33623</v>
      </c>
      <c r="K5242" s="143" t="s">
        <v>33624</v>
      </c>
      <c r="L5242" s="145" t="s">
        <v>33625</v>
      </c>
      <c r="M5242" s="143"/>
      <c r="N5242" s="12"/>
      <c r="O5242" s="12"/>
      <c r="P5242" s="13">
        <f>IFERROR(__xludf.DUMMYFUNCTION("VALUE(SUBSTITUTE((INDEX(SPLIT(A5242,"",""),1)),""."","","",1))"),45.020980835)</f>
        <v>45.02098084</v>
      </c>
      <c r="Q5242" s="13">
        <f>IFERROR(__xludf.DUMMYFUNCTION("VALUE(SUBSTITUTE((INDEX(SPLIT(A5242,"",""),2)),""."","","",1))"),38.967273712)</f>
        <v>38.96727371</v>
      </c>
      <c r="R5242" s="14" t="b">
        <f t="shared" si="1"/>
        <v>0</v>
      </c>
      <c r="S5242" s="14" t="str">
        <f t="shared" si="2"/>
        <v>45.020980835,38.967273712</v>
      </c>
      <c r="T5242" s="12"/>
    </row>
    <row r="5243">
      <c r="A5243" s="139" t="s">
        <v>33626</v>
      </c>
      <c r="B5243" s="140" t="s">
        <v>15339</v>
      </c>
      <c r="C5243" s="140" t="s">
        <v>33627</v>
      </c>
      <c r="D5243" s="140" t="s">
        <v>33342</v>
      </c>
      <c r="E5243" s="141" t="s">
        <v>33628</v>
      </c>
      <c r="F5243" s="139" t="s">
        <v>8566</v>
      </c>
      <c r="G5243" s="139" t="s">
        <v>33344</v>
      </c>
      <c r="H5243" s="139"/>
      <c r="I5243" s="140"/>
      <c r="J5243" s="140" t="s">
        <v>33629</v>
      </c>
      <c r="K5243" s="140" t="s">
        <v>33630</v>
      </c>
      <c r="L5243" s="140"/>
      <c r="M5243" s="140"/>
      <c r="N5243" s="12"/>
      <c r="O5243" s="12"/>
      <c r="P5243" s="13">
        <f>IFERROR(__xludf.DUMMYFUNCTION("VALUE(SUBSTITUTE((INDEX(SPLIT(A5243,"",""),1)),""."","","",1))"),45.02753067)</f>
        <v>45.02753067</v>
      </c>
      <c r="Q5243" s="13">
        <f>IFERROR(__xludf.DUMMYFUNCTION("VALUE(SUBSTITUTE((INDEX(SPLIT(A5243,"",""),2)),""."","","",1))"),38.961036682)</f>
        <v>38.96103668</v>
      </c>
      <c r="R5243" s="14" t="b">
        <f t="shared" si="1"/>
        <v>0</v>
      </c>
      <c r="S5243" s="14" t="str">
        <f t="shared" si="2"/>
        <v>45.02753067,38.961036682</v>
      </c>
      <c r="T5243" s="12"/>
    </row>
    <row r="5244">
      <c r="A5244" s="136" t="s">
        <v>33631</v>
      </c>
      <c r="B5244" s="137" t="s">
        <v>33632</v>
      </c>
      <c r="C5244" s="137" t="s">
        <v>33633</v>
      </c>
      <c r="D5244" s="137" t="s">
        <v>33342</v>
      </c>
      <c r="E5244" s="138" t="s">
        <v>33634</v>
      </c>
      <c r="F5244" s="136" t="s">
        <v>12993</v>
      </c>
      <c r="G5244" s="136" t="s">
        <v>33344</v>
      </c>
      <c r="H5244" s="136"/>
      <c r="I5244" s="137"/>
      <c r="J5244" s="137" t="s">
        <v>33635</v>
      </c>
      <c r="K5244" s="137" t="s">
        <v>33636</v>
      </c>
      <c r="L5244" s="137"/>
      <c r="M5244" s="137"/>
      <c r="N5244" s="12"/>
      <c r="O5244" s="12"/>
      <c r="P5244" s="13">
        <f>IFERROR(__xludf.DUMMYFUNCTION("VALUE(SUBSTITUTE((INDEX(SPLIT(A5244,"",""),1)),""."","","",1))"),45.056655884)</f>
        <v>45.05665588</v>
      </c>
      <c r="Q5244" s="13">
        <f>IFERROR(__xludf.DUMMYFUNCTION("VALUE(SUBSTITUTE((INDEX(SPLIT(A5244,"",""),2)),""."","","",1))"),42.018859863)</f>
        <v>42.01885986</v>
      </c>
      <c r="R5244" s="14" t="b">
        <f t="shared" si="1"/>
        <v>0</v>
      </c>
      <c r="S5244" s="14" t="str">
        <f t="shared" si="2"/>
        <v>45.056655884,42.018859863</v>
      </c>
      <c r="T5244" s="12"/>
    </row>
    <row r="5245">
      <c r="A5245" s="146" t="s">
        <v>33637</v>
      </c>
      <c r="B5245" s="147" t="s">
        <v>33638</v>
      </c>
      <c r="C5245" s="147" t="s">
        <v>33639</v>
      </c>
      <c r="D5245" s="147" t="s">
        <v>33342</v>
      </c>
      <c r="E5245" s="148" t="s">
        <v>33640</v>
      </c>
      <c r="F5245" s="146" t="s">
        <v>8566</v>
      </c>
      <c r="G5245" s="146" t="s">
        <v>33344</v>
      </c>
      <c r="H5245" s="146"/>
      <c r="I5245" s="151" t="s">
        <v>33641</v>
      </c>
      <c r="J5245" s="147" t="s">
        <v>33642</v>
      </c>
      <c r="K5245" s="147" t="s">
        <v>33643</v>
      </c>
      <c r="L5245" s="149" t="s">
        <v>33644</v>
      </c>
      <c r="M5245" s="147"/>
      <c r="N5245" s="12"/>
      <c r="O5245" s="12"/>
      <c r="P5245" s="13">
        <f>IFERROR(__xludf.DUMMYFUNCTION("VALUE(SUBSTITUTE((INDEX(SPLIT(A5245,"",""),1)),""."","","",1))"),45.059890747)</f>
        <v>45.05989075</v>
      </c>
      <c r="Q5245" s="13">
        <f>IFERROR(__xludf.DUMMYFUNCTION("VALUE(SUBSTITUTE((INDEX(SPLIT(A5245,"",""),2)),""."","","",1))"),38.944519043)</f>
        <v>38.94451904</v>
      </c>
      <c r="R5245" s="14" t="b">
        <f t="shared" si="1"/>
        <v>0</v>
      </c>
      <c r="S5245" s="14" t="str">
        <f t="shared" si="2"/>
        <v>45.059890747,38.944519043</v>
      </c>
      <c r="T5245" s="12"/>
    </row>
    <row r="5246">
      <c r="A5246" s="142" t="s">
        <v>33645</v>
      </c>
      <c r="B5246" s="143" t="s">
        <v>33646</v>
      </c>
      <c r="C5246" s="143" t="s">
        <v>33647</v>
      </c>
      <c r="D5246" s="143" t="s">
        <v>33342</v>
      </c>
      <c r="E5246" s="144" t="s">
        <v>33648</v>
      </c>
      <c r="F5246" s="142" t="s">
        <v>12993</v>
      </c>
      <c r="G5246" s="142" t="s">
        <v>33344</v>
      </c>
      <c r="H5246" s="142"/>
      <c r="I5246" s="143"/>
      <c r="J5246" s="143" t="s">
        <v>33649</v>
      </c>
      <c r="K5246" s="143" t="s">
        <v>33650</v>
      </c>
      <c r="L5246" s="145" t="s">
        <v>33651</v>
      </c>
      <c r="M5246" s="143"/>
      <c r="N5246" s="12"/>
      <c r="O5246" s="12"/>
      <c r="P5246" s="13">
        <f>IFERROR(__xludf.DUMMYFUNCTION("VALUE(SUBSTITUTE((INDEX(SPLIT(A5246,"",""),1)),""."","","",1))"),45.066763765675)</f>
        <v>45.06676377</v>
      </c>
      <c r="Q5246" s="13">
        <f>IFERROR(__xludf.DUMMYFUNCTION("VALUE(SUBSTITUTE((INDEX(SPLIT(A5246,"",""),2)),""."","","",1))"),41.936398568534)</f>
        <v>41.93639857</v>
      </c>
      <c r="R5246" s="14" t="b">
        <f t="shared" si="1"/>
        <v>0</v>
      </c>
      <c r="S5246" s="14" t="str">
        <f t="shared" si="2"/>
        <v>45.066763765675,41.936398568534</v>
      </c>
      <c r="T5246" s="12"/>
    </row>
    <row r="5247">
      <c r="A5247" s="146" t="s">
        <v>33652</v>
      </c>
      <c r="B5247" s="147" t="s">
        <v>33653</v>
      </c>
      <c r="C5247" s="147" t="s">
        <v>33654</v>
      </c>
      <c r="D5247" s="147" t="s">
        <v>33342</v>
      </c>
      <c r="E5247" s="148" t="s">
        <v>33655</v>
      </c>
      <c r="F5247" s="146" t="s">
        <v>8566</v>
      </c>
      <c r="G5247" s="146" t="s">
        <v>33344</v>
      </c>
      <c r="H5247" s="146"/>
      <c r="I5247" s="147"/>
      <c r="J5247" s="147" t="s">
        <v>33656</v>
      </c>
      <c r="K5247" s="147" t="s">
        <v>33657</v>
      </c>
      <c r="L5247" s="150" t="s">
        <v>33658</v>
      </c>
      <c r="M5247" s="147"/>
      <c r="N5247" s="12"/>
      <c r="O5247" s="12"/>
      <c r="P5247" s="13">
        <f>IFERROR(__xludf.DUMMYFUNCTION("VALUE(SUBSTITUTE((INDEX(SPLIT(A5247,"",""),1)),""."","","",1))"),45.069545746)</f>
        <v>45.06954575</v>
      </c>
      <c r="Q5247" s="13">
        <f>IFERROR(__xludf.DUMMYFUNCTION("VALUE(SUBSTITUTE((INDEX(SPLIT(A5247,"",""),2)),""."","","",1))"),39.000518799)</f>
        <v>39.0005188</v>
      </c>
      <c r="R5247" s="14" t="b">
        <f t="shared" si="1"/>
        <v>0</v>
      </c>
      <c r="S5247" s="14" t="str">
        <f t="shared" si="2"/>
        <v>45.069545746,39.000518799</v>
      </c>
      <c r="T5247" s="12"/>
    </row>
    <row r="5248">
      <c r="A5248" s="142" t="s">
        <v>33659</v>
      </c>
      <c r="B5248" s="143" t="s">
        <v>33660</v>
      </c>
      <c r="C5248" s="143" t="s">
        <v>33661</v>
      </c>
      <c r="D5248" s="143" t="s">
        <v>33342</v>
      </c>
      <c r="E5248" s="144" t="s">
        <v>33662</v>
      </c>
      <c r="F5248" s="142" t="s">
        <v>8566</v>
      </c>
      <c r="G5248" s="142" t="s">
        <v>33344</v>
      </c>
      <c r="H5248" s="142"/>
      <c r="I5248" s="143"/>
      <c r="J5248" s="143" t="s">
        <v>33663</v>
      </c>
      <c r="K5248" s="143" t="s">
        <v>33664</v>
      </c>
      <c r="L5248" s="152" t="s">
        <v>33665</v>
      </c>
      <c r="M5248" s="143"/>
      <c r="N5248" s="12"/>
      <c r="O5248" s="12"/>
      <c r="P5248" s="13">
        <f>IFERROR(__xludf.DUMMYFUNCTION("VALUE(SUBSTITUTE((INDEX(SPLIT(A5248,"",""),1)),""."","","",1))"),45.069694519)</f>
        <v>45.06969452</v>
      </c>
      <c r="Q5248" s="13">
        <f>IFERROR(__xludf.DUMMYFUNCTION("VALUE(SUBSTITUTE((INDEX(SPLIT(A5248,"",""),2)),""."","","",1))"),38.908267975)</f>
        <v>38.90826798</v>
      </c>
      <c r="R5248" s="14" t="b">
        <f t="shared" si="1"/>
        <v>0</v>
      </c>
      <c r="S5248" s="14" t="str">
        <f t="shared" si="2"/>
        <v>45.069694519,38.908267975</v>
      </c>
      <c r="T5248" s="12"/>
    </row>
    <row r="5249">
      <c r="A5249" s="146" t="s">
        <v>33666</v>
      </c>
      <c r="B5249" s="147" t="s">
        <v>33667</v>
      </c>
      <c r="C5249" s="147" t="s">
        <v>33668</v>
      </c>
      <c r="D5249" s="147" t="s">
        <v>33342</v>
      </c>
      <c r="E5249" s="148" t="s">
        <v>33669</v>
      </c>
      <c r="F5249" s="146" t="s">
        <v>8566</v>
      </c>
      <c r="G5249" s="146" t="s">
        <v>33344</v>
      </c>
      <c r="H5249" s="146"/>
      <c r="I5249" s="147"/>
      <c r="J5249" s="147" t="s">
        <v>33670</v>
      </c>
      <c r="K5249" s="147" t="s">
        <v>33671</v>
      </c>
      <c r="L5249" s="149" t="s">
        <v>33672</v>
      </c>
      <c r="M5249" s="149" t="s">
        <v>33673</v>
      </c>
      <c r="N5249" s="12"/>
      <c r="O5249" s="12"/>
      <c r="P5249" s="13">
        <f>IFERROR(__xludf.DUMMYFUNCTION("VALUE(SUBSTITUTE((INDEX(SPLIT(A5249,"",""),1)),""."","","",1))"),45.102054596)</f>
        <v>45.1020546</v>
      </c>
      <c r="Q5249" s="13">
        <f>IFERROR(__xludf.DUMMYFUNCTION("VALUE(SUBSTITUTE((INDEX(SPLIT(A5249,"",""),2)),""."","","",1))"),38.990982056)</f>
        <v>38.99098206</v>
      </c>
      <c r="R5249" s="14" t="b">
        <f t="shared" si="1"/>
        <v>0</v>
      </c>
      <c r="S5249" s="14" t="str">
        <f t="shared" si="2"/>
        <v>45.102054596,38.990982056</v>
      </c>
      <c r="T5249" s="12"/>
    </row>
    <row r="5250">
      <c r="A5250" s="142" t="s">
        <v>33674</v>
      </c>
      <c r="B5250" s="143" t="s">
        <v>33675</v>
      </c>
      <c r="C5250" s="143" t="s">
        <v>33676</v>
      </c>
      <c r="D5250" s="143" t="s">
        <v>33342</v>
      </c>
      <c r="E5250" s="144" t="s">
        <v>33677</v>
      </c>
      <c r="F5250" s="142" t="s">
        <v>8566</v>
      </c>
      <c r="G5250" s="142" t="s">
        <v>33344</v>
      </c>
      <c r="H5250" s="142"/>
      <c r="I5250" s="155" t="s">
        <v>33678</v>
      </c>
      <c r="J5250" s="143" t="s">
        <v>33679</v>
      </c>
      <c r="K5250" s="143" t="s">
        <v>33680</v>
      </c>
      <c r="L5250" s="152" t="s">
        <v>33681</v>
      </c>
      <c r="M5250" s="143"/>
      <c r="N5250" s="12"/>
      <c r="O5250" s="12"/>
      <c r="P5250" s="13">
        <f>IFERROR(__xludf.DUMMYFUNCTION("VALUE(SUBSTITUTE((INDEX(SPLIT(A5250,"",""),1)),""."","","",1))"),45.127681732)</f>
        <v>45.12768173</v>
      </c>
      <c r="Q5250" s="13">
        <f>IFERROR(__xludf.DUMMYFUNCTION("VALUE(SUBSTITUTE((INDEX(SPLIT(A5250,"",""),2)),""."","","",1))"),38.986339569)</f>
        <v>38.98633957</v>
      </c>
      <c r="R5250" s="14" t="b">
        <f t="shared" si="1"/>
        <v>0</v>
      </c>
      <c r="S5250" s="14" t="str">
        <f t="shared" si="2"/>
        <v>45.127681732,38.986339569</v>
      </c>
      <c r="T5250" s="12"/>
    </row>
    <row r="5251">
      <c r="A5251" s="146" t="s">
        <v>33682</v>
      </c>
      <c r="B5251" s="147" t="s">
        <v>33683</v>
      </c>
      <c r="C5251" s="147" t="s">
        <v>33684</v>
      </c>
      <c r="D5251" s="147" t="s">
        <v>33342</v>
      </c>
      <c r="E5251" s="148" t="s">
        <v>33685</v>
      </c>
      <c r="F5251" s="146" t="s">
        <v>8566</v>
      </c>
      <c r="G5251" s="146" t="s">
        <v>33344</v>
      </c>
      <c r="H5251" s="146"/>
      <c r="I5251" s="147"/>
      <c r="J5251" s="147" t="s">
        <v>33686</v>
      </c>
      <c r="K5251" s="147" t="s">
        <v>33687</v>
      </c>
      <c r="L5251" s="149" t="s">
        <v>33688</v>
      </c>
      <c r="M5251" s="147"/>
      <c r="N5251" s="12"/>
      <c r="O5251" s="12"/>
      <c r="P5251" s="13">
        <f>IFERROR(__xludf.DUMMYFUNCTION("VALUE(SUBSTITUTE((INDEX(SPLIT(A5251,"",""),1)),""."","","",1))"),45.132881165)</f>
        <v>45.13288117</v>
      </c>
      <c r="Q5251" s="13">
        <f>IFERROR(__xludf.DUMMYFUNCTION("VALUE(SUBSTITUTE((INDEX(SPLIT(A5251,"",""),2)),""."","","",1))"),39.027423859)</f>
        <v>39.02742386</v>
      </c>
      <c r="R5251" s="14" t="b">
        <f t="shared" si="1"/>
        <v>0</v>
      </c>
      <c r="S5251" s="14" t="str">
        <f t="shared" si="2"/>
        <v>45.132881165,39.027423859</v>
      </c>
      <c r="T5251" s="12"/>
    </row>
    <row r="5252">
      <c r="A5252" s="142" t="s">
        <v>33689</v>
      </c>
      <c r="B5252" s="143" t="s">
        <v>33690</v>
      </c>
      <c r="C5252" s="143" t="s">
        <v>33691</v>
      </c>
      <c r="D5252" s="143" t="s">
        <v>33342</v>
      </c>
      <c r="E5252" s="144" t="s">
        <v>33692</v>
      </c>
      <c r="F5252" s="142" t="s">
        <v>8566</v>
      </c>
      <c r="G5252" s="142" t="s">
        <v>33344</v>
      </c>
      <c r="H5252" s="142"/>
      <c r="I5252" s="143"/>
      <c r="J5252" s="143" t="s">
        <v>33693</v>
      </c>
      <c r="K5252" s="143" t="s">
        <v>33694</v>
      </c>
      <c r="L5252" s="145" t="s">
        <v>33695</v>
      </c>
      <c r="M5252" s="143"/>
      <c r="N5252" s="12"/>
      <c r="O5252" s="12"/>
      <c r="P5252" s="13">
        <f>IFERROR(__xludf.DUMMYFUNCTION("VALUE(SUBSTITUTE((INDEX(SPLIT(A5252,"",""),1)),""."","","",1))"),45.141407013)</f>
        <v>45.14140701</v>
      </c>
      <c r="Q5252" s="13">
        <f>IFERROR(__xludf.DUMMYFUNCTION("VALUE(SUBSTITUTE((INDEX(SPLIT(A5252,"",""),2)),""."","","",1))"),39.744403839)</f>
        <v>39.74440384</v>
      </c>
      <c r="R5252" s="14" t="b">
        <f t="shared" si="1"/>
        <v>0</v>
      </c>
      <c r="S5252" s="14" t="str">
        <f t="shared" si="2"/>
        <v>45.141407013,39.744403839</v>
      </c>
      <c r="T5252" s="12"/>
    </row>
    <row r="5253">
      <c r="A5253" s="146" t="s">
        <v>33696</v>
      </c>
      <c r="B5253" s="147" t="s">
        <v>33697</v>
      </c>
      <c r="C5253" s="147" t="s">
        <v>33698</v>
      </c>
      <c r="D5253" s="147" t="s">
        <v>33342</v>
      </c>
      <c r="E5253" s="148" t="s">
        <v>33699</v>
      </c>
      <c r="F5253" s="146" t="s">
        <v>8566</v>
      </c>
      <c r="G5253" s="146" t="s">
        <v>33344</v>
      </c>
      <c r="H5253" s="146"/>
      <c r="I5253" s="147"/>
      <c r="J5253" s="147" t="s">
        <v>33700</v>
      </c>
      <c r="K5253" s="147" t="s">
        <v>33701</v>
      </c>
      <c r="L5253" s="149" t="s">
        <v>33702</v>
      </c>
      <c r="M5253" s="147"/>
      <c r="N5253" s="12"/>
      <c r="O5253" s="12"/>
      <c r="P5253" s="13">
        <f>IFERROR(__xludf.DUMMYFUNCTION("VALUE(SUBSTITUTE((INDEX(SPLIT(A5253,"",""),1)),""."","","",1))"),45.223886144917)</f>
        <v>45.22388614</v>
      </c>
      <c r="Q5253" s="13">
        <f>IFERROR(__xludf.DUMMYFUNCTION("VALUE(SUBSTITUTE((INDEX(SPLIT(A5253,"",""),2)),""."","","",1))"),39.213527766621)</f>
        <v>39.21352777</v>
      </c>
      <c r="R5253" s="14" t="b">
        <f t="shared" si="1"/>
        <v>0</v>
      </c>
      <c r="S5253" s="14" t="str">
        <f t="shared" si="2"/>
        <v>45.223886144917,39.213527766621</v>
      </c>
      <c r="T5253" s="12"/>
    </row>
    <row r="5254">
      <c r="A5254" s="142" t="s">
        <v>33703</v>
      </c>
      <c r="B5254" s="143" t="s">
        <v>33704</v>
      </c>
      <c r="C5254" s="143" t="s">
        <v>33705</v>
      </c>
      <c r="D5254" s="143" t="s">
        <v>33342</v>
      </c>
      <c r="E5254" s="144" t="s">
        <v>33706</v>
      </c>
      <c r="F5254" s="142" t="s">
        <v>12993</v>
      </c>
      <c r="G5254" s="142" t="s">
        <v>33344</v>
      </c>
      <c r="H5254" s="142"/>
      <c r="I5254" s="143"/>
      <c r="J5254" s="143" t="s">
        <v>33707</v>
      </c>
      <c r="K5254" s="143" t="s">
        <v>33708</v>
      </c>
      <c r="L5254" s="145" t="s">
        <v>33709</v>
      </c>
      <c r="M5254" s="143"/>
      <c r="N5254" s="12"/>
      <c r="O5254" s="12"/>
      <c r="P5254" s="13">
        <f>IFERROR(__xludf.DUMMYFUNCTION("VALUE(SUBSTITUTE((INDEX(SPLIT(A5254,"",""),1)),""."","","",1))"),45.480072021)</f>
        <v>45.48007202</v>
      </c>
      <c r="Q5254" s="13">
        <f>IFERROR(__xludf.DUMMYFUNCTION("VALUE(SUBSTITUTE((INDEX(SPLIT(A5254,"",""),2)),""."","","",1))"),41.206764221)</f>
        <v>41.20676422</v>
      </c>
      <c r="R5254" s="14" t="b">
        <f t="shared" si="1"/>
        <v>0</v>
      </c>
      <c r="S5254" s="14" t="str">
        <f t="shared" si="2"/>
        <v>45.480072021,41.206764221</v>
      </c>
      <c r="T5254" s="12"/>
    </row>
    <row r="5255">
      <c r="A5255" s="146" t="s">
        <v>33710</v>
      </c>
      <c r="B5255" s="147" t="s">
        <v>2843</v>
      </c>
      <c r="C5255" s="147" t="s">
        <v>33711</v>
      </c>
      <c r="D5255" s="147" t="s">
        <v>33342</v>
      </c>
      <c r="E5255" s="148" t="s">
        <v>33712</v>
      </c>
      <c r="F5255" s="146" t="s">
        <v>8566</v>
      </c>
      <c r="G5255" s="146" t="s">
        <v>33344</v>
      </c>
      <c r="H5255" s="146"/>
      <c r="I5255" s="147"/>
      <c r="J5255" s="147" t="s">
        <v>33713</v>
      </c>
      <c r="K5255" s="147" t="s">
        <v>33714</v>
      </c>
      <c r="L5255" s="149" t="s">
        <v>33715</v>
      </c>
      <c r="M5255" s="147"/>
      <c r="N5255" s="12"/>
      <c r="O5255" s="12"/>
      <c r="P5255" s="13">
        <f>IFERROR(__xludf.DUMMYFUNCTION("VALUE(SUBSTITUTE((INDEX(SPLIT(A5255,"",""),1)),""."","","",1))"),46.056472778)</f>
        <v>46.05647278</v>
      </c>
      <c r="Q5255" s="13">
        <f>IFERROR(__xludf.DUMMYFUNCTION("VALUE(SUBSTITUTE((INDEX(SPLIT(A5255,"",""),2)),""."","","",1))"),38.185958862)</f>
        <v>38.18595886</v>
      </c>
      <c r="R5255" s="14" t="b">
        <f t="shared" si="1"/>
        <v>0</v>
      </c>
      <c r="S5255" s="14" t="str">
        <f t="shared" si="2"/>
        <v>46.056472778,38.185958862</v>
      </c>
      <c r="T5255" s="12"/>
    </row>
    <row r="5256">
      <c r="A5256" s="142" t="s">
        <v>33716</v>
      </c>
      <c r="B5256" s="143" t="s">
        <v>3744</v>
      </c>
      <c r="C5256" s="143" t="s">
        <v>33717</v>
      </c>
      <c r="D5256" s="143" t="s">
        <v>33342</v>
      </c>
      <c r="E5256" s="144" t="s">
        <v>33718</v>
      </c>
      <c r="F5256" s="142" t="s">
        <v>9648</v>
      </c>
      <c r="G5256" s="142" t="s">
        <v>33344</v>
      </c>
      <c r="H5256" s="142"/>
      <c r="I5256" s="143"/>
      <c r="J5256" s="143" t="s">
        <v>33719</v>
      </c>
      <c r="K5256" s="143" t="s">
        <v>33720</v>
      </c>
      <c r="L5256" s="152" t="s">
        <v>33721</v>
      </c>
      <c r="M5256" s="143"/>
      <c r="N5256" s="12"/>
      <c r="O5256" s="12"/>
      <c r="P5256" s="13">
        <f>IFERROR(__xludf.DUMMYFUNCTION("VALUE(SUBSTITUTE((INDEX(SPLIT(A5256,"",""),1)),""."","","",1))"),47.122253418)</f>
        <v>47.12225342</v>
      </c>
      <c r="Q5256" s="13">
        <f>IFERROR(__xludf.DUMMYFUNCTION("VALUE(SUBSTITUTE((INDEX(SPLIT(A5256,"",""),2)),""."","","",1))"),39.700897217)</f>
        <v>39.70089722</v>
      </c>
      <c r="R5256" s="14" t="b">
        <f t="shared" si="1"/>
        <v>0</v>
      </c>
      <c r="S5256" s="14" t="str">
        <f t="shared" si="2"/>
        <v>47.122253418,39.700897217</v>
      </c>
      <c r="T5256" s="12"/>
    </row>
    <row r="5257">
      <c r="A5257" s="146" t="s">
        <v>33722</v>
      </c>
      <c r="B5257" s="147" t="s">
        <v>33723</v>
      </c>
      <c r="C5257" s="147" t="s">
        <v>33724</v>
      </c>
      <c r="D5257" s="147" t="s">
        <v>33342</v>
      </c>
      <c r="E5257" s="148" t="s">
        <v>33725</v>
      </c>
      <c r="F5257" s="146" t="s">
        <v>12912</v>
      </c>
      <c r="G5257" s="146" t="s">
        <v>33344</v>
      </c>
      <c r="H5257" s="146"/>
      <c r="I5257" s="147"/>
      <c r="J5257" s="147" t="s">
        <v>33726</v>
      </c>
      <c r="K5257" s="147" t="s">
        <v>33727</v>
      </c>
      <c r="L5257" s="149" t="s">
        <v>33728</v>
      </c>
      <c r="M5257" s="147"/>
      <c r="N5257" s="12"/>
      <c r="O5257" s="12"/>
      <c r="P5257" s="13">
        <f>IFERROR(__xludf.DUMMYFUNCTION("VALUE(SUBSTITUTE((INDEX(SPLIT(A5257,"",""),1)),""."","","",1))"),47.234416962)</f>
        <v>47.23441696</v>
      </c>
      <c r="Q5257" s="13">
        <f>IFERROR(__xludf.DUMMYFUNCTION("VALUE(SUBSTITUTE((INDEX(SPLIT(A5257,"",""),2)),""."","","",1))"),39.711681366)</f>
        <v>39.71168137</v>
      </c>
      <c r="R5257" s="14" t="b">
        <f t="shared" si="1"/>
        <v>0</v>
      </c>
      <c r="S5257" s="14" t="str">
        <f t="shared" si="2"/>
        <v>47.234416962,39.711681366</v>
      </c>
      <c r="T5257" s="12"/>
    </row>
    <row r="5258">
      <c r="A5258" s="142" t="s">
        <v>33729</v>
      </c>
      <c r="B5258" s="143" t="s">
        <v>33730</v>
      </c>
      <c r="C5258" s="143" t="s">
        <v>33731</v>
      </c>
      <c r="D5258" s="143" t="s">
        <v>33342</v>
      </c>
      <c r="E5258" s="144" t="s">
        <v>33732</v>
      </c>
      <c r="F5258" s="142" t="s">
        <v>12912</v>
      </c>
      <c r="G5258" s="142" t="s">
        <v>33344</v>
      </c>
      <c r="H5258" s="142"/>
      <c r="I5258" s="143"/>
      <c r="J5258" s="143" t="s">
        <v>33733</v>
      </c>
      <c r="K5258" s="143" t="s">
        <v>33734</v>
      </c>
      <c r="L5258" s="145" t="s">
        <v>33735</v>
      </c>
      <c r="M5258" s="143"/>
      <c r="N5258" s="12"/>
      <c r="O5258" s="12"/>
      <c r="P5258" s="13">
        <f>IFERROR(__xludf.DUMMYFUNCTION("VALUE(SUBSTITUTE((INDEX(SPLIT(A5258,"",""),1)),""."","","",1))"),47.235143174061)</f>
        <v>47.23514317</v>
      </c>
      <c r="Q5258" s="13">
        <f>IFERROR(__xludf.DUMMYFUNCTION("VALUE(SUBSTITUTE((INDEX(SPLIT(A5258,"",""),2)),""."","","",1))"),39.77713892226)</f>
        <v>39.77713892</v>
      </c>
      <c r="R5258" s="14" t="b">
        <f t="shared" si="1"/>
        <v>0</v>
      </c>
      <c r="S5258" s="14" t="str">
        <f t="shared" si="2"/>
        <v>47.235143174061,39.77713892226</v>
      </c>
      <c r="T5258" s="12"/>
    </row>
    <row r="5259">
      <c r="A5259" s="146" t="s">
        <v>33736</v>
      </c>
      <c r="B5259" s="147" t="s">
        <v>33737</v>
      </c>
      <c r="C5259" s="147" t="s">
        <v>33738</v>
      </c>
      <c r="D5259" s="147" t="s">
        <v>33342</v>
      </c>
      <c r="E5259" s="148" t="s">
        <v>33739</v>
      </c>
      <c r="F5259" s="146" t="s">
        <v>12912</v>
      </c>
      <c r="G5259" s="146" t="s">
        <v>33344</v>
      </c>
      <c r="H5259" s="146"/>
      <c r="I5259" s="147"/>
      <c r="J5259" s="147" t="s">
        <v>33740</v>
      </c>
      <c r="K5259" s="147" t="s">
        <v>33741</v>
      </c>
      <c r="L5259" s="150" t="s">
        <v>33742</v>
      </c>
      <c r="M5259" s="147"/>
      <c r="N5259" s="12"/>
      <c r="O5259" s="12"/>
      <c r="P5259" s="13">
        <f>IFERROR(__xludf.DUMMYFUNCTION("VALUE(SUBSTITUTE((INDEX(SPLIT(A5259,"",""),1)),""."","","",1))"),47.237514496)</f>
        <v>47.2375145</v>
      </c>
      <c r="Q5259" s="13">
        <f>IFERROR(__xludf.DUMMYFUNCTION("VALUE(SUBSTITUTE((INDEX(SPLIT(A5259,"",""),2)),""."","","",1))"),39.69128418)</f>
        <v>39.69128418</v>
      </c>
      <c r="R5259" s="14" t="b">
        <f t="shared" si="1"/>
        <v>0</v>
      </c>
      <c r="S5259" s="14" t="str">
        <f t="shared" si="2"/>
        <v>47.237514496,39.69128418</v>
      </c>
      <c r="T5259" s="12"/>
    </row>
    <row r="5260">
      <c r="A5260" s="142" t="s">
        <v>33743</v>
      </c>
      <c r="B5260" s="143" t="s">
        <v>33744</v>
      </c>
      <c r="C5260" s="143" t="s">
        <v>33745</v>
      </c>
      <c r="D5260" s="143" t="s">
        <v>33342</v>
      </c>
      <c r="E5260" s="144" t="s">
        <v>33746</v>
      </c>
      <c r="F5260" s="142" t="s">
        <v>12912</v>
      </c>
      <c r="G5260" s="142" t="s">
        <v>33344</v>
      </c>
      <c r="H5260" s="142"/>
      <c r="I5260" s="143"/>
      <c r="J5260" s="143" t="s">
        <v>33747</v>
      </c>
      <c r="K5260" s="143" t="s">
        <v>33748</v>
      </c>
      <c r="L5260" s="152" t="s">
        <v>33749</v>
      </c>
      <c r="M5260" s="143"/>
      <c r="N5260" s="12"/>
      <c r="O5260" s="12"/>
      <c r="P5260" s="13">
        <f>IFERROR(__xludf.DUMMYFUNCTION("VALUE(SUBSTITUTE((INDEX(SPLIT(A5260,"",""),1)),""."","","",1))"),47.290002730344)</f>
        <v>47.29000273</v>
      </c>
      <c r="Q5260" s="13">
        <f>IFERROR(__xludf.DUMMYFUNCTION("VALUE(SUBSTITUTE((INDEX(SPLIT(A5260,"",""),2)),""."","","",1))"),39.704790944096)</f>
        <v>39.70479094</v>
      </c>
      <c r="R5260" s="14" t="b">
        <f t="shared" si="1"/>
        <v>0</v>
      </c>
      <c r="S5260" s="14" t="str">
        <f t="shared" si="2"/>
        <v>47.290002730344,39.704790944096</v>
      </c>
      <c r="T5260" s="12"/>
    </row>
    <row r="5261">
      <c r="A5261" s="146" t="s">
        <v>33750</v>
      </c>
      <c r="B5261" s="147" t="s">
        <v>33751</v>
      </c>
      <c r="C5261" s="147" t="s">
        <v>33752</v>
      </c>
      <c r="D5261" s="147" t="s">
        <v>33342</v>
      </c>
      <c r="E5261" s="148" t="s">
        <v>33753</v>
      </c>
      <c r="F5261" s="146" t="s">
        <v>12912</v>
      </c>
      <c r="G5261" s="146" t="s">
        <v>33344</v>
      </c>
      <c r="H5261" s="146"/>
      <c r="I5261" s="147"/>
      <c r="J5261" s="147" t="s">
        <v>33754</v>
      </c>
      <c r="K5261" s="147" t="s">
        <v>33755</v>
      </c>
      <c r="L5261" s="150" t="s">
        <v>33756</v>
      </c>
      <c r="M5261" s="147"/>
      <c r="N5261" s="12"/>
      <c r="O5261" s="12"/>
      <c r="P5261" s="13">
        <f>IFERROR(__xludf.DUMMYFUNCTION("VALUE(SUBSTITUTE((INDEX(SPLIT(A5261,"",""),1)),""."","","",1))"),47.717300415)</f>
        <v>47.71730042</v>
      </c>
      <c r="Q5261" s="13">
        <f>IFERROR(__xludf.DUMMYFUNCTION("VALUE(SUBSTITUTE((INDEX(SPLIT(A5261,"",""),2)),""."","","",1))"),40.198440552)</f>
        <v>40.19844055</v>
      </c>
      <c r="R5261" s="14" t="b">
        <f t="shared" si="1"/>
        <v>0</v>
      </c>
      <c r="S5261" s="14" t="str">
        <f t="shared" si="2"/>
        <v>47.717300415,40.198440552</v>
      </c>
      <c r="T5261" s="12"/>
    </row>
    <row r="5262">
      <c r="A5262" s="142" t="s">
        <v>33757</v>
      </c>
      <c r="B5262" s="143" t="s">
        <v>89</v>
      </c>
      <c r="C5262" s="143" t="s">
        <v>33571</v>
      </c>
      <c r="D5262" s="143" t="s">
        <v>33342</v>
      </c>
      <c r="E5262" s="144" t="s">
        <v>33758</v>
      </c>
      <c r="F5262" s="142" t="s">
        <v>2057</v>
      </c>
      <c r="G5262" s="142" t="s">
        <v>33344</v>
      </c>
      <c r="H5262" s="142"/>
      <c r="I5262" s="143"/>
      <c r="J5262" s="143" t="s">
        <v>33759</v>
      </c>
      <c r="K5262" s="143" t="s">
        <v>33760</v>
      </c>
      <c r="L5262" s="145" t="s">
        <v>33761</v>
      </c>
      <c r="M5262" s="143"/>
      <c r="N5262" s="12"/>
      <c r="O5262" s="12"/>
      <c r="P5262" s="13">
        <f>IFERROR(__xludf.DUMMYFUNCTION("VALUE(SUBSTITUTE((INDEX(SPLIT(A5262,"",""),1)),""."","","",1))"),48.374530792)</f>
        <v>48.37453079</v>
      </c>
      <c r="Q5262" s="13">
        <f>IFERROR(__xludf.DUMMYFUNCTION("VALUE(SUBSTITUTE((INDEX(SPLIT(A5262,"",""),2)),""."","","",1))"),135.095321655)</f>
        <v>135.0953217</v>
      </c>
      <c r="R5262" s="14" t="b">
        <f t="shared" si="1"/>
        <v>0</v>
      </c>
      <c r="S5262" s="14" t="str">
        <f t="shared" si="2"/>
        <v>48.374530792,135.095321655</v>
      </c>
      <c r="T5262" s="12"/>
    </row>
    <row r="5263">
      <c r="A5263" s="146" t="s">
        <v>33762</v>
      </c>
      <c r="B5263" s="147" t="s">
        <v>33763</v>
      </c>
      <c r="C5263" s="147" t="s">
        <v>33764</v>
      </c>
      <c r="D5263" s="147" t="s">
        <v>33342</v>
      </c>
      <c r="E5263" s="148" t="s">
        <v>33765</v>
      </c>
      <c r="F5263" s="146" t="s">
        <v>2057</v>
      </c>
      <c r="G5263" s="146" t="s">
        <v>33344</v>
      </c>
      <c r="H5263" s="146"/>
      <c r="I5263" s="147"/>
      <c r="J5263" s="147" t="s">
        <v>33766</v>
      </c>
      <c r="K5263" s="147" t="s">
        <v>33767</v>
      </c>
      <c r="L5263" s="150" t="s">
        <v>33768</v>
      </c>
      <c r="M5263" s="147"/>
      <c r="N5263" s="12"/>
      <c r="O5263" s="12"/>
      <c r="P5263" s="13">
        <f>IFERROR(__xludf.DUMMYFUNCTION("VALUE(SUBSTITUTE((INDEX(SPLIT(A5263,"",""),1)),""."","","",1))"),48.489345551)</f>
        <v>48.48934555</v>
      </c>
      <c r="Q5263" s="13">
        <f>IFERROR(__xludf.DUMMYFUNCTION("VALUE(SUBSTITUTE((INDEX(SPLIT(A5263,"",""),2)),""."","","",1))"),135.077575684)</f>
        <v>135.0775757</v>
      </c>
      <c r="R5263" s="14" t="b">
        <f t="shared" si="1"/>
        <v>0</v>
      </c>
      <c r="S5263" s="14" t="str">
        <f t="shared" si="2"/>
        <v>48.489345551,135.077575684</v>
      </c>
      <c r="T5263" s="12"/>
    </row>
    <row r="5264">
      <c r="A5264" s="136" t="s">
        <v>33769</v>
      </c>
      <c r="B5264" s="137" t="s">
        <v>27000</v>
      </c>
      <c r="C5264" s="137" t="s">
        <v>27000</v>
      </c>
      <c r="D5264" s="137" t="s">
        <v>33342</v>
      </c>
      <c r="E5264" s="138" t="s">
        <v>33770</v>
      </c>
      <c r="F5264" s="136" t="s">
        <v>2057</v>
      </c>
      <c r="G5264" s="136" t="s">
        <v>33344</v>
      </c>
      <c r="H5264" s="136"/>
      <c r="I5264" s="137"/>
      <c r="J5264" s="137" t="s">
        <v>33771</v>
      </c>
      <c r="K5264" s="137" t="s">
        <v>33772</v>
      </c>
      <c r="L5264" s="137"/>
      <c r="M5264" s="137"/>
      <c r="N5264" s="12"/>
      <c r="O5264" s="12"/>
      <c r="P5264" s="13">
        <f>IFERROR(__xludf.DUMMYFUNCTION("VALUE(SUBSTITUTE((INDEX(SPLIT(A5264,"",""),1)),""."","","",1))"),48.509033203)</f>
        <v>48.5090332</v>
      </c>
      <c r="Q5264" s="13">
        <f>IFERROR(__xludf.DUMMYFUNCTION("VALUE(SUBSTITUTE((INDEX(SPLIT(A5264,"",""),2)),""."","","",1))"),135.072463989)</f>
        <v>135.072464</v>
      </c>
      <c r="R5264" s="14" t="b">
        <f t="shared" si="1"/>
        <v>0</v>
      </c>
      <c r="S5264" s="14" t="str">
        <f t="shared" si="2"/>
        <v>48.509033203,135.072463989</v>
      </c>
      <c r="T5264" s="12"/>
    </row>
    <row r="5265">
      <c r="A5265" s="139" t="s">
        <v>33773</v>
      </c>
      <c r="B5265" s="140" t="s">
        <v>33774</v>
      </c>
      <c r="C5265" s="140" t="s">
        <v>33775</v>
      </c>
      <c r="D5265" s="140" t="s">
        <v>33342</v>
      </c>
      <c r="E5265" s="141" t="s">
        <v>33776</v>
      </c>
      <c r="F5265" s="139" t="s">
        <v>2057</v>
      </c>
      <c r="G5265" s="139" t="s">
        <v>33344</v>
      </c>
      <c r="H5265" s="139"/>
      <c r="I5265" s="140"/>
      <c r="J5265" s="140" t="s">
        <v>33777</v>
      </c>
      <c r="K5265" s="140" t="s">
        <v>33778</v>
      </c>
      <c r="L5265" s="140"/>
      <c r="M5265" s="140"/>
      <c r="N5265" s="12"/>
      <c r="O5265" s="12"/>
      <c r="P5265" s="13">
        <f>IFERROR(__xludf.DUMMYFUNCTION("VALUE(SUBSTITUTE((INDEX(SPLIT(A5265,"",""),1)),""."","","",1))"),48.528358459)</f>
        <v>48.52835846</v>
      </c>
      <c r="Q5265" s="13">
        <f>IFERROR(__xludf.DUMMYFUNCTION("VALUE(SUBSTITUTE((INDEX(SPLIT(A5265,"",""),2)),""."","","",1))"),135.122802734)</f>
        <v>135.1228027</v>
      </c>
      <c r="R5265" s="14" t="b">
        <f t="shared" si="1"/>
        <v>0</v>
      </c>
      <c r="S5265" s="14" t="str">
        <f t="shared" si="2"/>
        <v>48.528358459,135.122802734</v>
      </c>
      <c r="T5265" s="12"/>
    </row>
    <row r="5266">
      <c r="A5266" s="142" t="s">
        <v>33779</v>
      </c>
      <c r="B5266" s="143" t="s">
        <v>33780</v>
      </c>
      <c r="C5266" s="143" t="s">
        <v>33781</v>
      </c>
      <c r="D5266" s="143" t="s">
        <v>33342</v>
      </c>
      <c r="E5266" s="144" t="s">
        <v>33782</v>
      </c>
      <c r="F5266" s="142" t="s">
        <v>13111</v>
      </c>
      <c r="G5266" s="142" t="s">
        <v>33344</v>
      </c>
      <c r="H5266" s="142"/>
      <c r="I5266" s="143"/>
      <c r="J5266" s="143" t="s">
        <v>33783</v>
      </c>
      <c r="K5266" s="143" t="s">
        <v>18429</v>
      </c>
      <c r="L5266" s="145" t="s">
        <v>33784</v>
      </c>
      <c r="M5266" s="143"/>
      <c r="N5266" s="12"/>
      <c r="O5266" s="12"/>
      <c r="P5266" s="13">
        <f>IFERROR(__xludf.DUMMYFUNCTION("VALUE(SUBSTITUTE((INDEX(SPLIT(A5266,"",""),1)),""."","","",1))"),48.713424683)</f>
        <v>48.71342468</v>
      </c>
      <c r="Q5266" s="13">
        <f>IFERROR(__xludf.DUMMYFUNCTION("VALUE(SUBSTITUTE((INDEX(SPLIT(A5266,"",""),2)),""."","","",1))"),44.522064209)</f>
        <v>44.52206421</v>
      </c>
      <c r="R5266" s="14" t="b">
        <f t="shared" si="1"/>
        <v>0</v>
      </c>
      <c r="S5266" s="14" t="str">
        <f t="shared" si="2"/>
        <v>48.713424683,44.522064209</v>
      </c>
      <c r="T5266" s="12"/>
    </row>
    <row r="5267">
      <c r="A5267" s="146" t="s">
        <v>33785</v>
      </c>
      <c r="B5267" s="147" t="s">
        <v>33786</v>
      </c>
      <c r="C5267" s="147" t="s">
        <v>33787</v>
      </c>
      <c r="D5267" s="147" t="s">
        <v>33342</v>
      </c>
      <c r="E5267" s="148" t="s">
        <v>33788</v>
      </c>
      <c r="F5267" s="146" t="s">
        <v>13111</v>
      </c>
      <c r="G5267" s="146" t="s">
        <v>33344</v>
      </c>
      <c r="H5267" s="146"/>
      <c r="I5267" s="151" t="s">
        <v>33789</v>
      </c>
      <c r="J5267" s="147" t="s">
        <v>33790</v>
      </c>
      <c r="K5267" s="147" t="s">
        <v>33791</v>
      </c>
      <c r="L5267" s="149" t="s">
        <v>18363</v>
      </c>
      <c r="M5267" s="147"/>
      <c r="N5267" s="12"/>
      <c r="O5267" s="12"/>
      <c r="P5267" s="13">
        <f>IFERROR(__xludf.DUMMYFUNCTION("VALUE(SUBSTITUTE((INDEX(SPLIT(A5267,"",""),1)),""."","","",1))"),48.756526947)</f>
        <v>48.75652695</v>
      </c>
      <c r="Q5267" s="13">
        <f>IFERROR(__xludf.DUMMYFUNCTION("VALUE(SUBSTITUTE((INDEX(SPLIT(A5267,"",""),2)),""."","","",1))"),44.453777313)</f>
        <v>44.45377731</v>
      </c>
      <c r="R5267" s="14" t="b">
        <f t="shared" si="1"/>
        <v>0</v>
      </c>
      <c r="S5267" s="14" t="str">
        <f t="shared" si="2"/>
        <v>48.756526947,44.453777313</v>
      </c>
      <c r="T5267" s="12"/>
    </row>
    <row r="5268">
      <c r="A5268" s="136" t="s">
        <v>33792</v>
      </c>
      <c r="B5268" s="137" t="s">
        <v>33793</v>
      </c>
      <c r="C5268" s="137" t="s">
        <v>33794</v>
      </c>
      <c r="D5268" s="137" t="s">
        <v>33342</v>
      </c>
      <c r="E5268" s="138" t="s">
        <v>33795</v>
      </c>
      <c r="F5268" s="136" t="s">
        <v>13111</v>
      </c>
      <c r="G5268" s="136" t="s">
        <v>33344</v>
      </c>
      <c r="H5268" s="136"/>
      <c r="I5268" s="137"/>
      <c r="J5268" s="137" t="s">
        <v>33796</v>
      </c>
      <c r="K5268" s="137" t="s">
        <v>33797</v>
      </c>
      <c r="L5268" s="137"/>
      <c r="M5268" s="137"/>
      <c r="N5268" s="12"/>
      <c r="O5268" s="12"/>
      <c r="P5268" s="13">
        <f>IFERROR(__xludf.DUMMYFUNCTION("VALUE(SUBSTITUTE((INDEX(SPLIT(A5268,"",""),1)),""."","","",1))"),48.820186615)</f>
        <v>48.82018662</v>
      </c>
      <c r="Q5268" s="13">
        <f>IFERROR(__xludf.DUMMYFUNCTION("VALUE(SUBSTITUTE((INDEX(SPLIT(A5268,"",""),2)),""."","","",1))"),44.86566925)</f>
        <v>44.86566925</v>
      </c>
      <c r="R5268" s="14" t="b">
        <f t="shared" si="1"/>
        <v>0</v>
      </c>
      <c r="S5268" s="14" t="str">
        <f t="shared" si="2"/>
        <v>48.820186615,44.86566925</v>
      </c>
      <c r="T5268" s="12"/>
    </row>
    <row r="5269">
      <c r="A5269" s="146" t="s">
        <v>33798</v>
      </c>
      <c r="B5269" s="147" t="s">
        <v>33799</v>
      </c>
      <c r="C5269" s="147" t="s">
        <v>33800</v>
      </c>
      <c r="D5269" s="147" t="s">
        <v>33342</v>
      </c>
      <c r="E5269" s="148" t="s">
        <v>33801</v>
      </c>
      <c r="F5269" s="146" t="s">
        <v>13111</v>
      </c>
      <c r="G5269" s="146" t="s">
        <v>33344</v>
      </c>
      <c r="H5269" s="146"/>
      <c r="I5269" s="147"/>
      <c r="J5269" s="147" t="s">
        <v>33802</v>
      </c>
      <c r="K5269" s="147" t="s">
        <v>33803</v>
      </c>
      <c r="L5269" s="149" t="s">
        <v>33804</v>
      </c>
      <c r="M5269" s="147"/>
      <c r="N5269" s="12"/>
      <c r="O5269" s="12"/>
      <c r="P5269" s="13">
        <f>IFERROR(__xludf.DUMMYFUNCTION("VALUE(SUBSTITUTE((INDEX(SPLIT(A5269,"",""),1)),""."","","",1))"),48.841995239)</f>
        <v>48.84199524</v>
      </c>
      <c r="Q5269" s="13">
        <f>IFERROR(__xludf.DUMMYFUNCTION("VALUE(SUBSTITUTE((INDEX(SPLIT(A5269,"",""),2)),""."","","",1))"),44.553905487)</f>
        <v>44.55390549</v>
      </c>
      <c r="R5269" s="14" t="b">
        <f t="shared" si="1"/>
        <v>0</v>
      </c>
      <c r="S5269" s="14" t="str">
        <f t="shared" si="2"/>
        <v>48.841995239,44.553905487</v>
      </c>
      <c r="T5269" s="12"/>
    </row>
    <row r="5270">
      <c r="A5270" s="142" t="s">
        <v>33805</v>
      </c>
      <c r="B5270" s="143" t="s">
        <v>33806</v>
      </c>
      <c r="C5270" s="143" t="s">
        <v>33807</v>
      </c>
      <c r="D5270" s="143" t="s">
        <v>33342</v>
      </c>
      <c r="E5270" s="144" t="s">
        <v>33808</v>
      </c>
      <c r="F5270" s="142" t="s">
        <v>9563</v>
      </c>
      <c r="G5270" s="142" t="s">
        <v>33344</v>
      </c>
      <c r="H5270" s="142"/>
      <c r="I5270" s="143"/>
      <c r="J5270" s="143" t="s">
        <v>33809</v>
      </c>
      <c r="K5270" s="143" t="s">
        <v>33810</v>
      </c>
      <c r="L5270" s="145" t="s">
        <v>33811</v>
      </c>
      <c r="M5270" s="143"/>
      <c r="N5270" s="12"/>
      <c r="O5270" s="12"/>
      <c r="P5270" s="13">
        <f>IFERROR(__xludf.DUMMYFUNCTION("VALUE(SUBSTITUTE((INDEX(SPLIT(A5270,"",""),1)),""."","","",1))"),50.18309021)</f>
        <v>50.18309021</v>
      </c>
      <c r="Q5270" s="13">
        <f>IFERROR(__xludf.DUMMYFUNCTION("VALUE(SUBSTITUTE((INDEX(SPLIT(A5270,"",""),2)),""."","","",1))"),39.585353851)</f>
        <v>39.58535385</v>
      </c>
      <c r="R5270" s="14" t="b">
        <f t="shared" si="1"/>
        <v>0</v>
      </c>
      <c r="S5270" s="14" t="str">
        <f t="shared" si="2"/>
        <v>50.18309021,39.585353851</v>
      </c>
      <c r="T5270" s="12"/>
    </row>
    <row r="5271">
      <c r="A5271" s="139" t="s">
        <v>33812</v>
      </c>
      <c r="B5271" s="140" t="s">
        <v>33813</v>
      </c>
      <c r="C5271" s="140" t="s">
        <v>33814</v>
      </c>
      <c r="D5271" s="140" t="s">
        <v>33342</v>
      </c>
      <c r="E5271" s="141" t="s">
        <v>33815</v>
      </c>
      <c r="F5271" s="139" t="s">
        <v>953</v>
      </c>
      <c r="G5271" s="139" t="s">
        <v>33344</v>
      </c>
      <c r="H5271" s="139"/>
      <c r="I5271" s="140"/>
      <c r="J5271" s="140" t="s">
        <v>33816</v>
      </c>
      <c r="K5271" s="140" t="s">
        <v>33817</v>
      </c>
      <c r="L5271" s="140"/>
      <c r="M5271" s="140"/>
      <c r="N5271" s="12"/>
      <c r="O5271" s="12"/>
      <c r="P5271" s="13">
        <f>IFERROR(__xludf.DUMMYFUNCTION("VALUE(SUBSTITUTE((INDEX(SPLIT(A5271,"",""),1)),""."","","",1))"),50.29675293)</f>
        <v>50.29675293</v>
      </c>
      <c r="Q5271" s="13">
        <f>IFERROR(__xludf.DUMMYFUNCTION("VALUE(SUBSTITUTE((INDEX(SPLIT(A5271,"",""),2)),""."","","",1))"),127.540847778)</f>
        <v>127.5408478</v>
      </c>
      <c r="R5271" s="14" t="b">
        <f t="shared" si="1"/>
        <v>0</v>
      </c>
      <c r="S5271" s="14" t="str">
        <f t="shared" si="2"/>
        <v>50.29675293,127.540847778</v>
      </c>
      <c r="T5271" s="12"/>
    </row>
    <row r="5272">
      <c r="A5272" s="136" t="s">
        <v>33818</v>
      </c>
      <c r="B5272" s="137" t="s">
        <v>33819</v>
      </c>
      <c r="C5272" s="137" t="s">
        <v>33820</v>
      </c>
      <c r="D5272" s="137" t="s">
        <v>33342</v>
      </c>
      <c r="E5272" s="138" t="s">
        <v>33821</v>
      </c>
      <c r="F5272" s="136" t="s">
        <v>4327</v>
      </c>
      <c r="G5272" s="136" t="s">
        <v>33344</v>
      </c>
      <c r="H5272" s="136"/>
      <c r="I5272" s="137"/>
      <c r="J5272" s="137" t="s">
        <v>33822</v>
      </c>
      <c r="K5272" s="137" t="s">
        <v>33823</v>
      </c>
      <c r="L5272" s="137"/>
      <c r="M5272" s="137"/>
      <c r="N5272" s="12"/>
      <c r="O5272" s="12"/>
      <c r="P5272" s="13">
        <f>IFERROR(__xludf.DUMMYFUNCTION("VALUE(SUBSTITUTE((INDEX(SPLIT(A5272,"",""),1)),""."","","",1))"),50.42439613758)</f>
        <v>50.42439614</v>
      </c>
      <c r="Q5272" s="13">
        <f>IFERROR(__xludf.DUMMYFUNCTION("VALUE(SUBSTITUTE((INDEX(SPLIT(A5272,"",""),2)),""."","","",1))"),36.981876731738)</f>
        <v>36.98187673</v>
      </c>
      <c r="R5272" s="14" t="b">
        <f t="shared" si="1"/>
        <v>0</v>
      </c>
      <c r="S5272" s="14" t="str">
        <f t="shared" si="2"/>
        <v>50.42439613758,36.981876731738</v>
      </c>
      <c r="T5272" s="12"/>
    </row>
    <row r="5273">
      <c r="A5273" s="146" t="s">
        <v>33824</v>
      </c>
      <c r="B5273" s="147" t="s">
        <v>33825</v>
      </c>
      <c r="C5273" s="147" t="s">
        <v>33826</v>
      </c>
      <c r="D5273" s="147" t="s">
        <v>33342</v>
      </c>
      <c r="E5273" s="148" t="s">
        <v>33827</v>
      </c>
      <c r="F5273" s="146" t="s">
        <v>4327</v>
      </c>
      <c r="G5273" s="146" t="s">
        <v>33344</v>
      </c>
      <c r="H5273" s="146"/>
      <c r="I5273" s="147"/>
      <c r="J5273" s="147" t="s">
        <v>33828</v>
      </c>
      <c r="K5273" s="147" t="s">
        <v>33829</v>
      </c>
      <c r="L5273" s="149" t="s">
        <v>33830</v>
      </c>
      <c r="M5273" s="149" t="s">
        <v>33831</v>
      </c>
      <c r="N5273" s="12"/>
      <c r="O5273" s="12"/>
      <c r="P5273" s="13">
        <f>IFERROR(__xludf.DUMMYFUNCTION("VALUE(SUBSTITUTE((INDEX(SPLIT(A5273,"",""),1)),""."","","",1))"),50.579986572)</f>
        <v>50.57998657</v>
      </c>
      <c r="Q5273" s="13">
        <f>IFERROR(__xludf.DUMMYFUNCTION("VALUE(SUBSTITUTE((INDEX(SPLIT(A5273,"",""),2)),""."","","",1))"),36.564781189)</f>
        <v>36.56478119</v>
      </c>
      <c r="R5273" s="14" t="b">
        <f t="shared" si="1"/>
        <v>0</v>
      </c>
      <c r="S5273" s="14" t="str">
        <f t="shared" si="2"/>
        <v>50.579986572,36.564781189</v>
      </c>
      <c r="T5273" s="12"/>
    </row>
    <row r="5274">
      <c r="A5274" s="142" t="s">
        <v>33832</v>
      </c>
      <c r="B5274" s="143" t="s">
        <v>33833</v>
      </c>
      <c r="C5274" s="143" t="s">
        <v>33834</v>
      </c>
      <c r="D5274" s="143" t="s">
        <v>33342</v>
      </c>
      <c r="E5274" s="144" t="s">
        <v>33835</v>
      </c>
      <c r="F5274" s="142" t="s">
        <v>4327</v>
      </c>
      <c r="G5274" s="142" t="s">
        <v>33344</v>
      </c>
      <c r="H5274" s="142"/>
      <c r="I5274" s="143"/>
      <c r="J5274" s="143" t="s">
        <v>33836</v>
      </c>
      <c r="K5274" s="143" t="s">
        <v>33837</v>
      </c>
      <c r="L5274" s="145" t="s">
        <v>33838</v>
      </c>
      <c r="M5274" s="143"/>
      <c r="N5274" s="12"/>
      <c r="O5274" s="12"/>
      <c r="P5274" s="13">
        <f>IFERROR(__xludf.DUMMYFUNCTION("VALUE(SUBSTITUTE((INDEX(SPLIT(A5274,"",""),1)),""."","","",1))"),50.595981598)</f>
        <v>50.5959816</v>
      </c>
      <c r="Q5274" s="13">
        <f>IFERROR(__xludf.DUMMYFUNCTION("VALUE(SUBSTITUTE((INDEX(SPLIT(A5274,"",""),2)),""."","","",1))"),36.672271729)</f>
        <v>36.67227173</v>
      </c>
      <c r="R5274" s="14" t="b">
        <f t="shared" si="1"/>
        <v>0</v>
      </c>
      <c r="S5274" s="14" t="str">
        <f t="shared" si="2"/>
        <v>50.595981598,36.672271729</v>
      </c>
      <c r="T5274" s="12"/>
    </row>
    <row r="5275">
      <c r="A5275" s="139" t="s">
        <v>33839</v>
      </c>
      <c r="B5275" s="140" t="s">
        <v>33840</v>
      </c>
      <c r="C5275" s="140" t="s">
        <v>33841</v>
      </c>
      <c r="D5275" s="140" t="s">
        <v>33342</v>
      </c>
      <c r="E5275" s="141" t="s">
        <v>33842</v>
      </c>
      <c r="F5275" s="139" t="s">
        <v>2057</v>
      </c>
      <c r="G5275" s="139" t="s">
        <v>33344</v>
      </c>
      <c r="H5275" s="139"/>
      <c r="I5275" s="140"/>
      <c r="J5275" s="140" t="s">
        <v>33843</v>
      </c>
      <c r="K5275" s="140" t="s">
        <v>33844</v>
      </c>
      <c r="L5275" s="140"/>
      <c r="M5275" s="154" t="s">
        <v>33845</v>
      </c>
      <c r="N5275" s="12"/>
      <c r="O5275" s="12"/>
      <c r="P5275" s="13">
        <f>IFERROR(__xludf.DUMMYFUNCTION("VALUE(SUBSTITUTE((INDEX(SPLIT(A5275,"",""),1)),""."","","",1))"),51.131183624)</f>
        <v>51.13118362</v>
      </c>
      <c r="Q5275" s="13">
        <f>IFERROR(__xludf.DUMMYFUNCTION("VALUE(SUBSTITUTE((INDEX(SPLIT(A5275,"",""),2)),""."","","",1))"),133.02796936)</f>
        <v>133.0279694</v>
      </c>
      <c r="R5275" s="14" t="b">
        <f t="shared" si="1"/>
        <v>0</v>
      </c>
      <c r="S5275" s="14" t="str">
        <f t="shared" si="2"/>
        <v>51.131183624,133.02796936</v>
      </c>
      <c r="T5275" s="12"/>
    </row>
    <row r="5276">
      <c r="A5276" s="136" t="s">
        <v>33846</v>
      </c>
      <c r="B5276" s="137" t="s">
        <v>33847</v>
      </c>
      <c r="C5276" s="137" t="s">
        <v>33848</v>
      </c>
      <c r="D5276" s="137" t="s">
        <v>33342</v>
      </c>
      <c r="E5276" s="138" t="s">
        <v>33849</v>
      </c>
      <c r="F5276" s="136" t="s">
        <v>4327</v>
      </c>
      <c r="G5276" s="136" t="s">
        <v>33344</v>
      </c>
      <c r="H5276" s="136"/>
      <c r="I5276" s="137"/>
      <c r="J5276" s="137" t="s">
        <v>33850</v>
      </c>
      <c r="K5276" s="137" t="s">
        <v>33851</v>
      </c>
      <c r="L5276" s="137"/>
      <c r="M5276" s="137"/>
      <c r="N5276" s="12"/>
      <c r="O5276" s="12"/>
      <c r="P5276" s="13">
        <f>IFERROR(__xludf.DUMMYFUNCTION("VALUE(SUBSTITUTE((INDEX(SPLIT(A5276,"",""),1)),""."","","",1))"),51.274887085)</f>
        <v>51.27488709</v>
      </c>
      <c r="Q5276" s="13">
        <f>IFERROR(__xludf.DUMMYFUNCTION("VALUE(SUBSTITUTE((INDEX(SPLIT(A5276,"",""),2)),""."","","",1))"),37.506721497)</f>
        <v>37.5067215</v>
      </c>
      <c r="R5276" s="14" t="b">
        <f t="shared" si="1"/>
        <v>0</v>
      </c>
      <c r="S5276" s="14" t="str">
        <f t="shared" si="2"/>
        <v>51.274887085,37.506721497</v>
      </c>
      <c r="T5276" s="12"/>
    </row>
    <row r="5277">
      <c r="A5277" s="146" t="s">
        <v>33852</v>
      </c>
      <c r="B5277" s="147" t="s">
        <v>2363</v>
      </c>
      <c r="C5277" s="147" t="s">
        <v>33613</v>
      </c>
      <c r="D5277" s="147" t="s">
        <v>33342</v>
      </c>
      <c r="E5277" s="148" t="s">
        <v>33853</v>
      </c>
      <c r="F5277" s="146" t="s">
        <v>23165</v>
      </c>
      <c r="G5277" s="146" t="s">
        <v>33344</v>
      </c>
      <c r="H5277" s="146"/>
      <c r="I5277" s="147"/>
      <c r="J5277" s="147" t="s">
        <v>33854</v>
      </c>
      <c r="K5277" s="147" t="s">
        <v>33855</v>
      </c>
      <c r="L5277" s="150" t="s">
        <v>33856</v>
      </c>
      <c r="M5277" s="147"/>
      <c r="N5277" s="12"/>
      <c r="O5277" s="12"/>
      <c r="P5277" s="13">
        <f>IFERROR(__xludf.DUMMYFUNCTION("VALUE(SUBSTITUTE((INDEX(SPLIT(A5277,"",""),1)),""."","","",1))"),51.473060608)</f>
        <v>51.47306061</v>
      </c>
      <c r="Q5277" s="13">
        <f>IFERROR(__xludf.DUMMYFUNCTION("VALUE(SUBSTITUTE((INDEX(SPLIT(A5277,"",""),2)),""."","","",1))"),58.444858551)</f>
        <v>58.44485855</v>
      </c>
      <c r="R5277" s="14" t="b">
        <f t="shared" si="1"/>
        <v>0</v>
      </c>
      <c r="S5277" s="14" t="str">
        <f t="shared" si="2"/>
        <v>51.473060608,58.444858551</v>
      </c>
      <c r="T5277" s="12"/>
    </row>
    <row r="5278">
      <c r="A5278" s="136" t="s">
        <v>33857</v>
      </c>
      <c r="B5278" s="137" t="s">
        <v>33858</v>
      </c>
      <c r="C5278" s="137" t="s">
        <v>33859</v>
      </c>
      <c r="D5278" s="137" t="s">
        <v>33342</v>
      </c>
      <c r="E5278" s="138" t="s">
        <v>33860</v>
      </c>
      <c r="F5278" s="136" t="s">
        <v>17071</v>
      </c>
      <c r="G5278" s="136" t="s">
        <v>33344</v>
      </c>
      <c r="H5278" s="136"/>
      <c r="I5278" s="137"/>
      <c r="J5278" s="137" t="s">
        <v>33861</v>
      </c>
      <c r="K5278" s="137" t="s">
        <v>33862</v>
      </c>
      <c r="L5278" s="137"/>
      <c r="M5278" s="137"/>
      <c r="N5278" s="12"/>
      <c r="O5278" s="12"/>
      <c r="P5278" s="13">
        <f>IFERROR(__xludf.DUMMYFUNCTION("VALUE(SUBSTITUTE((INDEX(SPLIT(A5278,"",""),1)),""."","","",1))"),51.552402496)</f>
        <v>51.5524025</v>
      </c>
      <c r="Q5278" s="13">
        <f>IFERROR(__xludf.DUMMYFUNCTION("VALUE(SUBSTITUTE((INDEX(SPLIT(A5278,"",""),2)),""."","","",1))"),46.019477844)</f>
        <v>46.01947784</v>
      </c>
      <c r="R5278" s="14" t="b">
        <f t="shared" si="1"/>
        <v>0</v>
      </c>
      <c r="S5278" s="14" t="str">
        <f t="shared" si="2"/>
        <v>51.552402496,46.019477844</v>
      </c>
      <c r="T5278" s="12"/>
    </row>
    <row r="5279">
      <c r="A5279" s="139" t="s">
        <v>33863</v>
      </c>
      <c r="B5279" s="140" t="s">
        <v>33864</v>
      </c>
      <c r="C5279" s="140" t="s">
        <v>33865</v>
      </c>
      <c r="D5279" s="140" t="s">
        <v>33342</v>
      </c>
      <c r="E5279" s="141" t="s">
        <v>33866</v>
      </c>
      <c r="F5279" s="139" t="s">
        <v>17071</v>
      </c>
      <c r="G5279" s="139" t="s">
        <v>33344</v>
      </c>
      <c r="H5279" s="139"/>
      <c r="I5279" s="140"/>
      <c r="J5279" s="140" t="s">
        <v>33867</v>
      </c>
      <c r="K5279" s="140" t="s">
        <v>33868</v>
      </c>
      <c r="L5279" s="140"/>
      <c r="M5279" s="140"/>
      <c r="N5279" s="12"/>
      <c r="O5279" s="12"/>
      <c r="P5279" s="13">
        <f>IFERROR(__xludf.DUMMYFUNCTION("VALUE(SUBSTITUTE((INDEX(SPLIT(A5279,"",""),1)),""."","","",1))"),51.588623047)</f>
        <v>51.58862305</v>
      </c>
      <c r="Q5279" s="13">
        <f>IFERROR(__xludf.DUMMYFUNCTION("VALUE(SUBSTITUTE((INDEX(SPLIT(A5279,"",""),2)),""."","","",1))"),45.969009399)</f>
        <v>45.9690094</v>
      </c>
      <c r="R5279" s="14" t="b">
        <f t="shared" si="1"/>
        <v>0</v>
      </c>
      <c r="S5279" s="14" t="str">
        <f t="shared" si="2"/>
        <v>51.588623047,45.969009399</v>
      </c>
      <c r="T5279" s="12"/>
    </row>
    <row r="5280">
      <c r="A5280" s="136" t="s">
        <v>33869</v>
      </c>
      <c r="B5280" s="137" t="s">
        <v>33870</v>
      </c>
      <c r="C5280" s="137" t="s">
        <v>33871</v>
      </c>
      <c r="D5280" s="137" t="s">
        <v>33342</v>
      </c>
      <c r="E5280" s="138" t="s">
        <v>33872</v>
      </c>
      <c r="F5280" s="136" t="s">
        <v>17071</v>
      </c>
      <c r="G5280" s="136" t="s">
        <v>33344</v>
      </c>
      <c r="H5280" s="136"/>
      <c r="I5280" s="137"/>
      <c r="J5280" s="137" t="s">
        <v>33873</v>
      </c>
      <c r="K5280" s="137" t="s">
        <v>33874</v>
      </c>
      <c r="L5280" s="137"/>
      <c r="M5280" s="137"/>
      <c r="N5280" s="12"/>
      <c r="O5280" s="12"/>
      <c r="P5280" s="13">
        <f>IFERROR(__xludf.DUMMYFUNCTION("VALUE(SUBSTITUTE((INDEX(SPLIT(A5280,"",""),1)),""."","","",1))"),51.601577759)</f>
        <v>51.60157776</v>
      </c>
      <c r="Q5280" s="13">
        <f>IFERROR(__xludf.DUMMYFUNCTION("VALUE(SUBSTITUTE((INDEX(SPLIT(A5280,"",""),2)),""."","","",1))"),45.906597137)</f>
        <v>45.90659714</v>
      </c>
      <c r="R5280" s="14" t="b">
        <f t="shared" si="1"/>
        <v>0</v>
      </c>
      <c r="S5280" s="14" t="str">
        <f t="shared" si="2"/>
        <v>51.601577759,45.906597137</v>
      </c>
      <c r="T5280" s="12"/>
    </row>
    <row r="5281">
      <c r="A5281" s="139" t="s">
        <v>33875</v>
      </c>
      <c r="B5281" s="140" t="s">
        <v>19144</v>
      </c>
      <c r="C5281" s="140" t="s">
        <v>11323</v>
      </c>
      <c r="D5281" s="140" t="s">
        <v>33342</v>
      </c>
      <c r="E5281" s="141" t="s">
        <v>33876</v>
      </c>
      <c r="F5281" s="139" t="s">
        <v>7052</v>
      </c>
      <c r="G5281" s="139" t="s">
        <v>33344</v>
      </c>
      <c r="H5281" s="139"/>
      <c r="I5281" s="140"/>
      <c r="J5281" s="140" t="s">
        <v>33877</v>
      </c>
      <c r="K5281" s="140" t="s">
        <v>9030</v>
      </c>
      <c r="L5281" s="140"/>
      <c r="M5281" s="140"/>
      <c r="N5281" s="12"/>
      <c r="O5281" s="12"/>
      <c r="P5281" s="13">
        <f>IFERROR(__xludf.DUMMYFUNCTION("VALUE(SUBSTITUTE((INDEX(SPLIT(A5281,"",""),1)),""."","","",1))"),51.656440735)</f>
        <v>51.65644074</v>
      </c>
      <c r="Q5281" s="13">
        <f>IFERROR(__xludf.DUMMYFUNCTION("VALUE(SUBSTITUTE((INDEX(SPLIT(A5281,"",""),2)),""."","","",1))"),36.067054749)</f>
        <v>36.06705475</v>
      </c>
      <c r="R5281" s="14" t="b">
        <f t="shared" si="1"/>
        <v>0</v>
      </c>
      <c r="S5281" s="14" t="str">
        <f t="shared" si="2"/>
        <v>51.656440735,36.067054749</v>
      </c>
      <c r="T5281" s="12"/>
    </row>
    <row r="5282">
      <c r="A5282" s="142" t="s">
        <v>33878</v>
      </c>
      <c r="B5282" s="143" t="s">
        <v>21479</v>
      </c>
      <c r="C5282" s="143" t="s">
        <v>33879</v>
      </c>
      <c r="D5282" s="143" t="s">
        <v>33342</v>
      </c>
      <c r="E5282" s="144" t="s">
        <v>33880</v>
      </c>
      <c r="F5282" s="142" t="s">
        <v>9563</v>
      </c>
      <c r="G5282" s="142" t="s">
        <v>33344</v>
      </c>
      <c r="H5282" s="142"/>
      <c r="I5282" s="143"/>
      <c r="J5282" s="143" t="s">
        <v>33881</v>
      </c>
      <c r="K5282" s="143" t="s">
        <v>33882</v>
      </c>
      <c r="L5282" s="152" t="s">
        <v>33883</v>
      </c>
      <c r="M5282" s="143"/>
      <c r="N5282" s="12"/>
      <c r="O5282" s="12"/>
      <c r="P5282" s="13">
        <f>IFERROR(__xludf.DUMMYFUNCTION("VALUE(SUBSTITUTE((INDEX(SPLIT(A5282,"",""),1)),""."","","",1))"),51.660827637)</f>
        <v>51.66082764</v>
      </c>
      <c r="Q5282" s="13">
        <f>IFERROR(__xludf.DUMMYFUNCTION("VALUE(SUBSTITUTE((INDEX(SPLIT(A5282,"",""),2)),""."","","",1))"),39.157821655)</f>
        <v>39.15782166</v>
      </c>
      <c r="R5282" s="14" t="b">
        <f t="shared" si="1"/>
        <v>0</v>
      </c>
      <c r="S5282" s="14" t="str">
        <f t="shared" si="2"/>
        <v>51.660827637,39.157821655</v>
      </c>
      <c r="T5282" s="12"/>
    </row>
    <row r="5283">
      <c r="A5283" s="146" t="s">
        <v>33884</v>
      </c>
      <c r="B5283" s="147" t="s">
        <v>33885</v>
      </c>
      <c r="C5283" s="147" t="s">
        <v>33886</v>
      </c>
      <c r="D5283" s="147" t="s">
        <v>33342</v>
      </c>
      <c r="E5283" s="148" t="s">
        <v>33887</v>
      </c>
      <c r="F5283" s="146" t="s">
        <v>9563</v>
      </c>
      <c r="G5283" s="146" t="s">
        <v>33344</v>
      </c>
      <c r="H5283" s="146"/>
      <c r="I5283" s="147"/>
      <c r="J5283" s="147" t="s">
        <v>33888</v>
      </c>
      <c r="K5283" s="147" t="s">
        <v>33889</v>
      </c>
      <c r="L5283" s="149" t="s">
        <v>33890</v>
      </c>
      <c r="M5283" s="147"/>
      <c r="N5283" s="12"/>
      <c r="O5283" s="12"/>
      <c r="P5283" s="13">
        <f>IFERROR(__xludf.DUMMYFUNCTION("VALUE(SUBSTITUTE((INDEX(SPLIT(A5283,"",""),1)),""."","","",1))"),51.666845526391)</f>
        <v>51.66684553</v>
      </c>
      <c r="Q5283" s="13">
        <f>IFERROR(__xludf.DUMMYFUNCTION("VALUE(SUBSTITUTE((INDEX(SPLIT(A5283,"",""),2)),""."","","",1))"),39.196709645538)</f>
        <v>39.19670965</v>
      </c>
      <c r="R5283" s="14" t="b">
        <f t="shared" si="1"/>
        <v>0</v>
      </c>
      <c r="S5283" s="14" t="str">
        <f t="shared" si="2"/>
        <v>51.666845526391,39.196709645538</v>
      </c>
      <c r="T5283" s="12"/>
    </row>
    <row r="5284">
      <c r="A5284" s="136" t="s">
        <v>33891</v>
      </c>
      <c r="B5284" s="137" t="s">
        <v>33892</v>
      </c>
      <c r="C5284" s="137" t="s">
        <v>33893</v>
      </c>
      <c r="D5284" s="137" t="s">
        <v>33342</v>
      </c>
      <c r="E5284" s="138" t="s">
        <v>33894</v>
      </c>
      <c r="F5284" s="136" t="s">
        <v>9563</v>
      </c>
      <c r="G5284" s="136" t="s">
        <v>33344</v>
      </c>
      <c r="H5284" s="136"/>
      <c r="I5284" s="137"/>
      <c r="J5284" s="137" t="s">
        <v>33895</v>
      </c>
      <c r="K5284" s="137" t="s">
        <v>33896</v>
      </c>
      <c r="L5284" s="137"/>
      <c r="M5284" s="137"/>
      <c r="N5284" s="12"/>
      <c r="O5284" s="12"/>
      <c r="P5284" s="13">
        <f>IFERROR(__xludf.DUMMYFUNCTION("VALUE(SUBSTITUTE((INDEX(SPLIT(A5284,"",""),1)),""."","","",1))"),51.670074463)</f>
        <v>51.67007446</v>
      </c>
      <c r="Q5284" s="13">
        <f>IFERROR(__xludf.DUMMYFUNCTION("VALUE(SUBSTITUTE((INDEX(SPLIT(A5284,"",""),2)),""."","","",1))"),39.221149445)</f>
        <v>39.22114945</v>
      </c>
      <c r="R5284" s="14" t="b">
        <f t="shared" si="1"/>
        <v>0</v>
      </c>
      <c r="S5284" s="14" t="str">
        <f t="shared" si="2"/>
        <v>51.670074463,39.221149445</v>
      </c>
      <c r="T5284" s="12"/>
    </row>
    <row r="5285">
      <c r="A5285" s="146" t="s">
        <v>33897</v>
      </c>
      <c r="B5285" s="147" t="s">
        <v>33898</v>
      </c>
      <c r="C5285" s="147" t="s">
        <v>33899</v>
      </c>
      <c r="D5285" s="147" t="s">
        <v>33342</v>
      </c>
      <c r="E5285" s="148" t="s">
        <v>33900</v>
      </c>
      <c r="F5285" s="146" t="s">
        <v>9563</v>
      </c>
      <c r="G5285" s="146" t="s">
        <v>33344</v>
      </c>
      <c r="H5285" s="146"/>
      <c r="I5285" s="147"/>
      <c r="J5285" s="147" t="s">
        <v>33901</v>
      </c>
      <c r="K5285" s="147" t="s">
        <v>33902</v>
      </c>
      <c r="L5285" s="149" t="s">
        <v>33903</v>
      </c>
      <c r="M5285" s="147"/>
      <c r="N5285" s="12"/>
      <c r="O5285" s="12"/>
      <c r="P5285" s="13">
        <f>IFERROR(__xludf.DUMMYFUNCTION("VALUE(SUBSTITUTE((INDEX(SPLIT(A5285,"",""),1)),""."","","",1))"),51.675057318842)</f>
        <v>51.67505732</v>
      </c>
      <c r="Q5285" s="13">
        <f>IFERROR(__xludf.DUMMYFUNCTION("VALUE(SUBSTITUTE((INDEX(SPLIT(A5285,"",""),2)),""."","","",1))"),39.1933143042)</f>
        <v>39.1933143</v>
      </c>
      <c r="R5285" s="14" t="b">
        <f t="shared" si="1"/>
        <v>0</v>
      </c>
      <c r="S5285" s="14" t="str">
        <f t="shared" si="2"/>
        <v>51.675057318842,39.1933143042</v>
      </c>
      <c r="T5285" s="12"/>
    </row>
    <row r="5286">
      <c r="A5286" s="136" t="s">
        <v>33904</v>
      </c>
      <c r="B5286" s="137" t="s">
        <v>33905</v>
      </c>
      <c r="C5286" s="137" t="s">
        <v>33906</v>
      </c>
      <c r="D5286" s="137" t="s">
        <v>33342</v>
      </c>
      <c r="E5286" s="138" t="s">
        <v>33907</v>
      </c>
      <c r="F5286" s="136" t="s">
        <v>9563</v>
      </c>
      <c r="G5286" s="136" t="s">
        <v>33344</v>
      </c>
      <c r="H5286" s="136"/>
      <c r="I5286" s="137"/>
      <c r="J5286" s="137" t="s">
        <v>33908</v>
      </c>
      <c r="K5286" s="137" t="s">
        <v>33909</v>
      </c>
      <c r="L5286" s="137"/>
      <c r="M5286" s="137"/>
      <c r="N5286" s="12"/>
      <c r="O5286" s="12"/>
      <c r="P5286" s="13">
        <f>IFERROR(__xludf.DUMMYFUNCTION("VALUE(SUBSTITUTE((INDEX(SPLIT(A5286,"",""),1)),""."","","",1))"),51.675632477)</f>
        <v>51.67563248</v>
      </c>
      <c r="Q5286" s="13">
        <f>IFERROR(__xludf.DUMMYFUNCTION("VALUE(SUBSTITUTE((INDEX(SPLIT(A5286,"",""),2)),""."","","",1))"),39.261024475)</f>
        <v>39.26102448</v>
      </c>
      <c r="R5286" s="14" t="b">
        <f t="shared" si="1"/>
        <v>0</v>
      </c>
      <c r="S5286" s="14" t="str">
        <f t="shared" si="2"/>
        <v>51.675632477,39.261024475</v>
      </c>
      <c r="T5286" s="12"/>
    </row>
    <row r="5287">
      <c r="A5287" s="146" t="s">
        <v>33910</v>
      </c>
      <c r="B5287" s="147" t="s">
        <v>33911</v>
      </c>
      <c r="C5287" s="147" t="s">
        <v>33912</v>
      </c>
      <c r="D5287" s="147" t="s">
        <v>33342</v>
      </c>
      <c r="E5287" s="148" t="s">
        <v>33913</v>
      </c>
      <c r="F5287" s="146" t="s">
        <v>9563</v>
      </c>
      <c r="G5287" s="146" t="s">
        <v>33344</v>
      </c>
      <c r="H5287" s="146"/>
      <c r="I5287" s="151" t="s">
        <v>33914</v>
      </c>
      <c r="J5287" s="147" t="s">
        <v>33915</v>
      </c>
      <c r="K5287" s="147" t="s">
        <v>33916</v>
      </c>
      <c r="L5287" s="149" t="s">
        <v>33917</v>
      </c>
      <c r="M5287" s="149" t="s">
        <v>33918</v>
      </c>
      <c r="N5287" s="12"/>
      <c r="O5287" s="12"/>
      <c r="P5287" s="13">
        <f>IFERROR(__xludf.DUMMYFUNCTION("VALUE(SUBSTITUTE((INDEX(SPLIT(A5287,"",""),1)),""."","","",1))"),51.685554504)</f>
        <v>51.6855545</v>
      </c>
      <c r="Q5287" s="13">
        <f>IFERROR(__xludf.DUMMYFUNCTION("VALUE(SUBSTITUTE((INDEX(SPLIT(A5287,"",""),2)),""."","","",1))"),39.122169495)</f>
        <v>39.1221695</v>
      </c>
      <c r="R5287" s="14" t="b">
        <f t="shared" si="1"/>
        <v>0</v>
      </c>
      <c r="S5287" s="14" t="str">
        <f t="shared" si="2"/>
        <v>51.685554504,39.122169495</v>
      </c>
      <c r="T5287" s="12"/>
    </row>
    <row r="5288">
      <c r="A5288" s="142" t="s">
        <v>33919</v>
      </c>
      <c r="B5288" s="143" t="s">
        <v>14943</v>
      </c>
      <c r="C5288" s="143" t="s">
        <v>33920</v>
      </c>
      <c r="D5288" s="143" t="s">
        <v>33342</v>
      </c>
      <c r="E5288" s="144" t="s">
        <v>33921</v>
      </c>
      <c r="F5288" s="142" t="s">
        <v>9563</v>
      </c>
      <c r="G5288" s="142" t="s">
        <v>33344</v>
      </c>
      <c r="H5288" s="142"/>
      <c r="I5288" s="143"/>
      <c r="J5288" s="143" t="s">
        <v>33922</v>
      </c>
      <c r="K5288" s="143" t="s">
        <v>33923</v>
      </c>
      <c r="L5288" s="145" t="s">
        <v>33924</v>
      </c>
      <c r="M5288" s="143"/>
      <c r="N5288" s="12"/>
      <c r="O5288" s="12"/>
      <c r="P5288" s="13">
        <f>IFERROR(__xludf.DUMMYFUNCTION("VALUE(SUBSTITUTE((INDEX(SPLIT(A5288,"",""),1)),""."","","",1))"),51.70003891)</f>
        <v>51.70003891</v>
      </c>
      <c r="Q5288" s="13">
        <f>IFERROR(__xludf.DUMMYFUNCTION("VALUE(SUBSTITUTE((INDEX(SPLIT(A5288,"",""),2)),""."","","",1))"),39.223461151)</f>
        <v>39.22346115</v>
      </c>
      <c r="R5288" s="14" t="b">
        <f t="shared" si="1"/>
        <v>0</v>
      </c>
      <c r="S5288" s="14" t="str">
        <f t="shared" si="2"/>
        <v>51.70003891,39.223461151</v>
      </c>
      <c r="T5288" s="12"/>
    </row>
    <row r="5289">
      <c r="A5289" s="146" t="s">
        <v>33925</v>
      </c>
      <c r="B5289" s="147" t="s">
        <v>19199</v>
      </c>
      <c r="C5289" s="147" t="s">
        <v>18252</v>
      </c>
      <c r="D5289" s="147" t="s">
        <v>33342</v>
      </c>
      <c r="E5289" s="148" t="s">
        <v>33926</v>
      </c>
      <c r="F5289" s="146" t="s">
        <v>9563</v>
      </c>
      <c r="G5289" s="146" t="s">
        <v>33344</v>
      </c>
      <c r="H5289" s="146"/>
      <c r="I5289" s="147"/>
      <c r="J5289" s="147" t="s">
        <v>33927</v>
      </c>
      <c r="K5289" s="147" t="s">
        <v>33928</v>
      </c>
      <c r="L5289" s="149" t="s">
        <v>33929</v>
      </c>
      <c r="M5289" s="147"/>
      <c r="N5289" s="12"/>
      <c r="O5289" s="12"/>
      <c r="P5289" s="13">
        <f>IFERROR(__xludf.DUMMYFUNCTION("VALUE(SUBSTITUTE((INDEX(SPLIT(A5289,"",""),1)),""."","","",1))"),51.704502106)</f>
        <v>51.70450211</v>
      </c>
      <c r="Q5289" s="13">
        <f>IFERROR(__xludf.DUMMYFUNCTION("VALUE(SUBSTITUTE((INDEX(SPLIT(A5289,"",""),2)),""."","","",1))"),39.152835846)</f>
        <v>39.15283585</v>
      </c>
      <c r="R5289" s="14" t="b">
        <f t="shared" si="1"/>
        <v>0</v>
      </c>
      <c r="S5289" s="14" t="str">
        <f t="shared" si="2"/>
        <v>51.704502106,39.152835846</v>
      </c>
      <c r="T5289" s="12"/>
    </row>
    <row r="5290">
      <c r="A5290" s="142" t="s">
        <v>33930</v>
      </c>
      <c r="B5290" s="143" t="s">
        <v>33931</v>
      </c>
      <c r="C5290" s="143" t="s">
        <v>33932</v>
      </c>
      <c r="D5290" s="143" t="s">
        <v>33342</v>
      </c>
      <c r="E5290" s="144" t="s">
        <v>33933</v>
      </c>
      <c r="F5290" s="142" t="s">
        <v>12912</v>
      </c>
      <c r="G5290" s="142" t="s">
        <v>33344</v>
      </c>
      <c r="H5290" s="142"/>
      <c r="I5290" s="143"/>
      <c r="J5290" s="143" t="s">
        <v>33934</v>
      </c>
      <c r="K5290" s="143" t="s">
        <v>4020</v>
      </c>
      <c r="L5290" s="152" t="s">
        <v>33935</v>
      </c>
      <c r="M5290" s="143"/>
      <c r="N5290" s="12"/>
      <c r="O5290" s="12"/>
      <c r="P5290" s="13">
        <f>IFERROR(__xludf.DUMMYFUNCTION("VALUE(SUBSTITUTE((INDEX(SPLIT(A5290,"",""),1)),""."","","",1))"),51.759250641)</f>
        <v>51.75925064</v>
      </c>
      <c r="Q5290" s="13">
        <f>IFERROR(__xludf.DUMMYFUNCTION("VALUE(SUBSTITUTE((INDEX(SPLIT(A5290,"",""),2)),""."","","",1))"),49.333236694)</f>
        <v>49.33323669</v>
      </c>
      <c r="R5290" s="14" t="b">
        <f t="shared" si="1"/>
        <v>0</v>
      </c>
      <c r="S5290" s="14" t="str">
        <f t="shared" si="2"/>
        <v>51.759250641,49.333236694</v>
      </c>
      <c r="T5290" s="12"/>
    </row>
    <row r="5291">
      <c r="A5291" s="139" t="s">
        <v>33936</v>
      </c>
      <c r="B5291" s="140" t="s">
        <v>33937</v>
      </c>
      <c r="C5291" s="140" t="s">
        <v>33938</v>
      </c>
      <c r="D5291" s="140" t="s">
        <v>33342</v>
      </c>
      <c r="E5291" s="141" t="s">
        <v>33939</v>
      </c>
      <c r="F5291" s="139" t="s">
        <v>23165</v>
      </c>
      <c r="G5291" s="139" t="s">
        <v>33344</v>
      </c>
      <c r="H5291" s="139"/>
      <c r="I5291" s="140"/>
      <c r="J5291" s="140" t="s">
        <v>33940</v>
      </c>
      <c r="K5291" s="140" t="s">
        <v>33941</v>
      </c>
      <c r="L5291" s="140"/>
      <c r="M5291" s="140"/>
      <c r="N5291" s="12"/>
      <c r="O5291" s="12"/>
      <c r="P5291" s="13">
        <f>IFERROR(__xludf.DUMMYFUNCTION("VALUE(SUBSTITUTE((INDEX(SPLIT(A5291,"",""),1)),""."","","",1))"),51.765907288)</f>
        <v>51.76590729</v>
      </c>
      <c r="Q5291" s="13">
        <f>IFERROR(__xludf.DUMMYFUNCTION("VALUE(SUBSTITUTE((INDEX(SPLIT(A5291,"",""),2)),""."","","",1))"),55.295253754)</f>
        <v>55.29525375</v>
      </c>
      <c r="R5291" s="14" t="b">
        <f t="shared" si="1"/>
        <v>0</v>
      </c>
      <c r="S5291" s="14" t="str">
        <f t="shared" si="2"/>
        <v>51.765907288,55.295253754</v>
      </c>
      <c r="T5291" s="12"/>
    </row>
    <row r="5292">
      <c r="A5292" s="136" t="s">
        <v>33942</v>
      </c>
      <c r="B5292" s="137" t="s">
        <v>33943</v>
      </c>
      <c r="C5292" s="137" t="s">
        <v>33944</v>
      </c>
      <c r="D5292" s="137" t="s">
        <v>33342</v>
      </c>
      <c r="E5292" s="138" t="s">
        <v>33945</v>
      </c>
      <c r="F5292" s="136" t="s">
        <v>58</v>
      </c>
      <c r="G5292" s="136" t="s">
        <v>33344</v>
      </c>
      <c r="H5292" s="136"/>
      <c r="I5292" s="137"/>
      <c r="J5292" s="137" t="s">
        <v>23411</v>
      </c>
      <c r="K5292" s="137" t="s">
        <v>33946</v>
      </c>
      <c r="L5292" s="137"/>
      <c r="M5292" s="137"/>
      <c r="N5292" s="12"/>
      <c r="O5292" s="12"/>
      <c r="P5292" s="13">
        <f>IFERROR(__xludf.DUMMYFUNCTION("VALUE(SUBSTITUTE((INDEX(SPLIT(A5292,"",""),1)),""."","","",1))"),51.785286763583)</f>
        <v>51.78528676</v>
      </c>
      <c r="Q5292" s="13">
        <f>IFERROR(__xludf.DUMMYFUNCTION("VALUE(SUBSTITUTE((INDEX(SPLIT(A5292,"",""),2)),""."","","",1))"),107.57445964384)</f>
        <v>107.5744596</v>
      </c>
      <c r="R5292" s="14" t="b">
        <f t="shared" si="1"/>
        <v>0</v>
      </c>
      <c r="S5292" s="14" t="str">
        <f t="shared" si="2"/>
        <v>51.785286763583,107.57445964384</v>
      </c>
      <c r="T5292" s="12"/>
    </row>
    <row r="5293">
      <c r="A5293" s="146" t="s">
        <v>33947</v>
      </c>
      <c r="B5293" s="147" t="s">
        <v>33948</v>
      </c>
      <c r="C5293" s="147" t="s">
        <v>33949</v>
      </c>
      <c r="D5293" s="147" t="s">
        <v>33342</v>
      </c>
      <c r="E5293" s="148" t="s">
        <v>33950</v>
      </c>
      <c r="F5293" s="146" t="s">
        <v>23165</v>
      </c>
      <c r="G5293" s="146" t="s">
        <v>33344</v>
      </c>
      <c r="H5293" s="146"/>
      <c r="I5293" s="147"/>
      <c r="J5293" s="147" t="s">
        <v>33951</v>
      </c>
      <c r="K5293" s="147" t="s">
        <v>33952</v>
      </c>
      <c r="L5293" s="149" t="s">
        <v>33953</v>
      </c>
      <c r="M5293" s="147"/>
      <c r="N5293" s="12"/>
      <c r="O5293" s="12"/>
      <c r="P5293" s="13">
        <f>IFERROR(__xludf.DUMMYFUNCTION("VALUE(SUBSTITUTE((INDEX(SPLIT(A5293,"",""),1)),""."","","",1))"),51.800270081)</f>
        <v>51.80027008</v>
      </c>
      <c r="Q5293" s="13">
        <f>IFERROR(__xludf.DUMMYFUNCTION("VALUE(SUBSTITUTE((INDEX(SPLIT(A5293,"",""),2)),""."","","",1))"),55.144428253)</f>
        <v>55.14442825</v>
      </c>
      <c r="R5293" s="14" t="b">
        <f t="shared" si="1"/>
        <v>0</v>
      </c>
      <c r="S5293" s="14" t="str">
        <f t="shared" si="2"/>
        <v>51.800270081,55.144428253</v>
      </c>
      <c r="T5293" s="12"/>
    </row>
    <row r="5294">
      <c r="A5294" s="142" t="s">
        <v>33954</v>
      </c>
      <c r="B5294" s="143" t="s">
        <v>33955</v>
      </c>
      <c r="C5294" s="143" t="s">
        <v>33956</v>
      </c>
      <c r="D5294" s="143" t="s">
        <v>33342</v>
      </c>
      <c r="E5294" s="144" t="s">
        <v>33957</v>
      </c>
      <c r="F5294" s="142" t="s">
        <v>58</v>
      </c>
      <c r="G5294" s="142" t="s">
        <v>33344</v>
      </c>
      <c r="H5294" s="142"/>
      <c r="I5294" s="143"/>
      <c r="J5294" s="143" t="s">
        <v>33958</v>
      </c>
      <c r="K5294" s="143" t="s">
        <v>33959</v>
      </c>
      <c r="L5294" s="152" t="s">
        <v>33960</v>
      </c>
      <c r="M5294" s="143"/>
      <c r="N5294" s="12"/>
      <c r="O5294" s="12"/>
      <c r="P5294" s="13">
        <f>IFERROR(__xludf.DUMMYFUNCTION("VALUE(SUBSTITUTE((INDEX(SPLIT(A5294,"",""),1)),""."","","",1))"),51.834013826136)</f>
        <v>51.83401383</v>
      </c>
      <c r="Q5294" s="13">
        <f>IFERROR(__xludf.DUMMYFUNCTION("VALUE(SUBSTITUTE((INDEX(SPLIT(A5294,"",""),2)),""."","","",1))"),107.58216403778)</f>
        <v>107.582164</v>
      </c>
      <c r="R5294" s="14" t="b">
        <f t="shared" si="1"/>
        <v>0</v>
      </c>
      <c r="S5294" s="14" t="str">
        <f t="shared" si="2"/>
        <v>51.834013826136,107.58216403778</v>
      </c>
      <c r="T5294" s="12"/>
    </row>
    <row r="5295">
      <c r="A5295" s="146" t="s">
        <v>33961</v>
      </c>
      <c r="B5295" s="147" t="s">
        <v>33962</v>
      </c>
      <c r="C5295" s="147" t="s">
        <v>33963</v>
      </c>
      <c r="D5295" s="147" t="s">
        <v>33342</v>
      </c>
      <c r="E5295" s="148" t="s">
        <v>33964</v>
      </c>
      <c r="F5295" s="146" t="s">
        <v>4327</v>
      </c>
      <c r="G5295" s="146" t="s">
        <v>33344</v>
      </c>
      <c r="H5295" s="146"/>
      <c r="I5295" s="147"/>
      <c r="J5295" s="147" t="s">
        <v>33965</v>
      </c>
      <c r="K5295" s="147" t="s">
        <v>33966</v>
      </c>
      <c r="L5295" s="149" t="s">
        <v>33967</v>
      </c>
      <c r="M5295" s="147"/>
      <c r="N5295" s="12"/>
      <c r="O5295" s="12"/>
      <c r="P5295" s="13">
        <f>IFERROR(__xludf.DUMMYFUNCTION("VALUE(SUBSTITUTE((INDEX(SPLIT(A5295,"",""),1)),""."","","",1))"),52.024120331)</f>
        <v>52.02412033</v>
      </c>
      <c r="Q5295" s="13">
        <f>IFERROR(__xludf.DUMMYFUNCTION("VALUE(SUBSTITUTE((INDEX(SPLIT(A5295,"",""),2)),""."","","",1))"),34.486431122)</f>
        <v>34.48643112</v>
      </c>
      <c r="R5295" s="14" t="b">
        <f t="shared" si="1"/>
        <v>0</v>
      </c>
      <c r="S5295" s="14" t="str">
        <f t="shared" si="2"/>
        <v>52.024120331,34.486431122</v>
      </c>
      <c r="T5295" s="12"/>
    </row>
    <row r="5296">
      <c r="A5296" s="142" t="s">
        <v>33968</v>
      </c>
      <c r="B5296" s="143" t="s">
        <v>33969</v>
      </c>
      <c r="C5296" s="143" t="s">
        <v>33970</v>
      </c>
      <c r="D5296" s="143" t="s">
        <v>33342</v>
      </c>
      <c r="E5296" s="144" t="s">
        <v>33971</v>
      </c>
      <c r="F5296" s="142" t="s">
        <v>12717</v>
      </c>
      <c r="G5296" s="142" t="s">
        <v>33344</v>
      </c>
      <c r="H5296" s="142"/>
      <c r="I5296" s="143"/>
      <c r="J5296" s="143" t="s">
        <v>33972</v>
      </c>
      <c r="K5296" s="143" t="s">
        <v>33973</v>
      </c>
      <c r="L5296" s="145" t="s">
        <v>33974</v>
      </c>
      <c r="M5296" s="143"/>
      <c r="N5296" s="12"/>
      <c r="O5296" s="12"/>
      <c r="P5296" s="13">
        <f>IFERROR(__xludf.DUMMYFUNCTION("VALUE(SUBSTITUTE((INDEX(SPLIT(A5296,"",""),1)),""."","","",1))"),52.034526825)</f>
        <v>52.03452683</v>
      </c>
      <c r="Q5296" s="13">
        <f>IFERROR(__xludf.DUMMYFUNCTION("VALUE(SUBSTITUTE((INDEX(SPLIT(A5296,"",""),2)),""."","","",1))"),113.499580383)</f>
        <v>113.4995804</v>
      </c>
      <c r="R5296" s="14" t="b">
        <f t="shared" si="1"/>
        <v>0</v>
      </c>
      <c r="S5296" s="14" t="str">
        <f t="shared" si="2"/>
        <v>52.034526825,113.499580383</v>
      </c>
      <c r="T5296" s="12"/>
    </row>
    <row r="5297">
      <c r="A5297" s="139" t="s">
        <v>33975</v>
      </c>
      <c r="B5297" s="140" t="s">
        <v>33976</v>
      </c>
      <c r="C5297" s="140" t="s">
        <v>33977</v>
      </c>
      <c r="D5297" s="140" t="s">
        <v>33342</v>
      </c>
      <c r="E5297" s="141" t="s">
        <v>33978</v>
      </c>
      <c r="F5297" s="139" t="s">
        <v>738</v>
      </c>
      <c r="G5297" s="139" t="s">
        <v>33344</v>
      </c>
      <c r="H5297" s="139"/>
      <c r="I5297" s="140"/>
      <c r="J5297" s="140" t="s">
        <v>33979</v>
      </c>
      <c r="K5297" s="140" t="s">
        <v>33980</v>
      </c>
      <c r="L5297" s="140"/>
      <c r="M5297" s="140"/>
      <c r="N5297" s="12"/>
      <c r="O5297" s="12"/>
      <c r="P5297" s="13">
        <f>IFERROR(__xludf.DUMMYFUNCTION("VALUE(SUBSTITUTE((INDEX(SPLIT(A5297,"",""),1)),""."","","",1))"),52.039775848)</f>
        <v>52.03977585</v>
      </c>
      <c r="Q5297" s="13">
        <f>IFERROR(__xludf.DUMMYFUNCTION("VALUE(SUBSTITUTE((INDEX(SPLIT(A5297,"",""),2)),""."","","",1))"),113.496299744)</f>
        <v>113.4962997</v>
      </c>
      <c r="R5297" s="14" t="b">
        <f t="shared" si="1"/>
        <v>0</v>
      </c>
      <c r="S5297" s="14" t="str">
        <f t="shared" si="2"/>
        <v>52.039775848,113.496299744</v>
      </c>
      <c r="T5297" s="12"/>
    </row>
    <row r="5298">
      <c r="A5298" s="136" t="s">
        <v>33981</v>
      </c>
      <c r="B5298" s="137" t="s">
        <v>33982</v>
      </c>
      <c r="C5298" s="137" t="s">
        <v>33983</v>
      </c>
      <c r="D5298" s="137" t="s">
        <v>33342</v>
      </c>
      <c r="E5298" s="138" t="s">
        <v>33984</v>
      </c>
      <c r="F5298" s="136" t="s">
        <v>18</v>
      </c>
      <c r="G5298" s="136" t="s">
        <v>33344</v>
      </c>
      <c r="H5298" s="136"/>
      <c r="I5298" s="137"/>
      <c r="J5298" s="137" t="s">
        <v>33985</v>
      </c>
      <c r="K5298" s="137" t="s">
        <v>33986</v>
      </c>
      <c r="L5298" s="137"/>
      <c r="M5298" s="137"/>
      <c r="N5298" s="12"/>
      <c r="O5298" s="12"/>
      <c r="P5298" s="13">
        <f>IFERROR(__xludf.DUMMYFUNCTION("VALUE(SUBSTITUTE((INDEX(SPLIT(A5298,"",""),1)),""."","","",1))"),52.27633667)</f>
        <v>52.27633667</v>
      </c>
      <c r="Q5298" s="13">
        <f>IFERROR(__xludf.DUMMYFUNCTION("VALUE(SUBSTITUTE((INDEX(SPLIT(A5298,"",""),2)),""."","","",1))"),104.290359497)</f>
        <v>104.2903595</v>
      </c>
      <c r="R5298" s="14" t="b">
        <f t="shared" si="1"/>
        <v>0</v>
      </c>
      <c r="S5298" s="14" t="str">
        <f t="shared" si="2"/>
        <v>52.27633667,104.290359497</v>
      </c>
      <c r="T5298" s="12"/>
    </row>
    <row r="5299">
      <c r="A5299" s="146" t="s">
        <v>33987</v>
      </c>
      <c r="B5299" s="147" t="s">
        <v>33988</v>
      </c>
      <c r="C5299" s="147" t="s">
        <v>33989</v>
      </c>
      <c r="D5299" s="147" t="s">
        <v>33342</v>
      </c>
      <c r="E5299" s="148" t="s">
        <v>33990</v>
      </c>
      <c r="F5299" s="146" t="s">
        <v>18</v>
      </c>
      <c r="G5299" s="146" t="s">
        <v>33344</v>
      </c>
      <c r="H5299" s="146"/>
      <c r="I5299" s="147"/>
      <c r="J5299" s="147" t="s">
        <v>33991</v>
      </c>
      <c r="K5299" s="147" t="s">
        <v>33992</v>
      </c>
      <c r="L5299" s="149" t="s">
        <v>33993</v>
      </c>
      <c r="M5299" s="147"/>
      <c r="N5299" s="12"/>
      <c r="O5299" s="12"/>
      <c r="P5299" s="13">
        <f>IFERROR(__xludf.DUMMYFUNCTION("VALUE(SUBSTITUTE((INDEX(SPLIT(A5299,"",""),1)),""."","","",1))"),52.27885437)</f>
        <v>52.27885437</v>
      </c>
      <c r="Q5299" s="13">
        <f>IFERROR(__xludf.DUMMYFUNCTION("VALUE(SUBSTITUTE((INDEX(SPLIT(A5299,"",""),2)),""."","","",1))"),104.202880859)</f>
        <v>104.2028809</v>
      </c>
      <c r="R5299" s="14" t="b">
        <f t="shared" si="1"/>
        <v>0</v>
      </c>
      <c r="S5299" s="14" t="str">
        <f t="shared" si="2"/>
        <v>52.27885437,104.202880859</v>
      </c>
      <c r="T5299" s="12"/>
    </row>
    <row r="5300">
      <c r="A5300" s="136" t="s">
        <v>33994</v>
      </c>
      <c r="B5300" s="137" t="s">
        <v>33995</v>
      </c>
      <c r="C5300" s="137" t="s">
        <v>33995</v>
      </c>
      <c r="D5300" s="137" t="s">
        <v>33342</v>
      </c>
      <c r="E5300" s="138" t="s">
        <v>33996</v>
      </c>
      <c r="F5300" s="136" t="s">
        <v>7052</v>
      </c>
      <c r="G5300" s="136" t="s">
        <v>33344</v>
      </c>
      <c r="H5300" s="136"/>
      <c r="I5300" s="156" t="s">
        <v>33997</v>
      </c>
      <c r="J5300" s="137" t="s">
        <v>33998</v>
      </c>
      <c r="K5300" s="137" t="s">
        <v>33999</v>
      </c>
      <c r="L5300" s="137"/>
      <c r="M5300" s="153" t="s">
        <v>34000</v>
      </c>
      <c r="N5300" s="12"/>
      <c r="O5300" s="12"/>
      <c r="P5300" s="13">
        <f>IFERROR(__xludf.DUMMYFUNCTION("VALUE(SUBSTITUTE((INDEX(SPLIT(A5300,"",""),1)),""."","","",1))"),52.341175079)</f>
        <v>52.34117508</v>
      </c>
      <c r="Q5300" s="13">
        <f>IFERROR(__xludf.DUMMYFUNCTION("VALUE(SUBSTITUTE((INDEX(SPLIT(A5300,"",""),2)),""."","","",1))"),35.357330322)</f>
        <v>35.35733032</v>
      </c>
      <c r="R5300" s="14" t="b">
        <f t="shared" si="1"/>
        <v>0</v>
      </c>
      <c r="S5300" s="14" t="str">
        <f t="shared" si="2"/>
        <v>52.341175079,35.357330322</v>
      </c>
      <c r="T5300" s="12"/>
    </row>
    <row r="5301">
      <c r="A5301" s="139" t="s">
        <v>34001</v>
      </c>
      <c r="B5301" s="140" t="s">
        <v>34002</v>
      </c>
      <c r="C5301" s="140" t="s">
        <v>34003</v>
      </c>
      <c r="D5301" s="140" t="s">
        <v>33342</v>
      </c>
      <c r="E5301" s="141" t="s">
        <v>34004</v>
      </c>
      <c r="F5301" s="139" t="s">
        <v>18</v>
      </c>
      <c r="G5301" s="139" t="s">
        <v>33344</v>
      </c>
      <c r="H5301" s="139"/>
      <c r="I5301" s="140"/>
      <c r="J5301" s="140" t="s">
        <v>34005</v>
      </c>
      <c r="K5301" s="140" t="s">
        <v>23641</v>
      </c>
      <c r="L5301" s="140"/>
      <c r="M5301" s="140"/>
      <c r="N5301" s="12"/>
      <c r="O5301" s="12"/>
      <c r="P5301" s="13">
        <f>IFERROR(__xludf.DUMMYFUNCTION("VALUE(SUBSTITUTE((INDEX(SPLIT(A5301,"",""),1)),""."","","",1))"),52.350135803)</f>
        <v>52.3501358</v>
      </c>
      <c r="Q5301" s="13">
        <f>IFERROR(__xludf.DUMMYFUNCTION("VALUE(SUBSTITUTE((INDEX(SPLIT(A5301,"",""),2)),""."","","",1))"),104.263824463)</f>
        <v>104.2638245</v>
      </c>
      <c r="R5301" s="14" t="b">
        <f t="shared" si="1"/>
        <v>0</v>
      </c>
      <c r="S5301" s="14" t="str">
        <f t="shared" si="2"/>
        <v>52.350135803,104.263824463</v>
      </c>
      <c r="T5301" s="12"/>
    </row>
    <row r="5302">
      <c r="A5302" s="136" t="s">
        <v>34006</v>
      </c>
      <c r="B5302" s="137" t="s">
        <v>34007</v>
      </c>
      <c r="C5302" s="137" t="s">
        <v>34008</v>
      </c>
      <c r="D5302" s="137" t="s">
        <v>33342</v>
      </c>
      <c r="E5302" s="138" t="s">
        <v>34009</v>
      </c>
      <c r="F5302" s="136" t="s">
        <v>23165</v>
      </c>
      <c r="G5302" s="136" t="s">
        <v>33344</v>
      </c>
      <c r="H5302" s="136"/>
      <c r="I5302" s="137"/>
      <c r="J5302" s="137" t="s">
        <v>34010</v>
      </c>
      <c r="K5302" s="137" t="s">
        <v>34011</v>
      </c>
      <c r="L5302" s="137"/>
      <c r="M5302" s="137"/>
      <c r="N5302" s="12"/>
      <c r="O5302" s="12"/>
      <c r="P5302" s="13">
        <f>IFERROR(__xludf.DUMMYFUNCTION("VALUE(SUBSTITUTE((INDEX(SPLIT(A5302,"",""),1)),""."","","",1))"),52.523586273)</f>
        <v>52.52358627</v>
      </c>
      <c r="Q5302" s="13">
        <f>IFERROR(__xludf.DUMMYFUNCTION("VALUE(SUBSTITUTE((INDEX(SPLIT(A5302,"",""),2)),""."","","",1))"),52.735462189)</f>
        <v>52.73546219</v>
      </c>
      <c r="R5302" s="14" t="b">
        <f t="shared" si="1"/>
        <v>0</v>
      </c>
      <c r="S5302" s="14" t="str">
        <f t="shared" si="2"/>
        <v>52.523586273,52.735462189</v>
      </c>
      <c r="T5302" s="12"/>
    </row>
    <row r="5303">
      <c r="A5303" s="146" t="s">
        <v>34012</v>
      </c>
      <c r="B5303" s="147" t="s">
        <v>34013</v>
      </c>
      <c r="C5303" s="147" t="s">
        <v>34014</v>
      </c>
      <c r="D5303" s="147" t="s">
        <v>33342</v>
      </c>
      <c r="E5303" s="148" t="s">
        <v>34015</v>
      </c>
      <c r="F5303" s="146" t="s">
        <v>15475</v>
      </c>
      <c r="G5303" s="146" t="s">
        <v>33344</v>
      </c>
      <c r="H5303" s="146"/>
      <c r="I5303" s="147"/>
      <c r="J5303" s="147" t="s">
        <v>34016</v>
      </c>
      <c r="K5303" s="147" t="s">
        <v>34017</v>
      </c>
      <c r="L5303" s="149" t="s">
        <v>34018</v>
      </c>
      <c r="M5303" s="147"/>
      <c r="N5303" s="12"/>
      <c r="O5303" s="12"/>
      <c r="P5303" s="13">
        <f>IFERROR(__xludf.DUMMYFUNCTION("VALUE(SUBSTITUTE((INDEX(SPLIT(A5303,"",""),1)),""."","","",1))"),52.605329365671)</f>
        <v>52.60532937</v>
      </c>
      <c r="Q5303" s="13">
        <f>IFERROR(__xludf.DUMMYFUNCTION("VALUE(SUBSTITUTE((INDEX(SPLIT(A5303,"",""),2)),""."","","",1))"),41.527595992768)</f>
        <v>41.52759599</v>
      </c>
      <c r="R5303" s="14" t="b">
        <f t="shared" si="1"/>
        <v>0</v>
      </c>
      <c r="S5303" s="14" t="str">
        <f t="shared" si="2"/>
        <v>52.605329365671,41.527595992768</v>
      </c>
      <c r="T5303" s="12"/>
    </row>
    <row r="5304">
      <c r="A5304" s="142" t="s">
        <v>34019</v>
      </c>
      <c r="B5304" s="143" t="s">
        <v>34020</v>
      </c>
      <c r="C5304" s="143" t="s">
        <v>34021</v>
      </c>
      <c r="D5304" s="143" t="s">
        <v>33342</v>
      </c>
      <c r="E5304" s="144" t="s">
        <v>34022</v>
      </c>
      <c r="F5304" s="142" t="s">
        <v>15475</v>
      </c>
      <c r="G5304" s="142" t="s">
        <v>33344</v>
      </c>
      <c r="H5304" s="142"/>
      <c r="I5304" s="143"/>
      <c r="J5304" s="143" t="s">
        <v>34023</v>
      </c>
      <c r="K5304" s="143" t="s">
        <v>34024</v>
      </c>
      <c r="L5304" s="152" t="s">
        <v>34025</v>
      </c>
      <c r="M5304" s="143"/>
      <c r="N5304" s="12"/>
      <c r="O5304" s="12"/>
      <c r="P5304" s="13">
        <f>IFERROR(__xludf.DUMMYFUNCTION("VALUE(SUBSTITUTE((INDEX(SPLIT(A5304,"",""),1)),""."","","",1))"),52.654449463)</f>
        <v>52.65444946</v>
      </c>
      <c r="Q5304" s="13">
        <f>IFERROR(__xludf.DUMMYFUNCTION("VALUE(SUBSTITUTE((INDEX(SPLIT(A5304,"",""),2)),""."","","",1))"),41.450180054)</f>
        <v>41.45018005</v>
      </c>
      <c r="R5304" s="14" t="b">
        <f t="shared" si="1"/>
        <v>0</v>
      </c>
      <c r="S5304" s="14" t="str">
        <f t="shared" si="2"/>
        <v>52.654449463,41.450180054</v>
      </c>
      <c r="T5304" s="12"/>
    </row>
    <row r="5305">
      <c r="A5305" s="146" t="s">
        <v>34026</v>
      </c>
      <c r="B5305" s="147" t="s">
        <v>34027</v>
      </c>
      <c r="C5305" s="147" t="s">
        <v>34028</v>
      </c>
      <c r="D5305" s="147" t="s">
        <v>33342</v>
      </c>
      <c r="E5305" s="148" t="s">
        <v>34029</v>
      </c>
      <c r="F5305" s="146" t="s">
        <v>21049</v>
      </c>
      <c r="G5305" s="146" t="s">
        <v>33344</v>
      </c>
      <c r="H5305" s="146"/>
      <c r="I5305" s="147"/>
      <c r="J5305" s="147" t="s">
        <v>34030</v>
      </c>
      <c r="K5305" s="147" t="s">
        <v>34031</v>
      </c>
      <c r="L5305" s="149" t="s">
        <v>34032</v>
      </c>
      <c r="M5305" s="147"/>
      <c r="N5305" s="12"/>
      <c r="O5305" s="12"/>
      <c r="P5305" s="13">
        <f>IFERROR(__xludf.DUMMYFUNCTION("VALUE(SUBSTITUTE((INDEX(SPLIT(A5305,"",""),1)),""."","","",1))"),52.938289642)</f>
        <v>52.93828964</v>
      </c>
      <c r="Q5305" s="13">
        <f>IFERROR(__xludf.DUMMYFUNCTION("VALUE(SUBSTITUTE((INDEX(SPLIT(A5305,"",""),2)),""."","","",1))"),49.679958344)</f>
        <v>49.67995834</v>
      </c>
      <c r="R5305" s="14" t="b">
        <f t="shared" si="1"/>
        <v>0</v>
      </c>
      <c r="S5305" s="14" t="str">
        <f t="shared" si="2"/>
        <v>52.938289642,49.679958344</v>
      </c>
      <c r="T5305" s="12"/>
    </row>
    <row r="5306">
      <c r="A5306" s="136" t="s">
        <v>34033</v>
      </c>
      <c r="B5306" s="137" t="s">
        <v>34034</v>
      </c>
      <c r="C5306" s="137" t="s">
        <v>34035</v>
      </c>
      <c r="D5306" s="137" t="s">
        <v>33342</v>
      </c>
      <c r="E5306" s="138" t="s">
        <v>34036</v>
      </c>
      <c r="F5306" s="136" t="s">
        <v>15475</v>
      </c>
      <c r="G5306" s="136" t="s">
        <v>33344</v>
      </c>
      <c r="H5306" s="136"/>
      <c r="I5306" s="137"/>
      <c r="J5306" s="137" t="s">
        <v>34037</v>
      </c>
      <c r="K5306" s="137" t="s">
        <v>34038</v>
      </c>
      <c r="L5306" s="137"/>
      <c r="M5306" s="137"/>
      <c r="N5306" s="12"/>
      <c r="O5306" s="12"/>
      <c r="P5306" s="13">
        <f>IFERROR(__xludf.DUMMYFUNCTION("VALUE(SUBSTITUTE((INDEX(SPLIT(A5306,"",""),1)),""."","","",1))"),52.943080518189)</f>
        <v>52.94308052</v>
      </c>
      <c r="Q5306" s="13">
        <f>IFERROR(__xludf.DUMMYFUNCTION("VALUE(SUBSTITUTE((INDEX(SPLIT(A5306,"",""),2)),""."","","",1))"),42.033996831403)</f>
        <v>42.03399683</v>
      </c>
      <c r="R5306" s="14" t="b">
        <f t="shared" si="1"/>
        <v>0</v>
      </c>
      <c r="S5306" s="14" t="str">
        <f t="shared" si="2"/>
        <v>52.943080518189,42.033996831403</v>
      </c>
      <c r="T5306" s="12"/>
    </row>
    <row r="5307">
      <c r="A5307" s="139" t="s">
        <v>34039</v>
      </c>
      <c r="B5307" s="140" t="s">
        <v>34040</v>
      </c>
      <c r="C5307" s="140" t="s">
        <v>34041</v>
      </c>
      <c r="D5307" s="140" t="s">
        <v>33342</v>
      </c>
      <c r="E5307" s="141" t="s">
        <v>34042</v>
      </c>
      <c r="F5307" s="139" t="s">
        <v>16731</v>
      </c>
      <c r="G5307" s="139" t="s">
        <v>33344</v>
      </c>
      <c r="H5307" s="139"/>
      <c r="I5307" s="140"/>
      <c r="J5307" s="140" t="s">
        <v>34043</v>
      </c>
      <c r="K5307" s="140" t="s">
        <v>34044</v>
      </c>
      <c r="L5307" s="140"/>
      <c r="M5307" s="140"/>
      <c r="N5307" s="12"/>
      <c r="O5307" s="12"/>
      <c r="P5307" s="13">
        <f>IFERROR(__xludf.DUMMYFUNCTION("VALUE(SUBSTITUTE((INDEX(SPLIT(A5307,"",""),1)),""."","","",1))"),52.991046906)</f>
        <v>52.99104691</v>
      </c>
      <c r="Q5307" s="13">
        <f>IFERROR(__xludf.DUMMYFUNCTION("VALUE(SUBSTITUTE((INDEX(SPLIT(A5307,"",""),2)),""."","","",1))"),78.647949219)</f>
        <v>78.64794922</v>
      </c>
      <c r="R5307" s="14" t="b">
        <f t="shared" si="1"/>
        <v>0</v>
      </c>
      <c r="S5307" s="14" t="str">
        <f t="shared" si="2"/>
        <v>52.991046906,78.647949219</v>
      </c>
      <c r="T5307" s="12"/>
    </row>
    <row r="5308">
      <c r="A5308" s="136" t="s">
        <v>34045</v>
      </c>
      <c r="B5308" s="137" t="s">
        <v>34046</v>
      </c>
      <c r="C5308" s="137" t="s">
        <v>34047</v>
      </c>
      <c r="D5308" s="137" t="s">
        <v>33342</v>
      </c>
      <c r="E5308" s="138" t="s">
        <v>34048</v>
      </c>
      <c r="F5308" s="136" t="s">
        <v>2558</v>
      </c>
      <c r="G5308" s="136" t="s">
        <v>33344</v>
      </c>
      <c r="H5308" s="136"/>
      <c r="I5308" s="137"/>
      <c r="J5308" s="137" t="s">
        <v>34049</v>
      </c>
      <c r="K5308" s="137" t="s">
        <v>34050</v>
      </c>
      <c r="L5308" s="137"/>
      <c r="M5308" s="137"/>
      <c r="N5308" s="12"/>
      <c r="O5308" s="12"/>
      <c r="P5308" s="13">
        <f>IFERROR(__xludf.DUMMYFUNCTION("VALUE(SUBSTITUTE((INDEX(SPLIT(A5308,"",""),1)),""."","","",1))"),53.052310944)</f>
        <v>53.05231094</v>
      </c>
      <c r="Q5308" s="13">
        <f>IFERROR(__xludf.DUMMYFUNCTION("VALUE(SUBSTITUTE((INDEX(SPLIT(A5308,"",""),2)),""."","","",1))"),158.632919312)</f>
        <v>158.6329193</v>
      </c>
      <c r="R5308" s="14" t="b">
        <f t="shared" si="1"/>
        <v>0</v>
      </c>
      <c r="S5308" s="14" t="str">
        <f t="shared" si="2"/>
        <v>53.052310944,158.632919312</v>
      </c>
      <c r="T5308" s="12"/>
    </row>
    <row r="5309">
      <c r="A5309" s="139" t="s">
        <v>34051</v>
      </c>
      <c r="B5309" s="140" t="s">
        <v>34052</v>
      </c>
      <c r="C5309" s="140" t="s">
        <v>34053</v>
      </c>
      <c r="D5309" s="140" t="s">
        <v>33342</v>
      </c>
      <c r="E5309" s="141" t="s">
        <v>34054</v>
      </c>
      <c r="F5309" s="139" t="s">
        <v>21049</v>
      </c>
      <c r="G5309" s="139" t="s">
        <v>33344</v>
      </c>
      <c r="H5309" s="139"/>
      <c r="I5309" s="157" t="s">
        <v>34055</v>
      </c>
      <c r="J5309" s="140" t="s">
        <v>34056</v>
      </c>
      <c r="K5309" s="140" t="s">
        <v>34057</v>
      </c>
      <c r="L5309" s="140"/>
      <c r="M5309" s="154" t="s">
        <v>34058</v>
      </c>
      <c r="N5309" s="12"/>
      <c r="O5309" s="12"/>
      <c r="P5309" s="13">
        <f>IFERROR(__xludf.DUMMYFUNCTION("VALUE(SUBSTITUTE((INDEX(SPLIT(A5309,"",""),1)),""."","","",1))"),53.097015381)</f>
        <v>53.09701538</v>
      </c>
      <c r="Q5309" s="13">
        <f>IFERROR(__xludf.DUMMYFUNCTION("VALUE(SUBSTITUTE((INDEX(SPLIT(A5309,"",""),2)),""."","","",1))"),49.960128784)</f>
        <v>49.96012878</v>
      </c>
      <c r="R5309" s="14" t="b">
        <f t="shared" si="1"/>
        <v>0</v>
      </c>
      <c r="S5309" s="14" t="str">
        <f t="shared" si="2"/>
        <v>53.097015381,49.960128784</v>
      </c>
      <c r="T5309" s="12"/>
    </row>
    <row r="5310">
      <c r="A5310" s="142" t="s">
        <v>34059</v>
      </c>
      <c r="B5310" s="143" t="s">
        <v>34060</v>
      </c>
      <c r="C5310" s="143" t="s">
        <v>34061</v>
      </c>
      <c r="D5310" s="143" t="s">
        <v>33342</v>
      </c>
      <c r="E5310" s="144" t="s">
        <v>34062</v>
      </c>
      <c r="F5310" s="142" t="s">
        <v>21049</v>
      </c>
      <c r="G5310" s="142" t="s">
        <v>33344</v>
      </c>
      <c r="H5310" s="142"/>
      <c r="I5310" s="143"/>
      <c r="J5310" s="143" t="s">
        <v>34063</v>
      </c>
      <c r="K5310" s="143" t="s">
        <v>19465</v>
      </c>
      <c r="L5310" s="145" t="s">
        <v>34064</v>
      </c>
      <c r="M5310" s="143"/>
      <c r="N5310" s="12"/>
      <c r="O5310" s="12"/>
      <c r="P5310" s="13">
        <f>IFERROR(__xludf.DUMMYFUNCTION("VALUE(SUBSTITUTE((INDEX(SPLIT(A5310,"",""),1)),""."","","",1))"),53.190792084)</f>
        <v>53.19079208</v>
      </c>
      <c r="Q5310" s="13">
        <f>IFERROR(__xludf.DUMMYFUNCTION("VALUE(SUBSTITUTE((INDEX(SPLIT(A5310,"",""),2)),""."","","",1))"),50.090103149)</f>
        <v>50.09010315</v>
      </c>
      <c r="R5310" s="14" t="b">
        <f t="shared" si="1"/>
        <v>0</v>
      </c>
      <c r="S5310" s="14" t="str">
        <f t="shared" si="2"/>
        <v>53.190792084,50.090103149</v>
      </c>
      <c r="T5310" s="12"/>
    </row>
    <row r="5311">
      <c r="A5311" s="146" t="s">
        <v>34065</v>
      </c>
      <c r="B5311" s="147" t="s">
        <v>34066</v>
      </c>
      <c r="C5311" s="147" t="s">
        <v>34067</v>
      </c>
      <c r="D5311" s="147" t="s">
        <v>33342</v>
      </c>
      <c r="E5311" s="148" t="s">
        <v>34068</v>
      </c>
      <c r="F5311" s="146" t="s">
        <v>21049</v>
      </c>
      <c r="G5311" s="146" t="s">
        <v>33344</v>
      </c>
      <c r="H5311" s="146"/>
      <c r="I5311" s="147"/>
      <c r="J5311" s="147" t="s">
        <v>34069</v>
      </c>
      <c r="K5311" s="147" t="s">
        <v>34070</v>
      </c>
      <c r="L5311" s="149" t="s">
        <v>34071</v>
      </c>
      <c r="M5311" s="149" t="s">
        <v>34072</v>
      </c>
      <c r="N5311" s="12"/>
      <c r="O5311" s="12"/>
      <c r="P5311" s="13">
        <f>IFERROR(__xludf.DUMMYFUNCTION("VALUE(SUBSTITUTE((INDEX(SPLIT(A5311,"",""),1)),""."","","",1))"),53.19373703)</f>
        <v>53.19373703</v>
      </c>
      <c r="Q5311" s="13">
        <f>IFERROR(__xludf.DUMMYFUNCTION("VALUE(SUBSTITUTE((INDEX(SPLIT(A5311,"",""),2)),""."","","",1))"),50.135894775)</f>
        <v>50.13589478</v>
      </c>
      <c r="R5311" s="14" t="b">
        <f t="shared" si="1"/>
        <v>0</v>
      </c>
      <c r="S5311" s="14" t="str">
        <f t="shared" si="2"/>
        <v>53.19373703,50.135894775</v>
      </c>
      <c r="T5311" s="12"/>
    </row>
    <row r="5312">
      <c r="A5312" s="142" t="s">
        <v>34073</v>
      </c>
      <c r="B5312" s="143" t="s">
        <v>34074</v>
      </c>
      <c r="C5312" s="143" t="s">
        <v>34075</v>
      </c>
      <c r="D5312" s="143" t="s">
        <v>33342</v>
      </c>
      <c r="E5312" s="144" t="s">
        <v>34076</v>
      </c>
      <c r="F5312" s="142" t="s">
        <v>21049</v>
      </c>
      <c r="G5312" s="142" t="s">
        <v>33344</v>
      </c>
      <c r="H5312" s="142"/>
      <c r="I5312" s="143"/>
      <c r="J5312" s="143" t="s">
        <v>34077</v>
      </c>
      <c r="K5312" s="143" t="s">
        <v>34078</v>
      </c>
      <c r="L5312" s="145" t="s">
        <v>34079</v>
      </c>
      <c r="M5312" s="143"/>
      <c r="N5312" s="12"/>
      <c r="O5312" s="12"/>
      <c r="P5312" s="13">
        <f>IFERROR(__xludf.DUMMYFUNCTION("VALUE(SUBSTITUTE((INDEX(SPLIT(A5312,"",""),1)),""."","","",1))"),53.199996948)</f>
        <v>53.19999695</v>
      </c>
      <c r="Q5312" s="13">
        <f>IFERROR(__xludf.DUMMYFUNCTION("VALUE(SUBSTITUTE((INDEX(SPLIT(A5312,"",""),2)),""."","","",1))"),50.150192261)</f>
        <v>50.15019226</v>
      </c>
      <c r="R5312" s="14" t="b">
        <f t="shared" si="1"/>
        <v>0</v>
      </c>
      <c r="S5312" s="14" t="str">
        <f t="shared" si="2"/>
        <v>53.199996948,50.150192261</v>
      </c>
      <c r="T5312" s="12"/>
    </row>
    <row r="5313">
      <c r="A5313" s="146" t="s">
        <v>34080</v>
      </c>
      <c r="B5313" s="147" t="s">
        <v>969</v>
      </c>
      <c r="C5313" s="147" t="s">
        <v>34081</v>
      </c>
      <c r="D5313" s="147" t="s">
        <v>33342</v>
      </c>
      <c r="E5313" s="148" t="s">
        <v>34082</v>
      </c>
      <c r="F5313" s="146" t="s">
        <v>21049</v>
      </c>
      <c r="G5313" s="146" t="s">
        <v>33344</v>
      </c>
      <c r="H5313" s="146"/>
      <c r="I5313" s="147"/>
      <c r="J5313" s="147" t="s">
        <v>34083</v>
      </c>
      <c r="K5313" s="147" t="s">
        <v>34084</v>
      </c>
      <c r="L5313" s="150" t="s">
        <v>34085</v>
      </c>
      <c r="M5313" s="147"/>
      <c r="N5313" s="12"/>
      <c r="O5313" s="12"/>
      <c r="P5313" s="13">
        <f>IFERROR(__xludf.DUMMYFUNCTION("VALUE(SUBSTITUTE((INDEX(SPLIT(A5313,"",""),1)),""."","","",1))"),53.206863403)</f>
        <v>53.2068634</v>
      </c>
      <c r="Q5313" s="13">
        <f>IFERROR(__xludf.DUMMYFUNCTION("VALUE(SUBSTITUTE((INDEX(SPLIT(A5313,"",""),2)),""."","","",1))"),50.296096802)</f>
        <v>50.2960968</v>
      </c>
      <c r="R5313" s="14" t="b">
        <f t="shared" si="1"/>
        <v>0</v>
      </c>
      <c r="S5313" s="14" t="str">
        <f t="shared" si="2"/>
        <v>53.206863403,50.296096802</v>
      </c>
      <c r="T5313" s="12"/>
    </row>
    <row r="5314">
      <c r="A5314" s="142" t="s">
        <v>34086</v>
      </c>
      <c r="B5314" s="143" t="s">
        <v>7881</v>
      </c>
      <c r="C5314" s="143" t="s">
        <v>34087</v>
      </c>
      <c r="D5314" s="143" t="s">
        <v>33342</v>
      </c>
      <c r="E5314" s="144" t="s">
        <v>34088</v>
      </c>
      <c r="F5314" s="142" t="s">
        <v>17865</v>
      </c>
      <c r="G5314" s="142" t="s">
        <v>33344</v>
      </c>
      <c r="H5314" s="142"/>
      <c r="I5314" s="143"/>
      <c r="J5314" s="143" t="s">
        <v>34089</v>
      </c>
      <c r="K5314" s="143" t="s">
        <v>34090</v>
      </c>
      <c r="L5314" s="145" t="s">
        <v>34091</v>
      </c>
      <c r="M5314" s="145" t="s">
        <v>34092</v>
      </c>
      <c r="N5314" s="12"/>
      <c r="O5314" s="12"/>
      <c r="P5314" s="13">
        <f>IFERROR(__xludf.DUMMYFUNCTION("VALUE(SUBSTITUTE((INDEX(SPLIT(A5314,"",""),1)),""."","","",1))"),53.226913452)</f>
        <v>53.22691345</v>
      </c>
      <c r="Q5314" s="13">
        <f>IFERROR(__xludf.DUMMYFUNCTION("VALUE(SUBSTITUTE((INDEX(SPLIT(A5314,"",""),2)),""."","","",1))"),44.955993652)</f>
        <v>44.95599365</v>
      </c>
      <c r="R5314" s="14" t="b">
        <f t="shared" si="1"/>
        <v>0</v>
      </c>
      <c r="S5314" s="14" t="str">
        <f t="shared" si="2"/>
        <v>53.226913452,44.955993652</v>
      </c>
      <c r="T5314" s="12"/>
    </row>
    <row r="5315">
      <c r="A5315" s="146" t="s">
        <v>34093</v>
      </c>
      <c r="B5315" s="147" t="s">
        <v>34094</v>
      </c>
      <c r="C5315" s="147" t="s">
        <v>34095</v>
      </c>
      <c r="D5315" s="147" t="s">
        <v>33342</v>
      </c>
      <c r="E5315" s="148" t="s">
        <v>34096</v>
      </c>
      <c r="F5315" s="146" t="s">
        <v>17865</v>
      </c>
      <c r="G5315" s="146" t="s">
        <v>33344</v>
      </c>
      <c r="H5315" s="146"/>
      <c r="I5315" s="147"/>
      <c r="J5315" s="147" t="s">
        <v>34097</v>
      </c>
      <c r="K5315" s="147" t="s">
        <v>34098</v>
      </c>
      <c r="L5315" s="149" t="s">
        <v>34099</v>
      </c>
      <c r="M5315" s="147"/>
      <c r="N5315" s="12"/>
      <c r="O5315" s="12"/>
      <c r="P5315" s="13">
        <f>IFERROR(__xludf.DUMMYFUNCTION("VALUE(SUBSTITUTE((INDEX(SPLIT(A5315,"",""),1)),""."","","",1))"),53.239594028909)</f>
        <v>53.23959403</v>
      </c>
      <c r="Q5315" s="13">
        <f>IFERROR(__xludf.DUMMYFUNCTION("VALUE(SUBSTITUTE((INDEX(SPLIT(A5315,"",""),2)),""."","","",1))"),44.867635185303)</f>
        <v>44.86763519</v>
      </c>
      <c r="R5315" s="14" t="b">
        <f t="shared" si="1"/>
        <v>0</v>
      </c>
      <c r="S5315" s="14" t="str">
        <f t="shared" si="2"/>
        <v>53.239594028909,44.867635185303</v>
      </c>
      <c r="T5315" s="12"/>
    </row>
    <row r="5316">
      <c r="A5316" s="136" t="s">
        <v>34100</v>
      </c>
      <c r="B5316" s="137" t="s">
        <v>34101</v>
      </c>
      <c r="C5316" s="137" t="s">
        <v>34102</v>
      </c>
      <c r="D5316" s="137" t="s">
        <v>33342</v>
      </c>
      <c r="E5316" s="138" t="s">
        <v>34103</v>
      </c>
      <c r="F5316" s="136" t="s">
        <v>3760</v>
      </c>
      <c r="G5316" s="136" t="s">
        <v>33344</v>
      </c>
      <c r="H5316" s="136"/>
      <c r="I5316" s="137"/>
      <c r="J5316" s="137" t="s">
        <v>34104</v>
      </c>
      <c r="K5316" s="137" t="s">
        <v>34105</v>
      </c>
      <c r="L5316" s="137"/>
      <c r="M5316" s="137"/>
      <c r="N5316" s="12"/>
      <c r="O5316" s="12"/>
      <c r="P5316" s="13">
        <f>IFERROR(__xludf.DUMMYFUNCTION("VALUE(SUBSTITUTE((INDEX(SPLIT(A5316,"",""),1)),""."","","",1))"),53.316162109)</f>
        <v>53.31616211</v>
      </c>
      <c r="Q5316" s="13">
        <f>IFERROR(__xludf.DUMMYFUNCTION("VALUE(SUBSTITUTE((INDEX(SPLIT(A5316,"",""),2)),""."","","",1))"),83.728179932)</f>
        <v>83.72817993</v>
      </c>
      <c r="R5316" s="14" t="b">
        <f t="shared" si="1"/>
        <v>0</v>
      </c>
      <c r="S5316" s="14" t="str">
        <f t="shared" si="2"/>
        <v>53.316162109,83.728179932</v>
      </c>
      <c r="T5316" s="12"/>
    </row>
    <row r="5317">
      <c r="A5317" s="146" t="s">
        <v>34106</v>
      </c>
      <c r="B5317" s="147" t="s">
        <v>34107</v>
      </c>
      <c r="C5317" s="147" t="s">
        <v>34108</v>
      </c>
      <c r="D5317" s="147" t="s">
        <v>33342</v>
      </c>
      <c r="E5317" s="148" t="s">
        <v>34109</v>
      </c>
      <c r="F5317" s="146" t="s">
        <v>16731</v>
      </c>
      <c r="G5317" s="146" t="s">
        <v>33344</v>
      </c>
      <c r="H5317" s="146"/>
      <c r="I5317" s="147"/>
      <c r="J5317" s="147" t="s">
        <v>34110</v>
      </c>
      <c r="K5317" s="147" t="s">
        <v>34111</v>
      </c>
      <c r="L5317" s="149" t="s">
        <v>34112</v>
      </c>
      <c r="M5317" s="147"/>
      <c r="N5317" s="12"/>
      <c r="O5317" s="12"/>
      <c r="P5317" s="13">
        <f>IFERROR(__xludf.DUMMYFUNCTION("VALUE(SUBSTITUTE((INDEX(SPLIT(A5317,"",""),1)),""."","","",1))"),53.359792532101)</f>
        <v>53.35979253</v>
      </c>
      <c r="Q5317" s="13">
        <f>IFERROR(__xludf.DUMMYFUNCTION("VALUE(SUBSTITUTE((INDEX(SPLIT(A5317,"",""),2)),""."","","",1))"),83.773918758973)</f>
        <v>83.77391876</v>
      </c>
      <c r="R5317" s="14" t="b">
        <f t="shared" si="1"/>
        <v>0</v>
      </c>
      <c r="S5317" s="14" t="str">
        <f t="shared" si="2"/>
        <v>53.359792532101,83.773918758973</v>
      </c>
      <c r="T5317" s="12"/>
    </row>
    <row r="5318">
      <c r="A5318" s="142" t="s">
        <v>34113</v>
      </c>
      <c r="B5318" s="143" t="s">
        <v>34114</v>
      </c>
      <c r="C5318" s="143" t="s">
        <v>34115</v>
      </c>
      <c r="D5318" s="143" t="s">
        <v>33342</v>
      </c>
      <c r="E5318" s="144" t="s">
        <v>34116</v>
      </c>
      <c r="F5318" s="142" t="s">
        <v>23544</v>
      </c>
      <c r="G5318" s="142" t="s">
        <v>33344</v>
      </c>
      <c r="H5318" s="142"/>
      <c r="I5318" s="143"/>
      <c r="J5318" s="143" t="s">
        <v>34117</v>
      </c>
      <c r="K5318" s="143" t="s">
        <v>34118</v>
      </c>
      <c r="L5318" s="145" t="s">
        <v>34119</v>
      </c>
      <c r="M5318" s="143"/>
      <c r="N5318" s="12"/>
      <c r="O5318" s="12"/>
      <c r="P5318" s="13">
        <f>IFERROR(__xludf.DUMMYFUNCTION("VALUE(SUBSTITUTE((INDEX(SPLIT(A5318,"",""),1)),""."","","",1))"),53.446620941)</f>
        <v>53.44662094</v>
      </c>
      <c r="Q5318" s="13">
        <f>IFERROR(__xludf.DUMMYFUNCTION("VALUE(SUBSTITUTE((INDEX(SPLIT(A5318,"",""),2)),""."","","",1))"),58.986427307)</f>
        <v>58.98642731</v>
      </c>
      <c r="R5318" s="14" t="b">
        <f t="shared" si="1"/>
        <v>0</v>
      </c>
      <c r="S5318" s="14" t="str">
        <f t="shared" si="2"/>
        <v>53.446620941,58.986427307</v>
      </c>
      <c r="T5318" s="12"/>
    </row>
    <row r="5319" ht="53.25" customHeight="1">
      <c r="A5319" s="146" t="s">
        <v>34120</v>
      </c>
      <c r="B5319" s="147" t="s">
        <v>34121</v>
      </c>
      <c r="C5319" s="147" t="s">
        <v>34122</v>
      </c>
      <c r="D5319" s="147" t="s">
        <v>33342</v>
      </c>
      <c r="E5319" s="148" t="s">
        <v>34123</v>
      </c>
      <c r="F5319" s="146" t="s">
        <v>19948</v>
      </c>
      <c r="G5319" s="146" t="s">
        <v>33344</v>
      </c>
      <c r="H5319" s="146"/>
      <c r="I5319" s="147"/>
      <c r="J5319" s="147" t="s">
        <v>34124</v>
      </c>
      <c r="K5319" s="147" t="s">
        <v>34125</v>
      </c>
      <c r="L5319" s="149" t="s">
        <v>34126</v>
      </c>
      <c r="M5319" s="147"/>
      <c r="N5319" s="12"/>
      <c r="O5319" s="12"/>
      <c r="P5319" s="13">
        <f>IFERROR(__xludf.DUMMYFUNCTION("VALUE(SUBSTITUTE((INDEX(SPLIT(A5319,"",""),1)),""."","","",1))"),53.47277832)</f>
        <v>53.47277832</v>
      </c>
      <c r="Q5319" s="13">
        <f>IFERROR(__xludf.DUMMYFUNCTION("VALUE(SUBSTITUTE((INDEX(SPLIT(A5319,"",""),2)),""."","","",1))"),55.652217865)</f>
        <v>55.65221787</v>
      </c>
      <c r="R5319" s="14" t="b">
        <f t="shared" si="1"/>
        <v>0</v>
      </c>
      <c r="S5319" s="14" t="str">
        <f t="shared" si="2"/>
        <v>53.47277832,55.652217865</v>
      </c>
      <c r="T5319" s="12"/>
    </row>
    <row r="5320">
      <c r="A5320" s="142" t="s">
        <v>34127</v>
      </c>
      <c r="B5320" s="143" t="s">
        <v>34128</v>
      </c>
      <c r="C5320" s="143" t="s">
        <v>34129</v>
      </c>
      <c r="D5320" s="143" t="s">
        <v>33342</v>
      </c>
      <c r="E5320" s="144" t="s">
        <v>34130</v>
      </c>
      <c r="F5320" s="142" t="s">
        <v>6724</v>
      </c>
      <c r="G5320" s="142" t="s">
        <v>33344</v>
      </c>
      <c r="H5320" s="142"/>
      <c r="I5320" s="143"/>
      <c r="J5320" s="143" t="s">
        <v>34131</v>
      </c>
      <c r="K5320" s="143" t="s">
        <v>34132</v>
      </c>
      <c r="L5320" s="145" t="s">
        <v>34133</v>
      </c>
      <c r="M5320" s="143"/>
      <c r="N5320" s="12"/>
      <c r="O5320" s="12"/>
      <c r="P5320" s="13">
        <f>IFERROR(__xludf.DUMMYFUNCTION("VALUE(SUBSTITUTE((INDEX(SPLIT(A5320,"",""),1)),""."","","",1))"),53.543193817)</f>
        <v>53.54319382</v>
      </c>
      <c r="Q5320" s="13">
        <f>IFERROR(__xludf.DUMMYFUNCTION("VALUE(SUBSTITUTE((INDEX(SPLIT(A5320,"",""),2)),""."","","",1))"),34.644054413)</f>
        <v>34.64405441</v>
      </c>
      <c r="R5320" s="14" t="b">
        <f t="shared" si="1"/>
        <v>0</v>
      </c>
      <c r="S5320" s="14" t="str">
        <f t="shared" si="2"/>
        <v>53.543193817,34.644054413</v>
      </c>
      <c r="T5320" s="12"/>
    </row>
    <row r="5321">
      <c r="A5321" s="139" t="s">
        <v>34134</v>
      </c>
      <c r="B5321" s="140" t="s">
        <v>34135</v>
      </c>
      <c r="C5321" s="140" t="s">
        <v>34136</v>
      </c>
      <c r="D5321" s="140" t="s">
        <v>33342</v>
      </c>
      <c r="E5321" s="141" t="s">
        <v>34137</v>
      </c>
      <c r="F5321" s="139" t="s">
        <v>24801</v>
      </c>
      <c r="G5321" s="139" t="s">
        <v>33344</v>
      </c>
      <c r="H5321" s="139"/>
      <c r="I5321" s="140"/>
      <c r="J5321" s="140" t="s">
        <v>34138</v>
      </c>
      <c r="K5321" s="140" t="s">
        <v>34139</v>
      </c>
      <c r="L5321" s="140"/>
      <c r="M5321" s="140"/>
      <c r="N5321" s="12"/>
      <c r="O5321" s="12"/>
      <c r="P5321" s="13">
        <f>IFERROR(__xludf.DUMMYFUNCTION("VALUE(SUBSTITUTE((INDEX(SPLIT(A5321,"",""),1)),""."","","",1))"),53.704152)</f>
        <v>53.704152</v>
      </c>
      <c r="Q5321" s="13">
        <f>IFERROR(__xludf.DUMMYFUNCTION("VALUE(SUBSTITUTE((INDEX(SPLIT(A5321,"",""),2)),""."","","",1))"),91.374618)</f>
        <v>91.374618</v>
      </c>
      <c r="R5321" s="14" t="b">
        <f t="shared" si="1"/>
        <v>0</v>
      </c>
      <c r="S5321" s="14" t="str">
        <f t="shared" si="2"/>
        <v>53.704152,91.374618</v>
      </c>
      <c r="T5321" s="12"/>
    </row>
    <row r="5322">
      <c r="A5322" s="142" t="s">
        <v>34140</v>
      </c>
      <c r="B5322" s="143" t="s">
        <v>34141</v>
      </c>
      <c r="C5322" s="143" t="s">
        <v>34142</v>
      </c>
      <c r="D5322" s="143" t="s">
        <v>33342</v>
      </c>
      <c r="E5322" s="144" t="s">
        <v>34143</v>
      </c>
      <c r="F5322" s="142" t="s">
        <v>6732</v>
      </c>
      <c r="G5322" s="142" t="s">
        <v>33344</v>
      </c>
      <c r="H5322" s="142"/>
      <c r="I5322" s="143"/>
      <c r="J5322" s="143" t="s">
        <v>34144</v>
      </c>
      <c r="K5322" s="143" t="s">
        <v>34145</v>
      </c>
      <c r="L5322" s="152" t="s">
        <v>34146</v>
      </c>
      <c r="M5322" s="143"/>
      <c r="N5322" s="12"/>
      <c r="O5322" s="12"/>
      <c r="P5322" s="13">
        <f>IFERROR(__xludf.DUMMYFUNCTION("VALUE(SUBSTITUTE((INDEX(SPLIT(A5322,"",""),1)),""."","","",1))"),53.970067083822)</f>
        <v>53.97006708</v>
      </c>
      <c r="Q5322" s="13">
        <f>IFERROR(__xludf.DUMMYFUNCTION("VALUE(SUBSTITUTE((INDEX(SPLIT(A5322,"",""),2)),""."","","",1))"),38.358718817289)</f>
        <v>38.35871882</v>
      </c>
      <c r="R5322" s="14" t="b">
        <f t="shared" si="1"/>
        <v>0</v>
      </c>
      <c r="S5322" s="14" t="str">
        <f t="shared" si="2"/>
        <v>53.970067083822,38.358718817289</v>
      </c>
      <c r="T5322" s="12"/>
    </row>
    <row r="5323">
      <c r="A5323" s="146" t="s">
        <v>34147</v>
      </c>
      <c r="B5323" s="147" t="s">
        <v>34148</v>
      </c>
      <c r="C5323" s="147" t="s">
        <v>34149</v>
      </c>
      <c r="D5323" s="147" t="s">
        <v>33342</v>
      </c>
      <c r="E5323" s="148" t="s">
        <v>34150</v>
      </c>
      <c r="F5323" s="146" t="s">
        <v>17071</v>
      </c>
      <c r="G5323" s="146" t="s">
        <v>33344</v>
      </c>
      <c r="H5323" s="146"/>
      <c r="I5323" s="147"/>
      <c r="J5323" s="147" t="s">
        <v>34151</v>
      </c>
      <c r="K5323" s="147" t="s">
        <v>34152</v>
      </c>
      <c r="L5323" s="149" t="s">
        <v>34153</v>
      </c>
      <c r="M5323" s="147"/>
      <c r="N5323" s="12"/>
      <c r="O5323" s="12"/>
      <c r="P5323" s="13">
        <f>IFERROR(__xludf.DUMMYFUNCTION("VALUE(SUBSTITUTE((INDEX(SPLIT(A5323,"",""),1)),""."","","",1))"),54.062850952)</f>
        <v>54.06285095</v>
      </c>
      <c r="Q5323" s="13">
        <f>IFERROR(__xludf.DUMMYFUNCTION("VALUE(SUBSTITUTE((INDEX(SPLIT(A5323,"",""),2)),""."","","",1))"),61.629951477)</f>
        <v>61.62995148</v>
      </c>
      <c r="R5323" s="14" t="b">
        <f t="shared" si="1"/>
        <v>0</v>
      </c>
      <c r="S5323" s="14" t="str">
        <f t="shared" si="2"/>
        <v>54.062850952,61.629951477</v>
      </c>
      <c r="T5323" s="12"/>
    </row>
    <row r="5324">
      <c r="A5324" s="142" t="s">
        <v>34154</v>
      </c>
      <c r="B5324" s="143" t="s">
        <v>34155</v>
      </c>
      <c r="C5324" s="143" t="s">
        <v>34155</v>
      </c>
      <c r="D5324" s="143" t="s">
        <v>33342</v>
      </c>
      <c r="E5324" s="144" t="s">
        <v>34156</v>
      </c>
      <c r="F5324" s="142" t="s">
        <v>6732</v>
      </c>
      <c r="G5324" s="142" t="s">
        <v>33344</v>
      </c>
      <c r="H5324" s="142"/>
      <c r="I5324" s="143"/>
      <c r="J5324" s="143" t="s">
        <v>34157</v>
      </c>
      <c r="K5324" s="143" t="s">
        <v>34158</v>
      </c>
      <c r="L5324" s="152" t="s">
        <v>34159</v>
      </c>
      <c r="M5324" s="143"/>
      <c r="N5324" s="12"/>
      <c r="O5324" s="12"/>
      <c r="P5324" s="13">
        <f>IFERROR(__xludf.DUMMYFUNCTION("VALUE(SUBSTITUTE((INDEX(SPLIT(A5324,"",""),1)),""."","","",1))"),54.124210358)</f>
        <v>54.12421036</v>
      </c>
      <c r="Q5324" s="13">
        <f>IFERROR(__xludf.DUMMYFUNCTION("VALUE(SUBSTITUTE((INDEX(SPLIT(A5324,"",""),2)),""."","","",1))"),37.601974487)</f>
        <v>37.60197449</v>
      </c>
      <c r="R5324" s="14" t="b">
        <f t="shared" si="1"/>
        <v>0</v>
      </c>
      <c r="S5324" s="14" t="str">
        <f t="shared" si="2"/>
        <v>54.124210358,37.601974487</v>
      </c>
      <c r="T5324" s="12"/>
    </row>
    <row r="5325">
      <c r="A5325" s="139" t="s">
        <v>34160</v>
      </c>
      <c r="B5325" s="140" t="s">
        <v>34161</v>
      </c>
      <c r="C5325" s="140" t="s">
        <v>34162</v>
      </c>
      <c r="D5325" s="140" t="s">
        <v>33342</v>
      </c>
      <c r="E5325" s="141" t="s">
        <v>34163</v>
      </c>
      <c r="F5325" s="139" t="s">
        <v>6732</v>
      </c>
      <c r="G5325" s="139" t="s">
        <v>33344</v>
      </c>
      <c r="H5325" s="139"/>
      <c r="I5325" s="140"/>
      <c r="J5325" s="140" t="s">
        <v>34164</v>
      </c>
      <c r="K5325" s="140" t="s">
        <v>34165</v>
      </c>
      <c r="L5325" s="140"/>
      <c r="M5325" s="140"/>
      <c r="N5325" s="12"/>
      <c r="O5325" s="12"/>
      <c r="P5325" s="13">
        <f>IFERROR(__xludf.DUMMYFUNCTION("VALUE(SUBSTITUTE((INDEX(SPLIT(A5325,"",""),1)),""."","","",1))"),54.188591003)</f>
        <v>54.188591</v>
      </c>
      <c r="Q5325" s="13">
        <f>IFERROR(__xludf.DUMMYFUNCTION("VALUE(SUBSTITUTE((INDEX(SPLIT(A5325,"",""),2)),""."","","",1))"),37.60043335)</f>
        <v>37.60043335</v>
      </c>
      <c r="R5325" s="14" t="b">
        <f t="shared" si="1"/>
        <v>0</v>
      </c>
      <c r="S5325" s="14" t="str">
        <f t="shared" si="2"/>
        <v>54.188591003,37.60043335</v>
      </c>
      <c r="T5325" s="12"/>
    </row>
    <row r="5326">
      <c r="A5326" s="142" t="s">
        <v>34166</v>
      </c>
      <c r="B5326" s="143" t="s">
        <v>34167</v>
      </c>
      <c r="C5326" s="143" t="s">
        <v>34168</v>
      </c>
      <c r="D5326" s="143" t="s">
        <v>33342</v>
      </c>
      <c r="E5326" s="144" t="s">
        <v>34169</v>
      </c>
      <c r="F5326" s="142" t="s">
        <v>6732</v>
      </c>
      <c r="G5326" s="142" t="s">
        <v>33344</v>
      </c>
      <c r="H5326" s="142"/>
      <c r="I5326" s="143"/>
      <c r="J5326" s="143" t="s">
        <v>34170</v>
      </c>
      <c r="K5326" s="143" t="s">
        <v>34171</v>
      </c>
      <c r="L5326" s="145" t="s">
        <v>34172</v>
      </c>
      <c r="M5326" s="143"/>
      <c r="N5326" s="12"/>
      <c r="O5326" s="12"/>
      <c r="P5326" s="13">
        <f>IFERROR(__xludf.DUMMYFUNCTION("VALUE(SUBSTITUTE((INDEX(SPLIT(A5326,"",""),1)),""."","","",1))"),54.191612244)</f>
        <v>54.19161224</v>
      </c>
      <c r="Q5326" s="13">
        <f>IFERROR(__xludf.DUMMYFUNCTION("VALUE(SUBSTITUTE((INDEX(SPLIT(A5326,"",""),2)),""."","","",1))"),37.625011444)</f>
        <v>37.62501144</v>
      </c>
      <c r="R5326" s="14" t="b">
        <f t="shared" si="1"/>
        <v>0</v>
      </c>
      <c r="S5326" s="14" t="str">
        <f t="shared" si="2"/>
        <v>54.191612244,37.625011444</v>
      </c>
      <c r="T5326" s="12"/>
    </row>
    <row r="5327">
      <c r="A5327" s="146" t="s">
        <v>34173</v>
      </c>
      <c r="B5327" s="147" t="s">
        <v>32635</v>
      </c>
      <c r="C5327" s="147" t="s">
        <v>34174</v>
      </c>
      <c r="D5327" s="147" t="s">
        <v>33342</v>
      </c>
      <c r="E5327" s="148" t="s">
        <v>34175</v>
      </c>
      <c r="F5327" s="146" t="s">
        <v>6732</v>
      </c>
      <c r="G5327" s="146" t="s">
        <v>33344</v>
      </c>
      <c r="H5327" s="146"/>
      <c r="I5327" s="147"/>
      <c r="J5327" s="147" t="s">
        <v>34176</v>
      </c>
      <c r="K5327" s="147" t="s">
        <v>34177</v>
      </c>
      <c r="L5327" s="149" t="s">
        <v>34178</v>
      </c>
      <c r="M5327" s="147"/>
      <c r="N5327" s="12"/>
      <c r="O5327" s="12"/>
      <c r="P5327" s="13">
        <f>IFERROR(__xludf.DUMMYFUNCTION("VALUE(SUBSTITUTE((INDEX(SPLIT(A5327,"",""),1)),""."","","",1))"),54.206756592)</f>
        <v>54.20675659</v>
      </c>
      <c r="Q5327" s="13">
        <f>IFERROR(__xludf.DUMMYFUNCTION("VALUE(SUBSTITUTE((INDEX(SPLIT(A5327,"",""),2)),""."","","",1))"),37.68522644)</f>
        <v>37.68522644</v>
      </c>
      <c r="R5327" s="14" t="b">
        <f t="shared" si="1"/>
        <v>0</v>
      </c>
      <c r="S5327" s="14" t="str">
        <f t="shared" si="2"/>
        <v>54.206756592,37.68522644</v>
      </c>
      <c r="T5327" s="12"/>
    </row>
    <row r="5328">
      <c r="A5328" s="136" t="s">
        <v>34179</v>
      </c>
      <c r="B5328" s="137" t="s">
        <v>34180</v>
      </c>
      <c r="C5328" s="137" t="s">
        <v>34181</v>
      </c>
      <c r="D5328" s="137" t="s">
        <v>33342</v>
      </c>
      <c r="E5328" s="138" t="s">
        <v>34182</v>
      </c>
      <c r="F5328" s="136" t="s">
        <v>6732</v>
      </c>
      <c r="G5328" s="136" t="s">
        <v>33344</v>
      </c>
      <c r="H5328" s="136"/>
      <c r="I5328" s="137"/>
      <c r="J5328" s="137" t="s">
        <v>34183</v>
      </c>
      <c r="K5328" s="137" t="s">
        <v>11049</v>
      </c>
      <c r="L5328" s="137"/>
      <c r="M5328" s="137"/>
      <c r="N5328" s="12"/>
      <c r="O5328" s="12"/>
      <c r="P5328" s="13">
        <f>IFERROR(__xludf.DUMMYFUNCTION("VALUE(SUBSTITUTE((INDEX(SPLIT(A5328,"",""),1)),""."","","",1))"),54.215122223)</f>
        <v>54.21512222</v>
      </c>
      <c r="Q5328" s="13">
        <f>IFERROR(__xludf.DUMMYFUNCTION("VALUE(SUBSTITUTE((INDEX(SPLIT(A5328,"",""),2)),""."","","",1))"),37.670108795)</f>
        <v>37.6701088</v>
      </c>
      <c r="R5328" s="14" t="b">
        <f t="shared" si="1"/>
        <v>0</v>
      </c>
      <c r="S5328" s="14" t="str">
        <f t="shared" si="2"/>
        <v>54.215122223,37.670108795</v>
      </c>
      <c r="T5328" s="12"/>
    </row>
    <row r="5329">
      <c r="A5329" s="146" t="s">
        <v>34184</v>
      </c>
      <c r="B5329" s="147" t="s">
        <v>34185</v>
      </c>
      <c r="C5329" s="147" t="s">
        <v>34186</v>
      </c>
      <c r="D5329" s="147" t="s">
        <v>33342</v>
      </c>
      <c r="E5329" s="148" t="s">
        <v>34187</v>
      </c>
      <c r="F5329" s="146" t="s">
        <v>23544</v>
      </c>
      <c r="G5329" s="146" t="s">
        <v>33344</v>
      </c>
      <c r="H5329" s="146"/>
      <c r="I5329" s="147"/>
      <c r="J5329" s="147" t="s">
        <v>34188</v>
      </c>
      <c r="K5329" s="147" t="s">
        <v>34189</v>
      </c>
      <c r="L5329" s="150" t="s">
        <v>34190</v>
      </c>
      <c r="M5329" s="147"/>
      <c r="N5329" s="12"/>
      <c r="O5329" s="12"/>
      <c r="P5329" s="13">
        <f>IFERROR(__xludf.DUMMYFUNCTION("VALUE(SUBSTITUTE((INDEX(SPLIT(A5329,"",""),1)),""."","","",1))"),54.219264984)</f>
        <v>54.21926498</v>
      </c>
      <c r="Q5329" s="13">
        <f>IFERROR(__xludf.DUMMYFUNCTION("VALUE(SUBSTITUTE((INDEX(SPLIT(A5329,"",""),2)),""."","","",1))"),61.245414734)</f>
        <v>61.24541473</v>
      </c>
      <c r="R5329" s="14" t="b">
        <f t="shared" si="1"/>
        <v>0</v>
      </c>
      <c r="S5329" s="14" t="str">
        <f t="shared" si="2"/>
        <v>54.219264984,61.245414734</v>
      </c>
      <c r="T5329" s="12"/>
    </row>
    <row r="5330">
      <c r="A5330" s="136" t="s">
        <v>34191</v>
      </c>
      <c r="B5330" s="137" t="s">
        <v>34192</v>
      </c>
      <c r="C5330" s="137" t="s">
        <v>34193</v>
      </c>
      <c r="D5330" s="137" t="s">
        <v>33342</v>
      </c>
      <c r="E5330" s="138" t="s">
        <v>34194</v>
      </c>
      <c r="F5330" s="136" t="s">
        <v>5134</v>
      </c>
      <c r="G5330" s="136" t="s">
        <v>33344</v>
      </c>
      <c r="H5330" s="136"/>
      <c r="I5330" s="137"/>
      <c r="J5330" s="137" t="s">
        <v>34195</v>
      </c>
      <c r="K5330" s="137" t="s">
        <v>34196</v>
      </c>
      <c r="L5330" s="137"/>
      <c r="M5330" s="137"/>
      <c r="N5330" s="12"/>
      <c r="O5330" s="12"/>
      <c r="P5330" s="13">
        <f>IFERROR(__xludf.DUMMYFUNCTION("VALUE(SUBSTITUTE((INDEX(SPLIT(A5330,"",""),1)),""."","","",1))"),54.235401154)</f>
        <v>54.23540115</v>
      </c>
      <c r="Q5330" s="13">
        <f>IFERROR(__xludf.DUMMYFUNCTION("VALUE(SUBSTITUTE((INDEX(SPLIT(A5330,"",""),2)),""."","","",1))"),48.30488205)</f>
        <v>48.30488205</v>
      </c>
      <c r="R5330" s="14" t="b">
        <f t="shared" si="1"/>
        <v>0</v>
      </c>
      <c r="S5330" s="14" t="str">
        <f t="shared" si="2"/>
        <v>54.235401154,48.30488205</v>
      </c>
      <c r="T5330" s="12"/>
    </row>
    <row r="5331">
      <c r="A5331" s="139" t="s">
        <v>34197</v>
      </c>
      <c r="B5331" s="140" t="s">
        <v>34198</v>
      </c>
      <c r="C5331" s="140" t="s">
        <v>34199</v>
      </c>
      <c r="D5331" s="140" t="s">
        <v>33342</v>
      </c>
      <c r="E5331" s="141" t="s">
        <v>34200</v>
      </c>
      <c r="F5331" s="139" t="s">
        <v>24698</v>
      </c>
      <c r="G5331" s="139" t="s">
        <v>33344</v>
      </c>
      <c r="H5331" s="139"/>
      <c r="I5331" s="140"/>
      <c r="J5331" s="140" t="s">
        <v>34201</v>
      </c>
      <c r="K5331" s="140" t="s">
        <v>34202</v>
      </c>
      <c r="L5331" s="140"/>
      <c r="M5331" s="154" t="s">
        <v>34203</v>
      </c>
      <c r="N5331" s="12"/>
      <c r="O5331" s="12"/>
      <c r="P5331" s="13">
        <f>IFERROR(__xludf.DUMMYFUNCTION("VALUE(SUBSTITUTE((INDEX(SPLIT(A5331,"",""),1)),""."","","",1))"),54.319065094)</f>
        <v>54.31906509</v>
      </c>
      <c r="Q5331" s="13">
        <f>IFERROR(__xludf.DUMMYFUNCTION("VALUE(SUBSTITUTE((INDEX(SPLIT(A5331,"",""),2)),""."","","",1))"),86.326332092)</f>
        <v>86.32633209</v>
      </c>
      <c r="R5331" s="14" t="b">
        <f t="shared" si="1"/>
        <v>0</v>
      </c>
      <c r="S5331" s="14" t="str">
        <f t="shared" si="2"/>
        <v>54.319065094,86.326332092</v>
      </c>
      <c r="T5331" s="12"/>
    </row>
    <row r="5332">
      <c r="A5332" s="136" t="s">
        <v>34204</v>
      </c>
      <c r="B5332" s="137" t="s">
        <v>34205</v>
      </c>
      <c r="C5332" s="137" t="s">
        <v>34206</v>
      </c>
      <c r="D5332" s="137" t="s">
        <v>33342</v>
      </c>
      <c r="E5332" s="138" t="s">
        <v>34207</v>
      </c>
      <c r="F5332" s="136" t="s">
        <v>6724</v>
      </c>
      <c r="G5332" s="136" t="s">
        <v>33344</v>
      </c>
      <c r="H5332" s="136"/>
      <c r="I5332" s="137"/>
      <c r="J5332" s="137" t="s">
        <v>34208</v>
      </c>
      <c r="K5332" s="137" t="s">
        <v>34209</v>
      </c>
      <c r="L5332" s="137"/>
      <c r="M5332" s="137"/>
      <c r="N5332" s="12"/>
      <c r="O5332" s="12"/>
      <c r="P5332" s="13">
        <f>IFERROR(__xludf.DUMMYFUNCTION("VALUE(SUBSTITUTE((INDEX(SPLIT(A5332,"",""),1)),""."","","",1))"),54.491104126)</f>
        <v>54.49110413</v>
      </c>
      <c r="Q5332" s="13">
        <f>IFERROR(__xludf.DUMMYFUNCTION("VALUE(SUBSTITUTE((INDEX(SPLIT(A5332,"",""),2)),""."","","",1))"),36.221240997)</f>
        <v>36.221241</v>
      </c>
      <c r="R5332" s="14" t="b">
        <f t="shared" si="1"/>
        <v>0</v>
      </c>
      <c r="S5332" s="14" t="str">
        <f t="shared" si="2"/>
        <v>54.491104126,36.221240997</v>
      </c>
      <c r="T5332" s="12"/>
    </row>
    <row r="5333">
      <c r="A5333" s="139" t="s">
        <v>34210</v>
      </c>
      <c r="B5333" s="140" t="s">
        <v>34211</v>
      </c>
      <c r="C5333" s="140" t="s">
        <v>34211</v>
      </c>
      <c r="D5333" s="140" t="s">
        <v>33342</v>
      </c>
      <c r="E5333" s="141" t="s">
        <v>34212</v>
      </c>
      <c r="F5333" s="139" t="s">
        <v>6724</v>
      </c>
      <c r="G5333" s="139" t="s">
        <v>33344</v>
      </c>
      <c r="H5333" s="139"/>
      <c r="I5333" s="140"/>
      <c r="J5333" s="140" t="s">
        <v>34213</v>
      </c>
      <c r="K5333" s="140" t="s">
        <v>34214</v>
      </c>
      <c r="L5333" s="140"/>
      <c r="M5333" s="140"/>
      <c r="N5333" s="12"/>
      <c r="O5333" s="12"/>
      <c r="P5333" s="13">
        <f>IFERROR(__xludf.DUMMYFUNCTION("VALUE(SUBSTITUTE((INDEX(SPLIT(A5333,"",""),1)),""."","","",1))"),54.512874603)</f>
        <v>54.5128746</v>
      </c>
      <c r="Q5333" s="13">
        <f>IFERROR(__xludf.DUMMYFUNCTION("VALUE(SUBSTITUTE((INDEX(SPLIT(A5333,"",""),2)),""."","","",1))"),36.334953308)</f>
        <v>36.33495331</v>
      </c>
      <c r="R5333" s="14" t="b">
        <f t="shared" si="1"/>
        <v>0</v>
      </c>
      <c r="S5333" s="14" t="str">
        <f t="shared" si="2"/>
        <v>54.512874603,36.334953308</v>
      </c>
      <c r="T5333" s="12"/>
    </row>
    <row r="5334">
      <c r="A5334" s="136" t="s">
        <v>34215</v>
      </c>
      <c r="B5334" s="137" t="s">
        <v>34216</v>
      </c>
      <c r="C5334" s="137" t="s">
        <v>34217</v>
      </c>
      <c r="D5334" s="137" t="s">
        <v>33342</v>
      </c>
      <c r="E5334" s="138" t="s">
        <v>34218</v>
      </c>
      <c r="F5334" s="136" t="s">
        <v>10183</v>
      </c>
      <c r="G5334" s="136" t="s">
        <v>33344</v>
      </c>
      <c r="H5334" s="136"/>
      <c r="I5334" s="137"/>
      <c r="J5334" s="137" t="s">
        <v>34219</v>
      </c>
      <c r="K5334" s="137" t="s">
        <v>34220</v>
      </c>
      <c r="L5334" s="137"/>
      <c r="M5334" s="137"/>
      <c r="N5334" s="12"/>
      <c r="O5334" s="12"/>
      <c r="P5334" s="13">
        <f>IFERROR(__xludf.DUMMYFUNCTION("VALUE(SUBSTITUTE((INDEX(SPLIT(A5334,"",""),1)),""."","","",1))"),54.53483963)</f>
        <v>54.53483963</v>
      </c>
      <c r="Q5334" s="13">
        <f>IFERROR(__xludf.DUMMYFUNCTION("VALUE(SUBSTITUTE((INDEX(SPLIT(A5334,"",""),2)),""."","","",1))"),52.833301544)</f>
        <v>52.83330154</v>
      </c>
      <c r="R5334" s="14" t="b">
        <f t="shared" si="1"/>
        <v>0</v>
      </c>
      <c r="S5334" s="14" t="str">
        <f t="shared" si="2"/>
        <v>54.53483963,52.833301544</v>
      </c>
      <c r="T5334" s="12"/>
    </row>
    <row r="5335">
      <c r="A5335" s="146" t="s">
        <v>34221</v>
      </c>
      <c r="B5335" s="147" t="s">
        <v>34222</v>
      </c>
      <c r="C5335" s="147" t="s">
        <v>34223</v>
      </c>
      <c r="D5335" s="147" t="s">
        <v>33342</v>
      </c>
      <c r="E5335" s="148" t="s">
        <v>34224</v>
      </c>
      <c r="F5335" s="146" t="s">
        <v>6724</v>
      </c>
      <c r="G5335" s="146" t="s">
        <v>33344</v>
      </c>
      <c r="H5335" s="146"/>
      <c r="I5335" s="147"/>
      <c r="J5335" s="147" t="s">
        <v>34225</v>
      </c>
      <c r="K5335" s="147" t="s">
        <v>34226</v>
      </c>
      <c r="L5335" s="149" t="s">
        <v>34227</v>
      </c>
      <c r="M5335" s="149" t="s">
        <v>34228</v>
      </c>
      <c r="N5335" s="12"/>
      <c r="O5335" s="12"/>
      <c r="P5335" s="13">
        <f>IFERROR(__xludf.DUMMYFUNCTION("VALUE(SUBSTITUTE((INDEX(SPLIT(A5335,"",""),1)),""."","","",1))"),54.553699493)</f>
        <v>54.55369949</v>
      </c>
      <c r="Q5335" s="13">
        <f>IFERROR(__xludf.DUMMYFUNCTION("VALUE(SUBSTITUTE((INDEX(SPLIT(A5335,"",""),2)),""."","","",1))"),36.264972687)</f>
        <v>36.26497269</v>
      </c>
      <c r="R5335" s="14" t="b">
        <f t="shared" si="1"/>
        <v>0</v>
      </c>
      <c r="S5335" s="14" t="str">
        <f t="shared" si="2"/>
        <v>54.553699493,36.264972687</v>
      </c>
      <c r="T5335" s="12"/>
    </row>
    <row r="5336">
      <c r="A5336" s="142" t="s">
        <v>34229</v>
      </c>
      <c r="B5336" s="143" t="s">
        <v>34230</v>
      </c>
      <c r="C5336" s="143" t="s">
        <v>34231</v>
      </c>
      <c r="D5336" s="143" t="s">
        <v>33342</v>
      </c>
      <c r="E5336" s="144" t="s">
        <v>34232</v>
      </c>
      <c r="F5336" s="142" t="s">
        <v>6724</v>
      </c>
      <c r="G5336" s="142" t="s">
        <v>33344</v>
      </c>
      <c r="H5336" s="142"/>
      <c r="I5336" s="143"/>
      <c r="J5336" s="143" t="s">
        <v>34233</v>
      </c>
      <c r="K5336" s="143" t="s">
        <v>34234</v>
      </c>
      <c r="L5336" s="152" t="s">
        <v>34235</v>
      </c>
      <c r="M5336" s="143"/>
      <c r="N5336" s="12"/>
      <c r="O5336" s="12"/>
      <c r="P5336" s="13">
        <f>IFERROR(__xludf.DUMMYFUNCTION("VALUE(SUBSTITUTE((INDEX(SPLIT(A5336,"",""),1)),""."","","",1))"),54.555728912)</f>
        <v>54.55572891</v>
      </c>
      <c r="Q5336" s="13">
        <f>IFERROR(__xludf.DUMMYFUNCTION("VALUE(SUBSTITUTE((INDEX(SPLIT(A5336,"",""),2)),""."","","",1))"),36.296588898)</f>
        <v>36.2965889</v>
      </c>
      <c r="R5336" s="14" t="b">
        <f t="shared" si="1"/>
        <v>0</v>
      </c>
      <c r="S5336" s="14" t="str">
        <f t="shared" si="2"/>
        <v>54.555728912,36.296588898</v>
      </c>
      <c r="T5336" s="12"/>
    </row>
    <row r="5337">
      <c r="A5337" s="146" t="s">
        <v>34236</v>
      </c>
      <c r="B5337" s="147" t="s">
        <v>34237</v>
      </c>
      <c r="C5337" s="147" t="s">
        <v>34238</v>
      </c>
      <c r="D5337" s="147" t="s">
        <v>33342</v>
      </c>
      <c r="E5337" s="148" t="s">
        <v>34239</v>
      </c>
      <c r="F5337" s="146" t="s">
        <v>5134</v>
      </c>
      <c r="G5337" s="146" t="s">
        <v>33344</v>
      </c>
      <c r="H5337" s="146"/>
      <c r="I5337" s="147"/>
      <c r="J5337" s="147" t="s">
        <v>34240</v>
      </c>
      <c r="K5337" s="147" t="s">
        <v>34241</v>
      </c>
      <c r="L5337" s="149" t="s">
        <v>34242</v>
      </c>
      <c r="M5337" s="147"/>
      <c r="N5337" s="12"/>
      <c r="O5337" s="12"/>
      <c r="P5337" s="13">
        <f>IFERROR(__xludf.DUMMYFUNCTION("VALUE(SUBSTITUTE((INDEX(SPLIT(A5337,"",""),1)),""."","","",1))"),54.569869995)</f>
        <v>54.56987</v>
      </c>
      <c r="Q5337" s="13">
        <f>IFERROR(__xludf.DUMMYFUNCTION("VALUE(SUBSTITUTE((INDEX(SPLIT(A5337,"",""),2)),""."","","",1))"),33.178943634)</f>
        <v>33.17894363</v>
      </c>
      <c r="R5337" s="14" t="b">
        <f t="shared" si="1"/>
        <v>0</v>
      </c>
      <c r="S5337" s="14" t="str">
        <f t="shared" si="2"/>
        <v>54.569869995,33.178943634</v>
      </c>
      <c r="T5337" s="12"/>
    </row>
    <row r="5338">
      <c r="A5338" s="136" t="s">
        <v>34243</v>
      </c>
      <c r="B5338" s="137" t="s">
        <v>34244</v>
      </c>
      <c r="C5338" s="137" t="s">
        <v>34245</v>
      </c>
      <c r="D5338" s="137" t="s">
        <v>33342</v>
      </c>
      <c r="E5338" s="138" t="s">
        <v>34246</v>
      </c>
      <c r="F5338" s="136" t="s">
        <v>2640</v>
      </c>
      <c r="G5338" s="136" t="s">
        <v>33344</v>
      </c>
      <c r="H5338" s="136"/>
      <c r="I5338" s="137"/>
      <c r="J5338" s="137" t="s">
        <v>34247</v>
      </c>
      <c r="K5338" s="137" t="s">
        <v>34248</v>
      </c>
      <c r="L5338" s="137"/>
      <c r="M5338" s="153" t="s">
        <v>34249</v>
      </c>
      <c r="N5338" s="12"/>
      <c r="O5338" s="12"/>
      <c r="P5338" s="13">
        <f>IFERROR(__xludf.DUMMYFUNCTION("VALUE(SUBSTITUTE((INDEX(SPLIT(A5338,"",""),1)),""."","","",1))"),54.578979492)</f>
        <v>54.57897949</v>
      </c>
      <c r="Q5338" s="13">
        <f>IFERROR(__xludf.DUMMYFUNCTION("VALUE(SUBSTITUTE((INDEX(SPLIT(A5338,"",""),2)),""."","","",1))"),22.185274124)</f>
        <v>22.18527412</v>
      </c>
      <c r="R5338" s="14" t="b">
        <f t="shared" si="1"/>
        <v>0</v>
      </c>
      <c r="S5338" s="14" t="str">
        <f t="shared" si="2"/>
        <v>54.578979492,22.185274124</v>
      </c>
      <c r="T5338" s="12"/>
    </row>
    <row r="5339">
      <c r="A5339" s="146" t="s">
        <v>34250</v>
      </c>
      <c r="B5339" s="147" t="s">
        <v>34251</v>
      </c>
      <c r="C5339" s="147" t="s">
        <v>34252</v>
      </c>
      <c r="D5339" s="147" t="s">
        <v>33342</v>
      </c>
      <c r="E5339" s="148" t="s">
        <v>34253</v>
      </c>
      <c r="F5339" s="146" t="s">
        <v>19948</v>
      </c>
      <c r="G5339" s="146" t="s">
        <v>33344</v>
      </c>
      <c r="H5339" s="146"/>
      <c r="I5339" s="147"/>
      <c r="J5339" s="147" t="s">
        <v>34254</v>
      </c>
      <c r="K5339" s="147" t="s">
        <v>34255</v>
      </c>
      <c r="L5339" s="150" t="s">
        <v>34256</v>
      </c>
      <c r="M5339" s="147"/>
      <c r="N5339" s="12"/>
      <c r="O5339" s="12"/>
      <c r="P5339" s="13">
        <f>IFERROR(__xludf.DUMMYFUNCTION("VALUE(SUBSTITUTE((INDEX(SPLIT(A5339,"",""),1)),""."","","",1))"),54.737003326)</f>
        <v>54.73700333</v>
      </c>
      <c r="Q5339" s="13">
        <f>IFERROR(__xludf.DUMMYFUNCTION("VALUE(SUBSTITUTE((INDEX(SPLIT(A5339,"",""),2)),""."","","",1))"),55.994068146)</f>
        <v>55.99406815</v>
      </c>
      <c r="R5339" s="14" t="b">
        <f t="shared" si="1"/>
        <v>0</v>
      </c>
      <c r="S5339" s="14" t="str">
        <f t="shared" si="2"/>
        <v>54.737003326,55.994068146</v>
      </c>
      <c r="T5339" s="12"/>
    </row>
    <row r="5340">
      <c r="A5340" s="136" t="s">
        <v>34257</v>
      </c>
      <c r="B5340" s="137" t="s">
        <v>34258</v>
      </c>
      <c r="C5340" s="137" t="s">
        <v>34259</v>
      </c>
      <c r="D5340" s="137" t="s">
        <v>33342</v>
      </c>
      <c r="E5340" s="138" t="s">
        <v>34260</v>
      </c>
      <c r="F5340" s="136" t="s">
        <v>2640</v>
      </c>
      <c r="G5340" s="136" t="s">
        <v>33344</v>
      </c>
      <c r="H5340" s="136"/>
      <c r="I5340" s="137"/>
      <c r="J5340" s="137" t="s">
        <v>34261</v>
      </c>
      <c r="K5340" s="137" t="s">
        <v>34262</v>
      </c>
      <c r="L5340" s="137"/>
      <c r="M5340" s="137"/>
      <c r="N5340" s="12"/>
      <c r="O5340" s="12"/>
      <c r="P5340" s="13">
        <f>IFERROR(__xludf.DUMMYFUNCTION("VALUE(SUBSTITUTE((INDEX(SPLIT(A5340,"",""),1)),""."","","",1))"),54.755602578984)</f>
        <v>54.75560258</v>
      </c>
      <c r="Q5340" s="13">
        <f>IFERROR(__xludf.DUMMYFUNCTION("VALUE(SUBSTITUTE((INDEX(SPLIT(A5340,"",""),2)),""."","","",1))"),20.525827370829)</f>
        <v>20.52582737</v>
      </c>
      <c r="R5340" s="14" t="b">
        <f t="shared" si="1"/>
        <v>0</v>
      </c>
      <c r="S5340" s="14" t="str">
        <f t="shared" si="2"/>
        <v>54.755602578984,20.525827370829</v>
      </c>
      <c r="T5340" s="12"/>
    </row>
    <row r="5341">
      <c r="A5341" s="146" t="s">
        <v>34263</v>
      </c>
      <c r="B5341" s="147" t="s">
        <v>34264</v>
      </c>
      <c r="C5341" s="147" t="s">
        <v>34265</v>
      </c>
      <c r="D5341" s="147" t="s">
        <v>33342</v>
      </c>
      <c r="E5341" s="148" t="s">
        <v>34266</v>
      </c>
      <c r="F5341" s="146" t="s">
        <v>17780</v>
      </c>
      <c r="G5341" s="146" t="s">
        <v>33344</v>
      </c>
      <c r="H5341" s="146"/>
      <c r="I5341" s="147"/>
      <c r="J5341" s="147" t="s">
        <v>34267</v>
      </c>
      <c r="K5341" s="147" t="s">
        <v>34268</v>
      </c>
      <c r="L5341" s="149" t="s">
        <v>34269</v>
      </c>
      <c r="M5341" s="147"/>
      <c r="N5341" s="12"/>
      <c r="O5341" s="12"/>
      <c r="P5341" s="13">
        <f>IFERROR(__xludf.DUMMYFUNCTION("VALUE(SUBSTITUTE((INDEX(SPLIT(A5341,"",""),1)),""."","","",1))"),54.764896393)</f>
        <v>54.76489639</v>
      </c>
      <c r="Q5341" s="13">
        <f>IFERROR(__xludf.DUMMYFUNCTION("VALUE(SUBSTITUTE((INDEX(SPLIT(A5341,"",""),2)),""."","","",1))"),42.725772858)</f>
        <v>42.72577286</v>
      </c>
      <c r="R5341" s="14" t="b">
        <f t="shared" si="1"/>
        <v>0</v>
      </c>
      <c r="S5341" s="14" t="str">
        <f t="shared" si="2"/>
        <v>54.764896393,42.725772858</v>
      </c>
      <c r="T5341" s="12"/>
    </row>
    <row r="5342">
      <c r="A5342" s="142" t="s">
        <v>34270</v>
      </c>
      <c r="B5342" s="143" t="s">
        <v>34271</v>
      </c>
      <c r="C5342" s="143" t="s">
        <v>34272</v>
      </c>
      <c r="D5342" s="143" t="s">
        <v>33342</v>
      </c>
      <c r="E5342" s="144" t="s">
        <v>34273</v>
      </c>
      <c r="F5342" s="142" t="s">
        <v>19948</v>
      </c>
      <c r="G5342" s="142" t="s">
        <v>33344</v>
      </c>
      <c r="H5342" s="142"/>
      <c r="I5342" s="155" t="s">
        <v>34274</v>
      </c>
      <c r="J5342" s="143" t="s">
        <v>34275</v>
      </c>
      <c r="K5342" s="143" t="s">
        <v>34276</v>
      </c>
      <c r="L5342" s="152" t="s">
        <v>34277</v>
      </c>
      <c r="M5342" s="143"/>
      <c r="N5342" s="12"/>
      <c r="O5342" s="12"/>
      <c r="P5342" s="13">
        <f>IFERROR(__xludf.DUMMYFUNCTION("VALUE(SUBSTITUTE((INDEX(SPLIT(A5342,"",""),1)),""."","","",1))"),54.776912689)</f>
        <v>54.77691269</v>
      </c>
      <c r="Q5342" s="13">
        <f>IFERROR(__xludf.DUMMYFUNCTION("VALUE(SUBSTITUTE((INDEX(SPLIT(A5342,"",""),2)),""."","","",1))"),56.031459808)</f>
        <v>56.03145981</v>
      </c>
      <c r="R5342" s="14" t="b">
        <f t="shared" si="1"/>
        <v>0</v>
      </c>
      <c r="S5342" s="14" t="str">
        <f t="shared" si="2"/>
        <v>54.776912689,56.031459808</v>
      </c>
      <c r="T5342" s="12"/>
    </row>
    <row r="5343">
      <c r="A5343" s="146" t="s">
        <v>34278</v>
      </c>
      <c r="B5343" s="147" t="s">
        <v>34279</v>
      </c>
      <c r="C5343" s="147" t="s">
        <v>34280</v>
      </c>
      <c r="D5343" s="147" t="s">
        <v>33342</v>
      </c>
      <c r="E5343" s="148" t="s">
        <v>34281</v>
      </c>
      <c r="F5343" s="146" t="s">
        <v>19948</v>
      </c>
      <c r="G5343" s="146" t="s">
        <v>33344</v>
      </c>
      <c r="H5343" s="146"/>
      <c r="I5343" s="147"/>
      <c r="J5343" s="147" t="s">
        <v>34282</v>
      </c>
      <c r="K5343" s="147" t="s">
        <v>34283</v>
      </c>
      <c r="L5343" s="149" t="s">
        <v>34284</v>
      </c>
      <c r="M5343" s="147"/>
      <c r="N5343" s="12"/>
      <c r="O5343" s="12"/>
      <c r="P5343" s="13">
        <f>IFERROR(__xludf.DUMMYFUNCTION("VALUE(SUBSTITUTE((INDEX(SPLIT(A5343,"",""),1)),""."","","",1))"),54.807292938)</f>
        <v>54.80729294</v>
      </c>
      <c r="Q5343" s="13">
        <f>IFERROR(__xludf.DUMMYFUNCTION("VALUE(SUBSTITUTE((INDEX(SPLIT(A5343,"",""),2)),""."","","",1))"),56.056632996)</f>
        <v>56.056633</v>
      </c>
      <c r="R5343" s="14" t="b">
        <f t="shared" si="1"/>
        <v>0</v>
      </c>
      <c r="S5343" s="14" t="str">
        <f t="shared" si="2"/>
        <v>54.807292938,56.056632996</v>
      </c>
      <c r="T5343" s="12"/>
    </row>
    <row r="5344">
      <c r="A5344" s="136" t="s">
        <v>34285</v>
      </c>
      <c r="B5344" s="137" t="s">
        <v>34286</v>
      </c>
      <c r="C5344" s="137" t="s">
        <v>34287</v>
      </c>
      <c r="D5344" s="137" t="s">
        <v>33342</v>
      </c>
      <c r="E5344" s="138" t="s">
        <v>34288</v>
      </c>
      <c r="F5344" s="136" t="s">
        <v>23238</v>
      </c>
      <c r="G5344" s="136" t="s">
        <v>33344</v>
      </c>
      <c r="H5344" s="136"/>
      <c r="I5344" s="137"/>
      <c r="J5344" s="137" t="s">
        <v>34289</v>
      </c>
      <c r="K5344" s="137" t="s">
        <v>34290</v>
      </c>
      <c r="L5344" s="137"/>
      <c r="M5344" s="137"/>
      <c r="N5344" s="12"/>
      <c r="O5344" s="12"/>
      <c r="P5344" s="13">
        <f>IFERROR(__xludf.DUMMYFUNCTION("VALUE(SUBSTITUTE((INDEX(SPLIT(A5344,"",""),1)),""."","","",1))"),54.832572937)</f>
        <v>54.83257294</v>
      </c>
      <c r="Q5344" s="13">
        <f>IFERROR(__xludf.DUMMYFUNCTION("VALUE(SUBSTITUTE((INDEX(SPLIT(A5344,"",""),2)),""."","","",1))"),20.533060074)</f>
        <v>20.53306007</v>
      </c>
      <c r="R5344" s="14" t="b">
        <f t="shared" si="1"/>
        <v>0</v>
      </c>
      <c r="S5344" s="14" t="str">
        <f t="shared" si="2"/>
        <v>54.832572937,20.533060074</v>
      </c>
      <c r="T5344" s="12"/>
    </row>
    <row r="5345">
      <c r="A5345" s="146" t="s">
        <v>34291</v>
      </c>
      <c r="B5345" s="147" t="s">
        <v>34292</v>
      </c>
      <c r="C5345" s="147" t="s">
        <v>34293</v>
      </c>
      <c r="D5345" s="147" t="s">
        <v>33342</v>
      </c>
      <c r="E5345" s="148" t="s">
        <v>34294</v>
      </c>
      <c r="F5345" s="146" t="s">
        <v>9648</v>
      </c>
      <c r="G5345" s="146" t="s">
        <v>33344</v>
      </c>
      <c r="H5345" s="146"/>
      <c r="I5345" s="147"/>
      <c r="J5345" s="147" t="s">
        <v>34295</v>
      </c>
      <c r="K5345" s="147" t="s">
        <v>34296</v>
      </c>
      <c r="L5345" s="150" t="s">
        <v>34297</v>
      </c>
      <c r="M5345" s="147"/>
      <c r="N5345" s="12"/>
      <c r="O5345" s="12"/>
      <c r="P5345" s="13">
        <f>IFERROR(__xludf.DUMMYFUNCTION("VALUE(SUBSTITUTE((INDEX(SPLIT(A5345,"",""),1)),""."","","",1))"),54.840125103872)</f>
        <v>54.8401251</v>
      </c>
      <c r="Q5345" s="13">
        <f>IFERROR(__xludf.DUMMYFUNCTION("VALUE(SUBSTITUTE((INDEX(SPLIT(A5345,"",""),2)),""."","","",1))"),83.112599506561)</f>
        <v>83.11259951</v>
      </c>
      <c r="R5345" s="14" t="b">
        <f t="shared" si="1"/>
        <v>0</v>
      </c>
      <c r="S5345" s="14" t="str">
        <f t="shared" si="2"/>
        <v>54.840125103872,83.112599506561</v>
      </c>
      <c r="T5345" s="12"/>
    </row>
    <row r="5346">
      <c r="A5346" s="142" t="s">
        <v>34298</v>
      </c>
      <c r="B5346" s="143" t="s">
        <v>34299</v>
      </c>
      <c r="C5346" s="143" t="s">
        <v>34300</v>
      </c>
      <c r="D5346" s="143" t="s">
        <v>33342</v>
      </c>
      <c r="E5346" s="144" t="s">
        <v>34301</v>
      </c>
      <c r="F5346" s="142" t="s">
        <v>3760</v>
      </c>
      <c r="G5346" s="142" t="s">
        <v>33344</v>
      </c>
      <c r="H5346" s="142"/>
      <c r="I5346" s="143"/>
      <c r="J5346" s="143" t="s">
        <v>34302</v>
      </c>
      <c r="K5346" s="143" t="s">
        <v>34303</v>
      </c>
      <c r="L5346" s="145" t="s">
        <v>34304</v>
      </c>
      <c r="M5346" s="143"/>
      <c r="N5346" s="12"/>
      <c r="O5346" s="12"/>
      <c r="P5346" s="13">
        <f>IFERROR(__xludf.DUMMYFUNCTION("VALUE(SUBSTITUTE((INDEX(SPLIT(A5346,"",""),1)),""."","","",1))"),54.85408783)</f>
        <v>54.85408783</v>
      </c>
      <c r="Q5346" s="13">
        <f>IFERROR(__xludf.DUMMYFUNCTION("VALUE(SUBSTITUTE((INDEX(SPLIT(A5346,"",""),2)),""."","","",1))"),38.563957214)</f>
        <v>38.56395721</v>
      </c>
      <c r="R5346" s="14" t="b">
        <f t="shared" si="1"/>
        <v>0</v>
      </c>
      <c r="S5346" s="14" t="str">
        <f t="shared" si="2"/>
        <v>54.85408783,38.563957214</v>
      </c>
      <c r="T5346" s="12"/>
    </row>
    <row r="5347">
      <c r="A5347" s="146" t="s">
        <v>34305</v>
      </c>
      <c r="B5347" s="147" t="s">
        <v>34306</v>
      </c>
      <c r="C5347" s="147" t="s">
        <v>34307</v>
      </c>
      <c r="D5347" s="147" t="s">
        <v>33342</v>
      </c>
      <c r="E5347" s="148" t="s">
        <v>34308</v>
      </c>
      <c r="F5347" s="146" t="s">
        <v>3760</v>
      </c>
      <c r="G5347" s="146" t="s">
        <v>33344</v>
      </c>
      <c r="H5347" s="146"/>
      <c r="I5347" s="147"/>
      <c r="J5347" s="147" t="s">
        <v>34309</v>
      </c>
      <c r="K5347" s="147" t="s">
        <v>34310</v>
      </c>
      <c r="L5347" s="149" t="s">
        <v>34311</v>
      </c>
      <c r="M5347" s="147"/>
      <c r="N5347" s="12"/>
      <c r="O5347" s="12"/>
      <c r="P5347" s="13">
        <f>IFERROR(__xludf.DUMMYFUNCTION("VALUE(SUBSTITUTE((INDEX(SPLIT(A5347,"",""),1)),""."","","",1))"),54.871471405)</f>
        <v>54.87147141</v>
      </c>
      <c r="Q5347" s="13">
        <f>IFERROR(__xludf.DUMMYFUNCTION("VALUE(SUBSTITUTE((INDEX(SPLIT(A5347,"",""),2)),""."","","",1))"),37.223609924)</f>
        <v>37.22360992</v>
      </c>
      <c r="R5347" s="14" t="b">
        <f t="shared" si="1"/>
        <v>0</v>
      </c>
      <c r="S5347" s="14" t="str">
        <f t="shared" si="2"/>
        <v>54.871471405,37.223609924</v>
      </c>
      <c r="T5347" s="12"/>
    </row>
    <row r="5348">
      <c r="A5348" s="136" t="s">
        <v>34312</v>
      </c>
      <c r="B5348" s="137" t="s">
        <v>34313</v>
      </c>
      <c r="C5348" s="137" t="s">
        <v>34314</v>
      </c>
      <c r="D5348" s="137" t="s">
        <v>33342</v>
      </c>
      <c r="E5348" s="138" t="s">
        <v>34315</v>
      </c>
      <c r="F5348" s="136" t="s">
        <v>23544</v>
      </c>
      <c r="G5348" s="136" t="s">
        <v>33344</v>
      </c>
      <c r="H5348" s="136"/>
      <c r="I5348" s="137"/>
      <c r="J5348" s="137" t="s">
        <v>34316</v>
      </c>
      <c r="K5348" s="137" t="s">
        <v>34317</v>
      </c>
      <c r="L5348" s="137"/>
      <c r="M5348" s="153" t="s">
        <v>34318</v>
      </c>
      <c r="N5348" s="12"/>
      <c r="O5348" s="12"/>
      <c r="P5348" s="13">
        <f>IFERROR(__xludf.DUMMYFUNCTION("VALUE(SUBSTITUTE((INDEX(SPLIT(A5348,"",""),1)),""."","","",1))"),54.880889893)</f>
        <v>54.88088989</v>
      </c>
      <c r="Q5348" s="13">
        <f>IFERROR(__xludf.DUMMYFUNCTION("VALUE(SUBSTITUTE((INDEX(SPLIT(A5348,"",""),2)),""."","","",1))"),61.189678192)</f>
        <v>61.18967819</v>
      </c>
      <c r="R5348" s="14" t="b">
        <f t="shared" si="1"/>
        <v>0</v>
      </c>
      <c r="S5348" s="14" t="str">
        <f t="shared" si="2"/>
        <v>54.880889893,61.189678192</v>
      </c>
      <c r="T5348" s="12"/>
    </row>
    <row r="5349">
      <c r="A5349" s="146" t="s">
        <v>34319</v>
      </c>
      <c r="B5349" s="147" t="s">
        <v>34320</v>
      </c>
      <c r="C5349" s="147" t="s">
        <v>34321</v>
      </c>
      <c r="D5349" s="147" t="s">
        <v>33342</v>
      </c>
      <c r="E5349" s="148" t="s">
        <v>34322</v>
      </c>
      <c r="F5349" s="146" t="s">
        <v>23544</v>
      </c>
      <c r="G5349" s="146" t="s">
        <v>33344</v>
      </c>
      <c r="H5349" s="146"/>
      <c r="I5349" s="147"/>
      <c r="J5349" s="147" t="s">
        <v>34323</v>
      </c>
      <c r="K5349" s="147" t="s">
        <v>34324</v>
      </c>
      <c r="L5349" s="149" t="s">
        <v>34325</v>
      </c>
      <c r="M5349" s="147"/>
      <c r="N5349" s="12"/>
      <c r="O5349" s="12"/>
      <c r="P5349" s="13">
        <f>IFERROR(__xludf.DUMMYFUNCTION("VALUE(SUBSTITUTE((INDEX(SPLIT(A5349,"",""),1)),""."","","",1))"),54.882743835)</f>
        <v>54.88274384</v>
      </c>
      <c r="Q5349" s="13">
        <f>IFERROR(__xludf.DUMMYFUNCTION("VALUE(SUBSTITUTE((INDEX(SPLIT(A5349,"",""),2)),""."","","",1))"),61.340492249)</f>
        <v>61.34049225</v>
      </c>
      <c r="R5349" s="14" t="b">
        <f t="shared" si="1"/>
        <v>0</v>
      </c>
      <c r="S5349" s="14" t="str">
        <f t="shared" si="2"/>
        <v>54.882743835,61.340492249</v>
      </c>
      <c r="T5349" s="12"/>
    </row>
    <row r="5350">
      <c r="A5350" s="142" t="s">
        <v>34326</v>
      </c>
      <c r="B5350" s="143" t="s">
        <v>34327</v>
      </c>
      <c r="C5350" s="143" t="s">
        <v>34328</v>
      </c>
      <c r="D5350" s="143" t="s">
        <v>33342</v>
      </c>
      <c r="E5350" s="144" t="s">
        <v>34329</v>
      </c>
      <c r="F5350" s="142" t="s">
        <v>10183</v>
      </c>
      <c r="G5350" s="142" t="s">
        <v>33344</v>
      </c>
      <c r="H5350" s="142"/>
      <c r="I5350" s="143"/>
      <c r="J5350" s="143" t="s">
        <v>34330</v>
      </c>
      <c r="K5350" s="143" t="s">
        <v>34331</v>
      </c>
      <c r="L5350" s="145" t="s">
        <v>34332</v>
      </c>
      <c r="M5350" s="143"/>
      <c r="N5350" s="12"/>
      <c r="O5350" s="12"/>
      <c r="P5350" s="13">
        <f>IFERROR(__xludf.DUMMYFUNCTION("VALUE(SUBSTITUTE((INDEX(SPLIT(A5350,"",""),1)),""."","","",1))"),54.900716876099)</f>
        <v>54.90071688</v>
      </c>
      <c r="Q5350" s="13">
        <f>IFERROR(__xludf.DUMMYFUNCTION("VALUE(SUBSTITUTE((INDEX(SPLIT(A5350,"",""),2)),""."","","",1))"),52.28890034011)</f>
        <v>52.28890034</v>
      </c>
      <c r="R5350" s="14" t="b">
        <f t="shared" si="1"/>
        <v>0</v>
      </c>
      <c r="S5350" s="14" t="str">
        <f t="shared" si="2"/>
        <v>54.900716876099,52.28890034011</v>
      </c>
      <c r="T5350" s="12"/>
    </row>
    <row r="5351">
      <c r="A5351" s="146" t="s">
        <v>34333</v>
      </c>
      <c r="B5351" s="147" t="s">
        <v>34334</v>
      </c>
      <c r="C5351" s="147" t="s">
        <v>34335</v>
      </c>
      <c r="D5351" s="147" t="s">
        <v>33342</v>
      </c>
      <c r="E5351" s="148" t="s">
        <v>34336</v>
      </c>
      <c r="F5351" s="146" t="s">
        <v>3760</v>
      </c>
      <c r="G5351" s="146" t="s">
        <v>33344</v>
      </c>
      <c r="H5351" s="146"/>
      <c r="I5351" s="147"/>
      <c r="J5351" s="147" t="s">
        <v>34337</v>
      </c>
      <c r="K5351" s="147" t="s">
        <v>34338</v>
      </c>
      <c r="L5351" s="149" t="s">
        <v>34339</v>
      </c>
      <c r="M5351" s="147"/>
      <c r="N5351" s="12"/>
      <c r="O5351" s="12"/>
      <c r="P5351" s="13">
        <f>IFERROR(__xludf.DUMMYFUNCTION("VALUE(SUBSTITUTE((INDEX(SPLIT(A5351,"",""),1)),""."","","",1))"),54.915447235)</f>
        <v>54.91544724</v>
      </c>
      <c r="Q5351" s="13">
        <f>IFERROR(__xludf.DUMMYFUNCTION("VALUE(SUBSTITUTE((INDEX(SPLIT(A5351,"",""),2)),""."","","",1))"),37.412845612)</f>
        <v>37.41284561</v>
      </c>
      <c r="R5351" s="14" t="b">
        <f t="shared" si="1"/>
        <v>0</v>
      </c>
      <c r="S5351" s="14" t="str">
        <f t="shared" si="2"/>
        <v>54.915447235,37.412845612</v>
      </c>
      <c r="T5351" s="12"/>
    </row>
    <row r="5352">
      <c r="A5352" s="142" t="s">
        <v>34340</v>
      </c>
      <c r="B5352" s="143" t="s">
        <v>34341</v>
      </c>
      <c r="C5352" s="143" t="s">
        <v>34342</v>
      </c>
      <c r="D5352" s="143" t="s">
        <v>33342</v>
      </c>
      <c r="E5352" s="144" t="s">
        <v>34343</v>
      </c>
      <c r="F5352" s="142" t="s">
        <v>23238</v>
      </c>
      <c r="G5352" s="142" t="s">
        <v>33344</v>
      </c>
      <c r="H5352" s="142"/>
      <c r="I5352" s="143"/>
      <c r="J5352" s="143" t="s">
        <v>34344</v>
      </c>
      <c r="K5352" s="143" t="s">
        <v>34345</v>
      </c>
      <c r="L5352" s="145" t="s">
        <v>34346</v>
      </c>
      <c r="M5352" s="143"/>
      <c r="N5352" s="12"/>
      <c r="O5352" s="12"/>
      <c r="P5352" s="13">
        <f>IFERROR(__xludf.DUMMYFUNCTION("VALUE(SUBSTITUTE((INDEX(SPLIT(A5352,"",""),1)),""."","","",1))"),54.940319061)</f>
        <v>54.94031906</v>
      </c>
      <c r="Q5352" s="13">
        <f>IFERROR(__xludf.DUMMYFUNCTION("VALUE(SUBSTITUTE((INDEX(SPLIT(A5352,"",""),2)),""."","","",1))"),73.511657715)</f>
        <v>73.51165772</v>
      </c>
      <c r="R5352" s="14" t="b">
        <f t="shared" si="1"/>
        <v>0</v>
      </c>
      <c r="S5352" s="14" t="str">
        <f t="shared" si="2"/>
        <v>54.940319061,73.511657715</v>
      </c>
      <c r="T5352" s="12"/>
    </row>
    <row r="5353">
      <c r="A5353" s="146" t="s">
        <v>34347</v>
      </c>
      <c r="B5353" s="147" t="s">
        <v>34348</v>
      </c>
      <c r="C5353" s="147" t="s">
        <v>34349</v>
      </c>
      <c r="D5353" s="147" t="s">
        <v>33342</v>
      </c>
      <c r="E5353" s="148" t="s">
        <v>34350</v>
      </c>
      <c r="F5353" s="146" t="s">
        <v>23238</v>
      </c>
      <c r="G5353" s="146" t="s">
        <v>33344</v>
      </c>
      <c r="H5353" s="146"/>
      <c r="I5353" s="147"/>
      <c r="J5353" s="147" t="s">
        <v>34351</v>
      </c>
      <c r="K5353" s="147" t="s">
        <v>34352</v>
      </c>
      <c r="L5353" s="149" t="s">
        <v>34353</v>
      </c>
      <c r="M5353" s="149" t="s">
        <v>34354</v>
      </c>
      <c r="N5353" s="12"/>
      <c r="O5353" s="12"/>
      <c r="P5353" s="13">
        <f>IFERROR(__xludf.DUMMYFUNCTION("VALUE(SUBSTITUTE((INDEX(SPLIT(A5353,"",""),1)),""."","","",1))"),54.946624756)</f>
        <v>54.94662476</v>
      </c>
      <c r="Q5353" s="13">
        <f>IFERROR(__xludf.DUMMYFUNCTION("VALUE(SUBSTITUTE((INDEX(SPLIT(A5353,"",""),2)),""."","","",1))"),73.311004639)</f>
        <v>73.31100464</v>
      </c>
      <c r="R5353" s="14" t="b">
        <f t="shared" si="1"/>
        <v>0</v>
      </c>
      <c r="S5353" s="14" t="str">
        <f t="shared" si="2"/>
        <v>54.946624756,73.311004639</v>
      </c>
      <c r="T5353" s="12"/>
    </row>
    <row r="5354">
      <c r="A5354" s="136" t="s">
        <v>34355</v>
      </c>
      <c r="B5354" s="137" t="s">
        <v>34356</v>
      </c>
      <c r="C5354" s="137" t="s">
        <v>34357</v>
      </c>
      <c r="D5354" s="137" t="s">
        <v>33342</v>
      </c>
      <c r="E5354" s="138" t="s">
        <v>34358</v>
      </c>
      <c r="F5354" s="136" t="s">
        <v>23238</v>
      </c>
      <c r="G5354" s="136" t="s">
        <v>33344</v>
      </c>
      <c r="H5354" s="136"/>
      <c r="I5354" s="137"/>
      <c r="J5354" s="137" t="s">
        <v>34359</v>
      </c>
      <c r="K5354" s="137" t="s">
        <v>34360</v>
      </c>
      <c r="L5354" s="137"/>
      <c r="M5354" s="137"/>
      <c r="N5354" s="12"/>
      <c r="O5354" s="12"/>
      <c r="P5354" s="13">
        <f>IFERROR(__xludf.DUMMYFUNCTION("VALUE(SUBSTITUTE((INDEX(SPLIT(A5354,"",""),1)),""."","","",1))"),54.989686964541)</f>
        <v>54.98968696</v>
      </c>
      <c r="Q5354" s="13">
        <f>IFERROR(__xludf.DUMMYFUNCTION("VALUE(SUBSTITUTE((INDEX(SPLIT(A5354,"",""),2)),""."","","",1))"),73.378859550403)</f>
        <v>73.37885955</v>
      </c>
      <c r="R5354" s="14" t="b">
        <f t="shared" si="1"/>
        <v>0</v>
      </c>
      <c r="S5354" s="14" t="str">
        <f t="shared" si="2"/>
        <v>54.989686964541,73.378859550403</v>
      </c>
      <c r="T5354" s="12"/>
    </row>
    <row r="5355">
      <c r="A5355" s="146" t="s">
        <v>34361</v>
      </c>
      <c r="B5355" s="147" t="s">
        <v>34362</v>
      </c>
      <c r="C5355" s="147" t="s">
        <v>34363</v>
      </c>
      <c r="D5355" s="147" t="s">
        <v>33342</v>
      </c>
      <c r="E5355" s="148" t="s">
        <v>34364</v>
      </c>
      <c r="F5355" s="146" t="s">
        <v>23544</v>
      </c>
      <c r="G5355" s="146" t="s">
        <v>33344</v>
      </c>
      <c r="H5355" s="146"/>
      <c r="I5355" s="147"/>
      <c r="J5355" s="147" t="s">
        <v>34365</v>
      </c>
      <c r="K5355" s="147" t="s">
        <v>34366</v>
      </c>
      <c r="L5355" s="150" t="s">
        <v>34367</v>
      </c>
      <c r="M5355" s="147"/>
      <c r="N5355" s="12"/>
      <c r="O5355" s="12"/>
      <c r="P5355" s="13">
        <f>IFERROR(__xludf.DUMMYFUNCTION("VALUE(SUBSTITUTE((INDEX(SPLIT(A5355,"",""),1)),""."","","",1))"),54.991729736)</f>
        <v>54.99172974</v>
      </c>
      <c r="Q5355" s="13">
        <f>IFERROR(__xludf.DUMMYFUNCTION("VALUE(SUBSTITUTE((INDEX(SPLIT(A5355,"",""),2)),""."","","",1))"),61.481712341)</f>
        <v>61.48171234</v>
      </c>
      <c r="R5355" s="14" t="b">
        <f t="shared" si="1"/>
        <v>0</v>
      </c>
      <c r="S5355" s="14" t="str">
        <f t="shared" si="2"/>
        <v>54.991729736,61.481712341</v>
      </c>
      <c r="T5355" s="12"/>
    </row>
    <row r="5356">
      <c r="A5356" s="142" t="s">
        <v>34368</v>
      </c>
      <c r="B5356" s="143" t="s">
        <v>34369</v>
      </c>
      <c r="C5356" s="143" t="s">
        <v>34370</v>
      </c>
      <c r="D5356" s="143" t="s">
        <v>33342</v>
      </c>
      <c r="E5356" s="144" t="s">
        <v>34371</v>
      </c>
      <c r="F5356" s="142" t="s">
        <v>23238</v>
      </c>
      <c r="G5356" s="142" t="s">
        <v>33344</v>
      </c>
      <c r="H5356" s="142"/>
      <c r="I5356" s="143"/>
      <c r="J5356" s="143" t="s">
        <v>34372</v>
      </c>
      <c r="K5356" s="143" t="s">
        <v>34373</v>
      </c>
      <c r="L5356" s="145" t="s">
        <v>34374</v>
      </c>
      <c r="M5356" s="145" t="s">
        <v>34375</v>
      </c>
      <c r="N5356" s="12"/>
      <c r="O5356" s="12"/>
      <c r="P5356" s="13">
        <f>IFERROR(__xludf.DUMMYFUNCTION("VALUE(SUBSTITUTE((INDEX(SPLIT(A5356,"",""),1)),""."","","",1))"),55.011146545)</f>
        <v>55.01114655</v>
      </c>
      <c r="Q5356" s="13">
        <f>IFERROR(__xludf.DUMMYFUNCTION("VALUE(SUBSTITUTE((INDEX(SPLIT(A5356,"",""),2)),""."","","",1))"),73.339164734)</f>
        <v>73.33916473</v>
      </c>
      <c r="R5356" s="14" t="b">
        <f t="shared" si="1"/>
        <v>0</v>
      </c>
      <c r="S5356" s="14" t="str">
        <f t="shared" si="2"/>
        <v>55.011146545,73.339164734</v>
      </c>
      <c r="T5356" s="12"/>
    </row>
    <row r="5357">
      <c r="A5357" s="146" t="s">
        <v>34376</v>
      </c>
      <c r="B5357" s="147" t="s">
        <v>34377</v>
      </c>
      <c r="C5357" s="147" t="s">
        <v>34378</v>
      </c>
      <c r="D5357" s="147" t="s">
        <v>33342</v>
      </c>
      <c r="E5357" s="148" t="s">
        <v>34379</v>
      </c>
      <c r="F5357" s="146" t="s">
        <v>9648</v>
      </c>
      <c r="G5357" s="146" t="s">
        <v>33344</v>
      </c>
      <c r="H5357" s="146"/>
      <c r="I5357" s="147"/>
      <c r="J5357" s="147" t="s">
        <v>34380</v>
      </c>
      <c r="K5357" s="147" t="s">
        <v>34381</v>
      </c>
      <c r="L5357" s="149" t="s">
        <v>34382</v>
      </c>
      <c r="M5357" s="149" t="s">
        <v>34383</v>
      </c>
      <c r="N5357" s="12"/>
      <c r="O5357" s="12"/>
      <c r="P5357" s="13">
        <f>IFERROR(__xludf.DUMMYFUNCTION("VALUE(SUBSTITUTE((INDEX(SPLIT(A5357,"",""),1)),""."","","",1))"),55.03395462)</f>
        <v>55.03395462</v>
      </c>
      <c r="Q5357" s="13">
        <f>IFERROR(__xludf.DUMMYFUNCTION("VALUE(SUBSTITUTE((INDEX(SPLIT(A5357,"",""),2)),""."","","",1))"),82.918540955)</f>
        <v>82.91854096</v>
      </c>
      <c r="R5357" s="14" t="b">
        <f t="shared" si="1"/>
        <v>0</v>
      </c>
      <c r="S5357" s="14" t="str">
        <f t="shared" si="2"/>
        <v>55.03395462,82.918540955</v>
      </c>
      <c r="T5357" s="12"/>
    </row>
    <row r="5358">
      <c r="A5358" s="136" t="s">
        <v>34384</v>
      </c>
      <c r="B5358" s="137" t="s">
        <v>34385</v>
      </c>
      <c r="C5358" s="137" t="s">
        <v>34386</v>
      </c>
      <c r="D5358" s="137" t="s">
        <v>33342</v>
      </c>
      <c r="E5358" s="138" t="s">
        <v>34387</v>
      </c>
      <c r="F5358" s="136" t="s">
        <v>23238</v>
      </c>
      <c r="G5358" s="136" t="s">
        <v>33344</v>
      </c>
      <c r="H5358" s="136"/>
      <c r="I5358" s="137"/>
      <c r="J5358" s="137" t="s">
        <v>34388</v>
      </c>
      <c r="K5358" s="137" t="s">
        <v>34389</v>
      </c>
      <c r="L5358" s="137"/>
      <c r="M5358" s="137"/>
      <c r="N5358" s="12"/>
      <c r="O5358" s="12"/>
      <c r="P5358" s="13">
        <f>IFERROR(__xludf.DUMMYFUNCTION("VALUE(SUBSTITUTE((INDEX(SPLIT(A5358,"",""),1)),""."","","",1))"),55.041481018)</f>
        <v>55.04148102</v>
      </c>
      <c r="Q5358" s="13">
        <f>IFERROR(__xludf.DUMMYFUNCTION("VALUE(SUBSTITUTE((INDEX(SPLIT(A5358,"",""),2)),""."","","",1))"),73.264144897)</f>
        <v>73.2641449</v>
      </c>
      <c r="R5358" s="14" t="b">
        <f t="shared" si="1"/>
        <v>0</v>
      </c>
      <c r="S5358" s="14" t="str">
        <f t="shared" si="2"/>
        <v>55.041481018,73.264144897</v>
      </c>
      <c r="T5358" s="12"/>
    </row>
    <row r="5359">
      <c r="A5359" s="146" t="s">
        <v>34390</v>
      </c>
      <c r="B5359" s="147" t="s">
        <v>34391</v>
      </c>
      <c r="C5359" s="147" t="s">
        <v>34392</v>
      </c>
      <c r="D5359" s="147" t="s">
        <v>33342</v>
      </c>
      <c r="E5359" s="148" t="s">
        <v>34393</v>
      </c>
      <c r="F5359" s="146" t="s">
        <v>23238</v>
      </c>
      <c r="G5359" s="146" t="s">
        <v>33344</v>
      </c>
      <c r="H5359" s="146"/>
      <c r="I5359" s="147"/>
      <c r="J5359" s="147" t="s">
        <v>34394</v>
      </c>
      <c r="K5359" s="147" t="s">
        <v>34389</v>
      </c>
      <c r="L5359" s="149" t="s">
        <v>34395</v>
      </c>
      <c r="M5359" s="147"/>
      <c r="N5359" s="12"/>
      <c r="O5359" s="12"/>
      <c r="P5359" s="13">
        <f>IFERROR(__xludf.DUMMYFUNCTION("VALUE(SUBSTITUTE((INDEX(SPLIT(A5359,"",""),1)),""."","","",1))"),55.044136047)</f>
        <v>55.04413605</v>
      </c>
      <c r="Q5359" s="13">
        <f>IFERROR(__xludf.DUMMYFUNCTION("VALUE(SUBSTITUTE((INDEX(SPLIT(A5359,"",""),2)),""."","","",1))"),73.19947052)</f>
        <v>73.19947052</v>
      </c>
      <c r="R5359" s="14" t="b">
        <f t="shared" si="1"/>
        <v>0</v>
      </c>
      <c r="S5359" s="14" t="str">
        <f t="shared" si="2"/>
        <v>55.044136047,73.19947052</v>
      </c>
      <c r="T5359" s="12"/>
    </row>
    <row r="5360">
      <c r="A5360" s="142" t="s">
        <v>34396</v>
      </c>
      <c r="B5360" s="143" t="s">
        <v>34397</v>
      </c>
      <c r="C5360" s="143" t="s">
        <v>34398</v>
      </c>
      <c r="D5360" s="143" t="s">
        <v>33342</v>
      </c>
      <c r="E5360" s="144" t="s">
        <v>34399</v>
      </c>
      <c r="F5360" s="142" t="s">
        <v>13482</v>
      </c>
      <c r="G5360" s="142" t="s">
        <v>33344</v>
      </c>
      <c r="H5360" s="142"/>
      <c r="I5360" s="143"/>
      <c r="J5360" s="143" t="s">
        <v>34400</v>
      </c>
      <c r="K5360" s="143" t="s">
        <v>34401</v>
      </c>
      <c r="L5360" s="145" t="s">
        <v>34402</v>
      </c>
      <c r="M5360" s="143"/>
      <c r="N5360" s="12"/>
      <c r="O5360" s="12"/>
      <c r="P5360" s="13">
        <f>IFERROR(__xludf.DUMMYFUNCTION("VALUE(SUBSTITUTE((INDEX(SPLIT(A5360,"",""),1)),""."","","",1))"),55.061439514)</f>
        <v>55.06143951</v>
      </c>
      <c r="Q5360" s="13">
        <f>IFERROR(__xludf.DUMMYFUNCTION("VALUE(SUBSTITUTE((INDEX(SPLIT(A5360,"",""),2)),""."","","",1))"),47.601280212)</f>
        <v>47.60128021</v>
      </c>
      <c r="R5360" s="14" t="b">
        <f t="shared" si="1"/>
        <v>0</v>
      </c>
      <c r="S5360" s="14" t="str">
        <f t="shared" si="2"/>
        <v>55.061439514,47.601280212</v>
      </c>
      <c r="T5360" s="12"/>
    </row>
    <row r="5361">
      <c r="A5361" s="146" t="s">
        <v>34403</v>
      </c>
      <c r="B5361" s="147" t="s">
        <v>34404</v>
      </c>
      <c r="C5361" s="147" t="s">
        <v>34405</v>
      </c>
      <c r="D5361" s="147" t="s">
        <v>33342</v>
      </c>
      <c r="E5361" s="148" t="s">
        <v>34406</v>
      </c>
      <c r="F5361" s="146" t="s">
        <v>3760</v>
      </c>
      <c r="G5361" s="146" t="s">
        <v>33344</v>
      </c>
      <c r="H5361" s="146"/>
      <c r="I5361" s="147"/>
      <c r="J5361" s="147" t="s">
        <v>34407</v>
      </c>
      <c r="K5361" s="147" t="s">
        <v>34408</v>
      </c>
      <c r="L5361" s="149" t="s">
        <v>34409</v>
      </c>
      <c r="M5361" s="147"/>
      <c r="N5361" s="12"/>
      <c r="O5361" s="12"/>
      <c r="P5361" s="13">
        <f>IFERROR(__xludf.DUMMYFUNCTION("VALUE(SUBSTITUTE((INDEX(SPLIT(A5361,"",""),1)),""."","","",1))"),55.063812256)</f>
        <v>55.06381226</v>
      </c>
      <c r="Q5361" s="13">
        <f>IFERROR(__xludf.DUMMYFUNCTION("VALUE(SUBSTITUTE((INDEX(SPLIT(A5361,"",""),2)),""."","","",1))"),38.743198395)</f>
        <v>38.7431984</v>
      </c>
      <c r="R5361" s="14" t="b">
        <f t="shared" si="1"/>
        <v>0</v>
      </c>
      <c r="S5361" s="14" t="str">
        <f t="shared" si="2"/>
        <v>55.063812256,38.743198395</v>
      </c>
      <c r="T5361" s="12"/>
    </row>
    <row r="5362">
      <c r="A5362" s="142" t="s">
        <v>34410</v>
      </c>
      <c r="B5362" s="143" t="s">
        <v>34411</v>
      </c>
      <c r="C5362" s="143" t="s">
        <v>34412</v>
      </c>
      <c r="D5362" s="143" t="s">
        <v>33342</v>
      </c>
      <c r="E5362" s="144" t="s">
        <v>34413</v>
      </c>
      <c r="F5362" s="142" t="s">
        <v>3760</v>
      </c>
      <c r="G5362" s="142" t="s">
        <v>33344</v>
      </c>
      <c r="H5362" s="142"/>
      <c r="I5362" s="155" t="s">
        <v>34414</v>
      </c>
      <c r="J5362" s="143" t="s">
        <v>34415</v>
      </c>
      <c r="K5362" s="143" t="s">
        <v>34416</v>
      </c>
      <c r="L5362" s="152" t="s">
        <v>34417</v>
      </c>
      <c r="M5362" s="143"/>
      <c r="N5362" s="12"/>
      <c r="O5362" s="12"/>
      <c r="P5362" s="13">
        <f>IFERROR(__xludf.DUMMYFUNCTION("VALUE(SUBSTITUTE((INDEX(SPLIT(A5362,"",""),1)),""."","","",1))"),55.065997361702)</f>
        <v>55.06599736</v>
      </c>
      <c r="Q5362" s="13">
        <f>IFERROR(__xludf.DUMMYFUNCTION("VALUE(SUBSTITUTE((INDEX(SPLIT(A5362,"",""),2)),""."","","",1))"),38.836385709623)</f>
        <v>38.83638571</v>
      </c>
      <c r="R5362" s="14" t="b">
        <f t="shared" si="1"/>
        <v>0</v>
      </c>
      <c r="S5362" s="14" t="str">
        <f t="shared" si="2"/>
        <v>55.065997361702,38.836385709623</v>
      </c>
      <c r="T5362" s="12"/>
    </row>
    <row r="5363">
      <c r="A5363" s="146" t="s">
        <v>34418</v>
      </c>
      <c r="B5363" s="147" t="s">
        <v>34419</v>
      </c>
      <c r="C5363" s="147" t="s">
        <v>34420</v>
      </c>
      <c r="D5363" s="147" t="s">
        <v>33342</v>
      </c>
      <c r="E5363" s="148" t="s">
        <v>34421</v>
      </c>
      <c r="F5363" s="146" t="s">
        <v>9648</v>
      </c>
      <c r="G5363" s="146" t="s">
        <v>33344</v>
      </c>
      <c r="H5363" s="146"/>
      <c r="I5363" s="147"/>
      <c r="J5363" s="147" t="s">
        <v>34422</v>
      </c>
      <c r="K5363" s="147" t="s">
        <v>34423</v>
      </c>
      <c r="L5363" s="150" t="s">
        <v>34424</v>
      </c>
      <c r="M5363" s="147"/>
      <c r="N5363" s="12"/>
      <c r="O5363" s="12"/>
      <c r="P5363" s="13">
        <f>IFERROR(__xludf.DUMMYFUNCTION("VALUE(SUBSTITUTE((INDEX(SPLIT(A5363,"",""),1)),""."","","",1))"),55.067287445)</f>
        <v>55.06728745</v>
      </c>
      <c r="Q5363" s="13">
        <f>IFERROR(__xludf.DUMMYFUNCTION("VALUE(SUBSTITUTE((INDEX(SPLIT(A5363,"",""),2)),""."","","",1))"),82.928947449)</f>
        <v>82.92894745</v>
      </c>
      <c r="R5363" s="14" t="b">
        <f t="shared" si="1"/>
        <v>0</v>
      </c>
      <c r="S5363" s="14" t="str">
        <f t="shared" si="2"/>
        <v>55.067287445,82.928947449</v>
      </c>
      <c r="T5363" s="12"/>
    </row>
    <row r="5364">
      <c r="A5364" s="142" t="s">
        <v>33243</v>
      </c>
      <c r="B5364" s="143" t="s">
        <v>34425</v>
      </c>
      <c r="C5364" s="143" t="s">
        <v>34426</v>
      </c>
      <c r="D5364" s="143" t="s">
        <v>33342</v>
      </c>
      <c r="E5364" s="144" t="s">
        <v>33246</v>
      </c>
      <c r="F5364" s="142" t="s">
        <v>23238</v>
      </c>
      <c r="G5364" s="142" t="s">
        <v>33344</v>
      </c>
      <c r="H5364" s="142"/>
      <c r="I5364" s="155" t="s">
        <v>33247</v>
      </c>
      <c r="J5364" s="143" t="s">
        <v>34427</v>
      </c>
      <c r="K5364" s="143" t="s">
        <v>25551</v>
      </c>
      <c r="L5364" s="152" t="s">
        <v>34428</v>
      </c>
      <c r="M5364" s="143"/>
      <c r="N5364" s="12"/>
      <c r="O5364" s="12"/>
      <c r="P5364" s="13">
        <f>IFERROR(__xludf.DUMMYFUNCTION("VALUE(SUBSTITUTE((INDEX(SPLIT(A5364,"",""),1)),""."","","",1))"),55.082622528)</f>
        <v>55.08262253</v>
      </c>
      <c r="Q5364" s="13">
        <f>IFERROR(__xludf.DUMMYFUNCTION("VALUE(SUBSTITUTE((INDEX(SPLIT(A5364,"",""),2)),""."","","",1))"),73.207817078)</f>
        <v>73.20781708</v>
      </c>
      <c r="R5364" s="14" t="b">
        <f t="shared" si="1"/>
        <v>0</v>
      </c>
      <c r="S5364" s="14" t="str">
        <f t="shared" si="2"/>
        <v>55.082622528,73.207817078</v>
      </c>
      <c r="T5364" s="12"/>
    </row>
    <row r="5365">
      <c r="A5365" s="139" t="s">
        <v>34429</v>
      </c>
      <c r="B5365" s="140" t="s">
        <v>34430</v>
      </c>
      <c r="C5365" s="140" t="s">
        <v>34431</v>
      </c>
      <c r="D5365" s="140" t="s">
        <v>33342</v>
      </c>
      <c r="E5365" s="141" t="s">
        <v>34432</v>
      </c>
      <c r="F5365" s="139" t="s">
        <v>6724</v>
      </c>
      <c r="G5365" s="139" t="s">
        <v>33344</v>
      </c>
      <c r="H5365" s="139"/>
      <c r="I5365" s="140"/>
      <c r="J5365" s="140" t="s">
        <v>34433</v>
      </c>
      <c r="K5365" s="140" t="s">
        <v>34434</v>
      </c>
      <c r="L5365" s="140"/>
      <c r="M5365" s="140"/>
      <c r="N5365" s="12"/>
      <c r="O5365" s="12"/>
      <c r="P5365" s="13">
        <f>IFERROR(__xludf.DUMMYFUNCTION("VALUE(SUBSTITUTE((INDEX(SPLIT(A5365,"",""),1)),""."","","",1))"),55.086250305)</f>
        <v>55.08625031</v>
      </c>
      <c r="Q5365" s="13">
        <f>IFERROR(__xludf.DUMMYFUNCTION("VALUE(SUBSTITUTE((INDEX(SPLIT(A5365,"",""),2)),""."","","",1))"),36.589584351)</f>
        <v>36.58958435</v>
      </c>
      <c r="R5365" s="14" t="b">
        <f t="shared" si="1"/>
        <v>0</v>
      </c>
      <c r="S5365" s="14" t="str">
        <f t="shared" si="2"/>
        <v>55.086250305,36.589584351</v>
      </c>
      <c r="T5365" s="12"/>
    </row>
    <row r="5366">
      <c r="A5366" s="142" t="s">
        <v>34435</v>
      </c>
      <c r="B5366" s="143" t="s">
        <v>1780</v>
      </c>
      <c r="C5366" s="143" t="s">
        <v>34335</v>
      </c>
      <c r="D5366" s="143" t="s">
        <v>33342</v>
      </c>
      <c r="E5366" s="144" t="s">
        <v>34436</v>
      </c>
      <c r="F5366" s="142" t="s">
        <v>3760</v>
      </c>
      <c r="G5366" s="142" t="s">
        <v>33344</v>
      </c>
      <c r="H5366" s="142"/>
      <c r="I5366" s="143"/>
      <c r="J5366" s="143" t="s">
        <v>34437</v>
      </c>
      <c r="K5366" s="143" t="s">
        <v>34438</v>
      </c>
      <c r="L5366" s="145" t="s">
        <v>34439</v>
      </c>
      <c r="M5366" s="143"/>
      <c r="N5366" s="12"/>
      <c r="O5366" s="12"/>
      <c r="P5366" s="13">
        <f>IFERROR(__xludf.DUMMYFUNCTION("VALUE(SUBSTITUTE((INDEX(SPLIT(A5366,"",""),1)),""."","","",1))"),55.094600677)</f>
        <v>55.09460068</v>
      </c>
      <c r="Q5366" s="13">
        <f>IFERROR(__xludf.DUMMYFUNCTION("VALUE(SUBSTITUTE((INDEX(SPLIT(A5366,"",""),2)),""."","","",1))"),38.76537323)</f>
        <v>38.76537323</v>
      </c>
      <c r="R5366" s="14" t="b">
        <f t="shared" si="1"/>
        <v>0</v>
      </c>
      <c r="S5366" s="14" t="str">
        <f t="shared" si="2"/>
        <v>55.094600677,38.76537323</v>
      </c>
      <c r="T5366" s="12"/>
    </row>
    <row r="5367">
      <c r="A5367" s="146" t="s">
        <v>34440</v>
      </c>
      <c r="B5367" s="147" t="s">
        <v>34441</v>
      </c>
      <c r="C5367" s="147" t="s">
        <v>34442</v>
      </c>
      <c r="D5367" s="147" t="s">
        <v>33342</v>
      </c>
      <c r="E5367" s="148" t="s">
        <v>34443</v>
      </c>
      <c r="F5367" s="146" t="s">
        <v>3760</v>
      </c>
      <c r="G5367" s="146" t="s">
        <v>33344</v>
      </c>
      <c r="H5367" s="146"/>
      <c r="I5367" s="147"/>
      <c r="J5367" s="147" t="s">
        <v>34444</v>
      </c>
      <c r="K5367" s="147" t="s">
        <v>34445</v>
      </c>
      <c r="L5367" s="149" t="s">
        <v>34446</v>
      </c>
      <c r="M5367" s="147"/>
      <c r="N5367" s="12"/>
      <c r="O5367" s="12"/>
      <c r="P5367" s="13">
        <f>IFERROR(__xludf.DUMMYFUNCTION("VALUE(SUBSTITUTE((INDEX(SPLIT(A5367,"",""),1)),""."","","",1))"),55.161167145)</f>
        <v>55.16116715</v>
      </c>
      <c r="Q5367" s="13">
        <f>IFERROR(__xludf.DUMMYFUNCTION("VALUE(SUBSTITUTE((INDEX(SPLIT(A5367,"",""),2)),""."","","",1))"),37.4245224)</f>
        <v>37.4245224</v>
      </c>
      <c r="R5367" s="14" t="b">
        <f t="shared" si="1"/>
        <v>0</v>
      </c>
      <c r="S5367" s="14" t="str">
        <f t="shared" si="2"/>
        <v>55.161167145,37.4245224</v>
      </c>
      <c r="T5367" s="12"/>
    </row>
    <row r="5368">
      <c r="A5368" s="142" t="s">
        <v>34447</v>
      </c>
      <c r="B5368" s="143" t="s">
        <v>34448</v>
      </c>
      <c r="C5368" s="143" t="s">
        <v>34449</v>
      </c>
      <c r="D5368" s="143" t="s">
        <v>33342</v>
      </c>
      <c r="E5368" s="144" t="s">
        <v>34450</v>
      </c>
      <c r="F5368" s="142" t="s">
        <v>3760</v>
      </c>
      <c r="G5368" s="142" t="s">
        <v>33344</v>
      </c>
      <c r="H5368" s="142"/>
      <c r="I5368" s="143"/>
      <c r="J5368" s="143" t="s">
        <v>34451</v>
      </c>
      <c r="K5368" s="143" t="s">
        <v>34452</v>
      </c>
      <c r="L5368" s="145" t="s">
        <v>34453</v>
      </c>
      <c r="M5368" s="143"/>
      <c r="N5368" s="12"/>
      <c r="O5368" s="12"/>
      <c r="P5368" s="13">
        <f>IFERROR(__xludf.DUMMYFUNCTION("VALUE(SUBSTITUTE((INDEX(SPLIT(A5368,"",""),1)),""."","","",1))"),55.165523529)</f>
        <v>55.16552353</v>
      </c>
      <c r="Q5368" s="13">
        <f>IFERROR(__xludf.DUMMYFUNCTION("VALUE(SUBSTITUTE((INDEX(SPLIT(A5368,"",""),2)),""."","","",1))"),39.061443329)</f>
        <v>39.06144333</v>
      </c>
      <c r="R5368" s="14" t="b">
        <f t="shared" si="1"/>
        <v>0</v>
      </c>
      <c r="S5368" s="14" t="str">
        <f t="shared" si="2"/>
        <v>55.165523529,39.061443329</v>
      </c>
      <c r="T5368" s="12"/>
    </row>
    <row r="5369">
      <c r="A5369" s="146" t="s">
        <v>34454</v>
      </c>
      <c r="B5369" s="147" t="s">
        <v>34455</v>
      </c>
      <c r="C5369" s="147" t="s">
        <v>34456</v>
      </c>
      <c r="D5369" s="147" t="s">
        <v>33342</v>
      </c>
      <c r="E5369" s="148" t="s">
        <v>34457</v>
      </c>
      <c r="F5369" s="146" t="s">
        <v>23544</v>
      </c>
      <c r="G5369" s="146" t="s">
        <v>33344</v>
      </c>
      <c r="H5369" s="146"/>
      <c r="I5369" s="147"/>
      <c r="J5369" s="147" t="s">
        <v>34458</v>
      </c>
      <c r="K5369" s="147" t="s">
        <v>34459</v>
      </c>
      <c r="L5369" s="150" t="s">
        <v>34460</v>
      </c>
      <c r="M5369" s="147"/>
      <c r="N5369" s="12"/>
      <c r="O5369" s="12"/>
      <c r="P5369" s="13">
        <f>IFERROR(__xludf.DUMMYFUNCTION("VALUE(SUBSTITUTE((INDEX(SPLIT(A5369,"",""),1)),""."","","",1))"),55.189048767)</f>
        <v>55.18904877</v>
      </c>
      <c r="Q5369" s="13">
        <f>IFERROR(__xludf.DUMMYFUNCTION("VALUE(SUBSTITUTE((INDEX(SPLIT(A5369,"",""),2)),""."","","",1))"),61.38791275)</f>
        <v>61.38791275</v>
      </c>
      <c r="R5369" s="14" t="b">
        <f t="shared" si="1"/>
        <v>0</v>
      </c>
      <c r="S5369" s="14" t="str">
        <f t="shared" si="2"/>
        <v>55.189048767,61.38791275</v>
      </c>
      <c r="T5369" s="12"/>
    </row>
    <row r="5370">
      <c r="A5370" s="142" t="s">
        <v>34461</v>
      </c>
      <c r="B5370" s="143" t="s">
        <v>827</v>
      </c>
      <c r="C5370" s="143" t="s">
        <v>34462</v>
      </c>
      <c r="D5370" s="143" t="s">
        <v>33342</v>
      </c>
      <c r="E5370" s="144" t="s">
        <v>34463</v>
      </c>
      <c r="F5370" s="142" t="s">
        <v>24698</v>
      </c>
      <c r="G5370" s="142" t="s">
        <v>33344</v>
      </c>
      <c r="H5370" s="142"/>
      <c r="I5370" s="143"/>
      <c r="J5370" s="143" t="s">
        <v>34464</v>
      </c>
      <c r="K5370" s="143" t="s">
        <v>34465</v>
      </c>
      <c r="L5370" s="145" t="s">
        <v>34466</v>
      </c>
      <c r="M5370" s="143"/>
      <c r="N5370" s="12"/>
      <c r="O5370" s="12"/>
      <c r="P5370" s="13">
        <f>IFERROR(__xludf.DUMMYFUNCTION("VALUE(SUBSTITUTE((INDEX(SPLIT(A5370,"",""),1)),""."","","",1))"),55.351097107)</f>
        <v>55.35109711</v>
      </c>
      <c r="Q5370" s="13">
        <f>IFERROR(__xludf.DUMMYFUNCTION("VALUE(SUBSTITUTE((INDEX(SPLIT(A5370,"",""),2)),""."","","",1))"),86.067123413)</f>
        <v>86.06712341</v>
      </c>
      <c r="R5370" s="14" t="b">
        <f t="shared" si="1"/>
        <v>0</v>
      </c>
      <c r="S5370" s="14" t="str">
        <f t="shared" si="2"/>
        <v>55.351097107,86.067123413</v>
      </c>
      <c r="T5370" s="12"/>
    </row>
    <row r="5371">
      <c r="A5371" s="139" t="s">
        <v>34467</v>
      </c>
      <c r="B5371" s="140" t="s">
        <v>24911</v>
      </c>
      <c r="C5371" s="140" t="s">
        <v>34468</v>
      </c>
      <c r="D5371" s="140" t="s">
        <v>33342</v>
      </c>
      <c r="E5371" s="141" t="s">
        <v>34469</v>
      </c>
      <c r="F5371" s="139" t="s">
        <v>3760</v>
      </c>
      <c r="G5371" s="139" t="s">
        <v>33344</v>
      </c>
      <c r="H5371" s="139"/>
      <c r="I5371" s="140"/>
      <c r="J5371" s="140" t="s">
        <v>34470</v>
      </c>
      <c r="K5371" s="140" t="s">
        <v>34471</v>
      </c>
      <c r="L5371" s="140"/>
      <c r="M5371" s="140"/>
      <c r="N5371" s="12"/>
      <c r="O5371" s="12"/>
      <c r="P5371" s="13">
        <f>IFERROR(__xludf.DUMMYFUNCTION("VALUE(SUBSTITUTE((INDEX(SPLIT(A5371,"",""),1)),""."","","",1))"),55.371822540356)</f>
        <v>55.37182254</v>
      </c>
      <c r="Q5371" s="13">
        <f>IFERROR(__xludf.DUMMYFUNCTION("VALUE(SUBSTITUTE((INDEX(SPLIT(A5371,"",""),2)),""."","","",1))"),36.714361746197)</f>
        <v>36.71436175</v>
      </c>
      <c r="R5371" s="14" t="b">
        <f t="shared" si="1"/>
        <v>0</v>
      </c>
      <c r="S5371" s="14" t="str">
        <f t="shared" si="2"/>
        <v>55.371822540356,36.714361746197</v>
      </c>
      <c r="T5371" s="12"/>
    </row>
    <row r="5372">
      <c r="A5372" s="142" t="s">
        <v>34472</v>
      </c>
      <c r="B5372" s="143" t="s">
        <v>34473</v>
      </c>
      <c r="C5372" s="143" t="s">
        <v>34474</v>
      </c>
      <c r="D5372" s="143" t="s">
        <v>33342</v>
      </c>
      <c r="E5372" s="144" t="s">
        <v>34475</v>
      </c>
      <c r="F5372" s="142" t="s">
        <v>3760</v>
      </c>
      <c r="G5372" s="142" t="s">
        <v>33344</v>
      </c>
      <c r="H5372" s="142"/>
      <c r="I5372" s="143"/>
      <c r="J5372" s="143" t="s">
        <v>34476</v>
      </c>
      <c r="K5372" s="143" t="s">
        <v>34477</v>
      </c>
      <c r="L5372" s="152" t="s">
        <v>34478</v>
      </c>
      <c r="M5372" s="143"/>
      <c r="N5372" s="12"/>
      <c r="O5372" s="12"/>
      <c r="P5372" s="13">
        <f>IFERROR(__xludf.DUMMYFUNCTION("VALUE(SUBSTITUTE((INDEX(SPLIT(A5372,"",""),1)),""."","","",1))"),55.380199432)</f>
        <v>55.38019943</v>
      </c>
      <c r="Q5372" s="13">
        <f>IFERROR(__xludf.DUMMYFUNCTION("VALUE(SUBSTITUTE((INDEX(SPLIT(A5372,"",""),2)),""."","","",1))"),36.730255127)</f>
        <v>36.73025513</v>
      </c>
      <c r="R5372" s="14" t="b">
        <f t="shared" si="1"/>
        <v>0</v>
      </c>
      <c r="S5372" s="14" t="str">
        <f t="shared" si="2"/>
        <v>55.380199432,36.730255127</v>
      </c>
      <c r="T5372" s="12"/>
    </row>
    <row r="5373">
      <c r="A5373" s="139" t="s">
        <v>34479</v>
      </c>
      <c r="B5373" s="140" t="s">
        <v>34480</v>
      </c>
      <c r="C5373" s="140" t="s">
        <v>34481</v>
      </c>
      <c r="D5373" s="140" t="s">
        <v>33342</v>
      </c>
      <c r="E5373" s="141" t="s">
        <v>34482</v>
      </c>
      <c r="F5373" s="139" t="s">
        <v>3760</v>
      </c>
      <c r="G5373" s="139" t="s">
        <v>33344</v>
      </c>
      <c r="H5373" s="139"/>
      <c r="I5373" s="140"/>
      <c r="J5373" s="140" t="s">
        <v>34483</v>
      </c>
      <c r="K5373" s="140" t="s">
        <v>34484</v>
      </c>
      <c r="L5373" s="140"/>
      <c r="M5373" s="140"/>
      <c r="N5373" s="12"/>
      <c r="O5373" s="12"/>
      <c r="P5373" s="13">
        <f>IFERROR(__xludf.DUMMYFUNCTION("VALUE(SUBSTITUTE((INDEX(SPLIT(A5373,"",""),1)),""."","","",1))"),55.380828857)</f>
        <v>55.38082886</v>
      </c>
      <c r="Q5373" s="13">
        <f>IFERROR(__xludf.DUMMYFUNCTION("VALUE(SUBSTITUTE((INDEX(SPLIT(A5373,"",""),2)),""."","","",1))"),36.734828949)</f>
        <v>36.73482895</v>
      </c>
      <c r="R5373" s="14" t="b">
        <f t="shared" si="1"/>
        <v>0</v>
      </c>
      <c r="S5373" s="14" t="str">
        <f t="shared" si="2"/>
        <v>55.380828857,36.734828949</v>
      </c>
      <c r="T5373" s="12"/>
    </row>
    <row r="5374">
      <c r="A5374" s="142" t="s">
        <v>34485</v>
      </c>
      <c r="B5374" s="143" t="s">
        <v>34486</v>
      </c>
      <c r="C5374" s="143" t="s">
        <v>34487</v>
      </c>
      <c r="D5374" s="143" t="s">
        <v>33342</v>
      </c>
      <c r="E5374" s="144" t="s">
        <v>34488</v>
      </c>
      <c r="F5374" s="142" t="s">
        <v>3760</v>
      </c>
      <c r="G5374" s="142" t="s">
        <v>33344</v>
      </c>
      <c r="H5374" s="142"/>
      <c r="I5374" s="143"/>
      <c r="J5374" s="143" t="s">
        <v>34489</v>
      </c>
      <c r="K5374" s="143" t="s">
        <v>34490</v>
      </c>
      <c r="L5374" s="145" t="s">
        <v>34491</v>
      </c>
      <c r="M5374" s="143"/>
      <c r="N5374" s="12"/>
      <c r="O5374" s="12"/>
      <c r="P5374" s="13">
        <f>IFERROR(__xludf.DUMMYFUNCTION("VALUE(SUBSTITUTE((INDEX(SPLIT(A5374,"",""),1)),""."","","",1))"),55.405464172)</f>
        <v>55.40546417</v>
      </c>
      <c r="Q5374" s="13">
        <f>IFERROR(__xludf.DUMMYFUNCTION("VALUE(SUBSTITUTE((INDEX(SPLIT(A5374,"",""),2)),""."","","",1))"),36.723987579)</f>
        <v>36.72398758</v>
      </c>
      <c r="R5374" s="14" t="b">
        <f t="shared" si="1"/>
        <v>0</v>
      </c>
      <c r="S5374" s="14" t="str">
        <f t="shared" si="2"/>
        <v>55.405464172,36.723987579</v>
      </c>
      <c r="T5374" s="12"/>
    </row>
    <row r="5375">
      <c r="A5375" s="146" t="s">
        <v>34492</v>
      </c>
      <c r="B5375" s="147" t="s">
        <v>34493</v>
      </c>
      <c r="C5375" s="147" t="s">
        <v>34494</v>
      </c>
      <c r="D5375" s="147" t="s">
        <v>33342</v>
      </c>
      <c r="E5375" s="148" t="s">
        <v>34495</v>
      </c>
      <c r="F5375" s="146" t="s">
        <v>3760</v>
      </c>
      <c r="G5375" s="146" t="s">
        <v>33344</v>
      </c>
      <c r="H5375" s="146"/>
      <c r="I5375" s="151" t="s">
        <v>34496</v>
      </c>
      <c r="J5375" s="147" t="s">
        <v>34497</v>
      </c>
      <c r="K5375" s="147" t="s">
        <v>34498</v>
      </c>
      <c r="L5375" s="149" t="s">
        <v>34499</v>
      </c>
      <c r="M5375" s="147"/>
      <c r="N5375" s="12"/>
      <c r="O5375" s="12"/>
      <c r="P5375" s="13">
        <f>IFERROR(__xludf.DUMMYFUNCTION("VALUE(SUBSTITUTE((INDEX(SPLIT(A5375,"",""),1)),""."","","",1))"),55.424495697)</f>
        <v>55.4244957</v>
      </c>
      <c r="Q5375" s="13">
        <f>IFERROR(__xludf.DUMMYFUNCTION("VALUE(SUBSTITUTE((INDEX(SPLIT(A5375,"",""),2)),""."","","",1))"),36.058540344)</f>
        <v>36.05854034</v>
      </c>
      <c r="R5375" s="14" t="b">
        <f t="shared" si="1"/>
        <v>0</v>
      </c>
      <c r="S5375" s="14" t="str">
        <f t="shared" si="2"/>
        <v>55.424495697,36.058540344</v>
      </c>
      <c r="T5375" s="12"/>
    </row>
    <row r="5376">
      <c r="A5376" s="136" t="s">
        <v>34500</v>
      </c>
      <c r="B5376" s="137" t="s">
        <v>34501</v>
      </c>
      <c r="C5376" s="137" t="s">
        <v>34502</v>
      </c>
      <c r="D5376" s="137" t="s">
        <v>33342</v>
      </c>
      <c r="E5376" s="138" t="s">
        <v>34503</v>
      </c>
      <c r="F5376" s="136" t="s">
        <v>13482</v>
      </c>
      <c r="G5376" s="136" t="s">
        <v>33344</v>
      </c>
      <c r="H5376" s="136"/>
      <c r="I5376" s="137"/>
      <c r="J5376" s="137" t="s">
        <v>34504</v>
      </c>
      <c r="K5376" s="137" t="s">
        <v>34505</v>
      </c>
      <c r="L5376" s="137"/>
      <c r="M5376" s="137"/>
      <c r="N5376" s="12"/>
      <c r="O5376" s="12"/>
      <c r="P5376" s="13">
        <f>IFERROR(__xludf.DUMMYFUNCTION("VALUE(SUBSTITUTE((INDEX(SPLIT(A5376,"",""),1)),""."","","",1))"),55.51524353)</f>
        <v>55.51524353</v>
      </c>
      <c r="Q5376" s="13">
        <f>IFERROR(__xludf.DUMMYFUNCTION("VALUE(SUBSTITUTE((INDEX(SPLIT(A5376,"",""),2)),""."","","",1))"),47.472702026)</f>
        <v>47.47270203</v>
      </c>
      <c r="R5376" s="14" t="b">
        <f t="shared" si="1"/>
        <v>0</v>
      </c>
      <c r="S5376" s="14" t="str">
        <f t="shared" si="2"/>
        <v>55.51524353,47.472702026</v>
      </c>
      <c r="T5376" s="12"/>
    </row>
    <row r="5377">
      <c r="A5377" s="139" t="s">
        <v>34506</v>
      </c>
      <c r="B5377" s="140" t="s">
        <v>34507</v>
      </c>
      <c r="C5377" s="140" t="s">
        <v>34508</v>
      </c>
      <c r="D5377" s="140" t="s">
        <v>33342</v>
      </c>
      <c r="E5377" s="141" t="s">
        <v>34509</v>
      </c>
      <c r="F5377" s="139" t="s">
        <v>26306</v>
      </c>
      <c r="G5377" s="139" t="s">
        <v>33344</v>
      </c>
      <c r="H5377" s="139"/>
      <c r="I5377" s="140"/>
      <c r="J5377" s="140" t="s">
        <v>34510</v>
      </c>
      <c r="K5377" s="140" t="s">
        <v>26308</v>
      </c>
      <c r="L5377" s="140"/>
      <c r="M5377" s="140"/>
      <c r="N5377" s="12"/>
      <c r="O5377" s="12"/>
      <c r="P5377" s="13">
        <f>IFERROR(__xludf.DUMMYFUNCTION("VALUE(SUBSTITUTE((INDEX(SPLIT(A5377,"",""),1)),""."","","",1))"),55.539150238)</f>
        <v>55.53915024</v>
      </c>
      <c r="Q5377" s="13">
        <f>IFERROR(__xludf.DUMMYFUNCTION("VALUE(SUBSTITUTE((INDEX(SPLIT(A5377,"",""),2)),""."","","",1))"),89.18649292)</f>
        <v>89.18649292</v>
      </c>
      <c r="R5377" s="14" t="b">
        <f t="shared" si="1"/>
        <v>0</v>
      </c>
      <c r="S5377" s="14" t="str">
        <f t="shared" si="2"/>
        <v>55.539150238,89.18649292</v>
      </c>
      <c r="T5377" s="12"/>
    </row>
    <row r="5378">
      <c r="A5378" s="142" t="s">
        <v>34511</v>
      </c>
      <c r="B5378" s="143" t="s">
        <v>34512</v>
      </c>
      <c r="C5378" s="143" t="s">
        <v>34513</v>
      </c>
      <c r="D5378" s="143" t="s">
        <v>33342</v>
      </c>
      <c r="E5378" s="144" t="s">
        <v>34514</v>
      </c>
      <c r="F5378" s="142" t="s">
        <v>3760</v>
      </c>
      <c r="G5378" s="142" t="s">
        <v>33344</v>
      </c>
      <c r="H5378" s="142"/>
      <c r="I5378" s="143"/>
      <c r="J5378" s="143" t="s">
        <v>34515</v>
      </c>
      <c r="K5378" s="143" t="s">
        <v>34516</v>
      </c>
      <c r="L5378" s="145" t="s">
        <v>34517</v>
      </c>
      <c r="M5378" s="143"/>
      <c r="N5378" s="12"/>
      <c r="O5378" s="12"/>
      <c r="P5378" s="13">
        <f>IFERROR(__xludf.DUMMYFUNCTION("VALUE(SUBSTITUTE((INDEX(SPLIT(A5378,"",""),1)),""."","","",1))"),55.553440094)</f>
        <v>55.55344009</v>
      </c>
      <c r="Q5378" s="13">
        <f>IFERROR(__xludf.DUMMYFUNCTION("VALUE(SUBSTITUTE((INDEX(SPLIT(A5378,"",""),2)),""."","","",1))"),38.064411163)</f>
        <v>38.06441116</v>
      </c>
      <c r="R5378" s="14" t="b">
        <f t="shared" si="1"/>
        <v>0</v>
      </c>
      <c r="S5378" s="14" t="str">
        <f t="shared" si="2"/>
        <v>55.553440094,38.064411163</v>
      </c>
      <c r="T5378" s="12"/>
    </row>
    <row r="5379">
      <c r="A5379" s="146" t="s">
        <v>34518</v>
      </c>
      <c r="B5379" s="147" t="s">
        <v>34519</v>
      </c>
      <c r="C5379" s="147" t="s">
        <v>34520</v>
      </c>
      <c r="D5379" s="147" t="s">
        <v>33342</v>
      </c>
      <c r="E5379" s="148" t="s">
        <v>34521</v>
      </c>
      <c r="F5379" s="146" t="s">
        <v>3760</v>
      </c>
      <c r="G5379" s="146" t="s">
        <v>33344</v>
      </c>
      <c r="H5379" s="146"/>
      <c r="I5379" s="147"/>
      <c r="J5379" s="147" t="s">
        <v>34522</v>
      </c>
      <c r="K5379" s="147" t="s">
        <v>34523</v>
      </c>
      <c r="L5379" s="149" t="s">
        <v>34524</v>
      </c>
      <c r="M5379" s="147"/>
      <c r="N5379" s="12"/>
      <c r="O5379" s="12"/>
      <c r="P5379" s="13">
        <f>IFERROR(__xludf.DUMMYFUNCTION("VALUE(SUBSTITUTE((INDEX(SPLIT(A5379,"",""),1)),""."","","",1))"),55.557041168)</f>
        <v>55.55704117</v>
      </c>
      <c r="Q5379" s="13">
        <f>IFERROR(__xludf.DUMMYFUNCTION("VALUE(SUBSTITUTE((INDEX(SPLIT(A5379,"",""),2)),""."","","",1))"),38.254611969)</f>
        <v>38.25461197</v>
      </c>
      <c r="R5379" s="14" t="b">
        <f t="shared" si="1"/>
        <v>0</v>
      </c>
      <c r="S5379" s="14" t="str">
        <f t="shared" si="2"/>
        <v>55.557041168,38.254611969</v>
      </c>
      <c r="T5379" s="12"/>
    </row>
    <row r="5380">
      <c r="A5380" s="142" t="s">
        <v>34525</v>
      </c>
      <c r="B5380" s="143" t="s">
        <v>34526</v>
      </c>
      <c r="C5380" s="143" t="s">
        <v>34527</v>
      </c>
      <c r="D5380" s="143" t="s">
        <v>33342</v>
      </c>
      <c r="E5380" s="144" t="s">
        <v>34528</v>
      </c>
      <c r="F5380" s="142" t="s">
        <v>3760</v>
      </c>
      <c r="G5380" s="142" t="s">
        <v>33344</v>
      </c>
      <c r="H5380" s="142"/>
      <c r="I5380" s="143"/>
      <c r="J5380" s="143" t="s">
        <v>34529</v>
      </c>
      <c r="K5380" s="143" t="s">
        <v>34530</v>
      </c>
      <c r="L5380" s="152" t="s">
        <v>34531</v>
      </c>
      <c r="M5380" s="143"/>
      <c r="N5380" s="12"/>
      <c r="O5380" s="12"/>
      <c r="P5380" s="13">
        <f>IFERROR(__xludf.DUMMYFUNCTION("VALUE(SUBSTITUTE((INDEX(SPLIT(A5380,"",""),1)),""."","","",1))"),55.561927795)</f>
        <v>55.5619278</v>
      </c>
      <c r="Q5380" s="13">
        <f>IFERROR(__xludf.DUMMYFUNCTION("VALUE(SUBSTITUTE((INDEX(SPLIT(A5380,"",""),2)),""."","","",1))"),38.118011475)</f>
        <v>38.11801148</v>
      </c>
      <c r="R5380" s="14" t="b">
        <f t="shared" si="1"/>
        <v>0</v>
      </c>
      <c r="S5380" s="14" t="str">
        <f t="shared" si="2"/>
        <v>55.561927795,38.118011475</v>
      </c>
      <c r="T5380" s="12"/>
    </row>
    <row r="5381">
      <c r="A5381" s="139" t="s">
        <v>34532</v>
      </c>
      <c r="B5381" s="140" t="s">
        <v>34533</v>
      </c>
      <c r="C5381" s="140" t="s">
        <v>34534</v>
      </c>
      <c r="D5381" s="140" t="s">
        <v>33342</v>
      </c>
      <c r="E5381" s="141" t="s">
        <v>34535</v>
      </c>
      <c r="F5381" s="139" t="s">
        <v>3883</v>
      </c>
      <c r="G5381" s="139" t="s">
        <v>33344</v>
      </c>
      <c r="H5381" s="139"/>
      <c r="I5381" s="140"/>
      <c r="J5381" s="140" t="s">
        <v>34536</v>
      </c>
      <c r="K5381" s="140" t="s">
        <v>34537</v>
      </c>
      <c r="L5381" s="140"/>
      <c r="M5381" s="140"/>
      <c r="N5381" s="12"/>
      <c r="O5381" s="12"/>
      <c r="P5381" s="13">
        <f>IFERROR(__xludf.DUMMYFUNCTION("VALUE(SUBSTITUTE((INDEX(SPLIT(A5381,"",""),1)),""."","","",1))"),55.562072086875)</f>
        <v>55.56207209</v>
      </c>
      <c r="Q5381" s="13">
        <f>IFERROR(__xludf.DUMMYFUNCTION("VALUE(SUBSTITUTE((INDEX(SPLIT(A5381,"",""),2)),""."","","",1))"),37.385103515063)</f>
        <v>37.38510352</v>
      </c>
      <c r="R5381" s="14" t="b">
        <f t="shared" si="1"/>
        <v>0</v>
      </c>
      <c r="S5381" s="14" t="str">
        <f t="shared" si="2"/>
        <v>55.562072086875,37.385103515063</v>
      </c>
      <c r="T5381" s="12"/>
    </row>
    <row r="5382">
      <c r="A5382" s="136" t="s">
        <v>34538</v>
      </c>
      <c r="B5382" s="137" t="s">
        <v>34539</v>
      </c>
      <c r="C5382" s="137" t="s">
        <v>34540</v>
      </c>
      <c r="D5382" s="137" t="s">
        <v>33342</v>
      </c>
      <c r="E5382" s="138" t="s">
        <v>34541</v>
      </c>
      <c r="F5382" s="136" t="s">
        <v>3760</v>
      </c>
      <c r="G5382" s="136" t="s">
        <v>33344</v>
      </c>
      <c r="H5382" s="136"/>
      <c r="I5382" s="137"/>
      <c r="J5382" s="137" t="s">
        <v>34542</v>
      </c>
      <c r="K5382" s="137" t="s">
        <v>34543</v>
      </c>
      <c r="L5382" s="137"/>
      <c r="M5382" s="137"/>
      <c r="N5382" s="12"/>
      <c r="O5382" s="12"/>
      <c r="P5382" s="13">
        <f>IFERROR(__xludf.DUMMYFUNCTION("VALUE(SUBSTITUTE((INDEX(SPLIT(A5382,"",""),1)),""."","","",1))"),55.577545166)</f>
        <v>55.57754517</v>
      </c>
      <c r="Q5382" s="13">
        <f>IFERROR(__xludf.DUMMYFUNCTION("VALUE(SUBSTITUTE((INDEX(SPLIT(A5382,"",""),2)),""."","","",1))"),37.900039673)</f>
        <v>37.90003967</v>
      </c>
      <c r="R5382" s="14" t="b">
        <f t="shared" si="1"/>
        <v>0</v>
      </c>
      <c r="S5382" s="14" t="str">
        <f t="shared" si="2"/>
        <v>55.577545166,37.900039673</v>
      </c>
      <c r="T5382" s="12"/>
    </row>
    <row r="5383">
      <c r="A5383" s="139" t="s">
        <v>34544</v>
      </c>
      <c r="B5383" s="140" t="s">
        <v>34545</v>
      </c>
      <c r="C5383" s="140" t="s">
        <v>34546</v>
      </c>
      <c r="D5383" s="140" t="s">
        <v>33342</v>
      </c>
      <c r="E5383" s="141" t="s">
        <v>34547</v>
      </c>
      <c r="F5383" s="139" t="s">
        <v>3883</v>
      </c>
      <c r="G5383" s="139" t="s">
        <v>33344</v>
      </c>
      <c r="H5383" s="139"/>
      <c r="I5383" s="140"/>
      <c r="J5383" s="140" t="s">
        <v>34548</v>
      </c>
      <c r="K5383" s="140" t="s">
        <v>34549</v>
      </c>
      <c r="L5383" s="140"/>
      <c r="M5383" s="140"/>
      <c r="N5383" s="12"/>
      <c r="O5383" s="12"/>
      <c r="P5383" s="13">
        <f>IFERROR(__xludf.DUMMYFUNCTION("VALUE(SUBSTITUTE((INDEX(SPLIT(A5383,"",""),1)),""."","","",1))"),55.592090607)</f>
        <v>55.59209061</v>
      </c>
      <c r="Q5383" s="13">
        <f>IFERROR(__xludf.DUMMYFUNCTION("VALUE(SUBSTITUTE((INDEX(SPLIT(A5383,"",""),2)),""."","","",1))"),37.536159515)</f>
        <v>37.53615952</v>
      </c>
      <c r="R5383" s="14" t="b">
        <f t="shared" si="1"/>
        <v>0</v>
      </c>
      <c r="S5383" s="14" t="str">
        <f t="shared" si="2"/>
        <v>55.592090607,37.536159515</v>
      </c>
      <c r="T5383" s="12"/>
    </row>
    <row r="5384">
      <c r="A5384" s="142" t="s">
        <v>34550</v>
      </c>
      <c r="B5384" s="143" t="s">
        <v>34551</v>
      </c>
      <c r="C5384" s="143" t="s">
        <v>34552</v>
      </c>
      <c r="D5384" s="143" t="s">
        <v>33342</v>
      </c>
      <c r="E5384" s="144" t="s">
        <v>34553</v>
      </c>
      <c r="F5384" s="142" t="s">
        <v>3760</v>
      </c>
      <c r="G5384" s="142" t="s">
        <v>33344</v>
      </c>
      <c r="H5384" s="142"/>
      <c r="I5384" s="143"/>
      <c r="J5384" s="143" t="s">
        <v>34554</v>
      </c>
      <c r="K5384" s="143" t="s">
        <v>34555</v>
      </c>
      <c r="L5384" s="145" t="s">
        <v>34556</v>
      </c>
      <c r="M5384" s="143"/>
      <c r="N5384" s="12"/>
      <c r="O5384" s="12"/>
      <c r="P5384" s="13">
        <f>IFERROR(__xludf.DUMMYFUNCTION("VALUE(SUBSTITUTE((INDEX(SPLIT(A5384,"",""),1)),""."","","",1))"),55.601837158)</f>
        <v>55.60183716</v>
      </c>
      <c r="Q5384" s="13">
        <f>IFERROR(__xludf.DUMMYFUNCTION("VALUE(SUBSTITUTE((INDEX(SPLIT(A5384,"",""),2)),""."","","",1))"),38.090686798)</f>
        <v>38.0906868</v>
      </c>
      <c r="R5384" s="14" t="b">
        <f t="shared" si="1"/>
        <v>0</v>
      </c>
      <c r="S5384" s="14" t="str">
        <f t="shared" si="2"/>
        <v>55.601837158,38.090686798</v>
      </c>
      <c r="T5384" s="12"/>
    </row>
    <row r="5385">
      <c r="A5385" s="146" t="s">
        <v>34557</v>
      </c>
      <c r="B5385" s="147" t="s">
        <v>34558</v>
      </c>
      <c r="C5385" s="147" t="s">
        <v>34559</v>
      </c>
      <c r="D5385" s="147" t="s">
        <v>33342</v>
      </c>
      <c r="E5385" s="148" t="s">
        <v>34560</v>
      </c>
      <c r="F5385" s="146" t="s">
        <v>3760</v>
      </c>
      <c r="G5385" s="146" t="s">
        <v>33344</v>
      </c>
      <c r="H5385" s="146"/>
      <c r="I5385" s="147"/>
      <c r="J5385" s="147" t="s">
        <v>34561</v>
      </c>
      <c r="K5385" s="147" t="s">
        <v>34562</v>
      </c>
      <c r="L5385" s="149" t="s">
        <v>34563</v>
      </c>
      <c r="M5385" s="147"/>
      <c r="N5385" s="12"/>
      <c r="O5385" s="12"/>
      <c r="P5385" s="13">
        <f>IFERROR(__xludf.DUMMYFUNCTION("VALUE(SUBSTITUTE((INDEX(SPLIT(A5385,"",""),1)),""."","","",1))"),55.603168488)</f>
        <v>55.60316849</v>
      </c>
      <c r="Q5385" s="13">
        <f>IFERROR(__xludf.DUMMYFUNCTION("VALUE(SUBSTITUTE((INDEX(SPLIT(A5385,"",""),2)),""."","","",1))"),38.09740448)</f>
        <v>38.09740448</v>
      </c>
      <c r="R5385" s="14" t="b">
        <f t="shared" si="1"/>
        <v>0</v>
      </c>
      <c r="S5385" s="14" t="str">
        <f t="shared" si="2"/>
        <v>55.603168488,38.09740448</v>
      </c>
      <c r="T5385" s="12"/>
    </row>
    <row r="5386">
      <c r="A5386" s="142" t="s">
        <v>34564</v>
      </c>
      <c r="B5386" s="143" t="s">
        <v>29610</v>
      </c>
      <c r="C5386" s="143" t="s">
        <v>34565</v>
      </c>
      <c r="D5386" s="143" t="s">
        <v>33342</v>
      </c>
      <c r="E5386" s="144" t="s">
        <v>34566</v>
      </c>
      <c r="F5386" s="142" t="s">
        <v>3760</v>
      </c>
      <c r="G5386" s="142" t="s">
        <v>33344</v>
      </c>
      <c r="H5386" s="142"/>
      <c r="I5386" s="143"/>
      <c r="J5386" s="143" t="s">
        <v>34567</v>
      </c>
      <c r="K5386" s="143" t="s">
        <v>34568</v>
      </c>
      <c r="L5386" s="152" t="s">
        <v>34569</v>
      </c>
      <c r="M5386" s="143"/>
      <c r="N5386" s="12"/>
      <c r="O5386" s="12"/>
      <c r="P5386" s="13">
        <f>IFERROR(__xludf.DUMMYFUNCTION("VALUE(SUBSTITUTE((INDEX(SPLIT(A5386,"",""),1)),""."","","",1))"),55.646598816)</f>
        <v>55.64659882</v>
      </c>
      <c r="Q5386" s="13">
        <f>IFERROR(__xludf.DUMMYFUNCTION("VALUE(SUBSTITUTE((INDEX(SPLIT(A5386,"",""),2)),""."","","",1))"),37.852771759)</f>
        <v>37.85277176</v>
      </c>
      <c r="R5386" s="14" t="b">
        <f t="shared" si="1"/>
        <v>0</v>
      </c>
      <c r="S5386" s="14" t="str">
        <f t="shared" si="2"/>
        <v>55.646598816,37.852771759</v>
      </c>
      <c r="T5386" s="12"/>
    </row>
    <row r="5387">
      <c r="A5387" s="139" t="s">
        <v>34570</v>
      </c>
      <c r="B5387" s="140" t="s">
        <v>34571</v>
      </c>
      <c r="C5387" s="140" t="s">
        <v>34572</v>
      </c>
      <c r="D5387" s="140" t="s">
        <v>33342</v>
      </c>
      <c r="E5387" s="141" t="s">
        <v>34573</v>
      </c>
      <c r="F5387" s="139" t="s">
        <v>3760</v>
      </c>
      <c r="G5387" s="139" t="s">
        <v>33344</v>
      </c>
      <c r="H5387" s="139"/>
      <c r="I5387" s="140"/>
      <c r="J5387" s="140" t="s">
        <v>34574</v>
      </c>
      <c r="K5387" s="140" t="s">
        <v>34575</v>
      </c>
      <c r="L5387" s="140"/>
      <c r="M5387" s="140"/>
      <c r="N5387" s="12"/>
      <c r="O5387" s="12"/>
      <c r="P5387" s="13">
        <f>IFERROR(__xludf.DUMMYFUNCTION("VALUE(SUBSTITUTE((INDEX(SPLIT(A5387,"",""),1)),""."","","",1))"),55.646827000029)</f>
        <v>55.646827</v>
      </c>
      <c r="Q5387" s="13">
        <f>IFERROR(__xludf.DUMMYFUNCTION("VALUE(SUBSTITUTE((INDEX(SPLIT(A5387,"",""),2)),""."","","",1))"),37.864181668434)</f>
        <v>37.86418167</v>
      </c>
      <c r="R5387" s="14" t="b">
        <f t="shared" si="1"/>
        <v>0</v>
      </c>
      <c r="S5387" s="14" t="str">
        <f t="shared" si="2"/>
        <v>55.646827000029,37.864181668434</v>
      </c>
      <c r="T5387" s="12"/>
    </row>
    <row r="5388">
      <c r="A5388" s="136" t="s">
        <v>34576</v>
      </c>
      <c r="B5388" s="137" t="s">
        <v>34577</v>
      </c>
      <c r="C5388" s="137" t="s">
        <v>34577</v>
      </c>
      <c r="D5388" s="137" t="s">
        <v>33342</v>
      </c>
      <c r="E5388" s="138" t="s">
        <v>34578</v>
      </c>
      <c r="F5388" s="136" t="s">
        <v>3760</v>
      </c>
      <c r="G5388" s="136" t="s">
        <v>33344</v>
      </c>
      <c r="H5388" s="136"/>
      <c r="I5388" s="137"/>
      <c r="J5388" s="137" t="s">
        <v>34579</v>
      </c>
      <c r="K5388" s="137" t="s">
        <v>34580</v>
      </c>
      <c r="L5388" s="137"/>
      <c r="M5388" s="137"/>
      <c r="N5388" s="12"/>
      <c r="O5388" s="12"/>
      <c r="P5388" s="13">
        <f>IFERROR(__xludf.DUMMYFUNCTION("VALUE(SUBSTITUTE((INDEX(SPLIT(A5388,"",""),1)),""."","","",1))"),55.647258759)</f>
        <v>55.64725876</v>
      </c>
      <c r="Q5388" s="13">
        <f>IFERROR(__xludf.DUMMYFUNCTION("VALUE(SUBSTITUTE((INDEX(SPLIT(A5388,"",""),2)),""."","","",1))"),37.854606628)</f>
        <v>37.85460663</v>
      </c>
      <c r="R5388" s="14" t="b">
        <f t="shared" si="1"/>
        <v>0</v>
      </c>
      <c r="S5388" s="14" t="str">
        <f t="shared" si="2"/>
        <v>55.647258759,37.854606628</v>
      </c>
      <c r="T5388" s="12"/>
    </row>
    <row r="5389">
      <c r="A5389" s="146" t="s">
        <v>34581</v>
      </c>
      <c r="B5389" s="147" t="s">
        <v>34582</v>
      </c>
      <c r="C5389" s="147" t="s">
        <v>34583</v>
      </c>
      <c r="D5389" s="147" t="s">
        <v>33342</v>
      </c>
      <c r="E5389" s="148" t="s">
        <v>34584</v>
      </c>
      <c r="F5389" s="146" t="s">
        <v>3883</v>
      </c>
      <c r="G5389" s="146" t="s">
        <v>33344</v>
      </c>
      <c r="H5389" s="146"/>
      <c r="I5389" s="147"/>
      <c r="J5389" s="147" t="s">
        <v>34585</v>
      </c>
      <c r="K5389" s="147" t="s">
        <v>34586</v>
      </c>
      <c r="L5389" s="149" t="s">
        <v>34587</v>
      </c>
      <c r="M5389" s="149" t="s">
        <v>34588</v>
      </c>
      <c r="N5389" s="12"/>
      <c r="O5389" s="12"/>
      <c r="P5389" s="13">
        <f>IFERROR(__xludf.DUMMYFUNCTION("VALUE(SUBSTITUTE((INDEX(SPLIT(A5389,"",""),1)),""."","","",1))"),55.649292075843)</f>
        <v>55.64929208</v>
      </c>
      <c r="Q5389" s="13">
        <f>IFERROR(__xludf.DUMMYFUNCTION("VALUE(SUBSTITUTE((INDEX(SPLIT(A5389,"",""),2)),""."","","",1))"),37.628253725184)</f>
        <v>37.62825373</v>
      </c>
      <c r="R5389" s="14" t="b">
        <f t="shared" si="1"/>
        <v>0</v>
      </c>
      <c r="S5389" s="14" t="str">
        <f t="shared" si="2"/>
        <v>55.649292075843,37.628253725184</v>
      </c>
      <c r="T5389" s="12"/>
    </row>
    <row r="5390">
      <c r="A5390" s="136" t="s">
        <v>34589</v>
      </c>
      <c r="B5390" s="137" t="s">
        <v>9706</v>
      </c>
      <c r="C5390" s="137" t="s">
        <v>33601</v>
      </c>
      <c r="D5390" s="137" t="s">
        <v>33342</v>
      </c>
      <c r="E5390" s="138" t="s">
        <v>34590</v>
      </c>
      <c r="F5390" s="136" t="s">
        <v>10183</v>
      </c>
      <c r="G5390" s="136" t="s">
        <v>33344</v>
      </c>
      <c r="H5390" s="136"/>
      <c r="I5390" s="137"/>
      <c r="J5390" s="137" t="s">
        <v>34591</v>
      </c>
      <c r="K5390" s="137" t="s">
        <v>34592</v>
      </c>
      <c r="L5390" s="137"/>
      <c r="M5390" s="137"/>
      <c r="N5390" s="12"/>
      <c r="O5390" s="12"/>
      <c r="P5390" s="13">
        <f>IFERROR(__xludf.DUMMYFUNCTION("VALUE(SUBSTITUTE((INDEX(SPLIT(A5390,"",""),1)),""."","","",1))"),55.654026031)</f>
        <v>55.65402603</v>
      </c>
      <c r="Q5390" s="13">
        <f>IFERROR(__xludf.DUMMYFUNCTION("VALUE(SUBSTITUTE((INDEX(SPLIT(A5390,"",""),2)),""."","","",1))"),51.851783752)</f>
        <v>51.85178375</v>
      </c>
      <c r="R5390" s="14" t="b">
        <f t="shared" si="1"/>
        <v>0</v>
      </c>
      <c r="S5390" s="14" t="str">
        <f t="shared" si="2"/>
        <v>55.654026031,51.851783752</v>
      </c>
      <c r="T5390" s="12"/>
    </row>
    <row r="5391">
      <c r="A5391" s="146" t="s">
        <v>34593</v>
      </c>
      <c r="B5391" s="147" t="s">
        <v>34594</v>
      </c>
      <c r="C5391" s="147" t="s">
        <v>34595</v>
      </c>
      <c r="D5391" s="147" t="s">
        <v>33342</v>
      </c>
      <c r="E5391" s="148" t="s">
        <v>34596</v>
      </c>
      <c r="F5391" s="146" t="s">
        <v>3883</v>
      </c>
      <c r="G5391" s="146" t="s">
        <v>33344</v>
      </c>
      <c r="H5391" s="146"/>
      <c r="I5391" s="147"/>
      <c r="J5391" s="147" t="s">
        <v>34597</v>
      </c>
      <c r="K5391" s="147" t="s">
        <v>34598</v>
      </c>
      <c r="L5391" s="149" t="s">
        <v>34599</v>
      </c>
      <c r="M5391" s="147"/>
      <c r="N5391" s="12"/>
      <c r="O5391" s="12"/>
      <c r="P5391" s="13">
        <f>IFERROR(__xludf.DUMMYFUNCTION("VALUE(SUBSTITUTE((INDEX(SPLIT(A5391,"",""),1)),""."","","",1))"),55.655384064)</f>
        <v>55.65538406</v>
      </c>
      <c r="Q5391" s="13">
        <f>IFERROR(__xludf.DUMMYFUNCTION("VALUE(SUBSTITUTE((INDEX(SPLIT(A5391,"",""),2)),""."","","",1))"),37.380062103)</f>
        <v>37.3800621</v>
      </c>
      <c r="R5391" s="14" t="b">
        <f t="shared" si="1"/>
        <v>0</v>
      </c>
      <c r="S5391" s="14" t="str">
        <f t="shared" si="2"/>
        <v>55.655384064,37.380062103</v>
      </c>
      <c r="T5391" s="12"/>
    </row>
    <row r="5392">
      <c r="A5392" s="136" t="s">
        <v>34600</v>
      </c>
      <c r="B5392" s="137" t="s">
        <v>1670</v>
      </c>
      <c r="C5392" s="137" t="s">
        <v>34601</v>
      </c>
      <c r="D5392" s="137" t="s">
        <v>33342</v>
      </c>
      <c r="E5392" s="138" t="s">
        <v>34602</v>
      </c>
      <c r="F5392" s="136" t="s">
        <v>3760</v>
      </c>
      <c r="G5392" s="136" t="s">
        <v>33344</v>
      </c>
      <c r="H5392" s="136"/>
      <c r="I5392" s="137"/>
      <c r="J5392" s="137" t="s">
        <v>34603</v>
      </c>
      <c r="K5392" s="137" t="s">
        <v>34604</v>
      </c>
      <c r="L5392" s="137"/>
      <c r="M5392" s="153" t="s">
        <v>34605</v>
      </c>
      <c r="N5392" s="12"/>
      <c r="O5392" s="12"/>
      <c r="P5392" s="13">
        <f>IFERROR(__xludf.DUMMYFUNCTION("VALUE(SUBSTITUTE((INDEX(SPLIT(A5392,"",""),1)),""."","","",1))"),55.666671753)</f>
        <v>55.66667175</v>
      </c>
      <c r="Q5392" s="13">
        <f>IFERROR(__xludf.DUMMYFUNCTION("VALUE(SUBSTITUTE((INDEX(SPLIT(A5392,"",""),2)),""."","","",1))"),37.2838974)</f>
        <v>37.2838974</v>
      </c>
      <c r="R5392" s="14" t="b">
        <f t="shared" si="1"/>
        <v>0</v>
      </c>
      <c r="S5392" s="14" t="str">
        <f t="shared" si="2"/>
        <v>55.666671753,37.2838974</v>
      </c>
      <c r="T5392" s="12"/>
    </row>
    <row r="5393">
      <c r="A5393" s="139" t="s">
        <v>34606</v>
      </c>
      <c r="B5393" s="140" t="s">
        <v>34607</v>
      </c>
      <c r="C5393" s="140" t="s">
        <v>34608</v>
      </c>
      <c r="D5393" s="140" t="s">
        <v>33342</v>
      </c>
      <c r="E5393" s="141" t="s">
        <v>34609</v>
      </c>
      <c r="F5393" s="139" t="s">
        <v>3760</v>
      </c>
      <c r="G5393" s="139" t="s">
        <v>33344</v>
      </c>
      <c r="H5393" s="139"/>
      <c r="I5393" s="157" t="s">
        <v>34610</v>
      </c>
      <c r="J5393" s="140" t="s">
        <v>34611</v>
      </c>
      <c r="K5393" s="140" t="s">
        <v>34612</v>
      </c>
      <c r="L5393" s="140"/>
      <c r="M5393" s="140"/>
      <c r="N5393" s="12"/>
      <c r="O5393" s="12"/>
      <c r="P5393" s="13">
        <f>IFERROR(__xludf.DUMMYFUNCTION("VALUE(SUBSTITUTE((INDEX(SPLIT(A5393,"",""),1)),""."","","",1))"),55.713998113776)</f>
        <v>55.71399811</v>
      </c>
      <c r="Q5393" s="13">
        <f>IFERROR(__xludf.DUMMYFUNCTION("VALUE(SUBSTITUTE((INDEX(SPLIT(A5393,"",""),2)),""."","","",1))"),37.072172000706)</f>
        <v>37.072172</v>
      </c>
      <c r="R5393" s="14" t="b">
        <f t="shared" si="1"/>
        <v>0</v>
      </c>
      <c r="S5393" s="14" t="str">
        <f t="shared" si="2"/>
        <v>55.713998113776,37.072172000706</v>
      </c>
      <c r="T5393" s="12"/>
    </row>
    <row r="5394">
      <c r="A5394" s="142" t="s">
        <v>34613</v>
      </c>
      <c r="B5394" s="143" t="s">
        <v>34614</v>
      </c>
      <c r="C5394" s="143" t="s">
        <v>34615</v>
      </c>
      <c r="D5394" s="143" t="s">
        <v>33342</v>
      </c>
      <c r="E5394" s="144" t="s">
        <v>34616</v>
      </c>
      <c r="F5394" s="142" t="s">
        <v>3883</v>
      </c>
      <c r="G5394" s="142" t="s">
        <v>33344</v>
      </c>
      <c r="H5394" s="142"/>
      <c r="I5394" s="143"/>
      <c r="J5394" s="143" t="s">
        <v>34617</v>
      </c>
      <c r="K5394" s="143" t="s">
        <v>34618</v>
      </c>
      <c r="L5394" s="145" t="s">
        <v>34619</v>
      </c>
      <c r="M5394" s="145" t="s">
        <v>34620</v>
      </c>
      <c r="N5394" s="12"/>
      <c r="O5394" s="12"/>
      <c r="P5394" s="13">
        <f>IFERROR(__xludf.DUMMYFUNCTION("VALUE(SUBSTITUTE((INDEX(SPLIT(A5394,"",""),1)),""."","","",1))"),55.727523804)</f>
        <v>55.7275238</v>
      </c>
      <c r="Q5394" s="13">
        <f>IFERROR(__xludf.DUMMYFUNCTION("VALUE(SUBSTITUTE((INDEX(SPLIT(A5394,"",""),2)),""."","","",1))"),37.608860016)</f>
        <v>37.60886002</v>
      </c>
      <c r="R5394" s="14" t="b">
        <f t="shared" si="1"/>
        <v>0</v>
      </c>
      <c r="S5394" s="14" t="str">
        <f t="shared" si="2"/>
        <v>55.727523804,37.608860016</v>
      </c>
      <c r="T5394" s="12"/>
    </row>
    <row r="5395">
      <c r="A5395" s="146" t="s">
        <v>34621</v>
      </c>
      <c r="B5395" s="147" t="s">
        <v>34622</v>
      </c>
      <c r="C5395" s="147" t="s">
        <v>34623</v>
      </c>
      <c r="D5395" s="147" t="s">
        <v>33342</v>
      </c>
      <c r="E5395" s="148" t="s">
        <v>34624</v>
      </c>
      <c r="F5395" s="146" t="s">
        <v>3760</v>
      </c>
      <c r="G5395" s="146" t="s">
        <v>33344</v>
      </c>
      <c r="H5395" s="146"/>
      <c r="I5395" s="147"/>
      <c r="J5395" s="147" t="s">
        <v>34625</v>
      </c>
      <c r="K5395" s="147" t="s">
        <v>34626</v>
      </c>
      <c r="L5395" s="149" t="s">
        <v>34627</v>
      </c>
      <c r="M5395" s="147"/>
      <c r="N5395" s="12"/>
      <c r="O5395" s="12"/>
      <c r="P5395" s="13">
        <f>IFERROR(__xludf.DUMMYFUNCTION("VALUE(SUBSTITUTE((INDEX(SPLIT(A5395,"",""),1)),""."","","",1))"),55.732051849)</f>
        <v>55.73205185</v>
      </c>
      <c r="Q5395" s="13">
        <f>IFERROR(__xludf.DUMMYFUNCTION("VALUE(SUBSTITUTE((INDEX(SPLIT(A5395,"",""),2)),""."","","",1))"),36.853809357)</f>
        <v>36.85380936</v>
      </c>
      <c r="R5395" s="14" t="b">
        <f t="shared" si="1"/>
        <v>0</v>
      </c>
      <c r="S5395" s="14" t="str">
        <f t="shared" si="2"/>
        <v>55.732051849,36.853809357</v>
      </c>
      <c r="T5395" s="12"/>
    </row>
    <row r="5396">
      <c r="A5396" s="136" t="s">
        <v>34628</v>
      </c>
      <c r="B5396" s="137" t="s">
        <v>34629</v>
      </c>
      <c r="C5396" s="137" t="s">
        <v>34630</v>
      </c>
      <c r="D5396" s="137" t="s">
        <v>33342</v>
      </c>
      <c r="E5396" s="138" t="s">
        <v>34631</v>
      </c>
      <c r="F5396" s="136" t="s">
        <v>3760</v>
      </c>
      <c r="G5396" s="136" t="s">
        <v>33344</v>
      </c>
      <c r="H5396" s="136"/>
      <c r="I5396" s="137"/>
      <c r="J5396" s="137" t="s">
        <v>34632</v>
      </c>
      <c r="K5396" s="137" t="s">
        <v>34633</v>
      </c>
      <c r="L5396" s="137"/>
      <c r="M5396" s="137"/>
      <c r="N5396" s="12"/>
      <c r="O5396" s="12"/>
      <c r="P5396" s="13">
        <f>IFERROR(__xludf.DUMMYFUNCTION("VALUE(SUBSTITUTE((INDEX(SPLIT(A5396,"",""),1)),""."","","",1))"),55.738933563)</f>
        <v>55.73893356</v>
      </c>
      <c r="Q5396" s="13">
        <f>IFERROR(__xludf.DUMMYFUNCTION("VALUE(SUBSTITUTE((INDEX(SPLIT(A5396,"",""),2)),""."","","",1))"),38.023399353)</f>
        <v>38.02339935</v>
      </c>
      <c r="R5396" s="14" t="b">
        <f t="shared" si="1"/>
        <v>0</v>
      </c>
      <c r="S5396" s="14" t="str">
        <f t="shared" si="2"/>
        <v>55.738933563,38.023399353</v>
      </c>
      <c r="T5396" s="12"/>
    </row>
    <row r="5397">
      <c r="A5397" s="146" t="s">
        <v>34634</v>
      </c>
      <c r="B5397" s="147" t="s">
        <v>34635</v>
      </c>
      <c r="C5397" s="147" t="s">
        <v>34636</v>
      </c>
      <c r="D5397" s="147" t="s">
        <v>33342</v>
      </c>
      <c r="E5397" s="148" t="s">
        <v>34637</v>
      </c>
      <c r="F5397" s="146" t="s">
        <v>10183</v>
      </c>
      <c r="G5397" s="146" t="s">
        <v>33344</v>
      </c>
      <c r="H5397" s="146"/>
      <c r="I5397" s="147"/>
      <c r="J5397" s="147" t="s">
        <v>34638</v>
      </c>
      <c r="K5397" s="147" t="s">
        <v>34639</v>
      </c>
      <c r="L5397" s="149" t="s">
        <v>34640</v>
      </c>
      <c r="M5397" s="147"/>
      <c r="N5397" s="12"/>
      <c r="O5397" s="12"/>
      <c r="P5397" s="13">
        <f>IFERROR(__xludf.DUMMYFUNCTION("VALUE(SUBSTITUTE((INDEX(SPLIT(A5397,"",""),1)),""."","","",1))"),55.752738953)</f>
        <v>55.75273895</v>
      </c>
      <c r="Q5397" s="13">
        <f>IFERROR(__xludf.DUMMYFUNCTION("VALUE(SUBSTITUTE((INDEX(SPLIT(A5397,"",""),2)),""."","","",1))"),49.20880127)</f>
        <v>49.20880127</v>
      </c>
      <c r="R5397" s="14" t="b">
        <f t="shared" si="1"/>
        <v>0</v>
      </c>
      <c r="S5397" s="14" t="str">
        <f t="shared" si="2"/>
        <v>55.752738953,49.20880127</v>
      </c>
      <c r="T5397" s="12"/>
    </row>
    <row r="5398">
      <c r="A5398" s="142" t="s">
        <v>34641</v>
      </c>
      <c r="B5398" s="143" t="s">
        <v>34642</v>
      </c>
      <c r="C5398" s="143" t="s">
        <v>34642</v>
      </c>
      <c r="D5398" s="143" t="s">
        <v>33342</v>
      </c>
      <c r="E5398" s="144" t="s">
        <v>34643</v>
      </c>
      <c r="F5398" s="142" t="s">
        <v>10183</v>
      </c>
      <c r="G5398" s="142" t="s">
        <v>33344</v>
      </c>
      <c r="H5398" s="142"/>
      <c r="I5398" s="143"/>
      <c r="J5398" s="143" t="s">
        <v>34644</v>
      </c>
      <c r="K5398" s="143" t="s">
        <v>34645</v>
      </c>
      <c r="L5398" s="152" t="s">
        <v>34646</v>
      </c>
      <c r="M5398" s="143"/>
      <c r="N5398" s="12"/>
      <c r="O5398" s="12"/>
      <c r="P5398" s="13">
        <f>IFERROR(__xludf.DUMMYFUNCTION("VALUE(SUBSTITUTE((INDEX(SPLIT(A5398,"",""),1)),""."","","",1))"),55.759506226)</f>
        <v>55.75950623</v>
      </c>
      <c r="Q5398" s="13">
        <f>IFERROR(__xludf.DUMMYFUNCTION("VALUE(SUBSTITUTE((INDEX(SPLIT(A5398,"",""),2)),""."","","",1))"),49.101566315)</f>
        <v>49.10156632</v>
      </c>
      <c r="R5398" s="14" t="b">
        <f t="shared" si="1"/>
        <v>0</v>
      </c>
      <c r="S5398" s="14" t="str">
        <f t="shared" si="2"/>
        <v>55.759506226,49.101566315</v>
      </c>
      <c r="T5398" s="12"/>
    </row>
    <row r="5399">
      <c r="A5399" s="139" t="s">
        <v>34647</v>
      </c>
      <c r="B5399" s="140" t="s">
        <v>34648</v>
      </c>
      <c r="C5399" s="140" t="s">
        <v>34649</v>
      </c>
      <c r="D5399" s="140" t="s">
        <v>33342</v>
      </c>
      <c r="E5399" s="141" t="s">
        <v>34650</v>
      </c>
      <c r="F5399" s="139" t="s">
        <v>3760</v>
      </c>
      <c r="G5399" s="139" t="s">
        <v>33344</v>
      </c>
      <c r="H5399" s="139"/>
      <c r="I5399" s="140"/>
      <c r="J5399" s="140" t="s">
        <v>34651</v>
      </c>
      <c r="K5399" s="140" t="s">
        <v>34652</v>
      </c>
      <c r="L5399" s="140"/>
      <c r="M5399" s="140"/>
      <c r="N5399" s="12"/>
      <c r="O5399" s="12"/>
      <c r="P5399" s="13">
        <f>IFERROR(__xludf.DUMMYFUNCTION("VALUE(SUBSTITUTE((INDEX(SPLIT(A5399,"",""),1)),""."","","",1))"),55.76210022)</f>
        <v>55.76210022</v>
      </c>
      <c r="Q5399" s="13">
        <f>IFERROR(__xludf.DUMMYFUNCTION("VALUE(SUBSTITUTE((INDEX(SPLIT(A5399,"",""),2)),""."","","",1))"),37.863895416)</f>
        <v>37.86389542</v>
      </c>
      <c r="R5399" s="14" t="b">
        <f t="shared" si="1"/>
        <v>0</v>
      </c>
      <c r="S5399" s="14" t="str">
        <f t="shared" si="2"/>
        <v>55.76210022,37.863895416</v>
      </c>
      <c r="T5399" s="12"/>
    </row>
    <row r="5400">
      <c r="A5400" s="142" t="s">
        <v>34653</v>
      </c>
      <c r="B5400" s="143" t="s">
        <v>9706</v>
      </c>
      <c r="C5400" s="143" t="s">
        <v>33601</v>
      </c>
      <c r="D5400" s="143" t="s">
        <v>33342</v>
      </c>
      <c r="E5400" s="144" t="s">
        <v>34654</v>
      </c>
      <c r="F5400" s="142" t="s">
        <v>3883</v>
      </c>
      <c r="G5400" s="142" t="s">
        <v>33344</v>
      </c>
      <c r="H5400" s="142"/>
      <c r="I5400" s="143"/>
      <c r="J5400" s="143" t="s">
        <v>34655</v>
      </c>
      <c r="K5400" s="143" t="s">
        <v>34656</v>
      </c>
      <c r="L5400" s="145" t="s">
        <v>34657</v>
      </c>
      <c r="M5400" s="143"/>
      <c r="N5400" s="12"/>
      <c r="O5400" s="12"/>
      <c r="P5400" s="13">
        <f>IFERROR(__xludf.DUMMYFUNCTION("VALUE(SUBSTITUTE((INDEX(SPLIT(A5400,"",""),1)),""."","","",1))"),55.769420624)</f>
        <v>55.76942062</v>
      </c>
      <c r="Q5400" s="13">
        <f>IFERROR(__xludf.DUMMYFUNCTION("VALUE(SUBSTITUTE((INDEX(SPLIT(A5400,"",""),2)),""."","","",1))"),37.633907318)</f>
        <v>37.63390732</v>
      </c>
      <c r="R5400" s="14" t="b">
        <f t="shared" si="1"/>
        <v>0</v>
      </c>
      <c r="S5400" s="14" t="str">
        <f t="shared" si="2"/>
        <v>55.769420624,37.633907318</v>
      </c>
      <c r="T5400" s="12"/>
    </row>
    <row r="5401">
      <c r="A5401" s="146" t="s">
        <v>34658</v>
      </c>
      <c r="B5401" s="147" t="s">
        <v>34659</v>
      </c>
      <c r="C5401" s="147" t="s">
        <v>34660</v>
      </c>
      <c r="D5401" s="147" t="s">
        <v>33342</v>
      </c>
      <c r="E5401" s="148" t="s">
        <v>34661</v>
      </c>
      <c r="F5401" s="146" t="s">
        <v>10183</v>
      </c>
      <c r="G5401" s="146" t="s">
        <v>33344</v>
      </c>
      <c r="H5401" s="146"/>
      <c r="I5401" s="147"/>
      <c r="J5401" s="147" t="s">
        <v>34662</v>
      </c>
      <c r="K5401" s="147" t="s">
        <v>34663</v>
      </c>
      <c r="L5401" s="150" t="s">
        <v>34664</v>
      </c>
      <c r="M5401" s="147"/>
      <c r="N5401" s="12"/>
      <c r="O5401" s="12"/>
      <c r="P5401" s="13">
        <f>IFERROR(__xludf.DUMMYFUNCTION("VALUE(SUBSTITUTE((INDEX(SPLIT(A5401,"",""),1)),""."","","",1))"),55.769849)</f>
        <v>55.769849</v>
      </c>
      <c r="Q5401" s="13">
        <f>IFERROR(__xludf.DUMMYFUNCTION("VALUE(SUBSTITUTE((INDEX(SPLIT(A5401,"",""),2)),""."","","",1))"),49.134486)</f>
        <v>49.134486</v>
      </c>
      <c r="R5401" s="14" t="b">
        <f t="shared" si="1"/>
        <v>0</v>
      </c>
      <c r="S5401" s="14" t="str">
        <f t="shared" si="2"/>
        <v>55.769849,49.134486</v>
      </c>
      <c r="T5401" s="12"/>
    </row>
    <row r="5402">
      <c r="A5402" s="142" t="s">
        <v>34665</v>
      </c>
      <c r="B5402" s="143" t="s">
        <v>34666</v>
      </c>
      <c r="C5402" s="143" t="s">
        <v>34667</v>
      </c>
      <c r="D5402" s="143" t="s">
        <v>33342</v>
      </c>
      <c r="E5402" s="144" t="s">
        <v>34668</v>
      </c>
      <c r="F5402" s="142" t="s">
        <v>3883</v>
      </c>
      <c r="G5402" s="142" t="s">
        <v>33344</v>
      </c>
      <c r="H5402" s="142"/>
      <c r="I5402" s="143"/>
      <c r="J5402" s="143" t="s">
        <v>34669</v>
      </c>
      <c r="K5402" s="143" t="s">
        <v>34670</v>
      </c>
      <c r="L5402" s="145" t="s">
        <v>34671</v>
      </c>
      <c r="M5402" s="145" t="s">
        <v>34672</v>
      </c>
      <c r="N5402" s="12"/>
      <c r="O5402" s="12"/>
      <c r="P5402" s="13">
        <f>IFERROR(__xludf.DUMMYFUNCTION("VALUE(SUBSTITUTE((INDEX(SPLIT(A5402,"",""),1)),""."","","",1))"),55.775827381656)</f>
        <v>55.77582738</v>
      </c>
      <c r="Q5402" s="13">
        <f>IFERROR(__xludf.DUMMYFUNCTION("VALUE(SUBSTITUTE((INDEX(SPLIT(A5402,"",""),2)),""."","","",1))"),37.645955298862)</f>
        <v>37.6459553</v>
      </c>
      <c r="R5402" s="14" t="b">
        <f t="shared" si="1"/>
        <v>0</v>
      </c>
      <c r="S5402" s="14" t="str">
        <f t="shared" si="2"/>
        <v>55.775827381656,37.645955298862</v>
      </c>
      <c r="T5402" s="12"/>
    </row>
    <row r="5403">
      <c r="A5403" s="146" t="s">
        <v>34673</v>
      </c>
      <c r="B5403" s="147" t="s">
        <v>34674</v>
      </c>
      <c r="C5403" s="147" t="s">
        <v>34675</v>
      </c>
      <c r="D5403" s="147" t="s">
        <v>33342</v>
      </c>
      <c r="E5403" s="148" t="s">
        <v>34676</v>
      </c>
      <c r="F5403" s="146" t="s">
        <v>3883</v>
      </c>
      <c r="G5403" s="146" t="s">
        <v>33344</v>
      </c>
      <c r="H5403" s="146"/>
      <c r="I5403" s="147"/>
      <c r="J5403" s="147" t="s">
        <v>34677</v>
      </c>
      <c r="K5403" s="147" t="s">
        <v>34678</v>
      </c>
      <c r="L5403" s="149" t="s">
        <v>34679</v>
      </c>
      <c r="M5403" s="147"/>
      <c r="N5403" s="12"/>
      <c r="O5403" s="12"/>
      <c r="P5403" s="13">
        <f>IFERROR(__xludf.DUMMYFUNCTION("VALUE(SUBSTITUTE((INDEX(SPLIT(A5403,"",""),1)),""."","","",1))"),55.77897644)</f>
        <v>55.77897644</v>
      </c>
      <c r="Q5403" s="13">
        <f>IFERROR(__xludf.DUMMYFUNCTION("VALUE(SUBSTITUTE((INDEX(SPLIT(A5403,"",""),2)),""."","","",1))"),37.596614838)</f>
        <v>37.59661484</v>
      </c>
      <c r="R5403" s="14" t="b">
        <f t="shared" si="1"/>
        <v>0</v>
      </c>
      <c r="S5403" s="14" t="str">
        <f t="shared" si="2"/>
        <v>55.77897644,37.596614838</v>
      </c>
      <c r="T5403" s="12"/>
    </row>
    <row r="5404">
      <c r="A5404" s="136" t="s">
        <v>34680</v>
      </c>
      <c r="B5404" s="137" t="s">
        <v>34681</v>
      </c>
      <c r="C5404" s="137" t="s">
        <v>34682</v>
      </c>
      <c r="D5404" s="137" t="s">
        <v>33342</v>
      </c>
      <c r="E5404" s="138" t="s">
        <v>34683</v>
      </c>
      <c r="F5404" s="136" t="s">
        <v>10183</v>
      </c>
      <c r="G5404" s="136" t="s">
        <v>33344</v>
      </c>
      <c r="H5404" s="136"/>
      <c r="I5404" s="137"/>
      <c r="J5404" s="137" t="s">
        <v>34684</v>
      </c>
      <c r="K5404" s="137" t="s">
        <v>34685</v>
      </c>
      <c r="L5404" s="137"/>
      <c r="M5404" s="137"/>
      <c r="N5404" s="12"/>
      <c r="O5404" s="12"/>
      <c r="P5404" s="13">
        <f>IFERROR(__xludf.DUMMYFUNCTION("VALUE(SUBSTITUTE((INDEX(SPLIT(A5404,"",""),1)),""."","","",1))"),55.78571701)</f>
        <v>55.78571701</v>
      </c>
      <c r="Q5404" s="13">
        <f>IFERROR(__xludf.DUMMYFUNCTION("VALUE(SUBSTITUTE((INDEX(SPLIT(A5404,"",""),2)),""."","","",1))"),49.125770569)</f>
        <v>49.12577057</v>
      </c>
      <c r="R5404" s="14" t="b">
        <f t="shared" si="1"/>
        <v>0</v>
      </c>
      <c r="S5404" s="14" t="str">
        <f t="shared" si="2"/>
        <v>55.78571701,49.125770569</v>
      </c>
      <c r="T5404" s="12"/>
    </row>
    <row r="5405">
      <c r="A5405" s="139" t="s">
        <v>34686</v>
      </c>
      <c r="B5405" s="140" t="s">
        <v>34687</v>
      </c>
      <c r="C5405" s="140" t="s">
        <v>34688</v>
      </c>
      <c r="D5405" s="140" t="s">
        <v>33342</v>
      </c>
      <c r="E5405" s="141" t="s">
        <v>34689</v>
      </c>
      <c r="F5405" s="139" t="s">
        <v>3760</v>
      </c>
      <c r="G5405" s="139" t="s">
        <v>33344</v>
      </c>
      <c r="H5405" s="139"/>
      <c r="I5405" s="157" t="s">
        <v>34690</v>
      </c>
      <c r="J5405" s="140" t="s">
        <v>34691</v>
      </c>
      <c r="K5405" s="140" t="s">
        <v>34692</v>
      </c>
      <c r="L5405" s="140"/>
      <c r="M5405" s="140"/>
      <c r="N5405" s="12"/>
      <c r="O5405" s="12"/>
      <c r="P5405" s="13">
        <f>IFERROR(__xludf.DUMMYFUNCTION("VALUE(SUBSTITUTE((INDEX(SPLIT(A5405,"",""),1)),""."","","",1))"),55.797286987)</f>
        <v>55.79728699</v>
      </c>
      <c r="Q5405" s="13">
        <f>IFERROR(__xludf.DUMMYFUNCTION("VALUE(SUBSTITUTE((INDEX(SPLIT(A5405,"",""),2)),""."","","",1))"),38.877861023)</f>
        <v>38.87786102</v>
      </c>
      <c r="R5405" s="14" t="b">
        <f t="shared" si="1"/>
        <v>0</v>
      </c>
      <c r="S5405" s="14" t="str">
        <f t="shared" si="2"/>
        <v>55.797286987,38.877861023</v>
      </c>
      <c r="T5405" s="12"/>
    </row>
    <row r="5406">
      <c r="A5406" s="142" t="s">
        <v>34693</v>
      </c>
      <c r="B5406" s="143" t="s">
        <v>10121</v>
      </c>
      <c r="C5406" s="143" t="s">
        <v>34694</v>
      </c>
      <c r="D5406" s="143" t="s">
        <v>33342</v>
      </c>
      <c r="E5406" s="144" t="s">
        <v>34695</v>
      </c>
      <c r="F5406" s="142" t="s">
        <v>3883</v>
      </c>
      <c r="G5406" s="142" t="s">
        <v>33344</v>
      </c>
      <c r="H5406" s="142"/>
      <c r="I5406" s="143"/>
      <c r="J5406" s="143" t="s">
        <v>34696</v>
      </c>
      <c r="K5406" s="143" t="s">
        <v>34697</v>
      </c>
      <c r="L5406" s="145" t="s">
        <v>34698</v>
      </c>
      <c r="M5406" s="143"/>
      <c r="N5406" s="12"/>
      <c r="O5406" s="12"/>
      <c r="P5406" s="13">
        <f>IFERROR(__xludf.DUMMYFUNCTION("VALUE(SUBSTITUTE((INDEX(SPLIT(A5406,"",""),1)),""."","","",1))"),55.803497314)</f>
        <v>55.80349731</v>
      </c>
      <c r="Q5406" s="13">
        <f>IFERROR(__xludf.DUMMYFUNCTION("VALUE(SUBSTITUTE((INDEX(SPLIT(A5406,"",""),2)),""."","","",1))"),37.806549072)</f>
        <v>37.80654907</v>
      </c>
      <c r="R5406" s="14" t="b">
        <f t="shared" si="1"/>
        <v>0</v>
      </c>
      <c r="S5406" s="14" t="str">
        <f t="shared" si="2"/>
        <v>55.803497314,37.806549072</v>
      </c>
      <c r="T5406" s="12"/>
    </row>
    <row r="5407">
      <c r="A5407" s="146" t="s">
        <v>34699</v>
      </c>
      <c r="B5407" s="147" t="s">
        <v>34700</v>
      </c>
      <c r="C5407" s="147" t="s">
        <v>34701</v>
      </c>
      <c r="D5407" s="147" t="s">
        <v>33342</v>
      </c>
      <c r="E5407" s="148" t="s">
        <v>34702</v>
      </c>
      <c r="F5407" s="146" t="s">
        <v>3760</v>
      </c>
      <c r="G5407" s="146" t="s">
        <v>33344</v>
      </c>
      <c r="H5407" s="146"/>
      <c r="I5407" s="147"/>
      <c r="J5407" s="147" t="s">
        <v>34703</v>
      </c>
      <c r="K5407" s="147" t="s">
        <v>34704</v>
      </c>
      <c r="L5407" s="149" t="s">
        <v>34705</v>
      </c>
      <c r="M5407" s="147"/>
      <c r="N5407" s="12"/>
      <c r="O5407" s="12"/>
      <c r="P5407" s="13">
        <f>IFERROR(__xludf.DUMMYFUNCTION("VALUE(SUBSTITUTE((INDEX(SPLIT(A5407,"",""),1)),""."","","",1))"),55.820323944)</f>
        <v>55.82032394</v>
      </c>
      <c r="Q5407" s="13">
        <f>IFERROR(__xludf.DUMMYFUNCTION("VALUE(SUBSTITUTE((INDEX(SPLIT(A5407,"",""),2)),""."","","",1))"),38.993255615)</f>
        <v>38.99325562</v>
      </c>
      <c r="R5407" s="14" t="b">
        <f t="shared" si="1"/>
        <v>0</v>
      </c>
      <c r="S5407" s="14" t="str">
        <f t="shared" si="2"/>
        <v>55.820323944,38.993255615</v>
      </c>
      <c r="T5407" s="12"/>
    </row>
    <row r="5408">
      <c r="A5408" s="142" t="s">
        <v>34706</v>
      </c>
      <c r="B5408" s="143" t="s">
        <v>34707</v>
      </c>
      <c r="C5408" s="143" t="s">
        <v>34708</v>
      </c>
      <c r="D5408" s="143" t="s">
        <v>33342</v>
      </c>
      <c r="E5408" s="144" t="s">
        <v>34709</v>
      </c>
      <c r="F5408" s="142" t="s">
        <v>3883</v>
      </c>
      <c r="G5408" s="142" t="s">
        <v>33344</v>
      </c>
      <c r="H5408" s="142"/>
      <c r="I5408" s="155" t="s">
        <v>34710</v>
      </c>
      <c r="J5408" s="143" t="s">
        <v>34711</v>
      </c>
      <c r="K5408" s="143" t="s">
        <v>34712</v>
      </c>
      <c r="L5408" s="145" t="s">
        <v>34713</v>
      </c>
      <c r="M5408" s="145" t="s">
        <v>34714</v>
      </c>
      <c r="N5408" s="12"/>
      <c r="O5408" s="12"/>
      <c r="P5408" s="13">
        <f>IFERROR(__xludf.DUMMYFUNCTION("VALUE(SUBSTITUTE((INDEX(SPLIT(A5408,"",""),1)),""."","","",1))"),55.825241089)</f>
        <v>55.82524109</v>
      </c>
      <c r="Q5408" s="13">
        <f>IFERROR(__xludf.DUMMYFUNCTION("VALUE(SUBSTITUTE((INDEX(SPLIT(A5408,"",""),2)),""."","","",1))"),37.418827057)</f>
        <v>37.41882706</v>
      </c>
      <c r="R5408" s="14" t="b">
        <f t="shared" si="1"/>
        <v>0</v>
      </c>
      <c r="S5408" s="14" t="str">
        <f t="shared" si="2"/>
        <v>55.825241089,37.418827057</v>
      </c>
      <c r="T5408" s="12"/>
    </row>
    <row r="5409">
      <c r="A5409" s="146" t="s">
        <v>34715</v>
      </c>
      <c r="B5409" s="147" t="s">
        <v>34716</v>
      </c>
      <c r="C5409" s="147" t="s">
        <v>34717</v>
      </c>
      <c r="D5409" s="147" t="s">
        <v>33342</v>
      </c>
      <c r="E5409" s="148" t="s">
        <v>34718</v>
      </c>
      <c r="F5409" s="146" t="s">
        <v>10183</v>
      </c>
      <c r="G5409" s="146" t="s">
        <v>33344</v>
      </c>
      <c r="H5409" s="146"/>
      <c r="I5409" s="147"/>
      <c r="J5409" s="147" t="s">
        <v>34719</v>
      </c>
      <c r="K5409" s="147" t="s">
        <v>34720</v>
      </c>
      <c r="L5409" s="149" t="s">
        <v>34721</v>
      </c>
      <c r="M5409" s="147"/>
      <c r="N5409" s="12"/>
      <c r="O5409" s="12"/>
      <c r="P5409" s="13">
        <f>IFERROR(__xludf.DUMMYFUNCTION("VALUE(SUBSTITUTE((INDEX(SPLIT(A5409,"",""),1)),""."","","",1))"),55.831600189)</f>
        <v>55.83160019</v>
      </c>
      <c r="Q5409" s="13">
        <f>IFERROR(__xludf.DUMMYFUNCTION("VALUE(SUBSTITUTE((INDEX(SPLIT(A5409,"",""),2)),""."","","",1))"),48.661987305)</f>
        <v>48.66198731</v>
      </c>
      <c r="R5409" s="14" t="b">
        <f t="shared" si="1"/>
        <v>0</v>
      </c>
      <c r="S5409" s="14" t="str">
        <f t="shared" si="2"/>
        <v>55.831600189,48.661987305</v>
      </c>
      <c r="T5409" s="12"/>
    </row>
    <row r="5410">
      <c r="A5410" s="142" t="s">
        <v>34722</v>
      </c>
      <c r="B5410" s="143" t="s">
        <v>34723</v>
      </c>
      <c r="C5410" s="143" t="s">
        <v>34724</v>
      </c>
      <c r="D5410" s="143" t="s">
        <v>33342</v>
      </c>
      <c r="E5410" s="144" t="s">
        <v>34725</v>
      </c>
      <c r="F5410" s="142" t="s">
        <v>10183</v>
      </c>
      <c r="G5410" s="142" t="s">
        <v>33344</v>
      </c>
      <c r="H5410" s="142"/>
      <c r="I5410" s="143"/>
      <c r="J5410" s="143" t="s">
        <v>34726</v>
      </c>
      <c r="K5410" s="143" t="s">
        <v>34727</v>
      </c>
      <c r="L5410" s="145" t="s">
        <v>34728</v>
      </c>
      <c r="M5410" s="143"/>
      <c r="N5410" s="12"/>
      <c r="O5410" s="12"/>
      <c r="P5410" s="13">
        <f>IFERROR(__xludf.DUMMYFUNCTION("VALUE(SUBSTITUTE((INDEX(SPLIT(A5410,"",""),1)),""."","","",1))"),55.877140045)</f>
        <v>55.87714005</v>
      </c>
      <c r="Q5410" s="13">
        <f>IFERROR(__xludf.DUMMYFUNCTION("VALUE(SUBSTITUTE((INDEX(SPLIT(A5410,"",""),2)),""."","","",1))"),48.936157227)</f>
        <v>48.93615723</v>
      </c>
      <c r="R5410" s="14" t="b">
        <f t="shared" si="1"/>
        <v>0</v>
      </c>
      <c r="S5410" s="14" t="str">
        <f t="shared" si="2"/>
        <v>55.877140045,48.936157227</v>
      </c>
      <c r="T5410" s="12"/>
    </row>
    <row r="5411">
      <c r="A5411" s="146" t="s">
        <v>34729</v>
      </c>
      <c r="B5411" s="147" t="s">
        <v>34730</v>
      </c>
      <c r="C5411" s="147" t="s">
        <v>34731</v>
      </c>
      <c r="D5411" s="147" t="s">
        <v>33342</v>
      </c>
      <c r="E5411" s="148" t="s">
        <v>34732</v>
      </c>
      <c r="F5411" s="146" t="s">
        <v>3760</v>
      </c>
      <c r="G5411" s="146" t="s">
        <v>33344</v>
      </c>
      <c r="H5411" s="146"/>
      <c r="I5411" s="151" t="s">
        <v>34733</v>
      </c>
      <c r="J5411" s="147" t="s">
        <v>34734</v>
      </c>
      <c r="K5411" s="147" t="s">
        <v>34735</v>
      </c>
      <c r="L5411" s="150" t="s">
        <v>34736</v>
      </c>
      <c r="M5411" s="147"/>
      <c r="N5411" s="12"/>
      <c r="O5411" s="12"/>
      <c r="P5411" s="13">
        <f>IFERROR(__xludf.DUMMYFUNCTION("VALUE(SUBSTITUTE((INDEX(SPLIT(A5411,"",""),1)),""."","","",1))"),55.881252289)</f>
        <v>55.88125229</v>
      </c>
      <c r="Q5411" s="13">
        <f>IFERROR(__xludf.DUMMYFUNCTION("VALUE(SUBSTITUTE((INDEX(SPLIT(A5411,"",""),2)),""."","","",1))"),38.475662231)</f>
        <v>38.47566223</v>
      </c>
      <c r="R5411" s="14" t="b">
        <f t="shared" si="1"/>
        <v>0</v>
      </c>
      <c r="S5411" s="14" t="str">
        <f t="shared" si="2"/>
        <v>55.881252289,38.475662231</v>
      </c>
      <c r="T5411" s="12"/>
    </row>
    <row r="5412">
      <c r="A5412" s="142" t="s">
        <v>34737</v>
      </c>
      <c r="B5412" s="143" t="s">
        <v>34738</v>
      </c>
      <c r="C5412" s="143" t="s">
        <v>34739</v>
      </c>
      <c r="D5412" s="143" t="s">
        <v>33342</v>
      </c>
      <c r="E5412" s="144" t="s">
        <v>34740</v>
      </c>
      <c r="F5412" s="142" t="s">
        <v>3883</v>
      </c>
      <c r="G5412" s="142" t="s">
        <v>33344</v>
      </c>
      <c r="H5412" s="142"/>
      <c r="I5412" s="155" t="s">
        <v>34741</v>
      </c>
      <c r="J5412" s="143" t="s">
        <v>34742</v>
      </c>
      <c r="K5412" s="143" t="s">
        <v>34743</v>
      </c>
      <c r="L5412" s="145" t="s">
        <v>34744</v>
      </c>
      <c r="M5412" s="145" t="s">
        <v>34745</v>
      </c>
      <c r="N5412" s="12"/>
      <c r="O5412" s="12"/>
      <c r="P5412" s="13">
        <f>IFERROR(__xludf.DUMMYFUNCTION("VALUE(SUBSTITUTE((INDEX(SPLIT(A5412,"",""),1)),""."","","",1))"),55.8841362)</f>
        <v>55.8841362</v>
      </c>
      <c r="Q5412" s="13">
        <f>IFERROR(__xludf.DUMMYFUNCTION("VALUE(SUBSTITUTE((INDEX(SPLIT(A5412,"",""),2)),""."","","",1))"),37.633163452)</f>
        <v>37.63316345</v>
      </c>
      <c r="R5412" s="14" t="b">
        <f t="shared" si="1"/>
        <v>0</v>
      </c>
      <c r="S5412" s="14" t="str">
        <f t="shared" si="2"/>
        <v>55.8841362,37.633163452</v>
      </c>
      <c r="T5412" s="12"/>
    </row>
    <row r="5413">
      <c r="A5413" s="146" t="s">
        <v>34746</v>
      </c>
      <c r="B5413" s="147" t="s">
        <v>34747</v>
      </c>
      <c r="C5413" s="147" t="s">
        <v>34747</v>
      </c>
      <c r="D5413" s="147" t="s">
        <v>33342</v>
      </c>
      <c r="E5413" s="148" t="s">
        <v>34748</v>
      </c>
      <c r="F5413" s="146" t="s">
        <v>3883</v>
      </c>
      <c r="G5413" s="146" t="s">
        <v>33344</v>
      </c>
      <c r="H5413" s="146"/>
      <c r="I5413" s="147"/>
      <c r="J5413" s="147" t="s">
        <v>34749</v>
      </c>
      <c r="K5413" s="147" t="s">
        <v>34750</v>
      </c>
      <c r="L5413" s="149" t="s">
        <v>34751</v>
      </c>
      <c r="M5413" s="149" t="s">
        <v>34752</v>
      </c>
      <c r="N5413" s="12"/>
      <c r="O5413" s="12"/>
      <c r="P5413" s="13">
        <f>IFERROR(__xludf.DUMMYFUNCTION("VALUE(SUBSTITUTE((INDEX(SPLIT(A5413,"",""),1)),""."","","",1))"),55.88514328)</f>
        <v>55.88514328</v>
      </c>
      <c r="Q5413" s="13">
        <f>IFERROR(__xludf.DUMMYFUNCTION("VALUE(SUBSTITUTE((INDEX(SPLIT(A5413,"",""),2)),""."","","",1))"),37.622837067)</f>
        <v>37.62283707</v>
      </c>
      <c r="R5413" s="14" t="b">
        <f t="shared" si="1"/>
        <v>0</v>
      </c>
      <c r="S5413" s="14" t="str">
        <f t="shared" si="2"/>
        <v>55.88514328,37.622837067</v>
      </c>
      <c r="T5413" s="12"/>
    </row>
    <row r="5414">
      <c r="A5414" s="136" t="s">
        <v>34753</v>
      </c>
      <c r="B5414" s="137" t="s">
        <v>34754</v>
      </c>
      <c r="C5414" s="137" t="s">
        <v>34755</v>
      </c>
      <c r="D5414" s="137" t="s">
        <v>33342</v>
      </c>
      <c r="E5414" s="138" t="s">
        <v>34756</v>
      </c>
      <c r="F5414" s="136" t="s">
        <v>3760</v>
      </c>
      <c r="G5414" s="136" t="s">
        <v>33344</v>
      </c>
      <c r="H5414" s="136"/>
      <c r="I5414" s="137"/>
      <c r="J5414" s="137" t="s">
        <v>34757</v>
      </c>
      <c r="K5414" s="137" t="s">
        <v>34758</v>
      </c>
      <c r="L5414" s="137"/>
      <c r="M5414" s="137"/>
      <c r="N5414" s="12"/>
      <c r="O5414" s="12"/>
      <c r="P5414" s="13">
        <f>IFERROR(__xludf.DUMMYFUNCTION("VALUE(SUBSTITUTE((INDEX(SPLIT(A5414,"",""),1)),""."","","",1))"),55.901451111)</f>
        <v>55.90145111</v>
      </c>
      <c r="Q5414" s="13">
        <f>IFERROR(__xludf.DUMMYFUNCTION("VALUE(SUBSTITUTE((INDEX(SPLIT(A5414,"",""),2)),""."","","",1))"),37.793758392)</f>
        <v>37.79375839</v>
      </c>
      <c r="R5414" s="14" t="b">
        <f t="shared" si="1"/>
        <v>0</v>
      </c>
      <c r="S5414" s="14" t="str">
        <f t="shared" si="2"/>
        <v>55.901451111,37.793758392</v>
      </c>
      <c r="T5414" s="12"/>
    </row>
    <row r="5415">
      <c r="A5415" s="146" t="s">
        <v>34759</v>
      </c>
      <c r="B5415" s="147" t="s">
        <v>34760</v>
      </c>
      <c r="C5415" s="147" t="s">
        <v>34761</v>
      </c>
      <c r="D5415" s="147" t="s">
        <v>33342</v>
      </c>
      <c r="E5415" s="148" t="s">
        <v>34762</v>
      </c>
      <c r="F5415" s="146" t="s">
        <v>3883</v>
      </c>
      <c r="G5415" s="146" t="s">
        <v>33344</v>
      </c>
      <c r="H5415" s="146"/>
      <c r="I5415" s="147"/>
      <c r="J5415" s="147" t="s">
        <v>34763</v>
      </c>
      <c r="K5415" s="147" t="s">
        <v>34764</v>
      </c>
      <c r="L5415" s="149" t="s">
        <v>34765</v>
      </c>
      <c r="M5415" s="147"/>
      <c r="N5415" s="12"/>
      <c r="O5415" s="12"/>
      <c r="P5415" s="13">
        <f>IFERROR(__xludf.DUMMYFUNCTION("VALUE(SUBSTITUTE((INDEX(SPLIT(A5415,"",""),1)),""."","","",1))"),55.908481598)</f>
        <v>55.9084816</v>
      </c>
      <c r="Q5415" s="13">
        <f>IFERROR(__xludf.DUMMYFUNCTION("VALUE(SUBSTITUTE((INDEX(SPLIT(A5415,"",""),2)),""."","","",1))"),37.989269257)</f>
        <v>37.98926926</v>
      </c>
      <c r="R5415" s="14" t="b">
        <f t="shared" si="1"/>
        <v>0</v>
      </c>
      <c r="S5415" s="14" t="str">
        <f t="shared" si="2"/>
        <v>55.908481598,37.989269257</v>
      </c>
      <c r="T5415" s="12"/>
    </row>
    <row r="5416">
      <c r="A5416" s="142" t="s">
        <v>34766</v>
      </c>
      <c r="B5416" s="143" t="s">
        <v>27820</v>
      </c>
      <c r="C5416" s="143" t="s">
        <v>34767</v>
      </c>
      <c r="D5416" s="143" t="s">
        <v>33342</v>
      </c>
      <c r="E5416" s="144" t="s">
        <v>34768</v>
      </c>
      <c r="F5416" s="142" t="s">
        <v>3760</v>
      </c>
      <c r="G5416" s="142" t="s">
        <v>33344</v>
      </c>
      <c r="H5416" s="142"/>
      <c r="I5416" s="143"/>
      <c r="J5416" s="143" t="s">
        <v>34769</v>
      </c>
      <c r="K5416" s="143" t="s">
        <v>34770</v>
      </c>
      <c r="L5416" s="152" t="s">
        <v>34771</v>
      </c>
      <c r="M5416" s="143"/>
      <c r="N5416" s="12"/>
      <c r="O5416" s="12"/>
      <c r="P5416" s="13">
        <f>IFERROR(__xludf.DUMMYFUNCTION("VALUE(SUBSTITUTE((INDEX(SPLIT(A5416,"",""),1)),""."","","",1))"),55.910209656)</f>
        <v>55.91020966</v>
      </c>
      <c r="Q5416" s="13">
        <f>IFERROR(__xludf.DUMMYFUNCTION("VALUE(SUBSTITUTE((INDEX(SPLIT(A5416,"",""),2)),""."","","",1))"),38.5041008)</f>
        <v>38.5041008</v>
      </c>
      <c r="R5416" s="14" t="b">
        <f t="shared" si="1"/>
        <v>0</v>
      </c>
      <c r="S5416" s="14" t="str">
        <f t="shared" si="2"/>
        <v>55.910209656,38.5041008</v>
      </c>
      <c r="T5416" s="12"/>
    </row>
    <row r="5417">
      <c r="A5417" s="139" t="s">
        <v>34772</v>
      </c>
      <c r="B5417" s="140" t="s">
        <v>34773</v>
      </c>
      <c r="C5417" s="140" t="s">
        <v>34774</v>
      </c>
      <c r="D5417" s="140" t="s">
        <v>33342</v>
      </c>
      <c r="E5417" s="141" t="s">
        <v>34775</v>
      </c>
      <c r="F5417" s="139" t="s">
        <v>3760</v>
      </c>
      <c r="G5417" s="139" t="s">
        <v>33344</v>
      </c>
      <c r="H5417" s="139"/>
      <c r="I5417" s="157" t="s">
        <v>34776</v>
      </c>
      <c r="J5417" s="140" t="s">
        <v>34777</v>
      </c>
      <c r="K5417" s="140" t="s">
        <v>34778</v>
      </c>
      <c r="L5417" s="140"/>
      <c r="M5417" s="154" t="s">
        <v>34779</v>
      </c>
      <c r="N5417" s="12"/>
      <c r="O5417" s="12"/>
      <c r="P5417" s="13">
        <f>IFERROR(__xludf.DUMMYFUNCTION("VALUE(SUBSTITUTE((INDEX(SPLIT(A5417,"",""),1)),""."","","",1))"),55.911247253)</f>
        <v>55.91124725</v>
      </c>
      <c r="Q5417" s="13">
        <f>IFERROR(__xludf.DUMMYFUNCTION("VALUE(SUBSTITUTE((INDEX(SPLIT(A5417,"",""),2)),""."","","",1))"),37.396595001)</f>
        <v>37.396595</v>
      </c>
      <c r="R5417" s="14" t="b">
        <f t="shared" si="1"/>
        <v>0</v>
      </c>
      <c r="S5417" s="14" t="str">
        <f t="shared" si="2"/>
        <v>55.911247253,37.396595001</v>
      </c>
      <c r="T5417" s="12"/>
    </row>
    <row r="5418">
      <c r="A5418" s="142" t="s">
        <v>34780</v>
      </c>
      <c r="B5418" s="143" t="s">
        <v>34781</v>
      </c>
      <c r="C5418" s="143" t="s">
        <v>34781</v>
      </c>
      <c r="D5418" s="143" t="s">
        <v>33342</v>
      </c>
      <c r="E5418" s="144" t="s">
        <v>34782</v>
      </c>
      <c r="F5418" s="142" t="s">
        <v>3760</v>
      </c>
      <c r="G5418" s="142" t="s">
        <v>33344</v>
      </c>
      <c r="H5418" s="142"/>
      <c r="I5418" s="155" t="s">
        <v>34783</v>
      </c>
      <c r="J5418" s="143" t="s">
        <v>34784</v>
      </c>
      <c r="K5418" s="143" t="s">
        <v>34785</v>
      </c>
      <c r="L5418" s="145" t="s">
        <v>34786</v>
      </c>
      <c r="M5418" s="145" t="s">
        <v>34787</v>
      </c>
      <c r="N5418" s="12"/>
      <c r="O5418" s="12"/>
      <c r="P5418" s="13">
        <f>IFERROR(__xludf.DUMMYFUNCTION("VALUE(SUBSTITUTE((INDEX(SPLIT(A5418,"",""),1)),""."","","",1))"),55.913387299)</f>
        <v>55.9133873</v>
      </c>
      <c r="Q5418" s="13">
        <f>IFERROR(__xludf.DUMMYFUNCTION("VALUE(SUBSTITUTE((INDEX(SPLIT(A5418,"",""),2)),""."","","",1))"),37.52947998)</f>
        <v>37.52947998</v>
      </c>
      <c r="R5418" s="14" t="b">
        <f t="shared" si="1"/>
        <v>0</v>
      </c>
      <c r="S5418" s="14" t="str">
        <f t="shared" si="2"/>
        <v>55.913387299,37.52947998</v>
      </c>
      <c r="T5418" s="12"/>
    </row>
    <row r="5419">
      <c r="A5419" s="146" t="s">
        <v>34788</v>
      </c>
      <c r="B5419" s="147" t="s">
        <v>30047</v>
      </c>
      <c r="C5419" s="147" t="s">
        <v>34789</v>
      </c>
      <c r="D5419" s="147" t="s">
        <v>33342</v>
      </c>
      <c r="E5419" s="148" t="s">
        <v>34790</v>
      </c>
      <c r="F5419" s="146" t="s">
        <v>4327</v>
      </c>
      <c r="G5419" s="146" t="s">
        <v>33344</v>
      </c>
      <c r="H5419" s="146"/>
      <c r="I5419" s="147"/>
      <c r="J5419" s="147" t="s">
        <v>34791</v>
      </c>
      <c r="K5419" s="147" t="s">
        <v>34792</v>
      </c>
      <c r="L5419" s="149" t="s">
        <v>34793</v>
      </c>
      <c r="M5419" s="147"/>
      <c r="N5419" s="12"/>
      <c r="O5419" s="12"/>
      <c r="P5419" s="13">
        <f>IFERROR(__xludf.DUMMYFUNCTION("VALUE(SUBSTITUTE((INDEX(SPLIT(A5419,"",""),1)),""."","","",1))"),55.916633606)</f>
        <v>55.91663361</v>
      </c>
      <c r="Q5419" s="13">
        <f>IFERROR(__xludf.DUMMYFUNCTION("VALUE(SUBSTITUTE((INDEX(SPLIT(A5419,"",""),2)),""."","","",1))"),49.151817322)</f>
        <v>49.15181732</v>
      </c>
      <c r="R5419" s="14" t="b">
        <f t="shared" si="1"/>
        <v>0</v>
      </c>
      <c r="S5419" s="14" t="str">
        <f t="shared" si="2"/>
        <v>55.916633606,49.151817322</v>
      </c>
      <c r="T5419" s="12"/>
    </row>
    <row r="5420">
      <c r="A5420" s="142" t="s">
        <v>34794</v>
      </c>
      <c r="B5420" s="143" t="s">
        <v>34795</v>
      </c>
      <c r="C5420" s="143" t="s">
        <v>34796</v>
      </c>
      <c r="D5420" s="143" t="s">
        <v>33342</v>
      </c>
      <c r="E5420" s="144" t="s">
        <v>34797</v>
      </c>
      <c r="F5420" s="142" t="s">
        <v>3760</v>
      </c>
      <c r="G5420" s="142" t="s">
        <v>33344</v>
      </c>
      <c r="H5420" s="142"/>
      <c r="I5420" s="143"/>
      <c r="J5420" s="143" t="s">
        <v>34798</v>
      </c>
      <c r="K5420" s="143" t="s">
        <v>34799</v>
      </c>
      <c r="L5420" s="145" t="s">
        <v>34800</v>
      </c>
      <c r="M5420" s="143"/>
      <c r="N5420" s="12"/>
      <c r="O5420" s="12"/>
      <c r="P5420" s="13">
        <f>IFERROR(__xludf.DUMMYFUNCTION("VALUE(SUBSTITUTE((INDEX(SPLIT(A5420,"",""),1)),""."","","",1))"),55.920955658)</f>
        <v>55.92095566</v>
      </c>
      <c r="Q5420" s="13">
        <f>IFERROR(__xludf.DUMMYFUNCTION("VALUE(SUBSTITUTE((INDEX(SPLIT(A5420,"",""),2)),""."","","",1))"),37.819709778)</f>
        <v>37.81970978</v>
      </c>
      <c r="R5420" s="14" t="b">
        <f t="shared" si="1"/>
        <v>0</v>
      </c>
      <c r="S5420" s="14" t="str">
        <f t="shared" si="2"/>
        <v>55.920955658,37.819709778</v>
      </c>
      <c r="T5420" s="12"/>
    </row>
    <row r="5421">
      <c r="A5421" s="146" t="s">
        <v>34801</v>
      </c>
      <c r="B5421" s="147" t="s">
        <v>34802</v>
      </c>
      <c r="C5421" s="147" t="s">
        <v>34803</v>
      </c>
      <c r="D5421" s="147" t="s">
        <v>33342</v>
      </c>
      <c r="E5421" s="148" t="s">
        <v>34804</v>
      </c>
      <c r="F5421" s="146" t="s">
        <v>3760</v>
      </c>
      <c r="G5421" s="146" t="s">
        <v>33344</v>
      </c>
      <c r="H5421" s="146"/>
      <c r="I5421" s="147"/>
      <c r="J5421" s="147" t="s">
        <v>34805</v>
      </c>
      <c r="K5421" s="147" t="s">
        <v>34806</v>
      </c>
      <c r="L5421" s="149" t="s">
        <v>34807</v>
      </c>
      <c r="M5421" s="149" t="s">
        <v>34808</v>
      </c>
      <c r="N5421" s="12"/>
      <c r="O5421" s="12"/>
      <c r="P5421" s="13">
        <f>IFERROR(__xludf.DUMMYFUNCTION("VALUE(SUBSTITUTE((INDEX(SPLIT(A5421,"",""),1)),""."","","",1))"),55.924160004)</f>
        <v>55.92416</v>
      </c>
      <c r="Q5421" s="13">
        <f>IFERROR(__xludf.DUMMYFUNCTION("VALUE(SUBSTITUTE((INDEX(SPLIT(A5421,"",""),2)),""."","","",1))"),37.820098877)</f>
        <v>37.82009888</v>
      </c>
      <c r="R5421" s="14" t="b">
        <f t="shared" si="1"/>
        <v>0</v>
      </c>
      <c r="S5421" s="14" t="str">
        <f t="shared" si="2"/>
        <v>55.924160004,37.820098877</v>
      </c>
      <c r="T5421" s="12"/>
    </row>
    <row r="5422">
      <c r="A5422" s="136" t="s">
        <v>34809</v>
      </c>
      <c r="B5422" s="137" t="s">
        <v>34810</v>
      </c>
      <c r="C5422" s="137" t="s">
        <v>34811</v>
      </c>
      <c r="D5422" s="137" t="s">
        <v>33342</v>
      </c>
      <c r="E5422" s="138" t="s">
        <v>34812</v>
      </c>
      <c r="F5422" s="136" t="s">
        <v>10183</v>
      </c>
      <c r="G5422" s="136" t="s">
        <v>33344</v>
      </c>
      <c r="H5422" s="136"/>
      <c r="I5422" s="137"/>
      <c r="J5422" s="137" t="s">
        <v>34813</v>
      </c>
      <c r="K5422" s="137" t="s">
        <v>34814</v>
      </c>
      <c r="L5422" s="137"/>
      <c r="M5422" s="137"/>
      <c r="N5422" s="12"/>
      <c r="O5422" s="12"/>
      <c r="P5422" s="13">
        <f>IFERROR(__xludf.DUMMYFUNCTION("VALUE(SUBSTITUTE((INDEX(SPLIT(A5422,"",""),1)),""."","","",1))"),55.953323364)</f>
        <v>55.95332336</v>
      </c>
      <c r="Q5422" s="13">
        <f>IFERROR(__xludf.DUMMYFUNCTION("VALUE(SUBSTITUTE((INDEX(SPLIT(A5422,"",""),2)),""."","","",1))"),49.498054504)</f>
        <v>49.4980545</v>
      </c>
      <c r="R5422" s="14" t="b">
        <f t="shared" si="1"/>
        <v>0</v>
      </c>
      <c r="S5422" s="14" t="str">
        <f t="shared" si="2"/>
        <v>55.953323364,49.498054504</v>
      </c>
      <c r="T5422" s="12"/>
    </row>
    <row r="5423">
      <c r="A5423" s="139" t="s">
        <v>34815</v>
      </c>
      <c r="B5423" s="140" t="s">
        <v>16946</v>
      </c>
      <c r="C5423" s="140" t="s">
        <v>34816</v>
      </c>
      <c r="D5423" s="140" t="s">
        <v>33342</v>
      </c>
      <c r="E5423" s="141" t="s">
        <v>34817</v>
      </c>
      <c r="F5423" s="139" t="s">
        <v>3760</v>
      </c>
      <c r="G5423" s="139" t="s">
        <v>33344</v>
      </c>
      <c r="H5423" s="139"/>
      <c r="I5423" s="140"/>
      <c r="J5423" s="140" t="s">
        <v>34818</v>
      </c>
      <c r="K5423" s="140" t="s">
        <v>34819</v>
      </c>
      <c r="L5423" s="140"/>
      <c r="M5423" s="154" t="s">
        <v>34820</v>
      </c>
      <c r="N5423" s="12"/>
      <c r="O5423" s="12"/>
      <c r="P5423" s="13">
        <f>IFERROR(__xludf.DUMMYFUNCTION("VALUE(SUBSTITUTE((INDEX(SPLIT(A5423,"",""),1)),""."","","",1))"),55.960956573)</f>
        <v>55.96095657</v>
      </c>
      <c r="Q5423" s="13">
        <f>IFERROR(__xludf.DUMMYFUNCTION("VALUE(SUBSTITUTE((INDEX(SPLIT(A5423,"",""),2)),""."","","",1))"),37.92307663)</f>
        <v>37.92307663</v>
      </c>
      <c r="R5423" s="14" t="b">
        <f t="shared" si="1"/>
        <v>0</v>
      </c>
      <c r="S5423" s="14" t="str">
        <f t="shared" si="2"/>
        <v>55.960956573,37.92307663</v>
      </c>
      <c r="T5423" s="12"/>
    </row>
    <row r="5424">
      <c r="A5424" s="142" t="s">
        <v>34821</v>
      </c>
      <c r="B5424" s="143" t="s">
        <v>34822</v>
      </c>
      <c r="C5424" s="143" t="s">
        <v>34823</v>
      </c>
      <c r="D5424" s="143" t="s">
        <v>33342</v>
      </c>
      <c r="E5424" s="144" t="s">
        <v>34824</v>
      </c>
      <c r="F5424" s="142" t="s">
        <v>3760</v>
      </c>
      <c r="G5424" s="142" t="s">
        <v>33344</v>
      </c>
      <c r="H5424" s="142"/>
      <c r="I5424" s="143"/>
      <c r="J5424" s="143" t="s">
        <v>34825</v>
      </c>
      <c r="K5424" s="143" t="s">
        <v>34826</v>
      </c>
      <c r="L5424" s="152" t="s">
        <v>34827</v>
      </c>
      <c r="M5424" s="143"/>
      <c r="N5424" s="12"/>
      <c r="O5424" s="12"/>
      <c r="P5424" s="13">
        <f>IFERROR(__xludf.DUMMYFUNCTION("VALUE(SUBSTITUTE((INDEX(SPLIT(A5424,"",""),1)),""."","","",1))"),55.968959808)</f>
        <v>55.96895981</v>
      </c>
      <c r="Q5424" s="13">
        <f>IFERROR(__xludf.DUMMYFUNCTION("VALUE(SUBSTITUTE((INDEX(SPLIT(A5424,"",""),2)),""."","","",1))"),37.913463593)</f>
        <v>37.91346359</v>
      </c>
      <c r="R5424" s="14" t="b">
        <f t="shared" si="1"/>
        <v>0</v>
      </c>
      <c r="S5424" s="14" t="str">
        <f t="shared" si="2"/>
        <v>55.968959808,37.913463593</v>
      </c>
      <c r="T5424" s="12"/>
    </row>
    <row r="5425">
      <c r="A5425" s="146" t="s">
        <v>34828</v>
      </c>
      <c r="B5425" s="147" t="s">
        <v>34829</v>
      </c>
      <c r="C5425" s="147" t="s">
        <v>34830</v>
      </c>
      <c r="D5425" s="147" t="s">
        <v>33342</v>
      </c>
      <c r="E5425" s="148" t="s">
        <v>34831</v>
      </c>
      <c r="F5425" s="146" t="s">
        <v>3883</v>
      </c>
      <c r="G5425" s="146" t="s">
        <v>33344</v>
      </c>
      <c r="H5425" s="146"/>
      <c r="I5425" s="147"/>
      <c r="J5425" s="147" t="s">
        <v>34832</v>
      </c>
      <c r="K5425" s="147" t="s">
        <v>34833</v>
      </c>
      <c r="L5425" s="149" t="s">
        <v>34834</v>
      </c>
      <c r="M5425" s="147"/>
      <c r="N5425" s="12"/>
      <c r="O5425" s="12"/>
      <c r="P5425" s="13">
        <f>IFERROR(__xludf.DUMMYFUNCTION("VALUE(SUBSTITUTE((INDEX(SPLIT(A5425,"",""),1)),""."","","",1))"),55.96934407037)</f>
        <v>55.96934407</v>
      </c>
      <c r="Q5425" s="13">
        <f>IFERROR(__xludf.DUMMYFUNCTION("VALUE(SUBSTITUTE((INDEX(SPLIT(A5425,"",""),2)),""."","","",1))"),36.54713395531)</f>
        <v>36.54713396</v>
      </c>
      <c r="R5425" s="14" t="b">
        <f t="shared" si="1"/>
        <v>0</v>
      </c>
      <c r="S5425" s="14" t="str">
        <f t="shared" si="2"/>
        <v>55.96934407037,36.54713395531</v>
      </c>
      <c r="T5425" s="12"/>
    </row>
    <row r="5426">
      <c r="A5426" s="136" t="s">
        <v>34835</v>
      </c>
      <c r="B5426" s="137" t="s">
        <v>34836</v>
      </c>
      <c r="C5426" s="137" t="s">
        <v>34837</v>
      </c>
      <c r="D5426" s="137" t="s">
        <v>33342</v>
      </c>
      <c r="E5426" s="138" t="s">
        <v>34838</v>
      </c>
      <c r="F5426" s="136" t="s">
        <v>26306</v>
      </c>
      <c r="G5426" s="136" t="s">
        <v>33344</v>
      </c>
      <c r="H5426" s="136"/>
      <c r="I5426" s="137"/>
      <c r="J5426" s="137" t="s">
        <v>34839</v>
      </c>
      <c r="K5426" s="137" t="s">
        <v>34840</v>
      </c>
      <c r="L5426" s="137"/>
      <c r="M5426" s="137"/>
      <c r="N5426" s="12"/>
      <c r="O5426" s="12"/>
      <c r="P5426" s="13">
        <f>IFERROR(__xludf.DUMMYFUNCTION("VALUE(SUBSTITUTE((INDEX(SPLIT(A5426,"",""),1)),""."","","",1))"),55.982635498)</f>
        <v>55.9826355</v>
      </c>
      <c r="Q5426" s="13">
        <f>IFERROR(__xludf.DUMMYFUNCTION("VALUE(SUBSTITUTE((INDEX(SPLIT(A5426,"",""),2)),""."","","",1))"),92.926483154)</f>
        <v>92.92648315</v>
      </c>
      <c r="R5426" s="14" t="b">
        <f t="shared" si="1"/>
        <v>0</v>
      </c>
      <c r="S5426" s="14" t="str">
        <f t="shared" si="2"/>
        <v>55.982635498,92.926483154</v>
      </c>
      <c r="T5426" s="12"/>
    </row>
    <row r="5427">
      <c r="A5427" s="139" t="s">
        <v>34841</v>
      </c>
      <c r="B5427" s="140" t="s">
        <v>33988</v>
      </c>
      <c r="C5427" s="140" t="s">
        <v>33989</v>
      </c>
      <c r="D5427" s="140" t="s">
        <v>33342</v>
      </c>
      <c r="E5427" s="141" t="s">
        <v>34842</v>
      </c>
      <c r="F5427" s="139" t="s">
        <v>26306</v>
      </c>
      <c r="G5427" s="139" t="s">
        <v>33344</v>
      </c>
      <c r="H5427" s="139"/>
      <c r="I5427" s="140"/>
      <c r="J5427" s="140" t="s">
        <v>34843</v>
      </c>
      <c r="K5427" s="140" t="s">
        <v>34844</v>
      </c>
      <c r="L5427" s="140"/>
      <c r="M5427" s="154" t="s">
        <v>34845</v>
      </c>
      <c r="N5427" s="12"/>
      <c r="O5427" s="12"/>
      <c r="P5427" s="13">
        <f>IFERROR(__xludf.DUMMYFUNCTION("VALUE(SUBSTITUTE((INDEX(SPLIT(A5427,"",""),1)),""."","","",1))"),56.015808394186)</f>
        <v>56.01580839</v>
      </c>
      <c r="Q5427" s="13">
        <f>IFERROR(__xludf.DUMMYFUNCTION("VALUE(SUBSTITUTE((INDEX(SPLIT(A5427,"",""),2)),""."","","",1))"),92.880690932684)</f>
        <v>92.88069093</v>
      </c>
      <c r="R5427" s="14" t="b">
        <f t="shared" si="1"/>
        <v>0</v>
      </c>
      <c r="S5427" s="14" t="str">
        <f t="shared" si="2"/>
        <v>56.015808394186,92.880690932684</v>
      </c>
      <c r="T5427" s="12"/>
    </row>
    <row r="5428">
      <c r="A5428" s="142" t="s">
        <v>34846</v>
      </c>
      <c r="B5428" s="143" t="s">
        <v>34847</v>
      </c>
      <c r="C5428" s="143" t="s">
        <v>34848</v>
      </c>
      <c r="D5428" s="143" t="s">
        <v>33342</v>
      </c>
      <c r="E5428" s="144" t="s">
        <v>34849</v>
      </c>
      <c r="F5428" s="142" t="s">
        <v>3760</v>
      </c>
      <c r="G5428" s="142" t="s">
        <v>33344</v>
      </c>
      <c r="H5428" s="142"/>
      <c r="I5428" s="155" t="s">
        <v>34850</v>
      </c>
      <c r="J5428" s="143" t="s">
        <v>34851</v>
      </c>
      <c r="K5428" s="143" t="s">
        <v>34852</v>
      </c>
      <c r="L5428" s="152" t="s">
        <v>34853</v>
      </c>
      <c r="M5428" s="143"/>
      <c r="N5428" s="12"/>
      <c r="O5428" s="12"/>
      <c r="P5428" s="13">
        <f>IFERROR(__xludf.DUMMYFUNCTION("VALUE(SUBSTITUTE((INDEX(SPLIT(A5428,"",""),1)),""."","","",1))"),56.017505646)</f>
        <v>56.01750565</v>
      </c>
      <c r="Q5428" s="13">
        <f>IFERROR(__xludf.DUMMYFUNCTION("VALUE(SUBSTITUTE((INDEX(SPLIT(A5428,"",""),2)),""."","","",1))"),37.470542908)</f>
        <v>37.47054291</v>
      </c>
      <c r="R5428" s="14" t="b">
        <f t="shared" si="1"/>
        <v>0</v>
      </c>
      <c r="S5428" s="14" t="str">
        <f t="shared" si="2"/>
        <v>56.017505646,37.470542908</v>
      </c>
      <c r="T5428" s="12"/>
    </row>
    <row r="5429">
      <c r="A5429" s="139" t="s">
        <v>34854</v>
      </c>
      <c r="B5429" s="140" t="s">
        <v>34855</v>
      </c>
      <c r="C5429" s="140" t="s">
        <v>34856</v>
      </c>
      <c r="D5429" s="140" t="s">
        <v>33342</v>
      </c>
      <c r="E5429" s="141" t="s">
        <v>34857</v>
      </c>
      <c r="F5429" s="139" t="s">
        <v>13482</v>
      </c>
      <c r="G5429" s="139" t="s">
        <v>33344</v>
      </c>
      <c r="H5429" s="139"/>
      <c r="I5429" s="140"/>
      <c r="J5429" s="140" t="s">
        <v>34858</v>
      </c>
      <c r="K5429" s="140" t="s">
        <v>34859</v>
      </c>
      <c r="L5429" s="140"/>
      <c r="M5429" s="154" t="s">
        <v>34860</v>
      </c>
      <c r="N5429" s="12"/>
      <c r="O5429" s="12"/>
      <c r="P5429" s="13">
        <f>IFERROR(__xludf.DUMMYFUNCTION("VALUE(SUBSTITUTE((INDEX(SPLIT(A5429,"",""),1)),""."","","",1))"),56.0753479)</f>
        <v>56.0753479</v>
      </c>
      <c r="Q5429" s="13">
        <f>IFERROR(__xludf.DUMMYFUNCTION("VALUE(SUBSTITUTE((INDEX(SPLIT(A5429,"",""),2)),""."","","",1))"),47.2146492)</f>
        <v>47.2146492</v>
      </c>
      <c r="R5429" s="14" t="b">
        <f t="shared" si="1"/>
        <v>0</v>
      </c>
      <c r="S5429" s="14" t="str">
        <f t="shared" si="2"/>
        <v>56.0753479,47.2146492</v>
      </c>
      <c r="T5429" s="12"/>
    </row>
    <row r="5430">
      <c r="A5430" s="142" t="s">
        <v>34861</v>
      </c>
      <c r="B5430" s="143" t="s">
        <v>34862</v>
      </c>
      <c r="C5430" s="143" t="s">
        <v>34863</v>
      </c>
      <c r="D5430" s="143" t="s">
        <v>33342</v>
      </c>
      <c r="E5430" s="144" t="s">
        <v>34864</v>
      </c>
      <c r="F5430" s="142" t="s">
        <v>26306</v>
      </c>
      <c r="G5430" s="142" t="s">
        <v>33344</v>
      </c>
      <c r="H5430" s="142"/>
      <c r="I5430" s="143"/>
      <c r="J5430" s="143" t="s">
        <v>34865</v>
      </c>
      <c r="K5430" s="143" t="s">
        <v>34866</v>
      </c>
      <c r="L5430" s="145" t="s">
        <v>34867</v>
      </c>
      <c r="M5430" s="143"/>
      <c r="N5430" s="12"/>
      <c r="O5430" s="12"/>
      <c r="P5430" s="13">
        <f>IFERROR(__xludf.DUMMYFUNCTION("VALUE(SUBSTITUTE((INDEX(SPLIT(A5430,"",""),1)),""."","","",1))"),56.075389862)</f>
        <v>56.07538986</v>
      </c>
      <c r="Q5430" s="13">
        <f>IFERROR(__xludf.DUMMYFUNCTION("VALUE(SUBSTITUTE((INDEX(SPLIT(A5430,"",""),2)),""."","","",1))"),92.993888855)</f>
        <v>92.99388886</v>
      </c>
      <c r="R5430" s="14" t="b">
        <f t="shared" si="1"/>
        <v>0</v>
      </c>
      <c r="S5430" s="14" t="str">
        <f t="shared" si="2"/>
        <v>56.075389862,92.993888855</v>
      </c>
      <c r="T5430" s="12"/>
    </row>
    <row r="5431">
      <c r="A5431" s="146" t="s">
        <v>34868</v>
      </c>
      <c r="B5431" s="147" t="s">
        <v>34869</v>
      </c>
      <c r="C5431" s="147" t="s">
        <v>34870</v>
      </c>
      <c r="D5431" s="147" t="s">
        <v>33342</v>
      </c>
      <c r="E5431" s="148" t="s">
        <v>34871</v>
      </c>
      <c r="F5431" s="146" t="s">
        <v>13482</v>
      </c>
      <c r="G5431" s="146" t="s">
        <v>33344</v>
      </c>
      <c r="H5431" s="146"/>
      <c r="I5431" s="147"/>
      <c r="J5431" s="147" t="s">
        <v>34872</v>
      </c>
      <c r="K5431" s="147" t="s">
        <v>34873</v>
      </c>
      <c r="L5431" s="149" t="s">
        <v>34874</v>
      </c>
      <c r="M5431" s="147"/>
      <c r="N5431" s="12"/>
      <c r="O5431" s="12"/>
      <c r="P5431" s="13">
        <f>IFERROR(__xludf.DUMMYFUNCTION("VALUE(SUBSTITUTE((INDEX(SPLIT(A5431,"",""),1)),""."","","",1))"),56.092658997)</f>
        <v>56.092659</v>
      </c>
      <c r="Q5431" s="13">
        <f>IFERROR(__xludf.DUMMYFUNCTION("VALUE(SUBSTITUTE((INDEX(SPLIT(A5431,"",""),2)),""."","","",1))"),47.50327301)</f>
        <v>47.50327301</v>
      </c>
      <c r="R5431" s="14" t="b">
        <f t="shared" si="1"/>
        <v>0</v>
      </c>
      <c r="S5431" s="14" t="str">
        <f t="shared" si="2"/>
        <v>56.092658997,47.50327301</v>
      </c>
      <c r="T5431" s="12"/>
    </row>
    <row r="5432">
      <c r="A5432" s="142" t="s">
        <v>34875</v>
      </c>
      <c r="B5432" s="143" t="s">
        <v>658</v>
      </c>
      <c r="C5432" s="143" t="s">
        <v>34876</v>
      </c>
      <c r="D5432" s="143" t="s">
        <v>33342</v>
      </c>
      <c r="E5432" s="144" t="s">
        <v>34877</v>
      </c>
      <c r="F5432" s="142" t="s">
        <v>13482</v>
      </c>
      <c r="G5432" s="142" t="s">
        <v>33344</v>
      </c>
      <c r="H5432" s="142"/>
      <c r="I5432" s="143"/>
      <c r="J5432" s="143" t="s">
        <v>34878</v>
      </c>
      <c r="K5432" s="143" t="s">
        <v>34879</v>
      </c>
      <c r="L5432" s="145" t="s">
        <v>34880</v>
      </c>
      <c r="M5432" s="143"/>
      <c r="N5432" s="12"/>
      <c r="O5432" s="12"/>
      <c r="P5432" s="13">
        <f>IFERROR(__xludf.DUMMYFUNCTION("VALUE(SUBSTITUTE((INDEX(SPLIT(A5432,"",""),1)),""."","","",1))"),56.097412)</f>
        <v>56.097412</v>
      </c>
      <c r="Q5432" s="13">
        <f>IFERROR(__xludf.DUMMYFUNCTION("VALUE(SUBSTITUTE((INDEX(SPLIT(A5432,"",""),2)),""."","","",1))"),47.280301)</f>
        <v>47.280301</v>
      </c>
      <c r="R5432" s="14" t="b">
        <f t="shared" si="1"/>
        <v>0</v>
      </c>
      <c r="S5432" s="14" t="str">
        <f t="shared" si="2"/>
        <v>56.097412,47.280301</v>
      </c>
      <c r="T5432" s="12"/>
    </row>
    <row r="5433">
      <c r="A5433" s="139" t="s">
        <v>34881</v>
      </c>
      <c r="B5433" s="140" t="s">
        <v>34882</v>
      </c>
      <c r="C5433" s="140" t="s">
        <v>34883</v>
      </c>
      <c r="D5433" s="140" t="s">
        <v>33342</v>
      </c>
      <c r="E5433" s="141" t="s">
        <v>34884</v>
      </c>
      <c r="F5433" s="139" t="s">
        <v>26306</v>
      </c>
      <c r="G5433" s="139" t="s">
        <v>33344</v>
      </c>
      <c r="H5433" s="139"/>
      <c r="I5433" s="157" t="s">
        <v>34885</v>
      </c>
      <c r="J5433" s="140" t="s">
        <v>34886</v>
      </c>
      <c r="K5433" s="140" t="s">
        <v>34887</v>
      </c>
      <c r="L5433" s="140"/>
      <c r="M5433" s="140"/>
      <c r="N5433" s="12"/>
      <c r="O5433" s="12"/>
      <c r="P5433" s="13">
        <f>IFERROR(__xludf.DUMMYFUNCTION("VALUE(SUBSTITUTE((INDEX(SPLIT(A5433,"",""),1)),""."","","",1))"),56.113559723)</f>
        <v>56.11355972</v>
      </c>
      <c r="Q5433" s="13">
        <f>IFERROR(__xludf.DUMMYFUNCTION("VALUE(SUBSTITUTE((INDEX(SPLIT(A5433,"",""),2)),""."","","",1))"),94.589279175)</f>
        <v>94.58927918</v>
      </c>
      <c r="R5433" s="14" t="b">
        <f t="shared" si="1"/>
        <v>0</v>
      </c>
      <c r="S5433" s="14" t="str">
        <f t="shared" si="2"/>
        <v>56.113559723,94.589279175</v>
      </c>
      <c r="T5433" s="12"/>
    </row>
    <row r="5434">
      <c r="A5434" s="136" t="s">
        <v>34888</v>
      </c>
      <c r="B5434" s="137" t="s">
        <v>9587</v>
      </c>
      <c r="C5434" s="137" t="s">
        <v>34889</v>
      </c>
      <c r="D5434" s="137" t="s">
        <v>33342</v>
      </c>
      <c r="E5434" s="138" t="s">
        <v>34890</v>
      </c>
      <c r="F5434" s="136" t="s">
        <v>12717</v>
      </c>
      <c r="G5434" s="136" t="s">
        <v>33344</v>
      </c>
      <c r="H5434" s="136"/>
      <c r="I5434" s="137"/>
      <c r="J5434" s="137" t="s">
        <v>34891</v>
      </c>
      <c r="K5434" s="137" t="s">
        <v>27824</v>
      </c>
      <c r="L5434" s="137"/>
      <c r="M5434" s="137"/>
      <c r="N5434" s="12"/>
      <c r="O5434" s="12"/>
      <c r="P5434" s="13">
        <f>IFERROR(__xludf.DUMMYFUNCTION("VALUE(SUBSTITUTE((INDEX(SPLIT(A5434,"",""),1)),""."","","",1))"),56.115947723)</f>
        <v>56.11594772</v>
      </c>
      <c r="Q5434" s="13">
        <f>IFERROR(__xludf.DUMMYFUNCTION("VALUE(SUBSTITUTE((INDEX(SPLIT(A5434,"",""),2)),""."","","",1))"),38.875347137)</f>
        <v>38.87534714</v>
      </c>
      <c r="R5434" s="14" t="b">
        <f t="shared" si="1"/>
        <v>0</v>
      </c>
      <c r="S5434" s="14" t="str">
        <f t="shared" si="2"/>
        <v>56.115947723,38.875347137</v>
      </c>
      <c r="T5434" s="12"/>
    </row>
    <row r="5435">
      <c r="A5435" s="139" t="s">
        <v>34892</v>
      </c>
      <c r="B5435" s="140" t="s">
        <v>34893</v>
      </c>
      <c r="C5435" s="140" t="s">
        <v>34894</v>
      </c>
      <c r="D5435" s="140" t="s">
        <v>33342</v>
      </c>
      <c r="E5435" s="141" t="s">
        <v>34895</v>
      </c>
      <c r="F5435" s="139" t="s">
        <v>3760</v>
      </c>
      <c r="G5435" s="139" t="s">
        <v>33344</v>
      </c>
      <c r="H5435" s="139"/>
      <c r="I5435" s="140"/>
      <c r="J5435" s="140" t="s">
        <v>34896</v>
      </c>
      <c r="K5435" s="140" t="s">
        <v>34897</v>
      </c>
      <c r="L5435" s="140"/>
      <c r="M5435" s="140"/>
      <c r="N5435" s="12"/>
      <c r="O5435" s="12"/>
      <c r="P5435" s="13">
        <f>IFERROR(__xludf.DUMMYFUNCTION("VALUE(SUBSTITUTE((INDEX(SPLIT(A5435,"",""),1)),""."","","",1))"),56.11876297)</f>
        <v>56.11876297</v>
      </c>
      <c r="Q5435" s="13">
        <f>IFERROR(__xludf.DUMMYFUNCTION("VALUE(SUBSTITUTE((INDEX(SPLIT(A5435,"",""),2)),""."","","",1))"),38.145427704)</f>
        <v>38.1454277</v>
      </c>
      <c r="R5435" s="14" t="b">
        <f t="shared" si="1"/>
        <v>0</v>
      </c>
      <c r="S5435" s="14" t="str">
        <f t="shared" si="2"/>
        <v>56.11876297,38.145427704</v>
      </c>
      <c r="T5435" s="12"/>
    </row>
    <row r="5436">
      <c r="A5436" s="136" t="s">
        <v>34898</v>
      </c>
      <c r="B5436" s="137" t="s">
        <v>34899</v>
      </c>
      <c r="C5436" s="137" t="s">
        <v>34900</v>
      </c>
      <c r="D5436" s="137" t="s">
        <v>33342</v>
      </c>
      <c r="E5436" s="138" t="s">
        <v>34901</v>
      </c>
      <c r="F5436" s="136" t="s">
        <v>18</v>
      </c>
      <c r="G5436" s="136" t="s">
        <v>33344</v>
      </c>
      <c r="H5436" s="136"/>
      <c r="I5436" s="137"/>
      <c r="J5436" s="137" t="s">
        <v>34902</v>
      </c>
      <c r="K5436" s="137" t="s">
        <v>34903</v>
      </c>
      <c r="L5436" s="137"/>
      <c r="M5436" s="137"/>
      <c r="N5436" s="12"/>
      <c r="O5436" s="12"/>
      <c r="P5436" s="13">
        <f>IFERROR(__xludf.DUMMYFUNCTION("VALUE(SUBSTITUTE((INDEX(SPLIT(A5436,"",""),1)),""."","","",1))"),56.146011353)</f>
        <v>56.14601135</v>
      </c>
      <c r="Q5436" s="13">
        <f>IFERROR(__xludf.DUMMYFUNCTION("VALUE(SUBSTITUTE((INDEX(SPLIT(A5436,"",""),2)),""."","","",1))"),101.616874695)</f>
        <v>101.6168747</v>
      </c>
      <c r="R5436" s="14" t="b">
        <f t="shared" si="1"/>
        <v>0</v>
      </c>
      <c r="S5436" s="14" t="str">
        <f t="shared" si="2"/>
        <v>56.146011353,101.616874695</v>
      </c>
      <c r="T5436" s="12"/>
    </row>
    <row r="5437">
      <c r="A5437" s="139" t="s">
        <v>34904</v>
      </c>
      <c r="B5437" s="140" t="s">
        <v>34905</v>
      </c>
      <c r="C5437" s="140" t="s">
        <v>34906</v>
      </c>
      <c r="D5437" s="140" t="s">
        <v>33342</v>
      </c>
      <c r="E5437" s="141" t="s">
        <v>34907</v>
      </c>
      <c r="F5437" s="139" t="s">
        <v>12717</v>
      </c>
      <c r="G5437" s="139" t="s">
        <v>33344</v>
      </c>
      <c r="H5437" s="139"/>
      <c r="I5437" s="140"/>
      <c r="J5437" s="140" t="s">
        <v>34908</v>
      </c>
      <c r="K5437" s="140" t="s">
        <v>34909</v>
      </c>
      <c r="L5437" s="140"/>
      <c r="M5437" s="140"/>
      <c r="N5437" s="12"/>
      <c r="O5437" s="12"/>
      <c r="P5437" s="13">
        <f>IFERROR(__xludf.DUMMYFUNCTION("VALUE(SUBSTITUTE((INDEX(SPLIT(A5437,"",""),1)),""."","","",1))"),56.152118683)</f>
        <v>56.15211868</v>
      </c>
      <c r="Q5437" s="13">
        <f>IFERROR(__xludf.DUMMYFUNCTION("VALUE(SUBSTITUTE((INDEX(SPLIT(A5437,"",""),2)),""."","","",1))"),40.396003723)</f>
        <v>40.39600372</v>
      </c>
      <c r="R5437" s="14" t="b">
        <f t="shared" si="1"/>
        <v>0</v>
      </c>
      <c r="S5437" s="14" t="str">
        <f t="shared" si="2"/>
        <v>56.152118683,40.396003723</v>
      </c>
      <c r="T5437" s="12"/>
    </row>
    <row r="5438">
      <c r="A5438" s="136" t="s">
        <v>34910</v>
      </c>
      <c r="B5438" s="137" t="s">
        <v>34911</v>
      </c>
      <c r="C5438" s="137" t="s">
        <v>34912</v>
      </c>
      <c r="D5438" s="137" t="s">
        <v>33342</v>
      </c>
      <c r="E5438" s="138" t="s">
        <v>34913</v>
      </c>
      <c r="F5438" s="136" t="s">
        <v>19961</v>
      </c>
      <c r="G5438" s="136" t="s">
        <v>33344</v>
      </c>
      <c r="H5438" s="136"/>
      <c r="I5438" s="137"/>
      <c r="J5438" s="137" t="s">
        <v>34914</v>
      </c>
      <c r="K5438" s="137" t="s">
        <v>34915</v>
      </c>
      <c r="L5438" s="137"/>
      <c r="M5438" s="137"/>
      <c r="N5438" s="12"/>
      <c r="O5438" s="12"/>
      <c r="P5438" s="13">
        <f>IFERROR(__xludf.DUMMYFUNCTION("VALUE(SUBSTITUTE((INDEX(SPLIT(A5438,"",""),1)),""."","","",1))"),56.228271484)</f>
        <v>56.22827148</v>
      </c>
      <c r="Q5438" s="13">
        <f>IFERROR(__xludf.DUMMYFUNCTION("VALUE(SUBSTITUTE((INDEX(SPLIT(A5438,"",""),2)),""."","","",1))"),30.533630371)</f>
        <v>30.53363037</v>
      </c>
      <c r="R5438" s="14" t="b">
        <f t="shared" si="1"/>
        <v>0</v>
      </c>
      <c r="S5438" s="14" t="str">
        <f t="shared" si="2"/>
        <v>56.228271484,30.533630371</v>
      </c>
      <c r="T5438" s="12"/>
    </row>
    <row r="5439">
      <c r="A5439" s="139" t="s">
        <v>34916</v>
      </c>
      <c r="B5439" s="140" t="s">
        <v>34917</v>
      </c>
      <c r="C5439" s="140" t="s">
        <v>34918</v>
      </c>
      <c r="D5439" s="140" t="s">
        <v>33342</v>
      </c>
      <c r="E5439" s="141" t="s">
        <v>34919</v>
      </c>
      <c r="F5439" s="139" t="s">
        <v>26306</v>
      </c>
      <c r="G5439" s="139" t="s">
        <v>33344</v>
      </c>
      <c r="H5439" s="139"/>
      <c r="I5439" s="140"/>
      <c r="J5439" s="140" t="s">
        <v>34920</v>
      </c>
      <c r="K5439" s="140" t="s">
        <v>34921</v>
      </c>
      <c r="L5439" s="140"/>
      <c r="M5439" s="140"/>
      <c r="N5439" s="12"/>
      <c r="O5439" s="12"/>
      <c r="P5439" s="13">
        <f>IFERROR(__xludf.DUMMYFUNCTION("VALUE(SUBSTITUTE((INDEX(SPLIT(A5439,"",""),1)),""."","","",1))"),56.246756732579)</f>
        <v>56.24675673</v>
      </c>
      <c r="Q5439" s="13">
        <f>IFERROR(__xludf.DUMMYFUNCTION("VALUE(SUBSTITUTE((INDEX(SPLIT(A5439,"",""),2)),""."","","",1))"),90.496027996063)</f>
        <v>90.496028</v>
      </c>
      <c r="R5439" s="14" t="b">
        <f t="shared" si="1"/>
        <v>0</v>
      </c>
      <c r="S5439" s="14" t="str">
        <f t="shared" si="2"/>
        <v>56.246756732579,90.496027996063</v>
      </c>
      <c r="T5439" s="12"/>
    </row>
    <row r="5440">
      <c r="A5440" s="142" t="s">
        <v>34922</v>
      </c>
      <c r="B5440" s="143" t="s">
        <v>34923</v>
      </c>
      <c r="C5440" s="143" t="s">
        <v>34924</v>
      </c>
      <c r="D5440" s="143" t="s">
        <v>33342</v>
      </c>
      <c r="E5440" s="144" t="s">
        <v>34925</v>
      </c>
      <c r="F5440" s="142" t="s">
        <v>16486</v>
      </c>
      <c r="G5440" s="142" t="s">
        <v>33344</v>
      </c>
      <c r="H5440" s="142"/>
      <c r="I5440" s="155" t="s">
        <v>34926</v>
      </c>
      <c r="J5440" s="143" t="s">
        <v>34927</v>
      </c>
      <c r="K5440" s="143" t="s">
        <v>34928</v>
      </c>
      <c r="L5440" s="152" t="s">
        <v>34929</v>
      </c>
      <c r="M5440" s="143"/>
      <c r="N5440" s="12"/>
      <c r="O5440" s="12"/>
      <c r="P5440" s="13">
        <f>IFERROR(__xludf.DUMMYFUNCTION("VALUE(SUBSTITUTE((INDEX(SPLIT(A5440,"",""),1)),""."","","",1))"),56.25056839)</f>
        <v>56.25056839</v>
      </c>
      <c r="Q5440" s="13">
        <f>IFERROR(__xludf.DUMMYFUNCTION("VALUE(SUBSTITUTE((INDEX(SPLIT(A5440,"",""),2)),""."","","",1))"),43.862285614)</f>
        <v>43.86228561</v>
      </c>
      <c r="R5440" s="14" t="b">
        <f t="shared" si="1"/>
        <v>0</v>
      </c>
      <c r="S5440" s="14" t="str">
        <f t="shared" si="2"/>
        <v>56.25056839,43.862285614</v>
      </c>
      <c r="T5440" s="12"/>
    </row>
    <row r="5441">
      <c r="A5441" s="146" t="s">
        <v>34930</v>
      </c>
      <c r="B5441" s="147" t="s">
        <v>21168</v>
      </c>
      <c r="C5441" s="147" t="s">
        <v>34931</v>
      </c>
      <c r="D5441" s="147" t="s">
        <v>33342</v>
      </c>
      <c r="E5441" s="148" t="s">
        <v>34932</v>
      </c>
      <c r="F5441" s="146" t="s">
        <v>16486</v>
      </c>
      <c r="G5441" s="146" t="s">
        <v>33344</v>
      </c>
      <c r="H5441" s="146"/>
      <c r="I5441" s="147"/>
      <c r="J5441" s="147" t="s">
        <v>34933</v>
      </c>
      <c r="K5441" s="147" t="s">
        <v>34934</v>
      </c>
      <c r="L5441" s="149" t="s">
        <v>34935</v>
      </c>
      <c r="M5441" s="147"/>
      <c r="N5441" s="12"/>
      <c r="O5441" s="12"/>
      <c r="P5441" s="13">
        <f>IFERROR(__xludf.DUMMYFUNCTION("VALUE(SUBSTITUTE((INDEX(SPLIT(A5441,"",""),1)),""."","","",1))"),56.252513885)</f>
        <v>56.25251389</v>
      </c>
      <c r="Q5441" s="13">
        <f>IFERROR(__xludf.DUMMYFUNCTION("VALUE(SUBSTITUTE((INDEX(SPLIT(A5441,"",""),2)),""."","","",1))"),43.397888184)</f>
        <v>43.39788818</v>
      </c>
      <c r="R5441" s="14" t="b">
        <f t="shared" si="1"/>
        <v>0</v>
      </c>
      <c r="S5441" s="14" t="str">
        <f t="shared" si="2"/>
        <v>56.252513885,43.397888184</v>
      </c>
      <c r="T5441" s="12"/>
    </row>
    <row r="5442">
      <c r="A5442" s="142" t="s">
        <v>34936</v>
      </c>
      <c r="B5442" s="143" t="s">
        <v>34937</v>
      </c>
      <c r="C5442" s="143" t="s">
        <v>34938</v>
      </c>
      <c r="D5442" s="143" t="s">
        <v>33342</v>
      </c>
      <c r="E5442" s="144" t="s">
        <v>34939</v>
      </c>
      <c r="F5442" s="142" t="s">
        <v>16486</v>
      </c>
      <c r="G5442" s="142" t="s">
        <v>33344</v>
      </c>
      <c r="H5442" s="142"/>
      <c r="I5442" s="143"/>
      <c r="J5442" s="143" t="s">
        <v>34940</v>
      </c>
      <c r="K5442" s="143" t="s">
        <v>34941</v>
      </c>
      <c r="L5442" s="145" t="s">
        <v>34942</v>
      </c>
      <c r="M5442" s="145" t="s">
        <v>34943</v>
      </c>
      <c r="N5442" s="12"/>
      <c r="O5442" s="12"/>
      <c r="P5442" s="13">
        <f>IFERROR(__xludf.DUMMYFUNCTION("VALUE(SUBSTITUTE((INDEX(SPLIT(A5442,"",""),1)),""."","","",1))"),56.296966553)</f>
        <v>56.29696655</v>
      </c>
      <c r="Q5442" s="13">
        <f>IFERROR(__xludf.DUMMYFUNCTION("VALUE(SUBSTITUTE((INDEX(SPLIT(A5442,"",""),2)),""."","","",1))"),44.107952118)</f>
        <v>44.10795212</v>
      </c>
      <c r="R5442" s="14" t="b">
        <f t="shared" si="1"/>
        <v>0</v>
      </c>
      <c r="S5442" s="14" t="str">
        <f t="shared" si="2"/>
        <v>56.296966553,44.107952118</v>
      </c>
      <c r="T5442" s="12"/>
    </row>
    <row r="5443">
      <c r="A5443" s="139" t="s">
        <v>34944</v>
      </c>
      <c r="B5443" s="140" t="s">
        <v>34945</v>
      </c>
      <c r="C5443" s="140" t="s">
        <v>34946</v>
      </c>
      <c r="D5443" s="140" t="s">
        <v>33342</v>
      </c>
      <c r="E5443" s="141" t="s">
        <v>34947</v>
      </c>
      <c r="F5443" s="139" t="s">
        <v>12717</v>
      </c>
      <c r="G5443" s="139" t="s">
        <v>33344</v>
      </c>
      <c r="H5443" s="139"/>
      <c r="I5443" s="140"/>
      <c r="J5443" s="140" t="s">
        <v>34948</v>
      </c>
      <c r="K5443" s="140" t="s">
        <v>34949</v>
      </c>
      <c r="L5443" s="140"/>
      <c r="M5443" s="140"/>
      <c r="N5443" s="12"/>
      <c r="O5443" s="12"/>
      <c r="P5443" s="13">
        <f>IFERROR(__xludf.DUMMYFUNCTION("VALUE(SUBSTITUTE((INDEX(SPLIT(A5443,"",""),1)),""."","","",1))"),56.299357701232)</f>
        <v>56.2993577</v>
      </c>
      <c r="Q5443" s="13">
        <f>IFERROR(__xludf.DUMMYFUNCTION("VALUE(SUBSTITUTE((INDEX(SPLIT(A5443,"",""),2)),""."","","",1))"),39.374787872366)</f>
        <v>39.37478787</v>
      </c>
      <c r="R5443" s="14" t="b">
        <f t="shared" si="1"/>
        <v>0</v>
      </c>
      <c r="S5443" s="14" t="str">
        <f t="shared" si="2"/>
        <v>56.299357701232,39.374787872366</v>
      </c>
      <c r="T5443" s="12"/>
    </row>
    <row r="5444">
      <c r="A5444" s="142" t="s">
        <v>34950</v>
      </c>
      <c r="B5444" s="143" t="s">
        <v>34951</v>
      </c>
      <c r="C5444" s="143" t="s">
        <v>34952</v>
      </c>
      <c r="D5444" s="143" t="s">
        <v>33342</v>
      </c>
      <c r="E5444" s="144" t="s">
        <v>34953</v>
      </c>
      <c r="F5444" s="142" t="s">
        <v>3760</v>
      </c>
      <c r="G5444" s="142" t="s">
        <v>33344</v>
      </c>
      <c r="H5444" s="142"/>
      <c r="I5444" s="143"/>
      <c r="J5444" s="143" t="s">
        <v>34954</v>
      </c>
      <c r="K5444" s="143" t="s">
        <v>34955</v>
      </c>
      <c r="L5444" s="152" t="s">
        <v>34956</v>
      </c>
      <c r="M5444" s="143"/>
      <c r="N5444" s="12"/>
      <c r="O5444" s="12"/>
      <c r="P5444" s="13">
        <f>IFERROR(__xludf.DUMMYFUNCTION("VALUE(SUBSTITUTE((INDEX(SPLIT(A5444,"",""),1)),""."","","",1))"),56.300113678)</f>
        <v>56.30011368</v>
      </c>
      <c r="Q5444" s="13">
        <f>IFERROR(__xludf.DUMMYFUNCTION("VALUE(SUBSTITUTE((INDEX(SPLIT(A5444,"",""),2)),""."","","",1))"),38.177085876)</f>
        <v>38.17708588</v>
      </c>
      <c r="R5444" s="14" t="b">
        <f t="shared" si="1"/>
        <v>0</v>
      </c>
      <c r="S5444" s="14" t="str">
        <f t="shared" si="2"/>
        <v>56.300113678,38.177085876</v>
      </c>
      <c r="T5444" s="12"/>
    </row>
    <row r="5445">
      <c r="A5445" s="146" t="s">
        <v>34957</v>
      </c>
      <c r="B5445" s="147" t="s">
        <v>34958</v>
      </c>
      <c r="C5445" s="147" t="s">
        <v>34959</v>
      </c>
      <c r="D5445" s="147" t="s">
        <v>33342</v>
      </c>
      <c r="E5445" s="148" t="s">
        <v>34960</v>
      </c>
      <c r="F5445" s="146" t="s">
        <v>16486</v>
      </c>
      <c r="G5445" s="146" t="s">
        <v>33344</v>
      </c>
      <c r="H5445" s="146"/>
      <c r="I5445" s="147"/>
      <c r="J5445" s="147" t="s">
        <v>34961</v>
      </c>
      <c r="K5445" s="147" t="s">
        <v>34962</v>
      </c>
      <c r="L5445" s="149" t="s">
        <v>34963</v>
      </c>
      <c r="M5445" s="149" t="s">
        <v>34964</v>
      </c>
      <c r="N5445" s="12"/>
      <c r="O5445" s="12"/>
      <c r="P5445" s="13">
        <f>IFERROR(__xludf.DUMMYFUNCTION("VALUE(SUBSTITUTE((INDEX(SPLIT(A5445,"",""),1)),""."","","",1))"),56.306861877)</f>
        <v>56.30686188</v>
      </c>
      <c r="Q5445" s="13">
        <f>IFERROR(__xludf.DUMMYFUNCTION("VALUE(SUBSTITUTE((INDEX(SPLIT(A5445,"",""),2)),""."","","",1))"),44.058029175)</f>
        <v>44.05802918</v>
      </c>
      <c r="R5445" s="14" t="b">
        <f t="shared" si="1"/>
        <v>0</v>
      </c>
      <c r="S5445" s="14" t="str">
        <f t="shared" si="2"/>
        <v>56.306861877,44.058029175</v>
      </c>
      <c r="T5445" s="12"/>
    </row>
    <row r="5446">
      <c r="A5446" s="142" t="s">
        <v>34965</v>
      </c>
      <c r="B5446" s="143" t="s">
        <v>34966</v>
      </c>
      <c r="C5446" s="143" t="s">
        <v>34967</v>
      </c>
      <c r="D5446" s="143" t="s">
        <v>33342</v>
      </c>
      <c r="E5446" s="144" t="s">
        <v>34968</v>
      </c>
      <c r="F5446" s="142" t="s">
        <v>3760</v>
      </c>
      <c r="G5446" s="142" t="s">
        <v>33344</v>
      </c>
      <c r="H5446" s="142"/>
      <c r="I5446" s="155" t="s">
        <v>34969</v>
      </c>
      <c r="J5446" s="143" t="s">
        <v>34970</v>
      </c>
      <c r="K5446" s="143" t="s">
        <v>34971</v>
      </c>
      <c r="L5446" s="145" t="s">
        <v>34972</v>
      </c>
      <c r="M5446" s="143"/>
      <c r="N5446" s="12"/>
      <c r="O5446" s="12"/>
      <c r="P5446" s="13">
        <f>IFERROR(__xludf.DUMMYFUNCTION("VALUE(SUBSTITUTE((INDEX(SPLIT(A5446,"",""),1)),""."","","",1))"),56.33246994)</f>
        <v>56.33246994</v>
      </c>
      <c r="Q5446" s="13">
        <f>IFERROR(__xludf.DUMMYFUNCTION("VALUE(SUBSTITUTE((INDEX(SPLIT(A5446,"",""),2)),""."","","",1))"),37.509719849)</f>
        <v>37.50971985</v>
      </c>
      <c r="R5446" s="14" t="b">
        <f t="shared" si="1"/>
        <v>0</v>
      </c>
      <c r="S5446" s="14" t="str">
        <f t="shared" si="2"/>
        <v>56.33246994,37.509719849</v>
      </c>
      <c r="T5446" s="12"/>
    </row>
    <row r="5447">
      <c r="A5447" s="146" t="s">
        <v>34973</v>
      </c>
      <c r="B5447" s="147" t="s">
        <v>2685</v>
      </c>
      <c r="C5447" s="147" t="s">
        <v>34974</v>
      </c>
      <c r="D5447" s="147" t="s">
        <v>33342</v>
      </c>
      <c r="E5447" s="148" t="s">
        <v>34975</v>
      </c>
      <c r="F5447" s="146" t="s">
        <v>22263</v>
      </c>
      <c r="G5447" s="146" t="s">
        <v>33344</v>
      </c>
      <c r="H5447" s="146"/>
      <c r="I5447" s="147"/>
      <c r="J5447" s="147" t="s">
        <v>34976</v>
      </c>
      <c r="K5447" s="147" t="s">
        <v>34977</v>
      </c>
      <c r="L5447" s="149" t="s">
        <v>34978</v>
      </c>
      <c r="M5447" s="147"/>
      <c r="N5447" s="12"/>
      <c r="O5447" s="12"/>
      <c r="P5447" s="13">
        <f>IFERROR(__xludf.DUMMYFUNCTION("VALUE(SUBSTITUTE((INDEX(SPLIT(A5447,"",""),1)),""."","","",1))"),56.417934418)</f>
        <v>56.41793442</v>
      </c>
      <c r="Q5447" s="13">
        <f>IFERROR(__xludf.DUMMYFUNCTION("VALUE(SUBSTITUTE((INDEX(SPLIT(A5447,"",""),2)),""."","","",1))"),58.529460907)</f>
        <v>58.52946091</v>
      </c>
      <c r="R5447" s="14" t="b">
        <f t="shared" si="1"/>
        <v>0</v>
      </c>
      <c r="S5447" s="14" t="str">
        <f t="shared" si="2"/>
        <v>56.417934418,58.529460907</v>
      </c>
      <c r="T5447" s="12"/>
    </row>
    <row r="5448">
      <c r="A5448" s="136" t="s">
        <v>34979</v>
      </c>
      <c r="B5448" s="137" t="s">
        <v>34980</v>
      </c>
      <c r="C5448" s="137" t="s">
        <v>34981</v>
      </c>
      <c r="D5448" s="137" t="s">
        <v>33342</v>
      </c>
      <c r="E5448" s="138" t="s">
        <v>34982</v>
      </c>
      <c r="F5448" s="136" t="s">
        <v>22263</v>
      </c>
      <c r="G5448" s="136" t="s">
        <v>33344</v>
      </c>
      <c r="H5448" s="136"/>
      <c r="I5448" s="137"/>
      <c r="J5448" s="137" t="s">
        <v>34983</v>
      </c>
      <c r="K5448" s="137" t="s">
        <v>34984</v>
      </c>
      <c r="L5448" s="137"/>
      <c r="M5448" s="153" t="s">
        <v>34985</v>
      </c>
      <c r="N5448" s="12"/>
      <c r="O5448" s="12"/>
      <c r="P5448" s="13">
        <f>IFERROR(__xludf.DUMMYFUNCTION("VALUE(SUBSTITUTE((INDEX(SPLIT(A5448,"",""),1)),""."","","",1))"),56.433077094347)</f>
        <v>56.43307709</v>
      </c>
      <c r="Q5448" s="13">
        <f>IFERROR(__xludf.DUMMYFUNCTION("VALUE(SUBSTITUTE((INDEX(SPLIT(A5448,"",""),2)),""."","","",1))"),61.919448171705)</f>
        <v>61.91944817</v>
      </c>
      <c r="R5448" s="14" t="b">
        <f t="shared" si="1"/>
        <v>0</v>
      </c>
      <c r="S5448" s="14" t="str">
        <f t="shared" si="2"/>
        <v>56.433077094347,61.919448171705</v>
      </c>
      <c r="T5448" s="12"/>
    </row>
    <row r="5449">
      <c r="A5449" s="139" t="s">
        <v>34986</v>
      </c>
      <c r="B5449" s="140" t="s">
        <v>34987</v>
      </c>
      <c r="C5449" s="140" t="s">
        <v>34988</v>
      </c>
      <c r="D5449" s="140" t="s">
        <v>33342</v>
      </c>
      <c r="E5449" s="141" t="s">
        <v>34989</v>
      </c>
      <c r="F5449" s="139" t="s">
        <v>28210</v>
      </c>
      <c r="G5449" s="139" t="s">
        <v>33344</v>
      </c>
      <c r="H5449" s="139"/>
      <c r="I5449" s="140"/>
      <c r="J5449" s="140" t="s">
        <v>34990</v>
      </c>
      <c r="K5449" s="140" t="s">
        <v>34991</v>
      </c>
      <c r="L5449" s="140"/>
      <c r="M5449" s="140"/>
      <c r="N5449" s="12"/>
      <c r="O5449" s="12"/>
      <c r="P5449" s="13">
        <f>IFERROR(__xludf.DUMMYFUNCTION("VALUE(SUBSTITUTE((INDEX(SPLIT(A5449,"",""),1)),""."","","",1))"),56.462425232)</f>
        <v>56.46242523</v>
      </c>
      <c r="Q5449" s="13">
        <f>IFERROR(__xludf.DUMMYFUNCTION("VALUE(SUBSTITUTE((INDEX(SPLIT(A5449,"",""),2)),""."","","",1))"),84.984321594)</f>
        <v>84.98432159</v>
      </c>
      <c r="R5449" s="14" t="b">
        <f t="shared" si="1"/>
        <v>0</v>
      </c>
      <c r="S5449" s="14" t="str">
        <f t="shared" si="2"/>
        <v>56.462425232,84.984321594</v>
      </c>
      <c r="T5449" s="12"/>
    </row>
    <row r="5450">
      <c r="A5450" s="142" t="s">
        <v>34992</v>
      </c>
      <c r="B5450" s="143" t="s">
        <v>34993</v>
      </c>
      <c r="C5450" s="143" t="s">
        <v>34994</v>
      </c>
      <c r="D5450" s="143" t="s">
        <v>33342</v>
      </c>
      <c r="E5450" s="144" t="s">
        <v>34995</v>
      </c>
      <c r="F5450" s="142" t="s">
        <v>9563</v>
      </c>
      <c r="G5450" s="142" t="s">
        <v>33344</v>
      </c>
      <c r="H5450" s="142"/>
      <c r="I5450" s="143"/>
      <c r="J5450" s="143" t="s">
        <v>34996</v>
      </c>
      <c r="K5450" s="143" t="s">
        <v>34997</v>
      </c>
      <c r="L5450" s="145" t="s">
        <v>34998</v>
      </c>
      <c r="M5450" s="143"/>
      <c r="N5450" s="12"/>
      <c r="O5450" s="12"/>
      <c r="P5450" s="13">
        <f>IFERROR(__xludf.DUMMYFUNCTION("VALUE(SUBSTITUTE((INDEX(SPLIT(A5450,"",""),1)),""."","","",1))"),56.486171722)</f>
        <v>56.48617172</v>
      </c>
      <c r="Q5450" s="13">
        <f>IFERROR(__xludf.DUMMYFUNCTION("VALUE(SUBSTITUTE((INDEX(SPLIT(A5450,"",""),2)),""."","","",1))"),84.948242188)</f>
        <v>84.94824219</v>
      </c>
      <c r="R5450" s="14" t="b">
        <f t="shared" si="1"/>
        <v>0</v>
      </c>
      <c r="S5450" s="14" t="str">
        <f t="shared" si="2"/>
        <v>56.486171722,84.948242188</v>
      </c>
      <c r="T5450" s="12"/>
    </row>
    <row r="5451">
      <c r="A5451" s="139" t="s">
        <v>34999</v>
      </c>
      <c r="B5451" s="140" t="s">
        <v>35000</v>
      </c>
      <c r="C5451" s="140" t="s">
        <v>35001</v>
      </c>
      <c r="D5451" s="140" t="s">
        <v>33342</v>
      </c>
      <c r="E5451" s="141" t="s">
        <v>35002</v>
      </c>
      <c r="F5451" s="139" t="s">
        <v>7052</v>
      </c>
      <c r="G5451" s="139" t="s">
        <v>33344</v>
      </c>
      <c r="H5451" s="139"/>
      <c r="I5451" s="140"/>
      <c r="J5451" s="140" t="s">
        <v>35003</v>
      </c>
      <c r="K5451" s="140" t="s">
        <v>35004</v>
      </c>
      <c r="L5451" s="140"/>
      <c r="M5451" s="140"/>
      <c r="N5451" s="12"/>
      <c r="O5451" s="12"/>
      <c r="P5451" s="13">
        <f>IFERROR(__xludf.DUMMYFUNCTION("VALUE(SUBSTITUTE((INDEX(SPLIT(A5451,"",""),1)),""."","","",1))"),56.49319458)</f>
        <v>56.49319458</v>
      </c>
      <c r="Q5451" s="13">
        <f>IFERROR(__xludf.DUMMYFUNCTION("VALUE(SUBSTITUTE((INDEX(SPLIT(A5451,"",""),2)),""."","","",1))"),43.833026886)</f>
        <v>43.83302689</v>
      </c>
      <c r="R5451" s="14" t="b">
        <f t="shared" si="1"/>
        <v>0</v>
      </c>
      <c r="S5451" s="14" t="str">
        <f t="shared" si="2"/>
        <v>56.49319458,43.833026886</v>
      </c>
      <c r="T5451" s="12"/>
    </row>
    <row r="5452">
      <c r="A5452" s="136" t="s">
        <v>35005</v>
      </c>
      <c r="B5452" s="137" t="s">
        <v>35006</v>
      </c>
      <c r="C5452" s="137" t="s">
        <v>35007</v>
      </c>
      <c r="D5452" s="137" t="s">
        <v>33342</v>
      </c>
      <c r="E5452" s="138" t="s">
        <v>35008</v>
      </c>
      <c r="F5452" s="136" t="s">
        <v>10609</v>
      </c>
      <c r="G5452" s="136" t="s">
        <v>33344</v>
      </c>
      <c r="H5452" s="136"/>
      <c r="I5452" s="137"/>
      <c r="J5452" s="137" t="s">
        <v>35009</v>
      </c>
      <c r="K5452" s="137" t="s">
        <v>35010</v>
      </c>
      <c r="L5452" s="137"/>
      <c r="M5452" s="137"/>
      <c r="N5452" s="12"/>
      <c r="O5452" s="12"/>
      <c r="P5452" s="13">
        <f>IFERROR(__xludf.DUMMYFUNCTION("VALUE(SUBSTITUTE((INDEX(SPLIT(A5452,"",""),1)),""."","","",1))"),56.546451569)</f>
        <v>56.54645157</v>
      </c>
      <c r="Q5452" s="13">
        <f>IFERROR(__xludf.DUMMYFUNCTION("VALUE(SUBSTITUTE((INDEX(SPLIT(A5452,"",""),2)),""."","","",1))"),51.806526184)</f>
        <v>51.80652618</v>
      </c>
      <c r="R5452" s="14" t="b">
        <f t="shared" si="1"/>
        <v>0</v>
      </c>
      <c r="S5452" s="14" t="str">
        <f t="shared" si="2"/>
        <v>56.546451569,51.806526184</v>
      </c>
      <c r="T5452" s="12"/>
    </row>
    <row r="5453">
      <c r="A5453" s="146" t="s">
        <v>35011</v>
      </c>
      <c r="B5453" s="147" t="s">
        <v>35012</v>
      </c>
      <c r="C5453" s="147" t="s">
        <v>35013</v>
      </c>
      <c r="D5453" s="147" t="s">
        <v>33342</v>
      </c>
      <c r="E5453" s="148" t="s">
        <v>35014</v>
      </c>
      <c r="F5453" s="146" t="s">
        <v>19961</v>
      </c>
      <c r="G5453" s="146" t="s">
        <v>33344</v>
      </c>
      <c r="H5453" s="146"/>
      <c r="I5453" s="147"/>
      <c r="J5453" s="147" t="s">
        <v>35015</v>
      </c>
      <c r="K5453" s="147" t="s">
        <v>35016</v>
      </c>
      <c r="L5453" s="149" t="s">
        <v>35017</v>
      </c>
      <c r="M5453" s="147"/>
      <c r="N5453" s="12"/>
      <c r="O5453" s="12"/>
      <c r="P5453" s="13">
        <f>IFERROR(__xludf.DUMMYFUNCTION("VALUE(SUBSTITUTE((INDEX(SPLIT(A5453,"",""),1)),""."","","",1))"),56.616592407)</f>
        <v>56.61659241</v>
      </c>
      <c r="Q5453" s="13">
        <f>IFERROR(__xludf.DUMMYFUNCTION("VALUE(SUBSTITUTE((INDEX(SPLIT(A5453,"",""),2)),""."","","",1))"),47.830173492)</f>
        <v>47.83017349</v>
      </c>
      <c r="R5453" s="14" t="b">
        <f t="shared" si="1"/>
        <v>0</v>
      </c>
      <c r="S5453" s="14" t="str">
        <f t="shared" si="2"/>
        <v>56.616592407,47.830173492</v>
      </c>
      <c r="T5453" s="12"/>
    </row>
    <row r="5454">
      <c r="A5454" s="136" t="s">
        <v>35018</v>
      </c>
      <c r="B5454" s="137" t="s">
        <v>35019</v>
      </c>
      <c r="C5454" s="137" t="s">
        <v>35020</v>
      </c>
      <c r="D5454" s="137" t="s">
        <v>33342</v>
      </c>
      <c r="E5454" s="138" t="s">
        <v>35021</v>
      </c>
      <c r="F5454" s="136" t="s">
        <v>19961</v>
      </c>
      <c r="G5454" s="136" t="s">
        <v>33344</v>
      </c>
      <c r="H5454" s="136"/>
      <c r="I5454" s="137"/>
      <c r="J5454" s="137" t="s">
        <v>35022</v>
      </c>
      <c r="K5454" s="137" t="s">
        <v>35023</v>
      </c>
      <c r="L5454" s="137"/>
      <c r="M5454" s="137"/>
      <c r="N5454" s="12"/>
      <c r="O5454" s="12"/>
      <c r="P5454" s="13">
        <f>IFERROR(__xludf.DUMMYFUNCTION("VALUE(SUBSTITUTE((INDEX(SPLIT(A5454,"",""),1)),""."","","",1))"),56.63151701249)</f>
        <v>56.63151701</v>
      </c>
      <c r="Q5454" s="13">
        <f>IFERROR(__xludf.DUMMYFUNCTION("VALUE(SUBSTITUTE((INDEX(SPLIT(A5454,"",""),2)),""."","","",1))"),47.890907834894)</f>
        <v>47.89090783</v>
      </c>
      <c r="R5454" s="14" t="b">
        <f t="shared" si="1"/>
        <v>0</v>
      </c>
      <c r="S5454" s="14" t="str">
        <f t="shared" si="2"/>
        <v>56.63151701249,47.890907834894</v>
      </c>
      <c r="T5454" s="12"/>
    </row>
    <row r="5455">
      <c r="A5455" s="139" t="s">
        <v>35024</v>
      </c>
      <c r="B5455" s="140" t="s">
        <v>2961</v>
      </c>
      <c r="C5455" s="140" t="s">
        <v>35025</v>
      </c>
      <c r="D5455" s="140" t="s">
        <v>33342</v>
      </c>
      <c r="E5455" s="141" t="s">
        <v>35026</v>
      </c>
      <c r="F5455" s="139" t="s">
        <v>3162</v>
      </c>
      <c r="G5455" s="139" t="s">
        <v>33344</v>
      </c>
      <c r="H5455" s="139"/>
      <c r="I5455" s="140"/>
      <c r="J5455" s="140" t="s">
        <v>35027</v>
      </c>
      <c r="K5455" s="140" t="s">
        <v>35028</v>
      </c>
      <c r="L5455" s="140"/>
      <c r="M5455" s="140"/>
      <c r="N5455" s="12"/>
      <c r="O5455" s="12"/>
      <c r="P5455" s="13">
        <f>IFERROR(__xludf.DUMMYFUNCTION("VALUE(SUBSTITUTE((INDEX(SPLIT(A5455,"",""),1)),""."","","",1))"),56.671821594)</f>
        <v>56.67182159</v>
      </c>
      <c r="Q5455" s="13">
        <f>IFERROR(__xludf.DUMMYFUNCTION("VALUE(SUBSTITUTE((INDEX(SPLIT(A5455,"",""),2)),""."","","",1))"),36.296642303)</f>
        <v>36.2966423</v>
      </c>
      <c r="R5455" s="14" t="b">
        <f t="shared" si="1"/>
        <v>0</v>
      </c>
      <c r="S5455" s="14" t="str">
        <f t="shared" si="2"/>
        <v>56.671821594,36.296642303</v>
      </c>
      <c r="T5455" s="12"/>
    </row>
    <row r="5456">
      <c r="A5456" s="142" t="s">
        <v>35029</v>
      </c>
      <c r="B5456" s="143" t="s">
        <v>28902</v>
      </c>
      <c r="C5456" s="143" t="s">
        <v>35030</v>
      </c>
      <c r="D5456" s="143" t="s">
        <v>33342</v>
      </c>
      <c r="E5456" s="144" t="s">
        <v>35031</v>
      </c>
      <c r="F5456" s="142" t="s">
        <v>22263</v>
      </c>
      <c r="G5456" s="142" t="s">
        <v>33344</v>
      </c>
      <c r="H5456" s="142"/>
      <c r="I5456" s="143"/>
      <c r="J5456" s="143" t="s">
        <v>35032</v>
      </c>
      <c r="K5456" s="143" t="s">
        <v>35033</v>
      </c>
      <c r="L5456" s="152" t="s">
        <v>35034</v>
      </c>
      <c r="M5456" s="143"/>
      <c r="N5456" s="12"/>
      <c r="O5456" s="12"/>
      <c r="P5456" s="13">
        <f>IFERROR(__xludf.DUMMYFUNCTION("VALUE(SUBSTITUTE((INDEX(SPLIT(A5456,"",""),1)),""."","","",1))"),56.694027155961)</f>
        <v>56.69402716</v>
      </c>
      <c r="Q5456" s="13">
        <f>IFERROR(__xludf.DUMMYFUNCTION("VALUE(SUBSTITUTE((INDEX(SPLIT(A5456,"",""),2)),""."","","",1))"),60.516122365611)</f>
        <v>60.51612237</v>
      </c>
      <c r="R5456" s="14" t="b">
        <f t="shared" si="1"/>
        <v>0</v>
      </c>
      <c r="S5456" s="14" t="str">
        <f t="shared" si="2"/>
        <v>56.694027155961,60.516122365611</v>
      </c>
      <c r="T5456" s="12"/>
    </row>
    <row r="5457">
      <c r="A5457" s="139" t="s">
        <v>35035</v>
      </c>
      <c r="B5457" s="140" t="s">
        <v>35036</v>
      </c>
      <c r="C5457" s="140" t="s">
        <v>35037</v>
      </c>
      <c r="D5457" s="140" t="s">
        <v>33342</v>
      </c>
      <c r="E5457" s="141" t="s">
        <v>35038</v>
      </c>
      <c r="F5457" s="139" t="s">
        <v>3760</v>
      </c>
      <c r="G5457" s="139" t="s">
        <v>33344</v>
      </c>
      <c r="H5457" s="139"/>
      <c r="I5457" s="157" t="s">
        <v>35039</v>
      </c>
      <c r="J5457" s="140" t="s">
        <v>35040</v>
      </c>
      <c r="K5457" s="140" t="s">
        <v>35041</v>
      </c>
      <c r="L5457" s="140"/>
      <c r="M5457" s="140"/>
      <c r="N5457" s="12"/>
      <c r="O5457" s="12"/>
      <c r="P5457" s="13">
        <f>IFERROR(__xludf.DUMMYFUNCTION("VALUE(SUBSTITUTE((INDEX(SPLIT(A5457,"",""),1)),""."","","",1))"),56.742752075)</f>
        <v>56.74275208</v>
      </c>
      <c r="Q5457" s="13">
        <f>IFERROR(__xludf.DUMMYFUNCTION("VALUE(SUBSTITUTE((INDEX(SPLIT(A5457,"",""),2)),""."","","",1))"),37.229827881)</f>
        <v>37.22982788</v>
      </c>
      <c r="R5457" s="14" t="b">
        <f t="shared" si="1"/>
        <v>0</v>
      </c>
      <c r="S5457" s="14" t="str">
        <f t="shared" si="2"/>
        <v>56.742752075,37.229827881</v>
      </c>
      <c r="T5457" s="12"/>
    </row>
    <row r="5458">
      <c r="A5458" s="136" t="s">
        <v>35042</v>
      </c>
      <c r="B5458" s="137" t="s">
        <v>35043</v>
      </c>
      <c r="C5458" s="137" t="s">
        <v>35044</v>
      </c>
      <c r="D5458" s="137" t="s">
        <v>33342</v>
      </c>
      <c r="E5458" s="138" t="s">
        <v>35045</v>
      </c>
      <c r="F5458" s="136" t="s">
        <v>12763</v>
      </c>
      <c r="G5458" s="136" t="s">
        <v>33344</v>
      </c>
      <c r="H5458" s="136"/>
      <c r="I5458" s="137"/>
      <c r="J5458" s="137" t="s">
        <v>35046</v>
      </c>
      <c r="K5458" s="137" t="s">
        <v>35047</v>
      </c>
      <c r="L5458" s="137"/>
      <c r="M5458" s="153" t="s">
        <v>35048</v>
      </c>
      <c r="N5458" s="12"/>
      <c r="O5458" s="12"/>
      <c r="P5458" s="13">
        <f>IFERROR(__xludf.DUMMYFUNCTION("VALUE(SUBSTITUTE((INDEX(SPLIT(A5458,"",""),1)),""."","","",1))"),56.753726959)</f>
        <v>56.75372696</v>
      </c>
      <c r="Q5458" s="13">
        <f>IFERROR(__xludf.DUMMYFUNCTION("VALUE(SUBSTITUTE((INDEX(SPLIT(A5458,"",""),2)),""."","","",1))"),38.875392914)</f>
        <v>38.87539291</v>
      </c>
      <c r="R5458" s="14" t="b">
        <f t="shared" si="1"/>
        <v>0</v>
      </c>
      <c r="S5458" s="14" t="str">
        <f t="shared" si="2"/>
        <v>56.753726959,38.875392914</v>
      </c>
      <c r="T5458" s="12"/>
    </row>
    <row r="5459">
      <c r="A5459" s="146" t="s">
        <v>35049</v>
      </c>
      <c r="B5459" s="147" t="s">
        <v>35050</v>
      </c>
      <c r="C5459" s="147" t="s">
        <v>35050</v>
      </c>
      <c r="D5459" s="147" t="s">
        <v>33342</v>
      </c>
      <c r="E5459" s="148" t="s">
        <v>35051</v>
      </c>
      <c r="F5459" s="146" t="s">
        <v>22263</v>
      </c>
      <c r="G5459" s="146" t="s">
        <v>33344</v>
      </c>
      <c r="H5459" s="146"/>
      <c r="I5459" s="147"/>
      <c r="J5459" s="147" t="s">
        <v>35052</v>
      </c>
      <c r="K5459" s="147" t="s">
        <v>35053</v>
      </c>
      <c r="L5459" s="150" t="s">
        <v>35054</v>
      </c>
      <c r="M5459" s="147"/>
      <c r="N5459" s="12"/>
      <c r="O5459" s="12"/>
      <c r="P5459" s="13">
        <f>IFERROR(__xludf.DUMMYFUNCTION("VALUE(SUBSTITUTE((INDEX(SPLIT(A5459,"",""),1)),""."","","",1))"),56.758617401)</f>
        <v>56.7586174</v>
      </c>
      <c r="Q5459" s="13">
        <f>IFERROR(__xludf.DUMMYFUNCTION("VALUE(SUBSTITUTE((INDEX(SPLIT(A5459,"",""),2)),""."","","",1))"),61.366565704)</f>
        <v>61.3665657</v>
      </c>
      <c r="R5459" s="14" t="b">
        <f t="shared" si="1"/>
        <v>0</v>
      </c>
      <c r="S5459" s="14" t="str">
        <f t="shared" si="2"/>
        <v>56.758617401,61.366565704</v>
      </c>
      <c r="T5459" s="12"/>
    </row>
    <row r="5460">
      <c r="A5460" s="142" t="s">
        <v>35055</v>
      </c>
      <c r="B5460" s="143" t="s">
        <v>35056</v>
      </c>
      <c r="C5460" s="143" t="s">
        <v>35057</v>
      </c>
      <c r="D5460" s="143" t="s">
        <v>33342</v>
      </c>
      <c r="E5460" s="144" t="s">
        <v>35058</v>
      </c>
      <c r="F5460" s="142" t="s">
        <v>19378</v>
      </c>
      <c r="G5460" s="142" t="s">
        <v>33344</v>
      </c>
      <c r="H5460" s="142"/>
      <c r="I5460" s="143"/>
      <c r="J5460" s="143" t="s">
        <v>35059</v>
      </c>
      <c r="K5460" s="143" t="s">
        <v>35060</v>
      </c>
      <c r="L5460" s="145" t="s">
        <v>35061</v>
      </c>
      <c r="M5460" s="143"/>
      <c r="N5460" s="12"/>
      <c r="O5460" s="12"/>
      <c r="P5460" s="13">
        <f>IFERROR(__xludf.DUMMYFUNCTION("VALUE(SUBSTITUTE((INDEX(SPLIT(A5460,"",""),1)),""."","","",1))"),56.762844086)</f>
        <v>56.76284409</v>
      </c>
      <c r="Q5460" s="13">
        <f>IFERROR(__xludf.DUMMYFUNCTION("VALUE(SUBSTITUTE((INDEX(SPLIT(A5460,"",""),2)),""."","","",1))"),54.162372589)</f>
        <v>54.16237259</v>
      </c>
      <c r="R5460" s="14" t="b">
        <f t="shared" si="1"/>
        <v>0</v>
      </c>
      <c r="S5460" s="14" t="str">
        <f t="shared" si="2"/>
        <v>56.762844086,54.162372589</v>
      </c>
      <c r="T5460" s="12"/>
    </row>
    <row r="5461">
      <c r="A5461" s="139" t="s">
        <v>35062</v>
      </c>
      <c r="B5461" s="140" t="s">
        <v>35063</v>
      </c>
      <c r="C5461" s="140" t="s">
        <v>35064</v>
      </c>
      <c r="D5461" s="140" t="s">
        <v>33342</v>
      </c>
      <c r="E5461" s="141" t="s">
        <v>35065</v>
      </c>
      <c r="F5461" s="139" t="s">
        <v>16486</v>
      </c>
      <c r="G5461" s="139" t="s">
        <v>33344</v>
      </c>
      <c r="H5461" s="139"/>
      <c r="I5461" s="140"/>
      <c r="J5461" s="140" t="s">
        <v>35066</v>
      </c>
      <c r="K5461" s="140" t="s">
        <v>35067</v>
      </c>
      <c r="L5461" s="140"/>
      <c r="M5461" s="140"/>
      <c r="N5461" s="12"/>
      <c r="O5461" s="12"/>
      <c r="P5461" s="13">
        <f>IFERROR(__xludf.DUMMYFUNCTION("VALUE(SUBSTITUTE((INDEX(SPLIT(A5461,"",""),1)),""."","","",1))"),56.793186188)</f>
        <v>56.79318619</v>
      </c>
      <c r="Q5461" s="13">
        <f>IFERROR(__xludf.DUMMYFUNCTION("VALUE(SUBSTITUTE((INDEX(SPLIT(A5461,"",""),2)),""."","","",1))"),44.49842453)</f>
        <v>44.49842453</v>
      </c>
      <c r="R5461" s="14" t="b">
        <f t="shared" si="1"/>
        <v>0</v>
      </c>
      <c r="S5461" s="14" t="str">
        <f t="shared" si="2"/>
        <v>56.793186188,44.49842453</v>
      </c>
      <c r="T5461" s="12"/>
    </row>
    <row r="5462">
      <c r="A5462" s="142" t="s">
        <v>35068</v>
      </c>
      <c r="B5462" s="143" t="s">
        <v>35069</v>
      </c>
      <c r="C5462" s="143" t="s">
        <v>35070</v>
      </c>
      <c r="D5462" s="143" t="s">
        <v>33342</v>
      </c>
      <c r="E5462" s="144" t="s">
        <v>35071</v>
      </c>
      <c r="F5462" s="142" t="s">
        <v>10609</v>
      </c>
      <c r="G5462" s="142" t="s">
        <v>33344</v>
      </c>
      <c r="H5462" s="142"/>
      <c r="I5462" s="143"/>
      <c r="J5462" s="143" t="s">
        <v>35072</v>
      </c>
      <c r="K5462" s="143" t="s">
        <v>35073</v>
      </c>
      <c r="L5462" s="145" t="s">
        <v>35074</v>
      </c>
      <c r="M5462" s="143"/>
      <c r="N5462" s="12"/>
      <c r="O5462" s="12"/>
      <c r="P5462" s="13">
        <f>IFERROR(__xludf.DUMMYFUNCTION("VALUE(SUBSTITUTE((INDEX(SPLIT(A5462,"",""),1)),""."","","",1))"),56.81760788)</f>
        <v>56.81760788</v>
      </c>
      <c r="Q5462" s="13">
        <f>IFERROR(__xludf.DUMMYFUNCTION("VALUE(SUBSTITUTE((INDEX(SPLIT(A5462,"",""),2)),""."","","",1))"),53.179431915)</f>
        <v>53.17943192</v>
      </c>
      <c r="R5462" s="14" t="b">
        <f t="shared" si="1"/>
        <v>0</v>
      </c>
      <c r="S5462" s="14" t="str">
        <f t="shared" si="2"/>
        <v>56.81760788,53.179431915</v>
      </c>
      <c r="T5462" s="12"/>
    </row>
    <row r="5463">
      <c r="A5463" s="146" t="s">
        <v>35075</v>
      </c>
      <c r="B5463" s="147" t="s">
        <v>35076</v>
      </c>
      <c r="C5463" s="147" t="s">
        <v>35077</v>
      </c>
      <c r="D5463" s="147" t="s">
        <v>33342</v>
      </c>
      <c r="E5463" s="148" t="s">
        <v>35078</v>
      </c>
      <c r="F5463" s="146" t="s">
        <v>22263</v>
      </c>
      <c r="G5463" s="146" t="s">
        <v>33344</v>
      </c>
      <c r="H5463" s="146"/>
      <c r="I5463" s="147"/>
      <c r="J5463" s="147" t="s">
        <v>35079</v>
      </c>
      <c r="K5463" s="147" t="s">
        <v>35080</v>
      </c>
      <c r="L5463" s="150" t="s">
        <v>35081</v>
      </c>
      <c r="M5463" s="147"/>
      <c r="N5463" s="12"/>
      <c r="O5463" s="12"/>
      <c r="P5463" s="13">
        <f>IFERROR(__xludf.DUMMYFUNCTION("VALUE(SUBSTITUTE((INDEX(SPLIT(A5463,"",""),1)),""."","","",1))"),56.818553925)</f>
        <v>56.81855393</v>
      </c>
      <c r="Q5463" s="13">
        <f>IFERROR(__xludf.DUMMYFUNCTION("VALUE(SUBSTITUTE((INDEX(SPLIT(A5463,"",""),2)),""."","","",1))"),60.560214996)</f>
        <v>60.560215</v>
      </c>
      <c r="R5463" s="14" t="b">
        <f t="shared" si="1"/>
        <v>0</v>
      </c>
      <c r="S5463" s="14" t="str">
        <f t="shared" si="2"/>
        <v>56.818553925,60.560214996</v>
      </c>
      <c r="T5463" s="12"/>
    </row>
    <row r="5464">
      <c r="A5464" s="142" t="s">
        <v>35082</v>
      </c>
      <c r="B5464" s="143" t="s">
        <v>35083</v>
      </c>
      <c r="C5464" s="143" t="s">
        <v>35084</v>
      </c>
      <c r="D5464" s="143" t="s">
        <v>33342</v>
      </c>
      <c r="E5464" s="144" t="s">
        <v>35085</v>
      </c>
      <c r="F5464" s="142" t="s">
        <v>22263</v>
      </c>
      <c r="G5464" s="142" t="s">
        <v>33344</v>
      </c>
      <c r="H5464" s="142"/>
      <c r="I5464" s="143"/>
      <c r="J5464" s="143" t="s">
        <v>35086</v>
      </c>
      <c r="K5464" s="143" t="s">
        <v>35087</v>
      </c>
      <c r="L5464" s="152" t="s">
        <v>35088</v>
      </c>
      <c r="M5464" s="143"/>
      <c r="N5464" s="12"/>
      <c r="O5464" s="12"/>
      <c r="P5464" s="13">
        <f>IFERROR(__xludf.DUMMYFUNCTION("VALUE(SUBSTITUTE((INDEX(SPLIT(A5464,"",""),1)),""."","","",1))"),56.820344113195)</f>
        <v>56.82034411</v>
      </c>
      <c r="Q5464" s="13">
        <f>IFERROR(__xludf.DUMMYFUNCTION("VALUE(SUBSTITUTE((INDEX(SPLIT(A5464,"",""),2)),""."","","",1))"),60.633633043912)</f>
        <v>60.63363304</v>
      </c>
      <c r="R5464" s="14" t="b">
        <f t="shared" si="1"/>
        <v>0</v>
      </c>
      <c r="S5464" s="14" t="str">
        <f t="shared" si="2"/>
        <v>56.820344113195,60.633633043912</v>
      </c>
      <c r="T5464" s="12"/>
    </row>
    <row r="5465">
      <c r="A5465" s="146" t="s">
        <v>35089</v>
      </c>
      <c r="B5465" s="147" t="s">
        <v>35090</v>
      </c>
      <c r="C5465" s="147" t="s">
        <v>35091</v>
      </c>
      <c r="D5465" s="147" t="s">
        <v>33342</v>
      </c>
      <c r="E5465" s="148" t="s">
        <v>35092</v>
      </c>
      <c r="F5465" s="146" t="s">
        <v>22263</v>
      </c>
      <c r="G5465" s="146" t="s">
        <v>33344</v>
      </c>
      <c r="H5465" s="146"/>
      <c r="I5465" s="147"/>
      <c r="J5465" s="147" t="s">
        <v>35093</v>
      </c>
      <c r="K5465" s="147" t="s">
        <v>35094</v>
      </c>
      <c r="L5465" s="149" t="s">
        <v>35095</v>
      </c>
      <c r="M5465" s="147"/>
      <c r="N5465" s="12"/>
      <c r="O5465" s="12"/>
      <c r="P5465" s="13">
        <f>IFERROR(__xludf.DUMMYFUNCTION("VALUE(SUBSTITUTE((INDEX(SPLIT(A5465,"",""),1)),""."","","",1))"),56.837932587)</f>
        <v>56.83793259</v>
      </c>
      <c r="Q5465" s="13">
        <f>IFERROR(__xludf.DUMMYFUNCTION("VALUE(SUBSTITUTE((INDEX(SPLIT(A5465,"",""),2)),""."","","",1))"),60.66506958)</f>
        <v>60.66506958</v>
      </c>
      <c r="R5465" s="14" t="b">
        <f t="shared" si="1"/>
        <v>0</v>
      </c>
      <c r="S5465" s="14" t="str">
        <f t="shared" si="2"/>
        <v>56.837932587,60.66506958</v>
      </c>
      <c r="T5465" s="12"/>
    </row>
    <row r="5466">
      <c r="A5466" s="136" t="s">
        <v>35096</v>
      </c>
      <c r="B5466" s="137" t="s">
        <v>497</v>
      </c>
      <c r="C5466" s="137" t="s">
        <v>35097</v>
      </c>
      <c r="D5466" s="137" t="s">
        <v>33342</v>
      </c>
      <c r="E5466" s="138" t="s">
        <v>35098</v>
      </c>
      <c r="F5466" s="136" t="s">
        <v>5788</v>
      </c>
      <c r="G5466" s="136" t="s">
        <v>33344</v>
      </c>
      <c r="H5466" s="136"/>
      <c r="I5466" s="137"/>
      <c r="J5466" s="137" t="s">
        <v>35099</v>
      </c>
      <c r="K5466" s="137" t="s">
        <v>35100</v>
      </c>
      <c r="L5466" s="137"/>
      <c r="M5466" s="137"/>
      <c r="N5466" s="12"/>
      <c r="O5466" s="12"/>
      <c r="P5466" s="13">
        <f>IFERROR(__xludf.DUMMYFUNCTION("VALUE(SUBSTITUTE((INDEX(SPLIT(A5466,"",""),1)),""."","","",1))"),56.840923309)</f>
        <v>56.84092331</v>
      </c>
      <c r="Q5466" s="13">
        <f>IFERROR(__xludf.DUMMYFUNCTION("VALUE(SUBSTITUTE((INDEX(SPLIT(A5466,"",""),2)),""."","","",1))"),35.843101501)</f>
        <v>35.8431015</v>
      </c>
      <c r="R5466" s="14" t="b">
        <f t="shared" si="1"/>
        <v>0</v>
      </c>
      <c r="S5466" s="14" t="str">
        <f t="shared" si="2"/>
        <v>56.840923309,35.843101501</v>
      </c>
      <c r="T5466" s="12"/>
    </row>
    <row r="5467">
      <c r="A5467" s="139" t="s">
        <v>35101</v>
      </c>
      <c r="B5467" s="140" t="s">
        <v>35102</v>
      </c>
      <c r="C5467" s="140" t="s">
        <v>35103</v>
      </c>
      <c r="D5467" s="140" t="s">
        <v>33342</v>
      </c>
      <c r="E5467" s="141" t="s">
        <v>35104</v>
      </c>
      <c r="F5467" s="139" t="s">
        <v>22263</v>
      </c>
      <c r="G5467" s="139" t="s">
        <v>33344</v>
      </c>
      <c r="H5467" s="139"/>
      <c r="I5467" s="140"/>
      <c r="J5467" s="140" t="s">
        <v>35105</v>
      </c>
      <c r="K5467" s="140" t="s">
        <v>35106</v>
      </c>
      <c r="L5467" s="140"/>
      <c r="M5467" s="140"/>
      <c r="N5467" s="12"/>
      <c r="O5467" s="12"/>
      <c r="P5467" s="13">
        <f>IFERROR(__xludf.DUMMYFUNCTION("VALUE(SUBSTITUTE((INDEX(SPLIT(A5467,"",""),1)),""."","","",1))"),56.857177734)</f>
        <v>56.85717773</v>
      </c>
      <c r="Q5467" s="13">
        <f>IFERROR(__xludf.DUMMYFUNCTION("VALUE(SUBSTITUTE((INDEX(SPLIT(A5467,"",""),2)),""."","","",1))"),60.582263947)</f>
        <v>60.58226395</v>
      </c>
      <c r="R5467" s="14" t="b">
        <f t="shared" si="1"/>
        <v>0</v>
      </c>
      <c r="S5467" s="14" t="str">
        <f t="shared" si="2"/>
        <v>56.857177734,60.582263947</v>
      </c>
      <c r="T5467" s="12"/>
    </row>
    <row r="5468">
      <c r="A5468" s="142" t="s">
        <v>35107</v>
      </c>
      <c r="B5468" s="143" t="s">
        <v>35108</v>
      </c>
      <c r="C5468" s="143" t="s">
        <v>35109</v>
      </c>
      <c r="D5468" s="143" t="s">
        <v>33342</v>
      </c>
      <c r="E5468" s="144" t="s">
        <v>35110</v>
      </c>
      <c r="F5468" s="142" t="s">
        <v>22263</v>
      </c>
      <c r="G5468" s="142" t="s">
        <v>33344</v>
      </c>
      <c r="H5468" s="142"/>
      <c r="I5468" s="155" t="s">
        <v>35111</v>
      </c>
      <c r="J5468" s="143" t="s">
        <v>35112</v>
      </c>
      <c r="K5468" s="143" t="s">
        <v>35113</v>
      </c>
      <c r="L5468" s="145" t="s">
        <v>35114</v>
      </c>
      <c r="M5468" s="143"/>
      <c r="N5468" s="12"/>
      <c r="O5468" s="12"/>
      <c r="P5468" s="13">
        <f>IFERROR(__xludf.DUMMYFUNCTION("VALUE(SUBSTITUTE((INDEX(SPLIT(A5468,"",""),1)),""."","","",1))"),56.897350311)</f>
        <v>56.89735031</v>
      </c>
      <c r="Q5468" s="13">
        <f>IFERROR(__xludf.DUMMYFUNCTION("VALUE(SUBSTITUTE((INDEX(SPLIT(A5468,"",""),2)),""."","","",1))"),60.736968994)</f>
        <v>60.73696899</v>
      </c>
      <c r="R5468" s="14" t="b">
        <f t="shared" si="1"/>
        <v>0</v>
      </c>
      <c r="S5468" s="14" t="str">
        <f t="shared" si="2"/>
        <v>56.897350311,60.736968994</v>
      </c>
      <c r="T5468" s="12"/>
    </row>
    <row r="5469">
      <c r="A5469" s="146" t="s">
        <v>35115</v>
      </c>
      <c r="B5469" s="147" t="s">
        <v>35116</v>
      </c>
      <c r="C5469" s="147" t="s">
        <v>35117</v>
      </c>
      <c r="D5469" s="147" t="s">
        <v>33342</v>
      </c>
      <c r="E5469" s="148" t="s">
        <v>35118</v>
      </c>
      <c r="F5469" s="146" t="s">
        <v>10789</v>
      </c>
      <c r="G5469" s="146" t="s">
        <v>33344</v>
      </c>
      <c r="H5469" s="146"/>
      <c r="I5469" s="147"/>
      <c r="J5469" s="147" t="s">
        <v>35119</v>
      </c>
      <c r="K5469" s="147" t="s">
        <v>35120</v>
      </c>
      <c r="L5469" s="149" t="s">
        <v>35121</v>
      </c>
      <c r="M5469" s="147"/>
      <c r="N5469" s="12"/>
      <c r="O5469" s="12"/>
      <c r="P5469" s="13">
        <f>IFERROR(__xludf.DUMMYFUNCTION("VALUE(SUBSTITUTE((INDEX(SPLIT(A5469,"",""),1)),""."","","",1))"),56.995914459)</f>
        <v>56.99591446</v>
      </c>
      <c r="Q5469" s="13">
        <f>IFERROR(__xludf.DUMMYFUNCTION("VALUE(SUBSTITUTE((INDEX(SPLIT(A5469,"",""),2)),""."","","",1))"),40.984580994)</f>
        <v>40.98458099</v>
      </c>
      <c r="R5469" s="14" t="b">
        <f t="shared" si="1"/>
        <v>0</v>
      </c>
      <c r="S5469" s="14" t="str">
        <f t="shared" si="2"/>
        <v>56.995914459,40.984580994</v>
      </c>
      <c r="T5469" s="12"/>
    </row>
    <row r="5470">
      <c r="A5470" s="142" t="s">
        <v>35122</v>
      </c>
      <c r="B5470" s="143" t="s">
        <v>35123</v>
      </c>
      <c r="C5470" s="143" t="s">
        <v>5813</v>
      </c>
      <c r="D5470" s="143" t="s">
        <v>33342</v>
      </c>
      <c r="E5470" s="144" t="s">
        <v>35124</v>
      </c>
      <c r="F5470" s="142" t="s">
        <v>5788</v>
      </c>
      <c r="G5470" s="142" t="s">
        <v>33344</v>
      </c>
      <c r="H5470" s="142"/>
      <c r="I5470" s="143"/>
      <c r="J5470" s="143" t="s">
        <v>35125</v>
      </c>
      <c r="K5470" s="143" t="s">
        <v>35126</v>
      </c>
      <c r="L5470" s="145" t="s">
        <v>35127</v>
      </c>
      <c r="M5470" s="143"/>
      <c r="N5470" s="12"/>
      <c r="O5470" s="12"/>
      <c r="P5470" s="13">
        <f>IFERROR(__xludf.DUMMYFUNCTION("VALUE(SUBSTITUTE((INDEX(SPLIT(A5470,"",""),1)),""."","","",1))"),57.028192890355)</f>
        <v>57.02819289</v>
      </c>
      <c r="Q5470" s="13">
        <f>IFERROR(__xludf.DUMMYFUNCTION("VALUE(SUBSTITUTE((INDEX(SPLIT(A5470,"",""),2)),""."","","",1))"),34.982068620148)</f>
        <v>34.98206862</v>
      </c>
      <c r="R5470" s="14" t="b">
        <f t="shared" si="1"/>
        <v>0</v>
      </c>
      <c r="S5470" s="14" t="str">
        <f t="shared" si="2"/>
        <v>57.028192890355,34.982068620148</v>
      </c>
      <c r="T5470" s="12"/>
    </row>
    <row r="5471">
      <c r="A5471" s="139" t="s">
        <v>35128</v>
      </c>
      <c r="B5471" s="140" t="s">
        <v>35129</v>
      </c>
      <c r="C5471" s="140" t="s">
        <v>35130</v>
      </c>
      <c r="D5471" s="140" t="s">
        <v>33342</v>
      </c>
      <c r="E5471" s="141" t="s">
        <v>35131</v>
      </c>
      <c r="F5471" s="139" t="s">
        <v>18995</v>
      </c>
      <c r="G5471" s="139" t="s">
        <v>33344</v>
      </c>
      <c r="H5471" s="139"/>
      <c r="I5471" s="140"/>
      <c r="J5471" s="140" t="s">
        <v>35132</v>
      </c>
      <c r="K5471" s="140" t="s">
        <v>35133</v>
      </c>
      <c r="L5471" s="140"/>
      <c r="M5471" s="140"/>
      <c r="N5471" s="12"/>
      <c r="O5471" s="12"/>
      <c r="P5471" s="13">
        <f>IFERROR(__xludf.DUMMYFUNCTION("VALUE(SUBSTITUTE((INDEX(SPLIT(A5471,"",""),1)),""."","","",1))"),57.10584259)</f>
        <v>57.10584259</v>
      </c>
      <c r="Q5471" s="13">
        <f>IFERROR(__xludf.DUMMYFUNCTION("VALUE(SUBSTITUTE((INDEX(SPLIT(A5471,"",""),2)),""."","","",1))"),65.60785675)</f>
        <v>65.60785675</v>
      </c>
      <c r="R5471" s="14" t="b">
        <f t="shared" si="1"/>
        <v>0</v>
      </c>
      <c r="S5471" s="14" t="str">
        <f t="shared" si="2"/>
        <v>57.10584259,65.60785675</v>
      </c>
      <c r="T5471" s="12"/>
    </row>
    <row r="5472">
      <c r="A5472" s="136" t="s">
        <v>35134</v>
      </c>
      <c r="B5472" s="137" t="s">
        <v>35135</v>
      </c>
      <c r="C5472" s="137" t="s">
        <v>35136</v>
      </c>
      <c r="D5472" s="137" t="s">
        <v>33342</v>
      </c>
      <c r="E5472" s="138" t="s">
        <v>35137</v>
      </c>
      <c r="F5472" s="136" t="s">
        <v>18995</v>
      </c>
      <c r="G5472" s="136" t="s">
        <v>33344</v>
      </c>
      <c r="H5472" s="136"/>
      <c r="I5472" s="137"/>
      <c r="J5472" s="137" t="s">
        <v>35138</v>
      </c>
      <c r="K5472" s="137" t="s">
        <v>35139</v>
      </c>
      <c r="L5472" s="137"/>
      <c r="M5472" s="137"/>
      <c r="N5472" s="12"/>
      <c r="O5472" s="12"/>
      <c r="P5472" s="13">
        <f>IFERROR(__xludf.DUMMYFUNCTION("VALUE(SUBSTITUTE((INDEX(SPLIT(A5472,"",""),1)),""."","","",1))"),57.127983093)</f>
        <v>57.12798309</v>
      </c>
      <c r="Q5472" s="13">
        <f>IFERROR(__xludf.DUMMYFUNCTION("VALUE(SUBSTITUTE((INDEX(SPLIT(A5472,"",""),2)),""."","","",1))"),65.544586182)</f>
        <v>65.54458618</v>
      </c>
      <c r="R5472" s="14" t="b">
        <f t="shared" si="1"/>
        <v>0</v>
      </c>
      <c r="S5472" s="14" t="str">
        <f t="shared" si="2"/>
        <v>57.127983093,65.544586182</v>
      </c>
      <c r="T5472" s="12"/>
    </row>
    <row r="5473" ht="30.75" customHeight="1">
      <c r="A5473" s="139" t="s">
        <v>35140</v>
      </c>
      <c r="B5473" s="140" t="s">
        <v>35141</v>
      </c>
      <c r="C5473" s="140" t="s">
        <v>35142</v>
      </c>
      <c r="D5473" s="140" t="s">
        <v>33342</v>
      </c>
      <c r="E5473" s="141" t="s">
        <v>35143</v>
      </c>
      <c r="F5473" s="139" t="s">
        <v>5788</v>
      </c>
      <c r="G5473" s="139" t="s">
        <v>33344</v>
      </c>
      <c r="H5473" s="139"/>
      <c r="I5473" s="140"/>
      <c r="J5473" s="140" t="s">
        <v>35144</v>
      </c>
      <c r="K5473" s="140" t="s">
        <v>35145</v>
      </c>
      <c r="L5473" s="140"/>
      <c r="M5473" s="140"/>
      <c r="N5473" s="12"/>
      <c r="O5473" s="12"/>
      <c r="P5473" s="13">
        <f>IFERROR(__xludf.DUMMYFUNCTION("VALUE(SUBSTITUTE((INDEX(SPLIT(A5473,"",""),1)),""."","","",1))"),57.143249512)</f>
        <v>57.14324951</v>
      </c>
      <c r="Q5473" s="13">
        <f>IFERROR(__xludf.DUMMYFUNCTION("VALUE(SUBSTITUTE((INDEX(SPLIT(A5473,"",""),2)),""."","","",1))"),33.15417099)</f>
        <v>33.15417099</v>
      </c>
      <c r="R5473" s="14" t="b">
        <f t="shared" si="1"/>
        <v>0</v>
      </c>
      <c r="S5473" s="14" t="str">
        <f t="shared" si="2"/>
        <v>57.143249512,33.15417099</v>
      </c>
      <c r="T5473" s="12"/>
    </row>
    <row r="5474">
      <c r="A5474" s="142" t="s">
        <v>35146</v>
      </c>
      <c r="B5474" s="143" t="s">
        <v>35147</v>
      </c>
      <c r="C5474" s="143" t="s">
        <v>35148</v>
      </c>
      <c r="D5474" s="143" t="s">
        <v>33342</v>
      </c>
      <c r="E5474" s="144" t="s">
        <v>35149</v>
      </c>
      <c r="F5474" s="142" t="s">
        <v>18995</v>
      </c>
      <c r="G5474" s="142" t="s">
        <v>33344</v>
      </c>
      <c r="H5474" s="142"/>
      <c r="I5474" s="143"/>
      <c r="J5474" s="143" t="s">
        <v>35150</v>
      </c>
      <c r="K5474" s="143" t="s">
        <v>31712</v>
      </c>
      <c r="L5474" s="145" t="s">
        <v>35151</v>
      </c>
      <c r="M5474" s="143"/>
      <c r="N5474" s="12"/>
      <c r="O5474" s="12"/>
      <c r="P5474" s="13">
        <f>IFERROR(__xludf.DUMMYFUNCTION("VALUE(SUBSTITUTE((INDEX(SPLIT(A5474,"",""),1)),""."","","",1))"),57.15019989)</f>
        <v>57.15019989</v>
      </c>
      <c r="Q5474" s="13">
        <f>IFERROR(__xludf.DUMMYFUNCTION("VALUE(SUBSTITUTE((INDEX(SPLIT(A5474,"",""),2)),""."","","",1))"),65.646934509)</f>
        <v>65.64693451</v>
      </c>
      <c r="R5474" s="14" t="b">
        <f t="shared" si="1"/>
        <v>0</v>
      </c>
      <c r="S5474" s="14" t="str">
        <f t="shared" si="2"/>
        <v>57.15019989,65.646934509</v>
      </c>
      <c r="T5474" s="12"/>
    </row>
    <row r="5475">
      <c r="A5475" s="146" t="s">
        <v>35152</v>
      </c>
      <c r="B5475" s="147" t="s">
        <v>2665</v>
      </c>
      <c r="C5475" s="147" t="s">
        <v>35153</v>
      </c>
      <c r="D5475" s="147" t="s">
        <v>33342</v>
      </c>
      <c r="E5475" s="148" t="s">
        <v>35154</v>
      </c>
      <c r="F5475" s="146" t="s">
        <v>18995</v>
      </c>
      <c r="G5475" s="146" t="s">
        <v>33344</v>
      </c>
      <c r="H5475" s="146"/>
      <c r="I5475" s="147"/>
      <c r="J5475" s="147" t="s">
        <v>35155</v>
      </c>
      <c r="K5475" s="147" t="s">
        <v>35156</v>
      </c>
      <c r="L5475" s="149" t="s">
        <v>35157</v>
      </c>
      <c r="M5475" s="147"/>
      <c r="N5475" s="12"/>
      <c r="O5475" s="12"/>
      <c r="P5475" s="13">
        <f>IFERROR(__xludf.DUMMYFUNCTION("VALUE(SUBSTITUTE((INDEX(SPLIT(A5475,"",""),1)),""."","","",1))"),57.155094147)</f>
        <v>57.15509415</v>
      </c>
      <c r="Q5475" s="13">
        <f>IFERROR(__xludf.DUMMYFUNCTION("VALUE(SUBSTITUTE((INDEX(SPLIT(A5475,"",""),2)),""."","","",1))"),65.545379639)</f>
        <v>65.54537964</v>
      </c>
      <c r="R5475" s="14" t="b">
        <f t="shared" si="1"/>
        <v>0</v>
      </c>
      <c r="S5475" s="14" t="str">
        <f t="shared" si="2"/>
        <v>57.155094147,65.545379639</v>
      </c>
      <c r="T5475" s="12"/>
    </row>
    <row r="5476">
      <c r="A5476" s="142" t="s">
        <v>35158</v>
      </c>
      <c r="B5476" s="143" t="s">
        <v>9706</v>
      </c>
      <c r="C5476" s="143" t="s">
        <v>33601</v>
      </c>
      <c r="D5476" s="143" t="s">
        <v>33342</v>
      </c>
      <c r="E5476" s="144" t="s">
        <v>35159</v>
      </c>
      <c r="F5476" s="142" t="s">
        <v>18995</v>
      </c>
      <c r="G5476" s="142" t="s">
        <v>33344</v>
      </c>
      <c r="H5476" s="142"/>
      <c r="I5476" s="143"/>
      <c r="J5476" s="143" t="s">
        <v>35160</v>
      </c>
      <c r="K5476" s="143" t="s">
        <v>35161</v>
      </c>
      <c r="L5476" s="145" t="s">
        <v>35162</v>
      </c>
      <c r="M5476" s="143"/>
      <c r="N5476" s="12"/>
      <c r="O5476" s="12"/>
      <c r="P5476" s="13">
        <f>IFERROR(__xludf.DUMMYFUNCTION("VALUE(SUBSTITUTE((INDEX(SPLIT(A5476,"",""),1)),""."","","",1))"),57.163478851)</f>
        <v>57.16347885</v>
      </c>
      <c r="Q5476" s="13">
        <f>IFERROR(__xludf.DUMMYFUNCTION("VALUE(SUBSTITUTE((INDEX(SPLIT(A5476,"",""),2)),""."","","",1))"),65.487258911)</f>
        <v>65.48725891</v>
      </c>
      <c r="R5476" s="14" t="b">
        <f t="shared" si="1"/>
        <v>0</v>
      </c>
      <c r="S5476" s="14" t="str">
        <f t="shared" si="2"/>
        <v>57.163478851,65.487258911</v>
      </c>
      <c r="T5476" s="12"/>
    </row>
    <row r="5477">
      <c r="A5477" s="146" t="s">
        <v>35163</v>
      </c>
      <c r="B5477" s="147" t="s">
        <v>35164</v>
      </c>
      <c r="C5477" s="147" t="s">
        <v>35165</v>
      </c>
      <c r="D5477" s="147" t="s">
        <v>33342</v>
      </c>
      <c r="E5477" s="148" t="s">
        <v>35166</v>
      </c>
      <c r="F5477" s="146" t="s">
        <v>22263</v>
      </c>
      <c r="G5477" s="146" t="s">
        <v>33344</v>
      </c>
      <c r="H5477" s="146"/>
      <c r="I5477" s="147"/>
      <c r="J5477" s="147" t="s">
        <v>35167</v>
      </c>
      <c r="K5477" s="147" t="s">
        <v>35168</v>
      </c>
      <c r="L5477" s="149" t="s">
        <v>35169</v>
      </c>
      <c r="M5477" s="147"/>
      <c r="N5477" s="12"/>
      <c r="O5477" s="12"/>
      <c r="P5477" s="13">
        <f>IFERROR(__xludf.DUMMYFUNCTION("VALUE(SUBSTITUTE((INDEX(SPLIT(A5477,"",""),1)),""."","","",1))"),57.256519318)</f>
        <v>57.25651932</v>
      </c>
      <c r="Q5477" s="13">
        <f>IFERROR(__xludf.DUMMYFUNCTION("VALUE(SUBSTITUTE((INDEX(SPLIT(A5477,"",""),2)),""."","","",1))"),60.106361389)</f>
        <v>60.10636139</v>
      </c>
      <c r="R5477" s="14" t="b">
        <f t="shared" si="1"/>
        <v>0</v>
      </c>
      <c r="S5477" s="14" t="str">
        <f t="shared" si="2"/>
        <v>57.256519318,60.106361389</v>
      </c>
      <c r="T5477" s="12"/>
    </row>
    <row r="5478">
      <c r="A5478" s="142" t="s">
        <v>35170</v>
      </c>
      <c r="B5478" s="143" t="s">
        <v>7514</v>
      </c>
      <c r="C5478" s="143" t="s">
        <v>35171</v>
      </c>
      <c r="D5478" s="143" t="s">
        <v>33342</v>
      </c>
      <c r="E5478" s="144" t="s">
        <v>35172</v>
      </c>
      <c r="F5478" s="142" t="s">
        <v>22263</v>
      </c>
      <c r="G5478" s="142" t="s">
        <v>33344</v>
      </c>
      <c r="H5478" s="142"/>
      <c r="I5478" s="143"/>
      <c r="J5478" s="143" t="s">
        <v>35173</v>
      </c>
      <c r="K5478" s="143" t="s">
        <v>35174</v>
      </c>
      <c r="L5478" s="152" t="s">
        <v>35175</v>
      </c>
      <c r="M5478" s="143"/>
      <c r="N5478" s="12"/>
      <c r="O5478" s="12"/>
      <c r="P5478" s="13">
        <f>IFERROR(__xludf.DUMMYFUNCTION("VALUE(SUBSTITUTE((INDEX(SPLIT(A5478,"",""),1)),""."","","",1))"),57.370821626906)</f>
        <v>57.37082163</v>
      </c>
      <c r="Q5478" s="13">
        <f>IFERROR(__xludf.DUMMYFUNCTION("VALUE(SUBSTITUTE((INDEX(SPLIT(A5478,"",""),2)),""."","","",1))"),61.427730267351)</f>
        <v>61.42773027</v>
      </c>
      <c r="R5478" s="14" t="b">
        <f t="shared" si="1"/>
        <v>0</v>
      </c>
      <c r="S5478" s="14" t="str">
        <f t="shared" si="2"/>
        <v>57.370821626906,61.427730267351</v>
      </c>
      <c r="T5478" s="12"/>
    </row>
    <row r="5479">
      <c r="A5479" s="139" t="s">
        <v>35176</v>
      </c>
      <c r="B5479" s="140" t="s">
        <v>35177</v>
      </c>
      <c r="C5479" s="140" t="s">
        <v>35178</v>
      </c>
      <c r="D5479" s="140" t="s">
        <v>33342</v>
      </c>
      <c r="E5479" s="141" t="s">
        <v>35179</v>
      </c>
      <c r="F5479" s="139" t="s">
        <v>12763</v>
      </c>
      <c r="G5479" s="139" t="s">
        <v>33344</v>
      </c>
      <c r="H5479" s="139"/>
      <c r="I5479" s="140"/>
      <c r="J5479" s="140" t="s">
        <v>35180</v>
      </c>
      <c r="K5479" s="140" t="s">
        <v>35181</v>
      </c>
      <c r="L5479" s="140"/>
      <c r="M5479" s="140"/>
      <c r="N5479" s="12"/>
      <c r="O5479" s="12"/>
      <c r="P5479" s="13">
        <f>IFERROR(__xludf.DUMMYFUNCTION("VALUE(SUBSTITUTE((INDEX(SPLIT(A5479,"",""),1)),""."","","",1))"),57.616558075)</f>
        <v>57.61655808</v>
      </c>
      <c r="Q5479" s="13">
        <f>IFERROR(__xludf.DUMMYFUNCTION("VALUE(SUBSTITUTE((INDEX(SPLIT(A5479,"",""),2)),""."","","",1))"),39.966701508)</f>
        <v>39.96670151</v>
      </c>
      <c r="R5479" s="14" t="b">
        <f t="shared" si="1"/>
        <v>0</v>
      </c>
      <c r="S5479" s="14" t="str">
        <f t="shared" si="2"/>
        <v>57.616558075,39.966701508</v>
      </c>
      <c r="T5479" s="12"/>
    </row>
    <row r="5480">
      <c r="A5480" s="142" t="s">
        <v>35182</v>
      </c>
      <c r="B5480" s="143" t="s">
        <v>8367</v>
      </c>
      <c r="C5480" s="143" t="s">
        <v>35183</v>
      </c>
      <c r="D5480" s="143" t="s">
        <v>33342</v>
      </c>
      <c r="E5480" s="144" t="s">
        <v>35184</v>
      </c>
      <c r="F5480" s="142" t="s">
        <v>12763</v>
      </c>
      <c r="G5480" s="142" t="s">
        <v>33344</v>
      </c>
      <c r="H5480" s="142"/>
      <c r="I5480" s="143"/>
      <c r="J5480" s="143" t="s">
        <v>35185</v>
      </c>
      <c r="K5480" s="143" t="s">
        <v>35186</v>
      </c>
      <c r="L5480" s="145" t="s">
        <v>35187</v>
      </c>
      <c r="M5480" s="143"/>
      <c r="N5480" s="12"/>
      <c r="O5480" s="12"/>
      <c r="P5480" s="13">
        <f>IFERROR(__xludf.DUMMYFUNCTION("VALUE(SUBSTITUTE((INDEX(SPLIT(A5480,"",""),1)),""."","","",1))"),57.624507904)</f>
        <v>57.6245079</v>
      </c>
      <c r="Q5480" s="13">
        <f>IFERROR(__xludf.DUMMYFUNCTION("VALUE(SUBSTITUTE((INDEX(SPLIT(A5480,"",""),2)),""."","","",1))"),39.857135773)</f>
        <v>39.85713577</v>
      </c>
      <c r="R5480" s="14" t="b">
        <f t="shared" si="1"/>
        <v>0</v>
      </c>
      <c r="S5480" s="14" t="str">
        <f t="shared" si="2"/>
        <v>57.624507904,39.857135773</v>
      </c>
      <c r="T5480" s="12"/>
    </row>
    <row r="5481">
      <c r="A5481" s="146" t="s">
        <v>35188</v>
      </c>
      <c r="B5481" s="147" t="s">
        <v>35189</v>
      </c>
      <c r="C5481" s="147" t="s">
        <v>35190</v>
      </c>
      <c r="D5481" s="147" t="s">
        <v>33342</v>
      </c>
      <c r="E5481" s="148" t="s">
        <v>35191</v>
      </c>
      <c r="F5481" s="146" t="s">
        <v>22263</v>
      </c>
      <c r="G5481" s="146" t="s">
        <v>33344</v>
      </c>
      <c r="H5481" s="146"/>
      <c r="I5481" s="147"/>
      <c r="J5481" s="147" t="s">
        <v>35192</v>
      </c>
      <c r="K5481" s="147" t="s">
        <v>35193</v>
      </c>
      <c r="L5481" s="149" t="s">
        <v>35194</v>
      </c>
      <c r="M5481" s="149" t="s">
        <v>35195</v>
      </c>
      <c r="N5481" s="12"/>
      <c r="O5481" s="12"/>
      <c r="P5481" s="13">
        <f>IFERROR(__xludf.DUMMYFUNCTION("VALUE(SUBSTITUTE((INDEX(SPLIT(A5481,"",""),1)),""."","","",1))"),57.662620544)</f>
        <v>57.66262054</v>
      </c>
      <c r="Q5481" s="13">
        <f>IFERROR(__xludf.DUMMYFUNCTION("VALUE(SUBSTITUTE((INDEX(SPLIT(A5481,"",""),2)),""."","","",1))"),63.067115784)</f>
        <v>63.06711578</v>
      </c>
      <c r="R5481" s="14" t="b">
        <f t="shared" si="1"/>
        <v>0</v>
      </c>
      <c r="S5481" s="14" t="str">
        <f t="shared" si="2"/>
        <v>57.662620544,63.067115784</v>
      </c>
      <c r="T5481" s="12"/>
    </row>
    <row r="5482">
      <c r="A5482" s="136" t="s">
        <v>35196</v>
      </c>
      <c r="B5482" s="137" t="s">
        <v>35197</v>
      </c>
      <c r="C5482" s="137" t="s">
        <v>35198</v>
      </c>
      <c r="D5482" s="137" t="s">
        <v>33342</v>
      </c>
      <c r="E5482" s="138" t="s">
        <v>35199</v>
      </c>
      <c r="F5482" s="136" t="s">
        <v>12763</v>
      </c>
      <c r="G5482" s="136" t="s">
        <v>33344</v>
      </c>
      <c r="H5482" s="136"/>
      <c r="I5482" s="137"/>
      <c r="J5482" s="137" t="s">
        <v>35200</v>
      </c>
      <c r="K5482" s="137" t="s">
        <v>14694</v>
      </c>
      <c r="L5482" s="137"/>
      <c r="M5482" s="137"/>
      <c r="N5482" s="12"/>
      <c r="O5482" s="12"/>
      <c r="P5482" s="13">
        <f>IFERROR(__xludf.DUMMYFUNCTION("VALUE(SUBSTITUTE((INDEX(SPLIT(A5482,"",""),1)),""."","","",1))"),57.670154572)</f>
        <v>57.67015457</v>
      </c>
      <c r="Q5482" s="13">
        <f>IFERROR(__xludf.DUMMYFUNCTION("VALUE(SUBSTITUTE((INDEX(SPLIT(A5482,"",""),2)),""."","","",1))"),39.821685791)</f>
        <v>39.82168579</v>
      </c>
      <c r="R5482" s="14" t="b">
        <f t="shared" si="1"/>
        <v>0</v>
      </c>
      <c r="S5482" s="14" t="str">
        <f t="shared" si="2"/>
        <v>57.670154572,39.821685791</v>
      </c>
      <c r="T5482" s="12"/>
    </row>
    <row r="5483">
      <c r="A5483" s="146" t="s">
        <v>35201</v>
      </c>
      <c r="B5483" s="147" t="s">
        <v>35202</v>
      </c>
      <c r="C5483" s="147" t="s">
        <v>35203</v>
      </c>
      <c r="D5483" s="147" t="s">
        <v>33342</v>
      </c>
      <c r="E5483" s="148" t="s">
        <v>35204</v>
      </c>
      <c r="F5483" s="146" t="s">
        <v>22263</v>
      </c>
      <c r="G5483" s="146" t="s">
        <v>33344</v>
      </c>
      <c r="H5483" s="146"/>
      <c r="I5483" s="147"/>
      <c r="J5483" s="147" t="s">
        <v>35205</v>
      </c>
      <c r="K5483" s="147" t="s">
        <v>35206</v>
      </c>
      <c r="L5483" s="150" t="s">
        <v>35207</v>
      </c>
      <c r="M5483" s="147"/>
      <c r="N5483" s="12"/>
      <c r="O5483" s="12"/>
      <c r="P5483" s="13">
        <f>IFERROR(__xludf.DUMMYFUNCTION("VALUE(SUBSTITUTE((INDEX(SPLIT(A5483,"",""),1)),""."","","",1))"),57.6820755)</f>
        <v>57.6820755</v>
      </c>
      <c r="Q5483" s="13">
        <f>IFERROR(__xludf.DUMMYFUNCTION("VALUE(SUBSTITUTE((INDEX(SPLIT(A5483,"",""),2)),""."","","",1))"),63.061725616)</f>
        <v>63.06172562</v>
      </c>
      <c r="R5483" s="14" t="b">
        <f t="shared" si="1"/>
        <v>0</v>
      </c>
      <c r="S5483" s="14" t="str">
        <f t="shared" si="2"/>
        <v>57.6820755,63.061725616</v>
      </c>
      <c r="T5483" s="12"/>
    </row>
    <row r="5484">
      <c r="A5484" s="142" t="s">
        <v>35208</v>
      </c>
      <c r="B5484" s="143" t="s">
        <v>35209</v>
      </c>
      <c r="C5484" s="143" t="s">
        <v>35210</v>
      </c>
      <c r="D5484" s="143" t="s">
        <v>33342</v>
      </c>
      <c r="E5484" s="144" t="s">
        <v>35211</v>
      </c>
      <c r="F5484" s="142" t="s">
        <v>15565</v>
      </c>
      <c r="G5484" s="142" t="s">
        <v>33344</v>
      </c>
      <c r="H5484" s="142"/>
      <c r="I5484" s="143"/>
      <c r="J5484" s="143" t="s">
        <v>35212</v>
      </c>
      <c r="K5484" s="143" t="s">
        <v>35213</v>
      </c>
      <c r="L5484" s="145" t="s">
        <v>35214</v>
      </c>
      <c r="M5484" s="143"/>
      <c r="N5484" s="12"/>
      <c r="O5484" s="12"/>
      <c r="P5484" s="13">
        <f>IFERROR(__xludf.DUMMYFUNCTION("VALUE(SUBSTITUTE((INDEX(SPLIT(A5484,"",""),1)),""."","","",1))"),57.748859406)</f>
        <v>57.74885941</v>
      </c>
      <c r="Q5484" s="13">
        <f>IFERROR(__xludf.DUMMYFUNCTION("VALUE(SUBSTITUTE((INDEX(SPLIT(A5484,"",""),2)),""."","","",1))"),43.670295715)</f>
        <v>43.67029572</v>
      </c>
      <c r="R5484" s="14" t="b">
        <f t="shared" si="1"/>
        <v>0</v>
      </c>
      <c r="S5484" s="14" t="str">
        <f t="shared" si="2"/>
        <v>57.748859406,43.670295715</v>
      </c>
      <c r="T5484" s="12"/>
    </row>
    <row r="5485">
      <c r="A5485" s="139" t="s">
        <v>35215</v>
      </c>
      <c r="B5485" s="140" t="s">
        <v>35216</v>
      </c>
      <c r="C5485" s="140" t="s">
        <v>35217</v>
      </c>
      <c r="D5485" s="140" t="s">
        <v>33342</v>
      </c>
      <c r="E5485" s="141" t="s">
        <v>35218</v>
      </c>
      <c r="F5485" s="139" t="s">
        <v>15565</v>
      </c>
      <c r="G5485" s="139" t="s">
        <v>33344</v>
      </c>
      <c r="H5485" s="139"/>
      <c r="I5485" s="140"/>
      <c r="J5485" s="140" t="s">
        <v>35219</v>
      </c>
      <c r="K5485" s="140" t="s">
        <v>35220</v>
      </c>
      <c r="L5485" s="140"/>
      <c r="M5485" s="140"/>
      <c r="N5485" s="12"/>
      <c r="O5485" s="12"/>
      <c r="P5485" s="13">
        <f>IFERROR(__xludf.DUMMYFUNCTION("VALUE(SUBSTITUTE((INDEX(SPLIT(A5485,"",""),1)),""."","","",1))"),57.752761841)</f>
        <v>57.75276184</v>
      </c>
      <c r="Q5485" s="13">
        <f>IFERROR(__xludf.DUMMYFUNCTION("VALUE(SUBSTITUTE((INDEX(SPLIT(A5485,"",""),2)),""."","","",1))"),41.015693665)</f>
        <v>41.01569367</v>
      </c>
      <c r="R5485" s="14" t="b">
        <f t="shared" si="1"/>
        <v>0</v>
      </c>
      <c r="S5485" s="14" t="str">
        <f t="shared" si="2"/>
        <v>57.752761841,41.015693665</v>
      </c>
      <c r="T5485" s="12"/>
    </row>
    <row r="5486">
      <c r="A5486" s="142" t="s">
        <v>35221</v>
      </c>
      <c r="B5486" s="143" t="s">
        <v>35222</v>
      </c>
      <c r="C5486" s="143" t="s">
        <v>35223</v>
      </c>
      <c r="D5486" s="143" t="s">
        <v>33342</v>
      </c>
      <c r="E5486" s="144" t="s">
        <v>35224</v>
      </c>
      <c r="F5486" s="142" t="s">
        <v>3148</v>
      </c>
      <c r="G5486" s="142" t="s">
        <v>33344</v>
      </c>
      <c r="H5486" s="142"/>
      <c r="I5486" s="143"/>
      <c r="J5486" s="143" t="s">
        <v>35225</v>
      </c>
      <c r="K5486" s="143" t="s">
        <v>35226</v>
      </c>
      <c r="L5486" s="145" t="s">
        <v>35227</v>
      </c>
      <c r="M5486" s="143"/>
      <c r="N5486" s="12"/>
      <c r="O5486" s="12"/>
      <c r="P5486" s="13">
        <f>IFERROR(__xludf.DUMMYFUNCTION("VALUE(SUBSTITUTE((INDEX(SPLIT(A5486,"",""),1)),""."","","",1))"),57.812774658)</f>
        <v>57.81277466</v>
      </c>
      <c r="Q5486" s="13">
        <f>IFERROR(__xludf.DUMMYFUNCTION("VALUE(SUBSTITUTE((INDEX(SPLIT(A5486,"",""),2)),""."","","",1))"),28.339492798)</f>
        <v>28.3394928</v>
      </c>
      <c r="R5486" s="14" t="b">
        <f t="shared" si="1"/>
        <v>0</v>
      </c>
      <c r="S5486" s="14" t="str">
        <f t="shared" si="2"/>
        <v>57.812774658,28.339492798</v>
      </c>
      <c r="T5486" s="12"/>
    </row>
    <row r="5487">
      <c r="A5487" s="146" t="s">
        <v>35228</v>
      </c>
      <c r="B5487" s="147" t="s">
        <v>35229</v>
      </c>
      <c r="C5487" s="147" t="s">
        <v>35230</v>
      </c>
      <c r="D5487" s="147" t="s">
        <v>33342</v>
      </c>
      <c r="E5487" s="148" t="s">
        <v>35231</v>
      </c>
      <c r="F5487" s="146" t="s">
        <v>19378</v>
      </c>
      <c r="G5487" s="146" t="s">
        <v>33344</v>
      </c>
      <c r="H5487" s="146"/>
      <c r="I5487" s="147"/>
      <c r="J5487" s="147" t="s">
        <v>35232</v>
      </c>
      <c r="K5487" s="147" t="s">
        <v>35233</v>
      </c>
      <c r="L5487" s="150" t="s">
        <v>35234</v>
      </c>
      <c r="M5487" s="147"/>
      <c r="N5487" s="12"/>
      <c r="O5487" s="12"/>
      <c r="P5487" s="13">
        <f>IFERROR(__xludf.DUMMYFUNCTION("VALUE(SUBSTITUTE((INDEX(SPLIT(A5487,"",""),1)),""."","","",1))"),57.874247360916)</f>
        <v>57.87424736</v>
      </c>
      <c r="Q5487" s="13">
        <f>IFERROR(__xludf.DUMMYFUNCTION("VALUE(SUBSTITUTE((INDEX(SPLIT(A5487,"",""),2)),""."","","",1))"),54.712575168681)</f>
        <v>54.71257517</v>
      </c>
      <c r="R5487" s="14" t="b">
        <f t="shared" si="1"/>
        <v>0</v>
      </c>
      <c r="S5487" s="14" t="str">
        <f t="shared" si="2"/>
        <v>57.874247360916,54.712575168681</v>
      </c>
      <c r="T5487" s="12"/>
    </row>
    <row r="5488">
      <c r="A5488" s="136" t="s">
        <v>35235</v>
      </c>
      <c r="B5488" s="137" t="s">
        <v>35236</v>
      </c>
      <c r="C5488" s="137" t="s">
        <v>35237</v>
      </c>
      <c r="D5488" s="137" t="s">
        <v>33342</v>
      </c>
      <c r="E5488" s="138" t="s">
        <v>35238</v>
      </c>
      <c r="F5488" s="136" t="s">
        <v>22263</v>
      </c>
      <c r="G5488" s="136" t="s">
        <v>33344</v>
      </c>
      <c r="H5488" s="136"/>
      <c r="I5488" s="137"/>
      <c r="J5488" s="137" t="s">
        <v>35239</v>
      </c>
      <c r="K5488" s="137" t="s">
        <v>35240</v>
      </c>
      <c r="L5488" s="137"/>
      <c r="M5488" s="153" t="s">
        <v>35241</v>
      </c>
      <c r="N5488" s="12"/>
      <c r="O5488" s="12"/>
      <c r="P5488" s="13">
        <f>IFERROR(__xludf.DUMMYFUNCTION("VALUE(SUBSTITUTE((INDEX(SPLIT(A5488,"",""),1)),""."","","",1))"),57.910316911484)</f>
        <v>57.91031691</v>
      </c>
      <c r="Q5488" s="13">
        <f>IFERROR(__xludf.DUMMYFUNCTION("VALUE(SUBSTITUTE((INDEX(SPLIT(A5488,"",""),2)),""."","","",1))"),59.970340775312)</f>
        <v>59.97034078</v>
      </c>
      <c r="R5488" s="14" t="b">
        <f t="shared" si="1"/>
        <v>0</v>
      </c>
      <c r="S5488" s="14" t="str">
        <f t="shared" si="2"/>
        <v>57.910316911484,59.970340775312</v>
      </c>
      <c r="T5488" s="12"/>
    </row>
    <row r="5489">
      <c r="A5489" s="146" t="s">
        <v>35242</v>
      </c>
      <c r="B5489" s="147" t="s">
        <v>35243</v>
      </c>
      <c r="C5489" s="147" t="s">
        <v>35244</v>
      </c>
      <c r="D5489" s="147" t="s">
        <v>33342</v>
      </c>
      <c r="E5489" s="148" t="s">
        <v>35245</v>
      </c>
      <c r="F5489" s="146" t="s">
        <v>19378</v>
      </c>
      <c r="G5489" s="146" t="s">
        <v>33344</v>
      </c>
      <c r="H5489" s="146"/>
      <c r="I5489" s="147"/>
      <c r="J5489" s="147" t="s">
        <v>35246</v>
      </c>
      <c r="K5489" s="147" t="s">
        <v>35247</v>
      </c>
      <c r="L5489" s="149" t="s">
        <v>35248</v>
      </c>
      <c r="M5489" s="147"/>
      <c r="N5489" s="12"/>
      <c r="O5489" s="12"/>
      <c r="P5489" s="13">
        <f>IFERROR(__xludf.DUMMYFUNCTION("VALUE(SUBSTITUTE((INDEX(SPLIT(A5489,"",""),1)),""."","","",1))"),57.98387146)</f>
        <v>57.98387146</v>
      </c>
      <c r="Q5489" s="13">
        <f>IFERROR(__xludf.DUMMYFUNCTION("VALUE(SUBSTITUTE((INDEX(SPLIT(A5489,"",""),2)),""."","","",1))"),56.264503479)</f>
        <v>56.26450348</v>
      </c>
      <c r="R5489" s="14" t="b">
        <f t="shared" si="1"/>
        <v>0</v>
      </c>
      <c r="S5489" s="14" t="str">
        <f t="shared" si="2"/>
        <v>57.98387146,56.264503479</v>
      </c>
      <c r="T5489" s="12"/>
    </row>
    <row r="5490">
      <c r="A5490" s="142" t="s">
        <v>35249</v>
      </c>
      <c r="B5490" s="143" t="s">
        <v>35250</v>
      </c>
      <c r="C5490" s="143" t="s">
        <v>35251</v>
      </c>
      <c r="D5490" s="143" t="s">
        <v>33342</v>
      </c>
      <c r="E5490" s="144" t="s">
        <v>35252</v>
      </c>
      <c r="F5490" s="142" t="s">
        <v>19378</v>
      </c>
      <c r="G5490" s="142" t="s">
        <v>33344</v>
      </c>
      <c r="H5490" s="142"/>
      <c r="I5490" s="143"/>
      <c r="J5490" s="143" t="s">
        <v>35253</v>
      </c>
      <c r="K5490" s="143" t="s">
        <v>35254</v>
      </c>
      <c r="L5490" s="152" t="s">
        <v>35255</v>
      </c>
      <c r="M5490" s="143"/>
      <c r="N5490" s="12"/>
      <c r="O5490" s="12"/>
      <c r="P5490" s="13">
        <f>IFERROR(__xludf.DUMMYFUNCTION("VALUE(SUBSTITUTE((INDEX(SPLIT(A5490,"",""),1)),""."","","",1))"),57.995483398)</f>
        <v>57.9954834</v>
      </c>
      <c r="Q5490" s="13">
        <f>IFERROR(__xludf.DUMMYFUNCTION("VALUE(SUBSTITUTE((INDEX(SPLIT(A5490,"",""),2)),""."","","",1))"),56.193073273)</f>
        <v>56.19307327</v>
      </c>
      <c r="R5490" s="14" t="b">
        <f t="shared" si="1"/>
        <v>0</v>
      </c>
      <c r="S5490" s="14" t="str">
        <f t="shared" si="2"/>
        <v>57.995483398,56.193073273</v>
      </c>
      <c r="T5490" s="12"/>
    </row>
    <row r="5491">
      <c r="A5491" s="146" t="s">
        <v>35256</v>
      </c>
      <c r="B5491" s="147" t="s">
        <v>35257</v>
      </c>
      <c r="C5491" s="147" t="s">
        <v>35258</v>
      </c>
      <c r="D5491" s="147" t="s">
        <v>33342</v>
      </c>
      <c r="E5491" s="148" t="s">
        <v>35259</v>
      </c>
      <c r="F5491" s="146" t="s">
        <v>19378</v>
      </c>
      <c r="G5491" s="146" t="s">
        <v>33344</v>
      </c>
      <c r="H5491" s="146"/>
      <c r="I5491" s="147"/>
      <c r="J5491" s="147" t="s">
        <v>35260</v>
      </c>
      <c r="K5491" s="147" t="s">
        <v>35261</v>
      </c>
      <c r="L5491" s="150" t="s">
        <v>35262</v>
      </c>
      <c r="M5491" s="147"/>
      <c r="N5491" s="12"/>
      <c r="O5491" s="12"/>
      <c r="P5491" s="13">
        <f>IFERROR(__xludf.DUMMYFUNCTION("VALUE(SUBSTITUTE((INDEX(SPLIT(A5491,"",""),1)),""."","","",1))"),57.99983718805)</f>
        <v>57.99983719</v>
      </c>
      <c r="Q5491" s="13">
        <f>IFERROR(__xludf.DUMMYFUNCTION("VALUE(SUBSTITUTE((INDEX(SPLIT(A5491,"",""),2)),""."","","",1))"),56.156039981244)</f>
        <v>56.15603998</v>
      </c>
      <c r="R5491" s="14" t="b">
        <f t="shared" si="1"/>
        <v>0</v>
      </c>
      <c r="S5491" s="14" t="str">
        <f t="shared" si="2"/>
        <v>57.99983718805,56.156039981244</v>
      </c>
      <c r="T5491" s="12"/>
    </row>
    <row r="5492">
      <c r="A5492" s="142" t="s">
        <v>35263</v>
      </c>
      <c r="B5492" s="143" t="s">
        <v>35264</v>
      </c>
      <c r="C5492" s="143" t="s">
        <v>35265</v>
      </c>
      <c r="D5492" s="143" t="s">
        <v>33342</v>
      </c>
      <c r="E5492" s="144" t="s">
        <v>35266</v>
      </c>
      <c r="F5492" s="142" t="s">
        <v>12763</v>
      </c>
      <c r="G5492" s="142" t="s">
        <v>33344</v>
      </c>
      <c r="H5492" s="142"/>
      <c r="I5492" s="143"/>
      <c r="J5492" s="143" t="s">
        <v>35267</v>
      </c>
      <c r="K5492" s="143" t="s">
        <v>35268</v>
      </c>
      <c r="L5492" s="145" t="s">
        <v>35269</v>
      </c>
      <c r="M5492" s="143"/>
      <c r="N5492" s="12"/>
      <c r="O5492" s="12"/>
      <c r="P5492" s="13">
        <f>IFERROR(__xludf.DUMMYFUNCTION("VALUE(SUBSTITUTE((INDEX(SPLIT(A5492,"",""),1)),""."","","",1))"),58.036190033)</f>
        <v>58.03619003</v>
      </c>
      <c r="Q5492" s="13">
        <f>IFERROR(__xludf.DUMMYFUNCTION("VALUE(SUBSTITUTE((INDEX(SPLIT(A5492,"",""),2)),""."","","",1))"),38.792072296)</f>
        <v>38.7920723</v>
      </c>
      <c r="R5492" s="14" t="b">
        <f t="shared" si="1"/>
        <v>0</v>
      </c>
      <c r="S5492" s="14" t="str">
        <f t="shared" si="2"/>
        <v>58.036190033,38.792072296</v>
      </c>
      <c r="T5492" s="12"/>
    </row>
    <row r="5493">
      <c r="A5493" s="139" t="s">
        <v>35270</v>
      </c>
      <c r="B5493" s="140" t="s">
        <v>35271</v>
      </c>
      <c r="C5493" s="140" t="s">
        <v>35272</v>
      </c>
      <c r="D5493" s="140" t="s">
        <v>33342</v>
      </c>
      <c r="E5493" s="141" t="s">
        <v>35273</v>
      </c>
      <c r="F5493" s="139" t="s">
        <v>12763</v>
      </c>
      <c r="G5493" s="139" t="s">
        <v>33344</v>
      </c>
      <c r="H5493" s="139"/>
      <c r="I5493" s="140"/>
      <c r="J5493" s="140" t="s">
        <v>35274</v>
      </c>
      <c r="K5493" s="140" t="s">
        <v>35275</v>
      </c>
      <c r="L5493" s="140"/>
      <c r="M5493" s="140"/>
      <c r="N5493" s="12"/>
      <c r="O5493" s="12"/>
      <c r="P5493" s="13">
        <f>IFERROR(__xludf.DUMMYFUNCTION("VALUE(SUBSTITUTE((INDEX(SPLIT(A5493,"",""),1)),""."","","",1))"),58.048908234)</f>
        <v>58.04890823</v>
      </c>
      <c r="Q5493" s="13">
        <f>IFERROR(__xludf.DUMMYFUNCTION("VALUE(SUBSTITUTE((INDEX(SPLIT(A5493,"",""),2)),""."","","",1))"),38.856384277)</f>
        <v>38.85638428</v>
      </c>
      <c r="R5493" s="14" t="b">
        <f t="shared" si="1"/>
        <v>0</v>
      </c>
      <c r="S5493" s="14" t="str">
        <f t="shared" si="2"/>
        <v>58.048908234,38.856384277</v>
      </c>
      <c r="T5493" s="12"/>
    </row>
    <row r="5494">
      <c r="A5494" s="136" t="s">
        <v>35276</v>
      </c>
      <c r="B5494" s="137" t="s">
        <v>35277</v>
      </c>
      <c r="C5494" s="137" t="s">
        <v>35278</v>
      </c>
      <c r="D5494" s="137" t="s">
        <v>33342</v>
      </c>
      <c r="E5494" s="138" t="s">
        <v>35279</v>
      </c>
      <c r="F5494" s="136" t="s">
        <v>12763</v>
      </c>
      <c r="G5494" s="136" t="s">
        <v>33344</v>
      </c>
      <c r="H5494" s="136"/>
      <c r="I5494" s="137"/>
      <c r="J5494" s="137" t="s">
        <v>35280</v>
      </c>
      <c r="K5494" s="137" t="s">
        <v>35281</v>
      </c>
      <c r="L5494" s="137"/>
      <c r="M5494" s="137"/>
      <c r="N5494" s="12"/>
      <c r="O5494" s="12"/>
      <c r="P5494" s="13">
        <f>IFERROR(__xludf.DUMMYFUNCTION("VALUE(SUBSTITUTE((INDEX(SPLIT(A5494,"",""),1)),""."","","",1))"),58.065589905)</f>
        <v>58.06558991</v>
      </c>
      <c r="Q5494" s="13">
        <f>IFERROR(__xludf.DUMMYFUNCTION("VALUE(SUBSTITUTE((INDEX(SPLIT(A5494,"",""),2)),""."","","",1))"),38.778049469)</f>
        <v>38.77804947</v>
      </c>
      <c r="R5494" s="14" t="b">
        <f t="shared" si="1"/>
        <v>0</v>
      </c>
      <c r="S5494" s="14" t="str">
        <f t="shared" si="2"/>
        <v>58.065589905,38.778049469</v>
      </c>
      <c r="T5494" s="12"/>
    </row>
    <row r="5495">
      <c r="A5495" s="139" t="s">
        <v>35282</v>
      </c>
      <c r="B5495" s="140" t="s">
        <v>35283</v>
      </c>
      <c r="C5495" s="140" t="s">
        <v>35284</v>
      </c>
      <c r="D5495" s="140" t="s">
        <v>33342</v>
      </c>
      <c r="E5495" s="141" t="s">
        <v>35285</v>
      </c>
      <c r="F5495" s="139" t="s">
        <v>12763</v>
      </c>
      <c r="G5495" s="139" t="s">
        <v>33344</v>
      </c>
      <c r="H5495" s="139"/>
      <c r="I5495" s="140"/>
      <c r="J5495" s="140" t="s">
        <v>35286</v>
      </c>
      <c r="K5495" s="140" t="s">
        <v>35287</v>
      </c>
      <c r="L5495" s="140"/>
      <c r="M5495" s="140"/>
      <c r="N5495" s="12"/>
      <c r="O5495" s="12"/>
      <c r="P5495" s="13">
        <f>IFERROR(__xludf.DUMMYFUNCTION("VALUE(SUBSTITUTE((INDEX(SPLIT(A5495,"",""),1)),""."","","",1))"),58.089675903)</f>
        <v>58.0896759</v>
      </c>
      <c r="Q5495" s="13">
        <f>IFERROR(__xludf.DUMMYFUNCTION("VALUE(SUBSTITUTE((INDEX(SPLIT(A5495,"",""),2)),""."","","",1))"),38.674713135)</f>
        <v>38.67471314</v>
      </c>
      <c r="R5495" s="14" t="b">
        <f t="shared" si="1"/>
        <v>0</v>
      </c>
      <c r="S5495" s="14" t="str">
        <f t="shared" si="2"/>
        <v>58.089675903,38.674713135</v>
      </c>
      <c r="T5495" s="12"/>
    </row>
    <row r="5496">
      <c r="A5496" s="158" t="s">
        <v>35288</v>
      </c>
      <c r="B5496" s="159" t="s">
        <v>35289</v>
      </c>
      <c r="C5496" s="159" t="s">
        <v>35290</v>
      </c>
      <c r="D5496" s="159" t="s">
        <v>33342</v>
      </c>
      <c r="E5496" s="160" t="s">
        <v>35291</v>
      </c>
      <c r="F5496" s="158" t="s">
        <v>22263</v>
      </c>
      <c r="G5496" s="158" t="s">
        <v>33344</v>
      </c>
      <c r="H5496" s="158"/>
      <c r="I5496" s="159"/>
      <c r="J5496" s="159" t="s">
        <v>35292</v>
      </c>
      <c r="K5496" s="159" t="s">
        <v>35293</v>
      </c>
      <c r="L5496" s="159"/>
      <c r="M5496" s="159"/>
      <c r="N5496" s="12"/>
      <c r="O5496" s="12"/>
      <c r="P5496" s="13">
        <f>IFERROR(__xludf.DUMMYFUNCTION("VALUE(SUBSTITUTE((INDEX(SPLIT(A5496,"",""),1)),""."","","",1))"),58.62840271)</f>
        <v>58.62840271</v>
      </c>
      <c r="Q5496" s="13">
        <f>IFERROR(__xludf.DUMMYFUNCTION("VALUE(SUBSTITUTE((INDEX(SPLIT(A5496,"",""),2)),""."","","",1))"),59.8436203)</f>
        <v>59.8436203</v>
      </c>
      <c r="R5496" s="14" t="b">
        <f t="shared" si="1"/>
        <v>0</v>
      </c>
      <c r="S5496" s="14" t="str">
        <f t="shared" si="2"/>
        <v>58.62840271,59.8436203</v>
      </c>
      <c r="T5496" s="12"/>
    </row>
    <row r="5497">
      <c r="A5497" s="139" t="s">
        <v>35294</v>
      </c>
      <c r="B5497" s="140" t="s">
        <v>35295</v>
      </c>
      <c r="C5497" s="161" t="s">
        <v>35296</v>
      </c>
      <c r="D5497" s="140" t="s">
        <v>33342</v>
      </c>
      <c r="E5497" s="162" t="s">
        <v>35297</v>
      </c>
      <c r="F5497" s="139" t="s">
        <v>3162</v>
      </c>
      <c r="G5497" s="139" t="s">
        <v>33344</v>
      </c>
      <c r="H5497" s="139"/>
      <c r="I5497" s="161"/>
      <c r="J5497" s="161" t="s">
        <v>35298</v>
      </c>
      <c r="K5497" s="161" t="s">
        <v>35299</v>
      </c>
      <c r="L5497" s="140"/>
      <c r="M5497" s="163"/>
      <c r="N5497" s="12"/>
      <c r="O5497" s="12"/>
      <c r="P5497" s="13">
        <f>IFERROR(__xludf.DUMMYFUNCTION("VALUE(SUBSTITUTE((INDEX(SPLIT(A5497,"",""),1)),""."","","",1))"),59.114009857)</f>
        <v>59.11400986</v>
      </c>
      <c r="Q5497" s="13">
        <f>IFERROR(__xludf.DUMMYFUNCTION("VALUE(SUBSTITUTE((INDEX(SPLIT(A5497,"",""),2)),""."","","",1))"),28.074857712)</f>
        <v>28.07485771</v>
      </c>
      <c r="R5497" s="14" t="b">
        <f t="shared" si="1"/>
        <v>0</v>
      </c>
      <c r="S5497" s="14" t="str">
        <f t="shared" si="2"/>
        <v>59.114009857,28.074857712</v>
      </c>
      <c r="T5497" s="12"/>
    </row>
    <row r="5498">
      <c r="A5498" s="136" t="s">
        <v>35300</v>
      </c>
      <c r="B5498" s="137" t="s">
        <v>35301</v>
      </c>
      <c r="C5498" s="164" t="s">
        <v>35301</v>
      </c>
      <c r="D5498" s="137" t="s">
        <v>33342</v>
      </c>
      <c r="E5498" s="165" t="s">
        <v>35302</v>
      </c>
      <c r="F5498" s="136" t="s">
        <v>11562</v>
      </c>
      <c r="G5498" s="136" t="s">
        <v>33344</v>
      </c>
      <c r="H5498" s="136"/>
      <c r="I5498" s="164"/>
      <c r="J5498" s="166" t="s">
        <v>29154</v>
      </c>
      <c r="K5498" s="166" t="s">
        <v>35303</v>
      </c>
      <c r="L5498" s="137"/>
      <c r="M5498" s="167" t="s">
        <v>35304</v>
      </c>
      <c r="N5498" s="12"/>
      <c r="O5498" s="12"/>
      <c r="P5498" s="13">
        <f>IFERROR(__xludf.DUMMYFUNCTION("VALUE(SUBSTITUTE((INDEX(SPLIT(A5498,"",""),1)),""."","","",1))"),59.120376587)</f>
        <v>59.12037659</v>
      </c>
      <c r="Q5498" s="13">
        <f>IFERROR(__xludf.DUMMYFUNCTION("VALUE(SUBSTITUTE((INDEX(SPLIT(A5498,"",""),2)),""."","","",1))"),37.867645264)</f>
        <v>37.86764526</v>
      </c>
      <c r="R5498" s="14" t="b">
        <f t="shared" si="1"/>
        <v>0</v>
      </c>
      <c r="S5498" s="14" t="str">
        <f t="shared" si="2"/>
        <v>59.120376587,37.867645264</v>
      </c>
      <c r="T5498" s="12"/>
    </row>
    <row r="5499">
      <c r="A5499" s="146" t="s">
        <v>35305</v>
      </c>
      <c r="B5499" s="147" t="s">
        <v>15191</v>
      </c>
      <c r="C5499" s="168" t="s">
        <v>35306</v>
      </c>
      <c r="D5499" s="147" t="s">
        <v>33342</v>
      </c>
      <c r="E5499" s="169" t="s">
        <v>35307</v>
      </c>
      <c r="F5499" s="146" t="s">
        <v>11562</v>
      </c>
      <c r="G5499" s="146" t="s">
        <v>33344</v>
      </c>
      <c r="H5499" s="146"/>
      <c r="I5499" s="168"/>
      <c r="J5499" s="168" t="s">
        <v>35308</v>
      </c>
      <c r="K5499" s="168" t="s">
        <v>35309</v>
      </c>
      <c r="L5499" s="150" t="s">
        <v>35310</v>
      </c>
      <c r="M5499" s="170"/>
      <c r="N5499" s="12"/>
      <c r="O5499" s="12"/>
      <c r="P5499" s="13">
        <f>IFERROR(__xludf.DUMMYFUNCTION("VALUE(SUBSTITUTE((INDEX(SPLIT(A5499,"",""),1)),""."","","",1))"),59.200489044)</f>
        <v>59.20048904</v>
      </c>
      <c r="Q5499" s="13">
        <f>IFERROR(__xludf.DUMMYFUNCTION("VALUE(SUBSTITUTE((INDEX(SPLIT(A5499,"",""),2)),""."","","",1))"),39.839328766)</f>
        <v>39.83932877</v>
      </c>
      <c r="R5499" s="14" t="b">
        <f t="shared" si="1"/>
        <v>0</v>
      </c>
      <c r="S5499" s="14" t="str">
        <f t="shared" si="2"/>
        <v>59.200489044,39.839328766</v>
      </c>
      <c r="T5499" s="12"/>
    </row>
    <row r="5500">
      <c r="A5500" s="142" t="s">
        <v>35311</v>
      </c>
      <c r="B5500" s="143" t="s">
        <v>35312</v>
      </c>
      <c r="C5500" s="171" t="s">
        <v>35313</v>
      </c>
      <c r="D5500" s="143" t="s">
        <v>33342</v>
      </c>
      <c r="E5500" s="172" t="s">
        <v>35314</v>
      </c>
      <c r="F5500" s="142" t="s">
        <v>11562</v>
      </c>
      <c r="G5500" s="142" t="s">
        <v>33344</v>
      </c>
      <c r="H5500" s="142"/>
      <c r="I5500" s="171"/>
      <c r="J5500" s="173" t="s">
        <v>35315</v>
      </c>
      <c r="K5500" s="173" t="s">
        <v>35316</v>
      </c>
      <c r="L5500" s="145" t="s">
        <v>35317</v>
      </c>
      <c r="M5500" s="174"/>
      <c r="N5500" s="12"/>
      <c r="O5500" s="12"/>
      <c r="P5500" s="13">
        <f>IFERROR(__xludf.DUMMYFUNCTION("VALUE(SUBSTITUTE((INDEX(SPLIT(A5500,"",""),1)),""."","","",1))"),59.215209961)</f>
        <v>59.21520996</v>
      </c>
      <c r="Q5500" s="13">
        <f>IFERROR(__xludf.DUMMYFUNCTION("VALUE(SUBSTITUTE((INDEX(SPLIT(A5500,"",""),2)),""."","","",1))"),39.818080902)</f>
        <v>39.8180809</v>
      </c>
      <c r="R5500" s="14" t="b">
        <f t="shared" si="1"/>
        <v>0</v>
      </c>
      <c r="S5500" s="14" t="str">
        <f t="shared" si="2"/>
        <v>59.215209961,39.818080902</v>
      </c>
      <c r="T5500" s="12"/>
    </row>
    <row r="5501">
      <c r="A5501" s="146" t="s">
        <v>35318</v>
      </c>
      <c r="B5501" s="147" t="s">
        <v>3880</v>
      </c>
      <c r="C5501" s="168" t="s">
        <v>35319</v>
      </c>
      <c r="D5501" s="147" t="s">
        <v>33342</v>
      </c>
      <c r="E5501" s="169" t="s">
        <v>35320</v>
      </c>
      <c r="F5501" s="146" t="s">
        <v>22263</v>
      </c>
      <c r="G5501" s="146" t="s">
        <v>33344</v>
      </c>
      <c r="H5501" s="146"/>
      <c r="I5501" s="168"/>
      <c r="J5501" s="168" t="s">
        <v>35321</v>
      </c>
      <c r="K5501" s="168" t="s">
        <v>35322</v>
      </c>
      <c r="L5501" s="149" t="s">
        <v>35323</v>
      </c>
      <c r="M5501" s="168"/>
      <c r="N5501" s="12"/>
      <c r="O5501" s="12"/>
      <c r="P5501" s="13">
        <f>IFERROR(__xludf.DUMMYFUNCTION("VALUE(SUBSTITUTE((INDEX(SPLIT(A5501,"",""),1)),""."","","",1))"),59.373717132036)</f>
        <v>59.37371713</v>
      </c>
      <c r="Q5501" s="13">
        <f>IFERROR(__xludf.DUMMYFUNCTION("VALUE(SUBSTITUTE((INDEX(SPLIT(A5501,"",""),2)),""."","","",1))"),61.054772504093)</f>
        <v>61.0547725</v>
      </c>
      <c r="R5501" s="14" t="b">
        <f t="shared" si="1"/>
        <v>0</v>
      </c>
      <c r="S5501" s="14" t="str">
        <f t="shared" si="2"/>
        <v>59.373717132036,61.054772504093</v>
      </c>
      <c r="T5501" s="12"/>
    </row>
    <row r="5502">
      <c r="A5502" s="136" t="s">
        <v>35324</v>
      </c>
      <c r="B5502" s="137" t="s">
        <v>5489</v>
      </c>
      <c r="C5502" s="175" t="s">
        <v>35325</v>
      </c>
      <c r="D5502" s="137" t="s">
        <v>33342</v>
      </c>
      <c r="E5502" s="176" t="s">
        <v>35326</v>
      </c>
      <c r="F5502" s="136" t="s">
        <v>3162</v>
      </c>
      <c r="G5502" s="136" t="s">
        <v>33344</v>
      </c>
      <c r="H5502" s="136"/>
      <c r="I5502" s="177" t="s">
        <v>35327</v>
      </c>
      <c r="J5502" s="166" t="s">
        <v>35328</v>
      </c>
      <c r="K5502" s="178" t="s">
        <v>35329</v>
      </c>
      <c r="L5502" s="137"/>
      <c r="M5502" s="175"/>
      <c r="N5502" s="12"/>
      <c r="O5502" s="12"/>
      <c r="P5502" s="13">
        <f>IFERROR(__xludf.DUMMYFUNCTION("VALUE(SUBSTITUTE((INDEX(SPLIT(A5502,"",""),1)),""."","","",1))"),59.38831260865)</f>
        <v>59.38831261</v>
      </c>
      <c r="Q5502" s="13">
        <f>IFERROR(__xludf.DUMMYFUNCTION("VALUE(SUBSTITUTE((INDEX(SPLIT(A5502,"",""),2)),""."","","",1))"),29.312674537912)</f>
        <v>29.31267454</v>
      </c>
      <c r="R5502" s="14" t="b">
        <f t="shared" si="1"/>
        <v>0</v>
      </c>
      <c r="S5502" s="14" t="str">
        <f t="shared" si="2"/>
        <v>59.38831260865,29.312674537912</v>
      </c>
      <c r="T5502" s="12"/>
    </row>
    <row r="5503">
      <c r="A5503" s="146" t="s">
        <v>35330</v>
      </c>
      <c r="B5503" s="147" t="s">
        <v>35331</v>
      </c>
      <c r="C5503" s="179" t="s">
        <v>35332</v>
      </c>
      <c r="D5503" s="147" t="s">
        <v>33342</v>
      </c>
      <c r="E5503" s="180" t="s">
        <v>35333</v>
      </c>
      <c r="F5503" s="146" t="s">
        <v>19378</v>
      </c>
      <c r="G5503" s="146" t="s">
        <v>33344</v>
      </c>
      <c r="H5503" s="146"/>
      <c r="I5503" s="179"/>
      <c r="J5503" s="179" t="s">
        <v>35334</v>
      </c>
      <c r="K5503" s="179" t="s">
        <v>35335</v>
      </c>
      <c r="L5503" s="150" t="s">
        <v>35336</v>
      </c>
      <c r="M5503" s="179"/>
      <c r="N5503" s="12"/>
      <c r="O5503" s="12"/>
      <c r="P5503" s="13">
        <f>IFERROR(__xludf.DUMMYFUNCTION("VALUE(SUBSTITUTE((INDEX(SPLIT(A5503,"",""),1)),""."","","",1))"),59.398868561)</f>
        <v>59.39886856</v>
      </c>
      <c r="Q5503" s="13">
        <f>IFERROR(__xludf.DUMMYFUNCTION("VALUE(SUBSTITUTE((INDEX(SPLIT(A5503,"",""),2)),""."","","",1))"),56.78232193)</f>
        <v>56.78232193</v>
      </c>
      <c r="R5503" s="14" t="b">
        <f t="shared" si="1"/>
        <v>0</v>
      </c>
      <c r="S5503" s="14" t="str">
        <f t="shared" si="2"/>
        <v>59.398868561,56.78232193</v>
      </c>
      <c r="T5503" s="12"/>
    </row>
    <row r="5504">
      <c r="A5504" s="136" t="s">
        <v>35337</v>
      </c>
      <c r="B5504" s="137" t="s">
        <v>35338</v>
      </c>
      <c r="C5504" s="181" t="s">
        <v>35339</v>
      </c>
      <c r="D5504" s="137" t="s">
        <v>33342</v>
      </c>
      <c r="E5504" s="182" t="s">
        <v>35340</v>
      </c>
      <c r="F5504" s="136" t="s">
        <v>3162</v>
      </c>
      <c r="G5504" s="136" t="s">
        <v>33344</v>
      </c>
      <c r="H5504" s="136"/>
      <c r="I5504" s="181"/>
      <c r="J5504" s="183" t="s">
        <v>35341</v>
      </c>
      <c r="K5504" s="183" t="s">
        <v>35342</v>
      </c>
      <c r="L5504" s="137"/>
      <c r="M5504" s="181"/>
      <c r="N5504" s="12"/>
      <c r="O5504" s="12"/>
      <c r="P5504" s="13">
        <f>IFERROR(__xludf.DUMMYFUNCTION("VALUE(SUBSTITUTE((INDEX(SPLIT(A5504,"",""),1)),""."","","",1))"),59.47042747376)</f>
        <v>59.47042747</v>
      </c>
      <c r="Q5504" s="13">
        <f>IFERROR(__xludf.DUMMYFUNCTION("VALUE(SUBSTITUTE((INDEX(SPLIT(A5504,"",""),2)),""."","","",1))"),31.990701654922)</f>
        <v>31.99070165</v>
      </c>
      <c r="R5504" s="14" t="b">
        <f t="shared" si="1"/>
        <v>0</v>
      </c>
      <c r="S5504" s="14" t="str">
        <f t="shared" si="2"/>
        <v>59.47042747376,31.990701654922</v>
      </c>
      <c r="T5504" s="12"/>
    </row>
    <row r="5505">
      <c r="A5505" s="146" t="s">
        <v>35343</v>
      </c>
      <c r="B5505" s="147" t="s">
        <v>89</v>
      </c>
      <c r="C5505" s="168" t="s">
        <v>33571</v>
      </c>
      <c r="D5505" s="147" t="s">
        <v>33342</v>
      </c>
      <c r="E5505" s="169" t="s">
        <v>35344</v>
      </c>
      <c r="F5505" s="146" t="s">
        <v>3162</v>
      </c>
      <c r="G5505" s="146" t="s">
        <v>33344</v>
      </c>
      <c r="H5505" s="146"/>
      <c r="I5505" s="168"/>
      <c r="J5505" s="168" t="s">
        <v>35345</v>
      </c>
      <c r="K5505" s="168" t="s">
        <v>35346</v>
      </c>
      <c r="L5505" s="149" t="s">
        <v>35347</v>
      </c>
      <c r="M5505" s="168"/>
      <c r="N5505" s="12"/>
      <c r="O5505" s="12"/>
      <c r="P5505" s="13">
        <f>IFERROR(__xludf.DUMMYFUNCTION("VALUE(SUBSTITUTE((INDEX(SPLIT(A5505,"",""),1)),""."","","",1))"),59.514419556)</f>
        <v>59.51441956</v>
      </c>
      <c r="Q5505" s="13">
        <f>IFERROR(__xludf.DUMMYFUNCTION("VALUE(SUBSTITUTE((INDEX(SPLIT(A5505,"",""),2)),""."","","",1))"),34.199615479)</f>
        <v>34.19961548</v>
      </c>
      <c r="R5505" s="14" t="b">
        <f t="shared" si="1"/>
        <v>0</v>
      </c>
      <c r="S5505" s="14" t="str">
        <f t="shared" si="2"/>
        <v>59.514419556,34.199615479</v>
      </c>
      <c r="T5505" s="12"/>
    </row>
    <row r="5506">
      <c r="A5506" s="142" t="s">
        <v>35348</v>
      </c>
      <c r="B5506" s="143" t="s">
        <v>35349</v>
      </c>
      <c r="C5506" s="171" t="s">
        <v>35350</v>
      </c>
      <c r="D5506" s="143" t="s">
        <v>33342</v>
      </c>
      <c r="E5506" s="172" t="s">
        <v>35351</v>
      </c>
      <c r="F5506" s="142" t="s">
        <v>29276</v>
      </c>
      <c r="G5506" s="142" t="s">
        <v>33344</v>
      </c>
      <c r="H5506" s="142"/>
      <c r="I5506" s="171"/>
      <c r="J5506" s="173" t="s">
        <v>35352</v>
      </c>
      <c r="K5506" s="173" t="s">
        <v>29312</v>
      </c>
      <c r="L5506" s="145" t="s">
        <v>35353</v>
      </c>
      <c r="M5506" s="174"/>
      <c r="N5506" s="12"/>
      <c r="O5506" s="12"/>
      <c r="P5506" s="13">
        <f>IFERROR(__xludf.DUMMYFUNCTION("VALUE(SUBSTITUTE((INDEX(SPLIT(A5506,"",""),1)),""."","","",1))"),59.562721252)</f>
        <v>59.56272125</v>
      </c>
      <c r="Q5506" s="13">
        <f>IFERROR(__xludf.DUMMYFUNCTION("VALUE(SUBSTITUTE((INDEX(SPLIT(A5506,"",""),2)),""."","","",1))"),150.82220459)</f>
        <v>150.8222046</v>
      </c>
      <c r="R5506" s="14" t="b">
        <f t="shared" si="1"/>
        <v>0</v>
      </c>
      <c r="S5506" s="14" t="str">
        <f t="shared" si="2"/>
        <v>59.562721252,150.82220459</v>
      </c>
      <c r="T5506" s="12"/>
    </row>
    <row r="5507">
      <c r="A5507" s="146" t="s">
        <v>35354</v>
      </c>
      <c r="B5507" s="147" t="s">
        <v>35355</v>
      </c>
      <c r="C5507" s="168" t="s">
        <v>35356</v>
      </c>
      <c r="D5507" s="147" t="s">
        <v>33342</v>
      </c>
      <c r="E5507" s="169" t="s">
        <v>35357</v>
      </c>
      <c r="F5507" s="146" t="s">
        <v>22263</v>
      </c>
      <c r="G5507" s="146" t="s">
        <v>33344</v>
      </c>
      <c r="H5507" s="146"/>
      <c r="I5507" s="168"/>
      <c r="J5507" s="168" t="s">
        <v>35358</v>
      </c>
      <c r="K5507" s="168" t="s">
        <v>35359</v>
      </c>
      <c r="L5507" s="149" t="s">
        <v>35360</v>
      </c>
      <c r="M5507" s="168"/>
      <c r="N5507" s="12"/>
      <c r="O5507" s="12"/>
      <c r="P5507" s="13">
        <f>IFERROR(__xludf.DUMMYFUNCTION("VALUE(SUBSTITUTE((INDEX(SPLIT(A5507,"",""),1)),""."","","",1))"),59.605248508865)</f>
        <v>59.60524851</v>
      </c>
      <c r="Q5507" s="13">
        <f>IFERROR(__xludf.DUMMYFUNCTION("VALUE(SUBSTITUTE((INDEX(SPLIT(A5507,"",""),2)),""."","","",1))"),60.567689710197)</f>
        <v>60.56768971</v>
      </c>
      <c r="R5507" s="14" t="b">
        <f t="shared" si="1"/>
        <v>0</v>
      </c>
      <c r="S5507" s="14" t="str">
        <f t="shared" si="2"/>
        <v>59.605248508865,60.567689710197</v>
      </c>
      <c r="T5507" s="12"/>
    </row>
    <row r="5508">
      <c r="A5508" s="142" t="s">
        <v>35361</v>
      </c>
      <c r="B5508" s="143" t="s">
        <v>35362</v>
      </c>
      <c r="C5508" s="171" t="s">
        <v>35363</v>
      </c>
      <c r="D5508" s="143" t="s">
        <v>33342</v>
      </c>
      <c r="E5508" s="172" t="s">
        <v>35364</v>
      </c>
      <c r="F5508" s="142" t="s">
        <v>3162</v>
      </c>
      <c r="G5508" s="142" t="s">
        <v>33344</v>
      </c>
      <c r="H5508" s="142"/>
      <c r="I5508" s="171"/>
      <c r="J5508" s="173" t="s">
        <v>35365</v>
      </c>
      <c r="K5508" s="173" t="s">
        <v>35366</v>
      </c>
      <c r="L5508" s="145" t="s">
        <v>35367</v>
      </c>
      <c r="M5508" s="171"/>
      <c r="N5508" s="12"/>
      <c r="O5508" s="12"/>
      <c r="P5508" s="13">
        <f>IFERROR(__xludf.DUMMYFUNCTION("VALUE(SUBSTITUTE((INDEX(SPLIT(A5508,"",""),1)),""."","","",1))"),59.702354431)</f>
        <v>59.70235443</v>
      </c>
      <c r="Q5508" s="13">
        <f>IFERROR(__xludf.DUMMYFUNCTION("VALUE(SUBSTITUTE((INDEX(SPLIT(A5508,"",""),2)),""."","","",1))"),30.785186768)</f>
        <v>30.78518677</v>
      </c>
      <c r="R5508" s="14" t="b">
        <f t="shared" si="1"/>
        <v>0</v>
      </c>
      <c r="S5508" s="14" t="str">
        <f t="shared" si="2"/>
        <v>59.702354431,30.785186768</v>
      </c>
      <c r="T5508" s="12"/>
    </row>
    <row r="5509">
      <c r="A5509" s="146" t="s">
        <v>35368</v>
      </c>
      <c r="B5509" s="147" t="s">
        <v>35369</v>
      </c>
      <c r="C5509" s="168" t="s">
        <v>35370</v>
      </c>
      <c r="D5509" s="147" t="s">
        <v>33342</v>
      </c>
      <c r="E5509" s="169" t="s">
        <v>35371</v>
      </c>
      <c r="F5509" s="146" t="s">
        <v>3169</v>
      </c>
      <c r="G5509" s="146" t="s">
        <v>33344</v>
      </c>
      <c r="H5509" s="146"/>
      <c r="I5509" s="168"/>
      <c r="J5509" s="168" t="s">
        <v>35372</v>
      </c>
      <c r="K5509" s="168" t="s">
        <v>35373</v>
      </c>
      <c r="L5509" s="150" t="s">
        <v>35374</v>
      </c>
      <c r="M5509" s="168"/>
      <c r="N5509" s="12"/>
      <c r="O5509" s="12"/>
      <c r="P5509" s="13">
        <f>IFERROR(__xludf.DUMMYFUNCTION("VALUE(SUBSTITUTE((INDEX(SPLIT(A5509,"",""),1)),""."","","",1))"),59.862892151)</f>
        <v>59.86289215</v>
      </c>
      <c r="Q5509" s="13">
        <f>IFERROR(__xludf.DUMMYFUNCTION("VALUE(SUBSTITUTE((INDEX(SPLIT(A5509,"",""),2)),""."","","",1))"),30.325151443)</f>
        <v>30.32515144</v>
      </c>
      <c r="R5509" s="14" t="b">
        <f t="shared" si="1"/>
        <v>0</v>
      </c>
      <c r="S5509" s="14" t="str">
        <f t="shared" si="2"/>
        <v>59.862892151,30.325151443</v>
      </c>
      <c r="T5509" s="12"/>
    </row>
    <row r="5510">
      <c r="A5510" s="142" t="s">
        <v>35375</v>
      </c>
      <c r="B5510" s="143" t="s">
        <v>35376</v>
      </c>
      <c r="C5510" s="171" t="s">
        <v>35377</v>
      </c>
      <c r="D5510" s="143" t="s">
        <v>33342</v>
      </c>
      <c r="E5510" s="172" t="s">
        <v>35378</v>
      </c>
      <c r="F5510" s="142" t="s">
        <v>3162</v>
      </c>
      <c r="G5510" s="142" t="s">
        <v>33344</v>
      </c>
      <c r="H5510" s="142"/>
      <c r="I5510" s="171"/>
      <c r="J5510" s="173" t="s">
        <v>35379</v>
      </c>
      <c r="K5510" s="173" t="s">
        <v>35380</v>
      </c>
      <c r="L5510" s="145" t="s">
        <v>35381</v>
      </c>
      <c r="M5510" s="184" t="s">
        <v>35382</v>
      </c>
      <c r="N5510" s="12"/>
      <c r="O5510" s="12"/>
      <c r="P5510" s="13">
        <f>IFERROR(__xludf.DUMMYFUNCTION("VALUE(SUBSTITUTE((INDEX(SPLIT(A5510,"",""),1)),""."","","",1))"),59.86732337152)</f>
        <v>59.86732337</v>
      </c>
      <c r="Q5510" s="13">
        <f>IFERROR(__xludf.DUMMYFUNCTION("VALUE(SUBSTITUTE((INDEX(SPLIT(A5510,"",""),2)),""."","","",1))"),29.076646514738)</f>
        <v>29.07664651</v>
      </c>
      <c r="R5510" s="14" t="b">
        <f t="shared" si="1"/>
        <v>0</v>
      </c>
      <c r="S5510" s="14" t="str">
        <f t="shared" si="2"/>
        <v>59.86732337152,29.076646514738</v>
      </c>
      <c r="T5510" s="12"/>
    </row>
    <row r="5511">
      <c r="A5511" s="146" t="s">
        <v>35383</v>
      </c>
      <c r="B5511" s="147" t="s">
        <v>35384</v>
      </c>
      <c r="C5511" s="168" t="s">
        <v>35385</v>
      </c>
      <c r="D5511" s="147" t="s">
        <v>33342</v>
      </c>
      <c r="E5511" s="169" t="s">
        <v>35386</v>
      </c>
      <c r="F5511" s="146" t="s">
        <v>3169</v>
      </c>
      <c r="G5511" s="146" t="s">
        <v>33344</v>
      </c>
      <c r="H5511" s="146"/>
      <c r="I5511" s="168"/>
      <c r="J5511" s="168" t="s">
        <v>35387</v>
      </c>
      <c r="K5511" s="168" t="s">
        <v>35388</v>
      </c>
      <c r="L5511" s="150" t="s">
        <v>35389</v>
      </c>
      <c r="M5511" s="168"/>
      <c r="N5511" s="12"/>
      <c r="O5511" s="12"/>
      <c r="P5511" s="13">
        <f>IFERROR(__xludf.DUMMYFUNCTION("VALUE(SUBSTITUTE((INDEX(SPLIT(A5511,"",""),1)),""."","","",1))"),59.903171539)</f>
        <v>59.90317154</v>
      </c>
      <c r="Q5511" s="13">
        <f>IFERROR(__xludf.DUMMYFUNCTION("VALUE(SUBSTITUTE((INDEX(SPLIT(A5511,"",""),2)),""."","","",1))"),30.288022995)</f>
        <v>30.288023</v>
      </c>
      <c r="R5511" s="14" t="b">
        <f t="shared" si="1"/>
        <v>0</v>
      </c>
      <c r="S5511" s="14" t="str">
        <f t="shared" si="2"/>
        <v>59.903171539,30.288022995</v>
      </c>
      <c r="T5511" s="12"/>
    </row>
    <row r="5512">
      <c r="A5512" s="142" t="s">
        <v>35390</v>
      </c>
      <c r="B5512" s="143" t="s">
        <v>35391</v>
      </c>
      <c r="C5512" s="171" t="s">
        <v>35392</v>
      </c>
      <c r="D5512" s="143" t="s">
        <v>33342</v>
      </c>
      <c r="E5512" s="172" t="s">
        <v>35393</v>
      </c>
      <c r="F5512" s="142" t="s">
        <v>58</v>
      </c>
      <c r="G5512" s="142" t="s">
        <v>33344</v>
      </c>
      <c r="H5512" s="142"/>
      <c r="I5512" s="171"/>
      <c r="J5512" s="173" t="s">
        <v>35394</v>
      </c>
      <c r="K5512" s="173" t="s">
        <v>35395</v>
      </c>
      <c r="L5512" s="152" t="s">
        <v>35396</v>
      </c>
      <c r="M5512" s="174"/>
      <c r="N5512" s="12"/>
      <c r="O5512" s="12"/>
      <c r="P5512" s="13">
        <f>IFERROR(__xludf.DUMMYFUNCTION("VALUE(SUBSTITUTE((INDEX(SPLIT(A5512,"",""),1)),""."","","",1))"),59.944587708)</f>
        <v>59.94458771</v>
      </c>
      <c r="Q5512" s="13">
        <f>IFERROR(__xludf.DUMMYFUNCTION("VALUE(SUBSTITUTE((INDEX(SPLIT(A5512,"",""),2)),""."","","",1))"),30.426961899)</f>
        <v>30.4269619</v>
      </c>
      <c r="R5512" s="14" t="b">
        <f t="shared" si="1"/>
        <v>0</v>
      </c>
      <c r="S5512" s="14" t="str">
        <f t="shared" si="2"/>
        <v>59.944587708,30.426961899</v>
      </c>
      <c r="T5512" s="12"/>
    </row>
    <row r="5513">
      <c r="A5513" s="146" t="s">
        <v>35397</v>
      </c>
      <c r="B5513" s="147" t="s">
        <v>35398</v>
      </c>
      <c r="C5513" s="168" t="s">
        <v>35399</v>
      </c>
      <c r="D5513" s="147" t="s">
        <v>33342</v>
      </c>
      <c r="E5513" s="185" t="s">
        <v>35400</v>
      </c>
      <c r="F5513" s="146" t="s">
        <v>3169</v>
      </c>
      <c r="G5513" s="146" t="s">
        <v>33344</v>
      </c>
      <c r="H5513" s="146"/>
      <c r="I5513" s="186"/>
      <c r="J5513" s="186" t="s">
        <v>35401</v>
      </c>
      <c r="K5513" s="186" t="s">
        <v>35373</v>
      </c>
      <c r="L5513" s="150" t="s">
        <v>35402</v>
      </c>
      <c r="M5513" s="186"/>
      <c r="N5513" s="12"/>
      <c r="O5513" s="12"/>
      <c r="P5513" s="13">
        <f>IFERROR(__xludf.DUMMYFUNCTION("VALUE(SUBSTITUTE((INDEX(SPLIT(A5513,"",""),1)),""."","","",1))"),59.993198395)</f>
        <v>59.9931984</v>
      </c>
      <c r="Q5513" s="13">
        <f>IFERROR(__xludf.DUMMYFUNCTION("VALUE(SUBSTITUTE((INDEX(SPLIT(A5513,"",""),2)),""."","","",1))"),30.403139114)</f>
        <v>30.40313911</v>
      </c>
      <c r="R5513" s="14" t="b">
        <f t="shared" si="1"/>
        <v>0</v>
      </c>
      <c r="S5513" s="14" t="str">
        <f t="shared" si="2"/>
        <v>59.993198395,30.403139114</v>
      </c>
      <c r="T5513" s="12"/>
    </row>
    <row r="5514">
      <c r="A5514" s="142" t="s">
        <v>35403</v>
      </c>
      <c r="B5514" s="187" t="s">
        <v>35404</v>
      </c>
      <c r="C5514" s="187" t="s">
        <v>35404</v>
      </c>
      <c r="D5514" s="143" t="s">
        <v>33342</v>
      </c>
      <c r="E5514" s="188" t="s">
        <v>35405</v>
      </c>
      <c r="F5514" s="142" t="s">
        <v>3169</v>
      </c>
      <c r="G5514" s="142" t="s">
        <v>33344</v>
      </c>
      <c r="H5514" s="142"/>
      <c r="I5514" s="187"/>
      <c r="J5514" s="189" t="s">
        <v>35406</v>
      </c>
      <c r="K5514" s="187" t="s">
        <v>35407</v>
      </c>
      <c r="L5514" s="145" t="s">
        <v>35408</v>
      </c>
      <c r="M5514" s="190" t="s">
        <v>35409</v>
      </c>
      <c r="N5514" s="12"/>
      <c r="O5514" s="12"/>
      <c r="P5514" s="13">
        <f>IFERROR(__xludf.DUMMYFUNCTION("VALUE(SUBSTITUTE((INDEX(SPLIT(A5514,"",""),1)),""."","","",1))"),60.032493591)</f>
        <v>60.03249359</v>
      </c>
      <c r="Q5514" s="13">
        <f>IFERROR(__xludf.DUMMYFUNCTION("VALUE(SUBSTITUTE((INDEX(SPLIT(A5514,"",""),2)),""."","","",1))"),30.254951477)</f>
        <v>30.25495148</v>
      </c>
      <c r="R5514" s="14" t="b">
        <f t="shared" si="1"/>
        <v>0</v>
      </c>
      <c r="S5514" s="14" t="str">
        <f t="shared" si="2"/>
        <v>60.032493591,30.254951477</v>
      </c>
      <c r="T5514" s="12"/>
    </row>
    <row r="5515">
      <c r="A5515" s="139" t="s">
        <v>35410</v>
      </c>
      <c r="B5515" s="161" t="s">
        <v>35411</v>
      </c>
      <c r="C5515" s="161" t="s">
        <v>35412</v>
      </c>
      <c r="D5515" s="140" t="s">
        <v>33342</v>
      </c>
      <c r="E5515" s="162" t="s">
        <v>35413</v>
      </c>
      <c r="F5515" s="139" t="s">
        <v>22263</v>
      </c>
      <c r="G5515" s="139" t="s">
        <v>33344</v>
      </c>
      <c r="H5515" s="139"/>
      <c r="I5515" s="161"/>
      <c r="J5515" s="161" t="s">
        <v>35414</v>
      </c>
      <c r="K5515" s="161" t="s">
        <v>35415</v>
      </c>
      <c r="L5515" s="140"/>
      <c r="M5515" s="163"/>
      <c r="N5515" s="12"/>
      <c r="O5515" s="12"/>
      <c r="P5515" s="13">
        <f>IFERROR(__xludf.DUMMYFUNCTION("VALUE(SUBSTITUTE((INDEX(SPLIT(A5515,"",""),1)),""."","","",1))"),60.151409149)</f>
        <v>60.15140915</v>
      </c>
      <c r="Q5515" s="13">
        <f>IFERROR(__xludf.DUMMYFUNCTION("VALUE(SUBSTITUTE((INDEX(SPLIT(A5515,"",""),2)),""."","","",1))"),59.953262329)</f>
        <v>59.95326233</v>
      </c>
      <c r="R5515" s="14" t="b">
        <f t="shared" si="1"/>
        <v>0</v>
      </c>
      <c r="S5515" s="14" t="str">
        <f t="shared" si="2"/>
        <v>60.151409149,59.953262329</v>
      </c>
      <c r="T5515" s="12"/>
    </row>
    <row r="5516">
      <c r="A5516" s="136" t="s">
        <v>35416</v>
      </c>
      <c r="B5516" s="181" t="s">
        <v>35417</v>
      </c>
      <c r="C5516" s="181" t="s">
        <v>35418</v>
      </c>
      <c r="D5516" s="137" t="s">
        <v>33342</v>
      </c>
      <c r="E5516" s="176" t="s">
        <v>35419</v>
      </c>
      <c r="F5516" s="136" t="s">
        <v>3162</v>
      </c>
      <c r="G5516" s="136" t="s">
        <v>33344</v>
      </c>
      <c r="H5516" s="136"/>
      <c r="I5516" s="175"/>
      <c r="J5516" s="166" t="s">
        <v>35420</v>
      </c>
      <c r="K5516" s="181" t="s">
        <v>35421</v>
      </c>
      <c r="L5516" s="137"/>
      <c r="M5516" s="175"/>
      <c r="N5516" s="12"/>
      <c r="O5516" s="12"/>
      <c r="P5516" s="13">
        <f>IFERROR(__xludf.DUMMYFUNCTION("VALUE(SUBSTITUTE((INDEX(SPLIT(A5516,"",""),1)),""."","","",1))"),60.704341888)</f>
        <v>60.70434189</v>
      </c>
      <c r="Q5516" s="13">
        <f>IFERROR(__xludf.DUMMYFUNCTION("VALUE(SUBSTITUTE((INDEX(SPLIT(A5516,"",""),2)),""."","","",1))"),28.771150589)</f>
        <v>28.77115059</v>
      </c>
      <c r="R5516" s="14" t="b">
        <f t="shared" si="1"/>
        <v>0</v>
      </c>
      <c r="S5516" s="14" t="str">
        <f t="shared" si="2"/>
        <v>60.704341888,28.771150589</v>
      </c>
      <c r="T5516" s="12"/>
    </row>
    <row r="5517">
      <c r="A5517" s="139" t="s">
        <v>35422</v>
      </c>
      <c r="B5517" s="161" t="s">
        <v>763</v>
      </c>
      <c r="C5517" s="161" t="s">
        <v>35423</v>
      </c>
      <c r="D5517" s="140" t="s">
        <v>33342</v>
      </c>
      <c r="E5517" s="191" t="s">
        <v>35424</v>
      </c>
      <c r="F5517" s="139" t="s">
        <v>3162</v>
      </c>
      <c r="G5517" s="139" t="s">
        <v>33344</v>
      </c>
      <c r="H5517" s="139"/>
      <c r="I5517" s="192"/>
      <c r="J5517" s="161" t="s">
        <v>35425</v>
      </c>
      <c r="K5517" s="161" t="s">
        <v>35426</v>
      </c>
      <c r="L5517" s="140"/>
      <c r="M5517" s="192"/>
      <c r="N5517" s="12"/>
      <c r="O5517" s="12"/>
      <c r="P5517" s="13">
        <f>IFERROR(__xludf.DUMMYFUNCTION("VALUE(SUBSTITUTE((INDEX(SPLIT(A5517,"",""),1)),""."","","",1))"),60.712173462)</f>
        <v>60.71217346</v>
      </c>
      <c r="Q5517" s="13">
        <f>IFERROR(__xludf.DUMMYFUNCTION("VALUE(SUBSTITUTE((INDEX(SPLIT(A5517,"",""),2)),""."","","",1))"),28.736286163)</f>
        <v>28.73628616</v>
      </c>
      <c r="R5517" s="14" t="b">
        <f t="shared" si="1"/>
        <v>0</v>
      </c>
      <c r="S5517" s="14" t="str">
        <f t="shared" si="2"/>
        <v>60.712173462,28.736286163</v>
      </c>
      <c r="T5517" s="12"/>
    </row>
    <row r="5518">
      <c r="A5518" s="136" t="s">
        <v>35427</v>
      </c>
      <c r="B5518" s="181" t="s">
        <v>35428</v>
      </c>
      <c r="C5518" s="181" t="s">
        <v>35429</v>
      </c>
      <c r="D5518" s="137" t="s">
        <v>33342</v>
      </c>
      <c r="E5518" s="182" t="s">
        <v>35430</v>
      </c>
      <c r="F5518" s="136" t="s">
        <v>11562</v>
      </c>
      <c r="G5518" s="136" t="s">
        <v>33344</v>
      </c>
      <c r="H5518" s="136"/>
      <c r="I5518" s="164"/>
      <c r="J5518" s="166" t="s">
        <v>35431</v>
      </c>
      <c r="K5518" s="181" t="s">
        <v>35432</v>
      </c>
      <c r="L5518" s="137"/>
      <c r="M5518" s="193"/>
      <c r="N5518" s="12"/>
      <c r="O5518" s="12"/>
      <c r="P5518" s="13">
        <f>IFERROR(__xludf.DUMMYFUNCTION("VALUE(SUBSTITUTE((INDEX(SPLIT(A5518,"",""),1)),""."","","",1))"),60.782779694)</f>
        <v>60.78277969</v>
      </c>
      <c r="Q5518" s="13">
        <f>IFERROR(__xludf.DUMMYFUNCTION("VALUE(SUBSTITUTE((INDEX(SPLIT(A5518,"",""),2)),""."","","",1))"),46.315719604)</f>
        <v>46.3157196</v>
      </c>
      <c r="R5518" s="14" t="b">
        <f t="shared" si="1"/>
        <v>0</v>
      </c>
      <c r="S5518" s="14" t="str">
        <f t="shared" si="2"/>
        <v>60.782779694,46.315719604</v>
      </c>
      <c r="T5518" s="12"/>
    </row>
    <row r="5519">
      <c r="A5519" s="139" t="s">
        <v>35433</v>
      </c>
      <c r="B5519" s="161" t="s">
        <v>35434</v>
      </c>
      <c r="C5519" s="161" t="s">
        <v>35435</v>
      </c>
      <c r="D5519" s="140" t="s">
        <v>33342</v>
      </c>
      <c r="E5519" s="162" t="s">
        <v>35436</v>
      </c>
      <c r="F5519" s="139" t="s">
        <v>10045</v>
      </c>
      <c r="G5519" s="139" t="s">
        <v>33344</v>
      </c>
      <c r="H5519" s="139"/>
      <c r="I5519" s="161"/>
      <c r="J5519" s="161" t="s">
        <v>35437</v>
      </c>
      <c r="K5519" s="161" t="s">
        <v>35438</v>
      </c>
      <c r="L5519" s="140"/>
      <c r="M5519" s="163"/>
      <c r="N5519" s="12"/>
      <c r="O5519" s="12"/>
      <c r="P5519" s="13">
        <f>IFERROR(__xludf.DUMMYFUNCTION("VALUE(SUBSTITUTE((INDEX(SPLIT(A5519,"",""),1)),""."","","",1))"),61.261463165)</f>
        <v>61.26146317</v>
      </c>
      <c r="Q5519" s="13">
        <f>IFERROR(__xludf.DUMMYFUNCTION("VALUE(SUBSTITUTE((INDEX(SPLIT(A5519,"",""),2)),""."","","",1))"),73.387496948)</f>
        <v>73.38749695</v>
      </c>
      <c r="R5519" s="14" t="b">
        <f t="shared" si="1"/>
        <v>0</v>
      </c>
      <c r="S5519" s="14" t="str">
        <f t="shared" si="2"/>
        <v>61.261463165,73.387496948</v>
      </c>
      <c r="T5519" s="12"/>
    </row>
    <row r="5520">
      <c r="A5520" s="136" t="s">
        <v>35439</v>
      </c>
      <c r="B5520" s="181" t="s">
        <v>35440</v>
      </c>
      <c r="C5520" s="181" t="s">
        <v>35441</v>
      </c>
      <c r="D5520" s="137" t="s">
        <v>33342</v>
      </c>
      <c r="E5520" s="165" t="s">
        <v>35442</v>
      </c>
      <c r="F5520" s="136" t="s">
        <v>3340</v>
      </c>
      <c r="G5520" s="136" t="s">
        <v>33344</v>
      </c>
      <c r="H5520" s="136"/>
      <c r="I5520" s="164"/>
      <c r="J5520" s="166" t="s">
        <v>35443</v>
      </c>
      <c r="K5520" s="181" t="s">
        <v>35444</v>
      </c>
      <c r="L5520" s="137"/>
      <c r="M5520" s="193"/>
      <c r="N5520" s="12"/>
      <c r="O5520" s="12"/>
      <c r="P5520" s="13">
        <f>IFERROR(__xludf.DUMMYFUNCTION("VALUE(SUBSTITUTE((INDEX(SPLIT(A5520,"",""),1)),""."","","",1))"),61.807014465)</f>
        <v>61.80701447</v>
      </c>
      <c r="Q5520" s="13">
        <f>IFERROR(__xludf.DUMMYFUNCTION("VALUE(SUBSTITUTE((INDEX(SPLIT(A5520,"",""),2)),""."","","",1))"),34.316848755)</f>
        <v>34.31684876</v>
      </c>
      <c r="R5520" s="14" t="b">
        <f t="shared" si="1"/>
        <v>0</v>
      </c>
      <c r="S5520" s="14" t="str">
        <f t="shared" si="2"/>
        <v>61.807014465,34.316848755</v>
      </c>
      <c r="T5520" s="12"/>
    </row>
    <row r="5521">
      <c r="A5521" s="146" t="s">
        <v>35445</v>
      </c>
      <c r="B5521" s="168" t="s">
        <v>35446</v>
      </c>
      <c r="C5521" s="168" t="s">
        <v>35447</v>
      </c>
      <c r="D5521" s="147" t="s">
        <v>33342</v>
      </c>
      <c r="E5521" s="169" t="s">
        <v>35448</v>
      </c>
      <c r="F5521" s="146" t="s">
        <v>911</v>
      </c>
      <c r="G5521" s="146" t="s">
        <v>33344</v>
      </c>
      <c r="H5521" s="146"/>
      <c r="I5521" s="168"/>
      <c r="J5521" s="168" t="s">
        <v>35449</v>
      </c>
      <c r="K5521" s="168" t="s">
        <v>35450</v>
      </c>
      <c r="L5521" s="149" t="s">
        <v>35451</v>
      </c>
      <c r="M5521" s="194" t="s">
        <v>35452</v>
      </c>
      <c r="N5521" s="12"/>
      <c r="O5521" s="12"/>
      <c r="P5521" s="13">
        <f>IFERROR(__xludf.DUMMYFUNCTION("VALUE(SUBSTITUTE((INDEX(SPLIT(A5521,"",""),1)),""."","","",1))"),61.995521545)</f>
        <v>61.99552155</v>
      </c>
      <c r="Q5521" s="13">
        <f>IFERROR(__xludf.DUMMYFUNCTION("VALUE(SUBSTITUTE((INDEX(SPLIT(A5521,"",""),2)),""."","","",1))"),129.69329834)</f>
        <v>129.6932983</v>
      </c>
      <c r="R5521" s="14" t="b">
        <f t="shared" si="1"/>
        <v>0</v>
      </c>
      <c r="S5521" s="14" t="str">
        <f t="shared" si="2"/>
        <v>61.995521545,129.69329834</v>
      </c>
      <c r="T5521" s="12"/>
    </row>
    <row r="5522">
      <c r="A5522" s="142" t="s">
        <v>35453</v>
      </c>
      <c r="B5522" s="187" t="s">
        <v>35454</v>
      </c>
      <c r="C5522" s="187" t="s">
        <v>35455</v>
      </c>
      <c r="D5522" s="143" t="s">
        <v>33342</v>
      </c>
      <c r="E5522" s="172" t="s">
        <v>35456</v>
      </c>
      <c r="F5522" s="142" t="s">
        <v>10045</v>
      </c>
      <c r="G5522" s="142" t="s">
        <v>33344</v>
      </c>
      <c r="H5522" s="142"/>
      <c r="I5522" s="187"/>
      <c r="J5522" s="173" t="s">
        <v>35457</v>
      </c>
      <c r="K5522" s="187" t="s">
        <v>35458</v>
      </c>
      <c r="L5522" s="145" t="s">
        <v>35459</v>
      </c>
      <c r="M5522" s="195"/>
      <c r="N5522" s="12"/>
      <c r="O5522" s="12"/>
      <c r="P5522" s="13">
        <f>IFERROR(__xludf.DUMMYFUNCTION("VALUE(SUBSTITUTE((INDEX(SPLIT(A5522,"",""),1)),""."","","",1))"),62.144931793)</f>
        <v>62.14493179</v>
      </c>
      <c r="Q5522" s="13">
        <f>IFERROR(__xludf.DUMMYFUNCTION("VALUE(SUBSTITUTE((INDEX(SPLIT(A5522,"",""),2)),""."","","",1))"),65.393562317)</f>
        <v>65.39356232</v>
      </c>
      <c r="R5522" s="14" t="b">
        <f t="shared" si="1"/>
        <v>0</v>
      </c>
      <c r="S5522" s="14" t="str">
        <f t="shared" si="2"/>
        <v>62.144931793,65.393562317</v>
      </c>
      <c r="T5522" s="12"/>
    </row>
    <row r="5523">
      <c r="A5523" s="139" t="s">
        <v>35460</v>
      </c>
      <c r="B5523" s="161" t="s">
        <v>35461</v>
      </c>
      <c r="C5523" s="161" t="s">
        <v>35462</v>
      </c>
      <c r="D5523" s="140" t="s">
        <v>33342</v>
      </c>
      <c r="E5523" s="162" t="s">
        <v>35463</v>
      </c>
      <c r="F5523" s="139" t="s">
        <v>4881</v>
      </c>
      <c r="G5523" s="139" t="s">
        <v>33344</v>
      </c>
      <c r="H5523" s="139"/>
      <c r="I5523" s="161"/>
      <c r="J5523" s="161" t="s">
        <v>35464</v>
      </c>
      <c r="K5523" s="161" t="s">
        <v>35465</v>
      </c>
      <c r="L5523" s="140"/>
      <c r="M5523" s="163"/>
      <c r="N5523" s="12"/>
      <c r="O5523" s="12"/>
      <c r="P5523" s="13">
        <f>IFERROR(__xludf.DUMMYFUNCTION("VALUE(SUBSTITUTE((INDEX(SPLIT(A5523,"",""),1)),""."","","",1))"),63.181968689)</f>
        <v>63.18196869</v>
      </c>
      <c r="Q5523" s="13">
        <f>IFERROR(__xludf.DUMMYFUNCTION("VALUE(SUBSTITUTE((INDEX(SPLIT(A5523,"",""),2)),""."","","",1))"),75.274642944)</f>
        <v>75.27464294</v>
      </c>
      <c r="R5523" s="14" t="b">
        <f t="shared" si="1"/>
        <v>0</v>
      </c>
      <c r="S5523" s="14" t="str">
        <f t="shared" si="2"/>
        <v>63.181968689,75.274642944</v>
      </c>
      <c r="T5523" s="12"/>
    </row>
    <row r="5524">
      <c r="A5524" s="142" t="s">
        <v>31349</v>
      </c>
      <c r="B5524" s="187" t="s">
        <v>35466</v>
      </c>
      <c r="C5524" s="187" t="s">
        <v>35467</v>
      </c>
      <c r="D5524" s="143" t="s">
        <v>33342</v>
      </c>
      <c r="E5524" s="172" t="s">
        <v>35468</v>
      </c>
      <c r="F5524" s="142" t="s">
        <v>14706</v>
      </c>
      <c r="G5524" s="142" t="s">
        <v>33344</v>
      </c>
      <c r="H5524" s="142"/>
      <c r="I5524" s="187"/>
      <c r="J5524" s="173" t="s">
        <v>31353</v>
      </c>
      <c r="K5524" s="187" t="s">
        <v>35469</v>
      </c>
      <c r="L5524" s="145" t="s">
        <v>31355</v>
      </c>
      <c r="M5524" s="190" t="s">
        <v>31356</v>
      </c>
      <c r="N5524" s="12"/>
      <c r="O5524" s="12"/>
      <c r="P5524" s="13">
        <f>IFERROR(__xludf.DUMMYFUNCTION("VALUE(SUBSTITUTE((INDEX(SPLIT(A5524,"",""),1)),""."","","",1))"),64.427604675)</f>
        <v>64.42760468</v>
      </c>
      <c r="Q5524" s="13">
        <f>IFERROR(__xludf.DUMMYFUNCTION("VALUE(SUBSTITUTE((INDEX(SPLIT(A5524,"",""),2)),""."","","",1))"),40.810173035)</f>
        <v>40.81017304</v>
      </c>
      <c r="R5524" s="14" t="b">
        <f t="shared" si="1"/>
        <v>0</v>
      </c>
      <c r="S5524" s="14" t="str">
        <f t="shared" si="2"/>
        <v>64.427604675,40.810173035</v>
      </c>
      <c r="T5524" s="12"/>
    </row>
    <row r="5525">
      <c r="A5525" s="139" t="s">
        <v>35470</v>
      </c>
      <c r="B5525" s="161" t="s">
        <v>35471</v>
      </c>
      <c r="C5525" s="161" t="s">
        <v>35472</v>
      </c>
      <c r="D5525" s="140" t="s">
        <v>33342</v>
      </c>
      <c r="E5525" s="162" t="s">
        <v>35473</v>
      </c>
      <c r="F5525" s="139" t="s">
        <v>23108</v>
      </c>
      <c r="G5525" s="139" t="s">
        <v>33344</v>
      </c>
      <c r="H5525" s="139"/>
      <c r="I5525" s="161"/>
      <c r="J5525" s="161" t="s">
        <v>35474</v>
      </c>
      <c r="K5525" s="161" t="s">
        <v>35475</v>
      </c>
      <c r="L5525" s="140"/>
      <c r="M5525" s="196" t="s">
        <v>35476</v>
      </c>
      <c r="N5525" s="12"/>
      <c r="O5525" s="12"/>
      <c r="P5525" s="13">
        <f>IFERROR(__xludf.DUMMYFUNCTION("VALUE(SUBSTITUTE((INDEX(SPLIT(A5525,"",""),1)),""."","","",1))"),67.490081787)</f>
        <v>67.49008179</v>
      </c>
      <c r="Q5525" s="13">
        <f>IFERROR(__xludf.DUMMYFUNCTION("VALUE(SUBSTITUTE((INDEX(SPLIT(A5525,"",""),2)),""."","","",1))"),64.034164429)</f>
        <v>64.03416443</v>
      </c>
      <c r="R5525" s="14" t="b">
        <f t="shared" si="1"/>
        <v>0</v>
      </c>
      <c r="S5525" s="14" t="str">
        <f t="shared" si="2"/>
        <v>67.490081787,64.034164429</v>
      </c>
      <c r="T5525" s="12"/>
    </row>
    <row r="5526">
      <c r="A5526" s="142" t="s">
        <v>35477</v>
      </c>
      <c r="B5526" s="187" t="s">
        <v>35478</v>
      </c>
      <c r="C5526" s="187" t="s">
        <v>35479</v>
      </c>
      <c r="D5526" s="143" t="s">
        <v>33342</v>
      </c>
      <c r="E5526" s="172" t="s">
        <v>35480</v>
      </c>
      <c r="F5526" s="142" t="s">
        <v>5334</v>
      </c>
      <c r="G5526" s="142" t="s">
        <v>33344</v>
      </c>
      <c r="H5526" s="142"/>
      <c r="I5526" s="187"/>
      <c r="J5526" s="173" t="s">
        <v>35481</v>
      </c>
      <c r="K5526" s="187" t="s">
        <v>35482</v>
      </c>
      <c r="L5526" s="145" t="s">
        <v>35483</v>
      </c>
      <c r="M5526" s="174"/>
      <c r="N5526" s="12"/>
      <c r="O5526" s="12"/>
      <c r="P5526" s="13">
        <f>IFERROR(__xludf.DUMMYFUNCTION("VALUE(SUBSTITUTE((INDEX(SPLIT(A5526,"",""),1)),""."","","",1))"),67.572372437)</f>
        <v>67.57237244</v>
      </c>
      <c r="Q5526" s="13">
        <f>IFERROR(__xludf.DUMMYFUNCTION("VALUE(SUBSTITUTE((INDEX(SPLIT(A5526,"",""),2)),""."","","",1))"),33.392105103)</f>
        <v>33.3921051</v>
      </c>
      <c r="R5526" s="14" t="b">
        <f t="shared" si="1"/>
        <v>0</v>
      </c>
      <c r="S5526" s="14" t="str">
        <f t="shared" si="2"/>
        <v>67.572372437,33.392105103</v>
      </c>
      <c r="T5526" s="12"/>
    </row>
    <row r="5527">
      <c r="A5527" s="139" t="s">
        <v>35484</v>
      </c>
      <c r="B5527" s="161" t="s">
        <v>8367</v>
      </c>
      <c r="C5527" s="161" t="s">
        <v>35183</v>
      </c>
      <c r="D5527" s="140" t="s">
        <v>33342</v>
      </c>
      <c r="E5527" s="162" t="s">
        <v>35485</v>
      </c>
      <c r="F5527" s="139" t="s">
        <v>8566</v>
      </c>
      <c r="G5527" s="139" t="s">
        <v>33344</v>
      </c>
      <c r="H5527" s="139"/>
      <c r="I5527" s="161"/>
      <c r="J5527" s="161" t="s">
        <v>35486</v>
      </c>
      <c r="K5527" s="161" t="s">
        <v>35487</v>
      </c>
      <c r="L5527" s="140"/>
      <c r="M5527" s="163"/>
      <c r="N5527" s="12"/>
      <c r="O5527" s="12"/>
      <c r="P5527" s="13">
        <f>IFERROR(__xludf.DUMMYFUNCTION("VALUE(SUBSTITUTE((INDEX(SPLIT(A5527,"",""),1)),""."","","",1))"),43.634629)</f>
        <v>43.634629</v>
      </c>
      <c r="Q5527" s="13">
        <f>IFERROR(__xludf.DUMMYFUNCTION("VALUE(SUBSTITUTE((INDEX(SPLIT(A5527,"",""),2)),""."","","",1))"),39.709201)</f>
        <v>39.709201</v>
      </c>
      <c r="R5527" s="14" t="b">
        <f t="shared" si="1"/>
        <v>0</v>
      </c>
      <c r="S5527" s="14" t="str">
        <f t="shared" si="2"/>
        <v>43.634629,39.709201</v>
      </c>
      <c r="T5527" s="12"/>
    </row>
    <row r="5528">
      <c r="A5528" s="136" t="s">
        <v>35488</v>
      </c>
      <c r="B5528" s="181" t="s">
        <v>16933</v>
      </c>
      <c r="C5528" s="181" t="s">
        <v>35489</v>
      </c>
      <c r="D5528" s="137" t="s">
        <v>33342</v>
      </c>
      <c r="E5528" s="165" t="s">
        <v>35490</v>
      </c>
      <c r="F5528" s="136" t="s">
        <v>28210</v>
      </c>
      <c r="G5528" s="136" t="s">
        <v>33344</v>
      </c>
      <c r="H5528" s="136"/>
      <c r="I5528" s="181"/>
      <c r="J5528" s="166" t="s">
        <v>35491</v>
      </c>
      <c r="K5528" s="181" t="s">
        <v>35492</v>
      </c>
      <c r="L5528" s="137"/>
      <c r="M5528" s="197"/>
      <c r="N5528" s="12"/>
      <c r="O5528" s="12"/>
      <c r="P5528" s="13">
        <f>IFERROR(__xludf.DUMMYFUNCTION("VALUE(SUBSTITUTE((INDEX(SPLIT(A5528,"",""),1)),""."","","",1))"),56.602239)</f>
        <v>56.602239</v>
      </c>
      <c r="Q5528" s="13">
        <f>IFERROR(__xludf.DUMMYFUNCTION("VALUE(SUBSTITUTE((INDEX(SPLIT(A5528,"",""),2)),""."","","",1))"),85.114583)</f>
        <v>85.114583</v>
      </c>
      <c r="R5528" s="14" t="b">
        <f t="shared" si="1"/>
        <v>0</v>
      </c>
      <c r="S5528" s="14" t="str">
        <f t="shared" si="2"/>
        <v>56.602239,85.114583</v>
      </c>
      <c r="T5528" s="12"/>
    </row>
    <row r="5529">
      <c r="A5529" s="139" t="s">
        <v>35493</v>
      </c>
      <c r="B5529" s="161" t="s">
        <v>89</v>
      </c>
      <c r="C5529" s="161" t="s">
        <v>33571</v>
      </c>
      <c r="D5529" s="140" t="s">
        <v>33342</v>
      </c>
      <c r="E5529" s="162" t="s">
        <v>35494</v>
      </c>
      <c r="F5529" s="139" t="s">
        <v>4263</v>
      </c>
      <c r="G5529" s="139" t="s">
        <v>33344</v>
      </c>
      <c r="H5529" s="139"/>
      <c r="I5529" s="161"/>
      <c r="J5529" s="161" t="s">
        <v>35495</v>
      </c>
      <c r="K5529" s="161" t="s">
        <v>35496</v>
      </c>
      <c r="L5529" s="140"/>
      <c r="M5529" s="196" t="s">
        <v>35497</v>
      </c>
      <c r="N5529" s="12"/>
      <c r="O5529" s="12"/>
      <c r="P5529" s="13">
        <f>IFERROR(__xludf.DUMMYFUNCTION("VALUE(SUBSTITUTE((INDEX(SPLIT(A5529,"",""),1)),""."","","",1))"),44.981636)</f>
        <v>44.981636</v>
      </c>
      <c r="Q5529" s="13">
        <f>IFERROR(__xludf.DUMMYFUNCTION("VALUE(SUBSTITUTE((INDEX(SPLIT(A5529,"",""),2)),""."","","",1))"),38.95158)</f>
        <v>38.95158</v>
      </c>
      <c r="R5529" s="14" t="b">
        <f t="shared" si="1"/>
        <v>0</v>
      </c>
      <c r="S5529" s="14" t="str">
        <f t="shared" si="2"/>
        <v>44.981636,38.95158</v>
      </c>
      <c r="T5529" s="12"/>
    </row>
    <row r="5530">
      <c r="A5530" s="136" t="s">
        <v>35498</v>
      </c>
      <c r="B5530" s="181" t="s">
        <v>35499</v>
      </c>
      <c r="C5530" s="181" t="s">
        <v>35500</v>
      </c>
      <c r="D5530" s="137" t="s">
        <v>33342</v>
      </c>
      <c r="E5530" s="165" t="s">
        <v>35501</v>
      </c>
      <c r="F5530" s="136" t="s">
        <v>4263</v>
      </c>
      <c r="G5530" s="136" t="s">
        <v>33344</v>
      </c>
      <c r="H5530" s="136"/>
      <c r="I5530" s="164"/>
      <c r="J5530" s="166" t="s">
        <v>35502</v>
      </c>
      <c r="K5530" s="181" t="s">
        <v>35503</v>
      </c>
      <c r="L5530" s="137"/>
      <c r="M5530" s="197"/>
      <c r="N5530" s="12"/>
      <c r="O5530" s="12"/>
      <c r="P5530" s="13">
        <f>IFERROR(__xludf.DUMMYFUNCTION("VALUE(SUBSTITUTE((INDEX(SPLIT(A5530,"",""),1)),""."","","",1))"),44.598263)</f>
        <v>44.598263</v>
      </c>
      <c r="Q5530" s="13">
        <f>IFERROR(__xludf.DUMMYFUNCTION("VALUE(SUBSTITUTE((INDEX(SPLIT(A5530,"",""),2)),""."","","",1))"),40.129585)</f>
        <v>40.129585</v>
      </c>
      <c r="R5530" s="14" t="b">
        <f t="shared" si="1"/>
        <v>0</v>
      </c>
      <c r="S5530" s="14" t="str">
        <f t="shared" si="2"/>
        <v>44.598263,40.129585</v>
      </c>
      <c r="T5530" s="12"/>
    </row>
    <row r="5531">
      <c r="A5531" s="139" t="s">
        <v>35504</v>
      </c>
      <c r="B5531" s="161" t="s">
        <v>35505</v>
      </c>
      <c r="C5531" s="161" t="s">
        <v>35506</v>
      </c>
      <c r="D5531" s="140" t="s">
        <v>33342</v>
      </c>
      <c r="E5531" s="191" t="s">
        <v>35507</v>
      </c>
      <c r="F5531" s="139" t="s">
        <v>4263</v>
      </c>
      <c r="G5531" s="139" t="s">
        <v>33344</v>
      </c>
      <c r="H5531" s="139"/>
      <c r="I5531" s="198"/>
      <c r="J5531" s="161" t="s">
        <v>35508</v>
      </c>
      <c r="K5531" s="161" t="s">
        <v>35509</v>
      </c>
      <c r="L5531" s="140"/>
      <c r="M5531" s="198"/>
      <c r="N5531" s="12"/>
      <c r="O5531" s="12"/>
      <c r="P5531" s="13">
        <f>IFERROR(__xludf.DUMMYFUNCTION("VALUE(SUBSTITUTE((INDEX(SPLIT(A5531,"",""),1)),""."","","",1))"),44.621358)</f>
        <v>44.621358</v>
      </c>
      <c r="Q5531" s="13">
        <f>IFERROR(__xludf.DUMMYFUNCTION("VALUE(SUBSTITUTE((INDEX(SPLIT(A5531,"",""),2)),""."","","",1))"),40.131696)</f>
        <v>40.131696</v>
      </c>
      <c r="R5531" s="14" t="b">
        <f t="shared" si="1"/>
        <v>0</v>
      </c>
      <c r="S5531" s="14" t="str">
        <f t="shared" si="2"/>
        <v>44.621358,40.131696</v>
      </c>
      <c r="T5531" s="12"/>
    </row>
    <row r="5532">
      <c r="A5532" s="136" t="s">
        <v>35510</v>
      </c>
      <c r="B5532" s="181" t="s">
        <v>19144</v>
      </c>
      <c r="C5532" s="181" t="s">
        <v>11323</v>
      </c>
      <c r="D5532" s="137" t="s">
        <v>33342</v>
      </c>
      <c r="E5532" s="182" t="s">
        <v>35511</v>
      </c>
      <c r="F5532" s="136" t="s">
        <v>4263</v>
      </c>
      <c r="G5532" s="136" t="s">
        <v>33344</v>
      </c>
      <c r="H5532" s="136"/>
      <c r="I5532" s="181"/>
      <c r="J5532" s="166" t="s">
        <v>35512</v>
      </c>
      <c r="K5532" s="181" t="s">
        <v>35513</v>
      </c>
      <c r="L5532" s="137"/>
      <c r="M5532" s="197"/>
      <c r="N5532" s="12"/>
      <c r="O5532" s="12"/>
      <c r="P5532" s="13">
        <f>IFERROR(__xludf.DUMMYFUNCTION("VALUE(SUBSTITUTE((INDEX(SPLIT(A5532,"",""),1)),""."","","",1))"),54.788159)</f>
        <v>54.788159</v>
      </c>
      <c r="Q5532" s="13">
        <f>IFERROR(__xludf.DUMMYFUNCTION("VALUE(SUBSTITUTE((INDEX(SPLIT(A5532,"",""),2)),""."","","",1))"),20.623082)</f>
        <v>20.623082</v>
      </c>
      <c r="R5532" s="14" t="b">
        <f t="shared" si="1"/>
        <v>0</v>
      </c>
      <c r="S5532" s="14" t="str">
        <f t="shared" si="2"/>
        <v>54.788159,20.623082</v>
      </c>
      <c r="T5532" s="12"/>
    </row>
    <row r="5533">
      <c r="A5533" s="199" t="s">
        <v>35514</v>
      </c>
      <c r="B5533" s="161" t="s">
        <v>743</v>
      </c>
      <c r="C5533" s="161" t="s">
        <v>35515</v>
      </c>
      <c r="D5533" s="200" t="s">
        <v>33342</v>
      </c>
      <c r="E5533" s="162" t="s">
        <v>35516</v>
      </c>
      <c r="F5533" s="199" t="s">
        <v>4263</v>
      </c>
      <c r="G5533" s="139" t="s">
        <v>33344</v>
      </c>
      <c r="H5533" s="199"/>
      <c r="I5533" s="161"/>
      <c r="J5533" s="161" t="s">
        <v>35517</v>
      </c>
      <c r="K5533" s="161" t="s">
        <v>35509</v>
      </c>
      <c r="L5533" s="200"/>
      <c r="M5533" s="196" t="s">
        <v>35518</v>
      </c>
      <c r="N5533" s="12"/>
      <c r="O5533" s="12"/>
      <c r="P5533" s="13">
        <f>IFERROR(__xludf.DUMMYFUNCTION("VALUE(SUBSTITUTE((INDEX(SPLIT(A5533,"",""),1)),""."","","",1))"),44.62583)</f>
        <v>44.62583</v>
      </c>
      <c r="Q5533" s="13">
        <f>IFERROR(__xludf.DUMMYFUNCTION("VALUE(SUBSTITUTE((INDEX(SPLIT(A5533,"",""),2)),""."","","",1))"),40.074644)</f>
        <v>40.074644</v>
      </c>
      <c r="R5533" s="14" t="b">
        <f t="shared" si="1"/>
        <v>0</v>
      </c>
      <c r="S5533" s="14" t="str">
        <f t="shared" si="2"/>
        <v>44.62583,40.074644</v>
      </c>
      <c r="T5533" s="12"/>
    </row>
    <row r="5534">
      <c r="A5534" s="201" t="s">
        <v>35519</v>
      </c>
      <c r="B5534" s="143" t="s">
        <v>35520</v>
      </c>
      <c r="C5534" s="143" t="s">
        <v>35521</v>
      </c>
      <c r="D5534" s="143" t="s">
        <v>33342</v>
      </c>
      <c r="E5534" s="144" t="s">
        <v>35522</v>
      </c>
      <c r="F5534" s="142" t="s">
        <v>4263</v>
      </c>
      <c r="G5534" s="142" t="s">
        <v>33344</v>
      </c>
      <c r="H5534" s="142"/>
      <c r="I5534" s="143"/>
      <c r="J5534" s="143" t="s">
        <v>35523</v>
      </c>
      <c r="K5534" s="143" t="s">
        <v>35524</v>
      </c>
      <c r="L5534" s="145" t="s">
        <v>35525</v>
      </c>
      <c r="M5534" s="145" t="s">
        <v>35526</v>
      </c>
      <c r="N5534" s="12"/>
      <c r="O5534" s="12"/>
      <c r="P5534" s="13">
        <f>IFERROR(__xludf.DUMMYFUNCTION("VALUE(SUBSTITUTE((INDEX(SPLIT(A5534,"",""),1)),""."","","",1))"),44.997891)</f>
        <v>44.997891</v>
      </c>
      <c r="Q5534" s="13">
        <f>IFERROR(__xludf.DUMMYFUNCTION("VALUE(SUBSTITUTE((INDEX(SPLIT(A5534,"",""),2)),""."","","",1))"),38.93665)</f>
        <v>38.93665</v>
      </c>
      <c r="R5534" s="14" t="b">
        <f t="shared" si="1"/>
        <v>0</v>
      </c>
      <c r="S5534" s="14" t="str">
        <f t="shared" si="2"/>
        <v>44.997891,38.93665</v>
      </c>
      <c r="T5534" s="12"/>
    </row>
    <row r="5535">
      <c r="A5535" s="199" t="s">
        <v>35527</v>
      </c>
      <c r="B5535" s="140" t="s">
        <v>35528</v>
      </c>
      <c r="C5535" s="140" t="s">
        <v>35529</v>
      </c>
      <c r="D5535" s="140" t="s">
        <v>33342</v>
      </c>
      <c r="E5535" s="141" t="s">
        <v>35530</v>
      </c>
      <c r="F5535" s="139" t="s">
        <v>4263</v>
      </c>
      <c r="G5535" s="139" t="s">
        <v>33344</v>
      </c>
      <c r="H5535" s="139"/>
      <c r="I5535" s="140"/>
      <c r="J5535" s="140" t="s">
        <v>35531</v>
      </c>
      <c r="K5535" s="140" t="s">
        <v>35532</v>
      </c>
      <c r="L5535" s="140"/>
      <c r="M5535" s="140"/>
      <c r="N5535" s="12"/>
      <c r="O5535" s="12"/>
      <c r="P5535" s="13">
        <f>IFERROR(__xludf.DUMMYFUNCTION("VALUE(SUBSTITUTE((INDEX(SPLIT(A5535,"",""),1)),""."","","",1))"),44.921489)</f>
        <v>44.921489</v>
      </c>
      <c r="Q5535" s="13">
        <f>IFERROR(__xludf.DUMMYFUNCTION("VALUE(SUBSTITUTE((INDEX(SPLIT(A5535,"",""),2)),""."","","",1))"),38.906269)</f>
        <v>38.906269</v>
      </c>
      <c r="R5535" s="14" t="b">
        <f t="shared" si="1"/>
        <v>0</v>
      </c>
      <c r="S5535" s="14" t="str">
        <f t="shared" si="2"/>
        <v>44.921489,38.906269</v>
      </c>
      <c r="T5535" s="12"/>
    </row>
    <row r="5536">
      <c r="A5536" s="158" t="s">
        <v>35533</v>
      </c>
      <c r="B5536" s="137" t="s">
        <v>35534</v>
      </c>
      <c r="C5536" s="137" t="s">
        <v>35535</v>
      </c>
      <c r="D5536" s="137" t="s">
        <v>33342</v>
      </c>
      <c r="E5536" s="138" t="s">
        <v>35536</v>
      </c>
      <c r="F5536" s="136" t="s">
        <v>4263</v>
      </c>
      <c r="G5536" s="136" t="s">
        <v>33344</v>
      </c>
      <c r="H5536" s="136"/>
      <c r="I5536" s="137"/>
      <c r="J5536" s="137" t="s">
        <v>35537</v>
      </c>
      <c r="K5536" s="137" t="s">
        <v>35538</v>
      </c>
      <c r="L5536" s="137"/>
      <c r="M5536" s="137"/>
      <c r="N5536" s="12"/>
      <c r="O5536" s="12"/>
      <c r="P5536" s="13">
        <f>IFERROR(__xludf.DUMMYFUNCTION("VALUE(SUBSTITUTE((INDEX(SPLIT(A5536,"",""),1)),""."","","",1))"),44.989592)</f>
        <v>44.989592</v>
      </c>
      <c r="Q5536" s="13">
        <f>IFERROR(__xludf.DUMMYFUNCTION("VALUE(SUBSTITUTE((INDEX(SPLIT(A5536,"",""),2)),""."","","",1))"),38.95537)</f>
        <v>38.95537</v>
      </c>
      <c r="R5536" s="14" t="b">
        <f t="shared" si="1"/>
        <v>0</v>
      </c>
      <c r="S5536" s="14" t="str">
        <f t="shared" si="2"/>
        <v>44.989592,38.95537</v>
      </c>
      <c r="T5536" s="12"/>
    </row>
    <row r="5537">
      <c r="A5537" s="199" t="s">
        <v>35539</v>
      </c>
      <c r="B5537" s="140" t="s">
        <v>35540</v>
      </c>
      <c r="C5537" s="140" t="s">
        <v>35541</v>
      </c>
      <c r="D5537" s="140" t="s">
        <v>33342</v>
      </c>
      <c r="E5537" s="141" t="s">
        <v>35542</v>
      </c>
      <c r="F5537" s="139" t="s">
        <v>19948</v>
      </c>
      <c r="G5537" s="139" t="s">
        <v>33344</v>
      </c>
      <c r="H5537" s="139"/>
      <c r="I5537" s="140"/>
      <c r="J5537" s="140" t="s">
        <v>35543</v>
      </c>
      <c r="K5537" s="140" t="s">
        <v>35544</v>
      </c>
      <c r="L5537" s="140"/>
      <c r="M5537" s="140"/>
      <c r="N5537" s="12"/>
      <c r="O5537" s="12"/>
      <c r="P5537" s="13">
        <f>IFERROR(__xludf.DUMMYFUNCTION("VALUE(SUBSTITUTE((INDEX(SPLIT(A5537,"",""),1)),""."","","",1))"),54.857455)</f>
        <v>54.857455</v>
      </c>
      <c r="Q5537" s="13">
        <f>IFERROR(__xludf.DUMMYFUNCTION("VALUE(SUBSTITUTE((INDEX(SPLIT(A5537,"",""),2)),""."","","",1))"),56.45086)</f>
        <v>56.45086</v>
      </c>
      <c r="R5537" s="14" t="b">
        <f t="shared" si="1"/>
        <v>0</v>
      </c>
      <c r="S5537" s="14" t="str">
        <f t="shared" si="2"/>
        <v>54.857455,56.45086</v>
      </c>
      <c r="T5537" s="12"/>
    </row>
    <row r="5538">
      <c r="A5538" s="158" t="s">
        <v>35545</v>
      </c>
      <c r="B5538" s="137" t="s">
        <v>35546</v>
      </c>
      <c r="C5538" s="137" t="s">
        <v>35547</v>
      </c>
      <c r="D5538" s="137" t="s">
        <v>33342</v>
      </c>
      <c r="E5538" s="138" t="s">
        <v>35548</v>
      </c>
      <c r="F5538" s="136" t="s">
        <v>19948</v>
      </c>
      <c r="G5538" s="136" t="s">
        <v>33344</v>
      </c>
      <c r="H5538" s="136"/>
      <c r="I5538" s="137"/>
      <c r="J5538" s="137" t="s">
        <v>35549</v>
      </c>
      <c r="K5538" s="137" t="s">
        <v>35550</v>
      </c>
      <c r="L5538" s="137"/>
      <c r="M5538" s="153" t="s">
        <v>35551</v>
      </c>
      <c r="N5538" s="12"/>
      <c r="O5538" s="12"/>
      <c r="P5538" s="13">
        <f>IFERROR(__xludf.DUMMYFUNCTION("VALUE(SUBSTITUTE((INDEX(SPLIT(A5538,"",""),1)),""."","","",1))"),54.827428)</f>
        <v>54.827428</v>
      </c>
      <c r="Q5538" s="13">
        <f>IFERROR(__xludf.DUMMYFUNCTION("VALUE(SUBSTITUTE((INDEX(SPLIT(A5538,"",""),2)),""."","","",1))"),56.392398)</f>
        <v>56.392398</v>
      </c>
      <c r="R5538" s="14" t="b">
        <f t="shared" si="1"/>
        <v>0</v>
      </c>
      <c r="S5538" s="14" t="str">
        <f t="shared" si="2"/>
        <v>54.827428,56.392398</v>
      </c>
      <c r="T5538" s="12"/>
    </row>
    <row r="5539">
      <c r="A5539" s="202" t="s">
        <v>35552</v>
      </c>
      <c r="B5539" s="147" t="s">
        <v>35553</v>
      </c>
      <c r="C5539" s="147" t="s">
        <v>35554</v>
      </c>
      <c r="D5539" s="147" t="s">
        <v>33342</v>
      </c>
      <c r="E5539" s="148" t="s">
        <v>35555</v>
      </c>
      <c r="F5539" s="146" t="s">
        <v>19948</v>
      </c>
      <c r="G5539" s="146" t="s">
        <v>33344</v>
      </c>
      <c r="H5539" s="146"/>
      <c r="I5539" s="147"/>
      <c r="J5539" s="147" t="s">
        <v>35556</v>
      </c>
      <c r="K5539" s="147" t="s">
        <v>35557</v>
      </c>
      <c r="L5539" s="149" t="s">
        <v>35558</v>
      </c>
      <c r="M5539" s="147"/>
      <c r="N5539" s="12"/>
      <c r="O5539" s="12"/>
      <c r="P5539" s="13">
        <f>IFERROR(__xludf.DUMMYFUNCTION("VALUE(SUBSTITUTE((INDEX(SPLIT(A5539,"",""),1)),""."","","",1))"),54.531351)</f>
        <v>54.531351</v>
      </c>
      <c r="Q5539" s="13">
        <f>IFERROR(__xludf.DUMMYFUNCTION("VALUE(SUBSTITUTE((INDEX(SPLIT(A5539,"",""),2)),""."","","",1))"),56.154317)</f>
        <v>56.154317</v>
      </c>
      <c r="R5539" s="14" t="b">
        <f t="shared" si="1"/>
        <v>0</v>
      </c>
      <c r="S5539" s="14" t="str">
        <f t="shared" si="2"/>
        <v>54.531351,56.154317</v>
      </c>
      <c r="T5539" s="12"/>
    </row>
    <row r="5540">
      <c r="A5540" s="201" t="s">
        <v>35559</v>
      </c>
      <c r="B5540" s="143" t="s">
        <v>35560</v>
      </c>
      <c r="C5540" s="143" t="s">
        <v>35561</v>
      </c>
      <c r="D5540" s="143" t="s">
        <v>33342</v>
      </c>
      <c r="E5540" s="144" t="s">
        <v>35562</v>
      </c>
      <c r="F5540" s="142" t="s">
        <v>19948</v>
      </c>
      <c r="G5540" s="142" t="s">
        <v>33344</v>
      </c>
      <c r="H5540" s="142"/>
      <c r="I5540" s="143"/>
      <c r="J5540" s="143" t="s">
        <v>35563</v>
      </c>
      <c r="K5540" s="143" t="s">
        <v>35564</v>
      </c>
      <c r="L5540" s="145" t="s">
        <v>35565</v>
      </c>
      <c r="M5540" s="145" t="s">
        <v>35566</v>
      </c>
      <c r="N5540" s="12"/>
      <c r="O5540" s="12"/>
      <c r="P5540" s="13">
        <f>IFERROR(__xludf.DUMMYFUNCTION("VALUE(SUBSTITUTE((INDEX(SPLIT(A5540,"",""),1)),""."","","",1))"),54.841858)</f>
        <v>54.841858</v>
      </c>
      <c r="Q5540" s="13">
        <f>IFERROR(__xludf.DUMMYFUNCTION("VALUE(SUBSTITUTE((INDEX(SPLIT(A5540,"",""),2)),""."","","",1))"),55.831256)</f>
        <v>55.831256</v>
      </c>
      <c r="R5540" s="14" t="b">
        <f t="shared" si="1"/>
        <v>0</v>
      </c>
      <c r="S5540" s="14" t="str">
        <f t="shared" si="2"/>
        <v>54.841858,55.831256</v>
      </c>
      <c r="T5540" s="12"/>
    </row>
    <row r="5541">
      <c r="A5541" s="202" t="s">
        <v>35567</v>
      </c>
      <c r="B5541" s="147" t="s">
        <v>35568</v>
      </c>
      <c r="C5541" s="147" t="s">
        <v>35569</v>
      </c>
      <c r="D5541" s="147" t="s">
        <v>33342</v>
      </c>
      <c r="E5541" s="148" t="s">
        <v>35570</v>
      </c>
      <c r="F5541" s="146" t="s">
        <v>19948</v>
      </c>
      <c r="G5541" s="146" t="s">
        <v>33344</v>
      </c>
      <c r="H5541" s="146"/>
      <c r="I5541" s="147"/>
      <c r="J5541" s="147" t="s">
        <v>35571</v>
      </c>
      <c r="K5541" s="147" t="s">
        <v>35572</v>
      </c>
      <c r="L5541" s="150" t="s">
        <v>35573</v>
      </c>
      <c r="M5541" s="147"/>
      <c r="N5541" s="12"/>
      <c r="O5541" s="12"/>
      <c r="P5541" s="13">
        <f>IFERROR(__xludf.DUMMYFUNCTION("VALUE(SUBSTITUTE((INDEX(SPLIT(A5541,"",""),1)),""."","","",1))"),53.697275)</f>
        <v>53.697275</v>
      </c>
      <c r="Q5541" s="13">
        <f>IFERROR(__xludf.DUMMYFUNCTION("VALUE(SUBSTITUTE((INDEX(SPLIT(A5541,"",""),2)),""."","","",1))"),55.985919)</f>
        <v>55.985919</v>
      </c>
      <c r="R5541" s="14" t="b">
        <f t="shared" si="1"/>
        <v>0</v>
      </c>
      <c r="S5541" s="14" t="str">
        <f t="shared" si="2"/>
        <v>53.697275,55.985919</v>
      </c>
      <c r="T5541" s="12"/>
    </row>
    <row r="5542">
      <c r="A5542" s="201" t="s">
        <v>35574</v>
      </c>
      <c r="B5542" s="143" t="s">
        <v>35575</v>
      </c>
      <c r="C5542" s="143" t="s">
        <v>35576</v>
      </c>
      <c r="D5542" s="143" t="s">
        <v>33342</v>
      </c>
      <c r="E5542" s="144" t="s">
        <v>35577</v>
      </c>
      <c r="F5542" s="142" t="s">
        <v>19948</v>
      </c>
      <c r="G5542" s="142" t="s">
        <v>33344</v>
      </c>
      <c r="H5542" s="142"/>
      <c r="I5542" s="143"/>
      <c r="J5542" s="143" t="s">
        <v>35578</v>
      </c>
      <c r="K5542" s="143" t="s">
        <v>35579</v>
      </c>
      <c r="L5542" s="145" t="s">
        <v>35580</v>
      </c>
      <c r="M5542" s="145" t="s">
        <v>35581</v>
      </c>
      <c r="N5542" s="12"/>
      <c r="O5542" s="12"/>
      <c r="P5542" s="13">
        <f>IFERROR(__xludf.DUMMYFUNCTION("VALUE(SUBSTITUTE((INDEX(SPLIT(A5542,"",""),1)),""."","","",1))"),54.804659)</f>
        <v>54.804659</v>
      </c>
      <c r="Q5542" s="13">
        <f>IFERROR(__xludf.DUMMYFUNCTION("VALUE(SUBSTITUTE((INDEX(SPLIT(A5542,"",""),2)),""."","","",1))"),55.850399)</f>
        <v>55.850399</v>
      </c>
      <c r="R5542" s="14" t="b">
        <f t="shared" si="1"/>
        <v>0</v>
      </c>
      <c r="S5542" s="14" t="str">
        <f t="shared" si="2"/>
        <v>54.804659,55.850399</v>
      </c>
      <c r="T5542" s="12"/>
    </row>
    <row r="5543">
      <c r="A5543" s="202" t="s">
        <v>35582</v>
      </c>
      <c r="B5543" s="147" t="s">
        <v>35583</v>
      </c>
      <c r="C5543" s="147" t="s">
        <v>35584</v>
      </c>
      <c r="D5543" s="147" t="s">
        <v>33342</v>
      </c>
      <c r="E5543" s="148" t="s">
        <v>35585</v>
      </c>
      <c r="F5543" s="146" t="s">
        <v>19948</v>
      </c>
      <c r="G5543" s="146" t="s">
        <v>33344</v>
      </c>
      <c r="H5543" s="146"/>
      <c r="I5543" s="147"/>
      <c r="J5543" s="147" t="s">
        <v>35586</v>
      </c>
      <c r="K5543" s="147" t="s">
        <v>35587</v>
      </c>
      <c r="L5543" s="149" t="s">
        <v>35588</v>
      </c>
      <c r="M5543" s="147"/>
      <c r="N5543" s="12"/>
      <c r="O5543" s="12"/>
      <c r="P5543" s="13">
        <f>IFERROR(__xludf.DUMMYFUNCTION("VALUE(SUBSTITUTE((INDEX(SPLIT(A5543,"",""),1)),""."","","",1))"),54.818999)</f>
        <v>54.818999</v>
      </c>
      <c r="Q5543" s="13">
        <f>IFERROR(__xludf.DUMMYFUNCTION("VALUE(SUBSTITUTE((INDEX(SPLIT(A5543,"",""),2)),""."","","",1))"),55.988353)</f>
        <v>55.988353</v>
      </c>
      <c r="R5543" s="14" t="b">
        <f t="shared" si="1"/>
        <v>0</v>
      </c>
      <c r="S5543" s="14" t="str">
        <f t="shared" si="2"/>
        <v>54.818999,55.988353</v>
      </c>
      <c r="T5543" s="12"/>
    </row>
    <row r="5544">
      <c r="A5544" s="158" t="s">
        <v>35589</v>
      </c>
      <c r="B5544" s="137" t="s">
        <v>35590</v>
      </c>
      <c r="C5544" s="137" t="s">
        <v>35591</v>
      </c>
      <c r="D5544" s="137" t="s">
        <v>33342</v>
      </c>
      <c r="E5544" s="138" t="s">
        <v>35592</v>
      </c>
      <c r="F5544" s="136" t="s">
        <v>19948</v>
      </c>
      <c r="G5544" s="136" t="s">
        <v>33344</v>
      </c>
      <c r="H5544" s="136"/>
      <c r="I5544" s="137"/>
      <c r="J5544" s="137" t="s">
        <v>35593</v>
      </c>
      <c r="K5544" s="137" t="s">
        <v>35594</v>
      </c>
      <c r="L5544" s="137"/>
      <c r="M5544" s="153" t="s">
        <v>35595</v>
      </c>
      <c r="N5544" s="12"/>
      <c r="O5544" s="12"/>
      <c r="P5544" s="13">
        <f>IFERROR(__xludf.DUMMYFUNCTION("VALUE(SUBSTITUTE((INDEX(SPLIT(A5544,"",""),1)),""."","","",1))"),54.620475)</f>
        <v>54.620475</v>
      </c>
      <c r="Q5544" s="13">
        <f>IFERROR(__xludf.DUMMYFUNCTION("VALUE(SUBSTITUTE((INDEX(SPLIT(A5544,"",""),2)),""."","","",1))"),55.919462)</f>
        <v>55.919462</v>
      </c>
      <c r="R5544" s="14" t="b">
        <f t="shared" si="1"/>
        <v>0</v>
      </c>
      <c r="S5544" s="14" t="str">
        <f t="shared" si="2"/>
        <v>54.620475,55.919462</v>
      </c>
      <c r="T5544" s="12"/>
    </row>
    <row r="5545">
      <c r="A5545" s="199" t="s">
        <v>35596</v>
      </c>
      <c r="B5545" s="140" t="s">
        <v>35597</v>
      </c>
      <c r="C5545" s="140" t="s">
        <v>35598</v>
      </c>
      <c r="D5545" s="140" t="s">
        <v>33342</v>
      </c>
      <c r="E5545" s="141" t="s">
        <v>35599</v>
      </c>
      <c r="F5545" s="139" t="s">
        <v>19948</v>
      </c>
      <c r="G5545" s="139" t="s">
        <v>33344</v>
      </c>
      <c r="H5545" s="139"/>
      <c r="I5545" s="140"/>
      <c r="J5545" s="140" t="s">
        <v>35600</v>
      </c>
      <c r="K5545" s="140" t="s">
        <v>35601</v>
      </c>
      <c r="L5545" s="140"/>
      <c r="M5545" s="140"/>
      <c r="N5545" s="12"/>
      <c r="O5545" s="12"/>
      <c r="P5545" s="13">
        <f>IFERROR(__xludf.DUMMYFUNCTION("VALUE(SUBSTITUTE((INDEX(SPLIT(A5545,"",""),1)),""."","","",1))"),54.624702)</f>
        <v>54.624702</v>
      </c>
      <c r="Q5545" s="13">
        <f>IFERROR(__xludf.DUMMYFUNCTION("VALUE(SUBSTITUTE((INDEX(SPLIT(A5545,"",""),2)),""."","","",1))"),55.920315)</f>
        <v>55.920315</v>
      </c>
      <c r="R5545" s="14" t="b">
        <f t="shared" si="1"/>
        <v>0</v>
      </c>
      <c r="S5545" s="14" t="str">
        <f t="shared" si="2"/>
        <v>54.624702,55.920315</v>
      </c>
      <c r="T5545" s="12"/>
    </row>
    <row r="5546">
      <c r="A5546" s="201" t="s">
        <v>35602</v>
      </c>
      <c r="B5546" s="143" t="s">
        <v>35603</v>
      </c>
      <c r="C5546" s="143" t="s">
        <v>35604</v>
      </c>
      <c r="D5546" s="143" t="s">
        <v>33342</v>
      </c>
      <c r="E5546" s="144" t="s">
        <v>35605</v>
      </c>
      <c r="F5546" s="142" t="s">
        <v>19948</v>
      </c>
      <c r="G5546" s="142" t="s">
        <v>33344</v>
      </c>
      <c r="H5546" s="142"/>
      <c r="I5546" s="143"/>
      <c r="J5546" s="143" t="s">
        <v>35606</v>
      </c>
      <c r="K5546" s="143" t="s">
        <v>35607</v>
      </c>
      <c r="L5546" s="152" t="s">
        <v>35608</v>
      </c>
      <c r="M5546" s="143"/>
      <c r="N5546" s="12"/>
      <c r="O5546" s="12"/>
      <c r="P5546" s="13">
        <f>IFERROR(__xludf.DUMMYFUNCTION("VALUE(SUBSTITUTE((INDEX(SPLIT(A5546,"",""),1)),""."","","",1))"),55.137605)</f>
        <v>55.137605</v>
      </c>
      <c r="Q5546" s="13">
        <f>IFERROR(__xludf.DUMMYFUNCTION("VALUE(SUBSTITUTE((INDEX(SPLIT(A5546,"",""),2)),""."","","",1))"),54.638796)</f>
        <v>54.638796</v>
      </c>
      <c r="R5546" s="14" t="b">
        <f t="shared" si="1"/>
        <v>0</v>
      </c>
      <c r="S5546" s="14" t="str">
        <f t="shared" si="2"/>
        <v>55.137605,54.638796</v>
      </c>
      <c r="T5546" s="12"/>
    </row>
    <row r="5547">
      <c r="A5547" s="202" t="s">
        <v>35609</v>
      </c>
      <c r="B5547" s="147" t="s">
        <v>35610</v>
      </c>
      <c r="C5547" s="147" t="s">
        <v>35611</v>
      </c>
      <c r="D5547" s="147" t="s">
        <v>33342</v>
      </c>
      <c r="E5547" s="148" t="s">
        <v>35612</v>
      </c>
      <c r="F5547" s="146" t="s">
        <v>19948</v>
      </c>
      <c r="G5547" s="146" t="s">
        <v>33344</v>
      </c>
      <c r="H5547" s="146"/>
      <c r="I5547" s="147"/>
      <c r="J5547" s="147" t="s">
        <v>35613</v>
      </c>
      <c r="K5547" s="147" t="s">
        <v>35614</v>
      </c>
      <c r="L5547" s="149" t="s">
        <v>35615</v>
      </c>
      <c r="M5547" s="147"/>
      <c r="N5547" s="12"/>
      <c r="O5547" s="12"/>
      <c r="P5547" s="13">
        <f>IFERROR(__xludf.DUMMYFUNCTION("VALUE(SUBSTITUTE((INDEX(SPLIT(A5547,"",""),1)),""."","","",1))"),54.566068)</f>
        <v>54.566068</v>
      </c>
      <c r="Q5547" s="13">
        <f>IFERROR(__xludf.DUMMYFUNCTION("VALUE(SUBSTITUTE((INDEX(SPLIT(A5547,"",""),2)),""."","","",1))"),55.589016)</f>
        <v>55.589016</v>
      </c>
      <c r="R5547" s="14" t="b">
        <f t="shared" si="1"/>
        <v>0</v>
      </c>
      <c r="S5547" s="14" t="str">
        <f t="shared" si="2"/>
        <v>54.566068,55.589016</v>
      </c>
      <c r="T5547" s="12"/>
    </row>
    <row r="5548">
      <c r="A5548" s="201" t="s">
        <v>35616</v>
      </c>
      <c r="B5548" s="143" t="s">
        <v>1670</v>
      </c>
      <c r="C5548" s="143" t="s">
        <v>34601</v>
      </c>
      <c r="D5548" s="143" t="s">
        <v>33342</v>
      </c>
      <c r="E5548" s="144" t="s">
        <v>35617</v>
      </c>
      <c r="F5548" s="142" t="s">
        <v>19948</v>
      </c>
      <c r="G5548" s="142" t="s">
        <v>33344</v>
      </c>
      <c r="H5548" s="142"/>
      <c r="I5548" s="143"/>
      <c r="J5548" s="143" t="s">
        <v>35618</v>
      </c>
      <c r="K5548" s="143" t="s">
        <v>35619</v>
      </c>
      <c r="L5548" s="145" t="s">
        <v>35620</v>
      </c>
      <c r="M5548" s="143"/>
      <c r="N5548" s="12"/>
      <c r="O5548" s="12"/>
      <c r="P5548" s="13">
        <f>IFERROR(__xludf.DUMMYFUNCTION("VALUE(SUBSTITUTE((INDEX(SPLIT(A5548,"",""),1)),""."","","",1))"),54.588523)</f>
        <v>54.588523</v>
      </c>
      <c r="Q5548" s="13">
        <f>IFERROR(__xludf.DUMMYFUNCTION("VALUE(SUBSTITUTE((INDEX(SPLIT(A5548,"",""),2)),""."","","",1))"),55.382063)</f>
        <v>55.382063</v>
      </c>
      <c r="R5548" s="14" t="b">
        <f t="shared" si="1"/>
        <v>0</v>
      </c>
      <c r="S5548" s="14" t="str">
        <f t="shared" si="2"/>
        <v>54.588523,55.382063</v>
      </c>
      <c r="T5548" s="12"/>
    </row>
    <row r="5549">
      <c r="A5549" s="199" t="s">
        <v>35621</v>
      </c>
      <c r="B5549" s="140" t="s">
        <v>35622</v>
      </c>
      <c r="C5549" s="140" t="s">
        <v>35623</v>
      </c>
      <c r="D5549" s="140" t="s">
        <v>33342</v>
      </c>
      <c r="E5549" s="141" t="s">
        <v>35624</v>
      </c>
      <c r="F5549" s="139" t="s">
        <v>19948</v>
      </c>
      <c r="G5549" s="139" t="s">
        <v>33344</v>
      </c>
      <c r="H5549" s="139"/>
      <c r="I5549" s="140"/>
      <c r="J5549" s="140" t="s">
        <v>35625</v>
      </c>
      <c r="K5549" s="140" t="s">
        <v>35626</v>
      </c>
      <c r="L5549" s="140"/>
      <c r="M5549" s="154" t="s">
        <v>35627</v>
      </c>
      <c r="N5549" s="12"/>
      <c r="O5549" s="12"/>
      <c r="P5549" s="13">
        <f>IFERROR(__xludf.DUMMYFUNCTION("VALUE(SUBSTITUTE((INDEX(SPLIT(A5549,"",""),1)),""."","","",1))"),54.082614)</f>
        <v>54.082614</v>
      </c>
      <c r="Q5549" s="13">
        <f>IFERROR(__xludf.DUMMYFUNCTION("VALUE(SUBSTITUTE((INDEX(SPLIT(A5549,"",""),2)),""."","","",1))"),54.091749)</f>
        <v>54.091749</v>
      </c>
      <c r="R5549" s="14" t="b">
        <f t="shared" si="1"/>
        <v>0</v>
      </c>
      <c r="S5549" s="14" t="str">
        <f t="shared" si="2"/>
        <v>54.082614,54.091749</v>
      </c>
      <c r="T5549" s="12"/>
    </row>
    <row r="5550">
      <c r="A5550" s="158" t="s">
        <v>35628</v>
      </c>
      <c r="B5550" s="137" t="s">
        <v>35629</v>
      </c>
      <c r="C5550" s="137" t="s">
        <v>35630</v>
      </c>
      <c r="D5550" s="137" t="s">
        <v>33342</v>
      </c>
      <c r="E5550" s="138" t="s">
        <v>35631</v>
      </c>
      <c r="F5550" s="136" t="s">
        <v>19948</v>
      </c>
      <c r="G5550" s="136" t="s">
        <v>33344</v>
      </c>
      <c r="H5550" s="136"/>
      <c r="I5550" s="137"/>
      <c r="J5550" s="137" t="s">
        <v>35632</v>
      </c>
      <c r="K5550" s="137" t="s">
        <v>35633</v>
      </c>
      <c r="L5550" s="137"/>
      <c r="M5550" s="137"/>
      <c r="N5550" s="12"/>
      <c r="O5550" s="12"/>
      <c r="P5550" s="13">
        <f>IFERROR(__xludf.DUMMYFUNCTION("VALUE(SUBSTITUTE((INDEX(SPLIT(A5550,"",""),1)),""."","","",1))"),58.105844)</f>
        <v>58.105844</v>
      </c>
      <c r="Q5550" s="13">
        <f>IFERROR(__xludf.DUMMYFUNCTION("VALUE(SUBSTITUTE((INDEX(SPLIT(A5550,"",""),2)),""."","","",1))"),53.879578)</f>
        <v>53.879578</v>
      </c>
      <c r="R5550" s="14" t="b">
        <f t="shared" si="1"/>
        <v>0</v>
      </c>
      <c r="S5550" s="14" t="str">
        <f t="shared" si="2"/>
        <v>58.105844,53.879578</v>
      </c>
      <c r="T5550" s="12"/>
    </row>
    <row r="5551">
      <c r="A5551" s="199" t="s">
        <v>35634</v>
      </c>
      <c r="B5551" s="140" t="s">
        <v>35635</v>
      </c>
      <c r="C5551" s="140" t="s">
        <v>35636</v>
      </c>
      <c r="D5551" s="140" t="s">
        <v>33342</v>
      </c>
      <c r="E5551" s="141" t="s">
        <v>35637</v>
      </c>
      <c r="F5551" s="139" t="s">
        <v>19948</v>
      </c>
      <c r="G5551" s="139" t="s">
        <v>33344</v>
      </c>
      <c r="H5551" s="139"/>
      <c r="I5551" s="140"/>
      <c r="J5551" s="140" t="s">
        <v>35638</v>
      </c>
      <c r="K5551" s="140" t="s">
        <v>35639</v>
      </c>
      <c r="L5551" s="140"/>
      <c r="M5551" s="140"/>
      <c r="N5551" s="12"/>
      <c r="O5551" s="12"/>
      <c r="P5551" s="13">
        <f>IFERROR(__xludf.DUMMYFUNCTION("VALUE(SUBSTITUTE((INDEX(SPLIT(A5551,"",""),1)),""."","","",1))"),53.951564)</f>
        <v>53.951564</v>
      </c>
      <c r="Q5551" s="13">
        <f>IFERROR(__xludf.DUMMYFUNCTION("VALUE(SUBSTITUTE((INDEX(SPLIT(A5551,"",""),2)),""."","","",1))"),58.373093)</f>
        <v>58.373093</v>
      </c>
      <c r="R5551" s="14" t="b">
        <f t="shared" si="1"/>
        <v>0</v>
      </c>
      <c r="S5551" s="14" t="str">
        <f t="shared" si="2"/>
        <v>53.951564,58.373093</v>
      </c>
      <c r="T5551" s="12"/>
    </row>
    <row r="5552">
      <c r="A5552" s="201" t="s">
        <v>35640</v>
      </c>
      <c r="B5552" s="143" t="s">
        <v>35641</v>
      </c>
      <c r="C5552" s="143" t="s">
        <v>35642</v>
      </c>
      <c r="D5552" s="143" t="s">
        <v>33342</v>
      </c>
      <c r="E5552" s="144" t="s">
        <v>35643</v>
      </c>
      <c r="F5552" s="142" t="s">
        <v>19948</v>
      </c>
      <c r="G5552" s="142" t="s">
        <v>33344</v>
      </c>
      <c r="H5552" s="142"/>
      <c r="I5552" s="143"/>
      <c r="J5552" s="143" t="s">
        <v>35644</v>
      </c>
      <c r="K5552" s="143" t="s">
        <v>35645</v>
      </c>
      <c r="L5552" s="152" t="s">
        <v>35646</v>
      </c>
      <c r="M5552" s="143"/>
      <c r="N5552" s="12"/>
      <c r="O5552" s="12"/>
      <c r="P5552" s="13">
        <f>IFERROR(__xludf.DUMMYFUNCTION("VALUE(SUBSTITUTE((INDEX(SPLIT(A5552,"",""),1)),""."","","",1))"),54.651759)</f>
        <v>54.651759</v>
      </c>
      <c r="Q5552" s="13">
        <f>IFERROR(__xludf.DUMMYFUNCTION("VALUE(SUBSTITUTE((INDEX(SPLIT(A5552,"",""),2)),""."","","",1))"),55.139725)</f>
        <v>55.139725</v>
      </c>
      <c r="R5552" s="14" t="b">
        <f t="shared" si="1"/>
        <v>0</v>
      </c>
      <c r="S5552" s="14" t="str">
        <f t="shared" si="2"/>
        <v>54.651759,55.139725</v>
      </c>
      <c r="T5552" s="12"/>
    </row>
    <row r="5553">
      <c r="A5553" s="202" t="s">
        <v>35647</v>
      </c>
      <c r="B5553" s="147" t="s">
        <v>13770</v>
      </c>
      <c r="C5553" s="147" t="s">
        <v>35648</v>
      </c>
      <c r="D5553" s="147" t="s">
        <v>33342</v>
      </c>
      <c r="E5553" s="148" t="s">
        <v>35649</v>
      </c>
      <c r="F5553" s="146" t="s">
        <v>19948</v>
      </c>
      <c r="G5553" s="146" t="s">
        <v>33344</v>
      </c>
      <c r="H5553" s="146"/>
      <c r="I5553" s="147"/>
      <c r="J5553" s="147" t="s">
        <v>35650</v>
      </c>
      <c r="K5553" s="147" t="s">
        <v>35651</v>
      </c>
      <c r="L5553" s="149" t="s">
        <v>35652</v>
      </c>
      <c r="M5553" s="149" t="s">
        <v>35653</v>
      </c>
      <c r="N5553" s="12"/>
      <c r="O5553" s="12"/>
      <c r="P5553" s="13">
        <f>IFERROR(__xludf.DUMMYFUNCTION("VALUE(SUBSTITUTE((INDEX(SPLIT(A5553,"",""),1)),""."","","",1))"),53.432728)</f>
        <v>53.432728</v>
      </c>
      <c r="Q5553" s="13">
        <f>IFERROR(__xludf.DUMMYFUNCTION("VALUE(SUBSTITUTE((INDEX(SPLIT(A5553,"",""),2)),""."","","",1))"),56.035183)</f>
        <v>56.035183</v>
      </c>
      <c r="R5553" s="14" t="b">
        <f t="shared" si="1"/>
        <v>0</v>
      </c>
      <c r="S5553" s="14" t="str">
        <f t="shared" si="2"/>
        <v>53.432728,56.035183</v>
      </c>
      <c r="T5553" s="12"/>
    </row>
    <row r="5554">
      <c r="A5554" s="158" t="s">
        <v>23901</v>
      </c>
      <c r="B5554" s="137" t="s">
        <v>35654</v>
      </c>
      <c r="C5554" s="137" t="s">
        <v>35655</v>
      </c>
      <c r="D5554" s="137" t="s">
        <v>33342</v>
      </c>
      <c r="E5554" s="138" t="s">
        <v>35656</v>
      </c>
      <c r="F5554" s="136" t="s">
        <v>19948</v>
      </c>
      <c r="G5554" s="136" t="s">
        <v>33344</v>
      </c>
      <c r="H5554" s="136"/>
      <c r="I5554" s="137"/>
      <c r="J5554" s="137" t="s">
        <v>35657</v>
      </c>
      <c r="K5554" s="137" t="s">
        <v>35658</v>
      </c>
      <c r="L5554" s="137"/>
      <c r="M5554" s="153" t="s">
        <v>35659</v>
      </c>
      <c r="N5554" s="12"/>
      <c r="O5554" s="12"/>
      <c r="P5554" s="13">
        <f>IFERROR(__xludf.DUMMYFUNCTION("VALUE(SUBSTITUTE((INDEX(SPLIT(A5554,"",""),1)),""."","","",1))"),53.441793)</f>
        <v>53.441793</v>
      </c>
      <c r="Q5554" s="13">
        <f>IFERROR(__xludf.DUMMYFUNCTION("VALUE(SUBSTITUTE((INDEX(SPLIT(A5554,"",""),2)),""."","","",1))"),56.040222)</f>
        <v>56.040222</v>
      </c>
      <c r="R5554" s="14" t="b">
        <f t="shared" si="1"/>
        <v>0</v>
      </c>
      <c r="S5554" s="14" t="str">
        <f t="shared" si="2"/>
        <v>53.441793,56.040222</v>
      </c>
      <c r="T5554" s="12"/>
    </row>
    <row r="5555">
      <c r="A5555" s="199" t="s">
        <v>35660</v>
      </c>
      <c r="B5555" s="140" t="s">
        <v>7675</v>
      </c>
      <c r="C5555" s="140" t="s">
        <v>35661</v>
      </c>
      <c r="D5555" s="140" t="s">
        <v>33342</v>
      </c>
      <c r="E5555" s="141" t="s">
        <v>35662</v>
      </c>
      <c r="F5555" s="139" t="s">
        <v>19948</v>
      </c>
      <c r="G5555" s="139" t="s">
        <v>33344</v>
      </c>
      <c r="H5555" s="139"/>
      <c r="I5555" s="140"/>
      <c r="J5555" s="140" t="s">
        <v>35663</v>
      </c>
      <c r="K5555" s="140" t="s">
        <v>35664</v>
      </c>
      <c r="L5555" s="140"/>
      <c r="M5555" s="140"/>
      <c r="N5555" s="12"/>
      <c r="O5555" s="12"/>
      <c r="P5555" s="13">
        <f>IFERROR(__xludf.DUMMYFUNCTION("VALUE(SUBSTITUTE((INDEX(SPLIT(A5555,"",""),1)),""."","","",1))"),53.435534)</f>
        <v>53.435534</v>
      </c>
      <c r="Q5555" s="13">
        <f>IFERROR(__xludf.DUMMYFUNCTION("VALUE(SUBSTITUTE((INDEX(SPLIT(A5555,"",""),2)),""."","","",1))"),56.040608)</f>
        <v>56.040608</v>
      </c>
      <c r="R5555" s="14" t="b">
        <f t="shared" si="1"/>
        <v>0</v>
      </c>
      <c r="S5555" s="14" t="str">
        <f t="shared" si="2"/>
        <v>53.435534,56.040608</v>
      </c>
      <c r="T5555" s="12"/>
    </row>
    <row r="5556">
      <c r="A5556" s="158" t="s">
        <v>35665</v>
      </c>
      <c r="B5556" s="137" t="s">
        <v>35666</v>
      </c>
      <c r="C5556" s="137" t="s">
        <v>35667</v>
      </c>
      <c r="D5556" s="137" t="s">
        <v>33342</v>
      </c>
      <c r="E5556" s="138" t="s">
        <v>35668</v>
      </c>
      <c r="F5556" s="136" t="s">
        <v>19948</v>
      </c>
      <c r="G5556" s="136" t="s">
        <v>33344</v>
      </c>
      <c r="H5556" s="136"/>
      <c r="I5556" s="137"/>
      <c r="J5556" s="137" t="s">
        <v>35669</v>
      </c>
      <c r="K5556" s="137" t="s">
        <v>35670</v>
      </c>
      <c r="L5556" s="137"/>
      <c r="M5556" s="137"/>
      <c r="N5556" s="12"/>
      <c r="O5556" s="12"/>
      <c r="P5556" s="13">
        <f>IFERROR(__xludf.DUMMYFUNCTION("VALUE(SUBSTITUTE((INDEX(SPLIT(A5556,"",""),1)),""."","","",1))"),52.777615)</f>
        <v>52.777615</v>
      </c>
      <c r="Q5556" s="13">
        <f>IFERROR(__xludf.DUMMYFUNCTION("VALUE(SUBSTITUTE((INDEX(SPLIT(A5556,"",""),2)),""."","","",1))"),55.843105)</f>
        <v>55.843105</v>
      </c>
      <c r="R5556" s="14" t="b">
        <f t="shared" si="1"/>
        <v>0</v>
      </c>
      <c r="S5556" s="14" t="str">
        <f t="shared" si="2"/>
        <v>52.777615,55.843105</v>
      </c>
      <c r="T5556" s="12"/>
    </row>
    <row r="5557">
      <c r="A5557" s="199" t="s">
        <v>35671</v>
      </c>
      <c r="B5557" s="140" t="s">
        <v>35672</v>
      </c>
      <c r="C5557" s="140" t="s">
        <v>35673</v>
      </c>
      <c r="D5557" s="140" t="s">
        <v>33342</v>
      </c>
      <c r="E5557" s="141" t="s">
        <v>35674</v>
      </c>
      <c r="F5557" s="139" t="s">
        <v>19948</v>
      </c>
      <c r="G5557" s="139" t="s">
        <v>33344</v>
      </c>
      <c r="H5557" s="139"/>
      <c r="I5557" s="140"/>
      <c r="J5557" s="140" t="s">
        <v>35675</v>
      </c>
      <c r="K5557" s="140" t="s">
        <v>35676</v>
      </c>
      <c r="L5557" s="140"/>
      <c r="M5557" s="140"/>
      <c r="N5557" s="12"/>
      <c r="O5557" s="12"/>
      <c r="P5557" s="13">
        <f>IFERROR(__xludf.DUMMYFUNCTION("VALUE(SUBSTITUTE((INDEX(SPLIT(A5557,"",""),1)),""."","","",1))"),54.583451)</f>
        <v>54.583451</v>
      </c>
      <c r="Q5557" s="13">
        <f>IFERROR(__xludf.DUMMYFUNCTION("VALUE(SUBSTITUTE((INDEX(SPLIT(A5557,"",""),2)),""."","","",1))"),55.350388)</f>
        <v>55.350388</v>
      </c>
      <c r="R5557" s="14" t="b">
        <f t="shared" si="1"/>
        <v>0</v>
      </c>
      <c r="S5557" s="14" t="str">
        <f t="shared" si="2"/>
        <v>54.583451,55.350388</v>
      </c>
      <c r="T5557" s="12"/>
    </row>
    <row r="5558">
      <c r="A5558" s="201" t="s">
        <v>35677</v>
      </c>
      <c r="B5558" s="143" t="s">
        <v>35678</v>
      </c>
      <c r="C5558" s="143" t="s">
        <v>35679</v>
      </c>
      <c r="D5558" s="143" t="s">
        <v>33342</v>
      </c>
      <c r="E5558" s="144" t="s">
        <v>35680</v>
      </c>
      <c r="F5558" s="142" t="s">
        <v>19948</v>
      </c>
      <c r="G5558" s="142" t="s">
        <v>33344</v>
      </c>
      <c r="H5558" s="142"/>
      <c r="I5558" s="143"/>
      <c r="J5558" s="143" t="s">
        <v>35681</v>
      </c>
      <c r="K5558" s="143" t="s">
        <v>35682</v>
      </c>
      <c r="L5558" s="145" t="s">
        <v>35683</v>
      </c>
      <c r="M5558" s="145" t="s">
        <v>35684</v>
      </c>
      <c r="N5558" s="12"/>
      <c r="O5558" s="12"/>
      <c r="P5558" s="13">
        <f>IFERROR(__xludf.DUMMYFUNCTION("VALUE(SUBSTITUTE((INDEX(SPLIT(A5558,"",""),1)),""."","","",1))"),52.961839)</f>
        <v>52.961839</v>
      </c>
      <c r="Q5558" s="13">
        <f>IFERROR(__xludf.DUMMYFUNCTION("VALUE(SUBSTITUTE((INDEX(SPLIT(A5558,"",""),2)),""."","","",1))"),55.926388)</f>
        <v>55.926388</v>
      </c>
      <c r="R5558" s="14" t="b">
        <f t="shared" si="1"/>
        <v>0</v>
      </c>
      <c r="S5558" s="14" t="str">
        <f t="shared" si="2"/>
        <v>52.961839,55.926388</v>
      </c>
      <c r="T5558" s="12"/>
    </row>
    <row r="5559">
      <c r="A5559" s="199" t="s">
        <v>35685</v>
      </c>
      <c r="B5559" s="140" t="s">
        <v>35686</v>
      </c>
      <c r="C5559" s="140" t="s">
        <v>35687</v>
      </c>
      <c r="D5559" s="140" t="s">
        <v>33342</v>
      </c>
      <c r="E5559" s="141" t="s">
        <v>35688</v>
      </c>
      <c r="F5559" s="139" t="s">
        <v>19948</v>
      </c>
      <c r="G5559" s="139" t="s">
        <v>33344</v>
      </c>
      <c r="H5559" s="139"/>
      <c r="I5559" s="140"/>
      <c r="J5559" s="140" t="s">
        <v>35689</v>
      </c>
      <c r="K5559" s="140" t="s">
        <v>35690</v>
      </c>
      <c r="L5559" s="140"/>
      <c r="M5559" s="140"/>
      <c r="N5559" s="12"/>
      <c r="O5559" s="12"/>
      <c r="P5559" s="13">
        <f>IFERROR(__xludf.DUMMYFUNCTION("VALUE(SUBSTITUTE((INDEX(SPLIT(A5559,"",""),1)),""."","","",1))"),54.492374)</f>
        <v>54.492374</v>
      </c>
      <c r="Q5559" s="13">
        <f>IFERROR(__xludf.DUMMYFUNCTION("VALUE(SUBSTITUTE((INDEX(SPLIT(A5559,"",""),2)),""."","","",1))"),53.440138)</f>
        <v>53.440138</v>
      </c>
      <c r="R5559" s="14" t="b">
        <f t="shared" si="1"/>
        <v>0</v>
      </c>
      <c r="S5559" s="14" t="str">
        <f t="shared" si="2"/>
        <v>54.492374,53.440138</v>
      </c>
      <c r="T5559" s="12"/>
    </row>
    <row r="5560">
      <c r="A5560" s="158" t="s">
        <v>35691</v>
      </c>
      <c r="B5560" s="137" t="s">
        <v>35692</v>
      </c>
      <c r="C5560" s="137" t="s">
        <v>35693</v>
      </c>
      <c r="D5560" s="137" t="s">
        <v>33342</v>
      </c>
      <c r="E5560" s="138" t="s">
        <v>35694</v>
      </c>
      <c r="F5560" s="136" t="s">
        <v>19948</v>
      </c>
      <c r="G5560" s="136" t="s">
        <v>33344</v>
      </c>
      <c r="H5560" s="136"/>
      <c r="I5560" s="137"/>
      <c r="J5560" s="137" t="s">
        <v>35695</v>
      </c>
      <c r="K5560" s="137" t="s">
        <v>35696</v>
      </c>
      <c r="L5560" s="137"/>
      <c r="M5560" s="153" t="s">
        <v>35697</v>
      </c>
      <c r="N5560" s="12"/>
      <c r="O5560" s="12"/>
      <c r="P5560" s="13">
        <f>IFERROR(__xludf.DUMMYFUNCTION("VALUE(SUBSTITUTE((INDEX(SPLIT(A5560,"",""),1)),""."","","",1))"),54.755358)</f>
        <v>54.755358</v>
      </c>
      <c r="Q5560" s="13">
        <f>IFERROR(__xludf.DUMMYFUNCTION("VALUE(SUBSTITUTE((INDEX(SPLIT(A5560,"",""),2)),""."","","",1))"),55.966722)</f>
        <v>55.966722</v>
      </c>
      <c r="R5560" s="14" t="b">
        <f t="shared" si="1"/>
        <v>0</v>
      </c>
      <c r="S5560" s="14" t="str">
        <f t="shared" si="2"/>
        <v>54.755358,55.966722</v>
      </c>
      <c r="T5560" s="12"/>
    </row>
    <row r="5561">
      <c r="A5561" s="202" t="s">
        <v>35698</v>
      </c>
      <c r="B5561" s="147" t="s">
        <v>35699</v>
      </c>
      <c r="C5561" s="147" t="s">
        <v>33613</v>
      </c>
      <c r="D5561" s="147" t="s">
        <v>33342</v>
      </c>
      <c r="E5561" s="148" t="s">
        <v>35700</v>
      </c>
      <c r="F5561" s="146" t="s">
        <v>19948</v>
      </c>
      <c r="G5561" s="146" t="s">
        <v>33344</v>
      </c>
      <c r="H5561" s="146"/>
      <c r="I5561" s="147"/>
      <c r="J5561" s="147" t="s">
        <v>35701</v>
      </c>
      <c r="K5561" s="147" t="s">
        <v>35702</v>
      </c>
      <c r="L5561" s="150" t="s">
        <v>35703</v>
      </c>
      <c r="M5561" s="147"/>
      <c r="N5561" s="12"/>
      <c r="O5561" s="12"/>
      <c r="P5561" s="13">
        <f>IFERROR(__xludf.DUMMYFUNCTION("VALUE(SUBSTITUTE((INDEX(SPLIT(A5561,"",""),1)),""."","","",1))"),53.684991)</f>
        <v>53.684991</v>
      </c>
      <c r="Q5561" s="13">
        <f>IFERROR(__xludf.DUMMYFUNCTION("VALUE(SUBSTITUTE((INDEX(SPLIT(A5561,"",""),2)),""."","","",1))"),55.993519)</f>
        <v>55.993519</v>
      </c>
      <c r="R5561" s="14" t="b">
        <f t="shared" si="1"/>
        <v>0</v>
      </c>
      <c r="S5561" s="14" t="str">
        <f t="shared" si="2"/>
        <v>53.684991,55.993519</v>
      </c>
      <c r="T5561" s="12"/>
    </row>
    <row r="5562">
      <c r="A5562" s="201" t="s">
        <v>35704</v>
      </c>
      <c r="B5562" s="143" t="s">
        <v>35705</v>
      </c>
      <c r="C5562" s="143" t="s">
        <v>35706</v>
      </c>
      <c r="D5562" s="143" t="s">
        <v>33342</v>
      </c>
      <c r="E5562" s="144" t="s">
        <v>35707</v>
      </c>
      <c r="F5562" s="142" t="s">
        <v>19948</v>
      </c>
      <c r="G5562" s="142" t="s">
        <v>33344</v>
      </c>
      <c r="H5562" s="142"/>
      <c r="I5562" s="143"/>
      <c r="J5562" s="143" t="s">
        <v>35708</v>
      </c>
      <c r="K5562" s="143" t="s">
        <v>35709</v>
      </c>
      <c r="L5562" s="145" t="s">
        <v>35710</v>
      </c>
      <c r="M5562" s="143"/>
      <c r="N5562" s="12"/>
      <c r="O5562" s="12"/>
      <c r="P5562" s="13">
        <f>IFERROR(__xludf.DUMMYFUNCTION("VALUE(SUBSTITUTE((INDEX(SPLIT(A5562,"",""),1)),""."","","",1))"),53.621784)</f>
        <v>53.621784</v>
      </c>
      <c r="Q5562" s="13">
        <f>IFERROR(__xludf.DUMMYFUNCTION("VALUE(SUBSTITUTE((INDEX(SPLIT(A5562,"",""),2)),""."","","",1))"),55.930511)</f>
        <v>55.930511</v>
      </c>
      <c r="R5562" s="14" t="b">
        <f t="shared" si="1"/>
        <v>0</v>
      </c>
      <c r="S5562" s="14" t="str">
        <f t="shared" si="2"/>
        <v>53.621784,55.930511</v>
      </c>
      <c r="T5562" s="12"/>
    </row>
    <row r="5563">
      <c r="A5563" s="202" t="s">
        <v>35711</v>
      </c>
      <c r="B5563" s="147" t="s">
        <v>35712</v>
      </c>
      <c r="C5563" s="147" t="s">
        <v>35713</v>
      </c>
      <c r="D5563" s="147" t="s">
        <v>33342</v>
      </c>
      <c r="E5563" s="148" t="s">
        <v>35714</v>
      </c>
      <c r="F5563" s="146" t="s">
        <v>19948</v>
      </c>
      <c r="G5563" s="146" t="s">
        <v>33344</v>
      </c>
      <c r="H5563" s="146"/>
      <c r="I5563" s="147"/>
      <c r="J5563" s="147" t="s">
        <v>35715</v>
      </c>
      <c r="K5563" s="147" t="s">
        <v>35716</v>
      </c>
      <c r="L5563" s="149" t="s">
        <v>35717</v>
      </c>
      <c r="M5563" s="147"/>
      <c r="N5563" s="12"/>
      <c r="O5563" s="12"/>
      <c r="P5563" s="13">
        <f>IFERROR(__xludf.DUMMYFUNCTION("VALUE(SUBSTITUTE((INDEX(SPLIT(A5563,"",""),1)),""."","","",1))"),54.791404)</f>
        <v>54.791404</v>
      </c>
      <c r="Q5563" s="13">
        <f>IFERROR(__xludf.DUMMYFUNCTION("VALUE(SUBSTITUTE((INDEX(SPLIT(A5563,"",""),2)),""."","","",1))"),55.884113)</f>
        <v>55.884113</v>
      </c>
      <c r="R5563" s="14" t="b">
        <f t="shared" si="1"/>
        <v>0</v>
      </c>
      <c r="S5563" s="14" t="str">
        <f t="shared" si="2"/>
        <v>54.791404,55.884113</v>
      </c>
      <c r="T5563" s="12"/>
    </row>
    <row r="5564">
      <c r="A5564" s="201" t="s">
        <v>35718</v>
      </c>
      <c r="B5564" s="143" t="s">
        <v>35719</v>
      </c>
      <c r="C5564" s="143" t="s">
        <v>35720</v>
      </c>
      <c r="D5564" s="143" t="s">
        <v>33342</v>
      </c>
      <c r="E5564" s="144" t="s">
        <v>35721</v>
      </c>
      <c r="F5564" s="142" t="s">
        <v>19948</v>
      </c>
      <c r="G5564" s="142" t="s">
        <v>33344</v>
      </c>
      <c r="H5564" s="142"/>
      <c r="I5564" s="143"/>
      <c r="J5564" s="143" t="s">
        <v>35722</v>
      </c>
      <c r="K5564" s="143" t="s">
        <v>35723</v>
      </c>
      <c r="L5564" s="145" t="s">
        <v>35724</v>
      </c>
      <c r="M5564" s="143"/>
      <c r="N5564" s="12"/>
      <c r="O5564" s="12"/>
      <c r="P5564" s="13">
        <f>IFERROR(__xludf.DUMMYFUNCTION("VALUE(SUBSTITUTE((INDEX(SPLIT(A5564,"",""),1)),""."","","",1))"),54.730557)</f>
        <v>54.730557</v>
      </c>
      <c r="Q5564" s="13">
        <f>IFERROR(__xludf.DUMMYFUNCTION("VALUE(SUBSTITUTE((INDEX(SPLIT(A5564,"",""),2)),""."","","",1))"),55.962635)</f>
        <v>55.962635</v>
      </c>
      <c r="R5564" s="14" t="b">
        <f t="shared" si="1"/>
        <v>0</v>
      </c>
      <c r="S5564" s="14" t="str">
        <f t="shared" si="2"/>
        <v>54.730557,55.962635</v>
      </c>
      <c r="T5564" s="12"/>
    </row>
    <row r="5565">
      <c r="A5565" s="202" t="s">
        <v>35725</v>
      </c>
      <c r="B5565" s="147" t="s">
        <v>35726</v>
      </c>
      <c r="C5565" s="147" t="s">
        <v>35727</v>
      </c>
      <c r="D5565" s="147" t="s">
        <v>33342</v>
      </c>
      <c r="E5565" s="148" t="s">
        <v>35728</v>
      </c>
      <c r="F5565" s="146" t="s">
        <v>19948</v>
      </c>
      <c r="G5565" s="146" t="s">
        <v>33344</v>
      </c>
      <c r="H5565" s="146"/>
      <c r="I5565" s="147"/>
      <c r="J5565" s="147" t="s">
        <v>35729</v>
      </c>
      <c r="K5565" s="147" t="s">
        <v>35730</v>
      </c>
      <c r="L5565" s="149" t="s">
        <v>35731</v>
      </c>
      <c r="M5565" s="147"/>
      <c r="N5565" s="12"/>
      <c r="O5565" s="12"/>
      <c r="P5565" s="13">
        <f>IFERROR(__xludf.DUMMYFUNCTION("VALUE(SUBSTITUTE((INDEX(SPLIT(A5565,"",""),1)),""."","","",1))"),53.690099)</f>
        <v>53.690099</v>
      </c>
      <c r="Q5565" s="13">
        <f>IFERROR(__xludf.DUMMYFUNCTION("VALUE(SUBSTITUTE((INDEX(SPLIT(A5565,"",""),2)),""."","","",1))"),55.967423)</f>
        <v>55.967423</v>
      </c>
      <c r="R5565" s="14" t="b">
        <f t="shared" si="1"/>
        <v>0</v>
      </c>
      <c r="S5565" s="14" t="str">
        <f t="shared" si="2"/>
        <v>53.690099,55.967423</v>
      </c>
      <c r="T5565" s="12"/>
    </row>
    <row r="5566">
      <c r="A5566" s="158" t="s">
        <v>35732</v>
      </c>
      <c r="B5566" s="137" t="s">
        <v>35733</v>
      </c>
      <c r="C5566" s="137" t="s">
        <v>35734</v>
      </c>
      <c r="D5566" s="137" t="s">
        <v>33342</v>
      </c>
      <c r="E5566" s="138" t="s">
        <v>35735</v>
      </c>
      <c r="F5566" s="136" t="s">
        <v>19948</v>
      </c>
      <c r="G5566" s="136" t="s">
        <v>33344</v>
      </c>
      <c r="H5566" s="136"/>
      <c r="I5566" s="137"/>
      <c r="J5566" s="137" t="s">
        <v>35736</v>
      </c>
      <c r="K5566" s="137" t="s">
        <v>35737</v>
      </c>
      <c r="L5566" s="137"/>
      <c r="M5566" s="137"/>
      <c r="N5566" s="12"/>
      <c r="O5566" s="12"/>
      <c r="P5566" s="13">
        <f>IFERROR(__xludf.DUMMYFUNCTION("VALUE(SUBSTITUTE((INDEX(SPLIT(A5566,"",""),1)),""."","","",1))"),53.653527)</f>
        <v>53.653527</v>
      </c>
      <c r="Q5566" s="13">
        <f>IFERROR(__xludf.DUMMYFUNCTION("VALUE(SUBSTITUTE((INDEX(SPLIT(A5566,"",""),2)),""."","","",1))"),55.970172)</f>
        <v>55.970172</v>
      </c>
      <c r="R5566" s="14" t="b">
        <f t="shared" si="1"/>
        <v>0</v>
      </c>
      <c r="S5566" s="14" t="str">
        <f t="shared" si="2"/>
        <v>53.653527,55.970172</v>
      </c>
      <c r="T5566" s="12"/>
    </row>
    <row r="5567">
      <c r="A5567" s="202" t="s">
        <v>35738</v>
      </c>
      <c r="B5567" s="147" t="s">
        <v>35739</v>
      </c>
      <c r="C5567" s="147" t="s">
        <v>35740</v>
      </c>
      <c r="D5567" s="147" t="s">
        <v>33342</v>
      </c>
      <c r="E5567" s="148" t="s">
        <v>35741</v>
      </c>
      <c r="F5567" s="146" t="s">
        <v>19948</v>
      </c>
      <c r="G5567" s="146" t="s">
        <v>33344</v>
      </c>
      <c r="H5567" s="146"/>
      <c r="I5567" s="147"/>
      <c r="J5567" s="147" t="s">
        <v>35742</v>
      </c>
      <c r="K5567" s="147" t="s">
        <v>35743</v>
      </c>
      <c r="L5567" s="149" t="s">
        <v>35744</v>
      </c>
      <c r="M5567" s="149" t="s">
        <v>35745</v>
      </c>
      <c r="N5567" s="12"/>
      <c r="O5567" s="12"/>
      <c r="P5567" s="13">
        <f>IFERROR(__xludf.DUMMYFUNCTION("VALUE(SUBSTITUTE((INDEX(SPLIT(A5567,"",""),1)),""."","","",1))"),54.884809)</f>
        <v>54.884809</v>
      </c>
      <c r="Q5567" s="13">
        <f>IFERROR(__xludf.DUMMYFUNCTION("VALUE(SUBSTITUTE((INDEX(SPLIT(A5567,"",""),2)),""."","","",1))"),52.285148)</f>
        <v>52.285148</v>
      </c>
      <c r="R5567" s="14" t="b">
        <f t="shared" si="1"/>
        <v>0</v>
      </c>
      <c r="S5567" s="14" t="str">
        <f t="shared" si="2"/>
        <v>54.884809,52.285148</v>
      </c>
      <c r="T5567" s="12"/>
    </row>
    <row r="5568">
      <c r="A5568" s="158" t="s">
        <v>35746</v>
      </c>
      <c r="B5568" s="137" t="s">
        <v>35747</v>
      </c>
      <c r="C5568" s="137" t="s">
        <v>35748</v>
      </c>
      <c r="D5568" s="137" t="s">
        <v>33342</v>
      </c>
      <c r="E5568" s="138" t="s">
        <v>35749</v>
      </c>
      <c r="F5568" s="136" t="s">
        <v>19948</v>
      </c>
      <c r="G5568" s="136" t="s">
        <v>33344</v>
      </c>
      <c r="H5568" s="136"/>
      <c r="I5568" s="137"/>
      <c r="J5568" s="137" t="s">
        <v>35750</v>
      </c>
      <c r="K5568" s="137" t="s">
        <v>35751</v>
      </c>
      <c r="L5568" s="137"/>
      <c r="M5568" s="153" t="s">
        <v>35752</v>
      </c>
      <c r="N5568" s="12"/>
      <c r="O5568" s="12"/>
      <c r="P5568" s="13">
        <f>IFERROR(__xludf.DUMMYFUNCTION("VALUE(SUBSTITUTE((INDEX(SPLIT(A5568,"",""),1)),""."","","",1))"),54.599685)</f>
        <v>54.599685</v>
      </c>
      <c r="Q5568" s="13">
        <f>IFERROR(__xludf.DUMMYFUNCTION("VALUE(SUBSTITUTE((INDEX(SPLIT(A5568,"",""),2)),""."","","",1))"),53.708627)</f>
        <v>53.708627</v>
      </c>
      <c r="R5568" s="14" t="b">
        <f t="shared" si="1"/>
        <v>0</v>
      </c>
      <c r="S5568" s="14" t="str">
        <f t="shared" si="2"/>
        <v>54.599685,53.708627</v>
      </c>
      <c r="T5568" s="12"/>
    </row>
    <row r="5569">
      <c r="A5569" s="199" t="s">
        <v>35753</v>
      </c>
      <c r="B5569" s="140" t="s">
        <v>13209</v>
      </c>
      <c r="C5569" s="140" t="s">
        <v>35754</v>
      </c>
      <c r="D5569" s="140" t="s">
        <v>33342</v>
      </c>
      <c r="E5569" s="141" t="s">
        <v>35755</v>
      </c>
      <c r="F5569" s="139" t="s">
        <v>19948</v>
      </c>
      <c r="G5569" s="139" t="s">
        <v>33344</v>
      </c>
      <c r="H5569" s="139"/>
      <c r="I5569" s="140"/>
      <c r="J5569" s="140" t="s">
        <v>35756</v>
      </c>
      <c r="K5569" s="140" t="s">
        <v>35757</v>
      </c>
      <c r="L5569" s="140"/>
      <c r="M5569" s="140"/>
      <c r="N5569" s="12"/>
      <c r="O5569" s="12"/>
      <c r="P5569" s="13">
        <f>IFERROR(__xludf.DUMMYFUNCTION("VALUE(SUBSTITUTE((INDEX(SPLIT(A5569,"",""),1)),""."","","",1))"),56.253892)</f>
        <v>56.253892</v>
      </c>
      <c r="Q5569" s="13">
        <f>IFERROR(__xludf.DUMMYFUNCTION("VALUE(SUBSTITUTE((INDEX(SPLIT(A5569,"",""),2)),""."","","",1))"),54.95168)</f>
        <v>54.95168</v>
      </c>
      <c r="R5569" s="14" t="b">
        <f t="shared" si="1"/>
        <v>0</v>
      </c>
      <c r="S5569" s="14" t="str">
        <f t="shared" si="2"/>
        <v>56.253892,54.95168</v>
      </c>
      <c r="T5569" s="12"/>
    </row>
    <row r="5570">
      <c r="A5570" s="201" t="s">
        <v>35758</v>
      </c>
      <c r="B5570" s="143" t="s">
        <v>35759</v>
      </c>
      <c r="C5570" s="143" t="s">
        <v>35760</v>
      </c>
      <c r="D5570" s="143" t="s">
        <v>33342</v>
      </c>
      <c r="E5570" s="144" t="s">
        <v>35761</v>
      </c>
      <c r="F5570" s="142" t="s">
        <v>19948</v>
      </c>
      <c r="G5570" s="142" t="s">
        <v>33344</v>
      </c>
      <c r="H5570" s="142"/>
      <c r="I5570" s="143"/>
      <c r="J5570" s="143" t="s">
        <v>35762</v>
      </c>
      <c r="K5570" s="143" t="s">
        <v>35763</v>
      </c>
      <c r="L5570" s="152" t="s">
        <v>35764</v>
      </c>
      <c r="M5570" s="143"/>
      <c r="N5570" s="12"/>
      <c r="O5570" s="12"/>
      <c r="P5570" s="13">
        <f>IFERROR(__xludf.DUMMYFUNCTION("VALUE(SUBSTITUTE((INDEX(SPLIT(A5570,"",""),1)),""."","","",1))"),54.688191)</f>
        <v>54.688191</v>
      </c>
      <c r="Q5570" s="13">
        <f>IFERROR(__xludf.DUMMYFUNCTION("VALUE(SUBSTITUTE((INDEX(SPLIT(A5570,"",""),2)),""."","","",1))"),55.796949)</f>
        <v>55.796949</v>
      </c>
      <c r="R5570" s="14" t="b">
        <f t="shared" si="1"/>
        <v>0</v>
      </c>
      <c r="S5570" s="14" t="str">
        <f t="shared" si="2"/>
        <v>54.688191,55.796949</v>
      </c>
      <c r="T5570" s="12"/>
    </row>
    <row r="5571">
      <c r="A5571" s="199" t="s">
        <v>35765</v>
      </c>
      <c r="B5571" s="140" t="s">
        <v>35766</v>
      </c>
      <c r="C5571" s="140" t="s">
        <v>35767</v>
      </c>
      <c r="D5571" s="140" t="s">
        <v>33342</v>
      </c>
      <c r="E5571" s="141" t="s">
        <v>35768</v>
      </c>
      <c r="F5571" s="139" t="s">
        <v>19948</v>
      </c>
      <c r="G5571" s="139" t="s">
        <v>33344</v>
      </c>
      <c r="H5571" s="139"/>
      <c r="I5571" s="140"/>
      <c r="J5571" s="140" t="s">
        <v>35769</v>
      </c>
      <c r="K5571" s="140" t="s">
        <v>35770</v>
      </c>
      <c r="L5571" s="140"/>
      <c r="M5571" s="140"/>
      <c r="N5571" s="12"/>
      <c r="O5571" s="12"/>
      <c r="P5571" s="13">
        <f>IFERROR(__xludf.DUMMYFUNCTION("VALUE(SUBSTITUTE((INDEX(SPLIT(A5571,"",""),1)),""."","","",1))"),54.696314)</f>
        <v>54.696314</v>
      </c>
      <c r="Q5571" s="13">
        <f>IFERROR(__xludf.DUMMYFUNCTION("VALUE(SUBSTITUTE((INDEX(SPLIT(A5571,"",""),2)),""."","","",1))"),55.82433)</f>
        <v>55.82433</v>
      </c>
      <c r="R5571" s="14" t="b">
        <f t="shared" si="1"/>
        <v>0</v>
      </c>
      <c r="S5571" s="14" t="str">
        <f t="shared" si="2"/>
        <v>54.696314,55.82433</v>
      </c>
      <c r="T5571" s="12"/>
    </row>
    <row r="5572">
      <c r="A5572" s="158" t="s">
        <v>35771</v>
      </c>
      <c r="B5572" s="137" t="s">
        <v>35772</v>
      </c>
      <c r="C5572" s="137" t="s">
        <v>35773</v>
      </c>
      <c r="D5572" s="137" t="s">
        <v>33342</v>
      </c>
      <c r="E5572" s="138" t="s">
        <v>35774</v>
      </c>
      <c r="F5572" s="136" t="s">
        <v>19948</v>
      </c>
      <c r="G5572" s="136" t="s">
        <v>33344</v>
      </c>
      <c r="H5572" s="136"/>
      <c r="I5572" s="137"/>
      <c r="J5572" s="137" t="s">
        <v>35775</v>
      </c>
      <c r="K5572" s="137" t="s">
        <v>35776</v>
      </c>
      <c r="L5572" s="137"/>
      <c r="M5572" s="153" t="s">
        <v>35777</v>
      </c>
      <c r="N5572" s="12"/>
      <c r="O5572" s="12"/>
      <c r="P5572" s="13">
        <f>IFERROR(__xludf.DUMMYFUNCTION("VALUE(SUBSTITUTE((INDEX(SPLIT(A5572,"",""),1)),""."","","",1))"),54.706485)</f>
        <v>54.706485</v>
      </c>
      <c r="Q5572" s="13">
        <f>IFERROR(__xludf.DUMMYFUNCTION("VALUE(SUBSTITUTE((INDEX(SPLIT(A5572,"",""),2)),""."","","",1))"),55.835209)</f>
        <v>55.835209</v>
      </c>
      <c r="R5572" s="14" t="b">
        <f t="shared" si="1"/>
        <v>0</v>
      </c>
      <c r="S5572" s="14" t="str">
        <f t="shared" si="2"/>
        <v>54.706485,55.835209</v>
      </c>
      <c r="T5572" s="12"/>
    </row>
    <row r="5573">
      <c r="A5573" s="202" t="s">
        <v>35778</v>
      </c>
      <c r="B5573" s="147" t="s">
        <v>11526</v>
      </c>
      <c r="C5573" s="147" t="s">
        <v>35779</v>
      </c>
      <c r="D5573" s="147" t="s">
        <v>33342</v>
      </c>
      <c r="E5573" s="148" t="s">
        <v>35780</v>
      </c>
      <c r="F5573" s="146" t="s">
        <v>19948</v>
      </c>
      <c r="G5573" s="146" t="s">
        <v>33344</v>
      </c>
      <c r="H5573" s="146"/>
      <c r="I5573" s="147"/>
      <c r="J5573" s="147" t="s">
        <v>35781</v>
      </c>
      <c r="K5573" s="147" t="s">
        <v>35782</v>
      </c>
      <c r="L5573" s="149" t="s">
        <v>35783</v>
      </c>
      <c r="M5573" s="147"/>
      <c r="N5573" s="12"/>
      <c r="O5573" s="12"/>
      <c r="P5573" s="13">
        <f>IFERROR(__xludf.DUMMYFUNCTION("VALUE(SUBSTITUTE((INDEX(SPLIT(A5573,"",""),1)),""."","","",1))"),54.696199)</f>
        <v>54.696199</v>
      </c>
      <c r="Q5573" s="13">
        <f>IFERROR(__xludf.DUMMYFUNCTION("VALUE(SUBSTITUTE((INDEX(SPLIT(A5573,"",""),2)),""."","","",1))"),56.131428)</f>
        <v>56.131428</v>
      </c>
      <c r="R5573" s="14" t="b">
        <f t="shared" si="1"/>
        <v>0</v>
      </c>
      <c r="S5573" s="14" t="str">
        <f t="shared" si="2"/>
        <v>54.696199,56.131428</v>
      </c>
      <c r="T5573" s="12"/>
    </row>
    <row r="5574">
      <c r="A5574" s="201" t="s">
        <v>35784</v>
      </c>
      <c r="B5574" s="143" t="s">
        <v>35785</v>
      </c>
      <c r="C5574" s="143" t="s">
        <v>35786</v>
      </c>
      <c r="D5574" s="143" t="s">
        <v>33342</v>
      </c>
      <c r="E5574" s="144" t="s">
        <v>35787</v>
      </c>
      <c r="F5574" s="142" t="s">
        <v>19948</v>
      </c>
      <c r="G5574" s="142" t="s">
        <v>33344</v>
      </c>
      <c r="H5574" s="142"/>
      <c r="I5574" s="143"/>
      <c r="J5574" s="143" t="s">
        <v>35788</v>
      </c>
      <c r="K5574" s="143" t="s">
        <v>35789</v>
      </c>
      <c r="L5574" s="145" t="s">
        <v>35790</v>
      </c>
      <c r="M5574" s="143"/>
      <c r="N5574" s="12"/>
      <c r="O5574" s="12"/>
      <c r="P5574" s="13">
        <f>IFERROR(__xludf.DUMMYFUNCTION("VALUE(SUBSTITUTE((INDEX(SPLIT(A5574,"",""),1)),""."","","",1))"),54.695362)</f>
        <v>54.695362</v>
      </c>
      <c r="Q5574" s="13">
        <f>IFERROR(__xludf.DUMMYFUNCTION("VALUE(SUBSTITUTE((INDEX(SPLIT(A5574,"",""),2)),""."","","",1))"),55.954694)</f>
        <v>55.954694</v>
      </c>
      <c r="R5574" s="14" t="b">
        <f t="shared" si="1"/>
        <v>0</v>
      </c>
      <c r="S5574" s="14" t="str">
        <f t="shared" si="2"/>
        <v>54.695362,55.954694</v>
      </c>
      <c r="T5574" s="12"/>
    </row>
    <row r="5575">
      <c r="A5575" s="202" t="s">
        <v>35791</v>
      </c>
      <c r="B5575" s="147" t="s">
        <v>5985</v>
      </c>
      <c r="C5575" s="147" t="s">
        <v>35792</v>
      </c>
      <c r="D5575" s="147" t="s">
        <v>33342</v>
      </c>
      <c r="E5575" s="148" t="s">
        <v>35793</v>
      </c>
      <c r="F5575" s="146" t="s">
        <v>19948</v>
      </c>
      <c r="G5575" s="146" t="s">
        <v>33344</v>
      </c>
      <c r="H5575" s="146"/>
      <c r="I5575" s="147"/>
      <c r="J5575" s="147" t="s">
        <v>35794</v>
      </c>
      <c r="K5575" s="147" t="s">
        <v>35795</v>
      </c>
      <c r="L5575" s="149" t="s">
        <v>35796</v>
      </c>
      <c r="M5575" s="149" t="s">
        <v>35797</v>
      </c>
      <c r="N5575" s="12"/>
      <c r="O5575" s="12"/>
      <c r="P5575" s="13">
        <f>IFERROR(__xludf.DUMMYFUNCTION("VALUE(SUBSTITUTE((INDEX(SPLIT(A5575,"",""),1)),""."","","",1))"),54.725093)</f>
        <v>54.725093</v>
      </c>
      <c r="Q5575" s="13">
        <f>IFERROR(__xludf.DUMMYFUNCTION("VALUE(SUBSTITUTE((INDEX(SPLIT(A5575,"",""),2)),""."","","",1))"),55.931876)</f>
        <v>55.931876</v>
      </c>
      <c r="R5575" s="14" t="b">
        <f t="shared" si="1"/>
        <v>0</v>
      </c>
      <c r="S5575" s="14" t="str">
        <f t="shared" si="2"/>
        <v>54.725093,55.931876</v>
      </c>
      <c r="T5575" s="12"/>
    </row>
    <row r="5576">
      <c r="A5576" s="201" t="s">
        <v>35798</v>
      </c>
      <c r="B5576" s="143" t="s">
        <v>35799</v>
      </c>
      <c r="C5576" s="143" t="s">
        <v>35800</v>
      </c>
      <c r="D5576" s="143" t="s">
        <v>33342</v>
      </c>
      <c r="E5576" s="144" t="s">
        <v>35801</v>
      </c>
      <c r="F5576" s="142" t="s">
        <v>19948</v>
      </c>
      <c r="G5576" s="142" t="s">
        <v>33344</v>
      </c>
      <c r="H5576" s="142"/>
      <c r="I5576" s="143"/>
      <c r="J5576" s="143" t="s">
        <v>35802</v>
      </c>
      <c r="K5576" s="143" t="s">
        <v>35803</v>
      </c>
      <c r="L5576" s="152" t="s">
        <v>35804</v>
      </c>
      <c r="M5576" s="143"/>
      <c r="N5576" s="12"/>
      <c r="O5576" s="12"/>
      <c r="P5576" s="13">
        <f>IFERROR(__xludf.DUMMYFUNCTION("VALUE(SUBSTITUTE((INDEX(SPLIT(A5576,"",""),1)),""."","","",1))"),54.708274)</f>
        <v>54.708274</v>
      </c>
      <c r="Q5576" s="13">
        <f>IFERROR(__xludf.DUMMYFUNCTION("VALUE(SUBSTITUTE((INDEX(SPLIT(A5576,"",""),2)),""."","","",1))"),55.82327)</f>
        <v>55.82327</v>
      </c>
      <c r="R5576" s="14" t="b">
        <f t="shared" si="1"/>
        <v>0</v>
      </c>
      <c r="S5576" s="14" t="str">
        <f t="shared" si="2"/>
        <v>54.708274,55.82327</v>
      </c>
      <c r="T5576" s="12"/>
    </row>
    <row r="5577">
      <c r="A5577" s="202" t="s">
        <v>35805</v>
      </c>
      <c r="B5577" s="147" t="s">
        <v>35806</v>
      </c>
      <c r="C5577" s="147" t="s">
        <v>35807</v>
      </c>
      <c r="D5577" s="147" t="s">
        <v>33342</v>
      </c>
      <c r="E5577" s="148" t="s">
        <v>35808</v>
      </c>
      <c r="F5577" s="146" t="s">
        <v>19948</v>
      </c>
      <c r="G5577" s="146" t="s">
        <v>33344</v>
      </c>
      <c r="H5577" s="146"/>
      <c r="I5577" s="147"/>
      <c r="J5577" s="147" t="s">
        <v>35809</v>
      </c>
      <c r="K5577" s="147" t="s">
        <v>35810</v>
      </c>
      <c r="L5577" s="149" t="s">
        <v>35811</v>
      </c>
      <c r="M5577" s="149" t="s">
        <v>35812</v>
      </c>
      <c r="N5577" s="12"/>
      <c r="O5577" s="12"/>
      <c r="P5577" s="13">
        <f>IFERROR(__xludf.DUMMYFUNCTION("VALUE(SUBSTITUTE((INDEX(SPLIT(A5577,"",""),1)),""."","","",1))"),54.77791)</f>
        <v>54.77791</v>
      </c>
      <c r="Q5577" s="13">
        <f>IFERROR(__xludf.DUMMYFUNCTION("VALUE(SUBSTITUTE((INDEX(SPLIT(A5577,"",""),2)),""."","","",1))"),56.03653)</f>
        <v>56.03653</v>
      </c>
      <c r="R5577" s="14" t="b">
        <f t="shared" si="1"/>
        <v>0</v>
      </c>
      <c r="S5577" s="14" t="str">
        <f t="shared" si="2"/>
        <v>54.77791,56.03653</v>
      </c>
      <c r="T5577" s="12"/>
    </row>
    <row r="5578">
      <c r="A5578" s="158" t="s">
        <v>35813</v>
      </c>
      <c r="B5578" s="137" t="s">
        <v>35814</v>
      </c>
      <c r="C5578" s="137" t="s">
        <v>35815</v>
      </c>
      <c r="D5578" s="137" t="s">
        <v>33342</v>
      </c>
      <c r="E5578" s="138" t="s">
        <v>35816</v>
      </c>
      <c r="F5578" s="136" t="s">
        <v>19948</v>
      </c>
      <c r="G5578" s="136" t="s">
        <v>33344</v>
      </c>
      <c r="H5578" s="136"/>
      <c r="I5578" s="137"/>
      <c r="J5578" s="137" t="s">
        <v>35817</v>
      </c>
      <c r="K5578" s="137" t="s">
        <v>35770</v>
      </c>
      <c r="L5578" s="137"/>
      <c r="M5578" s="137"/>
      <c r="N5578" s="12"/>
      <c r="O5578" s="12"/>
      <c r="P5578" s="13">
        <f>IFERROR(__xludf.DUMMYFUNCTION("VALUE(SUBSTITUTE((INDEX(SPLIT(A5578,"",""),1)),""."","","",1))"),54.704149)</f>
        <v>54.704149</v>
      </c>
      <c r="Q5578" s="13">
        <f>IFERROR(__xludf.DUMMYFUNCTION("VALUE(SUBSTITUTE((INDEX(SPLIT(A5578,"",""),2)),""."","","",1))"),55.985892)</f>
        <v>55.985892</v>
      </c>
      <c r="R5578" s="14" t="b">
        <f t="shared" si="1"/>
        <v>0</v>
      </c>
      <c r="S5578" s="14" t="str">
        <f t="shared" si="2"/>
        <v>54.704149,55.985892</v>
      </c>
      <c r="T5578" s="12"/>
    </row>
    <row r="5579">
      <c r="A5579" s="199" t="s">
        <v>35818</v>
      </c>
      <c r="B5579" s="140" t="s">
        <v>3834</v>
      </c>
      <c r="C5579" s="140" t="s">
        <v>7050</v>
      </c>
      <c r="D5579" s="140" t="s">
        <v>33342</v>
      </c>
      <c r="E5579" s="141" t="s">
        <v>35819</v>
      </c>
      <c r="F5579" s="139" t="s">
        <v>19948</v>
      </c>
      <c r="G5579" s="139" t="s">
        <v>33344</v>
      </c>
      <c r="H5579" s="139"/>
      <c r="I5579" s="140"/>
      <c r="J5579" s="140" t="s">
        <v>35820</v>
      </c>
      <c r="K5579" s="140" t="s">
        <v>35821</v>
      </c>
      <c r="L5579" s="140"/>
      <c r="M5579" s="140"/>
      <c r="N5579" s="12"/>
      <c r="O5579" s="12"/>
      <c r="P5579" s="13">
        <f>IFERROR(__xludf.DUMMYFUNCTION("VALUE(SUBSTITUTE((INDEX(SPLIT(A5579,"",""),1)),""."","","",1))"),54.693894)</f>
        <v>54.693894</v>
      </c>
      <c r="Q5579" s="13">
        <f>IFERROR(__xludf.DUMMYFUNCTION("VALUE(SUBSTITUTE((INDEX(SPLIT(A5579,"",""),2)),""."","","",1))"),56.001756)</f>
        <v>56.001756</v>
      </c>
      <c r="R5579" s="14" t="b">
        <f t="shared" si="1"/>
        <v>0</v>
      </c>
      <c r="S5579" s="14" t="str">
        <f t="shared" si="2"/>
        <v>54.693894,56.001756</v>
      </c>
      <c r="T5579" s="12"/>
    </row>
    <row r="5580">
      <c r="A5580" s="158" t="s">
        <v>35822</v>
      </c>
      <c r="B5580" s="137" t="s">
        <v>7514</v>
      </c>
      <c r="C5580" s="137" t="s">
        <v>35171</v>
      </c>
      <c r="D5580" s="137" t="s">
        <v>33342</v>
      </c>
      <c r="E5580" s="138" t="s">
        <v>35823</v>
      </c>
      <c r="F5580" s="136" t="s">
        <v>19948</v>
      </c>
      <c r="G5580" s="136" t="s">
        <v>33344</v>
      </c>
      <c r="H5580" s="136"/>
      <c r="I5580" s="137"/>
      <c r="J5580" s="137" t="s">
        <v>35824</v>
      </c>
      <c r="K5580" s="137" t="s">
        <v>35825</v>
      </c>
      <c r="L5580" s="137"/>
      <c r="M5580" s="137"/>
      <c r="N5580" s="12"/>
      <c r="O5580" s="12"/>
      <c r="P5580" s="13">
        <f>IFERROR(__xludf.DUMMYFUNCTION("VALUE(SUBSTITUTE((INDEX(SPLIT(A5580,"",""),1)),""."","","",1))"),54.673533)</f>
        <v>54.673533</v>
      </c>
      <c r="Q5580" s="13">
        <f>IFERROR(__xludf.DUMMYFUNCTION("VALUE(SUBSTITUTE((INDEX(SPLIT(A5580,"",""),2)),""."","","",1))"),55.950597)</f>
        <v>55.950597</v>
      </c>
      <c r="R5580" s="14" t="b">
        <f t="shared" si="1"/>
        <v>0</v>
      </c>
      <c r="S5580" s="14" t="str">
        <f t="shared" si="2"/>
        <v>54.673533,55.950597</v>
      </c>
      <c r="T5580" s="12"/>
    </row>
    <row r="5581">
      <c r="A5581" s="199" t="s">
        <v>35826</v>
      </c>
      <c r="B5581" s="140" t="s">
        <v>35827</v>
      </c>
      <c r="C5581" s="140" t="s">
        <v>35828</v>
      </c>
      <c r="D5581" s="140" t="s">
        <v>33342</v>
      </c>
      <c r="E5581" s="141" t="s">
        <v>35829</v>
      </c>
      <c r="F5581" s="139" t="s">
        <v>19948</v>
      </c>
      <c r="G5581" s="139" t="s">
        <v>33344</v>
      </c>
      <c r="H5581" s="139"/>
      <c r="I5581" s="140"/>
      <c r="J5581" s="140" t="s">
        <v>35830</v>
      </c>
      <c r="K5581" s="140" t="s">
        <v>35831</v>
      </c>
      <c r="L5581" s="140"/>
      <c r="M5581" s="140"/>
      <c r="N5581" s="12"/>
      <c r="O5581" s="12"/>
      <c r="P5581" s="13">
        <f>IFERROR(__xludf.DUMMYFUNCTION("VALUE(SUBSTITUTE((INDEX(SPLIT(A5581,"",""),1)),""."","","",1))"),54.570969)</f>
        <v>54.570969</v>
      </c>
      <c r="Q5581" s="13">
        <f>IFERROR(__xludf.DUMMYFUNCTION("VALUE(SUBSTITUTE((INDEX(SPLIT(A5581,"",""),2)),""."","","",1))"),55.926738)</f>
        <v>55.926738</v>
      </c>
      <c r="R5581" s="14" t="b">
        <f t="shared" si="1"/>
        <v>0</v>
      </c>
      <c r="S5581" s="14" t="str">
        <f t="shared" si="2"/>
        <v>54.570969,55.926738</v>
      </c>
      <c r="T5581" s="12"/>
    </row>
    <row r="5582">
      <c r="A5582" s="158" t="s">
        <v>35832</v>
      </c>
      <c r="B5582" s="137" t="s">
        <v>35833</v>
      </c>
      <c r="C5582" s="137" t="s">
        <v>35834</v>
      </c>
      <c r="D5582" s="137" t="s">
        <v>33342</v>
      </c>
      <c r="E5582" s="138" t="s">
        <v>35835</v>
      </c>
      <c r="F5582" s="136" t="s">
        <v>19948</v>
      </c>
      <c r="G5582" s="136" t="s">
        <v>33344</v>
      </c>
      <c r="H5582" s="136"/>
      <c r="I5582" s="137"/>
      <c r="J5582" s="137" t="s">
        <v>35836</v>
      </c>
      <c r="K5582" s="137" t="s">
        <v>35837</v>
      </c>
      <c r="L5582" s="137"/>
      <c r="M5582" s="137"/>
      <c r="N5582" s="12"/>
      <c r="O5582" s="12"/>
      <c r="P5582" s="13">
        <f>IFERROR(__xludf.DUMMYFUNCTION("VALUE(SUBSTITUTE((INDEX(SPLIT(A5582,"",""),1)),""."","","",1))"),54.703951)</f>
        <v>54.703951</v>
      </c>
      <c r="Q5582" s="13">
        <f>IFERROR(__xludf.DUMMYFUNCTION("VALUE(SUBSTITUTE((INDEX(SPLIT(A5582,"",""),2)),""."","","",1))"),55.985838)</f>
        <v>55.985838</v>
      </c>
      <c r="R5582" s="14" t="b">
        <f t="shared" si="1"/>
        <v>0</v>
      </c>
      <c r="S5582" s="14" t="str">
        <f t="shared" si="2"/>
        <v>54.703951,55.985838</v>
      </c>
      <c r="T5582" s="12"/>
    </row>
    <row r="5583">
      <c r="A5583" s="199" t="s">
        <v>35838</v>
      </c>
      <c r="B5583" s="140" t="s">
        <v>2881</v>
      </c>
      <c r="C5583" s="140" t="s">
        <v>35839</v>
      </c>
      <c r="D5583" s="140" t="s">
        <v>33342</v>
      </c>
      <c r="E5583" s="141" t="s">
        <v>35840</v>
      </c>
      <c r="F5583" s="139" t="s">
        <v>19948</v>
      </c>
      <c r="G5583" s="139" t="s">
        <v>33344</v>
      </c>
      <c r="H5583" s="139"/>
      <c r="I5583" s="140"/>
      <c r="J5583" s="140" t="s">
        <v>35841</v>
      </c>
      <c r="K5583" s="140" t="s">
        <v>35842</v>
      </c>
      <c r="L5583" s="140"/>
      <c r="M5583" s="140"/>
      <c r="N5583" s="12"/>
      <c r="O5583" s="12"/>
      <c r="P5583" s="13">
        <f>IFERROR(__xludf.DUMMYFUNCTION("VALUE(SUBSTITUTE((INDEX(SPLIT(A5583,"",""),1)),""."","","",1))"),54.701329)</f>
        <v>54.701329</v>
      </c>
      <c r="Q5583" s="13">
        <f>IFERROR(__xludf.DUMMYFUNCTION("VALUE(SUBSTITUTE((INDEX(SPLIT(A5583,"",""),2)),""."","","",1))"),55.998172)</f>
        <v>55.998172</v>
      </c>
      <c r="R5583" s="14" t="b">
        <f t="shared" si="1"/>
        <v>0</v>
      </c>
      <c r="S5583" s="14" t="str">
        <f t="shared" si="2"/>
        <v>54.701329,55.998172</v>
      </c>
      <c r="T5583" s="12"/>
    </row>
    <row r="5584">
      <c r="A5584" s="158" t="s">
        <v>35843</v>
      </c>
      <c r="B5584" s="137" t="s">
        <v>35844</v>
      </c>
      <c r="C5584" s="137" t="s">
        <v>35845</v>
      </c>
      <c r="D5584" s="137" t="s">
        <v>33342</v>
      </c>
      <c r="E5584" s="138" t="s">
        <v>35846</v>
      </c>
      <c r="F5584" s="136" t="s">
        <v>19948</v>
      </c>
      <c r="G5584" s="136" t="s">
        <v>33344</v>
      </c>
      <c r="H5584" s="136"/>
      <c r="I5584" s="137"/>
      <c r="J5584" s="137" t="s">
        <v>35847</v>
      </c>
      <c r="K5584" s="137" t="s">
        <v>35848</v>
      </c>
      <c r="L5584" s="137"/>
      <c r="M5584" s="153" t="s">
        <v>35849</v>
      </c>
      <c r="N5584" s="12"/>
      <c r="O5584" s="12"/>
      <c r="P5584" s="13">
        <f>IFERROR(__xludf.DUMMYFUNCTION("VALUE(SUBSTITUTE((INDEX(SPLIT(A5584,"",""),1)),""."","","",1))"),54.716871)</f>
        <v>54.716871</v>
      </c>
      <c r="Q5584" s="13">
        <f>IFERROR(__xludf.DUMMYFUNCTION("VALUE(SUBSTITUTE((INDEX(SPLIT(A5584,"",""),2)),""."","","",1))"),56.00976)</f>
        <v>56.00976</v>
      </c>
      <c r="R5584" s="14" t="b">
        <f t="shared" si="1"/>
        <v>0</v>
      </c>
      <c r="S5584" s="14" t="str">
        <f t="shared" si="2"/>
        <v>54.716871,56.00976</v>
      </c>
      <c r="T5584" s="12"/>
    </row>
    <row r="5585">
      <c r="A5585" s="199" t="s">
        <v>35850</v>
      </c>
      <c r="B5585" s="140" t="s">
        <v>35851</v>
      </c>
      <c r="C5585" s="140" t="s">
        <v>35852</v>
      </c>
      <c r="D5585" s="140" t="s">
        <v>33342</v>
      </c>
      <c r="E5585" s="141" t="s">
        <v>35853</v>
      </c>
      <c r="F5585" s="139" t="s">
        <v>19948</v>
      </c>
      <c r="G5585" s="139" t="s">
        <v>33344</v>
      </c>
      <c r="H5585" s="139"/>
      <c r="I5585" s="140"/>
      <c r="J5585" s="140" t="s">
        <v>35854</v>
      </c>
      <c r="K5585" s="140" t="s">
        <v>35855</v>
      </c>
      <c r="L5585" s="140"/>
      <c r="M5585" s="154" t="s">
        <v>35856</v>
      </c>
      <c r="N5585" s="12"/>
      <c r="O5585" s="12"/>
      <c r="P5585" s="13">
        <f>IFERROR(__xludf.DUMMYFUNCTION("VALUE(SUBSTITUTE((INDEX(SPLIT(A5585,"",""),1)),""."","","",1))"),54.726933)</f>
        <v>54.726933</v>
      </c>
      <c r="Q5585" s="13">
        <f>IFERROR(__xludf.DUMMYFUNCTION("VALUE(SUBSTITUTE((INDEX(SPLIT(A5585,"",""),2)),""."","","",1))"),55.93246)</f>
        <v>55.93246</v>
      </c>
      <c r="R5585" s="14" t="b">
        <f t="shared" si="1"/>
        <v>0</v>
      </c>
      <c r="S5585" s="14" t="str">
        <f t="shared" si="2"/>
        <v>54.726933,55.93246</v>
      </c>
      <c r="T5585" s="12"/>
    </row>
    <row r="5586">
      <c r="A5586" s="201" t="s">
        <v>35857</v>
      </c>
      <c r="B5586" s="143" t="s">
        <v>35858</v>
      </c>
      <c r="C5586" s="143" t="s">
        <v>35859</v>
      </c>
      <c r="D5586" s="143" t="s">
        <v>33342</v>
      </c>
      <c r="E5586" s="144" t="s">
        <v>35860</v>
      </c>
      <c r="F5586" s="142" t="s">
        <v>19948</v>
      </c>
      <c r="G5586" s="142" t="s">
        <v>33344</v>
      </c>
      <c r="H5586" s="142"/>
      <c r="I5586" s="143"/>
      <c r="J5586" s="143" t="s">
        <v>35861</v>
      </c>
      <c r="K5586" s="143" t="s">
        <v>35821</v>
      </c>
      <c r="L5586" s="152" t="s">
        <v>35862</v>
      </c>
      <c r="M5586" s="143"/>
      <c r="N5586" s="12"/>
      <c r="O5586" s="12"/>
      <c r="P5586" s="13">
        <f>IFERROR(__xludf.DUMMYFUNCTION("VALUE(SUBSTITUTE((INDEX(SPLIT(A5586,"",""),1)),""."","","",1))"),54.72973)</f>
        <v>54.72973</v>
      </c>
      <c r="Q5586" s="13">
        <f>IFERROR(__xludf.DUMMYFUNCTION("VALUE(SUBSTITUTE((INDEX(SPLIT(A5586,"",""),2)),""."","","",1))"),55.985928)</f>
        <v>55.985928</v>
      </c>
      <c r="R5586" s="14" t="b">
        <f t="shared" si="1"/>
        <v>0</v>
      </c>
      <c r="S5586" s="14" t="str">
        <f t="shared" si="2"/>
        <v>54.72973,55.985928</v>
      </c>
      <c r="T5586" s="12"/>
    </row>
    <row r="5587">
      <c r="A5587" s="202" t="s">
        <v>35863</v>
      </c>
      <c r="B5587" s="147" t="s">
        <v>19730</v>
      </c>
      <c r="C5587" s="147" t="s">
        <v>33371</v>
      </c>
      <c r="D5587" s="147" t="s">
        <v>33342</v>
      </c>
      <c r="E5587" s="148" t="s">
        <v>35864</v>
      </c>
      <c r="F5587" s="146" t="s">
        <v>19948</v>
      </c>
      <c r="G5587" s="146" t="s">
        <v>33344</v>
      </c>
      <c r="H5587" s="146"/>
      <c r="I5587" s="147"/>
      <c r="J5587" s="147" t="s">
        <v>35865</v>
      </c>
      <c r="K5587" s="147" t="s">
        <v>35866</v>
      </c>
      <c r="L5587" s="149" t="s">
        <v>35867</v>
      </c>
      <c r="M5587" s="147"/>
      <c r="N5587" s="12"/>
      <c r="O5587" s="12"/>
      <c r="P5587" s="13">
        <f>IFERROR(__xludf.DUMMYFUNCTION("VALUE(SUBSTITUTE((INDEX(SPLIT(A5587,"",""),1)),""."","","",1))"),54.737434)</f>
        <v>54.737434</v>
      </c>
      <c r="Q5587" s="13">
        <f>IFERROR(__xludf.DUMMYFUNCTION("VALUE(SUBSTITUTE((INDEX(SPLIT(A5587,"",""),2)),""."","","",1))"),55.933305)</f>
        <v>55.933305</v>
      </c>
      <c r="R5587" s="14" t="b">
        <f t="shared" si="1"/>
        <v>0</v>
      </c>
      <c r="S5587" s="14" t="str">
        <f t="shared" si="2"/>
        <v>54.737434,55.933305</v>
      </c>
      <c r="T5587" s="12"/>
    </row>
    <row r="5588">
      <c r="A5588" s="158" t="s">
        <v>35868</v>
      </c>
      <c r="B5588" s="137" t="s">
        <v>35869</v>
      </c>
      <c r="C5588" s="137" t="s">
        <v>35870</v>
      </c>
      <c r="D5588" s="137" t="s">
        <v>33342</v>
      </c>
      <c r="E5588" s="138" t="s">
        <v>35871</v>
      </c>
      <c r="F5588" s="136" t="s">
        <v>19948</v>
      </c>
      <c r="G5588" s="136" t="s">
        <v>33344</v>
      </c>
      <c r="H5588" s="136"/>
      <c r="I5588" s="137"/>
      <c r="J5588" s="137" t="s">
        <v>35872</v>
      </c>
      <c r="K5588" s="137" t="s">
        <v>35789</v>
      </c>
      <c r="L5588" s="137"/>
      <c r="M5588" s="137"/>
      <c r="N5588" s="12"/>
      <c r="O5588" s="12"/>
      <c r="P5588" s="13">
        <f>IFERROR(__xludf.DUMMYFUNCTION("VALUE(SUBSTITUTE((INDEX(SPLIT(A5588,"",""),1)),""."","","",1))"),54.768531)</f>
        <v>54.768531</v>
      </c>
      <c r="Q5588" s="13">
        <f>IFERROR(__xludf.DUMMYFUNCTION("VALUE(SUBSTITUTE((INDEX(SPLIT(A5588,"",""),2)),""."","","",1))"),55.95835)</f>
        <v>55.95835</v>
      </c>
      <c r="R5588" s="14" t="b">
        <f t="shared" si="1"/>
        <v>0</v>
      </c>
      <c r="S5588" s="14" t="str">
        <f t="shared" si="2"/>
        <v>54.768531,55.95835</v>
      </c>
      <c r="T5588" s="12"/>
    </row>
    <row r="5589">
      <c r="A5589" s="199" t="s">
        <v>35873</v>
      </c>
      <c r="B5589" s="140" t="s">
        <v>35874</v>
      </c>
      <c r="C5589" s="140" t="s">
        <v>35875</v>
      </c>
      <c r="D5589" s="140" t="s">
        <v>33342</v>
      </c>
      <c r="E5589" s="141" t="s">
        <v>35876</v>
      </c>
      <c r="F5589" s="139" t="s">
        <v>19948</v>
      </c>
      <c r="G5589" s="139" t="s">
        <v>33344</v>
      </c>
      <c r="H5589" s="139"/>
      <c r="I5589" s="140"/>
      <c r="J5589" s="140" t="s">
        <v>35877</v>
      </c>
      <c r="K5589" s="140" t="s">
        <v>35878</v>
      </c>
      <c r="L5589" s="140"/>
      <c r="M5589" s="140"/>
      <c r="N5589" s="12"/>
      <c r="O5589" s="12"/>
      <c r="P5589" s="13">
        <f>IFERROR(__xludf.DUMMYFUNCTION("VALUE(SUBSTITUTE((INDEX(SPLIT(A5589,"",""),1)),""."","","",1))"),54.75171)</f>
        <v>54.75171</v>
      </c>
      <c r="Q5589" s="13">
        <f>IFERROR(__xludf.DUMMYFUNCTION("VALUE(SUBSTITUTE((INDEX(SPLIT(A5589,"",""),2)),""."","","",1))"),55.910568)</f>
        <v>55.910568</v>
      </c>
      <c r="R5589" s="14" t="b">
        <f t="shared" si="1"/>
        <v>0</v>
      </c>
      <c r="S5589" s="14" t="str">
        <f t="shared" si="2"/>
        <v>54.75171,55.910568</v>
      </c>
      <c r="T5589" s="12"/>
    </row>
    <row r="5590">
      <c r="A5590" s="158" t="s">
        <v>35879</v>
      </c>
      <c r="B5590" s="137" t="s">
        <v>35880</v>
      </c>
      <c r="C5590" s="137" t="s">
        <v>35881</v>
      </c>
      <c r="D5590" s="137" t="s">
        <v>33342</v>
      </c>
      <c r="E5590" s="138" t="s">
        <v>35882</v>
      </c>
      <c r="F5590" s="136" t="s">
        <v>19948</v>
      </c>
      <c r="G5590" s="136" t="s">
        <v>33344</v>
      </c>
      <c r="H5590" s="136"/>
      <c r="I5590" s="137"/>
      <c r="J5590" s="137" t="s">
        <v>35883</v>
      </c>
      <c r="K5590" s="137" t="s">
        <v>35884</v>
      </c>
      <c r="L5590" s="137"/>
      <c r="M5590" s="137"/>
      <c r="N5590" s="12"/>
      <c r="O5590" s="12"/>
      <c r="P5590" s="13">
        <f>IFERROR(__xludf.DUMMYFUNCTION("VALUE(SUBSTITUTE((INDEX(SPLIT(A5590,"",""),1)),""."","","",1))"),54.736348)</f>
        <v>54.736348</v>
      </c>
      <c r="Q5590" s="13">
        <f>IFERROR(__xludf.DUMMYFUNCTION("VALUE(SUBSTITUTE((INDEX(SPLIT(A5590,"",""),2)),""."","","",1))"),55.900867)</f>
        <v>55.900867</v>
      </c>
      <c r="R5590" s="14" t="b">
        <f t="shared" si="1"/>
        <v>0</v>
      </c>
      <c r="S5590" s="14" t="str">
        <f t="shared" si="2"/>
        <v>54.736348,55.900867</v>
      </c>
      <c r="T5590" s="12"/>
    </row>
    <row r="5591">
      <c r="A5591" s="202" t="s">
        <v>35885</v>
      </c>
      <c r="B5591" s="147" t="s">
        <v>35886</v>
      </c>
      <c r="C5591" s="147" t="s">
        <v>35887</v>
      </c>
      <c r="D5591" s="147" t="s">
        <v>33342</v>
      </c>
      <c r="E5591" s="148" t="s">
        <v>35888</v>
      </c>
      <c r="F5591" s="146" t="s">
        <v>19948</v>
      </c>
      <c r="G5591" s="146" t="s">
        <v>33344</v>
      </c>
      <c r="H5591" s="146"/>
      <c r="I5591" s="147"/>
      <c r="J5591" s="147" t="s">
        <v>35889</v>
      </c>
      <c r="K5591" s="147" t="s">
        <v>35890</v>
      </c>
      <c r="L5591" s="149" t="s">
        <v>35891</v>
      </c>
      <c r="M5591" s="149" t="s">
        <v>35892</v>
      </c>
      <c r="N5591" s="12"/>
      <c r="O5591" s="12"/>
      <c r="P5591" s="13">
        <f>IFERROR(__xludf.DUMMYFUNCTION("VALUE(SUBSTITUTE((INDEX(SPLIT(A5591,"",""),1)),""."","","",1))"),54.778886)</f>
        <v>54.778886</v>
      </c>
      <c r="Q5591" s="13">
        <f>IFERROR(__xludf.DUMMYFUNCTION("VALUE(SUBSTITUTE((INDEX(SPLIT(A5591,"",""),2)),""."","","",1))"),56.03697)</f>
        <v>56.03697</v>
      </c>
      <c r="R5591" s="14" t="b">
        <f t="shared" si="1"/>
        <v>0</v>
      </c>
      <c r="S5591" s="14" t="str">
        <f t="shared" si="2"/>
        <v>54.778886,56.03697</v>
      </c>
      <c r="T5591" s="12"/>
    </row>
    <row r="5592">
      <c r="A5592" s="201" t="s">
        <v>35893</v>
      </c>
      <c r="B5592" s="143" t="s">
        <v>35894</v>
      </c>
      <c r="C5592" s="143" t="s">
        <v>35895</v>
      </c>
      <c r="D5592" s="143" t="s">
        <v>33342</v>
      </c>
      <c r="E5592" s="144" t="s">
        <v>35896</v>
      </c>
      <c r="F5592" s="142" t="s">
        <v>19948</v>
      </c>
      <c r="G5592" s="142" t="s">
        <v>33344</v>
      </c>
      <c r="H5592" s="142"/>
      <c r="I5592" s="143"/>
      <c r="J5592" s="143" t="s">
        <v>35897</v>
      </c>
      <c r="K5592" s="143" t="s">
        <v>35898</v>
      </c>
      <c r="L5592" s="145" t="s">
        <v>35899</v>
      </c>
      <c r="M5592" s="145" t="s">
        <v>35900</v>
      </c>
      <c r="N5592" s="12"/>
      <c r="O5592" s="12"/>
      <c r="P5592" s="13">
        <f>IFERROR(__xludf.DUMMYFUNCTION("VALUE(SUBSTITUTE((INDEX(SPLIT(A5592,"",""),1)),""."","","",1))"),54.499663)</f>
        <v>54.499663</v>
      </c>
      <c r="Q5592" s="13">
        <f>IFERROR(__xludf.DUMMYFUNCTION("VALUE(SUBSTITUTE((INDEX(SPLIT(A5592,"",""),2)),""."","","",1))"),55.888452)</f>
        <v>55.888452</v>
      </c>
      <c r="R5592" s="14" t="b">
        <f t="shared" si="1"/>
        <v>0</v>
      </c>
      <c r="S5592" s="14" t="str">
        <f t="shared" si="2"/>
        <v>54.499663,55.888452</v>
      </c>
      <c r="T5592" s="12"/>
    </row>
    <row r="5593">
      <c r="A5593" s="202" t="s">
        <v>35901</v>
      </c>
      <c r="B5593" s="147" t="s">
        <v>35902</v>
      </c>
      <c r="C5593" s="147" t="s">
        <v>35903</v>
      </c>
      <c r="D5593" s="147" t="s">
        <v>33342</v>
      </c>
      <c r="E5593" s="148" t="s">
        <v>35904</v>
      </c>
      <c r="F5593" s="146" t="s">
        <v>19948</v>
      </c>
      <c r="G5593" s="146" t="s">
        <v>33344</v>
      </c>
      <c r="H5593" s="146"/>
      <c r="I5593" s="147"/>
      <c r="J5593" s="147" t="s">
        <v>35905</v>
      </c>
      <c r="K5593" s="147" t="s">
        <v>35906</v>
      </c>
      <c r="L5593" s="149" t="s">
        <v>35907</v>
      </c>
      <c r="M5593" s="149" t="s">
        <v>35908</v>
      </c>
      <c r="N5593" s="12"/>
      <c r="O5593" s="12"/>
      <c r="P5593" s="13">
        <f>IFERROR(__xludf.DUMMYFUNCTION("VALUE(SUBSTITUTE((INDEX(SPLIT(A5593,"",""),1)),""."","","",1))"),54.762371)</f>
        <v>54.762371</v>
      </c>
      <c r="Q5593" s="13">
        <f>IFERROR(__xludf.DUMMYFUNCTION("VALUE(SUBSTITUTE((INDEX(SPLIT(A5593,"",""),2)),""."","","",1))"),55.999735)</f>
        <v>55.999735</v>
      </c>
      <c r="R5593" s="14" t="b">
        <f t="shared" si="1"/>
        <v>0</v>
      </c>
      <c r="S5593" s="14" t="str">
        <f t="shared" si="2"/>
        <v>54.762371,55.999735</v>
      </c>
      <c r="T5593" s="12"/>
    </row>
    <row r="5594">
      <c r="A5594" s="201" t="s">
        <v>35909</v>
      </c>
      <c r="B5594" s="143" t="s">
        <v>35910</v>
      </c>
      <c r="C5594" s="143" t="s">
        <v>35911</v>
      </c>
      <c r="D5594" s="143" t="s">
        <v>33342</v>
      </c>
      <c r="E5594" s="144" t="s">
        <v>35912</v>
      </c>
      <c r="F5594" s="142" t="s">
        <v>19948</v>
      </c>
      <c r="G5594" s="142" t="s">
        <v>33344</v>
      </c>
      <c r="H5594" s="142"/>
      <c r="I5594" s="143"/>
      <c r="J5594" s="143" t="s">
        <v>35913</v>
      </c>
      <c r="K5594" s="143" t="s">
        <v>35914</v>
      </c>
      <c r="L5594" s="152" t="s">
        <v>35915</v>
      </c>
      <c r="M5594" s="143"/>
      <c r="N5594" s="12"/>
      <c r="O5594" s="12"/>
      <c r="P5594" s="13">
        <f>IFERROR(__xludf.DUMMYFUNCTION("VALUE(SUBSTITUTE((INDEX(SPLIT(A5594,"",""),1)),""."","","",1))"),54.771725)</f>
        <v>54.771725</v>
      </c>
      <c r="Q5594" s="13">
        <f>IFERROR(__xludf.DUMMYFUNCTION("VALUE(SUBSTITUTE((INDEX(SPLIT(A5594,"",""),2)),""."","","",1))"),56.251524)</f>
        <v>56.251524</v>
      </c>
      <c r="R5594" s="14" t="b">
        <f t="shared" si="1"/>
        <v>0</v>
      </c>
      <c r="S5594" s="14" t="str">
        <f t="shared" si="2"/>
        <v>54.771725,56.251524</v>
      </c>
      <c r="T5594" s="12"/>
    </row>
    <row r="5595">
      <c r="A5595" s="202" t="s">
        <v>35916</v>
      </c>
      <c r="B5595" s="147" t="s">
        <v>35917</v>
      </c>
      <c r="C5595" s="147" t="s">
        <v>35918</v>
      </c>
      <c r="D5595" s="147" t="s">
        <v>33342</v>
      </c>
      <c r="E5595" s="148" t="s">
        <v>35919</v>
      </c>
      <c r="F5595" s="146" t="s">
        <v>19948</v>
      </c>
      <c r="G5595" s="146" t="s">
        <v>33344</v>
      </c>
      <c r="H5595" s="146"/>
      <c r="I5595" s="147"/>
      <c r="J5595" s="147" t="s">
        <v>35920</v>
      </c>
      <c r="K5595" s="147" t="s">
        <v>35921</v>
      </c>
      <c r="L5595" s="149" t="s">
        <v>35922</v>
      </c>
      <c r="M5595" s="149" t="s">
        <v>35923</v>
      </c>
      <c r="N5595" s="12"/>
      <c r="O5595" s="12"/>
      <c r="P5595" s="13">
        <f>IFERROR(__xludf.DUMMYFUNCTION("VALUE(SUBSTITUTE((INDEX(SPLIT(A5595,"",""),1)),""."","","",1))"),54.826489)</f>
        <v>54.826489</v>
      </c>
      <c r="Q5595" s="13">
        <f>IFERROR(__xludf.DUMMYFUNCTION("VALUE(SUBSTITUTE((INDEX(SPLIT(A5595,"",""),2)),""."","","",1))"),56.068663)</f>
        <v>56.068663</v>
      </c>
      <c r="R5595" s="14" t="b">
        <f t="shared" si="1"/>
        <v>0</v>
      </c>
      <c r="S5595" s="14" t="str">
        <f t="shared" si="2"/>
        <v>54.826489,56.068663</v>
      </c>
      <c r="T5595" s="12"/>
    </row>
    <row r="5596">
      <c r="A5596" s="158" t="s">
        <v>35924</v>
      </c>
      <c r="B5596" s="137" t="s">
        <v>35925</v>
      </c>
      <c r="C5596" s="137" t="s">
        <v>35926</v>
      </c>
      <c r="D5596" s="137" t="s">
        <v>33342</v>
      </c>
      <c r="E5596" s="138" t="s">
        <v>35927</v>
      </c>
      <c r="F5596" s="136" t="s">
        <v>19948</v>
      </c>
      <c r="G5596" s="136" t="s">
        <v>33344</v>
      </c>
      <c r="H5596" s="136"/>
      <c r="I5596" s="137"/>
      <c r="J5596" s="137" t="s">
        <v>35928</v>
      </c>
      <c r="K5596" s="137" t="s">
        <v>35929</v>
      </c>
      <c r="L5596" s="137"/>
      <c r="M5596" s="137"/>
      <c r="N5596" s="12"/>
      <c r="O5596" s="12"/>
      <c r="P5596" s="13">
        <f>IFERROR(__xludf.DUMMYFUNCTION("VALUE(SUBSTITUTE((INDEX(SPLIT(A5596,"",""),1)),""."","","",1))"),54.824368)</f>
        <v>54.824368</v>
      </c>
      <c r="Q5596" s="13">
        <f>IFERROR(__xludf.DUMMYFUNCTION("VALUE(SUBSTITUTE((INDEX(SPLIT(A5596,"",""),2)),""."","","",1))"),56.06171)</f>
        <v>56.06171</v>
      </c>
      <c r="R5596" s="14" t="b">
        <f t="shared" si="1"/>
        <v>0</v>
      </c>
      <c r="S5596" s="14" t="str">
        <f t="shared" si="2"/>
        <v>54.824368,56.06171</v>
      </c>
      <c r="T5596" s="12"/>
    </row>
    <row r="5597">
      <c r="A5597" s="202" t="s">
        <v>35930</v>
      </c>
      <c r="B5597" s="147" t="s">
        <v>35931</v>
      </c>
      <c r="C5597" s="147" t="s">
        <v>35932</v>
      </c>
      <c r="D5597" s="147" t="s">
        <v>33342</v>
      </c>
      <c r="E5597" s="148" t="s">
        <v>35933</v>
      </c>
      <c r="F5597" s="146" t="s">
        <v>19948</v>
      </c>
      <c r="G5597" s="146" t="s">
        <v>33344</v>
      </c>
      <c r="H5597" s="146"/>
      <c r="I5597" s="147"/>
      <c r="J5597" s="147" t="s">
        <v>35934</v>
      </c>
      <c r="K5597" s="147" t="s">
        <v>35935</v>
      </c>
      <c r="L5597" s="149" t="s">
        <v>35936</v>
      </c>
      <c r="M5597" s="149" t="s">
        <v>35937</v>
      </c>
      <c r="N5597" s="12"/>
      <c r="O5597" s="12"/>
      <c r="P5597" s="13">
        <f>IFERROR(__xludf.DUMMYFUNCTION("VALUE(SUBSTITUTE((INDEX(SPLIT(A5597,"",""),1)),""."","","",1))"),54.826536)</f>
        <v>54.826536</v>
      </c>
      <c r="Q5597" s="13">
        <f>IFERROR(__xludf.DUMMYFUNCTION("VALUE(SUBSTITUTE((INDEX(SPLIT(A5597,"",""),2)),""."","","",1))"),56.088426)</f>
        <v>56.088426</v>
      </c>
      <c r="R5597" s="14" t="b">
        <f t="shared" si="1"/>
        <v>0</v>
      </c>
      <c r="S5597" s="14" t="str">
        <f t="shared" si="2"/>
        <v>54.826536,56.088426</v>
      </c>
      <c r="T5597" s="12"/>
    </row>
    <row r="5598">
      <c r="A5598" s="158" t="s">
        <v>35938</v>
      </c>
      <c r="B5598" s="137" t="s">
        <v>35939</v>
      </c>
      <c r="C5598" s="137" t="s">
        <v>35940</v>
      </c>
      <c r="D5598" s="137" t="s">
        <v>33342</v>
      </c>
      <c r="E5598" s="138" t="s">
        <v>35941</v>
      </c>
      <c r="F5598" s="136" t="s">
        <v>19948</v>
      </c>
      <c r="G5598" s="136" t="s">
        <v>33344</v>
      </c>
      <c r="H5598" s="136"/>
      <c r="I5598" s="137"/>
      <c r="J5598" s="137" t="s">
        <v>35942</v>
      </c>
      <c r="K5598" s="137" t="s">
        <v>35943</v>
      </c>
      <c r="L5598" s="137"/>
      <c r="M5598" s="137"/>
      <c r="N5598" s="12"/>
      <c r="O5598" s="12"/>
      <c r="P5598" s="13">
        <f>IFERROR(__xludf.DUMMYFUNCTION("VALUE(SUBSTITUTE((INDEX(SPLIT(A5598,"",""),1)),""."","","",1))"),54.839458)</f>
        <v>54.839458</v>
      </c>
      <c r="Q5598" s="13">
        <f>IFERROR(__xludf.DUMMYFUNCTION("VALUE(SUBSTITUTE((INDEX(SPLIT(A5598,"",""),2)),""."","","",1))"),56.083755)</f>
        <v>56.083755</v>
      </c>
      <c r="R5598" s="14" t="b">
        <f t="shared" si="1"/>
        <v>0</v>
      </c>
      <c r="S5598" s="14" t="str">
        <f t="shared" si="2"/>
        <v>54.839458,56.083755</v>
      </c>
      <c r="T5598" s="12"/>
    </row>
    <row r="5599">
      <c r="A5599" s="202" t="s">
        <v>35944</v>
      </c>
      <c r="B5599" s="147" t="s">
        <v>35945</v>
      </c>
      <c r="C5599" s="147" t="s">
        <v>35946</v>
      </c>
      <c r="D5599" s="147" t="s">
        <v>33342</v>
      </c>
      <c r="E5599" s="148" t="s">
        <v>35947</v>
      </c>
      <c r="F5599" s="146" t="s">
        <v>19948</v>
      </c>
      <c r="G5599" s="146" t="s">
        <v>33344</v>
      </c>
      <c r="H5599" s="146"/>
      <c r="I5599" s="151" t="s">
        <v>35948</v>
      </c>
      <c r="J5599" s="147" t="s">
        <v>35949</v>
      </c>
      <c r="K5599" s="147" t="s">
        <v>35950</v>
      </c>
      <c r="L5599" s="149" t="s">
        <v>35951</v>
      </c>
      <c r="M5599" s="149" t="s">
        <v>35952</v>
      </c>
      <c r="N5599" s="12"/>
      <c r="O5599" s="12"/>
      <c r="P5599" s="13">
        <f>IFERROR(__xludf.DUMMYFUNCTION("VALUE(SUBSTITUTE((INDEX(SPLIT(A5599,"",""),1)),""."","","",1))"),54.783539)</f>
        <v>54.783539</v>
      </c>
      <c r="Q5599" s="13">
        <f>IFERROR(__xludf.DUMMYFUNCTION("VALUE(SUBSTITUTE((INDEX(SPLIT(A5599,"",""),2)),""."","","",1))"),56.053356)</f>
        <v>56.053356</v>
      </c>
      <c r="R5599" s="14" t="b">
        <f t="shared" si="1"/>
        <v>0</v>
      </c>
      <c r="S5599" s="14" t="str">
        <f t="shared" si="2"/>
        <v>54.783539,56.053356</v>
      </c>
      <c r="T5599" s="12"/>
    </row>
    <row r="5600">
      <c r="A5600" s="201" t="s">
        <v>35953</v>
      </c>
      <c r="B5600" s="143" t="s">
        <v>35954</v>
      </c>
      <c r="C5600" s="143" t="s">
        <v>35955</v>
      </c>
      <c r="D5600" s="143" t="s">
        <v>33342</v>
      </c>
      <c r="E5600" s="144" t="s">
        <v>35956</v>
      </c>
      <c r="F5600" s="142" t="s">
        <v>19948</v>
      </c>
      <c r="G5600" s="142" t="s">
        <v>33344</v>
      </c>
      <c r="H5600" s="142"/>
      <c r="I5600" s="155" t="s">
        <v>35957</v>
      </c>
      <c r="J5600" s="143" t="s">
        <v>35958</v>
      </c>
      <c r="K5600" s="143" t="s">
        <v>35959</v>
      </c>
      <c r="L5600" s="152" t="s">
        <v>35960</v>
      </c>
      <c r="M5600" s="143"/>
      <c r="N5600" s="12"/>
      <c r="O5600" s="12"/>
      <c r="P5600" s="13">
        <f>IFERROR(__xludf.DUMMYFUNCTION("VALUE(SUBSTITUTE((INDEX(SPLIT(A5600,"",""),1)),""."","","",1))"),54.745152)</f>
        <v>54.745152</v>
      </c>
      <c r="Q5600" s="13">
        <f>IFERROR(__xludf.DUMMYFUNCTION("VALUE(SUBSTITUTE((INDEX(SPLIT(A5600,"",""),2)),""."","","",1))"),55.790706)</f>
        <v>55.790706</v>
      </c>
      <c r="R5600" s="14" t="b">
        <f t="shared" si="1"/>
        <v>0</v>
      </c>
      <c r="S5600" s="14" t="str">
        <f t="shared" si="2"/>
        <v>54.745152,55.790706</v>
      </c>
      <c r="T5600" s="12"/>
    </row>
    <row r="5601">
      <c r="A5601" s="202" t="s">
        <v>35961</v>
      </c>
      <c r="B5601" s="147" t="s">
        <v>31993</v>
      </c>
      <c r="C5601" s="147" t="s">
        <v>35962</v>
      </c>
      <c r="D5601" s="147" t="s">
        <v>33342</v>
      </c>
      <c r="E5601" s="148" t="s">
        <v>35963</v>
      </c>
      <c r="F5601" s="146" t="s">
        <v>19948</v>
      </c>
      <c r="G5601" s="146" t="s">
        <v>33344</v>
      </c>
      <c r="H5601" s="146"/>
      <c r="I5601" s="151" t="s">
        <v>35964</v>
      </c>
      <c r="J5601" s="147" t="s">
        <v>35965</v>
      </c>
      <c r="K5601" s="147" t="s">
        <v>35966</v>
      </c>
      <c r="L5601" s="149" t="s">
        <v>35967</v>
      </c>
      <c r="M5601" s="147"/>
      <c r="N5601" s="12"/>
      <c r="O5601" s="12"/>
      <c r="P5601" s="13">
        <f>IFERROR(__xludf.DUMMYFUNCTION("VALUE(SUBSTITUTE((INDEX(SPLIT(A5601,"",""),1)),""."","","",1))"),54.744264)</f>
        <v>54.744264</v>
      </c>
      <c r="Q5601" s="13">
        <f>IFERROR(__xludf.DUMMYFUNCTION("VALUE(SUBSTITUTE((INDEX(SPLIT(A5601,"",""),2)),""."","","",1))"),55.967836)</f>
        <v>55.967836</v>
      </c>
      <c r="R5601" s="14" t="b">
        <f t="shared" si="1"/>
        <v>0</v>
      </c>
      <c r="S5601" s="14" t="str">
        <f t="shared" si="2"/>
        <v>54.744264,55.967836</v>
      </c>
      <c r="T5601" s="12"/>
    </row>
    <row r="5602">
      <c r="A5602" s="201" t="s">
        <v>35968</v>
      </c>
      <c r="B5602" s="143" t="s">
        <v>35969</v>
      </c>
      <c r="C5602" s="143" t="s">
        <v>35970</v>
      </c>
      <c r="D5602" s="143" t="s">
        <v>33342</v>
      </c>
      <c r="E5602" s="144" t="s">
        <v>35971</v>
      </c>
      <c r="F5602" s="142" t="s">
        <v>19948</v>
      </c>
      <c r="G5602" s="142" t="s">
        <v>33344</v>
      </c>
      <c r="H5602" s="142"/>
      <c r="I5602" s="143"/>
      <c r="J5602" s="143" t="s">
        <v>35972</v>
      </c>
      <c r="K5602" s="143" t="s">
        <v>35973</v>
      </c>
      <c r="L5602" s="152" t="s">
        <v>35974</v>
      </c>
      <c r="M5602" s="143"/>
      <c r="N5602" s="12"/>
      <c r="O5602" s="12"/>
      <c r="P5602" s="13">
        <f>IFERROR(__xludf.DUMMYFUNCTION("VALUE(SUBSTITUTE((INDEX(SPLIT(A5602,"",""),1)),""."","","",1))"),54.637314)</f>
        <v>54.637314</v>
      </c>
      <c r="Q5602" s="13">
        <f>IFERROR(__xludf.DUMMYFUNCTION("VALUE(SUBSTITUTE((INDEX(SPLIT(A5602,"",""),2)),""."","","",1))"),55.932586)</f>
        <v>55.932586</v>
      </c>
      <c r="R5602" s="14" t="b">
        <f t="shared" si="1"/>
        <v>0</v>
      </c>
      <c r="S5602" s="14" t="str">
        <f t="shared" si="2"/>
        <v>54.637314,55.932586</v>
      </c>
      <c r="T5602" s="12"/>
    </row>
    <row r="5603">
      <c r="A5603" s="199" t="s">
        <v>35975</v>
      </c>
      <c r="B5603" s="140" t="s">
        <v>29418</v>
      </c>
      <c r="C5603" s="140" t="s">
        <v>35976</v>
      </c>
      <c r="D5603" s="140" t="s">
        <v>33342</v>
      </c>
      <c r="E5603" s="141" t="s">
        <v>35977</v>
      </c>
      <c r="F5603" s="139" t="s">
        <v>19948</v>
      </c>
      <c r="G5603" s="139" t="s">
        <v>33344</v>
      </c>
      <c r="H5603" s="139"/>
      <c r="I5603" s="140"/>
      <c r="J5603" s="140" t="s">
        <v>35978</v>
      </c>
      <c r="K5603" s="140" t="s">
        <v>35979</v>
      </c>
      <c r="L5603" s="140"/>
      <c r="M5603" s="154" t="s">
        <v>35980</v>
      </c>
      <c r="N5603" s="12"/>
      <c r="O5603" s="12"/>
      <c r="P5603" s="13">
        <f>IFERROR(__xludf.DUMMYFUNCTION("VALUE(SUBSTITUTE((INDEX(SPLIT(A5603,"",""),1)),""."","","",1))"),54.736992)</f>
        <v>54.736992</v>
      </c>
      <c r="Q5603" s="13">
        <f>IFERROR(__xludf.DUMMYFUNCTION("VALUE(SUBSTITUTE((INDEX(SPLIT(A5603,"",""),2)),""."","","",1))"),55.994058)</f>
        <v>55.994058</v>
      </c>
      <c r="R5603" s="14" t="b">
        <f t="shared" si="1"/>
        <v>0</v>
      </c>
      <c r="S5603" s="14" t="str">
        <f t="shared" si="2"/>
        <v>54.736992,55.994058</v>
      </c>
      <c r="T5603" s="12"/>
    </row>
    <row r="5604">
      <c r="A5604" s="158" t="s">
        <v>35981</v>
      </c>
      <c r="B5604" s="137" t="s">
        <v>35982</v>
      </c>
      <c r="C5604" s="137" t="s">
        <v>35983</v>
      </c>
      <c r="D5604" s="137" t="s">
        <v>33342</v>
      </c>
      <c r="E5604" s="138" t="s">
        <v>35984</v>
      </c>
      <c r="F5604" s="136" t="s">
        <v>19948</v>
      </c>
      <c r="G5604" s="136" t="s">
        <v>33344</v>
      </c>
      <c r="H5604" s="136"/>
      <c r="I5604" s="137"/>
      <c r="J5604" s="137" t="s">
        <v>35985</v>
      </c>
      <c r="K5604" s="137" t="s">
        <v>35986</v>
      </c>
      <c r="L5604" s="137"/>
      <c r="M5604" s="137"/>
      <c r="N5604" s="12"/>
      <c r="O5604" s="12"/>
      <c r="P5604" s="13">
        <f>IFERROR(__xludf.DUMMYFUNCTION("VALUE(SUBSTITUTE((INDEX(SPLIT(A5604,"",""),1)),""."","","",1))"),54.724656)</f>
        <v>54.724656</v>
      </c>
      <c r="Q5604" s="13">
        <f>IFERROR(__xludf.DUMMYFUNCTION("VALUE(SUBSTITUTE((INDEX(SPLIT(A5604,"",""),2)),""."","","",1))"),56.007712)</f>
        <v>56.007712</v>
      </c>
      <c r="R5604" s="14" t="b">
        <f t="shared" si="1"/>
        <v>0</v>
      </c>
      <c r="S5604" s="14" t="str">
        <f t="shared" si="2"/>
        <v>54.724656,56.007712</v>
      </c>
      <c r="T5604" s="12"/>
    </row>
    <row r="5605">
      <c r="A5605" s="199" t="s">
        <v>35987</v>
      </c>
      <c r="B5605" s="140" t="s">
        <v>35988</v>
      </c>
      <c r="C5605" s="140" t="s">
        <v>35989</v>
      </c>
      <c r="D5605" s="140" t="s">
        <v>33342</v>
      </c>
      <c r="E5605" s="141" t="s">
        <v>35990</v>
      </c>
      <c r="F5605" s="139" t="s">
        <v>19948</v>
      </c>
      <c r="G5605" s="139" t="s">
        <v>33344</v>
      </c>
      <c r="H5605" s="139"/>
      <c r="I5605" s="140"/>
      <c r="J5605" s="140" t="s">
        <v>35991</v>
      </c>
      <c r="K5605" s="140" t="s">
        <v>35992</v>
      </c>
      <c r="L5605" s="140"/>
      <c r="M5605" s="140"/>
      <c r="N5605" s="12"/>
      <c r="O5605" s="12"/>
      <c r="P5605" s="13">
        <f>IFERROR(__xludf.DUMMYFUNCTION("VALUE(SUBSTITUTE((INDEX(SPLIT(A5605,"",""),1)),""."","","",1))"),54.724827)</f>
        <v>54.724827</v>
      </c>
      <c r="Q5605" s="13">
        <f>IFERROR(__xludf.DUMMYFUNCTION("VALUE(SUBSTITUTE((INDEX(SPLIT(A5605,"",""),2)),""."","","",1))"),55.996798)</f>
        <v>55.996798</v>
      </c>
      <c r="R5605" s="14" t="b">
        <f t="shared" si="1"/>
        <v>0</v>
      </c>
      <c r="S5605" s="14" t="str">
        <f t="shared" si="2"/>
        <v>54.724827,55.996798</v>
      </c>
      <c r="T5605" s="12"/>
    </row>
    <row r="5606">
      <c r="A5606" s="201" t="s">
        <v>35993</v>
      </c>
      <c r="B5606" s="143" t="s">
        <v>34101</v>
      </c>
      <c r="C5606" s="143" t="s">
        <v>34102</v>
      </c>
      <c r="D5606" s="143" t="s">
        <v>33342</v>
      </c>
      <c r="E5606" s="144" t="s">
        <v>35994</v>
      </c>
      <c r="F5606" s="142" t="s">
        <v>58</v>
      </c>
      <c r="G5606" s="142" t="s">
        <v>33344</v>
      </c>
      <c r="H5606" s="142"/>
      <c r="I5606" s="143"/>
      <c r="J5606" s="143" t="s">
        <v>35995</v>
      </c>
      <c r="K5606" s="143" t="s">
        <v>35996</v>
      </c>
      <c r="L5606" s="145" t="s">
        <v>35997</v>
      </c>
      <c r="M5606" s="143"/>
      <c r="N5606" s="12"/>
      <c r="O5606" s="12"/>
      <c r="P5606" s="13">
        <f>IFERROR(__xludf.DUMMYFUNCTION("VALUE(SUBSTITUTE((INDEX(SPLIT(A5606,"",""),1)),""."","","",1))"),51.941185)</f>
        <v>51.941185</v>
      </c>
      <c r="Q5606" s="13">
        <f>IFERROR(__xludf.DUMMYFUNCTION("VALUE(SUBSTITUTE((INDEX(SPLIT(A5606,"",""),2)),""."","","",1))"),108.145707)</f>
        <v>108.145707</v>
      </c>
      <c r="R5606" s="14" t="b">
        <f t="shared" si="1"/>
        <v>0</v>
      </c>
      <c r="S5606" s="14" t="str">
        <f t="shared" si="2"/>
        <v>51.941185,108.145707</v>
      </c>
      <c r="T5606" s="12"/>
    </row>
    <row r="5607">
      <c r="A5607" s="199" t="s">
        <v>35998</v>
      </c>
      <c r="B5607" s="140" t="s">
        <v>35999</v>
      </c>
      <c r="C5607" s="140" t="s">
        <v>36000</v>
      </c>
      <c r="D5607" s="140" t="s">
        <v>33342</v>
      </c>
      <c r="E5607" s="141" t="s">
        <v>36001</v>
      </c>
      <c r="F5607" s="139" t="s">
        <v>58</v>
      </c>
      <c r="G5607" s="139" t="s">
        <v>33344</v>
      </c>
      <c r="H5607" s="139"/>
      <c r="I5607" s="140"/>
      <c r="J5607" s="140" t="s">
        <v>23411</v>
      </c>
      <c r="K5607" s="140" t="s">
        <v>36002</v>
      </c>
      <c r="L5607" s="140"/>
      <c r="M5607" s="140"/>
      <c r="N5607" s="12"/>
      <c r="O5607" s="12"/>
      <c r="P5607" s="13">
        <f>IFERROR(__xludf.DUMMYFUNCTION("VALUE(SUBSTITUTE((INDEX(SPLIT(A5607,"",""),1)),""."","","",1))"),51.787251)</f>
        <v>51.787251</v>
      </c>
      <c r="Q5607" s="13">
        <f>IFERROR(__xludf.DUMMYFUNCTION("VALUE(SUBSTITUTE((INDEX(SPLIT(A5607,"",""),2)),""."","","",1))"),107.573785)</f>
        <v>107.573785</v>
      </c>
      <c r="R5607" s="14" t="b">
        <f t="shared" si="1"/>
        <v>0</v>
      </c>
      <c r="S5607" s="14" t="str">
        <f t="shared" si="2"/>
        <v>51.787251,107.573785</v>
      </c>
      <c r="T5607" s="12"/>
    </row>
    <row r="5608">
      <c r="A5608" s="158" t="s">
        <v>36003</v>
      </c>
      <c r="B5608" s="137" t="s">
        <v>36004</v>
      </c>
      <c r="C5608" s="137" t="s">
        <v>36005</v>
      </c>
      <c r="D5608" s="137" t="s">
        <v>33342</v>
      </c>
      <c r="E5608" s="138" t="s">
        <v>36006</v>
      </c>
      <c r="F5608" s="136" t="s">
        <v>58</v>
      </c>
      <c r="G5608" s="136" t="s">
        <v>33344</v>
      </c>
      <c r="H5608" s="136"/>
      <c r="I5608" s="156" t="s">
        <v>36007</v>
      </c>
      <c r="J5608" s="137" t="s">
        <v>36008</v>
      </c>
      <c r="K5608" s="137" t="s">
        <v>36009</v>
      </c>
      <c r="L5608" s="137"/>
      <c r="M5608" s="137"/>
      <c r="N5608" s="12"/>
      <c r="O5608" s="12"/>
      <c r="P5608" s="13">
        <f>IFERROR(__xludf.DUMMYFUNCTION("VALUE(SUBSTITUTE((INDEX(SPLIT(A5608,"",""),1)),""."","","",1))"),51.778721)</f>
        <v>51.778721</v>
      </c>
      <c r="Q5608" s="13">
        <f>IFERROR(__xludf.DUMMYFUNCTION("VALUE(SUBSTITUTE((INDEX(SPLIT(A5608,"",""),2)),""."","","",1))"),107.574127)</f>
        <v>107.574127</v>
      </c>
      <c r="R5608" s="14" t="b">
        <f t="shared" si="1"/>
        <v>0</v>
      </c>
      <c r="S5608" s="14" t="str">
        <f t="shared" si="2"/>
        <v>51.778721,107.574127</v>
      </c>
      <c r="T5608" s="12"/>
    </row>
    <row r="5609">
      <c r="A5609" s="202" t="s">
        <v>36010</v>
      </c>
      <c r="B5609" s="147" t="s">
        <v>36011</v>
      </c>
      <c r="C5609" s="147" t="s">
        <v>36012</v>
      </c>
      <c r="D5609" s="147" t="s">
        <v>33342</v>
      </c>
      <c r="E5609" s="148" t="s">
        <v>36013</v>
      </c>
      <c r="F5609" s="146" t="s">
        <v>58</v>
      </c>
      <c r="G5609" s="146" t="s">
        <v>33344</v>
      </c>
      <c r="H5609" s="146"/>
      <c r="I5609" s="147"/>
      <c r="J5609" s="147" t="s">
        <v>36014</v>
      </c>
      <c r="K5609" s="147" t="s">
        <v>36015</v>
      </c>
      <c r="L5609" s="149" t="s">
        <v>36016</v>
      </c>
      <c r="M5609" s="147"/>
      <c r="N5609" s="12"/>
      <c r="O5609" s="12"/>
      <c r="P5609" s="13">
        <f>IFERROR(__xludf.DUMMYFUNCTION("VALUE(SUBSTITUTE((INDEX(SPLIT(A5609,"",""),1)),""."","","",1))"),51.8467)</f>
        <v>51.8467</v>
      </c>
      <c r="Q5609" s="13">
        <f>IFERROR(__xludf.DUMMYFUNCTION("VALUE(SUBSTITUTE((INDEX(SPLIT(A5609,"",""),2)),""."","","",1))"),107.549701)</f>
        <v>107.549701</v>
      </c>
      <c r="R5609" s="14" t="b">
        <f t="shared" si="1"/>
        <v>0</v>
      </c>
      <c r="S5609" s="14" t="str">
        <f t="shared" si="2"/>
        <v>51.8467,107.549701</v>
      </c>
      <c r="T5609" s="12"/>
    </row>
    <row r="5610">
      <c r="A5610" s="201" t="s">
        <v>563</v>
      </c>
      <c r="B5610" s="143" t="s">
        <v>36017</v>
      </c>
      <c r="C5610" s="143" t="s">
        <v>36018</v>
      </c>
      <c r="D5610" s="143" t="s">
        <v>33342</v>
      </c>
      <c r="E5610" s="144" t="s">
        <v>36019</v>
      </c>
      <c r="F5610" s="142" t="s">
        <v>58</v>
      </c>
      <c r="G5610" s="142" t="s">
        <v>33344</v>
      </c>
      <c r="H5610" s="142"/>
      <c r="I5610" s="143"/>
      <c r="J5610" s="143" t="s">
        <v>36020</v>
      </c>
      <c r="K5610" s="143" t="s">
        <v>36021</v>
      </c>
      <c r="L5610" s="145" t="s">
        <v>36022</v>
      </c>
      <c r="M5610" s="145" t="s">
        <v>36023</v>
      </c>
      <c r="N5610" s="12"/>
      <c r="O5610" s="12"/>
      <c r="P5610" s="13">
        <f>IFERROR(__xludf.DUMMYFUNCTION("VALUE(SUBSTITUTE((INDEX(SPLIT(A5610,"",""),1)),""."","","",1))"),51.834809)</f>
        <v>51.834809</v>
      </c>
      <c r="Q5610" s="13">
        <f>IFERROR(__xludf.DUMMYFUNCTION("VALUE(SUBSTITUTE((INDEX(SPLIT(A5610,"",""),2)),""."","","",1))"),107.584547)</f>
        <v>107.584547</v>
      </c>
      <c r="R5610" s="14" t="b">
        <f t="shared" si="1"/>
        <v>0</v>
      </c>
      <c r="S5610" s="14" t="str">
        <f t="shared" si="2"/>
        <v>51.834809,107.584547</v>
      </c>
      <c r="T5610" s="12"/>
    </row>
    <row r="5611">
      <c r="A5611" s="199" t="s">
        <v>636</v>
      </c>
      <c r="B5611" s="140" t="s">
        <v>36024</v>
      </c>
      <c r="C5611" s="140" t="s">
        <v>36025</v>
      </c>
      <c r="D5611" s="140" t="s">
        <v>33342</v>
      </c>
      <c r="E5611" s="141" t="s">
        <v>36026</v>
      </c>
      <c r="F5611" s="139" t="s">
        <v>58</v>
      </c>
      <c r="G5611" s="139" t="s">
        <v>33344</v>
      </c>
      <c r="H5611" s="139"/>
      <c r="I5611" s="140"/>
      <c r="J5611" s="140" t="s">
        <v>36027</v>
      </c>
      <c r="K5611" s="140" t="s">
        <v>36028</v>
      </c>
      <c r="L5611" s="140"/>
      <c r="M5611" s="154" t="s">
        <v>36029</v>
      </c>
      <c r="N5611" s="12"/>
      <c r="O5611" s="12"/>
      <c r="P5611" s="13">
        <f>IFERROR(__xludf.DUMMYFUNCTION("VALUE(SUBSTITUTE((INDEX(SPLIT(A5611,"",""),1)),""."","","",1))"),51.840969)</f>
        <v>51.840969</v>
      </c>
      <c r="Q5611" s="13">
        <f>IFERROR(__xludf.DUMMYFUNCTION("VALUE(SUBSTITUTE((INDEX(SPLIT(A5611,"",""),2)),""."","","",1))"),107.641213)</f>
        <v>107.641213</v>
      </c>
      <c r="R5611" s="14" t="b">
        <f t="shared" si="1"/>
        <v>0</v>
      </c>
      <c r="S5611" s="14" t="str">
        <f t="shared" si="2"/>
        <v>51.840969,107.641213</v>
      </c>
      <c r="T5611" s="12"/>
    </row>
    <row r="5612">
      <c r="A5612" s="201" t="s">
        <v>36030</v>
      </c>
      <c r="B5612" s="143" t="s">
        <v>36031</v>
      </c>
      <c r="C5612" s="143" t="s">
        <v>36032</v>
      </c>
      <c r="D5612" s="143" t="s">
        <v>33342</v>
      </c>
      <c r="E5612" s="144" t="s">
        <v>36033</v>
      </c>
      <c r="F5612" s="142" t="s">
        <v>58</v>
      </c>
      <c r="G5612" s="142" t="s">
        <v>33344</v>
      </c>
      <c r="H5612" s="142"/>
      <c r="I5612" s="143"/>
      <c r="J5612" s="143" t="s">
        <v>36034</v>
      </c>
      <c r="K5612" s="143" t="s">
        <v>36035</v>
      </c>
      <c r="L5612" s="152" t="s">
        <v>36036</v>
      </c>
      <c r="M5612" s="143"/>
      <c r="N5612" s="12"/>
      <c r="O5612" s="12"/>
      <c r="P5612" s="13">
        <f>IFERROR(__xludf.DUMMYFUNCTION("VALUE(SUBSTITUTE((INDEX(SPLIT(A5612,"",""),1)),""."","","",1))"),51.84966)</f>
        <v>51.84966</v>
      </c>
      <c r="Q5612" s="13">
        <f>IFERROR(__xludf.DUMMYFUNCTION("VALUE(SUBSTITUTE((INDEX(SPLIT(A5612,"",""),2)),""."","","",1))"),107.668306)</f>
        <v>107.668306</v>
      </c>
      <c r="R5612" s="14" t="b">
        <f t="shared" si="1"/>
        <v>0</v>
      </c>
      <c r="S5612" s="14" t="str">
        <f t="shared" si="2"/>
        <v>51.84966,107.668306</v>
      </c>
      <c r="T5612" s="12"/>
    </row>
    <row r="5613">
      <c r="A5613" s="199" t="s">
        <v>642</v>
      </c>
      <c r="B5613" s="140" t="s">
        <v>17102</v>
      </c>
      <c r="C5613" s="140" t="s">
        <v>36037</v>
      </c>
      <c r="D5613" s="140" t="s">
        <v>33342</v>
      </c>
      <c r="E5613" s="141" t="s">
        <v>36038</v>
      </c>
      <c r="F5613" s="139" t="s">
        <v>58</v>
      </c>
      <c r="G5613" s="139" t="s">
        <v>33344</v>
      </c>
      <c r="H5613" s="139"/>
      <c r="I5613" s="140"/>
      <c r="J5613" s="140" t="s">
        <v>36039</v>
      </c>
      <c r="K5613" s="140" t="s">
        <v>36040</v>
      </c>
      <c r="L5613" s="140"/>
      <c r="M5613" s="140"/>
      <c r="N5613" s="12"/>
      <c r="O5613" s="12"/>
      <c r="P5613" s="13">
        <f>IFERROR(__xludf.DUMMYFUNCTION("VALUE(SUBSTITUTE((INDEX(SPLIT(A5613,"",""),1)),""."","","",1))"),51.838799)</f>
        <v>51.838799</v>
      </c>
      <c r="Q5613" s="13">
        <f>IFERROR(__xludf.DUMMYFUNCTION("VALUE(SUBSTITUTE((INDEX(SPLIT(A5613,"",""),2)),""."","","",1))"),107.644644)</f>
        <v>107.644644</v>
      </c>
      <c r="R5613" s="14" t="b">
        <f t="shared" si="1"/>
        <v>0</v>
      </c>
      <c r="S5613" s="14" t="str">
        <f t="shared" si="2"/>
        <v>51.838799,107.644644</v>
      </c>
      <c r="T5613" s="12"/>
    </row>
    <row r="5614">
      <c r="A5614" s="158" t="s">
        <v>36041</v>
      </c>
      <c r="B5614" s="137" t="s">
        <v>36042</v>
      </c>
      <c r="C5614" s="137" t="s">
        <v>36043</v>
      </c>
      <c r="D5614" s="137" t="s">
        <v>33342</v>
      </c>
      <c r="E5614" s="138" t="s">
        <v>36044</v>
      </c>
      <c r="F5614" s="136" t="s">
        <v>58</v>
      </c>
      <c r="G5614" s="136" t="s">
        <v>33344</v>
      </c>
      <c r="H5614" s="136"/>
      <c r="I5614" s="137"/>
      <c r="J5614" s="137" t="s">
        <v>36045</v>
      </c>
      <c r="K5614" s="137" t="s">
        <v>36046</v>
      </c>
      <c r="L5614" s="137"/>
      <c r="M5614" s="153" t="s">
        <v>36047</v>
      </c>
      <c r="N5614" s="12"/>
      <c r="O5614" s="12"/>
      <c r="P5614" s="13">
        <f>IFERROR(__xludf.DUMMYFUNCTION("VALUE(SUBSTITUTE((INDEX(SPLIT(A5614,"",""),1)),""."","","",1))"),51.843545)</f>
        <v>51.843545</v>
      </c>
      <c r="Q5614" s="13">
        <f>IFERROR(__xludf.DUMMYFUNCTION("VALUE(SUBSTITUTE((INDEX(SPLIT(A5614,"",""),2)),""."","","",1))"),107.508577)</f>
        <v>107.508577</v>
      </c>
      <c r="R5614" s="14" t="b">
        <f t="shared" si="1"/>
        <v>0</v>
      </c>
      <c r="S5614" s="14" t="str">
        <f t="shared" si="2"/>
        <v>51.843545,107.508577</v>
      </c>
      <c r="T5614" s="12"/>
    </row>
    <row r="5615">
      <c r="A5615" s="202" t="s">
        <v>36048</v>
      </c>
      <c r="B5615" s="147" t="s">
        <v>36049</v>
      </c>
      <c r="C5615" s="147" t="s">
        <v>36050</v>
      </c>
      <c r="D5615" s="147" t="s">
        <v>33342</v>
      </c>
      <c r="E5615" s="148" t="s">
        <v>36051</v>
      </c>
      <c r="F5615" s="146" t="s">
        <v>23481</v>
      </c>
      <c r="G5615" s="146" t="s">
        <v>33344</v>
      </c>
      <c r="H5615" s="146"/>
      <c r="I5615" s="147"/>
      <c r="J5615" s="147" t="s">
        <v>36052</v>
      </c>
      <c r="K5615" s="147" t="s">
        <v>36053</v>
      </c>
      <c r="L5615" s="149" t="s">
        <v>36054</v>
      </c>
      <c r="M5615" s="147"/>
      <c r="N5615" s="12"/>
      <c r="O5615" s="12"/>
      <c r="P5615" s="13">
        <f>IFERROR(__xludf.DUMMYFUNCTION("VALUE(SUBSTITUTE((INDEX(SPLIT(A5615,"",""),1)),""."","","",1))"),51.929657)</f>
        <v>51.929657</v>
      </c>
      <c r="Q5615" s="13">
        <f>IFERROR(__xludf.DUMMYFUNCTION("VALUE(SUBSTITUTE((INDEX(SPLIT(A5615,"",""),2)),""."","","",1))"),85.912862)</f>
        <v>85.912862</v>
      </c>
      <c r="R5615" s="14" t="b">
        <f t="shared" si="1"/>
        <v>0</v>
      </c>
      <c r="S5615" s="14" t="str">
        <f t="shared" si="2"/>
        <v>51.929657,85.912862</v>
      </c>
      <c r="T5615" s="12"/>
    </row>
    <row r="5616">
      <c r="A5616" s="158" t="s">
        <v>36055</v>
      </c>
      <c r="B5616" s="137" t="s">
        <v>36056</v>
      </c>
      <c r="C5616" s="137" t="s">
        <v>36057</v>
      </c>
      <c r="D5616" s="137" t="s">
        <v>33342</v>
      </c>
      <c r="E5616" s="138" t="s">
        <v>36058</v>
      </c>
      <c r="F5616" s="136" t="s">
        <v>16443</v>
      </c>
      <c r="G5616" s="136" t="s">
        <v>33344</v>
      </c>
      <c r="H5616" s="136"/>
      <c r="I5616" s="137"/>
      <c r="J5616" s="137" t="s">
        <v>36059</v>
      </c>
      <c r="K5616" s="137" t="s">
        <v>36060</v>
      </c>
      <c r="L5616" s="137"/>
      <c r="M5616" s="137"/>
      <c r="N5616" s="12"/>
      <c r="O5616" s="12"/>
      <c r="P5616" s="13">
        <f>IFERROR(__xludf.DUMMYFUNCTION("VALUE(SUBSTITUTE((INDEX(SPLIT(A5616,"",""),1)),""."","","",1))"),42.417537)</f>
        <v>42.417537</v>
      </c>
      <c r="Q5616" s="13">
        <f>IFERROR(__xludf.DUMMYFUNCTION("VALUE(SUBSTITUTE((INDEX(SPLIT(A5616,"",""),2)),""."","","",1))"),47.179186)</f>
        <v>47.179186</v>
      </c>
      <c r="R5616" s="14" t="b">
        <f t="shared" si="1"/>
        <v>0</v>
      </c>
      <c r="S5616" s="14" t="str">
        <f t="shared" si="2"/>
        <v>42.417537,47.179186</v>
      </c>
      <c r="T5616" s="12"/>
    </row>
    <row r="5617">
      <c r="A5617" s="199" t="s">
        <v>36061</v>
      </c>
      <c r="B5617" s="140" t="s">
        <v>36062</v>
      </c>
      <c r="C5617" s="140" t="s">
        <v>36063</v>
      </c>
      <c r="D5617" s="140" t="s">
        <v>33342</v>
      </c>
      <c r="E5617" s="141" t="s">
        <v>36064</v>
      </c>
      <c r="F5617" s="139" t="s">
        <v>16443</v>
      </c>
      <c r="G5617" s="139" t="s">
        <v>33344</v>
      </c>
      <c r="H5617" s="139"/>
      <c r="I5617" s="140"/>
      <c r="J5617" s="140" t="s">
        <v>36065</v>
      </c>
      <c r="K5617" s="140" t="s">
        <v>36066</v>
      </c>
      <c r="L5617" s="140"/>
      <c r="M5617" s="140"/>
      <c r="N5617" s="12"/>
      <c r="O5617" s="12"/>
      <c r="P5617" s="13">
        <f>IFERROR(__xludf.DUMMYFUNCTION("VALUE(SUBSTITUTE((INDEX(SPLIT(A5617,"",""),1)),""."","","",1))"),43.183125)</f>
        <v>43.183125</v>
      </c>
      <c r="Q5617" s="13">
        <f>IFERROR(__xludf.DUMMYFUNCTION("VALUE(SUBSTITUTE((INDEX(SPLIT(A5617,"",""),2)),""."","","",1))"),46.66102)</f>
        <v>46.66102</v>
      </c>
      <c r="R5617" s="14" t="b">
        <f t="shared" si="1"/>
        <v>0</v>
      </c>
      <c r="S5617" s="14" t="str">
        <f t="shared" si="2"/>
        <v>43.183125,46.66102</v>
      </c>
      <c r="T5617" s="12"/>
    </row>
    <row r="5618">
      <c r="A5618" s="158" t="s">
        <v>36067</v>
      </c>
      <c r="B5618" s="137" t="s">
        <v>36068</v>
      </c>
      <c r="C5618" s="137" t="s">
        <v>36069</v>
      </c>
      <c r="D5618" s="137" t="s">
        <v>33342</v>
      </c>
      <c r="E5618" s="138" t="s">
        <v>36070</v>
      </c>
      <c r="F5618" s="136" t="s">
        <v>16443</v>
      </c>
      <c r="G5618" s="136" t="s">
        <v>33344</v>
      </c>
      <c r="H5618" s="136"/>
      <c r="I5618" s="137"/>
      <c r="J5618" s="137" t="s">
        <v>36071</v>
      </c>
      <c r="K5618" s="137" t="s">
        <v>36072</v>
      </c>
      <c r="L5618" s="137"/>
      <c r="M5618" s="137"/>
      <c r="N5618" s="12"/>
      <c r="O5618" s="12"/>
      <c r="P5618" s="13">
        <f>IFERROR(__xludf.DUMMYFUNCTION("VALUE(SUBSTITUTE((INDEX(SPLIT(A5618,"",""),1)),""."","","",1))"),42.978535)</f>
        <v>42.978535</v>
      </c>
      <c r="Q5618" s="13">
        <f>IFERROR(__xludf.DUMMYFUNCTION("VALUE(SUBSTITUTE((INDEX(SPLIT(A5618,"",""),2)),""."","","",1))"),47.488773)</f>
        <v>47.488773</v>
      </c>
      <c r="R5618" s="14" t="b">
        <f t="shared" si="1"/>
        <v>0</v>
      </c>
      <c r="S5618" s="14" t="str">
        <f t="shared" si="2"/>
        <v>42.978535,47.488773</v>
      </c>
      <c r="T5618" s="12"/>
    </row>
    <row r="5619">
      <c r="A5619" s="202" t="s">
        <v>36073</v>
      </c>
      <c r="B5619" s="147" t="s">
        <v>36074</v>
      </c>
      <c r="C5619" s="147" t="s">
        <v>36075</v>
      </c>
      <c r="D5619" s="147" t="s">
        <v>33342</v>
      </c>
      <c r="E5619" s="148" t="s">
        <v>36076</v>
      </c>
      <c r="F5619" s="146" t="s">
        <v>16443</v>
      </c>
      <c r="G5619" s="146" t="s">
        <v>33344</v>
      </c>
      <c r="H5619" s="146"/>
      <c r="I5619" s="147"/>
      <c r="J5619" s="147" t="s">
        <v>36077</v>
      </c>
      <c r="K5619" s="147" t="s">
        <v>36078</v>
      </c>
      <c r="L5619" s="149" t="s">
        <v>36079</v>
      </c>
      <c r="M5619" s="147"/>
      <c r="N5619" s="12"/>
      <c r="O5619" s="12"/>
      <c r="P5619" s="13">
        <f>IFERROR(__xludf.DUMMYFUNCTION("VALUE(SUBSTITUTE((INDEX(SPLIT(A5619,"",""),1)),""."","","",1))"),42.890853)</f>
        <v>42.890853</v>
      </c>
      <c r="Q5619" s="13">
        <f>IFERROR(__xludf.DUMMYFUNCTION("VALUE(SUBSTITUTE((INDEX(SPLIT(A5619,"",""),2)),""."","","",1))"),47.635665)</f>
        <v>47.635665</v>
      </c>
      <c r="R5619" s="14" t="b">
        <f t="shared" si="1"/>
        <v>0</v>
      </c>
      <c r="S5619" s="14" t="str">
        <f t="shared" si="2"/>
        <v>42.890853,47.635665</v>
      </c>
      <c r="T5619" s="12"/>
    </row>
    <row r="5620">
      <c r="A5620" s="158" t="s">
        <v>19213</v>
      </c>
      <c r="B5620" s="137" t="s">
        <v>516</v>
      </c>
      <c r="C5620" s="137" t="s">
        <v>36080</v>
      </c>
      <c r="D5620" s="137" t="s">
        <v>33342</v>
      </c>
      <c r="E5620" s="138" t="s">
        <v>36081</v>
      </c>
      <c r="F5620" s="136" t="s">
        <v>16443</v>
      </c>
      <c r="G5620" s="136" t="s">
        <v>33344</v>
      </c>
      <c r="H5620" s="136"/>
      <c r="I5620" s="137"/>
      <c r="J5620" s="137" t="s">
        <v>36082</v>
      </c>
      <c r="K5620" s="137" t="s">
        <v>36083</v>
      </c>
      <c r="L5620" s="137"/>
      <c r="M5620" s="137"/>
      <c r="N5620" s="12"/>
      <c r="O5620" s="12"/>
      <c r="P5620" s="13">
        <f>IFERROR(__xludf.DUMMYFUNCTION("VALUE(SUBSTITUTE((INDEX(SPLIT(A5620,"",""),1)),""."","","",1))"),43.166077)</f>
        <v>43.166077</v>
      </c>
      <c r="Q5620" s="13">
        <f>IFERROR(__xludf.DUMMYFUNCTION("VALUE(SUBSTITUTE((INDEX(SPLIT(A5620,"",""),2)),""."","","",1))"),46.834081)</f>
        <v>46.834081</v>
      </c>
      <c r="R5620" s="14" t="b">
        <f t="shared" si="1"/>
        <v>0</v>
      </c>
      <c r="S5620" s="14" t="str">
        <f t="shared" si="2"/>
        <v>43.166077,46.834081</v>
      </c>
      <c r="T5620" s="12"/>
    </row>
    <row r="5621">
      <c r="A5621" s="199" t="s">
        <v>36084</v>
      </c>
      <c r="B5621" s="140" t="s">
        <v>36085</v>
      </c>
      <c r="C5621" s="140" t="s">
        <v>36086</v>
      </c>
      <c r="D5621" s="140" t="s">
        <v>33342</v>
      </c>
      <c r="E5621" s="141" t="s">
        <v>36087</v>
      </c>
      <c r="F5621" s="139" t="s">
        <v>16443</v>
      </c>
      <c r="G5621" s="139" t="s">
        <v>33344</v>
      </c>
      <c r="H5621" s="139"/>
      <c r="I5621" s="140"/>
      <c r="J5621" s="140" t="s">
        <v>36088</v>
      </c>
      <c r="K5621" s="140" t="s">
        <v>36089</v>
      </c>
      <c r="L5621" s="140"/>
      <c r="M5621" s="140"/>
      <c r="N5621" s="12"/>
      <c r="O5621" s="12"/>
      <c r="P5621" s="13">
        <f>IFERROR(__xludf.DUMMYFUNCTION("VALUE(SUBSTITUTE((INDEX(SPLIT(A5621,"",""),1)),""."","","",1))"),43.208856)</f>
        <v>43.208856</v>
      </c>
      <c r="Q5621" s="13">
        <f>IFERROR(__xludf.DUMMYFUNCTION("VALUE(SUBSTITUTE((INDEX(SPLIT(A5621,"",""),2)),""."","","",1))"),46.871855)</f>
        <v>46.871855</v>
      </c>
      <c r="R5621" s="14" t="b">
        <f t="shared" si="1"/>
        <v>0</v>
      </c>
      <c r="S5621" s="14" t="str">
        <f t="shared" si="2"/>
        <v>43.208856,46.871855</v>
      </c>
      <c r="T5621" s="12"/>
    </row>
    <row r="5622">
      <c r="A5622" s="158" t="s">
        <v>36090</v>
      </c>
      <c r="B5622" s="137" t="s">
        <v>36091</v>
      </c>
      <c r="C5622" s="137" t="s">
        <v>36092</v>
      </c>
      <c r="D5622" s="137" t="s">
        <v>33342</v>
      </c>
      <c r="E5622" s="138" t="s">
        <v>36093</v>
      </c>
      <c r="F5622" s="136" t="s">
        <v>16443</v>
      </c>
      <c r="G5622" s="136" t="s">
        <v>33344</v>
      </c>
      <c r="H5622" s="136"/>
      <c r="I5622" s="137"/>
      <c r="J5622" s="137" t="s">
        <v>36094</v>
      </c>
      <c r="K5622" s="137" t="s">
        <v>36095</v>
      </c>
      <c r="L5622" s="137"/>
      <c r="M5622" s="137"/>
      <c r="N5622" s="12"/>
      <c r="O5622" s="12"/>
      <c r="P5622" s="13">
        <f>IFERROR(__xludf.DUMMYFUNCTION("VALUE(SUBSTITUTE((INDEX(SPLIT(A5622,"",""),1)),""."","","",1))"),43.210419)</f>
        <v>43.210419</v>
      </c>
      <c r="Q5622" s="13">
        <f>IFERROR(__xludf.DUMMYFUNCTION("VALUE(SUBSTITUTE((INDEX(SPLIT(A5622,"",""),2)),""."","","",1))"),46.86571)</f>
        <v>46.86571</v>
      </c>
      <c r="R5622" s="14" t="b">
        <f t="shared" si="1"/>
        <v>0</v>
      </c>
      <c r="S5622" s="14" t="str">
        <f t="shared" si="2"/>
        <v>43.210419,46.86571</v>
      </c>
      <c r="T5622" s="12"/>
    </row>
    <row r="5623">
      <c r="A5623" s="199" t="s">
        <v>36096</v>
      </c>
      <c r="B5623" s="140" t="s">
        <v>2569</v>
      </c>
      <c r="C5623" s="140" t="s">
        <v>36097</v>
      </c>
      <c r="D5623" s="140" t="s">
        <v>33342</v>
      </c>
      <c r="E5623" s="141" t="s">
        <v>36098</v>
      </c>
      <c r="F5623" s="139" t="s">
        <v>16443</v>
      </c>
      <c r="G5623" s="139" t="s">
        <v>33344</v>
      </c>
      <c r="H5623" s="139"/>
      <c r="I5623" s="140"/>
      <c r="J5623" s="140" t="s">
        <v>36099</v>
      </c>
      <c r="K5623" s="140" t="s">
        <v>36100</v>
      </c>
      <c r="L5623" s="140"/>
      <c r="M5623" s="140"/>
      <c r="N5623" s="12"/>
      <c r="O5623" s="12"/>
      <c r="P5623" s="13">
        <f>IFERROR(__xludf.DUMMYFUNCTION("VALUE(SUBSTITUTE((INDEX(SPLIT(A5623,"",""),1)),""."","","",1))"),43.860121)</f>
        <v>43.860121</v>
      </c>
      <c r="Q5623" s="13">
        <f>IFERROR(__xludf.DUMMYFUNCTION("VALUE(SUBSTITUTE((INDEX(SPLIT(A5623,"",""),2)),""."","","",1))"),46.724648)</f>
        <v>46.724648</v>
      </c>
      <c r="R5623" s="14" t="b">
        <f t="shared" si="1"/>
        <v>0</v>
      </c>
      <c r="S5623" s="14" t="str">
        <f t="shared" si="2"/>
        <v>43.860121,46.724648</v>
      </c>
      <c r="T5623" s="12"/>
    </row>
    <row r="5624">
      <c r="A5624" s="158" t="s">
        <v>36101</v>
      </c>
      <c r="B5624" s="137" t="s">
        <v>36102</v>
      </c>
      <c r="C5624" s="137" t="s">
        <v>36103</v>
      </c>
      <c r="D5624" s="137" t="s">
        <v>33342</v>
      </c>
      <c r="E5624" s="138" t="s">
        <v>36104</v>
      </c>
      <c r="F5624" s="136" t="s">
        <v>16443</v>
      </c>
      <c r="G5624" s="136" t="s">
        <v>33344</v>
      </c>
      <c r="H5624" s="136"/>
      <c r="I5624" s="137"/>
      <c r="J5624" s="137" t="s">
        <v>36105</v>
      </c>
      <c r="K5624" s="137" t="s">
        <v>36106</v>
      </c>
      <c r="L5624" s="137"/>
      <c r="M5624" s="153" t="s">
        <v>9711</v>
      </c>
      <c r="N5624" s="12"/>
      <c r="O5624" s="12"/>
      <c r="P5624" s="13">
        <f>IFERROR(__xludf.DUMMYFUNCTION("VALUE(SUBSTITUTE((INDEX(SPLIT(A5624,"",""),1)),""."","","",1))"),43.866289)</f>
        <v>43.866289</v>
      </c>
      <c r="Q5624" s="13">
        <f>IFERROR(__xludf.DUMMYFUNCTION("VALUE(SUBSTITUTE((INDEX(SPLIT(A5624,"",""),2)),""."","","",1))"),46.728052)</f>
        <v>46.728052</v>
      </c>
      <c r="R5624" s="14" t="b">
        <f t="shared" si="1"/>
        <v>0</v>
      </c>
      <c r="S5624" s="14" t="str">
        <f t="shared" si="2"/>
        <v>43.866289,46.728052</v>
      </c>
      <c r="T5624" s="12"/>
    </row>
    <row r="5625">
      <c r="A5625" s="199" t="s">
        <v>36107</v>
      </c>
      <c r="B5625" s="140" t="s">
        <v>36108</v>
      </c>
      <c r="C5625" s="140" t="s">
        <v>36109</v>
      </c>
      <c r="D5625" s="140" t="s">
        <v>33342</v>
      </c>
      <c r="E5625" s="141" t="s">
        <v>36110</v>
      </c>
      <c r="F5625" s="139" t="s">
        <v>16443</v>
      </c>
      <c r="G5625" s="139" t="s">
        <v>33344</v>
      </c>
      <c r="H5625" s="139"/>
      <c r="I5625" s="140"/>
      <c r="J5625" s="140" t="s">
        <v>36111</v>
      </c>
      <c r="K5625" s="140" t="s">
        <v>36112</v>
      </c>
      <c r="L5625" s="140"/>
      <c r="M5625" s="140"/>
      <c r="N5625" s="12"/>
      <c r="O5625" s="12"/>
      <c r="P5625" s="13">
        <f>IFERROR(__xludf.DUMMYFUNCTION("VALUE(SUBSTITUTE((INDEX(SPLIT(A5625,"",""),1)),""."","","",1))"),43.850344)</f>
        <v>43.850344</v>
      </c>
      <c r="Q5625" s="13">
        <f>IFERROR(__xludf.DUMMYFUNCTION("VALUE(SUBSTITUTE((INDEX(SPLIT(A5625,"",""),2)),""."","","",1))"),46.714254)</f>
        <v>46.714254</v>
      </c>
      <c r="R5625" s="14" t="b">
        <f t="shared" si="1"/>
        <v>0</v>
      </c>
      <c r="S5625" s="14" t="str">
        <f t="shared" si="2"/>
        <v>43.850344,46.714254</v>
      </c>
      <c r="T5625" s="12"/>
    </row>
    <row r="5626">
      <c r="A5626" s="201" t="s">
        <v>36113</v>
      </c>
      <c r="B5626" s="143" t="s">
        <v>36114</v>
      </c>
      <c r="C5626" s="143" t="s">
        <v>36115</v>
      </c>
      <c r="D5626" s="143" t="s">
        <v>33342</v>
      </c>
      <c r="E5626" s="144" t="s">
        <v>36116</v>
      </c>
      <c r="F5626" s="142" t="s">
        <v>16443</v>
      </c>
      <c r="G5626" s="142" t="s">
        <v>33344</v>
      </c>
      <c r="H5626" s="142"/>
      <c r="I5626" s="143"/>
      <c r="J5626" s="143" t="s">
        <v>36117</v>
      </c>
      <c r="K5626" s="143" t="s">
        <v>36118</v>
      </c>
      <c r="L5626" s="145" t="s">
        <v>36119</v>
      </c>
      <c r="M5626" s="143"/>
      <c r="N5626" s="12"/>
      <c r="O5626" s="12"/>
      <c r="P5626" s="13">
        <f>IFERROR(__xludf.DUMMYFUNCTION("VALUE(SUBSTITUTE((INDEX(SPLIT(A5626,"",""),1)),""."","","",1))"),42.55773)</f>
        <v>42.55773</v>
      </c>
      <c r="Q5626" s="13">
        <f>IFERROR(__xludf.DUMMYFUNCTION("VALUE(SUBSTITUTE((INDEX(SPLIT(A5626,"",""),2)),""."","","",1))"),47.874419)</f>
        <v>47.874419</v>
      </c>
      <c r="R5626" s="14" t="b">
        <f t="shared" si="1"/>
        <v>0</v>
      </c>
      <c r="S5626" s="14" t="str">
        <f t="shared" si="2"/>
        <v>42.55773,47.874419</v>
      </c>
      <c r="T5626" s="12"/>
    </row>
    <row r="5627">
      <c r="A5627" s="199" t="s">
        <v>36120</v>
      </c>
      <c r="B5627" s="140" t="s">
        <v>36121</v>
      </c>
      <c r="C5627" s="140" t="s">
        <v>36122</v>
      </c>
      <c r="D5627" s="140" t="s">
        <v>33342</v>
      </c>
      <c r="E5627" s="141" t="s">
        <v>36123</v>
      </c>
      <c r="F5627" s="139" t="s">
        <v>16443</v>
      </c>
      <c r="G5627" s="139" t="s">
        <v>33344</v>
      </c>
      <c r="H5627" s="139"/>
      <c r="I5627" s="140"/>
      <c r="J5627" s="140" t="s">
        <v>36124</v>
      </c>
      <c r="K5627" s="140" t="s">
        <v>36125</v>
      </c>
      <c r="L5627" s="140"/>
      <c r="M5627" s="140"/>
      <c r="N5627" s="12"/>
      <c r="O5627" s="12"/>
      <c r="P5627" s="13">
        <f>IFERROR(__xludf.DUMMYFUNCTION("VALUE(SUBSTITUTE((INDEX(SPLIT(A5627,"",""),1)),""."","","",1))"),42.114246)</f>
        <v>42.114246</v>
      </c>
      <c r="Q5627" s="13">
        <f>IFERROR(__xludf.DUMMYFUNCTION("VALUE(SUBSTITUTE((INDEX(SPLIT(A5627,"",""),2)),""."","","",1))"),48.20597)</f>
        <v>48.20597</v>
      </c>
      <c r="R5627" s="14" t="b">
        <f t="shared" si="1"/>
        <v>0</v>
      </c>
      <c r="S5627" s="14" t="str">
        <f t="shared" si="2"/>
        <v>42.114246,48.20597</v>
      </c>
      <c r="T5627" s="12"/>
    </row>
    <row r="5628">
      <c r="A5628" s="158" t="s">
        <v>36126</v>
      </c>
      <c r="B5628" s="137" t="s">
        <v>9706</v>
      </c>
      <c r="C5628" s="137" t="s">
        <v>33601</v>
      </c>
      <c r="D5628" s="137" t="s">
        <v>33342</v>
      </c>
      <c r="E5628" s="138" t="s">
        <v>36127</v>
      </c>
      <c r="F5628" s="136" t="s">
        <v>16443</v>
      </c>
      <c r="G5628" s="136" t="s">
        <v>33344</v>
      </c>
      <c r="H5628" s="136"/>
      <c r="I5628" s="137"/>
      <c r="J5628" s="137" t="s">
        <v>36128</v>
      </c>
      <c r="K5628" s="137" t="s">
        <v>36129</v>
      </c>
      <c r="L5628" s="137"/>
      <c r="M5628" s="137"/>
      <c r="N5628" s="12"/>
      <c r="O5628" s="12"/>
      <c r="P5628" s="13">
        <f>IFERROR(__xludf.DUMMYFUNCTION("VALUE(SUBSTITUTE((INDEX(SPLIT(A5628,"",""),1)),""."","","",1))"),42.105289)</f>
        <v>42.105289</v>
      </c>
      <c r="Q5628" s="13">
        <f>IFERROR(__xludf.DUMMYFUNCTION("VALUE(SUBSTITUTE((INDEX(SPLIT(A5628,"",""),2)),""."","","",1))"),48.203481)</f>
        <v>48.203481</v>
      </c>
      <c r="R5628" s="14" t="b">
        <f t="shared" si="1"/>
        <v>0</v>
      </c>
      <c r="S5628" s="14" t="str">
        <f t="shared" si="2"/>
        <v>42.105289,48.203481</v>
      </c>
      <c r="T5628" s="12"/>
    </row>
    <row r="5629">
      <c r="A5629" s="199" t="s">
        <v>36130</v>
      </c>
      <c r="B5629" s="140" t="s">
        <v>36131</v>
      </c>
      <c r="C5629" s="140" t="s">
        <v>36131</v>
      </c>
      <c r="D5629" s="140" t="s">
        <v>33342</v>
      </c>
      <c r="E5629" s="141" t="s">
        <v>36132</v>
      </c>
      <c r="F5629" s="139" t="s">
        <v>16443</v>
      </c>
      <c r="G5629" s="139" t="s">
        <v>33344</v>
      </c>
      <c r="H5629" s="139"/>
      <c r="I5629" s="140"/>
      <c r="J5629" s="140" t="s">
        <v>36133</v>
      </c>
      <c r="K5629" s="140" t="s">
        <v>20827</v>
      </c>
      <c r="L5629" s="140"/>
      <c r="M5629" s="140"/>
      <c r="N5629" s="12"/>
      <c r="O5629" s="12"/>
      <c r="P5629" s="13">
        <f>IFERROR(__xludf.DUMMYFUNCTION("VALUE(SUBSTITUTE((INDEX(SPLIT(A5629,"",""),1)),""."","","",1))"),42.113677)</f>
        <v>42.113677</v>
      </c>
      <c r="Q5629" s="13">
        <f>IFERROR(__xludf.DUMMYFUNCTION("VALUE(SUBSTITUTE((INDEX(SPLIT(A5629,"",""),2)),""."","","",1))"),48.186952)</f>
        <v>48.186952</v>
      </c>
      <c r="R5629" s="14" t="b">
        <f t="shared" si="1"/>
        <v>0</v>
      </c>
      <c r="S5629" s="14" t="str">
        <f t="shared" si="2"/>
        <v>42.113677,48.186952</v>
      </c>
      <c r="T5629" s="12"/>
    </row>
    <row r="5630">
      <c r="A5630" s="158" t="s">
        <v>36134</v>
      </c>
      <c r="B5630" s="137" t="s">
        <v>36135</v>
      </c>
      <c r="C5630" s="137" t="s">
        <v>36136</v>
      </c>
      <c r="D5630" s="137" t="s">
        <v>33342</v>
      </c>
      <c r="E5630" s="138" t="s">
        <v>36137</v>
      </c>
      <c r="F5630" s="136" t="s">
        <v>16443</v>
      </c>
      <c r="G5630" s="136" t="s">
        <v>33344</v>
      </c>
      <c r="H5630" s="136"/>
      <c r="I5630" s="137"/>
      <c r="J5630" s="137" t="s">
        <v>36138</v>
      </c>
      <c r="K5630" s="137" t="s">
        <v>36139</v>
      </c>
      <c r="L5630" s="137"/>
      <c r="M5630" s="137"/>
      <c r="N5630" s="12"/>
      <c r="O5630" s="12"/>
      <c r="P5630" s="13">
        <f>IFERROR(__xludf.DUMMYFUNCTION("VALUE(SUBSTITUTE((INDEX(SPLIT(A5630,"",""),1)),""."","","",1))"),42.105858)</f>
        <v>42.105858</v>
      </c>
      <c r="Q5630" s="13">
        <f>IFERROR(__xludf.DUMMYFUNCTION("VALUE(SUBSTITUTE((INDEX(SPLIT(A5630,"",""),2)),""."","","",1))"),48.204002)</f>
        <v>48.204002</v>
      </c>
      <c r="R5630" s="14" t="b">
        <f t="shared" si="1"/>
        <v>0</v>
      </c>
      <c r="S5630" s="14" t="str">
        <f t="shared" si="2"/>
        <v>42.105858,48.204002</v>
      </c>
      <c r="T5630" s="12"/>
    </row>
    <row r="5631">
      <c r="A5631" s="202" t="s">
        <v>36140</v>
      </c>
      <c r="B5631" s="147" t="s">
        <v>24812</v>
      </c>
      <c r="C5631" s="147" t="s">
        <v>36141</v>
      </c>
      <c r="D5631" s="147" t="s">
        <v>33342</v>
      </c>
      <c r="E5631" s="148" t="s">
        <v>36142</v>
      </c>
      <c r="F5631" s="146" t="s">
        <v>16443</v>
      </c>
      <c r="G5631" s="146" t="s">
        <v>33344</v>
      </c>
      <c r="H5631" s="146"/>
      <c r="I5631" s="147"/>
      <c r="J5631" s="147" t="s">
        <v>36143</v>
      </c>
      <c r="K5631" s="147" t="s">
        <v>36144</v>
      </c>
      <c r="L5631" s="149" t="s">
        <v>36145</v>
      </c>
      <c r="M5631" s="147"/>
      <c r="N5631" s="12"/>
      <c r="O5631" s="12"/>
      <c r="P5631" s="13">
        <f>IFERROR(__xludf.DUMMYFUNCTION("VALUE(SUBSTITUTE((INDEX(SPLIT(A5631,"",""),1)),""."","","",1))"),42.906242)</f>
        <v>42.906242</v>
      </c>
      <c r="Q5631" s="13">
        <f>IFERROR(__xludf.DUMMYFUNCTION("VALUE(SUBSTITUTE((INDEX(SPLIT(A5631,"",""),2)),""."","","",1))"),47.616235)</f>
        <v>47.616235</v>
      </c>
      <c r="R5631" s="14" t="b">
        <f t="shared" si="1"/>
        <v>0</v>
      </c>
      <c r="S5631" s="14" t="str">
        <f t="shared" si="2"/>
        <v>42.906242,47.616235</v>
      </c>
      <c r="T5631" s="12"/>
    </row>
    <row r="5632">
      <c r="A5632" s="158" t="s">
        <v>36146</v>
      </c>
      <c r="B5632" s="137" t="s">
        <v>36147</v>
      </c>
      <c r="C5632" s="137" t="s">
        <v>36148</v>
      </c>
      <c r="D5632" s="137" t="s">
        <v>33342</v>
      </c>
      <c r="E5632" s="138" t="s">
        <v>36149</v>
      </c>
      <c r="F5632" s="136" t="s">
        <v>16443</v>
      </c>
      <c r="G5632" s="136" t="s">
        <v>33344</v>
      </c>
      <c r="H5632" s="136"/>
      <c r="I5632" s="137"/>
      <c r="J5632" s="137" t="s">
        <v>36150</v>
      </c>
      <c r="K5632" s="137" t="s">
        <v>36151</v>
      </c>
      <c r="L5632" s="137"/>
      <c r="M5632" s="137"/>
      <c r="N5632" s="12"/>
      <c r="O5632" s="12"/>
      <c r="P5632" s="13">
        <f>IFERROR(__xludf.DUMMYFUNCTION("VALUE(SUBSTITUTE((INDEX(SPLIT(A5632,"",""),1)),""."","","",1))"),42.904802)</f>
        <v>42.904802</v>
      </c>
      <c r="Q5632" s="13">
        <f>IFERROR(__xludf.DUMMYFUNCTION("VALUE(SUBSTITUTE((INDEX(SPLIT(A5632,"",""),2)),""."","","",1))"),47.614465)</f>
        <v>47.614465</v>
      </c>
      <c r="R5632" s="14" t="b">
        <f t="shared" si="1"/>
        <v>0</v>
      </c>
      <c r="S5632" s="14" t="str">
        <f t="shared" si="2"/>
        <v>42.904802,47.614465</v>
      </c>
      <c r="T5632" s="12"/>
    </row>
    <row r="5633">
      <c r="A5633" s="199" t="s">
        <v>36152</v>
      </c>
      <c r="B5633" s="140" t="s">
        <v>36153</v>
      </c>
      <c r="C5633" s="140" t="s">
        <v>36154</v>
      </c>
      <c r="D5633" s="140" t="s">
        <v>33342</v>
      </c>
      <c r="E5633" s="141" t="s">
        <v>36155</v>
      </c>
      <c r="F5633" s="139" t="s">
        <v>16443</v>
      </c>
      <c r="G5633" s="139" t="s">
        <v>33344</v>
      </c>
      <c r="H5633" s="139"/>
      <c r="I5633" s="140"/>
      <c r="J5633" s="140" t="s">
        <v>36156</v>
      </c>
      <c r="K5633" s="140" t="s">
        <v>36157</v>
      </c>
      <c r="L5633" s="140"/>
      <c r="M5633" s="140"/>
      <c r="N5633" s="12"/>
      <c r="O5633" s="12"/>
      <c r="P5633" s="13">
        <f>IFERROR(__xludf.DUMMYFUNCTION("VALUE(SUBSTITUTE((INDEX(SPLIT(A5633,"",""),1)),""."","","",1))"),42.980488)</f>
        <v>42.980488</v>
      </c>
      <c r="Q5633" s="13">
        <f>IFERROR(__xludf.DUMMYFUNCTION("VALUE(SUBSTITUTE((INDEX(SPLIT(A5633,"",""),2)),""."","","",1))"),47.442752)</f>
        <v>47.442752</v>
      </c>
      <c r="R5633" s="14" t="b">
        <f t="shared" si="1"/>
        <v>0</v>
      </c>
      <c r="S5633" s="14" t="str">
        <f t="shared" si="2"/>
        <v>42.980488,47.442752</v>
      </c>
      <c r="T5633" s="12"/>
    </row>
    <row r="5634">
      <c r="A5634" s="158" t="s">
        <v>36158</v>
      </c>
      <c r="B5634" s="137" t="s">
        <v>36159</v>
      </c>
      <c r="C5634" s="137" t="s">
        <v>36160</v>
      </c>
      <c r="D5634" s="137" t="s">
        <v>33342</v>
      </c>
      <c r="E5634" s="138" t="s">
        <v>36161</v>
      </c>
      <c r="F5634" s="136" t="s">
        <v>16443</v>
      </c>
      <c r="G5634" s="136" t="s">
        <v>33344</v>
      </c>
      <c r="H5634" s="136"/>
      <c r="I5634" s="137"/>
      <c r="J5634" s="137" t="s">
        <v>36162</v>
      </c>
      <c r="K5634" s="137" t="s">
        <v>36163</v>
      </c>
      <c r="L5634" s="137"/>
      <c r="M5634" s="137"/>
      <c r="N5634" s="12"/>
      <c r="O5634" s="12"/>
      <c r="P5634" s="13">
        <f>IFERROR(__xludf.DUMMYFUNCTION("VALUE(SUBSTITUTE((INDEX(SPLIT(A5634,"",""),1)),""."","","",1))"),42.969241)</f>
        <v>42.969241</v>
      </c>
      <c r="Q5634" s="13">
        <f>IFERROR(__xludf.DUMMYFUNCTION("VALUE(SUBSTITUTE((INDEX(SPLIT(A5634,"",""),2)),""."","","",1))"),47.541971)</f>
        <v>47.541971</v>
      </c>
      <c r="R5634" s="14" t="b">
        <f t="shared" si="1"/>
        <v>0</v>
      </c>
      <c r="S5634" s="14" t="str">
        <f t="shared" si="2"/>
        <v>42.969241,47.541971</v>
      </c>
      <c r="T5634" s="12"/>
    </row>
    <row r="5635">
      <c r="A5635" s="199" t="s">
        <v>36164</v>
      </c>
      <c r="B5635" s="140" t="s">
        <v>36165</v>
      </c>
      <c r="C5635" s="140" t="s">
        <v>36166</v>
      </c>
      <c r="D5635" s="140" t="s">
        <v>33342</v>
      </c>
      <c r="E5635" s="141" t="s">
        <v>36167</v>
      </c>
      <c r="F5635" s="139" t="s">
        <v>16443</v>
      </c>
      <c r="G5635" s="139" t="s">
        <v>33344</v>
      </c>
      <c r="H5635" s="139"/>
      <c r="I5635" s="140"/>
      <c r="J5635" s="140" t="s">
        <v>36168</v>
      </c>
      <c r="K5635" s="140" t="s">
        <v>36169</v>
      </c>
      <c r="L5635" s="140"/>
      <c r="M5635" s="140"/>
      <c r="N5635" s="12"/>
      <c r="O5635" s="12"/>
      <c r="P5635" s="13">
        <f>IFERROR(__xludf.DUMMYFUNCTION("VALUE(SUBSTITUTE((INDEX(SPLIT(A5635,"",""),1)),""."","","",1))"),42.969907)</f>
        <v>42.969907</v>
      </c>
      <c r="Q5635" s="13">
        <f>IFERROR(__xludf.DUMMYFUNCTION("VALUE(SUBSTITUTE((INDEX(SPLIT(A5635,"",""),2)),""."","","",1))"),47.538701)</f>
        <v>47.538701</v>
      </c>
      <c r="R5635" s="14" t="b">
        <f t="shared" si="1"/>
        <v>0</v>
      </c>
      <c r="S5635" s="14" t="str">
        <f t="shared" si="2"/>
        <v>42.969907,47.538701</v>
      </c>
      <c r="T5635" s="12"/>
    </row>
    <row r="5636">
      <c r="A5636" s="158" t="s">
        <v>36170</v>
      </c>
      <c r="B5636" s="137" t="s">
        <v>36171</v>
      </c>
      <c r="C5636" s="137" t="s">
        <v>36172</v>
      </c>
      <c r="D5636" s="137" t="s">
        <v>33342</v>
      </c>
      <c r="E5636" s="138" t="s">
        <v>36173</v>
      </c>
      <c r="F5636" s="136" t="s">
        <v>16443</v>
      </c>
      <c r="G5636" s="136" t="s">
        <v>33344</v>
      </c>
      <c r="H5636" s="136"/>
      <c r="I5636" s="156" t="s">
        <v>36174</v>
      </c>
      <c r="J5636" s="137" t="s">
        <v>36175</v>
      </c>
      <c r="K5636" s="137" t="s">
        <v>36176</v>
      </c>
      <c r="L5636" s="137"/>
      <c r="M5636" s="137"/>
      <c r="N5636" s="12"/>
      <c r="O5636" s="12"/>
      <c r="P5636" s="13">
        <f>IFERROR(__xludf.DUMMYFUNCTION("VALUE(SUBSTITUTE((INDEX(SPLIT(A5636,"",""),1)),""."","","",1))"),43.203743)</f>
        <v>43.203743</v>
      </c>
      <c r="Q5636" s="13">
        <f>IFERROR(__xludf.DUMMYFUNCTION("VALUE(SUBSTITUTE((INDEX(SPLIT(A5636,"",""),2)),""."","","",1))"),47.481065)</f>
        <v>47.481065</v>
      </c>
      <c r="R5636" s="14" t="b">
        <f t="shared" si="1"/>
        <v>0</v>
      </c>
      <c r="S5636" s="14" t="str">
        <f t="shared" si="2"/>
        <v>43.203743,47.481065</v>
      </c>
      <c r="T5636" s="12"/>
    </row>
    <row r="5637">
      <c r="A5637" s="199" t="s">
        <v>36177</v>
      </c>
      <c r="B5637" s="140" t="s">
        <v>36178</v>
      </c>
      <c r="C5637" s="140" t="s">
        <v>36179</v>
      </c>
      <c r="D5637" s="140" t="s">
        <v>33342</v>
      </c>
      <c r="E5637" s="141" t="s">
        <v>36180</v>
      </c>
      <c r="F5637" s="139" t="s">
        <v>16443</v>
      </c>
      <c r="G5637" s="139" t="s">
        <v>33344</v>
      </c>
      <c r="H5637" s="139"/>
      <c r="I5637" s="140"/>
      <c r="J5637" s="140" t="s">
        <v>36181</v>
      </c>
      <c r="K5637" s="140" t="s">
        <v>36182</v>
      </c>
      <c r="L5637" s="140"/>
      <c r="M5637" s="140"/>
      <c r="N5637" s="12"/>
      <c r="O5637" s="12"/>
      <c r="P5637" s="13">
        <f>IFERROR(__xludf.DUMMYFUNCTION("VALUE(SUBSTITUTE((INDEX(SPLIT(A5637,"",""),1)),""."","","",1))"),43.002704)</f>
        <v>43.002704</v>
      </c>
      <c r="Q5637" s="13">
        <f>IFERROR(__xludf.DUMMYFUNCTION("VALUE(SUBSTITUTE((INDEX(SPLIT(A5637,"",""),2)),""."","","",1))"),47.456712)</f>
        <v>47.456712</v>
      </c>
      <c r="R5637" s="14" t="b">
        <f t="shared" si="1"/>
        <v>0</v>
      </c>
      <c r="S5637" s="14" t="str">
        <f t="shared" si="2"/>
        <v>43.002704,47.456712</v>
      </c>
      <c r="T5637" s="12"/>
    </row>
    <row r="5638">
      <c r="A5638" s="158" t="s">
        <v>19567</v>
      </c>
      <c r="B5638" s="137" t="s">
        <v>36183</v>
      </c>
      <c r="C5638" s="137" t="s">
        <v>36184</v>
      </c>
      <c r="D5638" s="137" t="s">
        <v>33342</v>
      </c>
      <c r="E5638" s="138" t="s">
        <v>36185</v>
      </c>
      <c r="F5638" s="136" t="s">
        <v>16443</v>
      </c>
      <c r="G5638" s="136" t="s">
        <v>33344</v>
      </c>
      <c r="H5638" s="136"/>
      <c r="I5638" s="137"/>
      <c r="J5638" s="137" t="s">
        <v>36186</v>
      </c>
      <c r="K5638" s="137" t="s">
        <v>36187</v>
      </c>
      <c r="L5638" s="137"/>
      <c r="M5638" s="137"/>
      <c r="N5638" s="12"/>
      <c r="O5638" s="12"/>
      <c r="P5638" s="13">
        <f>IFERROR(__xludf.DUMMYFUNCTION("VALUE(SUBSTITUTE((INDEX(SPLIT(A5638,"",""),1)),""."","","",1))"),42.929812)</f>
        <v>42.929812</v>
      </c>
      <c r="Q5638" s="13">
        <f>IFERROR(__xludf.DUMMYFUNCTION("VALUE(SUBSTITUTE((INDEX(SPLIT(A5638,"",""),2)),""."","","",1))"),47.519199)</f>
        <v>47.519199</v>
      </c>
      <c r="R5638" s="14" t="b">
        <f t="shared" si="1"/>
        <v>0</v>
      </c>
      <c r="S5638" s="14" t="str">
        <f t="shared" si="2"/>
        <v>42.929812,47.519199</v>
      </c>
      <c r="T5638" s="12"/>
    </row>
    <row r="5639">
      <c r="A5639" s="199" t="s">
        <v>36188</v>
      </c>
      <c r="B5639" s="140" t="s">
        <v>36189</v>
      </c>
      <c r="C5639" s="140" t="s">
        <v>36190</v>
      </c>
      <c r="D5639" s="140" t="s">
        <v>33342</v>
      </c>
      <c r="E5639" s="141" t="s">
        <v>36191</v>
      </c>
      <c r="F5639" s="139" t="s">
        <v>16443</v>
      </c>
      <c r="G5639" s="139" t="s">
        <v>33344</v>
      </c>
      <c r="H5639" s="139"/>
      <c r="I5639" s="140"/>
      <c r="J5639" s="140" t="s">
        <v>36192</v>
      </c>
      <c r="K5639" s="140" t="s">
        <v>36193</v>
      </c>
      <c r="L5639" s="140"/>
      <c r="M5639" s="140"/>
      <c r="N5639" s="12"/>
      <c r="O5639" s="12"/>
      <c r="P5639" s="13">
        <f>IFERROR(__xludf.DUMMYFUNCTION("VALUE(SUBSTITUTE((INDEX(SPLIT(A5639,"",""),1)),""."","","",1))"),42.976985)</f>
        <v>42.976985</v>
      </c>
      <c r="Q5639" s="13">
        <f>IFERROR(__xludf.DUMMYFUNCTION("VALUE(SUBSTITUTE((INDEX(SPLIT(A5639,"",""),2)),""."","","",1))"),47.52113)</f>
        <v>47.52113</v>
      </c>
      <c r="R5639" s="14" t="b">
        <f t="shared" si="1"/>
        <v>0</v>
      </c>
      <c r="S5639" s="14" t="str">
        <f t="shared" si="2"/>
        <v>42.976985,47.52113</v>
      </c>
      <c r="T5639" s="12"/>
    </row>
    <row r="5640">
      <c r="A5640" s="201" t="s">
        <v>36194</v>
      </c>
      <c r="B5640" s="143" t="s">
        <v>36195</v>
      </c>
      <c r="C5640" s="143" t="s">
        <v>36196</v>
      </c>
      <c r="D5640" s="143" t="s">
        <v>33342</v>
      </c>
      <c r="E5640" s="144" t="s">
        <v>36197</v>
      </c>
      <c r="F5640" s="142" t="s">
        <v>16443</v>
      </c>
      <c r="G5640" s="142" t="s">
        <v>33344</v>
      </c>
      <c r="H5640" s="142"/>
      <c r="I5640" s="143"/>
      <c r="J5640" s="143" t="s">
        <v>36198</v>
      </c>
      <c r="K5640" s="143" t="s">
        <v>36199</v>
      </c>
      <c r="L5640" s="152" t="s">
        <v>36200</v>
      </c>
      <c r="M5640" s="143"/>
      <c r="N5640" s="12"/>
      <c r="O5640" s="12"/>
      <c r="P5640" s="13">
        <f>IFERROR(__xludf.DUMMYFUNCTION("VALUE(SUBSTITUTE((INDEX(SPLIT(A5640,"",""),1)),""."","","",1))"),42.954951)</f>
        <v>42.954951</v>
      </c>
      <c r="Q5640" s="13">
        <f>IFERROR(__xludf.DUMMYFUNCTION("VALUE(SUBSTITUTE((INDEX(SPLIT(A5640,"",""),2)),""."","","",1))"),47.554332)</f>
        <v>47.554332</v>
      </c>
      <c r="R5640" s="14" t="b">
        <f t="shared" si="1"/>
        <v>0</v>
      </c>
      <c r="S5640" s="14" t="str">
        <f t="shared" si="2"/>
        <v>42.954951,47.554332</v>
      </c>
      <c r="T5640" s="12"/>
    </row>
    <row r="5641">
      <c r="A5641" s="199" t="s">
        <v>36201</v>
      </c>
      <c r="B5641" s="140" t="s">
        <v>36202</v>
      </c>
      <c r="C5641" s="140" t="s">
        <v>36203</v>
      </c>
      <c r="D5641" s="140" t="s">
        <v>33342</v>
      </c>
      <c r="E5641" s="141" t="s">
        <v>36204</v>
      </c>
      <c r="F5641" s="139" t="s">
        <v>16443</v>
      </c>
      <c r="G5641" s="139" t="s">
        <v>33344</v>
      </c>
      <c r="H5641" s="139"/>
      <c r="I5641" s="140"/>
      <c r="J5641" s="140" t="s">
        <v>36205</v>
      </c>
      <c r="K5641" s="140" t="s">
        <v>36206</v>
      </c>
      <c r="L5641" s="140"/>
      <c r="M5641" s="140"/>
      <c r="N5641" s="12"/>
      <c r="O5641" s="12"/>
      <c r="P5641" s="13">
        <f>IFERROR(__xludf.DUMMYFUNCTION("VALUE(SUBSTITUTE((INDEX(SPLIT(A5641,"",""),1)),""."","","",1))"),42.979762)</f>
        <v>42.979762</v>
      </c>
      <c r="Q5641" s="13">
        <f>IFERROR(__xludf.DUMMYFUNCTION("VALUE(SUBSTITUTE((INDEX(SPLIT(A5641,"",""),2)),""."","","",1))"),47.498933)</f>
        <v>47.498933</v>
      </c>
      <c r="R5641" s="14" t="b">
        <f t="shared" si="1"/>
        <v>0</v>
      </c>
      <c r="S5641" s="14" t="str">
        <f t="shared" si="2"/>
        <v>42.979762,47.498933</v>
      </c>
      <c r="T5641" s="12"/>
    </row>
    <row r="5642">
      <c r="A5642" s="158" t="s">
        <v>36207</v>
      </c>
      <c r="B5642" s="137" t="s">
        <v>36208</v>
      </c>
      <c r="C5642" s="137" t="s">
        <v>36209</v>
      </c>
      <c r="D5642" s="137" t="s">
        <v>33342</v>
      </c>
      <c r="E5642" s="138" t="s">
        <v>36210</v>
      </c>
      <c r="F5642" s="136" t="s">
        <v>16443</v>
      </c>
      <c r="G5642" s="136" t="s">
        <v>33344</v>
      </c>
      <c r="H5642" s="136"/>
      <c r="I5642" s="137"/>
      <c r="J5642" s="137" t="s">
        <v>36211</v>
      </c>
      <c r="K5642" s="137" t="s">
        <v>36212</v>
      </c>
      <c r="L5642" s="137"/>
      <c r="M5642" s="137"/>
      <c r="N5642" s="12"/>
      <c r="O5642" s="12"/>
      <c r="P5642" s="13">
        <f>IFERROR(__xludf.DUMMYFUNCTION("VALUE(SUBSTITUTE((INDEX(SPLIT(A5642,"",""),1)),""."","","",1))"),42.969182)</f>
        <v>42.969182</v>
      </c>
      <c r="Q5642" s="13">
        <f>IFERROR(__xludf.DUMMYFUNCTION("VALUE(SUBSTITUTE((INDEX(SPLIT(A5642,"",""),2)),""."","","",1))"),47.520528)</f>
        <v>47.520528</v>
      </c>
      <c r="R5642" s="14" t="b">
        <f t="shared" si="1"/>
        <v>0</v>
      </c>
      <c r="S5642" s="14" t="str">
        <f t="shared" si="2"/>
        <v>42.969182,47.520528</v>
      </c>
      <c r="T5642" s="12"/>
    </row>
    <row r="5643">
      <c r="A5643" s="199" t="s">
        <v>36213</v>
      </c>
      <c r="B5643" s="140" t="s">
        <v>36214</v>
      </c>
      <c r="C5643" s="140" t="s">
        <v>36215</v>
      </c>
      <c r="D5643" s="140" t="s">
        <v>33342</v>
      </c>
      <c r="E5643" s="141" t="s">
        <v>36216</v>
      </c>
      <c r="F5643" s="139" t="s">
        <v>16443</v>
      </c>
      <c r="G5643" s="139" t="s">
        <v>33344</v>
      </c>
      <c r="H5643" s="139"/>
      <c r="I5643" s="140"/>
      <c r="J5643" s="140" t="s">
        <v>36217</v>
      </c>
      <c r="K5643" s="140" t="s">
        <v>36218</v>
      </c>
      <c r="L5643" s="140"/>
      <c r="M5643" s="140"/>
      <c r="N5643" s="12"/>
      <c r="O5643" s="12"/>
      <c r="P5643" s="13">
        <f>IFERROR(__xludf.DUMMYFUNCTION("VALUE(SUBSTITUTE((INDEX(SPLIT(A5643,"",""),1)),""."","","",1))"),42.966648)</f>
        <v>42.966648</v>
      </c>
      <c r="Q5643" s="13">
        <f>IFERROR(__xludf.DUMMYFUNCTION("VALUE(SUBSTITUTE((INDEX(SPLIT(A5643,"",""),2)),""."","","",1))"),47.502158)</f>
        <v>47.502158</v>
      </c>
      <c r="R5643" s="14" t="b">
        <f t="shared" si="1"/>
        <v>0</v>
      </c>
      <c r="S5643" s="14" t="str">
        <f t="shared" si="2"/>
        <v>42.966648,47.502158</v>
      </c>
      <c r="T5643" s="12"/>
    </row>
    <row r="5644">
      <c r="A5644" s="158" t="s">
        <v>36219</v>
      </c>
      <c r="B5644" s="137" t="s">
        <v>21955</v>
      </c>
      <c r="C5644" s="137" t="s">
        <v>33404</v>
      </c>
      <c r="D5644" s="137" t="s">
        <v>33342</v>
      </c>
      <c r="E5644" s="138" t="s">
        <v>36220</v>
      </c>
      <c r="F5644" s="136" t="s">
        <v>16443</v>
      </c>
      <c r="G5644" s="136" t="s">
        <v>33344</v>
      </c>
      <c r="H5644" s="136"/>
      <c r="I5644" s="137"/>
      <c r="J5644" s="137" t="s">
        <v>36221</v>
      </c>
      <c r="K5644" s="137" t="s">
        <v>36222</v>
      </c>
      <c r="L5644" s="137"/>
      <c r="M5644" s="153" t="s">
        <v>36223</v>
      </c>
      <c r="N5644" s="12"/>
      <c r="O5644" s="12"/>
      <c r="P5644" s="13">
        <f>IFERROR(__xludf.DUMMYFUNCTION("VALUE(SUBSTITUTE((INDEX(SPLIT(A5644,"",""),1)),""."","","",1))"),42.980211)</f>
        <v>42.980211</v>
      </c>
      <c r="Q5644" s="13">
        <f>IFERROR(__xludf.DUMMYFUNCTION("VALUE(SUBSTITUTE((INDEX(SPLIT(A5644,"",""),2)),""."","","",1))"),47.484416)</f>
        <v>47.484416</v>
      </c>
      <c r="R5644" s="14" t="b">
        <f t="shared" si="1"/>
        <v>0</v>
      </c>
      <c r="S5644" s="14" t="str">
        <f t="shared" si="2"/>
        <v>42.980211,47.484416</v>
      </c>
      <c r="T5644" s="12"/>
    </row>
    <row r="5645">
      <c r="A5645" s="202" t="s">
        <v>36224</v>
      </c>
      <c r="B5645" s="147" t="s">
        <v>36225</v>
      </c>
      <c r="C5645" s="147" t="s">
        <v>36226</v>
      </c>
      <c r="D5645" s="147" t="s">
        <v>33342</v>
      </c>
      <c r="E5645" s="148" t="s">
        <v>36227</v>
      </c>
      <c r="F5645" s="146" t="s">
        <v>16443</v>
      </c>
      <c r="G5645" s="146" t="s">
        <v>33344</v>
      </c>
      <c r="H5645" s="146"/>
      <c r="I5645" s="147"/>
      <c r="J5645" s="147" t="s">
        <v>36228</v>
      </c>
      <c r="K5645" s="147" t="s">
        <v>36229</v>
      </c>
      <c r="L5645" s="149" t="s">
        <v>36230</v>
      </c>
      <c r="M5645" s="147"/>
      <c r="N5645" s="12"/>
      <c r="O5645" s="12"/>
      <c r="P5645" s="13">
        <f>IFERROR(__xludf.DUMMYFUNCTION("VALUE(SUBSTITUTE((INDEX(SPLIT(A5645,"",""),1)),""."","","",1))"),42.972493)</f>
        <v>42.972493</v>
      </c>
      <c r="Q5645" s="13">
        <f>IFERROR(__xludf.DUMMYFUNCTION("VALUE(SUBSTITUTE((INDEX(SPLIT(A5645,"",""),2)),""."","","",1))"),47.524086)</f>
        <v>47.524086</v>
      </c>
      <c r="R5645" s="14" t="b">
        <f t="shared" si="1"/>
        <v>0</v>
      </c>
      <c r="S5645" s="14" t="str">
        <f t="shared" si="2"/>
        <v>42.972493,47.524086</v>
      </c>
      <c r="T5645" s="12"/>
    </row>
    <row r="5646">
      <c r="A5646" s="158" t="s">
        <v>36231</v>
      </c>
      <c r="B5646" s="137" t="s">
        <v>36232</v>
      </c>
      <c r="C5646" s="137" t="s">
        <v>36233</v>
      </c>
      <c r="D5646" s="137" t="s">
        <v>33342</v>
      </c>
      <c r="E5646" s="138" t="s">
        <v>36234</v>
      </c>
      <c r="F5646" s="136" t="s">
        <v>16443</v>
      </c>
      <c r="G5646" s="136" t="s">
        <v>33344</v>
      </c>
      <c r="H5646" s="136"/>
      <c r="I5646" s="137"/>
      <c r="J5646" s="137" t="s">
        <v>36235</v>
      </c>
      <c r="K5646" s="137" t="s">
        <v>36236</v>
      </c>
      <c r="L5646" s="137"/>
      <c r="M5646" s="137"/>
      <c r="N5646" s="12"/>
      <c r="O5646" s="12"/>
      <c r="P5646" s="13">
        <f>IFERROR(__xludf.DUMMYFUNCTION("VALUE(SUBSTITUTE((INDEX(SPLIT(A5646,"",""),1)),""."","","",1))"),43.007471)</f>
        <v>43.007471</v>
      </c>
      <c r="Q5646" s="13">
        <f>IFERROR(__xludf.DUMMYFUNCTION("VALUE(SUBSTITUTE((INDEX(SPLIT(A5646,"",""),2)),""."","","",1))"),47.448618)</f>
        <v>47.448618</v>
      </c>
      <c r="R5646" s="14" t="b">
        <f t="shared" si="1"/>
        <v>0</v>
      </c>
      <c r="S5646" s="14" t="str">
        <f t="shared" si="2"/>
        <v>43.007471,47.448618</v>
      </c>
      <c r="T5646" s="12"/>
    </row>
    <row r="5647">
      <c r="A5647" s="199" t="s">
        <v>36237</v>
      </c>
      <c r="B5647" s="140" t="s">
        <v>36238</v>
      </c>
      <c r="C5647" s="140" t="s">
        <v>36239</v>
      </c>
      <c r="D5647" s="140" t="s">
        <v>33342</v>
      </c>
      <c r="E5647" s="141" t="s">
        <v>36240</v>
      </c>
      <c r="F5647" s="139" t="s">
        <v>16443</v>
      </c>
      <c r="G5647" s="139" t="s">
        <v>33344</v>
      </c>
      <c r="H5647" s="139"/>
      <c r="I5647" s="140"/>
      <c r="J5647" s="140" t="s">
        <v>36241</v>
      </c>
      <c r="K5647" s="140" t="s">
        <v>36242</v>
      </c>
      <c r="L5647" s="140"/>
      <c r="M5647" s="140"/>
      <c r="N5647" s="12"/>
      <c r="O5647" s="12"/>
      <c r="P5647" s="13">
        <f>IFERROR(__xludf.DUMMYFUNCTION("VALUE(SUBSTITUTE((INDEX(SPLIT(A5647,"",""),1)),""."","","",1))"),43.033599)</f>
        <v>43.033599</v>
      </c>
      <c r="Q5647" s="13">
        <f>IFERROR(__xludf.DUMMYFUNCTION("VALUE(SUBSTITUTE((INDEX(SPLIT(A5647,"",""),2)),""."","","",1))"),47.303621)</f>
        <v>47.303621</v>
      </c>
      <c r="R5647" s="14" t="b">
        <f t="shared" si="1"/>
        <v>0</v>
      </c>
      <c r="S5647" s="14" t="str">
        <f t="shared" si="2"/>
        <v>43.033599,47.303621</v>
      </c>
      <c r="T5647" s="12"/>
    </row>
    <row r="5648">
      <c r="A5648" s="158" t="s">
        <v>36243</v>
      </c>
      <c r="B5648" s="137" t="s">
        <v>36244</v>
      </c>
      <c r="C5648" s="137" t="s">
        <v>36245</v>
      </c>
      <c r="D5648" s="137" t="s">
        <v>33342</v>
      </c>
      <c r="E5648" s="138" t="s">
        <v>36246</v>
      </c>
      <c r="F5648" s="136" t="s">
        <v>18396</v>
      </c>
      <c r="G5648" s="136" t="s">
        <v>33344</v>
      </c>
      <c r="H5648" s="136"/>
      <c r="I5648" s="137"/>
      <c r="J5648" s="137" t="s">
        <v>36247</v>
      </c>
      <c r="K5648" s="137" t="s">
        <v>36248</v>
      </c>
      <c r="L5648" s="137"/>
      <c r="M5648" s="137"/>
      <c r="N5648" s="12"/>
      <c r="O5648" s="12"/>
      <c r="P5648" s="13">
        <f>IFERROR(__xludf.DUMMYFUNCTION("VALUE(SUBSTITUTE((INDEX(SPLIT(A5648,"",""),1)),""."","","",1))"),43.189619)</f>
        <v>43.189619</v>
      </c>
      <c r="Q5648" s="13">
        <f>IFERROR(__xludf.DUMMYFUNCTION("VALUE(SUBSTITUTE((INDEX(SPLIT(A5648,"",""),2)),""."","","",1))"),44.923499)</f>
        <v>44.923499</v>
      </c>
      <c r="R5648" s="14" t="b">
        <f t="shared" si="1"/>
        <v>0</v>
      </c>
      <c r="S5648" s="14" t="str">
        <f t="shared" si="2"/>
        <v>43.189619,44.923499</v>
      </c>
      <c r="T5648" s="12"/>
    </row>
    <row r="5649">
      <c r="A5649" s="199" t="s">
        <v>36249</v>
      </c>
      <c r="B5649" s="140" t="s">
        <v>36250</v>
      </c>
      <c r="C5649" s="140" t="s">
        <v>36251</v>
      </c>
      <c r="D5649" s="140" t="s">
        <v>33342</v>
      </c>
      <c r="E5649" s="141" t="s">
        <v>36252</v>
      </c>
      <c r="F5649" s="139" t="s">
        <v>18396</v>
      </c>
      <c r="G5649" s="139" t="s">
        <v>33344</v>
      </c>
      <c r="H5649" s="139"/>
      <c r="I5649" s="140"/>
      <c r="J5649" s="140" t="s">
        <v>36253</v>
      </c>
      <c r="K5649" s="140" t="s">
        <v>36254</v>
      </c>
      <c r="L5649" s="140"/>
      <c r="M5649" s="140"/>
      <c r="N5649" s="12"/>
      <c r="O5649" s="12"/>
      <c r="P5649" s="13">
        <f>IFERROR(__xludf.DUMMYFUNCTION("VALUE(SUBSTITUTE((INDEX(SPLIT(A5649,"",""),1)),""."","","",1))"),43.212345)</f>
        <v>43.212345</v>
      </c>
      <c r="Q5649" s="13">
        <f>IFERROR(__xludf.DUMMYFUNCTION("VALUE(SUBSTITUTE((INDEX(SPLIT(A5649,"",""),2)),""."","","",1))"),44.756924)</f>
        <v>44.756924</v>
      </c>
      <c r="R5649" s="14" t="b">
        <f t="shared" si="1"/>
        <v>0</v>
      </c>
      <c r="S5649" s="14" t="str">
        <f t="shared" si="2"/>
        <v>43.212345,44.756924</v>
      </c>
      <c r="T5649" s="12"/>
    </row>
    <row r="5650">
      <c r="A5650" s="201" t="s">
        <v>36255</v>
      </c>
      <c r="B5650" s="143" t="s">
        <v>36256</v>
      </c>
      <c r="C5650" s="143" t="s">
        <v>36257</v>
      </c>
      <c r="D5650" s="143" t="s">
        <v>33342</v>
      </c>
      <c r="E5650" s="144" t="s">
        <v>36258</v>
      </c>
      <c r="F5650" s="142" t="s">
        <v>18396</v>
      </c>
      <c r="G5650" s="142" t="s">
        <v>33344</v>
      </c>
      <c r="H5650" s="142"/>
      <c r="I5650" s="143"/>
      <c r="J5650" s="143" t="s">
        <v>36259</v>
      </c>
      <c r="K5650" s="143" t="s">
        <v>36260</v>
      </c>
      <c r="L5650" s="145" t="s">
        <v>36261</v>
      </c>
      <c r="M5650" s="143"/>
      <c r="N5650" s="12"/>
      <c r="O5650" s="12"/>
      <c r="P5650" s="13">
        <f>IFERROR(__xludf.DUMMYFUNCTION("VALUE(SUBSTITUTE((INDEX(SPLIT(A5650,"",""),1)),""."","","",1))"),43.205701)</f>
        <v>43.205701</v>
      </c>
      <c r="Q5650" s="13">
        <f>IFERROR(__xludf.DUMMYFUNCTION("VALUE(SUBSTITUTE((INDEX(SPLIT(A5650,"",""),2)),""."","","",1))"),44.832553)</f>
        <v>44.832553</v>
      </c>
      <c r="R5650" s="14" t="b">
        <f t="shared" si="1"/>
        <v>0</v>
      </c>
      <c r="S5650" s="14" t="str">
        <f t="shared" si="2"/>
        <v>43.205701,44.832553</v>
      </c>
      <c r="T5650" s="12"/>
    </row>
    <row r="5651">
      <c r="A5651" s="202" t="s">
        <v>36262</v>
      </c>
      <c r="B5651" s="147" t="s">
        <v>36263</v>
      </c>
      <c r="C5651" s="147" t="s">
        <v>36264</v>
      </c>
      <c r="D5651" s="147" t="s">
        <v>33342</v>
      </c>
      <c r="E5651" s="148" t="s">
        <v>36265</v>
      </c>
      <c r="F5651" s="146" t="s">
        <v>18396</v>
      </c>
      <c r="G5651" s="146" t="s">
        <v>33344</v>
      </c>
      <c r="H5651" s="146"/>
      <c r="I5651" s="147"/>
      <c r="J5651" s="147" t="s">
        <v>36266</v>
      </c>
      <c r="K5651" s="147" t="s">
        <v>36267</v>
      </c>
      <c r="L5651" s="149" t="s">
        <v>36268</v>
      </c>
      <c r="M5651" s="149" t="s">
        <v>36269</v>
      </c>
      <c r="N5651" s="12"/>
      <c r="O5651" s="12"/>
      <c r="P5651" s="13">
        <f>IFERROR(__xludf.DUMMYFUNCTION("VALUE(SUBSTITUTE((INDEX(SPLIT(A5651,"",""),1)),""."","","",1))"),43.217147)</f>
        <v>43.217147</v>
      </c>
      <c r="Q5651" s="13">
        <f>IFERROR(__xludf.DUMMYFUNCTION("VALUE(SUBSTITUTE((INDEX(SPLIT(A5651,"",""),2)),""."","","",1))"),44.787081)</f>
        <v>44.787081</v>
      </c>
      <c r="R5651" s="14" t="b">
        <f t="shared" si="1"/>
        <v>0</v>
      </c>
      <c r="S5651" s="14" t="str">
        <f t="shared" si="2"/>
        <v>43.217147,44.787081</v>
      </c>
      <c r="T5651" s="12"/>
    </row>
    <row r="5652">
      <c r="A5652" s="158" t="s">
        <v>36270</v>
      </c>
      <c r="B5652" s="137" t="s">
        <v>36271</v>
      </c>
      <c r="C5652" s="137" t="s">
        <v>36272</v>
      </c>
      <c r="D5652" s="137" t="s">
        <v>33342</v>
      </c>
      <c r="E5652" s="138" t="s">
        <v>36273</v>
      </c>
      <c r="F5652" s="136" t="s">
        <v>18396</v>
      </c>
      <c r="G5652" s="136" t="s">
        <v>33344</v>
      </c>
      <c r="H5652" s="136"/>
      <c r="I5652" s="137"/>
      <c r="J5652" s="137" t="s">
        <v>36274</v>
      </c>
      <c r="K5652" s="137" t="s">
        <v>36275</v>
      </c>
      <c r="L5652" s="137"/>
      <c r="M5652" s="137"/>
      <c r="N5652" s="12"/>
      <c r="O5652" s="12"/>
      <c r="P5652" s="13">
        <f>IFERROR(__xludf.DUMMYFUNCTION("VALUE(SUBSTITUTE((INDEX(SPLIT(A5652,"",""),1)),""."","","",1))"),43.221129)</f>
        <v>43.221129</v>
      </c>
      <c r="Q5652" s="13">
        <f>IFERROR(__xludf.DUMMYFUNCTION("VALUE(SUBSTITUTE((INDEX(SPLIT(A5652,"",""),2)),""."","","",1))"),44.827918)</f>
        <v>44.827918</v>
      </c>
      <c r="R5652" s="14" t="b">
        <f t="shared" si="1"/>
        <v>0</v>
      </c>
      <c r="S5652" s="14" t="str">
        <f t="shared" si="2"/>
        <v>43.221129,44.827918</v>
      </c>
      <c r="T5652" s="12"/>
    </row>
    <row r="5653">
      <c r="A5653" s="199" t="s">
        <v>36276</v>
      </c>
      <c r="B5653" s="140" t="s">
        <v>36277</v>
      </c>
      <c r="C5653" s="140" t="s">
        <v>36278</v>
      </c>
      <c r="D5653" s="140" t="s">
        <v>33342</v>
      </c>
      <c r="E5653" s="141" t="s">
        <v>36279</v>
      </c>
      <c r="F5653" s="139" t="s">
        <v>18396</v>
      </c>
      <c r="G5653" s="139" t="s">
        <v>33344</v>
      </c>
      <c r="H5653" s="139"/>
      <c r="I5653" s="140"/>
      <c r="J5653" s="140" t="s">
        <v>36280</v>
      </c>
      <c r="K5653" s="140" t="s">
        <v>36281</v>
      </c>
      <c r="L5653" s="140"/>
      <c r="M5653" s="140"/>
      <c r="N5653" s="12"/>
      <c r="O5653" s="12"/>
      <c r="P5653" s="13">
        <f>IFERROR(__xludf.DUMMYFUNCTION("VALUE(SUBSTITUTE((INDEX(SPLIT(A5653,"",""),1)),""."","","",1))"),43.294664)</f>
        <v>43.294664</v>
      </c>
      <c r="Q5653" s="13">
        <f>IFERROR(__xludf.DUMMYFUNCTION("VALUE(SUBSTITUTE((INDEX(SPLIT(A5653,"",""),2)),""."","","",1))"),44.844393)</f>
        <v>44.844393</v>
      </c>
      <c r="R5653" s="14" t="b">
        <f t="shared" si="1"/>
        <v>0</v>
      </c>
      <c r="S5653" s="14" t="str">
        <f t="shared" si="2"/>
        <v>43.294664,44.844393</v>
      </c>
      <c r="T5653" s="12"/>
    </row>
    <row r="5654">
      <c r="A5654" s="158" t="s">
        <v>36282</v>
      </c>
      <c r="B5654" s="137" t="s">
        <v>36283</v>
      </c>
      <c r="C5654" s="137" t="s">
        <v>36284</v>
      </c>
      <c r="D5654" s="137" t="s">
        <v>33342</v>
      </c>
      <c r="E5654" s="138" t="s">
        <v>36285</v>
      </c>
      <c r="F5654" s="136" t="s">
        <v>17033</v>
      </c>
      <c r="G5654" s="136" t="s">
        <v>33344</v>
      </c>
      <c r="H5654" s="136"/>
      <c r="I5654" s="137"/>
      <c r="J5654" s="137" t="s">
        <v>36286</v>
      </c>
      <c r="K5654" s="137" t="s">
        <v>36287</v>
      </c>
      <c r="L5654" s="137"/>
      <c r="M5654" s="137"/>
      <c r="N5654" s="12"/>
      <c r="O5654" s="12"/>
      <c r="P5654" s="13">
        <f>IFERROR(__xludf.DUMMYFUNCTION("VALUE(SUBSTITUTE((INDEX(SPLIT(A5654,"",""),1)),""."","","",1))"),43.502825)</f>
        <v>43.502825</v>
      </c>
      <c r="Q5654" s="13">
        <f>IFERROR(__xludf.DUMMYFUNCTION("VALUE(SUBSTITUTE((INDEX(SPLIT(A5654,"",""),2)),""."","","",1))"),43.612219)</f>
        <v>43.612219</v>
      </c>
      <c r="R5654" s="14" t="b">
        <f t="shared" si="1"/>
        <v>0</v>
      </c>
      <c r="S5654" s="14" t="str">
        <f t="shared" si="2"/>
        <v>43.502825,43.612219</v>
      </c>
      <c r="T5654" s="12"/>
    </row>
    <row r="5655">
      <c r="A5655" s="199" t="s">
        <v>36288</v>
      </c>
      <c r="B5655" s="140" t="s">
        <v>36289</v>
      </c>
      <c r="C5655" s="140" t="s">
        <v>36290</v>
      </c>
      <c r="D5655" s="140" t="s">
        <v>33342</v>
      </c>
      <c r="E5655" s="141" t="s">
        <v>36291</v>
      </c>
      <c r="F5655" s="139" t="s">
        <v>17033</v>
      </c>
      <c r="G5655" s="139" t="s">
        <v>33344</v>
      </c>
      <c r="H5655" s="139"/>
      <c r="I5655" s="140"/>
      <c r="J5655" s="140" t="s">
        <v>36292</v>
      </c>
      <c r="K5655" s="140" t="s">
        <v>36293</v>
      </c>
      <c r="L5655" s="140"/>
      <c r="M5655" s="140"/>
      <c r="N5655" s="12"/>
      <c r="O5655" s="12"/>
      <c r="P5655" s="13">
        <f>IFERROR(__xludf.DUMMYFUNCTION("VALUE(SUBSTITUTE((INDEX(SPLIT(A5655,"",""),1)),""."","","",1))"),43.805152)</f>
        <v>43.805152</v>
      </c>
      <c r="Q5655" s="13">
        <f>IFERROR(__xludf.DUMMYFUNCTION("VALUE(SUBSTITUTE((INDEX(SPLIT(A5655,"",""),2)),""."","","",1))"),43.328261)</f>
        <v>43.328261</v>
      </c>
      <c r="R5655" s="14" t="b">
        <f t="shared" si="1"/>
        <v>0</v>
      </c>
      <c r="S5655" s="14" t="str">
        <f t="shared" si="2"/>
        <v>43.805152,43.328261</v>
      </c>
      <c r="T5655" s="12"/>
    </row>
    <row r="5656">
      <c r="A5656" s="201" t="s">
        <v>36294</v>
      </c>
      <c r="B5656" s="143" t="s">
        <v>36295</v>
      </c>
      <c r="C5656" s="143" t="s">
        <v>36296</v>
      </c>
      <c r="D5656" s="143" t="s">
        <v>33342</v>
      </c>
      <c r="E5656" s="144" t="s">
        <v>36297</v>
      </c>
      <c r="F5656" s="142" t="s">
        <v>17033</v>
      </c>
      <c r="G5656" s="142" t="s">
        <v>33344</v>
      </c>
      <c r="H5656" s="142"/>
      <c r="I5656" s="143"/>
      <c r="J5656" s="143" t="s">
        <v>36298</v>
      </c>
      <c r="K5656" s="143" t="s">
        <v>36299</v>
      </c>
      <c r="L5656" s="145" t="s">
        <v>36300</v>
      </c>
      <c r="M5656" s="145" t="s">
        <v>36301</v>
      </c>
      <c r="N5656" s="12"/>
      <c r="O5656" s="12"/>
      <c r="P5656" s="13">
        <f>IFERROR(__xludf.DUMMYFUNCTION("VALUE(SUBSTITUTE((INDEX(SPLIT(A5656,"",""),1)),""."","","",1))"),43.480444)</f>
        <v>43.480444</v>
      </c>
      <c r="Q5656" s="13">
        <f>IFERROR(__xludf.DUMMYFUNCTION("VALUE(SUBSTITUTE((INDEX(SPLIT(A5656,"",""),2)),""."","","",1))"),44.14183)</f>
        <v>44.14183</v>
      </c>
      <c r="R5656" s="14" t="b">
        <f t="shared" si="1"/>
        <v>0</v>
      </c>
      <c r="S5656" s="14" t="str">
        <f t="shared" si="2"/>
        <v>43.480444,44.14183</v>
      </c>
      <c r="T5656" s="12"/>
    </row>
    <row r="5657">
      <c r="A5657" s="199" t="s">
        <v>36302</v>
      </c>
      <c r="B5657" s="140" t="s">
        <v>36303</v>
      </c>
      <c r="C5657" s="140" t="s">
        <v>36304</v>
      </c>
      <c r="D5657" s="140" t="s">
        <v>33342</v>
      </c>
      <c r="E5657" s="141" t="s">
        <v>36305</v>
      </c>
      <c r="F5657" s="139" t="s">
        <v>17033</v>
      </c>
      <c r="G5657" s="139" t="s">
        <v>33344</v>
      </c>
      <c r="H5657" s="139"/>
      <c r="I5657" s="140"/>
      <c r="J5657" s="140" t="s">
        <v>36306</v>
      </c>
      <c r="K5657" s="140" t="s">
        <v>36307</v>
      </c>
      <c r="L5657" s="140"/>
      <c r="M5657" s="140"/>
      <c r="N5657" s="12"/>
      <c r="O5657" s="12"/>
      <c r="P5657" s="13">
        <f>IFERROR(__xludf.DUMMYFUNCTION("VALUE(SUBSTITUTE((INDEX(SPLIT(A5657,"",""),1)),""."","","",1))"),43.25643)</f>
        <v>43.25643</v>
      </c>
      <c r="Q5657" s="13">
        <f>IFERROR(__xludf.DUMMYFUNCTION("VALUE(SUBSTITUTE((INDEX(SPLIT(A5657,"",""),2)),""."","","",1))"),42.514487)</f>
        <v>42.514487</v>
      </c>
      <c r="R5657" s="14" t="b">
        <f t="shared" si="1"/>
        <v>0</v>
      </c>
      <c r="S5657" s="14" t="str">
        <f t="shared" si="2"/>
        <v>43.25643,42.514487</v>
      </c>
      <c r="T5657" s="12"/>
    </row>
    <row r="5658">
      <c r="A5658" s="158" t="s">
        <v>36308</v>
      </c>
      <c r="B5658" s="137" t="s">
        <v>2979</v>
      </c>
      <c r="C5658" s="137" t="s">
        <v>36309</v>
      </c>
      <c r="D5658" s="137" t="s">
        <v>33342</v>
      </c>
      <c r="E5658" s="138" t="s">
        <v>36310</v>
      </c>
      <c r="F5658" s="136" t="s">
        <v>17033</v>
      </c>
      <c r="G5658" s="136" t="s">
        <v>33344</v>
      </c>
      <c r="H5658" s="136"/>
      <c r="I5658" s="137"/>
      <c r="J5658" s="137" t="s">
        <v>36311</v>
      </c>
      <c r="K5658" s="137" t="s">
        <v>36312</v>
      </c>
      <c r="L5658" s="137"/>
      <c r="M5658" s="137"/>
      <c r="N5658" s="12"/>
      <c r="O5658" s="12"/>
      <c r="P5658" s="13">
        <f>IFERROR(__xludf.DUMMYFUNCTION("VALUE(SUBSTITUTE((INDEX(SPLIT(A5658,"",""),1)),""."","","",1))"),43.386345)</f>
        <v>43.386345</v>
      </c>
      <c r="Q5658" s="13">
        <f>IFERROR(__xludf.DUMMYFUNCTION("VALUE(SUBSTITUTE((INDEX(SPLIT(A5658,"",""),2)),""."","","",1))"),42.916725)</f>
        <v>42.916725</v>
      </c>
      <c r="R5658" s="14" t="b">
        <f t="shared" si="1"/>
        <v>0</v>
      </c>
      <c r="S5658" s="14" t="str">
        <f t="shared" si="2"/>
        <v>43.386345,42.916725</v>
      </c>
      <c r="T5658" s="12"/>
    </row>
    <row r="5659">
      <c r="A5659" s="202" t="s">
        <v>36313</v>
      </c>
      <c r="B5659" s="147" t="s">
        <v>36314</v>
      </c>
      <c r="C5659" s="147" t="s">
        <v>36315</v>
      </c>
      <c r="D5659" s="147" t="s">
        <v>33342</v>
      </c>
      <c r="E5659" s="148" t="s">
        <v>36316</v>
      </c>
      <c r="F5659" s="146" t="s">
        <v>17033</v>
      </c>
      <c r="G5659" s="146" t="s">
        <v>33344</v>
      </c>
      <c r="H5659" s="146"/>
      <c r="I5659" s="147"/>
      <c r="J5659" s="147" t="s">
        <v>36317</v>
      </c>
      <c r="K5659" s="147" t="s">
        <v>36318</v>
      </c>
      <c r="L5659" s="149" t="s">
        <v>36319</v>
      </c>
      <c r="M5659" s="147"/>
      <c r="N5659" s="12"/>
      <c r="O5659" s="12"/>
      <c r="P5659" s="13">
        <f>IFERROR(__xludf.DUMMYFUNCTION("VALUE(SUBSTITUTE((INDEX(SPLIT(A5659,"",""),1)),""."","","",1))"),43.49677)</f>
        <v>43.49677</v>
      </c>
      <c r="Q5659" s="13">
        <f>IFERROR(__xludf.DUMMYFUNCTION("VALUE(SUBSTITUTE((INDEX(SPLIT(A5659,"",""),2)),""."","","",1))"),43.575972)</f>
        <v>43.575972</v>
      </c>
      <c r="R5659" s="14" t="b">
        <f t="shared" si="1"/>
        <v>0</v>
      </c>
      <c r="S5659" s="14" t="str">
        <f t="shared" si="2"/>
        <v>43.49677,43.575972</v>
      </c>
      <c r="T5659" s="12"/>
    </row>
    <row r="5660">
      <c r="A5660" s="158" t="s">
        <v>36320</v>
      </c>
      <c r="B5660" s="137" t="s">
        <v>34945</v>
      </c>
      <c r="C5660" s="137" t="s">
        <v>34946</v>
      </c>
      <c r="D5660" s="137" t="s">
        <v>33342</v>
      </c>
      <c r="E5660" s="138" t="s">
        <v>36321</v>
      </c>
      <c r="F5660" s="136" t="s">
        <v>17033</v>
      </c>
      <c r="G5660" s="136" t="s">
        <v>33344</v>
      </c>
      <c r="H5660" s="136"/>
      <c r="I5660" s="137"/>
      <c r="J5660" s="137" t="s">
        <v>36322</v>
      </c>
      <c r="K5660" s="137" t="s">
        <v>36323</v>
      </c>
      <c r="L5660" s="137"/>
      <c r="M5660" s="137"/>
      <c r="N5660" s="12"/>
      <c r="O5660" s="12"/>
      <c r="P5660" s="13">
        <f>IFERROR(__xludf.DUMMYFUNCTION("VALUE(SUBSTITUTE((INDEX(SPLIT(A5660,"",""),1)),""."","","",1))"),43.470115)</f>
        <v>43.470115</v>
      </c>
      <c r="Q5660" s="13">
        <f>IFERROR(__xludf.DUMMYFUNCTION("VALUE(SUBSTITUTE((INDEX(SPLIT(A5660,"",""),2)),""."","","",1))"),43.571498)</f>
        <v>43.571498</v>
      </c>
      <c r="R5660" s="14" t="b">
        <f t="shared" si="1"/>
        <v>0</v>
      </c>
      <c r="S5660" s="14" t="str">
        <f t="shared" si="2"/>
        <v>43.470115,43.571498</v>
      </c>
      <c r="T5660" s="12"/>
    </row>
    <row r="5661">
      <c r="A5661" s="199" t="s">
        <v>36324</v>
      </c>
      <c r="B5661" s="140" t="s">
        <v>36325</v>
      </c>
      <c r="C5661" s="140" t="s">
        <v>36326</v>
      </c>
      <c r="D5661" s="140" t="s">
        <v>33342</v>
      </c>
      <c r="E5661" s="141" t="s">
        <v>36327</v>
      </c>
      <c r="F5661" s="139" t="s">
        <v>17033</v>
      </c>
      <c r="G5661" s="139" t="s">
        <v>33344</v>
      </c>
      <c r="H5661" s="139"/>
      <c r="I5661" s="140"/>
      <c r="J5661" s="140" t="s">
        <v>36328</v>
      </c>
      <c r="K5661" s="140" t="s">
        <v>36329</v>
      </c>
      <c r="L5661" s="140"/>
      <c r="M5661" s="140"/>
      <c r="N5661" s="12"/>
      <c r="O5661" s="12"/>
      <c r="P5661" s="13">
        <f>IFERROR(__xludf.DUMMYFUNCTION("VALUE(SUBSTITUTE((INDEX(SPLIT(A5661,"",""),1)),""."","","",1))"),43.515065)</f>
        <v>43.515065</v>
      </c>
      <c r="Q5661" s="13">
        <f>IFERROR(__xludf.DUMMYFUNCTION("VALUE(SUBSTITUTE((INDEX(SPLIT(A5661,"",""),2)),""."","","",1))"),43.66628)</f>
        <v>43.66628</v>
      </c>
      <c r="R5661" s="14" t="b">
        <f t="shared" si="1"/>
        <v>0</v>
      </c>
      <c r="S5661" s="14" t="str">
        <f t="shared" si="2"/>
        <v>43.515065,43.66628</v>
      </c>
      <c r="T5661" s="12"/>
    </row>
    <row r="5662">
      <c r="A5662" s="201" t="s">
        <v>36330</v>
      </c>
      <c r="B5662" s="143" t="s">
        <v>36331</v>
      </c>
      <c r="C5662" s="143" t="s">
        <v>36332</v>
      </c>
      <c r="D5662" s="143" t="s">
        <v>33342</v>
      </c>
      <c r="E5662" s="144" t="s">
        <v>36333</v>
      </c>
      <c r="F5662" s="142" t="s">
        <v>17033</v>
      </c>
      <c r="G5662" s="142" t="s">
        <v>33344</v>
      </c>
      <c r="H5662" s="142"/>
      <c r="I5662" s="143"/>
      <c r="J5662" s="143" t="s">
        <v>36334</v>
      </c>
      <c r="K5662" s="143" t="s">
        <v>36329</v>
      </c>
      <c r="L5662" s="145" t="s">
        <v>36335</v>
      </c>
      <c r="M5662" s="143"/>
      <c r="N5662" s="12"/>
      <c r="O5662" s="12"/>
      <c r="P5662" s="13">
        <f>IFERROR(__xludf.DUMMYFUNCTION("VALUE(SUBSTITUTE((INDEX(SPLIT(A5662,"",""),1)),""."","","",1))"),43.494899)</f>
        <v>43.494899</v>
      </c>
      <c r="Q5662" s="13">
        <f>IFERROR(__xludf.DUMMYFUNCTION("VALUE(SUBSTITUTE((INDEX(SPLIT(A5662,"",""),2)),""."","","",1))"),43.618507)</f>
        <v>43.618507</v>
      </c>
      <c r="R5662" s="14" t="b">
        <f t="shared" si="1"/>
        <v>0</v>
      </c>
      <c r="S5662" s="14" t="str">
        <f t="shared" si="2"/>
        <v>43.494899,43.618507</v>
      </c>
      <c r="T5662" s="12"/>
    </row>
    <row r="5663">
      <c r="A5663" s="199" t="s">
        <v>36336</v>
      </c>
      <c r="B5663" s="140" t="s">
        <v>36337</v>
      </c>
      <c r="C5663" s="140" t="s">
        <v>36338</v>
      </c>
      <c r="D5663" s="140" t="s">
        <v>33342</v>
      </c>
      <c r="E5663" s="141" t="s">
        <v>36339</v>
      </c>
      <c r="F5663" s="139" t="s">
        <v>18149</v>
      </c>
      <c r="G5663" s="139" t="s">
        <v>33344</v>
      </c>
      <c r="H5663" s="139"/>
      <c r="I5663" s="140"/>
      <c r="J5663" s="140" t="s">
        <v>36340</v>
      </c>
      <c r="K5663" s="140" t="s">
        <v>36341</v>
      </c>
      <c r="L5663" s="140"/>
      <c r="M5663" s="154" t="s">
        <v>36342</v>
      </c>
      <c r="N5663" s="12"/>
      <c r="O5663" s="12"/>
      <c r="P5663" s="13">
        <f>IFERROR(__xludf.DUMMYFUNCTION("VALUE(SUBSTITUTE((INDEX(SPLIT(A5663,"",""),1)),""."","","",1))"),46.306205)</f>
        <v>46.306205</v>
      </c>
      <c r="Q5663" s="13">
        <f>IFERROR(__xludf.DUMMYFUNCTION("VALUE(SUBSTITUTE((INDEX(SPLIT(A5663,"",""),2)),""."","","",1))"),44.314207)</f>
        <v>44.314207</v>
      </c>
      <c r="R5663" s="14" t="b">
        <f t="shared" si="1"/>
        <v>0</v>
      </c>
      <c r="S5663" s="14" t="str">
        <f t="shared" si="2"/>
        <v>46.306205,44.314207</v>
      </c>
      <c r="T5663" s="12"/>
    </row>
    <row r="5664">
      <c r="A5664" s="201" t="s">
        <v>17716</v>
      </c>
      <c r="B5664" s="143" t="s">
        <v>36343</v>
      </c>
      <c r="C5664" s="143" t="s">
        <v>36344</v>
      </c>
      <c r="D5664" s="143" t="s">
        <v>33342</v>
      </c>
      <c r="E5664" s="144" t="s">
        <v>36345</v>
      </c>
      <c r="F5664" s="142" t="s">
        <v>18149</v>
      </c>
      <c r="G5664" s="142" t="s">
        <v>33344</v>
      </c>
      <c r="H5664" s="142"/>
      <c r="I5664" s="143"/>
      <c r="J5664" s="143" t="s">
        <v>36346</v>
      </c>
      <c r="K5664" s="143" t="s">
        <v>36347</v>
      </c>
      <c r="L5664" s="145" t="s">
        <v>36348</v>
      </c>
      <c r="M5664" s="143"/>
      <c r="N5664" s="12"/>
      <c r="O5664" s="12"/>
      <c r="P5664" s="13">
        <f>IFERROR(__xludf.DUMMYFUNCTION("VALUE(SUBSTITUTE((INDEX(SPLIT(A5664,"",""),1)),""."","","",1))"),46.316458)</f>
        <v>46.316458</v>
      </c>
      <c r="Q5664" s="13">
        <f>IFERROR(__xludf.DUMMYFUNCTION("VALUE(SUBSTITUTE((INDEX(SPLIT(A5664,"",""),2)),""."","","",1))"),44.215168)</f>
        <v>44.215168</v>
      </c>
      <c r="R5664" s="14" t="b">
        <f t="shared" si="1"/>
        <v>0</v>
      </c>
      <c r="S5664" s="14" t="str">
        <f t="shared" si="2"/>
        <v>46.316458,44.215168</v>
      </c>
      <c r="T5664" s="12"/>
    </row>
    <row r="5665">
      <c r="A5665" s="202" t="s">
        <v>36349</v>
      </c>
      <c r="B5665" s="147" t="s">
        <v>36350</v>
      </c>
      <c r="C5665" s="147" t="s">
        <v>36351</v>
      </c>
      <c r="D5665" s="147" t="s">
        <v>33342</v>
      </c>
      <c r="E5665" s="148" t="s">
        <v>36352</v>
      </c>
      <c r="F5665" s="146" t="s">
        <v>18149</v>
      </c>
      <c r="G5665" s="146" t="s">
        <v>33344</v>
      </c>
      <c r="H5665" s="146"/>
      <c r="I5665" s="147"/>
      <c r="J5665" s="147" t="s">
        <v>36353</v>
      </c>
      <c r="K5665" s="147" t="s">
        <v>36354</v>
      </c>
      <c r="L5665" s="149" t="s">
        <v>36355</v>
      </c>
      <c r="M5665" s="147"/>
      <c r="N5665" s="12"/>
      <c r="O5665" s="12"/>
      <c r="P5665" s="13">
        <f>IFERROR(__xludf.DUMMYFUNCTION("VALUE(SUBSTITUTE((INDEX(SPLIT(A5665,"",""),1)),""."","","",1))"),46.307743)</f>
        <v>46.307743</v>
      </c>
      <c r="Q5665" s="13">
        <f>IFERROR(__xludf.DUMMYFUNCTION("VALUE(SUBSTITUTE((INDEX(SPLIT(A5665,"",""),2)),""."","","",1))"),44.269759)</f>
        <v>44.269759</v>
      </c>
      <c r="R5665" s="14" t="b">
        <f t="shared" si="1"/>
        <v>0</v>
      </c>
      <c r="S5665" s="14" t="str">
        <f t="shared" si="2"/>
        <v>46.307743,44.269759</v>
      </c>
      <c r="T5665" s="12"/>
    </row>
    <row r="5666">
      <c r="A5666" s="201" t="s">
        <v>36356</v>
      </c>
      <c r="B5666" s="143" t="s">
        <v>36357</v>
      </c>
      <c r="C5666" s="143" t="s">
        <v>36358</v>
      </c>
      <c r="D5666" s="143" t="s">
        <v>33342</v>
      </c>
      <c r="E5666" s="144" t="s">
        <v>36359</v>
      </c>
      <c r="F5666" s="142" t="s">
        <v>18149</v>
      </c>
      <c r="G5666" s="142" t="s">
        <v>33344</v>
      </c>
      <c r="H5666" s="142"/>
      <c r="I5666" s="143"/>
      <c r="J5666" s="143" t="s">
        <v>36360</v>
      </c>
      <c r="K5666" s="143" t="s">
        <v>18151</v>
      </c>
      <c r="L5666" s="145" t="s">
        <v>36348</v>
      </c>
      <c r="M5666" s="143"/>
      <c r="N5666" s="12"/>
      <c r="O5666" s="12"/>
      <c r="P5666" s="13">
        <f>IFERROR(__xludf.DUMMYFUNCTION("VALUE(SUBSTITUTE((INDEX(SPLIT(A5666,"",""),1)),""."","","",1))"),55.745073)</f>
        <v>55.745073</v>
      </c>
      <c r="Q5666" s="13">
        <f>IFERROR(__xludf.DUMMYFUNCTION("VALUE(SUBSTITUTE((INDEX(SPLIT(A5666,"",""),2)),""."","","",1))"),37.603487)</f>
        <v>37.603487</v>
      </c>
      <c r="R5666" s="14" t="b">
        <f t="shared" si="1"/>
        <v>0</v>
      </c>
      <c r="S5666" s="14" t="str">
        <f t="shared" si="2"/>
        <v>55.745073,37.603487</v>
      </c>
      <c r="T5666" s="12"/>
    </row>
    <row r="5667">
      <c r="A5667" s="199" t="s">
        <v>36361</v>
      </c>
      <c r="B5667" s="140" t="s">
        <v>36362</v>
      </c>
      <c r="C5667" s="140" t="s">
        <v>36363</v>
      </c>
      <c r="D5667" s="140" t="s">
        <v>33342</v>
      </c>
      <c r="E5667" s="141" t="s">
        <v>36364</v>
      </c>
      <c r="F5667" s="139" t="s">
        <v>16285</v>
      </c>
      <c r="G5667" s="139" t="s">
        <v>33344</v>
      </c>
      <c r="H5667" s="139"/>
      <c r="I5667" s="140"/>
      <c r="J5667" s="140" t="s">
        <v>36365</v>
      </c>
      <c r="K5667" s="140" t="s">
        <v>36366</v>
      </c>
      <c r="L5667" s="140"/>
      <c r="M5667" s="140"/>
      <c r="N5667" s="12"/>
      <c r="O5667" s="12"/>
      <c r="P5667" s="13">
        <f>IFERROR(__xludf.DUMMYFUNCTION("VALUE(SUBSTITUTE((INDEX(SPLIT(A5667,"",""),1)),""."","","",1))"),44.249337)</f>
        <v>44.249337</v>
      </c>
      <c r="Q5667" s="13">
        <f>IFERROR(__xludf.DUMMYFUNCTION("VALUE(SUBSTITUTE((INDEX(SPLIT(A5667,"",""),2)),""."","","",1))"),42.076378)</f>
        <v>42.076378</v>
      </c>
      <c r="R5667" s="14" t="b">
        <f t="shared" si="1"/>
        <v>0</v>
      </c>
      <c r="S5667" s="14" t="str">
        <f t="shared" si="2"/>
        <v>44.249337,42.076378</v>
      </c>
      <c r="T5667" s="12"/>
    </row>
    <row r="5668">
      <c r="A5668" s="158" t="s">
        <v>36367</v>
      </c>
      <c r="B5668" s="137" t="s">
        <v>36368</v>
      </c>
      <c r="C5668" s="137" t="s">
        <v>36369</v>
      </c>
      <c r="D5668" s="137" t="s">
        <v>33342</v>
      </c>
      <c r="E5668" s="138" t="s">
        <v>36370</v>
      </c>
      <c r="F5668" s="136" t="s">
        <v>16285</v>
      </c>
      <c r="G5668" s="136" t="s">
        <v>33344</v>
      </c>
      <c r="H5668" s="136"/>
      <c r="I5668" s="137"/>
      <c r="J5668" s="137" t="s">
        <v>36371</v>
      </c>
      <c r="K5668" s="137" t="s">
        <v>36372</v>
      </c>
      <c r="L5668" s="137"/>
      <c r="M5668" s="153" t="s">
        <v>36373</v>
      </c>
      <c r="N5668" s="12"/>
      <c r="O5668" s="12"/>
      <c r="P5668" s="13">
        <f>IFERROR(__xludf.DUMMYFUNCTION("VALUE(SUBSTITUTE((INDEX(SPLIT(A5668,"",""),1)),""."","","",1))"),44.284982)</f>
        <v>44.284982</v>
      </c>
      <c r="Q5668" s="13">
        <f>IFERROR(__xludf.DUMMYFUNCTION("VALUE(SUBSTITUTE((INDEX(SPLIT(A5668,"",""),2)),""."","","",1))"),42.050615)</f>
        <v>42.050615</v>
      </c>
      <c r="R5668" s="14" t="b">
        <f t="shared" si="1"/>
        <v>0</v>
      </c>
      <c r="S5668" s="14" t="str">
        <f t="shared" si="2"/>
        <v>44.284982,42.050615</v>
      </c>
      <c r="T5668" s="12"/>
    </row>
    <row r="5669">
      <c r="A5669" s="199" t="s">
        <v>36374</v>
      </c>
      <c r="B5669" s="140" t="s">
        <v>36375</v>
      </c>
      <c r="C5669" s="140" t="s">
        <v>36376</v>
      </c>
      <c r="D5669" s="140" t="s">
        <v>33342</v>
      </c>
      <c r="E5669" s="141" t="s">
        <v>36377</v>
      </c>
      <c r="F5669" s="139" t="s">
        <v>16285</v>
      </c>
      <c r="G5669" s="139" t="s">
        <v>33344</v>
      </c>
      <c r="H5669" s="139"/>
      <c r="I5669" s="140"/>
      <c r="J5669" s="140" t="s">
        <v>36378</v>
      </c>
      <c r="K5669" s="140" t="s">
        <v>36379</v>
      </c>
      <c r="L5669" s="140"/>
      <c r="M5669" s="140"/>
      <c r="N5669" s="12"/>
      <c r="O5669" s="12"/>
      <c r="P5669" s="13">
        <f>IFERROR(__xludf.DUMMYFUNCTION("VALUE(SUBSTITUTE((INDEX(SPLIT(A5669,"",""),1)),""."","","",1))"),44.049495)</f>
        <v>44.049495</v>
      </c>
      <c r="Q5669" s="13">
        <f>IFERROR(__xludf.DUMMYFUNCTION("VALUE(SUBSTITUTE((INDEX(SPLIT(A5669,"",""),2)),""."","","",1))"),41.769577)</f>
        <v>41.769577</v>
      </c>
      <c r="R5669" s="14" t="b">
        <f t="shared" si="1"/>
        <v>0</v>
      </c>
      <c r="S5669" s="14" t="str">
        <f t="shared" si="2"/>
        <v>44.049495,41.769577</v>
      </c>
      <c r="T5669" s="12"/>
    </row>
    <row r="5670">
      <c r="A5670" s="158" t="s">
        <v>36380</v>
      </c>
      <c r="B5670" s="137" t="s">
        <v>36381</v>
      </c>
      <c r="C5670" s="137" t="s">
        <v>36382</v>
      </c>
      <c r="D5670" s="137" t="s">
        <v>33342</v>
      </c>
      <c r="E5670" s="138" t="s">
        <v>36383</v>
      </c>
      <c r="F5670" s="136" t="s">
        <v>16285</v>
      </c>
      <c r="G5670" s="136" t="s">
        <v>33344</v>
      </c>
      <c r="H5670" s="136"/>
      <c r="I5670" s="137"/>
      <c r="J5670" s="137" t="s">
        <v>36384</v>
      </c>
      <c r="K5670" s="137" t="s">
        <v>36385</v>
      </c>
      <c r="L5670" s="137"/>
      <c r="M5670" s="137"/>
      <c r="N5670" s="12"/>
      <c r="O5670" s="12"/>
      <c r="P5670" s="13">
        <f>IFERROR(__xludf.DUMMYFUNCTION("VALUE(SUBSTITUTE((INDEX(SPLIT(A5670,"",""),1)),""."","","",1))"),44.24638)</f>
        <v>44.24638</v>
      </c>
      <c r="Q5670" s="13">
        <f>IFERROR(__xludf.DUMMYFUNCTION("VALUE(SUBSTITUTE((INDEX(SPLIT(A5670,"",""),2)),""."","","",1))"),42.083951)</f>
        <v>42.083951</v>
      </c>
      <c r="R5670" s="14" t="b">
        <f t="shared" si="1"/>
        <v>0</v>
      </c>
      <c r="S5670" s="14" t="str">
        <f t="shared" si="2"/>
        <v>44.24638,42.083951</v>
      </c>
      <c r="T5670" s="12"/>
    </row>
    <row r="5671">
      <c r="A5671" s="202" t="s">
        <v>36386</v>
      </c>
      <c r="B5671" s="147" t="s">
        <v>36387</v>
      </c>
      <c r="C5671" s="147" t="s">
        <v>36388</v>
      </c>
      <c r="D5671" s="147" t="s">
        <v>33342</v>
      </c>
      <c r="E5671" s="148" t="s">
        <v>36389</v>
      </c>
      <c r="F5671" s="146" t="s">
        <v>16285</v>
      </c>
      <c r="G5671" s="146" t="s">
        <v>33344</v>
      </c>
      <c r="H5671" s="146"/>
      <c r="I5671" s="151" t="s">
        <v>36390</v>
      </c>
      <c r="J5671" s="147" t="s">
        <v>36391</v>
      </c>
      <c r="K5671" s="147" t="s">
        <v>36392</v>
      </c>
      <c r="L5671" s="149" t="s">
        <v>36393</v>
      </c>
      <c r="M5671" s="149" t="s">
        <v>36394</v>
      </c>
      <c r="N5671" s="12"/>
      <c r="O5671" s="12"/>
      <c r="P5671" s="13">
        <f>IFERROR(__xludf.DUMMYFUNCTION("VALUE(SUBSTITUTE((INDEX(SPLIT(A5671,"",""),1)),""."","","",1))"),44.25243)</f>
        <v>44.25243</v>
      </c>
      <c r="Q5671" s="13">
        <f>IFERROR(__xludf.DUMMYFUNCTION("VALUE(SUBSTITUTE((INDEX(SPLIT(A5671,"",""),2)),""."","","",1))"),42.064062)</f>
        <v>42.064062</v>
      </c>
      <c r="R5671" s="14" t="b">
        <f t="shared" si="1"/>
        <v>0</v>
      </c>
      <c r="S5671" s="14" t="str">
        <f t="shared" si="2"/>
        <v>44.25243,42.064062</v>
      </c>
      <c r="T5671" s="12"/>
    </row>
    <row r="5672">
      <c r="A5672" s="201" t="s">
        <v>36395</v>
      </c>
      <c r="B5672" s="143" t="s">
        <v>36396</v>
      </c>
      <c r="C5672" s="143" t="s">
        <v>36397</v>
      </c>
      <c r="D5672" s="143" t="s">
        <v>33342</v>
      </c>
      <c r="E5672" s="144" t="s">
        <v>36398</v>
      </c>
      <c r="F5672" s="142" t="s">
        <v>16285</v>
      </c>
      <c r="G5672" s="142" t="s">
        <v>33344</v>
      </c>
      <c r="H5672" s="142"/>
      <c r="I5672" s="143"/>
      <c r="J5672" s="143" t="s">
        <v>36399</v>
      </c>
      <c r="K5672" s="143" t="s">
        <v>36400</v>
      </c>
      <c r="L5672" s="145" t="s">
        <v>36401</v>
      </c>
      <c r="M5672" s="143"/>
      <c r="N5672" s="12"/>
      <c r="O5672" s="12"/>
      <c r="P5672" s="13">
        <f>IFERROR(__xludf.DUMMYFUNCTION("VALUE(SUBSTITUTE((INDEX(SPLIT(A5672,"",""),1)),""."","","",1))"),43.792991)</f>
        <v>43.792991</v>
      </c>
      <c r="Q5672" s="13">
        <f>IFERROR(__xludf.DUMMYFUNCTION("VALUE(SUBSTITUTE((INDEX(SPLIT(A5672,"",""),2)),""."","","",1))"),41.914053)</f>
        <v>41.914053</v>
      </c>
      <c r="R5672" s="14" t="b">
        <f t="shared" si="1"/>
        <v>0</v>
      </c>
      <c r="S5672" s="14" t="str">
        <f t="shared" si="2"/>
        <v>43.792991,41.914053</v>
      </c>
      <c r="T5672" s="12"/>
    </row>
    <row r="5673">
      <c r="A5673" s="202" t="s">
        <v>36402</v>
      </c>
      <c r="B5673" s="147" t="s">
        <v>36403</v>
      </c>
      <c r="C5673" s="147" t="s">
        <v>36404</v>
      </c>
      <c r="D5673" s="147" t="s">
        <v>33342</v>
      </c>
      <c r="E5673" s="148" t="s">
        <v>36405</v>
      </c>
      <c r="F5673" s="146" t="s">
        <v>16285</v>
      </c>
      <c r="G5673" s="146" t="s">
        <v>33344</v>
      </c>
      <c r="H5673" s="146"/>
      <c r="I5673" s="147"/>
      <c r="J5673" s="147" t="s">
        <v>36406</v>
      </c>
      <c r="K5673" s="147" t="s">
        <v>36407</v>
      </c>
      <c r="L5673" s="150" t="s">
        <v>36408</v>
      </c>
      <c r="M5673" s="147"/>
      <c r="N5673" s="12"/>
      <c r="O5673" s="12"/>
      <c r="P5673" s="13">
        <f>IFERROR(__xludf.DUMMYFUNCTION("VALUE(SUBSTITUTE((INDEX(SPLIT(A5673,"",""),1)),""."","","",1))"),43.906856)</f>
        <v>43.906856</v>
      </c>
      <c r="Q5673" s="13">
        <f>IFERROR(__xludf.DUMMYFUNCTION("VALUE(SUBSTITUTE((INDEX(SPLIT(A5673,"",""),2)),""."","","",1))"),41.883214)</f>
        <v>41.883214</v>
      </c>
      <c r="R5673" s="14" t="b">
        <f t="shared" si="1"/>
        <v>0</v>
      </c>
      <c r="S5673" s="14" t="str">
        <f t="shared" si="2"/>
        <v>43.906856,41.883214</v>
      </c>
      <c r="T5673" s="12"/>
    </row>
    <row r="5674">
      <c r="A5674" s="158" t="s">
        <v>36409</v>
      </c>
      <c r="B5674" s="137" t="s">
        <v>36410</v>
      </c>
      <c r="C5674" s="137" t="s">
        <v>36411</v>
      </c>
      <c r="D5674" s="137" t="s">
        <v>33342</v>
      </c>
      <c r="E5674" s="138" t="s">
        <v>36412</v>
      </c>
      <c r="F5674" s="136" t="s">
        <v>16285</v>
      </c>
      <c r="G5674" s="136" t="s">
        <v>33344</v>
      </c>
      <c r="H5674" s="136"/>
      <c r="I5674" s="137"/>
      <c r="J5674" s="137" t="s">
        <v>36413</v>
      </c>
      <c r="K5674" s="137" t="s">
        <v>36414</v>
      </c>
      <c r="L5674" s="137"/>
      <c r="M5674" s="137"/>
      <c r="N5674" s="12"/>
      <c r="O5674" s="12"/>
      <c r="P5674" s="13">
        <f>IFERROR(__xludf.DUMMYFUNCTION("VALUE(SUBSTITUTE((INDEX(SPLIT(A5674,"",""),1)),""."","","",1))"),44.211106)</f>
        <v>44.211106</v>
      </c>
      <c r="Q5674" s="13">
        <f>IFERROR(__xludf.DUMMYFUNCTION("VALUE(SUBSTITUTE((INDEX(SPLIT(A5674,"",""),2)),""."","","",1))"),42.047991)</f>
        <v>42.047991</v>
      </c>
      <c r="R5674" s="14" t="b">
        <f t="shared" si="1"/>
        <v>0</v>
      </c>
      <c r="S5674" s="14" t="str">
        <f t="shared" si="2"/>
        <v>44.211106,42.047991</v>
      </c>
      <c r="T5674" s="12"/>
    </row>
    <row r="5675">
      <c r="A5675" s="199" t="s">
        <v>36415</v>
      </c>
      <c r="B5675" s="140" t="s">
        <v>36416</v>
      </c>
      <c r="C5675" s="140" t="s">
        <v>36417</v>
      </c>
      <c r="D5675" s="140" t="s">
        <v>33342</v>
      </c>
      <c r="E5675" s="141" t="s">
        <v>36418</v>
      </c>
      <c r="F5675" s="139" t="s">
        <v>16285</v>
      </c>
      <c r="G5675" s="139" t="s">
        <v>33344</v>
      </c>
      <c r="H5675" s="139"/>
      <c r="I5675" s="140"/>
      <c r="J5675" s="140" t="s">
        <v>36419</v>
      </c>
      <c r="K5675" s="140" t="s">
        <v>36420</v>
      </c>
      <c r="L5675" s="140"/>
      <c r="M5675" s="140"/>
      <c r="N5675" s="12"/>
      <c r="O5675" s="12"/>
      <c r="P5675" s="13">
        <f>IFERROR(__xludf.DUMMYFUNCTION("VALUE(SUBSTITUTE((INDEX(SPLIT(A5675,"",""),1)),""."","","",1))"),44.248401)</f>
        <v>44.248401</v>
      </c>
      <c r="Q5675" s="13">
        <f>IFERROR(__xludf.DUMMYFUNCTION("VALUE(SUBSTITUTE((INDEX(SPLIT(A5675,"",""),2)),""."","","",1))"),42.08087)</f>
        <v>42.08087</v>
      </c>
      <c r="R5675" s="14" t="b">
        <f t="shared" si="1"/>
        <v>0</v>
      </c>
      <c r="S5675" s="14" t="str">
        <f t="shared" si="2"/>
        <v>44.248401,42.08087</v>
      </c>
      <c r="T5675" s="12"/>
    </row>
    <row r="5676">
      <c r="A5676" s="158" t="s">
        <v>36421</v>
      </c>
      <c r="B5676" s="137" t="s">
        <v>9216</v>
      </c>
      <c r="C5676" s="137" t="s">
        <v>36422</v>
      </c>
      <c r="D5676" s="137" t="s">
        <v>33342</v>
      </c>
      <c r="E5676" s="138" t="s">
        <v>36423</v>
      </c>
      <c r="F5676" s="136" t="s">
        <v>16285</v>
      </c>
      <c r="G5676" s="136" t="s">
        <v>33344</v>
      </c>
      <c r="H5676" s="136"/>
      <c r="I5676" s="137"/>
      <c r="J5676" s="137" t="s">
        <v>36424</v>
      </c>
      <c r="K5676" s="137" t="s">
        <v>36425</v>
      </c>
      <c r="L5676" s="137"/>
      <c r="M5676" s="137"/>
      <c r="N5676" s="12"/>
      <c r="O5676" s="12"/>
      <c r="P5676" s="13">
        <f>IFERROR(__xludf.DUMMYFUNCTION("VALUE(SUBSTITUTE((INDEX(SPLIT(A5676,"",""),1)),""."","","",1))"),43.874581)</f>
        <v>43.874581</v>
      </c>
      <c r="Q5676" s="13">
        <f>IFERROR(__xludf.DUMMYFUNCTION("VALUE(SUBSTITUTE((INDEX(SPLIT(A5676,"",""),2)),""."","","",1))"),41.906013)</f>
        <v>41.906013</v>
      </c>
      <c r="R5676" s="14" t="b">
        <f t="shared" si="1"/>
        <v>0</v>
      </c>
      <c r="S5676" s="14" t="str">
        <f t="shared" si="2"/>
        <v>43.874581,41.906013</v>
      </c>
      <c r="T5676" s="12"/>
    </row>
    <row r="5677">
      <c r="A5677" s="199" t="s">
        <v>36426</v>
      </c>
      <c r="B5677" s="140" t="s">
        <v>36427</v>
      </c>
      <c r="C5677" s="140" t="s">
        <v>36428</v>
      </c>
      <c r="D5677" s="140" t="s">
        <v>33342</v>
      </c>
      <c r="E5677" s="141" t="s">
        <v>36429</v>
      </c>
      <c r="F5677" s="139" t="s">
        <v>3340</v>
      </c>
      <c r="G5677" s="139" t="s">
        <v>33344</v>
      </c>
      <c r="H5677" s="139"/>
      <c r="I5677" s="140"/>
      <c r="J5677" s="140" t="s">
        <v>36430</v>
      </c>
      <c r="K5677" s="140" t="s">
        <v>36431</v>
      </c>
      <c r="L5677" s="140"/>
      <c r="M5677" s="140"/>
      <c r="N5677" s="12"/>
      <c r="O5677" s="12"/>
      <c r="P5677" s="13">
        <f>IFERROR(__xludf.DUMMYFUNCTION("VALUE(SUBSTITUTE((INDEX(SPLIT(A5677,"",""),1)),""."","","",1))"),61.78326)</f>
        <v>61.78326</v>
      </c>
      <c r="Q5677" s="13">
        <f>IFERROR(__xludf.DUMMYFUNCTION("VALUE(SUBSTITUTE((INDEX(SPLIT(A5677,"",""),2)),""."","","",1))"),34.35384)</f>
        <v>34.35384</v>
      </c>
      <c r="R5677" s="14" t="b">
        <f t="shared" si="1"/>
        <v>0</v>
      </c>
      <c r="S5677" s="14" t="str">
        <f t="shared" si="2"/>
        <v>61.78326,34.35384</v>
      </c>
      <c r="T5677" s="12"/>
    </row>
    <row r="5678">
      <c r="A5678" s="201" t="s">
        <v>36432</v>
      </c>
      <c r="B5678" s="143" t="s">
        <v>36433</v>
      </c>
      <c r="C5678" s="143" t="s">
        <v>36434</v>
      </c>
      <c r="D5678" s="143" t="s">
        <v>33342</v>
      </c>
      <c r="E5678" s="144" t="s">
        <v>36435</v>
      </c>
      <c r="F5678" s="142" t="s">
        <v>3340</v>
      </c>
      <c r="G5678" s="142" t="s">
        <v>33344</v>
      </c>
      <c r="H5678" s="142"/>
      <c r="I5678" s="143"/>
      <c r="J5678" s="143" t="s">
        <v>36436</v>
      </c>
      <c r="K5678" s="143" t="s">
        <v>36437</v>
      </c>
      <c r="L5678" s="145" t="s">
        <v>36438</v>
      </c>
      <c r="M5678" s="145" t="s">
        <v>15329</v>
      </c>
      <c r="N5678" s="12"/>
      <c r="O5678" s="12"/>
      <c r="P5678" s="13">
        <f>IFERROR(__xludf.DUMMYFUNCTION("VALUE(SUBSTITUTE((INDEX(SPLIT(A5678,"",""),1)),""."","","",1))"),61.818529)</f>
        <v>61.818529</v>
      </c>
      <c r="Q5678" s="13">
        <f>IFERROR(__xludf.DUMMYFUNCTION("VALUE(SUBSTITUTE((INDEX(SPLIT(A5678,"",""),2)),""."","","",1))"),34.279666)</f>
        <v>34.279666</v>
      </c>
      <c r="R5678" s="14" t="b">
        <f t="shared" si="1"/>
        <v>0</v>
      </c>
      <c r="S5678" s="14" t="str">
        <f t="shared" si="2"/>
        <v>61.818529,34.279666</v>
      </c>
      <c r="T5678" s="12"/>
    </row>
    <row r="5679">
      <c r="A5679" s="199" t="s">
        <v>36439</v>
      </c>
      <c r="B5679" s="140" t="s">
        <v>36440</v>
      </c>
      <c r="C5679" s="140" t="s">
        <v>36441</v>
      </c>
      <c r="D5679" s="140" t="s">
        <v>33342</v>
      </c>
      <c r="E5679" s="141" t="s">
        <v>36442</v>
      </c>
      <c r="F5679" s="139" t="s">
        <v>3340</v>
      </c>
      <c r="G5679" s="139" t="s">
        <v>33344</v>
      </c>
      <c r="H5679" s="139"/>
      <c r="I5679" s="140"/>
      <c r="J5679" s="140" t="s">
        <v>36443</v>
      </c>
      <c r="K5679" s="140" t="s">
        <v>36444</v>
      </c>
      <c r="L5679" s="140"/>
      <c r="M5679" s="154" t="s">
        <v>36445</v>
      </c>
      <c r="N5679" s="12"/>
      <c r="O5679" s="12"/>
      <c r="P5679" s="13">
        <f>IFERROR(__xludf.DUMMYFUNCTION("VALUE(SUBSTITUTE((INDEX(SPLIT(A5679,"",""),1)),""."","","",1))"),61.822331)</f>
        <v>61.822331</v>
      </c>
      <c r="Q5679" s="13">
        <f>IFERROR(__xludf.DUMMYFUNCTION("VALUE(SUBSTITUTE((INDEX(SPLIT(A5679,"",""),2)),""."","","",1))"),34.221447)</f>
        <v>34.221447</v>
      </c>
      <c r="R5679" s="14" t="b">
        <f t="shared" si="1"/>
        <v>0</v>
      </c>
      <c r="S5679" s="14" t="str">
        <f t="shared" si="2"/>
        <v>61.822331,34.221447</v>
      </c>
      <c r="T5679" s="12"/>
    </row>
    <row r="5680">
      <c r="A5680" s="158" t="s">
        <v>36446</v>
      </c>
      <c r="B5680" s="137" t="s">
        <v>36447</v>
      </c>
      <c r="C5680" s="137" t="s">
        <v>36448</v>
      </c>
      <c r="D5680" s="137" t="s">
        <v>33342</v>
      </c>
      <c r="E5680" s="138" t="s">
        <v>36449</v>
      </c>
      <c r="F5680" s="136" t="s">
        <v>3340</v>
      </c>
      <c r="G5680" s="136" t="s">
        <v>33344</v>
      </c>
      <c r="H5680" s="136"/>
      <c r="I5680" s="137"/>
      <c r="J5680" s="137" t="s">
        <v>36450</v>
      </c>
      <c r="K5680" s="137" t="s">
        <v>36451</v>
      </c>
      <c r="L5680" s="137"/>
      <c r="M5680" s="153" t="s">
        <v>36452</v>
      </c>
      <c r="N5680" s="12"/>
      <c r="O5680" s="12"/>
      <c r="P5680" s="13">
        <f>IFERROR(__xludf.DUMMYFUNCTION("VALUE(SUBSTITUTE((INDEX(SPLIT(A5680,"",""),1)),""."","","",1))"),61.798353)</f>
        <v>61.798353</v>
      </c>
      <c r="Q5680" s="13">
        <f>IFERROR(__xludf.DUMMYFUNCTION("VALUE(SUBSTITUTE((INDEX(SPLIT(A5680,"",""),2)),""."","","",1))"),34.319183)</f>
        <v>34.319183</v>
      </c>
      <c r="R5680" s="14" t="b">
        <f t="shared" si="1"/>
        <v>0</v>
      </c>
      <c r="S5680" s="14" t="str">
        <f t="shared" si="2"/>
        <v>61.798353,34.319183</v>
      </c>
      <c r="T5680" s="12"/>
    </row>
    <row r="5681">
      <c r="A5681" s="202" t="s">
        <v>36453</v>
      </c>
      <c r="B5681" s="147" t="s">
        <v>36454</v>
      </c>
      <c r="C5681" s="147" t="s">
        <v>36455</v>
      </c>
      <c r="D5681" s="147" t="s">
        <v>33342</v>
      </c>
      <c r="E5681" s="148" t="s">
        <v>36456</v>
      </c>
      <c r="F5681" s="146" t="s">
        <v>3340</v>
      </c>
      <c r="G5681" s="146" t="s">
        <v>33344</v>
      </c>
      <c r="H5681" s="146"/>
      <c r="I5681" s="147"/>
      <c r="J5681" s="147" t="s">
        <v>36457</v>
      </c>
      <c r="K5681" s="147" t="s">
        <v>36458</v>
      </c>
      <c r="L5681" s="149" t="s">
        <v>36459</v>
      </c>
      <c r="M5681" s="147"/>
      <c r="N5681" s="12"/>
      <c r="O5681" s="12"/>
      <c r="P5681" s="13">
        <f>IFERROR(__xludf.DUMMYFUNCTION("VALUE(SUBSTITUTE((INDEX(SPLIT(A5681,"",""),1)),""."","","",1))"),61.79428)</f>
        <v>61.79428</v>
      </c>
      <c r="Q5681" s="13">
        <f>IFERROR(__xludf.DUMMYFUNCTION("VALUE(SUBSTITUTE((INDEX(SPLIT(A5681,"",""),2)),""."","","",1))"),34.368582)</f>
        <v>34.368582</v>
      </c>
      <c r="R5681" s="14" t="b">
        <f t="shared" si="1"/>
        <v>0</v>
      </c>
      <c r="S5681" s="14" t="str">
        <f t="shared" si="2"/>
        <v>61.79428,34.368582</v>
      </c>
      <c r="T5681" s="12"/>
    </row>
    <row r="5682">
      <c r="A5682" s="158" t="s">
        <v>36460</v>
      </c>
      <c r="B5682" s="137" t="s">
        <v>36461</v>
      </c>
      <c r="C5682" s="137" t="s">
        <v>36462</v>
      </c>
      <c r="D5682" s="137" t="s">
        <v>33342</v>
      </c>
      <c r="E5682" s="138" t="s">
        <v>36463</v>
      </c>
      <c r="F5682" s="136" t="s">
        <v>3340</v>
      </c>
      <c r="G5682" s="136" t="s">
        <v>33344</v>
      </c>
      <c r="H5682" s="136"/>
      <c r="I5682" s="137"/>
      <c r="J5682" s="137" t="s">
        <v>36464</v>
      </c>
      <c r="K5682" s="137" t="s">
        <v>36465</v>
      </c>
      <c r="L5682" s="137"/>
      <c r="M5682" s="153" t="s">
        <v>36466</v>
      </c>
      <c r="N5682" s="12"/>
      <c r="O5682" s="12"/>
      <c r="P5682" s="13">
        <f>IFERROR(__xludf.DUMMYFUNCTION("VALUE(SUBSTITUTE((INDEX(SPLIT(A5682,"",""),1)),""."","","",1))"),61.762125)</f>
        <v>61.762125</v>
      </c>
      <c r="Q5682" s="13">
        <f>IFERROR(__xludf.DUMMYFUNCTION("VALUE(SUBSTITUTE((INDEX(SPLIT(A5682,"",""),2)),""."","","",1))"),34.447948)</f>
        <v>34.447948</v>
      </c>
      <c r="R5682" s="14" t="b">
        <f t="shared" si="1"/>
        <v>0</v>
      </c>
      <c r="S5682" s="14" t="str">
        <f t="shared" si="2"/>
        <v>61.762125,34.447948</v>
      </c>
      <c r="T5682" s="12"/>
    </row>
    <row r="5683">
      <c r="A5683" s="202" t="s">
        <v>36467</v>
      </c>
      <c r="B5683" s="147" t="s">
        <v>19763</v>
      </c>
      <c r="C5683" s="147" t="s">
        <v>36468</v>
      </c>
      <c r="D5683" s="147" t="s">
        <v>33342</v>
      </c>
      <c r="E5683" s="148" t="s">
        <v>36469</v>
      </c>
      <c r="F5683" s="146" t="s">
        <v>3340</v>
      </c>
      <c r="G5683" s="146" t="s">
        <v>33344</v>
      </c>
      <c r="H5683" s="146"/>
      <c r="I5683" s="147"/>
      <c r="J5683" s="147" t="s">
        <v>36470</v>
      </c>
      <c r="K5683" s="147" t="s">
        <v>36471</v>
      </c>
      <c r="L5683" s="149" t="s">
        <v>36459</v>
      </c>
      <c r="M5683" s="147"/>
      <c r="N5683" s="12"/>
      <c r="O5683" s="12"/>
      <c r="P5683" s="13">
        <f>IFERROR(__xludf.DUMMYFUNCTION("VALUE(SUBSTITUTE((INDEX(SPLIT(A5683,"",""),1)),""."","","",1))"),61.780389)</f>
        <v>61.780389</v>
      </c>
      <c r="Q5683" s="13">
        <f>IFERROR(__xludf.DUMMYFUNCTION("VALUE(SUBSTITUTE((INDEX(SPLIT(A5683,"",""),2)),""."","","",1))"),34.341426)</f>
        <v>34.341426</v>
      </c>
      <c r="R5683" s="14" t="b">
        <f t="shared" si="1"/>
        <v>0</v>
      </c>
      <c r="S5683" s="14" t="str">
        <f t="shared" si="2"/>
        <v>61.780389,34.341426</v>
      </c>
      <c r="T5683" s="12"/>
    </row>
    <row r="5684">
      <c r="A5684" s="158" t="s">
        <v>36472</v>
      </c>
      <c r="B5684" s="137" t="s">
        <v>36473</v>
      </c>
      <c r="C5684" s="137" t="s">
        <v>36474</v>
      </c>
      <c r="D5684" s="137" t="s">
        <v>33342</v>
      </c>
      <c r="E5684" s="138" t="s">
        <v>36475</v>
      </c>
      <c r="F5684" s="136" t="s">
        <v>3340</v>
      </c>
      <c r="G5684" s="136" t="s">
        <v>33344</v>
      </c>
      <c r="H5684" s="136"/>
      <c r="I5684" s="137"/>
      <c r="J5684" s="137" t="s">
        <v>36476</v>
      </c>
      <c r="K5684" s="137" t="s">
        <v>36477</v>
      </c>
      <c r="L5684" s="137"/>
      <c r="M5684" s="137"/>
      <c r="N5684" s="12"/>
      <c r="O5684" s="12"/>
      <c r="P5684" s="13">
        <f>IFERROR(__xludf.DUMMYFUNCTION("VALUE(SUBSTITUTE((INDEX(SPLIT(A5684,"",""),1)),""."","","",1))"),64.585803)</f>
        <v>64.585803</v>
      </c>
      <c r="Q5684" s="13">
        <f>IFERROR(__xludf.DUMMYFUNCTION("VALUE(SUBSTITUTE((INDEX(SPLIT(A5684,"",""),2)),""."","","",1))"),30.604164)</f>
        <v>30.604164</v>
      </c>
      <c r="R5684" s="14" t="b">
        <f t="shared" si="1"/>
        <v>0</v>
      </c>
      <c r="S5684" s="14" t="str">
        <f t="shared" si="2"/>
        <v>64.585803,30.604164</v>
      </c>
      <c r="T5684" s="12"/>
    </row>
    <row r="5685">
      <c r="A5685" s="202" t="s">
        <v>36478</v>
      </c>
      <c r="B5685" s="147" t="s">
        <v>36479</v>
      </c>
      <c r="C5685" s="147" t="s">
        <v>36480</v>
      </c>
      <c r="D5685" s="147" t="s">
        <v>33342</v>
      </c>
      <c r="E5685" s="148" t="s">
        <v>36481</v>
      </c>
      <c r="F5685" s="146" t="s">
        <v>3340</v>
      </c>
      <c r="G5685" s="146" t="s">
        <v>33344</v>
      </c>
      <c r="H5685" s="146"/>
      <c r="I5685" s="147"/>
      <c r="J5685" s="147" t="s">
        <v>36482</v>
      </c>
      <c r="K5685" s="147" t="s">
        <v>36483</v>
      </c>
      <c r="L5685" s="149" t="s">
        <v>36484</v>
      </c>
      <c r="M5685" s="147"/>
      <c r="N5685" s="12"/>
      <c r="O5685" s="12"/>
      <c r="P5685" s="13">
        <f>IFERROR(__xludf.DUMMYFUNCTION("VALUE(SUBSTITUTE((INDEX(SPLIT(A5685,"",""),1)),""."","","",1))"),63.727019)</f>
        <v>63.727019</v>
      </c>
      <c r="Q5685" s="13">
        <f>IFERROR(__xludf.DUMMYFUNCTION("VALUE(SUBSTITUTE((INDEX(SPLIT(A5685,"",""),2)),""."","","",1))"),34.319345)</f>
        <v>34.319345</v>
      </c>
      <c r="R5685" s="14" t="b">
        <f t="shared" si="1"/>
        <v>0</v>
      </c>
      <c r="S5685" s="14" t="str">
        <f t="shared" si="2"/>
        <v>63.727019,34.319345</v>
      </c>
      <c r="T5685" s="12"/>
    </row>
    <row r="5686">
      <c r="A5686" s="158" t="s">
        <v>36485</v>
      </c>
      <c r="B5686" s="137" t="s">
        <v>36486</v>
      </c>
      <c r="C5686" s="137" t="s">
        <v>36487</v>
      </c>
      <c r="D5686" s="137" t="s">
        <v>33342</v>
      </c>
      <c r="E5686" s="138" t="s">
        <v>36488</v>
      </c>
      <c r="F5686" s="136" t="s">
        <v>3340</v>
      </c>
      <c r="G5686" s="136" t="s">
        <v>33344</v>
      </c>
      <c r="H5686" s="136"/>
      <c r="I5686" s="137"/>
      <c r="J5686" s="137" t="s">
        <v>36489</v>
      </c>
      <c r="K5686" s="137" t="s">
        <v>36490</v>
      </c>
      <c r="L5686" s="137"/>
      <c r="M5686" s="153" t="s">
        <v>36491</v>
      </c>
      <c r="N5686" s="12"/>
      <c r="O5686" s="12"/>
      <c r="P5686" s="13">
        <f>IFERROR(__xludf.DUMMYFUNCTION("VALUE(SUBSTITUTE((INDEX(SPLIT(A5686,"",""),1)),""."","","",1))"),62.921195)</f>
        <v>62.921195</v>
      </c>
      <c r="Q5686" s="13">
        <f>IFERROR(__xludf.DUMMYFUNCTION("VALUE(SUBSTITUTE((INDEX(SPLIT(A5686,"",""),2)),""."","","",1))"),34.563561)</f>
        <v>34.563561</v>
      </c>
      <c r="R5686" s="14" t="b">
        <f t="shared" si="1"/>
        <v>0</v>
      </c>
      <c r="S5686" s="14" t="str">
        <f t="shared" si="2"/>
        <v>62.921195,34.563561</v>
      </c>
      <c r="T5686" s="12"/>
    </row>
    <row r="5687">
      <c r="A5687" s="199" t="s">
        <v>36492</v>
      </c>
      <c r="B5687" s="140" t="s">
        <v>36493</v>
      </c>
      <c r="C5687" s="140" t="s">
        <v>36494</v>
      </c>
      <c r="D5687" s="140" t="s">
        <v>33342</v>
      </c>
      <c r="E5687" s="141" t="s">
        <v>36495</v>
      </c>
      <c r="F5687" s="139" t="s">
        <v>23108</v>
      </c>
      <c r="G5687" s="139" t="s">
        <v>33344</v>
      </c>
      <c r="H5687" s="139"/>
      <c r="I5687" s="140"/>
      <c r="J5687" s="140" t="s">
        <v>36496</v>
      </c>
      <c r="K5687" s="140" t="s">
        <v>36497</v>
      </c>
      <c r="L5687" s="140"/>
      <c r="M5687" s="140"/>
      <c r="N5687" s="12"/>
      <c r="O5687" s="12"/>
      <c r="P5687" s="13">
        <f>IFERROR(__xludf.DUMMYFUNCTION("VALUE(SUBSTITUTE((INDEX(SPLIT(A5687,"",""),1)),""."","","",1))"),61.782886)</f>
        <v>61.782886</v>
      </c>
      <c r="Q5687" s="13">
        <f>IFERROR(__xludf.DUMMYFUNCTION("VALUE(SUBSTITUTE((INDEX(SPLIT(A5687,"",""),2)),""."","","",1))"),50.748184)</f>
        <v>50.748184</v>
      </c>
      <c r="R5687" s="14" t="b">
        <f t="shared" si="1"/>
        <v>0</v>
      </c>
      <c r="S5687" s="14" t="str">
        <f t="shared" si="2"/>
        <v>61.782886,50.748184</v>
      </c>
      <c r="T5687" s="12"/>
    </row>
    <row r="5688">
      <c r="A5688" s="201" t="s">
        <v>36498</v>
      </c>
      <c r="B5688" s="143" t="s">
        <v>36499</v>
      </c>
      <c r="C5688" s="143" t="s">
        <v>36500</v>
      </c>
      <c r="D5688" s="143" t="s">
        <v>33342</v>
      </c>
      <c r="E5688" s="144" t="s">
        <v>36501</v>
      </c>
      <c r="F5688" s="142" t="s">
        <v>23108</v>
      </c>
      <c r="G5688" s="142" t="s">
        <v>33344</v>
      </c>
      <c r="H5688" s="142"/>
      <c r="I5688" s="143"/>
      <c r="J5688" s="143" t="s">
        <v>36502</v>
      </c>
      <c r="K5688" s="143" t="s">
        <v>36503</v>
      </c>
      <c r="L5688" s="145" t="s">
        <v>36504</v>
      </c>
      <c r="M5688" s="145" t="s">
        <v>36505</v>
      </c>
      <c r="N5688" s="12"/>
      <c r="O5688" s="12"/>
      <c r="P5688" s="13">
        <f>IFERROR(__xludf.DUMMYFUNCTION("VALUE(SUBSTITUTE((INDEX(SPLIT(A5688,"",""),1)),""."","","",1))"),61.664638)</f>
        <v>61.664638</v>
      </c>
      <c r="Q5688" s="13">
        <f>IFERROR(__xludf.DUMMYFUNCTION("VALUE(SUBSTITUTE((INDEX(SPLIT(A5688,"",""),2)),""."","","",1))"),50.825268)</f>
        <v>50.825268</v>
      </c>
      <c r="R5688" s="14" t="b">
        <f t="shared" si="1"/>
        <v>0</v>
      </c>
      <c r="S5688" s="14" t="str">
        <f t="shared" si="2"/>
        <v>61.664638,50.825268</v>
      </c>
      <c r="T5688" s="12"/>
    </row>
    <row r="5689">
      <c r="A5689" s="199" t="s">
        <v>36506</v>
      </c>
      <c r="B5689" s="140" t="s">
        <v>36507</v>
      </c>
      <c r="C5689" s="140" t="s">
        <v>36508</v>
      </c>
      <c r="D5689" s="140" t="s">
        <v>33342</v>
      </c>
      <c r="E5689" s="141" t="s">
        <v>36509</v>
      </c>
      <c r="F5689" s="139" t="s">
        <v>23108</v>
      </c>
      <c r="G5689" s="139" t="s">
        <v>33344</v>
      </c>
      <c r="H5689" s="139"/>
      <c r="I5689" s="140"/>
      <c r="J5689" s="140" t="s">
        <v>36510</v>
      </c>
      <c r="K5689" s="140" t="s">
        <v>36511</v>
      </c>
      <c r="L5689" s="140"/>
      <c r="M5689" s="154" t="s">
        <v>36512</v>
      </c>
      <c r="N5689" s="12"/>
      <c r="O5689" s="12"/>
      <c r="P5689" s="13">
        <f>IFERROR(__xludf.DUMMYFUNCTION("VALUE(SUBSTITUTE((INDEX(SPLIT(A5689,"",""),1)),""."","","",1))"),61.62195)</f>
        <v>61.62195</v>
      </c>
      <c r="Q5689" s="13">
        <f>IFERROR(__xludf.DUMMYFUNCTION("VALUE(SUBSTITUTE((INDEX(SPLIT(A5689,"",""),2)),""."","","",1))"),50.745336)</f>
        <v>50.745336</v>
      </c>
      <c r="R5689" s="14" t="b">
        <f t="shared" si="1"/>
        <v>0</v>
      </c>
      <c r="S5689" s="14" t="str">
        <f t="shared" si="2"/>
        <v>61.62195,50.745336</v>
      </c>
      <c r="T5689" s="12"/>
    </row>
    <row r="5690">
      <c r="A5690" s="158" t="s">
        <v>36513</v>
      </c>
      <c r="B5690" s="137" t="s">
        <v>36514</v>
      </c>
      <c r="C5690" s="137" t="s">
        <v>36515</v>
      </c>
      <c r="D5690" s="137" t="s">
        <v>33342</v>
      </c>
      <c r="E5690" s="138" t="s">
        <v>36516</v>
      </c>
      <c r="F5690" s="136" t="s">
        <v>23108</v>
      </c>
      <c r="G5690" s="136" t="s">
        <v>33344</v>
      </c>
      <c r="H5690" s="136"/>
      <c r="I5690" s="137"/>
      <c r="J5690" s="137" t="s">
        <v>36517</v>
      </c>
      <c r="K5690" s="137" t="s">
        <v>36518</v>
      </c>
      <c r="L5690" s="137"/>
      <c r="M5690" s="153" t="s">
        <v>36519</v>
      </c>
      <c r="N5690" s="12"/>
      <c r="O5690" s="12"/>
      <c r="P5690" s="13">
        <f>IFERROR(__xludf.DUMMYFUNCTION("VALUE(SUBSTITUTE((INDEX(SPLIT(A5690,"",""),1)),""."","","",1))"),61.689003)</f>
        <v>61.689003</v>
      </c>
      <c r="Q5690" s="13">
        <f>IFERROR(__xludf.DUMMYFUNCTION("VALUE(SUBSTITUTE((INDEX(SPLIT(A5690,"",""),2)),""."","","",1))"),50.798346)</f>
        <v>50.798346</v>
      </c>
      <c r="R5690" s="14" t="b">
        <f t="shared" si="1"/>
        <v>0</v>
      </c>
      <c r="S5690" s="14" t="str">
        <f t="shared" si="2"/>
        <v>61.689003,50.798346</v>
      </c>
      <c r="T5690" s="12"/>
    </row>
    <row r="5691">
      <c r="A5691" s="199" t="s">
        <v>36520</v>
      </c>
      <c r="B5691" s="140" t="s">
        <v>36521</v>
      </c>
      <c r="C5691" s="140" t="s">
        <v>36522</v>
      </c>
      <c r="D5691" s="140" t="s">
        <v>33342</v>
      </c>
      <c r="E5691" s="141" t="s">
        <v>36523</v>
      </c>
      <c r="F5691" s="139" t="s">
        <v>23108</v>
      </c>
      <c r="G5691" s="139" t="s">
        <v>33344</v>
      </c>
      <c r="H5691" s="139"/>
      <c r="I5691" s="140"/>
      <c r="J5691" s="140" t="s">
        <v>36524</v>
      </c>
      <c r="K5691" s="140" t="s">
        <v>36525</v>
      </c>
      <c r="L5691" s="140"/>
      <c r="M5691" s="154" t="s">
        <v>36526</v>
      </c>
      <c r="N5691" s="12"/>
      <c r="O5691" s="12"/>
      <c r="P5691" s="13">
        <f>IFERROR(__xludf.DUMMYFUNCTION("VALUE(SUBSTITUTE((INDEX(SPLIT(A5691,"",""),1)),""."","","",1))"),67.494261)</f>
        <v>67.494261</v>
      </c>
      <c r="Q5691" s="13">
        <f>IFERROR(__xludf.DUMMYFUNCTION("VALUE(SUBSTITUTE((INDEX(SPLIT(A5691,"",""),2)),""."","","",1))"),64.049844)</f>
        <v>64.049844</v>
      </c>
      <c r="R5691" s="14" t="b">
        <f t="shared" si="1"/>
        <v>0</v>
      </c>
      <c r="S5691" s="14" t="str">
        <f t="shared" si="2"/>
        <v>67.494261,64.049844</v>
      </c>
      <c r="T5691" s="12"/>
    </row>
    <row r="5692">
      <c r="A5692" s="201" t="s">
        <v>36527</v>
      </c>
      <c r="B5692" s="143" t="s">
        <v>24420</v>
      </c>
      <c r="C5692" s="143" t="s">
        <v>36528</v>
      </c>
      <c r="D5692" s="143" t="s">
        <v>33342</v>
      </c>
      <c r="E5692" s="144" t="s">
        <v>36529</v>
      </c>
      <c r="F5692" s="142" t="s">
        <v>23108</v>
      </c>
      <c r="G5692" s="142" t="s">
        <v>33344</v>
      </c>
      <c r="H5692" s="142"/>
      <c r="I5692" s="143"/>
      <c r="J5692" s="143" t="s">
        <v>36530</v>
      </c>
      <c r="K5692" s="143" t="s">
        <v>36531</v>
      </c>
      <c r="L5692" s="145" t="s">
        <v>36532</v>
      </c>
      <c r="M5692" s="143"/>
      <c r="N5692" s="12"/>
      <c r="O5692" s="12"/>
      <c r="P5692" s="13">
        <f>IFERROR(__xludf.DUMMYFUNCTION("VALUE(SUBSTITUTE((INDEX(SPLIT(A5692,"",""),1)),""."","","",1))"),57.509282)</f>
        <v>57.509282</v>
      </c>
      <c r="Q5692" s="13">
        <f>IFERROR(__xludf.DUMMYFUNCTION("VALUE(SUBSTITUTE((INDEX(SPLIT(A5692,"",""),2)),""."","","",1))"),66.014964)</f>
        <v>66.014964</v>
      </c>
      <c r="R5692" s="14" t="b">
        <f t="shared" si="1"/>
        <v>0</v>
      </c>
      <c r="S5692" s="14" t="str">
        <f t="shared" si="2"/>
        <v>57.509282,66.014964</v>
      </c>
      <c r="T5692" s="12"/>
    </row>
    <row r="5693">
      <c r="A5693" s="199" t="s">
        <v>36533</v>
      </c>
      <c r="B5693" s="140" t="s">
        <v>36534</v>
      </c>
      <c r="C5693" s="140" t="s">
        <v>36535</v>
      </c>
      <c r="D5693" s="140" t="s">
        <v>33342</v>
      </c>
      <c r="E5693" s="141" t="s">
        <v>36536</v>
      </c>
      <c r="F5693" s="139" t="s">
        <v>19961</v>
      </c>
      <c r="G5693" s="139" t="s">
        <v>33344</v>
      </c>
      <c r="H5693" s="139"/>
      <c r="I5693" s="140"/>
      <c r="J5693" s="140" t="s">
        <v>36537</v>
      </c>
      <c r="K5693" s="140" t="s">
        <v>36538</v>
      </c>
      <c r="L5693" s="140"/>
      <c r="M5693" s="140"/>
      <c r="N5693" s="12"/>
      <c r="O5693" s="12"/>
      <c r="P5693" s="13">
        <f>IFERROR(__xludf.DUMMYFUNCTION("VALUE(SUBSTITUTE((INDEX(SPLIT(A5693,"",""),1)),""."","","",1))"),56.642599)</f>
        <v>56.642599</v>
      </c>
      <c r="Q5693" s="13">
        <f>IFERROR(__xludf.DUMMYFUNCTION("VALUE(SUBSTITUTE((INDEX(SPLIT(A5693,"",""),2)),""."","","",1))"),47.932361)</f>
        <v>47.932361</v>
      </c>
      <c r="R5693" s="14" t="b">
        <f t="shared" si="1"/>
        <v>0</v>
      </c>
      <c r="S5693" s="14" t="str">
        <f t="shared" si="2"/>
        <v>56.642599,47.932361</v>
      </c>
      <c r="T5693" s="12"/>
    </row>
    <row r="5694">
      <c r="A5694" s="158" t="s">
        <v>36539</v>
      </c>
      <c r="B5694" s="137" t="s">
        <v>36540</v>
      </c>
      <c r="C5694" s="137" t="s">
        <v>36541</v>
      </c>
      <c r="D5694" s="137" t="s">
        <v>33342</v>
      </c>
      <c r="E5694" s="138" t="s">
        <v>36542</v>
      </c>
      <c r="F5694" s="136" t="s">
        <v>19961</v>
      </c>
      <c r="G5694" s="136" t="s">
        <v>33344</v>
      </c>
      <c r="H5694" s="136"/>
      <c r="I5694" s="137"/>
      <c r="J5694" s="137" t="s">
        <v>36543</v>
      </c>
      <c r="K5694" s="137" t="s">
        <v>36544</v>
      </c>
      <c r="L5694" s="137"/>
      <c r="M5694" s="153" t="s">
        <v>36545</v>
      </c>
      <c r="N5694" s="12"/>
      <c r="O5694" s="12"/>
      <c r="P5694" s="13">
        <f>IFERROR(__xludf.DUMMYFUNCTION("VALUE(SUBSTITUTE((INDEX(SPLIT(A5694,"",""),1)),""."","","",1))"),56.632501)</f>
        <v>56.632501</v>
      </c>
      <c r="Q5694" s="13">
        <f>IFERROR(__xludf.DUMMYFUNCTION("VALUE(SUBSTITUTE((INDEX(SPLIT(A5694,"",""),2)),""."","","",1))"),47.894173)</f>
        <v>47.894173</v>
      </c>
      <c r="R5694" s="14" t="b">
        <f t="shared" si="1"/>
        <v>0</v>
      </c>
      <c r="S5694" s="14" t="str">
        <f t="shared" si="2"/>
        <v>56.632501,47.894173</v>
      </c>
      <c r="T5694" s="12"/>
    </row>
    <row r="5695">
      <c r="A5695" s="199" t="s">
        <v>36546</v>
      </c>
      <c r="B5695" s="140" t="s">
        <v>36547</v>
      </c>
      <c r="C5695" s="140" t="s">
        <v>36548</v>
      </c>
      <c r="D5695" s="140" t="s">
        <v>33342</v>
      </c>
      <c r="E5695" s="141" t="s">
        <v>36549</v>
      </c>
      <c r="F5695" s="139" t="s">
        <v>19961</v>
      </c>
      <c r="G5695" s="139" t="s">
        <v>33344</v>
      </c>
      <c r="H5695" s="139"/>
      <c r="I5695" s="140"/>
      <c r="J5695" s="140" t="s">
        <v>36550</v>
      </c>
      <c r="K5695" s="140" t="s">
        <v>36551</v>
      </c>
      <c r="L5695" s="140"/>
      <c r="M5695" s="154" t="s">
        <v>36552</v>
      </c>
      <c r="N5695" s="12"/>
      <c r="O5695" s="12"/>
      <c r="P5695" s="13">
        <f>IFERROR(__xludf.DUMMYFUNCTION("VALUE(SUBSTITUTE((INDEX(SPLIT(A5695,"",""),1)),""."","","",1))"),56.647088)</f>
        <v>56.647088</v>
      </c>
      <c r="Q5695" s="13">
        <f>IFERROR(__xludf.DUMMYFUNCTION("VALUE(SUBSTITUTE((INDEX(SPLIT(A5695,"",""),2)),""."","","",1))"),47.944596)</f>
        <v>47.944596</v>
      </c>
      <c r="R5695" s="14" t="b">
        <f t="shared" si="1"/>
        <v>0</v>
      </c>
      <c r="S5695" s="14" t="str">
        <f t="shared" si="2"/>
        <v>56.647088,47.944596</v>
      </c>
      <c r="T5695" s="12"/>
    </row>
    <row r="5696">
      <c r="A5696" s="158" t="s">
        <v>36553</v>
      </c>
      <c r="B5696" s="137" t="s">
        <v>36554</v>
      </c>
      <c r="C5696" s="137" t="s">
        <v>36555</v>
      </c>
      <c r="D5696" s="137" t="s">
        <v>33342</v>
      </c>
      <c r="E5696" s="138" t="s">
        <v>36556</v>
      </c>
      <c r="F5696" s="136" t="s">
        <v>19961</v>
      </c>
      <c r="G5696" s="136" t="s">
        <v>33344</v>
      </c>
      <c r="H5696" s="136"/>
      <c r="I5696" s="137"/>
      <c r="J5696" s="137" t="s">
        <v>36557</v>
      </c>
      <c r="K5696" s="137" t="s">
        <v>36558</v>
      </c>
      <c r="L5696" s="137"/>
      <c r="M5696" s="137"/>
      <c r="N5696" s="12"/>
      <c r="O5696" s="12"/>
      <c r="P5696" s="13">
        <f>IFERROR(__xludf.DUMMYFUNCTION("VALUE(SUBSTITUTE((INDEX(SPLIT(A5696,"",""),1)),""."","","",1))"),56.663599)</f>
        <v>56.663599</v>
      </c>
      <c r="Q5696" s="13">
        <f>IFERROR(__xludf.DUMMYFUNCTION("VALUE(SUBSTITUTE((INDEX(SPLIT(A5696,"",""),2)),""."","","",1))"),47.847793)</f>
        <v>47.847793</v>
      </c>
      <c r="R5696" s="14" t="b">
        <f t="shared" si="1"/>
        <v>0</v>
      </c>
      <c r="S5696" s="14" t="str">
        <f t="shared" si="2"/>
        <v>56.663599,47.847793</v>
      </c>
      <c r="T5696" s="12"/>
    </row>
    <row r="5697">
      <c r="A5697" s="199" t="s">
        <v>36559</v>
      </c>
      <c r="B5697" s="140" t="s">
        <v>36560</v>
      </c>
      <c r="C5697" s="140" t="s">
        <v>36561</v>
      </c>
      <c r="D5697" s="140" t="s">
        <v>33342</v>
      </c>
      <c r="E5697" s="141" t="s">
        <v>36562</v>
      </c>
      <c r="F5697" s="139" t="s">
        <v>19961</v>
      </c>
      <c r="G5697" s="139" t="s">
        <v>33344</v>
      </c>
      <c r="H5697" s="139"/>
      <c r="I5697" s="140"/>
      <c r="J5697" s="140" t="s">
        <v>36563</v>
      </c>
      <c r="K5697" s="140" t="s">
        <v>36564</v>
      </c>
      <c r="L5697" s="140"/>
      <c r="M5697" s="140"/>
      <c r="N5697" s="12"/>
      <c r="O5697" s="12"/>
      <c r="P5697" s="13">
        <f>IFERROR(__xludf.DUMMYFUNCTION("VALUE(SUBSTITUTE((INDEX(SPLIT(A5697,"",""),1)),""."","","",1))"),56.620468)</f>
        <v>56.620468</v>
      </c>
      <c r="Q5697" s="13">
        <f>IFERROR(__xludf.DUMMYFUNCTION("VALUE(SUBSTITUTE((INDEX(SPLIT(A5697,"",""),2)),""."","","",1))"),47.872075)</f>
        <v>47.872075</v>
      </c>
      <c r="R5697" s="14" t="b">
        <f t="shared" si="1"/>
        <v>0</v>
      </c>
      <c r="S5697" s="14" t="str">
        <f t="shared" si="2"/>
        <v>56.620468,47.872075</v>
      </c>
      <c r="T5697" s="12"/>
    </row>
    <row r="5698">
      <c r="A5698" s="158" t="s">
        <v>36565</v>
      </c>
      <c r="B5698" s="137" t="s">
        <v>24217</v>
      </c>
      <c r="C5698" s="137" t="s">
        <v>36566</v>
      </c>
      <c r="D5698" s="137" t="s">
        <v>33342</v>
      </c>
      <c r="E5698" s="138" t="s">
        <v>36567</v>
      </c>
      <c r="F5698" s="136" t="s">
        <v>19961</v>
      </c>
      <c r="G5698" s="136" t="s">
        <v>33344</v>
      </c>
      <c r="H5698" s="136"/>
      <c r="I5698" s="137"/>
      <c r="J5698" s="137" t="s">
        <v>36568</v>
      </c>
      <c r="K5698" s="137" t="s">
        <v>36569</v>
      </c>
      <c r="L5698" s="137"/>
      <c r="M5698" s="137"/>
      <c r="N5698" s="12"/>
      <c r="O5698" s="12"/>
      <c r="P5698" s="13">
        <f>IFERROR(__xludf.DUMMYFUNCTION("VALUE(SUBSTITUTE((INDEX(SPLIT(A5698,"",""),1)),""."","","",1))"),56.614406)</f>
        <v>56.614406</v>
      </c>
      <c r="Q5698" s="13">
        <f>IFERROR(__xludf.DUMMYFUNCTION("VALUE(SUBSTITUTE((INDEX(SPLIT(A5698,"",""),2)),""."","","",1))"),47.876315)</f>
        <v>47.876315</v>
      </c>
      <c r="R5698" s="14" t="b">
        <f t="shared" si="1"/>
        <v>0</v>
      </c>
      <c r="S5698" s="14" t="str">
        <f t="shared" si="2"/>
        <v>56.614406,47.876315</v>
      </c>
      <c r="T5698" s="12"/>
    </row>
    <row r="5699">
      <c r="A5699" s="199" t="s">
        <v>36570</v>
      </c>
      <c r="B5699" s="140" t="s">
        <v>36571</v>
      </c>
      <c r="C5699" s="140" t="s">
        <v>36572</v>
      </c>
      <c r="D5699" s="140" t="s">
        <v>33342</v>
      </c>
      <c r="E5699" s="141" t="s">
        <v>36573</v>
      </c>
      <c r="F5699" s="139" t="s">
        <v>19961</v>
      </c>
      <c r="G5699" s="139" t="s">
        <v>33344</v>
      </c>
      <c r="H5699" s="139"/>
      <c r="I5699" s="140"/>
      <c r="J5699" s="140" t="s">
        <v>36574</v>
      </c>
      <c r="K5699" s="140" t="s">
        <v>36575</v>
      </c>
      <c r="L5699" s="140"/>
      <c r="M5699" s="140"/>
      <c r="N5699" s="12"/>
      <c r="O5699" s="12"/>
      <c r="P5699" s="13">
        <f>IFERROR(__xludf.DUMMYFUNCTION("VALUE(SUBSTITUTE((INDEX(SPLIT(A5699,"",""),1)),""."","","",1))"),56.620998)</f>
        <v>56.620998</v>
      </c>
      <c r="Q5699" s="13">
        <f>IFERROR(__xludf.DUMMYFUNCTION("VALUE(SUBSTITUTE((INDEX(SPLIT(A5699,"",""),2)),""."","","",1))"),47.858367)</f>
        <v>47.858367</v>
      </c>
      <c r="R5699" s="14" t="b">
        <f t="shared" si="1"/>
        <v>0</v>
      </c>
      <c r="S5699" s="14" t="str">
        <f t="shared" si="2"/>
        <v>56.620998,47.858367</v>
      </c>
      <c r="T5699" s="12"/>
    </row>
    <row r="5700">
      <c r="A5700" s="158" t="s">
        <v>36576</v>
      </c>
      <c r="B5700" s="137" t="s">
        <v>36577</v>
      </c>
      <c r="C5700" s="137" t="s">
        <v>36578</v>
      </c>
      <c r="D5700" s="137" t="s">
        <v>33342</v>
      </c>
      <c r="E5700" s="138" t="s">
        <v>36579</v>
      </c>
      <c r="F5700" s="136" t="s">
        <v>19961</v>
      </c>
      <c r="G5700" s="136" t="s">
        <v>33344</v>
      </c>
      <c r="H5700" s="136"/>
      <c r="I5700" s="137"/>
      <c r="J5700" s="137" t="s">
        <v>36580</v>
      </c>
      <c r="K5700" s="137" t="s">
        <v>34915</v>
      </c>
      <c r="L5700" s="137"/>
      <c r="M5700" s="153" t="s">
        <v>36581</v>
      </c>
      <c r="N5700" s="12"/>
      <c r="O5700" s="12"/>
      <c r="P5700" s="13">
        <f>IFERROR(__xludf.DUMMYFUNCTION("VALUE(SUBSTITUTE((INDEX(SPLIT(A5700,"",""),1)),""."","","",1))"),56.644668)</f>
        <v>56.644668</v>
      </c>
      <c r="Q5700" s="13">
        <f>IFERROR(__xludf.DUMMYFUNCTION("VALUE(SUBSTITUTE((INDEX(SPLIT(A5700,"",""),2)),""."","","",1))"),47.861286)</f>
        <v>47.861286</v>
      </c>
      <c r="R5700" s="14" t="b">
        <f t="shared" si="1"/>
        <v>0</v>
      </c>
      <c r="S5700" s="14" t="str">
        <f t="shared" si="2"/>
        <v>56.644668,47.861286</v>
      </c>
      <c r="T5700" s="12"/>
    </row>
    <row r="5701">
      <c r="A5701" s="202" t="s">
        <v>36582</v>
      </c>
      <c r="B5701" s="147" t="s">
        <v>1780</v>
      </c>
      <c r="C5701" s="147" t="s">
        <v>34335</v>
      </c>
      <c r="D5701" s="147" t="s">
        <v>33342</v>
      </c>
      <c r="E5701" s="148" t="s">
        <v>36583</v>
      </c>
      <c r="F5701" s="146" t="s">
        <v>19961</v>
      </c>
      <c r="G5701" s="146" t="s">
        <v>33344</v>
      </c>
      <c r="H5701" s="146"/>
      <c r="I5701" s="147"/>
      <c r="J5701" s="147" t="s">
        <v>36584</v>
      </c>
      <c r="K5701" s="147" t="s">
        <v>36585</v>
      </c>
      <c r="L5701" s="149" t="s">
        <v>36586</v>
      </c>
      <c r="M5701" s="149" t="s">
        <v>36587</v>
      </c>
      <c r="N5701" s="12"/>
      <c r="O5701" s="12"/>
      <c r="P5701" s="13">
        <f>IFERROR(__xludf.DUMMYFUNCTION("VALUE(SUBSTITUTE((INDEX(SPLIT(A5701,"",""),1)),""."","","",1))"),56.636303)</f>
        <v>56.636303</v>
      </c>
      <c r="Q5701" s="13">
        <f>IFERROR(__xludf.DUMMYFUNCTION("VALUE(SUBSTITUTE((INDEX(SPLIT(A5701,"",""),2)),""."","","",1))"),47.897964)</f>
        <v>47.897964</v>
      </c>
      <c r="R5701" s="14" t="b">
        <f t="shared" si="1"/>
        <v>0</v>
      </c>
      <c r="S5701" s="14" t="str">
        <f t="shared" si="2"/>
        <v>56.636303,47.897964</v>
      </c>
      <c r="T5701" s="12"/>
    </row>
    <row r="5702">
      <c r="A5702" s="201" t="s">
        <v>36588</v>
      </c>
      <c r="B5702" s="143" t="s">
        <v>36589</v>
      </c>
      <c r="C5702" s="143" t="s">
        <v>36590</v>
      </c>
      <c r="D5702" s="143" t="s">
        <v>33342</v>
      </c>
      <c r="E5702" s="144" t="s">
        <v>36591</v>
      </c>
      <c r="F5702" s="142" t="s">
        <v>19961</v>
      </c>
      <c r="G5702" s="142" t="s">
        <v>33344</v>
      </c>
      <c r="H5702" s="142"/>
      <c r="I5702" s="143"/>
      <c r="J5702" s="143" t="s">
        <v>36592</v>
      </c>
      <c r="K5702" s="143" t="s">
        <v>36593</v>
      </c>
      <c r="L5702" s="145" t="s">
        <v>36594</v>
      </c>
      <c r="M5702" s="143"/>
      <c r="N5702" s="12"/>
      <c r="O5702" s="12"/>
      <c r="P5702" s="13">
        <f>IFERROR(__xludf.DUMMYFUNCTION("VALUE(SUBSTITUTE((INDEX(SPLIT(A5702,"",""),1)),""."","","",1))"),56.609893)</f>
        <v>56.609893</v>
      </c>
      <c r="Q5702" s="13">
        <f>IFERROR(__xludf.DUMMYFUNCTION("VALUE(SUBSTITUTE((INDEX(SPLIT(A5702,"",""),2)),""."","","",1))"),47.903705)</f>
        <v>47.903705</v>
      </c>
      <c r="R5702" s="14" t="b">
        <f t="shared" si="1"/>
        <v>0</v>
      </c>
      <c r="S5702" s="14" t="str">
        <f t="shared" si="2"/>
        <v>56.609893,47.903705</v>
      </c>
      <c r="T5702" s="12"/>
    </row>
    <row r="5703">
      <c r="A5703" s="202" t="s">
        <v>36595</v>
      </c>
      <c r="B5703" s="147" t="s">
        <v>36596</v>
      </c>
      <c r="C5703" s="147" t="s">
        <v>36597</v>
      </c>
      <c r="D5703" s="147" t="s">
        <v>33342</v>
      </c>
      <c r="E5703" s="148" t="s">
        <v>36598</v>
      </c>
      <c r="F5703" s="146" t="s">
        <v>19961</v>
      </c>
      <c r="G5703" s="146" t="s">
        <v>33344</v>
      </c>
      <c r="H5703" s="146"/>
      <c r="I5703" s="147"/>
      <c r="J5703" s="147" t="s">
        <v>36599</v>
      </c>
      <c r="K5703" s="147" t="s">
        <v>36600</v>
      </c>
      <c r="L5703" s="149" t="s">
        <v>36601</v>
      </c>
      <c r="M5703" s="147"/>
      <c r="N5703" s="12"/>
      <c r="O5703" s="12"/>
      <c r="P5703" s="13">
        <f>IFERROR(__xludf.DUMMYFUNCTION("VALUE(SUBSTITUTE((INDEX(SPLIT(A5703,"",""),1)),""."","","",1))"),56.630322)</f>
        <v>56.630322</v>
      </c>
      <c r="Q5703" s="13">
        <f>IFERROR(__xludf.DUMMYFUNCTION("VALUE(SUBSTITUTE((INDEX(SPLIT(A5703,"",""),2)),""."","","",1))"),47.88696)</f>
        <v>47.88696</v>
      </c>
      <c r="R5703" s="14" t="b">
        <f t="shared" si="1"/>
        <v>0</v>
      </c>
      <c r="S5703" s="14" t="str">
        <f t="shared" si="2"/>
        <v>56.630322,47.88696</v>
      </c>
      <c r="T5703" s="12"/>
    </row>
    <row r="5704">
      <c r="A5704" s="158" t="s">
        <v>36602</v>
      </c>
      <c r="B5704" s="137" t="s">
        <v>27242</v>
      </c>
      <c r="C5704" s="137" t="s">
        <v>36603</v>
      </c>
      <c r="D5704" s="137" t="s">
        <v>33342</v>
      </c>
      <c r="E5704" s="138" t="s">
        <v>36604</v>
      </c>
      <c r="F5704" s="136" t="s">
        <v>19961</v>
      </c>
      <c r="G5704" s="136" t="s">
        <v>33344</v>
      </c>
      <c r="H5704" s="136"/>
      <c r="I5704" s="137"/>
      <c r="J5704" s="137" t="s">
        <v>36605</v>
      </c>
      <c r="K5704" s="137" t="s">
        <v>36606</v>
      </c>
      <c r="L5704" s="137"/>
      <c r="M5704" s="137"/>
      <c r="N5704" s="12"/>
      <c r="O5704" s="12"/>
      <c r="P5704" s="13">
        <f>IFERROR(__xludf.DUMMYFUNCTION("VALUE(SUBSTITUTE((INDEX(SPLIT(A5704,"",""),1)),""."","","",1))"),55.817355)</f>
        <v>55.817355</v>
      </c>
      <c r="Q5704" s="13">
        <f>IFERROR(__xludf.DUMMYFUNCTION("VALUE(SUBSTITUTE((INDEX(SPLIT(A5704,"",""),2)),""."","","",1))"),49.120239)</f>
        <v>49.120239</v>
      </c>
      <c r="R5704" s="14" t="b">
        <f t="shared" si="1"/>
        <v>0</v>
      </c>
      <c r="S5704" s="14" t="str">
        <f t="shared" si="2"/>
        <v>55.817355,49.120239</v>
      </c>
      <c r="T5704" s="12"/>
    </row>
    <row r="5705">
      <c r="A5705" s="199" t="s">
        <v>36607</v>
      </c>
      <c r="B5705" s="140" t="s">
        <v>36608</v>
      </c>
      <c r="C5705" s="140" t="s">
        <v>36609</v>
      </c>
      <c r="D5705" s="140" t="s">
        <v>33342</v>
      </c>
      <c r="E5705" s="141" t="s">
        <v>36610</v>
      </c>
      <c r="F5705" s="139" t="s">
        <v>19961</v>
      </c>
      <c r="G5705" s="139" t="s">
        <v>33344</v>
      </c>
      <c r="H5705" s="139"/>
      <c r="I5705" s="140"/>
      <c r="J5705" s="140" t="s">
        <v>36611</v>
      </c>
      <c r="K5705" s="140" t="s">
        <v>36612</v>
      </c>
      <c r="L5705" s="140"/>
      <c r="M5705" s="140"/>
      <c r="N5705" s="12"/>
      <c r="O5705" s="12"/>
      <c r="P5705" s="13">
        <f>IFERROR(__xludf.DUMMYFUNCTION("VALUE(SUBSTITUTE((INDEX(SPLIT(A5705,"",""),1)),""."","","",1))"),56.641243)</f>
        <v>56.641243</v>
      </c>
      <c r="Q5705" s="13">
        <f>IFERROR(__xludf.DUMMYFUNCTION("VALUE(SUBSTITUTE((INDEX(SPLIT(A5705,"",""),2)),""."","","",1))"),47.931418)</f>
        <v>47.931418</v>
      </c>
      <c r="R5705" s="14" t="b">
        <f t="shared" si="1"/>
        <v>0</v>
      </c>
      <c r="S5705" s="14" t="str">
        <f t="shared" si="2"/>
        <v>56.641243,47.931418</v>
      </c>
      <c r="T5705" s="12"/>
    </row>
    <row r="5706">
      <c r="A5706" s="158" t="s">
        <v>36613</v>
      </c>
      <c r="B5706" s="137" t="s">
        <v>36614</v>
      </c>
      <c r="C5706" s="137" t="s">
        <v>36615</v>
      </c>
      <c r="D5706" s="137" t="s">
        <v>33342</v>
      </c>
      <c r="E5706" s="138" t="s">
        <v>36616</v>
      </c>
      <c r="F5706" s="136" t="s">
        <v>19961</v>
      </c>
      <c r="G5706" s="136" t="s">
        <v>33344</v>
      </c>
      <c r="H5706" s="136"/>
      <c r="I5706" s="137"/>
      <c r="J5706" s="137" t="s">
        <v>36617</v>
      </c>
      <c r="K5706" s="137" t="s">
        <v>36618</v>
      </c>
      <c r="L5706" s="137"/>
      <c r="M5706" s="153" t="s">
        <v>36619</v>
      </c>
      <c r="N5706" s="12"/>
      <c r="O5706" s="12"/>
      <c r="P5706" s="13">
        <f>IFERROR(__xludf.DUMMYFUNCTION("VALUE(SUBSTITUTE((INDEX(SPLIT(A5706,"",""),1)),""."","","",1))"),56.644812)</f>
        <v>56.644812</v>
      </c>
      <c r="Q5706" s="13">
        <f>IFERROR(__xludf.DUMMYFUNCTION("VALUE(SUBSTITUTE((INDEX(SPLIT(A5706,"",""),2)),""."","","",1))"),47.831669)</f>
        <v>47.831669</v>
      </c>
      <c r="R5706" s="14" t="b">
        <f t="shared" si="1"/>
        <v>0</v>
      </c>
      <c r="S5706" s="14" t="str">
        <f t="shared" si="2"/>
        <v>56.644812,47.831669</v>
      </c>
      <c r="T5706" s="12"/>
    </row>
    <row r="5707">
      <c r="A5707" s="202" t="s">
        <v>36620</v>
      </c>
      <c r="B5707" s="147" t="s">
        <v>36621</v>
      </c>
      <c r="C5707" s="147" t="s">
        <v>36622</v>
      </c>
      <c r="D5707" s="147" t="s">
        <v>33342</v>
      </c>
      <c r="E5707" s="148" t="s">
        <v>36623</v>
      </c>
      <c r="F5707" s="146" t="s">
        <v>19961</v>
      </c>
      <c r="G5707" s="146" t="s">
        <v>33344</v>
      </c>
      <c r="H5707" s="146"/>
      <c r="I5707" s="147"/>
      <c r="J5707" s="147" t="s">
        <v>36624</v>
      </c>
      <c r="K5707" s="147" t="s">
        <v>36625</v>
      </c>
      <c r="L5707" s="149" t="s">
        <v>36626</v>
      </c>
      <c r="M5707" s="149" t="s">
        <v>36627</v>
      </c>
      <c r="N5707" s="12"/>
      <c r="O5707" s="12"/>
      <c r="P5707" s="13">
        <f>IFERROR(__xludf.DUMMYFUNCTION("VALUE(SUBSTITUTE((INDEX(SPLIT(A5707,"",""),1)),""."","","",1))"),56.629946)</f>
        <v>56.629946</v>
      </c>
      <c r="Q5707" s="13">
        <f>IFERROR(__xludf.DUMMYFUNCTION("VALUE(SUBSTITUTE((INDEX(SPLIT(A5707,"",""),2)),""."","","",1))"),47.818374)</f>
        <v>47.818374</v>
      </c>
      <c r="R5707" s="14" t="b">
        <f t="shared" si="1"/>
        <v>0</v>
      </c>
      <c r="S5707" s="14" t="str">
        <f t="shared" si="2"/>
        <v>56.629946,47.818374</v>
      </c>
      <c r="T5707" s="12"/>
    </row>
    <row r="5708">
      <c r="A5708" s="201" t="s">
        <v>36628</v>
      </c>
      <c r="B5708" s="143" t="s">
        <v>31876</v>
      </c>
      <c r="C5708" s="143" t="s">
        <v>36629</v>
      </c>
      <c r="D5708" s="143" t="s">
        <v>33342</v>
      </c>
      <c r="E5708" s="144" t="s">
        <v>36630</v>
      </c>
      <c r="F5708" s="142" t="s">
        <v>19961</v>
      </c>
      <c r="G5708" s="142" t="s">
        <v>33344</v>
      </c>
      <c r="H5708" s="142"/>
      <c r="I5708" s="143"/>
      <c r="J5708" s="143" t="s">
        <v>36631</v>
      </c>
      <c r="K5708" s="143" t="s">
        <v>36632</v>
      </c>
      <c r="L5708" s="145" t="s">
        <v>36633</v>
      </c>
      <c r="M5708" s="145" t="s">
        <v>36634</v>
      </c>
      <c r="N5708" s="12"/>
      <c r="O5708" s="12"/>
      <c r="P5708" s="13">
        <f>IFERROR(__xludf.DUMMYFUNCTION("VALUE(SUBSTITUTE((INDEX(SPLIT(A5708,"",""),1)),""."","","",1))"),56.21717)</f>
        <v>56.21717</v>
      </c>
      <c r="Q5708" s="13">
        <f>IFERROR(__xludf.DUMMYFUNCTION("VALUE(SUBSTITUTE((INDEX(SPLIT(A5708,"",""),2)),""."","","",1))"),46.726489)</f>
        <v>46.726489</v>
      </c>
      <c r="R5708" s="14" t="b">
        <f t="shared" si="1"/>
        <v>0</v>
      </c>
      <c r="S5708" s="14" t="str">
        <f t="shared" si="2"/>
        <v>56.21717,46.726489</v>
      </c>
      <c r="T5708" s="12"/>
    </row>
    <row r="5709">
      <c r="A5709" s="199" t="s">
        <v>36635</v>
      </c>
      <c r="B5709" s="140" t="s">
        <v>36636</v>
      </c>
      <c r="C5709" s="140" t="s">
        <v>36637</v>
      </c>
      <c r="D5709" s="140" t="s">
        <v>33342</v>
      </c>
      <c r="E5709" s="141" t="s">
        <v>36638</v>
      </c>
      <c r="F5709" s="139" t="s">
        <v>19961</v>
      </c>
      <c r="G5709" s="139" t="s">
        <v>33344</v>
      </c>
      <c r="H5709" s="139"/>
      <c r="I5709" s="140"/>
      <c r="J5709" s="140" t="s">
        <v>36639</v>
      </c>
      <c r="K5709" s="140" t="s">
        <v>36640</v>
      </c>
      <c r="L5709" s="140"/>
      <c r="M5709" s="154" t="s">
        <v>36641</v>
      </c>
      <c r="N5709" s="12"/>
      <c r="O5709" s="12"/>
      <c r="P5709" s="13">
        <f>IFERROR(__xludf.DUMMYFUNCTION("VALUE(SUBSTITUTE((INDEX(SPLIT(A5709,"",""),1)),""."","","",1))"),56.646994)</f>
        <v>56.646994</v>
      </c>
      <c r="Q5709" s="13">
        <f>IFERROR(__xludf.DUMMYFUNCTION("VALUE(SUBSTITUTE((INDEX(SPLIT(A5709,"",""),2)),""."","","",1))"),47.831489)</f>
        <v>47.831489</v>
      </c>
      <c r="R5709" s="14" t="b">
        <f t="shared" si="1"/>
        <v>0</v>
      </c>
      <c r="S5709" s="14" t="str">
        <f t="shared" si="2"/>
        <v>56.646994,47.831489</v>
      </c>
      <c r="T5709" s="12"/>
    </row>
    <row r="5710">
      <c r="A5710" s="158" t="s">
        <v>36642</v>
      </c>
      <c r="B5710" s="137" t="s">
        <v>36643</v>
      </c>
      <c r="C5710" s="137" t="s">
        <v>36644</v>
      </c>
      <c r="D5710" s="137" t="s">
        <v>33342</v>
      </c>
      <c r="E5710" s="138" t="s">
        <v>36645</v>
      </c>
      <c r="F5710" s="136" t="s">
        <v>19961</v>
      </c>
      <c r="G5710" s="136" t="s">
        <v>33344</v>
      </c>
      <c r="H5710" s="136"/>
      <c r="I5710" s="137"/>
      <c r="J5710" s="137" t="s">
        <v>36646</v>
      </c>
      <c r="K5710" s="137" t="s">
        <v>36647</v>
      </c>
      <c r="L5710" s="137"/>
      <c r="M5710" s="137"/>
      <c r="N5710" s="12"/>
      <c r="O5710" s="12"/>
      <c r="P5710" s="13">
        <f>IFERROR(__xludf.DUMMYFUNCTION("VALUE(SUBSTITUTE((INDEX(SPLIT(A5710,"",""),1)),""."","","",1))"),56.789422)</f>
        <v>56.789422</v>
      </c>
      <c r="Q5710" s="13">
        <f>IFERROR(__xludf.DUMMYFUNCTION("VALUE(SUBSTITUTE((INDEX(SPLIT(A5710,"",""),2)),""."","","",1))"),49.608581)</f>
        <v>49.608581</v>
      </c>
      <c r="R5710" s="14" t="b">
        <f t="shared" si="1"/>
        <v>0</v>
      </c>
      <c r="S5710" s="14" t="str">
        <f t="shared" si="2"/>
        <v>56.789422,49.608581</v>
      </c>
      <c r="T5710" s="12"/>
    </row>
    <row r="5711">
      <c r="A5711" s="199" t="s">
        <v>36648</v>
      </c>
      <c r="B5711" s="140" t="s">
        <v>36649</v>
      </c>
      <c r="C5711" s="140" t="s">
        <v>36650</v>
      </c>
      <c r="D5711" s="140" t="s">
        <v>33342</v>
      </c>
      <c r="E5711" s="141" t="s">
        <v>36651</v>
      </c>
      <c r="F5711" s="139" t="s">
        <v>17780</v>
      </c>
      <c r="G5711" s="139" t="s">
        <v>33344</v>
      </c>
      <c r="H5711" s="139"/>
      <c r="I5711" s="140"/>
      <c r="J5711" s="140" t="s">
        <v>36652</v>
      </c>
      <c r="K5711" s="140" t="s">
        <v>36653</v>
      </c>
      <c r="L5711" s="140"/>
      <c r="M5711" s="154" t="s">
        <v>36654</v>
      </c>
      <c r="N5711" s="12"/>
      <c r="O5711" s="12"/>
      <c r="P5711" s="13">
        <f>IFERROR(__xludf.DUMMYFUNCTION("VALUE(SUBSTITUTE((INDEX(SPLIT(A5711,"",""),1)),""."","","",1))"),54.425959)</f>
        <v>54.425959</v>
      </c>
      <c r="Q5711" s="13">
        <f>IFERROR(__xludf.DUMMYFUNCTION("VALUE(SUBSTITUTE((INDEX(SPLIT(A5711,"",""),2)),""."","","",1))"),45.807827)</f>
        <v>45.807827</v>
      </c>
      <c r="R5711" s="14" t="b">
        <f t="shared" si="1"/>
        <v>0</v>
      </c>
      <c r="S5711" s="14" t="str">
        <f t="shared" si="2"/>
        <v>54.425959,45.807827</v>
      </c>
      <c r="T5711" s="12"/>
    </row>
    <row r="5712">
      <c r="A5712" s="201" t="s">
        <v>36655</v>
      </c>
      <c r="B5712" s="143" t="s">
        <v>36656</v>
      </c>
      <c r="C5712" s="143" t="s">
        <v>36657</v>
      </c>
      <c r="D5712" s="143" t="s">
        <v>33342</v>
      </c>
      <c r="E5712" s="144" t="s">
        <v>36658</v>
      </c>
      <c r="F5712" s="142" t="s">
        <v>17780</v>
      </c>
      <c r="G5712" s="142" t="s">
        <v>33344</v>
      </c>
      <c r="H5712" s="142"/>
      <c r="I5712" s="143"/>
      <c r="J5712" s="143" t="s">
        <v>36659</v>
      </c>
      <c r="K5712" s="143" t="s">
        <v>36660</v>
      </c>
      <c r="L5712" s="145" t="s">
        <v>36661</v>
      </c>
      <c r="M5712" s="143"/>
      <c r="N5712" s="12"/>
      <c r="O5712" s="12"/>
      <c r="P5712" s="13">
        <f>IFERROR(__xludf.DUMMYFUNCTION("VALUE(SUBSTITUTE((INDEX(SPLIT(A5712,"",""),1)),""."","","",1))"),54.207764)</f>
        <v>54.207764</v>
      </c>
      <c r="Q5712" s="13">
        <f>IFERROR(__xludf.DUMMYFUNCTION("VALUE(SUBSTITUTE((INDEX(SPLIT(A5712,"",""),2)),""."","","",1))"),45.192014)</f>
        <v>45.192014</v>
      </c>
      <c r="R5712" s="14" t="b">
        <f t="shared" si="1"/>
        <v>0</v>
      </c>
      <c r="S5712" s="14" t="str">
        <f t="shared" si="2"/>
        <v>54.207764,45.192014</v>
      </c>
      <c r="T5712" s="12"/>
    </row>
    <row r="5713">
      <c r="A5713" s="202" t="s">
        <v>36662</v>
      </c>
      <c r="B5713" s="147" t="s">
        <v>36663</v>
      </c>
      <c r="C5713" s="147" t="s">
        <v>36664</v>
      </c>
      <c r="D5713" s="147" t="s">
        <v>33342</v>
      </c>
      <c r="E5713" s="148" t="s">
        <v>36665</v>
      </c>
      <c r="F5713" s="146" t="s">
        <v>17780</v>
      </c>
      <c r="G5713" s="146" t="s">
        <v>33344</v>
      </c>
      <c r="H5713" s="146"/>
      <c r="I5713" s="147"/>
      <c r="J5713" s="147" t="s">
        <v>36666</v>
      </c>
      <c r="K5713" s="147" t="s">
        <v>36667</v>
      </c>
      <c r="L5713" s="150" t="s">
        <v>36668</v>
      </c>
      <c r="M5713" s="147"/>
      <c r="N5713" s="12"/>
      <c r="O5713" s="12"/>
      <c r="P5713" s="13">
        <f>IFERROR(__xludf.DUMMYFUNCTION("VALUE(SUBSTITUTE((INDEX(SPLIT(A5713,"",""),1)),""."","","",1))"),54.188797)</f>
        <v>54.188797</v>
      </c>
      <c r="Q5713" s="13">
        <f>IFERROR(__xludf.DUMMYFUNCTION("VALUE(SUBSTITUTE((INDEX(SPLIT(A5713,"",""),2)),""."","","",1))"),45.188358)</f>
        <v>45.188358</v>
      </c>
      <c r="R5713" s="14" t="b">
        <f t="shared" si="1"/>
        <v>0</v>
      </c>
      <c r="S5713" s="14" t="str">
        <f t="shared" si="2"/>
        <v>54.188797,45.188358</v>
      </c>
      <c r="T5713" s="12"/>
    </row>
    <row r="5714">
      <c r="A5714" s="201" t="s">
        <v>36669</v>
      </c>
      <c r="B5714" s="143" t="s">
        <v>36670</v>
      </c>
      <c r="C5714" s="143" t="s">
        <v>36671</v>
      </c>
      <c r="D5714" s="143" t="s">
        <v>33342</v>
      </c>
      <c r="E5714" s="144" t="s">
        <v>36672</v>
      </c>
      <c r="F5714" s="142" t="s">
        <v>17780</v>
      </c>
      <c r="G5714" s="142" t="s">
        <v>33344</v>
      </c>
      <c r="H5714" s="142"/>
      <c r="I5714" s="143"/>
      <c r="J5714" s="143" t="s">
        <v>36673</v>
      </c>
      <c r="K5714" s="143" t="s">
        <v>36674</v>
      </c>
      <c r="L5714" s="145" t="s">
        <v>36675</v>
      </c>
      <c r="M5714" s="143"/>
      <c r="N5714" s="12"/>
      <c r="O5714" s="12"/>
      <c r="P5714" s="13">
        <f>IFERROR(__xludf.DUMMYFUNCTION("VALUE(SUBSTITUTE((INDEX(SPLIT(A5714,"",""),1)),""."","","",1))"),54.179345)</f>
        <v>54.179345</v>
      </c>
      <c r="Q5714" s="13">
        <f>IFERROR(__xludf.DUMMYFUNCTION("VALUE(SUBSTITUTE((INDEX(SPLIT(A5714,"",""),2)),""."","","",1))"),45.157707)</f>
        <v>45.157707</v>
      </c>
      <c r="R5714" s="14" t="b">
        <f t="shared" si="1"/>
        <v>0</v>
      </c>
      <c r="S5714" s="14" t="str">
        <f t="shared" si="2"/>
        <v>54.179345,45.157707</v>
      </c>
      <c r="T5714" s="12"/>
    </row>
    <row r="5715">
      <c r="A5715" s="199" t="s">
        <v>36676</v>
      </c>
      <c r="B5715" s="140" t="s">
        <v>20582</v>
      </c>
      <c r="C5715" s="140" t="s">
        <v>36677</v>
      </c>
      <c r="D5715" s="140" t="s">
        <v>33342</v>
      </c>
      <c r="E5715" s="141" t="s">
        <v>36678</v>
      </c>
      <c r="F5715" s="139" t="s">
        <v>17780</v>
      </c>
      <c r="G5715" s="139" t="s">
        <v>33344</v>
      </c>
      <c r="H5715" s="139"/>
      <c r="I5715" s="140"/>
      <c r="J5715" s="140" t="s">
        <v>36679</v>
      </c>
      <c r="K5715" s="140" t="s">
        <v>36680</v>
      </c>
      <c r="L5715" s="140"/>
      <c r="M5715" s="140"/>
      <c r="N5715" s="12"/>
      <c r="O5715" s="12"/>
      <c r="P5715" s="13">
        <f>IFERROR(__xludf.DUMMYFUNCTION("VALUE(SUBSTITUTE((INDEX(SPLIT(A5715,"",""),1)),""."","","",1))"),54.185689)</f>
        <v>54.185689</v>
      </c>
      <c r="Q5715" s="13">
        <f>IFERROR(__xludf.DUMMYFUNCTION("VALUE(SUBSTITUTE((INDEX(SPLIT(A5715,"",""),2)),""."","","",1))"),45.190451)</f>
        <v>45.190451</v>
      </c>
      <c r="R5715" s="14" t="b">
        <f t="shared" si="1"/>
        <v>0</v>
      </c>
      <c r="S5715" s="14" t="str">
        <f t="shared" si="2"/>
        <v>54.185689,45.190451</v>
      </c>
      <c r="T5715" s="12"/>
    </row>
    <row r="5716">
      <c r="A5716" s="201" t="s">
        <v>36681</v>
      </c>
      <c r="B5716" s="143" t="s">
        <v>36682</v>
      </c>
      <c r="C5716" s="143" t="s">
        <v>36683</v>
      </c>
      <c r="D5716" s="143" t="s">
        <v>33342</v>
      </c>
      <c r="E5716" s="144" t="s">
        <v>36684</v>
      </c>
      <c r="F5716" s="142" t="s">
        <v>17780</v>
      </c>
      <c r="G5716" s="142" t="s">
        <v>33344</v>
      </c>
      <c r="H5716" s="142"/>
      <c r="I5716" s="143"/>
      <c r="J5716" s="143" t="s">
        <v>36685</v>
      </c>
      <c r="K5716" s="143" t="s">
        <v>36686</v>
      </c>
      <c r="L5716" s="152" t="s">
        <v>36687</v>
      </c>
      <c r="M5716" s="143"/>
      <c r="N5716" s="12"/>
      <c r="O5716" s="12"/>
      <c r="P5716" s="13">
        <f>IFERROR(__xludf.DUMMYFUNCTION("VALUE(SUBSTITUTE((INDEX(SPLIT(A5716,"",""),1)),""."","","",1))"),54.205905)</f>
        <v>54.205905</v>
      </c>
      <c r="Q5716" s="13">
        <f>IFERROR(__xludf.DUMMYFUNCTION("VALUE(SUBSTITUTE((INDEX(SPLIT(A5716,"",""),2)),""."","","",1))"),45.241125)</f>
        <v>45.241125</v>
      </c>
      <c r="R5716" s="14" t="b">
        <f t="shared" si="1"/>
        <v>0</v>
      </c>
      <c r="S5716" s="14" t="str">
        <f t="shared" si="2"/>
        <v>54.205905,45.241125</v>
      </c>
      <c r="T5716" s="12"/>
    </row>
    <row r="5717">
      <c r="A5717" s="202" t="s">
        <v>36688</v>
      </c>
      <c r="B5717" s="147" t="s">
        <v>36689</v>
      </c>
      <c r="C5717" s="147" t="s">
        <v>36690</v>
      </c>
      <c r="D5717" s="147" t="s">
        <v>33342</v>
      </c>
      <c r="E5717" s="148" t="s">
        <v>36691</v>
      </c>
      <c r="F5717" s="146" t="s">
        <v>17780</v>
      </c>
      <c r="G5717" s="146" t="s">
        <v>33344</v>
      </c>
      <c r="H5717" s="146"/>
      <c r="I5717" s="147"/>
      <c r="J5717" s="147" t="s">
        <v>36692</v>
      </c>
      <c r="K5717" s="147" t="s">
        <v>36693</v>
      </c>
      <c r="L5717" s="149" t="s">
        <v>36694</v>
      </c>
      <c r="M5717" s="147"/>
      <c r="N5717" s="12"/>
      <c r="O5717" s="12"/>
      <c r="P5717" s="13">
        <f>IFERROR(__xludf.DUMMYFUNCTION("VALUE(SUBSTITUTE((INDEX(SPLIT(A5717,"",""),1)),""."","","",1))"),54.69096)</f>
        <v>54.69096</v>
      </c>
      <c r="Q5717" s="13">
        <f>IFERROR(__xludf.DUMMYFUNCTION("VALUE(SUBSTITUTE((INDEX(SPLIT(A5717,"",""),2)),""."","","",1))"),45.304304)</f>
        <v>45.304304</v>
      </c>
      <c r="R5717" s="14" t="b">
        <f t="shared" si="1"/>
        <v>0</v>
      </c>
      <c r="S5717" s="14" t="str">
        <f t="shared" si="2"/>
        <v>54.69096,45.304304</v>
      </c>
      <c r="T5717" s="12"/>
    </row>
    <row r="5718">
      <c r="A5718" s="201" t="s">
        <v>36695</v>
      </c>
      <c r="B5718" s="143" t="s">
        <v>36696</v>
      </c>
      <c r="C5718" s="143" t="s">
        <v>36697</v>
      </c>
      <c r="D5718" s="143" t="s">
        <v>33342</v>
      </c>
      <c r="E5718" s="144" t="s">
        <v>36698</v>
      </c>
      <c r="F5718" s="142" t="s">
        <v>17780</v>
      </c>
      <c r="G5718" s="142" t="s">
        <v>33344</v>
      </c>
      <c r="H5718" s="142"/>
      <c r="I5718" s="143"/>
      <c r="J5718" s="143" t="s">
        <v>36699</v>
      </c>
      <c r="K5718" s="143" t="s">
        <v>36700</v>
      </c>
      <c r="L5718" s="145" t="s">
        <v>36701</v>
      </c>
      <c r="M5718" s="145" t="s">
        <v>36702</v>
      </c>
      <c r="N5718" s="12"/>
      <c r="O5718" s="12"/>
      <c r="P5718" s="13">
        <f>IFERROR(__xludf.DUMMYFUNCTION("VALUE(SUBSTITUTE((INDEX(SPLIT(A5718,"",""),1)),""."","","",1))"),54.204267)</f>
        <v>54.204267</v>
      </c>
      <c r="Q5718" s="13">
        <f>IFERROR(__xludf.DUMMYFUNCTION("VALUE(SUBSTITUTE((INDEX(SPLIT(A5718,"",""),2)),""."","","",1))"),45.177866)</f>
        <v>45.177866</v>
      </c>
      <c r="R5718" s="14" t="b">
        <f t="shared" si="1"/>
        <v>0</v>
      </c>
      <c r="S5718" s="14" t="str">
        <f t="shared" si="2"/>
        <v>54.204267,45.177866</v>
      </c>
      <c r="T5718" s="12"/>
    </row>
    <row r="5719">
      <c r="A5719" s="199" t="s">
        <v>36703</v>
      </c>
      <c r="B5719" s="140" t="s">
        <v>36704</v>
      </c>
      <c r="C5719" s="140" t="s">
        <v>36705</v>
      </c>
      <c r="D5719" s="140" t="s">
        <v>33342</v>
      </c>
      <c r="E5719" s="141" t="s">
        <v>36706</v>
      </c>
      <c r="F5719" s="139" t="s">
        <v>17780</v>
      </c>
      <c r="G5719" s="139" t="s">
        <v>33344</v>
      </c>
      <c r="H5719" s="139"/>
      <c r="I5719" s="140"/>
      <c r="J5719" s="140" t="s">
        <v>36707</v>
      </c>
      <c r="K5719" s="140" t="s">
        <v>36708</v>
      </c>
      <c r="L5719" s="140"/>
      <c r="M5719" s="154" t="s">
        <v>36709</v>
      </c>
      <c r="N5719" s="12"/>
      <c r="O5719" s="12"/>
      <c r="P5719" s="13">
        <f>IFERROR(__xludf.DUMMYFUNCTION("VALUE(SUBSTITUTE((INDEX(SPLIT(A5719,"",""),1)),""."","","",1))"),54.205289)</f>
        <v>54.205289</v>
      </c>
      <c r="Q5719" s="13">
        <f>IFERROR(__xludf.DUMMYFUNCTION("VALUE(SUBSTITUTE((INDEX(SPLIT(A5719,"",""),2)),""."","","",1))"),45.178279)</f>
        <v>45.178279</v>
      </c>
      <c r="R5719" s="14" t="b">
        <f t="shared" si="1"/>
        <v>0</v>
      </c>
      <c r="S5719" s="14" t="str">
        <f t="shared" si="2"/>
        <v>54.205289,45.178279</v>
      </c>
      <c r="T5719" s="12"/>
    </row>
    <row r="5720">
      <c r="A5720" s="158" t="s">
        <v>36710</v>
      </c>
      <c r="B5720" s="137" t="s">
        <v>7829</v>
      </c>
      <c r="C5720" s="137" t="s">
        <v>36711</v>
      </c>
      <c r="D5720" s="137" t="s">
        <v>33342</v>
      </c>
      <c r="E5720" s="138" t="s">
        <v>36712</v>
      </c>
      <c r="F5720" s="136" t="s">
        <v>17780</v>
      </c>
      <c r="G5720" s="136" t="s">
        <v>33344</v>
      </c>
      <c r="H5720" s="136"/>
      <c r="I5720" s="137"/>
      <c r="J5720" s="137" t="s">
        <v>36713</v>
      </c>
      <c r="K5720" s="137" t="s">
        <v>36714</v>
      </c>
      <c r="L5720" s="137"/>
      <c r="M5720" s="153" t="s">
        <v>36715</v>
      </c>
      <c r="N5720" s="12"/>
      <c r="O5720" s="12"/>
      <c r="P5720" s="13">
        <f>IFERROR(__xludf.DUMMYFUNCTION("VALUE(SUBSTITUTE((INDEX(SPLIT(A5720,"",""),1)),""."","","",1))"),54.2403)</f>
        <v>54.2403</v>
      </c>
      <c r="Q5720" s="13">
        <f>IFERROR(__xludf.DUMMYFUNCTION("VALUE(SUBSTITUTE((INDEX(SPLIT(A5720,"",""),2)),""."","","",1))"),45.165388)</f>
        <v>45.165388</v>
      </c>
      <c r="R5720" s="14" t="b">
        <f t="shared" si="1"/>
        <v>0</v>
      </c>
      <c r="S5720" s="14" t="str">
        <f t="shared" si="2"/>
        <v>54.2403,45.165388</v>
      </c>
      <c r="T5720" s="12"/>
    </row>
    <row r="5721">
      <c r="A5721" s="202" t="s">
        <v>36716</v>
      </c>
      <c r="B5721" s="147" t="s">
        <v>36717</v>
      </c>
      <c r="C5721" s="147" t="s">
        <v>36718</v>
      </c>
      <c r="D5721" s="147" t="s">
        <v>33342</v>
      </c>
      <c r="E5721" s="148" t="s">
        <v>36719</v>
      </c>
      <c r="F5721" s="146" t="s">
        <v>17780</v>
      </c>
      <c r="G5721" s="146" t="s">
        <v>33344</v>
      </c>
      <c r="H5721" s="146"/>
      <c r="I5721" s="147"/>
      <c r="J5721" s="147" t="s">
        <v>36720</v>
      </c>
      <c r="K5721" s="147" t="s">
        <v>36721</v>
      </c>
      <c r="L5721" s="149" t="s">
        <v>36722</v>
      </c>
      <c r="M5721" s="147"/>
      <c r="N5721" s="12"/>
      <c r="O5721" s="12"/>
      <c r="P5721" s="13">
        <f>IFERROR(__xludf.DUMMYFUNCTION("VALUE(SUBSTITUTE((INDEX(SPLIT(A5721,"",""),1)),""."","","",1))"),54.200628)</f>
        <v>54.200628</v>
      </c>
      <c r="Q5721" s="13">
        <f>IFERROR(__xludf.DUMMYFUNCTION("VALUE(SUBSTITUTE((INDEX(SPLIT(A5721,"",""),2)),""."","","",1))"),45.228225)</f>
        <v>45.228225</v>
      </c>
      <c r="R5721" s="14" t="b">
        <f t="shared" si="1"/>
        <v>0</v>
      </c>
      <c r="S5721" s="14" t="str">
        <f t="shared" si="2"/>
        <v>54.200628,45.228225</v>
      </c>
      <c r="T5721" s="12"/>
    </row>
    <row r="5722">
      <c r="A5722" s="201" t="s">
        <v>18724</v>
      </c>
      <c r="B5722" s="143" t="s">
        <v>36723</v>
      </c>
      <c r="C5722" s="143" t="s">
        <v>36724</v>
      </c>
      <c r="D5722" s="143" t="s">
        <v>33342</v>
      </c>
      <c r="E5722" s="144" t="s">
        <v>36725</v>
      </c>
      <c r="F5722" s="142" t="s">
        <v>17780</v>
      </c>
      <c r="G5722" s="142" t="s">
        <v>33344</v>
      </c>
      <c r="H5722" s="142"/>
      <c r="I5722" s="143"/>
      <c r="J5722" s="143" t="s">
        <v>36726</v>
      </c>
      <c r="K5722" s="143" t="s">
        <v>36727</v>
      </c>
      <c r="L5722" s="145" t="s">
        <v>36728</v>
      </c>
      <c r="M5722" s="145" t="s">
        <v>36729</v>
      </c>
      <c r="N5722" s="12"/>
      <c r="O5722" s="12"/>
      <c r="P5722" s="13">
        <f>IFERROR(__xludf.DUMMYFUNCTION("VALUE(SUBSTITUTE((INDEX(SPLIT(A5722,"",""),1)),""."","","",1))"),54.206484)</f>
        <v>54.206484</v>
      </c>
      <c r="Q5722" s="13">
        <f>IFERROR(__xludf.DUMMYFUNCTION("VALUE(SUBSTITUTE((INDEX(SPLIT(A5722,"",""),2)),""."","","",1))"),45.18021)</f>
        <v>45.18021</v>
      </c>
      <c r="R5722" s="14" t="b">
        <f t="shared" si="1"/>
        <v>0</v>
      </c>
      <c r="S5722" s="14" t="str">
        <f t="shared" si="2"/>
        <v>54.206484,45.18021</v>
      </c>
      <c r="T5722" s="12"/>
    </row>
    <row r="5723">
      <c r="A5723" s="199" t="s">
        <v>36730</v>
      </c>
      <c r="B5723" s="140" t="s">
        <v>36731</v>
      </c>
      <c r="C5723" s="140" t="s">
        <v>36732</v>
      </c>
      <c r="D5723" s="140" t="s">
        <v>33342</v>
      </c>
      <c r="E5723" s="141" t="s">
        <v>36733</v>
      </c>
      <c r="F5723" s="139" t="s">
        <v>911</v>
      </c>
      <c r="G5723" s="139" t="s">
        <v>33344</v>
      </c>
      <c r="H5723" s="139"/>
      <c r="I5723" s="140"/>
      <c r="J5723" s="140" t="s">
        <v>36734</v>
      </c>
      <c r="K5723" s="140" t="s">
        <v>36735</v>
      </c>
      <c r="L5723" s="140"/>
      <c r="M5723" s="154" t="s">
        <v>36736</v>
      </c>
      <c r="N5723" s="12"/>
      <c r="O5723" s="12"/>
      <c r="P5723" s="13">
        <f>IFERROR(__xludf.DUMMYFUNCTION("VALUE(SUBSTITUTE((INDEX(SPLIT(A5723,"",""),1)),""."","","",1))"),62.027563)</f>
        <v>62.027563</v>
      </c>
      <c r="Q5723" s="13">
        <f>IFERROR(__xludf.DUMMYFUNCTION("VALUE(SUBSTITUTE((INDEX(SPLIT(A5723,"",""),2)),""."","","",1))"),129.724183)</f>
        <v>129.724183</v>
      </c>
      <c r="R5723" s="14" t="b">
        <f t="shared" si="1"/>
        <v>0</v>
      </c>
      <c r="S5723" s="14" t="str">
        <f t="shared" si="2"/>
        <v>62.027563,129.724183</v>
      </c>
      <c r="T5723" s="12"/>
    </row>
    <row r="5724">
      <c r="A5724" s="158" t="s">
        <v>36737</v>
      </c>
      <c r="B5724" s="137" t="s">
        <v>36738</v>
      </c>
      <c r="C5724" s="137" t="s">
        <v>36739</v>
      </c>
      <c r="D5724" s="137" t="s">
        <v>33342</v>
      </c>
      <c r="E5724" s="138" t="s">
        <v>36740</v>
      </c>
      <c r="F5724" s="136" t="s">
        <v>911</v>
      </c>
      <c r="G5724" s="136" t="s">
        <v>33344</v>
      </c>
      <c r="H5724" s="136"/>
      <c r="I5724" s="137"/>
      <c r="J5724" s="137" t="s">
        <v>36741</v>
      </c>
      <c r="K5724" s="137" t="s">
        <v>36742</v>
      </c>
      <c r="L5724" s="137"/>
      <c r="M5724" s="153" t="s">
        <v>36743</v>
      </c>
      <c r="N5724" s="12"/>
      <c r="O5724" s="12"/>
      <c r="P5724" s="13">
        <f>IFERROR(__xludf.DUMMYFUNCTION("VALUE(SUBSTITUTE((INDEX(SPLIT(A5724,"",""),1)),""."","","",1))"),62.183293)</f>
        <v>62.183293</v>
      </c>
      <c r="Q5724" s="13">
        <f>IFERROR(__xludf.DUMMYFUNCTION("VALUE(SUBSTITUTE((INDEX(SPLIT(A5724,"",""),2)),""."","","",1))"),130.721035)</f>
        <v>130.721035</v>
      </c>
      <c r="R5724" s="14" t="b">
        <f t="shared" si="1"/>
        <v>0</v>
      </c>
      <c r="S5724" s="14" t="str">
        <f t="shared" si="2"/>
        <v>62.183293,130.721035</v>
      </c>
      <c r="T5724" s="12"/>
    </row>
    <row r="5725">
      <c r="A5725" s="199" t="s">
        <v>36744</v>
      </c>
      <c r="B5725" s="140" t="s">
        <v>36745</v>
      </c>
      <c r="C5725" s="140" t="s">
        <v>36746</v>
      </c>
      <c r="D5725" s="140" t="s">
        <v>33342</v>
      </c>
      <c r="E5725" s="141" t="s">
        <v>36747</v>
      </c>
      <c r="F5725" s="139" t="s">
        <v>911</v>
      </c>
      <c r="G5725" s="139" t="s">
        <v>33344</v>
      </c>
      <c r="H5725" s="139"/>
      <c r="I5725" s="140"/>
      <c r="J5725" s="140" t="s">
        <v>36748</v>
      </c>
      <c r="K5725" s="140" t="s">
        <v>36749</v>
      </c>
      <c r="L5725" s="140"/>
      <c r="M5725" s="154" t="s">
        <v>2232</v>
      </c>
      <c r="N5725" s="12"/>
      <c r="O5725" s="12"/>
      <c r="P5725" s="13">
        <f>IFERROR(__xludf.DUMMYFUNCTION("VALUE(SUBSTITUTE((INDEX(SPLIT(A5725,"",""),1)),""."","","",1))"),66.443691)</f>
        <v>66.443691</v>
      </c>
      <c r="Q5725" s="13">
        <f>IFERROR(__xludf.DUMMYFUNCTION("VALUE(SUBSTITUTE((INDEX(SPLIT(A5725,"",""),2)),""."","","",1))"),143.223104)</f>
        <v>143.223104</v>
      </c>
      <c r="R5725" s="14" t="b">
        <f t="shared" si="1"/>
        <v>0</v>
      </c>
      <c r="S5725" s="14" t="str">
        <f t="shared" si="2"/>
        <v>66.443691,143.223104</v>
      </c>
      <c r="T5725" s="12"/>
    </row>
    <row r="5726">
      <c r="A5726" s="158" t="s">
        <v>36750</v>
      </c>
      <c r="B5726" s="137" t="s">
        <v>36751</v>
      </c>
      <c r="C5726" s="137" t="s">
        <v>36752</v>
      </c>
      <c r="D5726" s="137" t="s">
        <v>33342</v>
      </c>
      <c r="E5726" s="138" t="s">
        <v>36753</v>
      </c>
      <c r="F5726" s="136" t="s">
        <v>911</v>
      </c>
      <c r="G5726" s="136" t="s">
        <v>33344</v>
      </c>
      <c r="H5726" s="136"/>
      <c r="I5726" s="137"/>
      <c r="J5726" s="137" t="s">
        <v>36754</v>
      </c>
      <c r="K5726" s="137" t="s">
        <v>36755</v>
      </c>
      <c r="L5726" s="137"/>
      <c r="M5726" s="137"/>
      <c r="N5726" s="12"/>
      <c r="O5726" s="12"/>
      <c r="P5726" s="13">
        <f>IFERROR(__xludf.DUMMYFUNCTION("VALUE(SUBSTITUTE((INDEX(SPLIT(A5726,"",""),1)),""."","","",1))"),62.029879)</f>
        <v>62.029879</v>
      </c>
      <c r="Q5726" s="13">
        <f>IFERROR(__xludf.DUMMYFUNCTION("VALUE(SUBSTITUTE((INDEX(SPLIT(A5726,"",""),2)),""."","","",1))"),129.749381)</f>
        <v>129.749381</v>
      </c>
      <c r="R5726" s="14" t="b">
        <f t="shared" si="1"/>
        <v>0</v>
      </c>
      <c r="S5726" s="14" t="str">
        <f t="shared" si="2"/>
        <v>62.029879,129.749381</v>
      </c>
      <c r="T5726" s="12"/>
    </row>
    <row r="5727">
      <c r="A5727" s="199" t="s">
        <v>36756</v>
      </c>
      <c r="B5727" s="140" t="s">
        <v>36757</v>
      </c>
      <c r="C5727" s="140" t="s">
        <v>36758</v>
      </c>
      <c r="D5727" s="140" t="s">
        <v>33342</v>
      </c>
      <c r="E5727" s="141" t="s">
        <v>36759</v>
      </c>
      <c r="F5727" s="139" t="s">
        <v>911</v>
      </c>
      <c r="G5727" s="139" t="s">
        <v>33344</v>
      </c>
      <c r="H5727" s="139"/>
      <c r="I5727" s="140"/>
      <c r="J5727" s="140" t="s">
        <v>36760</v>
      </c>
      <c r="K5727" s="140" t="s">
        <v>36761</v>
      </c>
      <c r="L5727" s="140"/>
      <c r="M5727" s="140"/>
      <c r="N5727" s="12"/>
      <c r="O5727" s="12"/>
      <c r="P5727" s="13">
        <f>IFERROR(__xludf.DUMMYFUNCTION("VALUE(SUBSTITUTE((INDEX(SPLIT(A5727,"",""),1)),""."","","",1))"),56.657717)</f>
        <v>56.657717</v>
      </c>
      <c r="Q5727" s="13">
        <f>IFERROR(__xludf.DUMMYFUNCTION("VALUE(SUBSTITUTE((INDEX(SPLIT(A5727,"",""),2)),""."","","",1))"),124.712311)</f>
        <v>124.712311</v>
      </c>
      <c r="R5727" s="14" t="b">
        <f t="shared" si="1"/>
        <v>0</v>
      </c>
      <c r="S5727" s="14" t="str">
        <f t="shared" si="2"/>
        <v>56.657717,124.712311</v>
      </c>
      <c r="T5727" s="12"/>
    </row>
    <row r="5728">
      <c r="A5728" s="201" t="s">
        <v>36762</v>
      </c>
      <c r="B5728" s="143" t="s">
        <v>36763</v>
      </c>
      <c r="C5728" s="143" t="s">
        <v>36764</v>
      </c>
      <c r="D5728" s="143" t="s">
        <v>33342</v>
      </c>
      <c r="E5728" s="144" t="s">
        <v>36765</v>
      </c>
      <c r="F5728" s="142" t="s">
        <v>911</v>
      </c>
      <c r="G5728" s="142" t="s">
        <v>33344</v>
      </c>
      <c r="H5728" s="142"/>
      <c r="I5728" s="143"/>
      <c r="J5728" s="143" t="s">
        <v>36766</v>
      </c>
      <c r="K5728" s="143" t="s">
        <v>36767</v>
      </c>
      <c r="L5728" s="152" t="s">
        <v>36768</v>
      </c>
      <c r="M5728" s="143"/>
      <c r="N5728" s="12"/>
      <c r="O5728" s="12"/>
      <c r="P5728" s="13">
        <f>IFERROR(__xludf.DUMMYFUNCTION("VALUE(SUBSTITUTE((INDEX(SPLIT(A5728,"",""),1)),""."","","",1))"),56.67542)</f>
        <v>56.67542</v>
      </c>
      <c r="Q5728" s="13">
        <f>IFERROR(__xludf.DUMMYFUNCTION("VALUE(SUBSTITUTE((INDEX(SPLIT(A5728,"",""),2)),""."","","",1))"),124.837528)</f>
        <v>124.837528</v>
      </c>
      <c r="R5728" s="14" t="b">
        <f t="shared" si="1"/>
        <v>0</v>
      </c>
      <c r="S5728" s="14" t="str">
        <f t="shared" si="2"/>
        <v>56.67542,124.837528</v>
      </c>
      <c r="T5728" s="12"/>
    </row>
    <row r="5729">
      <c r="A5729" s="202" t="s">
        <v>36769</v>
      </c>
      <c r="B5729" s="147" t="s">
        <v>36770</v>
      </c>
      <c r="C5729" s="147" t="s">
        <v>36771</v>
      </c>
      <c r="D5729" s="147" t="s">
        <v>33342</v>
      </c>
      <c r="E5729" s="148" t="s">
        <v>36772</v>
      </c>
      <c r="F5729" s="146" t="s">
        <v>911</v>
      </c>
      <c r="G5729" s="146" t="s">
        <v>33344</v>
      </c>
      <c r="H5729" s="146"/>
      <c r="I5729" s="147"/>
      <c r="J5729" s="147" t="s">
        <v>36773</v>
      </c>
      <c r="K5729" s="147" t="s">
        <v>36774</v>
      </c>
      <c r="L5729" s="149" t="s">
        <v>36775</v>
      </c>
      <c r="M5729" s="147"/>
      <c r="N5729" s="12"/>
      <c r="O5729" s="12"/>
      <c r="P5729" s="13">
        <f>IFERROR(__xludf.DUMMYFUNCTION("VALUE(SUBSTITUTE((INDEX(SPLIT(A5729,"",""),1)),""."","","",1))"),62.016036)</f>
        <v>62.016036</v>
      </c>
      <c r="Q5729" s="13">
        <f>IFERROR(__xludf.DUMMYFUNCTION("VALUE(SUBSTITUTE((INDEX(SPLIT(A5729,"",""),2)),""."","","",1))"),129.717589)</f>
        <v>129.717589</v>
      </c>
      <c r="R5729" s="14" t="b">
        <f t="shared" si="1"/>
        <v>0</v>
      </c>
      <c r="S5729" s="14" t="str">
        <f t="shared" si="2"/>
        <v>62.016036,129.717589</v>
      </c>
      <c r="T5729" s="12"/>
    </row>
    <row r="5730">
      <c r="A5730" s="201" t="s">
        <v>36776</v>
      </c>
      <c r="B5730" s="143" t="s">
        <v>36777</v>
      </c>
      <c r="C5730" s="143" t="s">
        <v>36778</v>
      </c>
      <c r="D5730" s="143" t="s">
        <v>33342</v>
      </c>
      <c r="E5730" s="144" t="s">
        <v>36779</v>
      </c>
      <c r="F5730" s="142" t="s">
        <v>911</v>
      </c>
      <c r="G5730" s="142" t="s">
        <v>33344</v>
      </c>
      <c r="H5730" s="142"/>
      <c r="I5730" s="143"/>
      <c r="J5730" s="143" t="s">
        <v>36780</v>
      </c>
      <c r="K5730" s="143" t="s">
        <v>36781</v>
      </c>
      <c r="L5730" s="152" t="s">
        <v>36782</v>
      </c>
      <c r="M5730" s="143"/>
      <c r="N5730" s="12"/>
      <c r="O5730" s="12"/>
      <c r="P5730" s="13">
        <f>IFERROR(__xludf.DUMMYFUNCTION("VALUE(SUBSTITUTE((INDEX(SPLIT(A5730,"",""),1)),""."","","",1))"),61.987807)</f>
        <v>61.987807</v>
      </c>
      <c r="Q5730" s="13">
        <f>IFERROR(__xludf.DUMMYFUNCTION("VALUE(SUBSTITUTE((INDEX(SPLIT(A5730,"",""),2)),""."","","",1))"),129.662819)</f>
        <v>129.662819</v>
      </c>
      <c r="R5730" s="14" t="b">
        <f t="shared" si="1"/>
        <v>0</v>
      </c>
      <c r="S5730" s="14" t="str">
        <f t="shared" si="2"/>
        <v>61.987807,129.662819</v>
      </c>
      <c r="T5730" s="12"/>
    </row>
    <row r="5731">
      <c r="A5731" s="202" t="s">
        <v>36783</v>
      </c>
      <c r="B5731" s="147" t="s">
        <v>36784</v>
      </c>
      <c r="C5731" s="147" t="s">
        <v>36785</v>
      </c>
      <c r="D5731" s="147" t="s">
        <v>33342</v>
      </c>
      <c r="E5731" s="148" t="s">
        <v>36786</v>
      </c>
      <c r="F5731" s="146" t="s">
        <v>911</v>
      </c>
      <c r="G5731" s="146" t="s">
        <v>33344</v>
      </c>
      <c r="H5731" s="146"/>
      <c r="I5731" s="147"/>
      <c r="J5731" s="147" t="s">
        <v>36787</v>
      </c>
      <c r="K5731" s="147" t="s">
        <v>36788</v>
      </c>
      <c r="L5731" s="149" t="s">
        <v>36789</v>
      </c>
      <c r="M5731" s="149" t="s">
        <v>36790</v>
      </c>
      <c r="N5731" s="12"/>
      <c r="O5731" s="12"/>
      <c r="P5731" s="13">
        <f>IFERROR(__xludf.DUMMYFUNCTION("VALUE(SUBSTITUTE((INDEX(SPLIT(A5731,"",""),1)),""."","","",1))"),62.032942)</f>
        <v>62.032942</v>
      </c>
      <c r="Q5731" s="13">
        <f>IFERROR(__xludf.DUMMYFUNCTION("VALUE(SUBSTITUTE((INDEX(SPLIT(A5731,"",""),2)),""."","","",1))"),129.762802)</f>
        <v>129.762802</v>
      </c>
      <c r="R5731" s="14" t="b">
        <f t="shared" si="1"/>
        <v>0</v>
      </c>
      <c r="S5731" s="14" t="str">
        <f t="shared" si="2"/>
        <v>62.032942,129.762802</v>
      </c>
      <c r="T5731" s="12"/>
    </row>
    <row r="5732">
      <c r="A5732" s="201" t="s">
        <v>36791</v>
      </c>
      <c r="B5732" s="143" t="s">
        <v>36792</v>
      </c>
      <c r="C5732" s="143" t="s">
        <v>36793</v>
      </c>
      <c r="D5732" s="143" t="s">
        <v>33342</v>
      </c>
      <c r="E5732" s="144" t="s">
        <v>36794</v>
      </c>
      <c r="F5732" s="142" t="s">
        <v>911</v>
      </c>
      <c r="G5732" s="142" t="s">
        <v>33344</v>
      </c>
      <c r="H5732" s="142"/>
      <c r="I5732" s="143"/>
      <c r="J5732" s="143" t="s">
        <v>36795</v>
      </c>
      <c r="K5732" s="143" t="s">
        <v>36796</v>
      </c>
      <c r="L5732" s="145" t="s">
        <v>36797</v>
      </c>
      <c r="M5732" s="145" t="s">
        <v>36798</v>
      </c>
      <c r="N5732" s="12"/>
      <c r="O5732" s="12"/>
      <c r="P5732" s="13">
        <f>IFERROR(__xludf.DUMMYFUNCTION("VALUE(SUBSTITUTE((INDEX(SPLIT(A5732,"",""),1)),""."","","",1))"),62.070359)</f>
        <v>62.070359</v>
      </c>
      <c r="Q5732" s="13">
        <f>IFERROR(__xludf.DUMMYFUNCTION("VALUE(SUBSTITUTE((INDEX(SPLIT(A5732,"",""),2)),""."","","",1))"),129.743146)</f>
        <v>129.743146</v>
      </c>
      <c r="R5732" s="14" t="b">
        <f t="shared" si="1"/>
        <v>0</v>
      </c>
      <c r="S5732" s="14" t="str">
        <f t="shared" si="2"/>
        <v>62.070359,129.743146</v>
      </c>
      <c r="T5732" s="12"/>
    </row>
    <row r="5733">
      <c r="A5733" s="202" t="s">
        <v>36799</v>
      </c>
      <c r="B5733" s="147" t="s">
        <v>36800</v>
      </c>
      <c r="C5733" s="147" t="s">
        <v>36801</v>
      </c>
      <c r="D5733" s="147" t="s">
        <v>33342</v>
      </c>
      <c r="E5733" s="148" t="s">
        <v>36802</v>
      </c>
      <c r="F5733" s="146" t="s">
        <v>911</v>
      </c>
      <c r="G5733" s="146" t="s">
        <v>33344</v>
      </c>
      <c r="H5733" s="146"/>
      <c r="I5733" s="147"/>
      <c r="J5733" s="147" t="s">
        <v>36803</v>
      </c>
      <c r="K5733" s="147" t="s">
        <v>36804</v>
      </c>
      <c r="L5733" s="150" t="s">
        <v>36805</v>
      </c>
      <c r="M5733" s="147"/>
      <c r="N5733" s="12"/>
      <c r="O5733" s="12"/>
      <c r="P5733" s="13">
        <f>IFERROR(__xludf.DUMMYFUNCTION("VALUE(SUBSTITUTE((INDEX(SPLIT(A5733,"",""),1)),""."","","",1))"),62.128466)</f>
        <v>62.128466</v>
      </c>
      <c r="Q5733" s="13">
        <f>IFERROR(__xludf.DUMMYFUNCTION("VALUE(SUBSTITUTE((INDEX(SPLIT(A5733,"",""),2)),""."","","",1))"),129.751079)</f>
        <v>129.751079</v>
      </c>
      <c r="R5733" s="14" t="b">
        <f t="shared" si="1"/>
        <v>0</v>
      </c>
      <c r="S5733" s="14" t="str">
        <f t="shared" si="2"/>
        <v>62.128466,129.751079</v>
      </c>
      <c r="T5733" s="12"/>
    </row>
    <row r="5734">
      <c r="A5734" s="201" t="s">
        <v>36806</v>
      </c>
      <c r="B5734" s="143" t="s">
        <v>36807</v>
      </c>
      <c r="C5734" s="143" t="s">
        <v>36808</v>
      </c>
      <c r="D5734" s="143" t="s">
        <v>33342</v>
      </c>
      <c r="E5734" s="144" t="s">
        <v>36809</v>
      </c>
      <c r="F5734" s="142" t="s">
        <v>911</v>
      </c>
      <c r="G5734" s="142" t="s">
        <v>33344</v>
      </c>
      <c r="H5734" s="142"/>
      <c r="I5734" s="143"/>
      <c r="J5734" s="143" t="s">
        <v>36810</v>
      </c>
      <c r="K5734" s="143" t="s">
        <v>36811</v>
      </c>
      <c r="L5734" s="152" t="s">
        <v>36812</v>
      </c>
      <c r="M5734" s="143"/>
      <c r="N5734" s="12"/>
      <c r="O5734" s="12"/>
      <c r="P5734" s="13">
        <f>IFERROR(__xludf.DUMMYFUNCTION("VALUE(SUBSTITUTE((INDEX(SPLIT(A5734,"",""),1)),""."","","",1))"),62.024963)</f>
        <v>62.024963</v>
      </c>
      <c r="Q5734" s="13">
        <f>IFERROR(__xludf.DUMMYFUNCTION("VALUE(SUBSTITUTE((INDEX(SPLIT(A5734,"",""),2)),""."","","",1))"),129.733642)</f>
        <v>129.733642</v>
      </c>
      <c r="R5734" s="14" t="b">
        <f t="shared" si="1"/>
        <v>0</v>
      </c>
      <c r="S5734" s="14" t="str">
        <f t="shared" si="2"/>
        <v>62.024963,129.733642</v>
      </c>
      <c r="T5734" s="12"/>
    </row>
    <row r="5735">
      <c r="A5735" s="202" t="s">
        <v>36813</v>
      </c>
      <c r="B5735" s="147" t="s">
        <v>36814</v>
      </c>
      <c r="C5735" s="147" t="s">
        <v>36815</v>
      </c>
      <c r="D5735" s="147" t="s">
        <v>33342</v>
      </c>
      <c r="E5735" s="148" t="s">
        <v>36816</v>
      </c>
      <c r="F5735" s="146" t="s">
        <v>911</v>
      </c>
      <c r="G5735" s="146" t="s">
        <v>33344</v>
      </c>
      <c r="H5735" s="146"/>
      <c r="I5735" s="147"/>
      <c r="J5735" s="147" t="s">
        <v>36817</v>
      </c>
      <c r="K5735" s="147" t="s">
        <v>36818</v>
      </c>
      <c r="L5735" s="149" t="s">
        <v>36819</v>
      </c>
      <c r="M5735" s="147"/>
      <c r="N5735" s="12"/>
      <c r="O5735" s="12"/>
      <c r="P5735" s="13">
        <f>IFERROR(__xludf.DUMMYFUNCTION("VALUE(SUBSTITUTE((INDEX(SPLIT(A5735,"",""),1)),""."","","",1))"),61.997621)</f>
        <v>61.997621</v>
      </c>
      <c r="Q5735" s="13">
        <f>IFERROR(__xludf.DUMMYFUNCTION("VALUE(SUBSTITUTE((INDEX(SPLIT(A5735,"",""),2)),""."","","",1))"),129.676474)</f>
        <v>129.676474</v>
      </c>
      <c r="R5735" s="14" t="b">
        <f t="shared" si="1"/>
        <v>0</v>
      </c>
      <c r="S5735" s="14" t="str">
        <f t="shared" si="2"/>
        <v>61.997621,129.676474</v>
      </c>
      <c r="T5735" s="12"/>
    </row>
    <row r="5736">
      <c r="A5736" s="158" t="s">
        <v>36820</v>
      </c>
      <c r="B5736" s="137" t="s">
        <v>36821</v>
      </c>
      <c r="C5736" s="137" t="s">
        <v>36822</v>
      </c>
      <c r="D5736" s="137" t="s">
        <v>33342</v>
      </c>
      <c r="E5736" s="138" t="s">
        <v>36823</v>
      </c>
      <c r="F5736" s="136" t="s">
        <v>911</v>
      </c>
      <c r="G5736" s="136" t="s">
        <v>33344</v>
      </c>
      <c r="H5736" s="136"/>
      <c r="I5736" s="137"/>
      <c r="J5736" s="137" t="s">
        <v>36824</v>
      </c>
      <c r="K5736" s="137" t="s">
        <v>36825</v>
      </c>
      <c r="L5736" s="137"/>
      <c r="M5736" s="137"/>
      <c r="N5736" s="12"/>
      <c r="O5736" s="12"/>
      <c r="P5736" s="13">
        <f>IFERROR(__xludf.DUMMYFUNCTION("VALUE(SUBSTITUTE((INDEX(SPLIT(A5736,"",""),1)),""."","","",1))"),62.067948)</f>
        <v>62.067948</v>
      </c>
      <c r="Q5736" s="13">
        <f>IFERROR(__xludf.DUMMYFUNCTION("VALUE(SUBSTITUTE((INDEX(SPLIT(A5736,"",""),2)),""."","","",1))"),129.772234)</f>
        <v>129.772234</v>
      </c>
      <c r="R5736" s="14" t="b">
        <f t="shared" si="1"/>
        <v>0</v>
      </c>
      <c r="S5736" s="14" t="str">
        <f t="shared" si="2"/>
        <v>62.067948,129.772234</v>
      </c>
      <c r="T5736" s="12"/>
    </row>
    <row r="5737">
      <c r="A5737" s="202" t="s">
        <v>36826</v>
      </c>
      <c r="B5737" s="147" t="s">
        <v>36827</v>
      </c>
      <c r="C5737" s="147" t="s">
        <v>36828</v>
      </c>
      <c r="D5737" s="147" t="s">
        <v>33342</v>
      </c>
      <c r="E5737" s="148" t="s">
        <v>36829</v>
      </c>
      <c r="F5737" s="146" t="s">
        <v>911</v>
      </c>
      <c r="G5737" s="146" t="s">
        <v>33344</v>
      </c>
      <c r="H5737" s="146"/>
      <c r="I5737" s="147"/>
      <c r="J5737" s="147" t="s">
        <v>36830</v>
      </c>
      <c r="K5737" s="147" t="s">
        <v>36831</v>
      </c>
      <c r="L5737" s="150" t="s">
        <v>36832</v>
      </c>
      <c r="M5737" s="147"/>
      <c r="N5737" s="12"/>
      <c r="O5737" s="12"/>
      <c r="P5737" s="13">
        <f>IFERROR(__xludf.DUMMYFUNCTION("VALUE(SUBSTITUTE((INDEX(SPLIT(A5737,"",""),1)),""."","","",1))"),62.074989)</f>
        <v>62.074989</v>
      </c>
      <c r="Q5737" s="13">
        <f>IFERROR(__xludf.DUMMYFUNCTION("VALUE(SUBSTITUTE((INDEX(SPLIT(A5737,"",""),2)),""."","","",1))"),129.790569)</f>
        <v>129.790569</v>
      </c>
      <c r="R5737" s="14" t="b">
        <f t="shared" si="1"/>
        <v>0</v>
      </c>
      <c r="S5737" s="14" t="str">
        <f t="shared" si="2"/>
        <v>62.074989,129.790569</v>
      </c>
      <c r="T5737" s="12"/>
    </row>
    <row r="5738">
      <c r="A5738" s="158" t="s">
        <v>36833</v>
      </c>
      <c r="B5738" s="137" t="s">
        <v>36834</v>
      </c>
      <c r="C5738" s="137" t="s">
        <v>36835</v>
      </c>
      <c r="D5738" s="137" t="s">
        <v>33342</v>
      </c>
      <c r="E5738" s="138" t="s">
        <v>36836</v>
      </c>
      <c r="F5738" s="136" t="s">
        <v>911</v>
      </c>
      <c r="G5738" s="136" t="s">
        <v>33344</v>
      </c>
      <c r="H5738" s="136"/>
      <c r="I5738" s="137"/>
      <c r="J5738" s="137" t="s">
        <v>36837</v>
      </c>
      <c r="K5738" s="137" t="s">
        <v>36838</v>
      </c>
      <c r="L5738" s="137"/>
      <c r="M5738" s="137"/>
      <c r="N5738" s="12"/>
      <c r="O5738" s="12"/>
      <c r="P5738" s="13">
        <f>IFERROR(__xludf.DUMMYFUNCTION("VALUE(SUBSTITUTE((INDEX(SPLIT(A5738,"",""),1)),""."","","",1))"),62.019088)</f>
        <v>62.019088</v>
      </c>
      <c r="Q5738" s="13">
        <f>IFERROR(__xludf.DUMMYFUNCTION("VALUE(SUBSTITUTE((INDEX(SPLIT(A5738,"",""),2)),""."","","",1))"),129.719718)</f>
        <v>129.719718</v>
      </c>
      <c r="R5738" s="14" t="b">
        <f t="shared" si="1"/>
        <v>0</v>
      </c>
      <c r="S5738" s="14" t="str">
        <f t="shared" si="2"/>
        <v>62.019088,129.719718</v>
      </c>
      <c r="T5738" s="12"/>
    </row>
    <row r="5739">
      <c r="A5739" s="199" t="s">
        <v>36839</v>
      </c>
      <c r="B5739" s="140" t="s">
        <v>36840</v>
      </c>
      <c r="C5739" s="140" t="s">
        <v>36841</v>
      </c>
      <c r="D5739" s="140" t="s">
        <v>33342</v>
      </c>
      <c r="E5739" s="141" t="s">
        <v>36842</v>
      </c>
      <c r="F5739" s="139" t="s">
        <v>911</v>
      </c>
      <c r="G5739" s="139" t="s">
        <v>33344</v>
      </c>
      <c r="H5739" s="139"/>
      <c r="I5739" s="140"/>
      <c r="J5739" s="140" t="s">
        <v>36843</v>
      </c>
      <c r="K5739" s="140" t="s">
        <v>36844</v>
      </c>
      <c r="L5739" s="140"/>
      <c r="M5739" s="140"/>
      <c r="N5739" s="12"/>
      <c r="O5739" s="12"/>
      <c r="P5739" s="13">
        <f>IFERROR(__xludf.DUMMYFUNCTION("VALUE(SUBSTITUTE((INDEX(SPLIT(A5739,"",""),1)),""."","","",1))"),62.032558)</f>
        <v>62.032558</v>
      </c>
      <c r="Q5739" s="13">
        <f>IFERROR(__xludf.DUMMYFUNCTION("VALUE(SUBSTITUTE((INDEX(SPLIT(A5739,"",""),2)),""."","","",1))"),129.658696)</f>
        <v>129.658696</v>
      </c>
      <c r="R5739" s="14" t="b">
        <f t="shared" si="1"/>
        <v>0</v>
      </c>
      <c r="S5739" s="14" t="str">
        <f t="shared" si="2"/>
        <v>62.032558,129.658696</v>
      </c>
      <c r="T5739" s="12"/>
    </row>
    <row r="5740">
      <c r="A5740" s="201" t="s">
        <v>36845</v>
      </c>
      <c r="B5740" s="143" t="s">
        <v>36846</v>
      </c>
      <c r="C5740" s="143" t="s">
        <v>36847</v>
      </c>
      <c r="D5740" s="143" t="s">
        <v>33342</v>
      </c>
      <c r="E5740" s="144" t="s">
        <v>36848</v>
      </c>
      <c r="F5740" s="142" t="s">
        <v>911</v>
      </c>
      <c r="G5740" s="142" t="s">
        <v>33344</v>
      </c>
      <c r="H5740" s="142"/>
      <c r="I5740" s="143"/>
      <c r="J5740" s="143" t="s">
        <v>36849</v>
      </c>
      <c r="K5740" s="143" t="s">
        <v>36850</v>
      </c>
      <c r="L5740" s="152" t="s">
        <v>36851</v>
      </c>
      <c r="M5740" s="143"/>
      <c r="N5740" s="12"/>
      <c r="O5740" s="12"/>
      <c r="P5740" s="13">
        <f>IFERROR(__xludf.DUMMYFUNCTION("VALUE(SUBSTITUTE((INDEX(SPLIT(A5740,"",""),1)),""."","","",1))"),62.025731)</f>
        <v>62.025731</v>
      </c>
      <c r="Q5740" s="13">
        <f>IFERROR(__xludf.DUMMYFUNCTION("VALUE(SUBSTITUTE((INDEX(SPLIT(A5740,"",""),2)),""."","","",1))"),129.69444)</f>
        <v>129.69444</v>
      </c>
      <c r="R5740" s="14" t="b">
        <f t="shared" si="1"/>
        <v>0</v>
      </c>
      <c r="S5740" s="14" t="str">
        <f t="shared" si="2"/>
        <v>62.025731,129.69444</v>
      </c>
      <c r="T5740" s="12"/>
    </row>
    <row r="5741">
      <c r="A5741" s="199" t="s">
        <v>36852</v>
      </c>
      <c r="B5741" s="140" t="s">
        <v>36853</v>
      </c>
      <c r="C5741" s="140" t="s">
        <v>36854</v>
      </c>
      <c r="D5741" s="140" t="s">
        <v>33342</v>
      </c>
      <c r="E5741" s="141" t="s">
        <v>36855</v>
      </c>
      <c r="F5741" s="139" t="s">
        <v>911</v>
      </c>
      <c r="G5741" s="139" t="s">
        <v>33344</v>
      </c>
      <c r="H5741" s="139"/>
      <c r="I5741" s="140"/>
      <c r="J5741" s="140" t="s">
        <v>36856</v>
      </c>
      <c r="K5741" s="140" t="s">
        <v>36857</v>
      </c>
      <c r="L5741" s="140"/>
      <c r="M5741" s="154" t="s">
        <v>36858</v>
      </c>
      <c r="N5741" s="12"/>
      <c r="O5741" s="12"/>
      <c r="P5741" s="13">
        <f>IFERROR(__xludf.DUMMYFUNCTION("VALUE(SUBSTITUTE((INDEX(SPLIT(A5741,"",""),1)),""."","","",1))"),62.161165)</f>
        <v>62.161165</v>
      </c>
      <c r="Q5741" s="13">
        <f>IFERROR(__xludf.DUMMYFUNCTION("VALUE(SUBSTITUTE((INDEX(SPLIT(A5741,"",""),2)),""."","","",1))"),129.823555)</f>
        <v>129.823555</v>
      </c>
      <c r="R5741" s="14" t="b">
        <f t="shared" si="1"/>
        <v>0</v>
      </c>
      <c r="S5741" s="14" t="str">
        <f t="shared" si="2"/>
        <v>62.161165,129.823555</v>
      </c>
      <c r="T5741" s="12"/>
    </row>
    <row r="5742">
      <c r="A5742" s="158" t="s">
        <v>36859</v>
      </c>
      <c r="B5742" s="137" t="s">
        <v>36860</v>
      </c>
      <c r="C5742" s="137" t="s">
        <v>36861</v>
      </c>
      <c r="D5742" s="137" t="s">
        <v>33342</v>
      </c>
      <c r="E5742" s="138" t="s">
        <v>36862</v>
      </c>
      <c r="F5742" s="136" t="s">
        <v>16936</v>
      </c>
      <c r="G5742" s="136" t="s">
        <v>33344</v>
      </c>
      <c r="H5742" s="136"/>
      <c r="I5742" s="137"/>
      <c r="J5742" s="137" t="s">
        <v>36863</v>
      </c>
      <c r="K5742" s="137" t="s">
        <v>36864</v>
      </c>
      <c r="L5742" s="137"/>
      <c r="M5742" s="153" t="s">
        <v>36865</v>
      </c>
      <c r="N5742" s="12"/>
      <c r="O5742" s="12"/>
      <c r="P5742" s="13">
        <f>IFERROR(__xludf.DUMMYFUNCTION("VALUE(SUBSTITUTE((INDEX(SPLIT(A5742,"",""),1)),""."","","",1))"),43.008137)</f>
        <v>43.008137</v>
      </c>
      <c r="Q5742" s="13">
        <f>IFERROR(__xludf.DUMMYFUNCTION("VALUE(SUBSTITUTE((INDEX(SPLIT(A5742,"",""),2)),""."","","",1))"),44.686065)</f>
        <v>44.686065</v>
      </c>
      <c r="R5742" s="14" t="b">
        <f t="shared" si="1"/>
        <v>0</v>
      </c>
      <c r="S5742" s="14" t="str">
        <f t="shared" si="2"/>
        <v>43.008137,44.686065</v>
      </c>
      <c r="T5742" s="12"/>
    </row>
    <row r="5743">
      <c r="A5743" s="202" t="s">
        <v>18109</v>
      </c>
      <c r="B5743" s="147" t="s">
        <v>36866</v>
      </c>
      <c r="C5743" s="147" t="s">
        <v>36867</v>
      </c>
      <c r="D5743" s="147" t="s">
        <v>33342</v>
      </c>
      <c r="E5743" s="148" t="s">
        <v>36868</v>
      </c>
      <c r="F5743" s="146" t="s">
        <v>16936</v>
      </c>
      <c r="G5743" s="146" t="s">
        <v>33344</v>
      </c>
      <c r="H5743" s="146"/>
      <c r="I5743" s="147"/>
      <c r="J5743" s="147" t="s">
        <v>36869</v>
      </c>
      <c r="K5743" s="147" t="s">
        <v>36870</v>
      </c>
      <c r="L5743" s="150" t="s">
        <v>36871</v>
      </c>
      <c r="M5743" s="147"/>
      <c r="N5743" s="12"/>
      <c r="O5743" s="12"/>
      <c r="P5743" s="13">
        <f>IFERROR(__xludf.DUMMYFUNCTION("VALUE(SUBSTITUTE((INDEX(SPLIT(A5743,"",""),1)),""."","","",1))"),43.063411)</f>
        <v>43.063411</v>
      </c>
      <c r="Q5743" s="13">
        <f>IFERROR(__xludf.DUMMYFUNCTION("VALUE(SUBSTITUTE((INDEX(SPLIT(A5743,"",""),2)),""."","","",1))"),44.689308)</f>
        <v>44.689308</v>
      </c>
      <c r="R5743" s="14" t="b">
        <f t="shared" si="1"/>
        <v>0</v>
      </c>
      <c r="S5743" s="14" t="str">
        <f t="shared" si="2"/>
        <v>43.063411,44.689308</v>
      </c>
      <c r="T5743" s="12"/>
    </row>
    <row r="5744">
      <c r="A5744" s="158" t="s">
        <v>36872</v>
      </c>
      <c r="B5744" s="137" t="s">
        <v>348</v>
      </c>
      <c r="C5744" s="137" t="s">
        <v>36873</v>
      </c>
      <c r="D5744" s="137" t="s">
        <v>33342</v>
      </c>
      <c r="E5744" s="138" t="s">
        <v>36874</v>
      </c>
      <c r="F5744" s="136" t="s">
        <v>16936</v>
      </c>
      <c r="G5744" s="136" t="s">
        <v>33344</v>
      </c>
      <c r="H5744" s="136"/>
      <c r="I5744" s="137"/>
      <c r="J5744" s="137" t="s">
        <v>36875</v>
      </c>
      <c r="K5744" s="137" t="s">
        <v>36876</v>
      </c>
      <c r="L5744" s="137"/>
      <c r="M5744" s="137"/>
      <c r="N5744" s="12"/>
      <c r="O5744" s="12"/>
      <c r="P5744" s="13">
        <f>IFERROR(__xludf.DUMMYFUNCTION("VALUE(SUBSTITUTE((INDEX(SPLIT(A5744,"",""),1)),""."","","",1))"),43.062996)</f>
        <v>43.062996</v>
      </c>
      <c r="Q5744" s="13">
        <f>IFERROR(__xludf.DUMMYFUNCTION("VALUE(SUBSTITUTE((INDEX(SPLIT(A5744,"",""),2)),""."","","",1))"),44.635553)</f>
        <v>44.635553</v>
      </c>
      <c r="R5744" s="14" t="b">
        <f t="shared" si="1"/>
        <v>0</v>
      </c>
      <c r="S5744" s="14" t="str">
        <f t="shared" si="2"/>
        <v>43.062996,44.635553</v>
      </c>
      <c r="T5744" s="12"/>
    </row>
    <row r="5745">
      <c r="A5745" s="202" t="s">
        <v>36877</v>
      </c>
      <c r="B5745" s="147" t="s">
        <v>36878</v>
      </c>
      <c r="C5745" s="147" t="s">
        <v>36879</v>
      </c>
      <c r="D5745" s="147" t="s">
        <v>33342</v>
      </c>
      <c r="E5745" s="148" t="s">
        <v>36880</v>
      </c>
      <c r="F5745" s="146" t="s">
        <v>16936</v>
      </c>
      <c r="G5745" s="146" t="s">
        <v>33344</v>
      </c>
      <c r="H5745" s="146"/>
      <c r="I5745" s="147"/>
      <c r="J5745" s="147" t="s">
        <v>36881</v>
      </c>
      <c r="K5745" s="147" t="s">
        <v>36882</v>
      </c>
      <c r="L5745" s="150" t="s">
        <v>36883</v>
      </c>
      <c r="M5745" s="147"/>
      <c r="N5745" s="12"/>
      <c r="O5745" s="12"/>
      <c r="P5745" s="13">
        <f>IFERROR(__xludf.DUMMYFUNCTION("VALUE(SUBSTITUTE((INDEX(SPLIT(A5745,"",""),1)),""."","","",1))"),43.054835)</f>
        <v>43.054835</v>
      </c>
      <c r="Q5745" s="13">
        <f>IFERROR(__xludf.DUMMYFUNCTION("VALUE(SUBSTITUTE((INDEX(SPLIT(A5745,"",""),2)),""."","","",1))"),44.221977)</f>
        <v>44.221977</v>
      </c>
      <c r="R5745" s="14" t="b">
        <f t="shared" si="1"/>
        <v>0</v>
      </c>
      <c r="S5745" s="14" t="str">
        <f t="shared" si="2"/>
        <v>43.054835,44.221977</v>
      </c>
      <c r="T5745" s="12"/>
    </row>
    <row r="5746">
      <c r="A5746" s="201" t="s">
        <v>36884</v>
      </c>
      <c r="B5746" s="143" t="s">
        <v>36885</v>
      </c>
      <c r="C5746" s="143" t="s">
        <v>36886</v>
      </c>
      <c r="D5746" s="143" t="s">
        <v>33342</v>
      </c>
      <c r="E5746" s="144" t="s">
        <v>36887</v>
      </c>
      <c r="F5746" s="142" t="s">
        <v>16936</v>
      </c>
      <c r="G5746" s="142" t="s">
        <v>33344</v>
      </c>
      <c r="H5746" s="142"/>
      <c r="I5746" s="143"/>
      <c r="J5746" s="143" t="s">
        <v>36888</v>
      </c>
      <c r="K5746" s="143" t="s">
        <v>33368</v>
      </c>
      <c r="L5746" s="145" t="s">
        <v>36889</v>
      </c>
      <c r="M5746" s="145" t="s">
        <v>36890</v>
      </c>
      <c r="N5746" s="12"/>
      <c r="O5746" s="12"/>
      <c r="P5746" s="13">
        <f>IFERROR(__xludf.DUMMYFUNCTION("VALUE(SUBSTITUTE((INDEX(SPLIT(A5746,"",""),1)),""."","","",1))"),43.044175)</f>
        <v>43.044175</v>
      </c>
      <c r="Q5746" s="13">
        <f>IFERROR(__xludf.DUMMYFUNCTION("VALUE(SUBSTITUTE((INDEX(SPLIT(A5746,"",""),2)),""."","","",1))"),44.751669)</f>
        <v>44.751669</v>
      </c>
      <c r="R5746" s="14" t="b">
        <f t="shared" si="1"/>
        <v>0</v>
      </c>
      <c r="S5746" s="14" t="str">
        <f t="shared" si="2"/>
        <v>43.044175,44.751669</v>
      </c>
      <c r="T5746" s="12"/>
    </row>
    <row r="5747">
      <c r="A5747" s="199" t="s">
        <v>36891</v>
      </c>
      <c r="B5747" s="140" t="s">
        <v>36892</v>
      </c>
      <c r="C5747" s="140" t="s">
        <v>36893</v>
      </c>
      <c r="D5747" s="140" t="s">
        <v>33342</v>
      </c>
      <c r="E5747" s="141" t="s">
        <v>36894</v>
      </c>
      <c r="F5747" s="139" t="s">
        <v>16936</v>
      </c>
      <c r="G5747" s="139" t="s">
        <v>33344</v>
      </c>
      <c r="H5747" s="139"/>
      <c r="I5747" s="140"/>
      <c r="J5747" s="140" t="s">
        <v>36895</v>
      </c>
      <c r="K5747" s="140" t="s">
        <v>36896</v>
      </c>
      <c r="L5747" s="140"/>
      <c r="M5747" s="140"/>
      <c r="N5747" s="12"/>
      <c r="O5747" s="12"/>
      <c r="P5747" s="13">
        <f>IFERROR(__xludf.DUMMYFUNCTION("VALUE(SUBSTITUTE((INDEX(SPLIT(A5747,"",""),1)),""."","","",1))"),43.053715)</f>
        <v>43.053715</v>
      </c>
      <c r="Q5747" s="13">
        <f>IFERROR(__xludf.DUMMYFUNCTION("VALUE(SUBSTITUTE((INDEX(SPLIT(A5747,"",""),2)),""."","","",1))"),44.700402)</f>
        <v>44.700402</v>
      </c>
      <c r="R5747" s="14" t="b">
        <f t="shared" si="1"/>
        <v>0</v>
      </c>
      <c r="S5747" s="14" t="str">
        <f t="shared" si="2"/>
        <v>43.053715,44.700402</v>
      </c>
      <c r="T5747" s="12"/>
    </row>
    <row r="5748">
      <c r="A5748" s="158" t="s">
        <v>36897</v>
      </c>
      <c r="B5748" s="137" t="s">
        <v>32197</v>
      </c>
      <c r="C5748" s="137" t="s">
        <v>36898</v>
      </c>
      <c r="D5748" s="137" t="s">
        <v>33342</v>
      </c>
      <c r="E5748" s="138" t="s">
        <v>36899</v>
      </c>
      <c r="F5748" s="136" t="s">
        <v>16936</v>
      </c>
      <c r="G5748" s="136" t="s">
        <v>33344</v>
      </c>
      <c r="H5748" s="136"/>
      <c r="I5748" s="137"/>
      <c r="J5748" s="137" t="s">
        <v>36900</v>
      </c>
      <c r="K5748" s="137" t="s">
        <v>36901</v>
      </c>
      <c r="L5748" s="137"/>
      <c r="M5748" s="153" t="s">
        <v>36902</v>
      </c>
      <c r="N5748" s="12"/>
      <c r="O5748" s="12"/>
      <c r="P5748" s="13">
        <f>IFERROR(__xludf.DUMMYFUNCTION("VALUE(SUBSTITUTE((INDEX(SPLIT(A5748,"",""),1)),""."","","",1))"),43.09939)</f>
        <v>43.09939</v>
      </c>
      <c r="Q5748" s="13">
        <f>IFERROR(__xludf.DUMMYFUNCTION("VALUE(SUBSTITUTE((INDEX(SPLIT(A5748,"",""),2)),""."","","",1))"),44.520874)</f>
        <v>44.520874</v>
      </c>
      <c r="R5748" s="14" t="b">
        <f t="shared" si="1"/>
        <v>0</v>
      </c>
      <c r="S5748" s="14" t="str">
        <f t="shared" si="2"/>
        <v>43.09939,44.520874</v>
      </c>
      <c r="T5748" s="12"/>
    </row>
    <row r="5749">
      <c r="A5749" s="199" t="s">
        <v>36903</v>
      </c>
      <c r="B5749" s="140" t="s">
        <v>36904</v>
      </c>
      <c r="C5749" s="140" t="s">
        <v>36905</v>
      </c>
      <c r="D5749" s="140" t="s">
        <v>33342</v>
      </c>
      <c r="E5749" s="141" t="s">
        <v>36906</v>
      </c>
      <c r="F5749" s="139" t="s">
        <v>16936</v>
      </c>
      <c r="G5749" s="139" t="s">
        <v>33344</v>
      </c>
      <c r="H5749" s="139"/>
      <c r="I5749" s="140"/>
      <c r="J5749" s="140" t="s">
        <v>36907</v>
      </c>
      <c r="K5749" s="140" t="s">
        <v>36908</v>
      </c>
      <c r="L5749" s="140"/>
      <c r="M5749" s="140"/>
      <c r="N5749" s="12"/>
      <c r="O5749" s="12"/>
      <c r="P5749" s="13">
        <f>IFERROR(__xludf.DUMMYFUNCTION("VALUE(SUBSTITUTE((INDEX(SPLIT(A5749,"",""),1)),""."","","",1))"),43.023918)</f>
        <v>43.023918</v>
      </c>
      <c r="Q5749" s="13">
        <f>IFERROR(__xludf.DUMMYFUNCTION("VALUE(SUBSTITUTE((INDEX(SPLIT(A5749,"",""),2)),""."","","",1))"),44.681942)</f>
        <v>44.681942</v>
      </c>
      <c r="R5749" s="14" t="b">
        <f t="shared" si="1"/>
        <v>0</v>
      </c>
      <c r="S5749" s="14" t="str">
        <f t="shared" si="2"/>
        <v>43.023918,44.681942</v>
      </c>
      <c r="T5749" s="12"/>
    </row>
    <row r="5750">
      <c r="A5750" s="201" t="s">
        <v>36909</v>
      </c>
      <c r="B5750" s="143" t="s">
        <v>25809</v>
      </c>
      <c r="C5750" s="143" t="s">
        <v>36910</v>
      </c>
      <c r="D5750" s="143" t="s">
        <v>33342</v>
      </c>
      <c r="E5750" s="144" t="s">
        <v>36911</v>
      </c>
      <c r="F5750" s="142" t="s">
        <v>16936</v>
      </c>
      <c r="G5750" s="142" t="s">
        <v>33344</v>
      </c>
      <c r="H5750" s="142"/>
      <c r="I5750" s="143"/>
      <c r="J5750" s="143" t="s">
        <v>36912</v>
      </c>
      <c r="K5750" s="143" t="s">
        <v>36913</v>
      </c>
      <c r="L5750" s="152" t="s">
        <v>36914</v>
      </c>
      <c r="M5750" s="143"/>
      <c r="N5750" s="12"/>
      <c r="O5750" s="12"/>
      <c r="P5750" s="13">
        <f>IFERROR(__xludf.DUMMYFUNCTION("VALUE(SUBSTITUTE((INDEX(SPLIT(A5750,"",""),1)),""."","","",1))"),43.743659)</f>
        <v>43.743659</v>
      </c>
      <c r="Q5750" s="13">
        <f>IFERROR(__xludf.DUMMYFUNCTION("VALUE(SUBSTITUTE((INDEX(SPLIT(A5750,"",""),2)),""."","","",1))"),44.653726)</f>
        <v>44.653726</v>
      </c>
      <c r="R5750" s="14" t="b">
        <f t="shared" si="1"/>
        <v>0</v>
      </c>
      <c r="S5750" s="14" t="str">
        <f t="shared" si="2"/>
        <v>43.743659,44.653726</v>
      </c>
      <c r="T5750" s="12"/>
    </row>
    <row r="5751">
      <c r="A5751" s="199" t="s">
        <v>36915</v>
      </c>
      <c r="B5751" s="140" t="s">
        <v>5083</v>
      </c>
      <c r="C5751" s="140" t="s">
        <v>36916</v>
      </c>
      <c r="D5751" s="140" t="s">
        <v>33342</v>
      </c>
      <c r="E5751" s="141" t="s">
        <v>36917</v>
      </c>
      <c r="F5751" s="139" t="s">
        <v>16936</v>
      </c>
      <c r="G5751" s="139" t="s">
        <v>33344</v>
      </c>
      <c r="H5751" s="139"/>
      <c r="I5751" s="140"/>
      <c r="J5751" s="140" t="s">
        <v>36918</v>
      </c>
      <c r="K5751" s="140" t="s">
        <v>36919</v>
      </c>
      <c r="L5751" s="140"/>
      <c r="M5751" s="140"/>
      <c r="N5751" s="12"/>
      <c r="O5751" s="12"/>
      <c r="P5751" s="13">
        <f>IFERROR(__xludf.DUMMYFUNCTION("VALUE(SUBSTITUTE((INDEX(SPLIT(A5751,"",""),1)),""."","","",1))"),43.030317)</f>
        <v>43.030317</v>
      </c>
      <c r="Q5751" s="13">
        <f>IFERROR(__xludf.DUMMYFUNCTION("VALUE(SUBSTITUTE((INDEX(SPLIT(A5751,"",""),2)),""."","","",1))"),44.660616)</f>
        <v>44.660616</v>
      </c>
      <c r="R5751" s="14" t="b">
        <f t="shared" si="1"/>
        <v>0</v>
      </c>
      <c r="S5751" s="14" t="str">
        <f t="shared" si="2"/>
        <v>43.030317,44.660616</v>
      </c>
      <c r="T5751" s="12"/>
    </row>
    <row r="5752">
      <c r="A5752" s="158" t="s">
        <v>36920</v>
      </c>
      <c r="B5752" s="137" t="s">
        <v>9854</v>
      </c>
      <c r="C5752" s="137" t="s">
        <v>36921</v>
      </c>
      <c r="D5752" s="137" t="s">
        <v>33342</v>
      </c>
      <c r="E5752" s="138" t="s">
        <v>36922</v>
      </c>
      <c r="F5752" s="136" t="s">
        <v>16936</v>
      </c>
      <c r="G5752" s="136" t="s">
        <v>33344</v>
      </c>
      <c r="H5752" s="136"/>
      <c r="I5752" s="137"/>
      <c r="J5752" s="137" t="s">
        <v>36923</v>
      </c>
      <c r="K5752" s="137" t="s">
        <v>36924</v>
      </c>
      <c r="L5752" s="137"/>
      <c r="M5752" s="137"/>
      <c r="N5752" s="12"/>
      <c r="O5752" s="12"/>
      <c r="P5752" s="13">
        <f>IFERROR(__xludf.DUMMYFUNCTION("VALUE(SUBSTITUTE((INDEX(SPLIT(A5752,"",""),1)),""."","","",1))"),43.050783)</f>
        <v>43.050783</v>
      </c>
      <c r="Q5752" s="13">
        <f>IFERROR(__xludf.DUMMYFUNCTION("VALUE(SUBSTITUTE((INDEX(SPLIT(A5752,"",""),2)),""."","","",1))"),44.69874)</f>
        <v>44.69874</v>
      </c>
      <c r="R5752" s="14" t="b">
        <f t="shared" si="1"/>
        <v>0</v>
      </c>
      <c r="S5752" s="14" t="str">
        <f t="shared" si="2"/>
        <v>43.050783,44.69874</v>
      </c>
      <c r="T5752" s="12"/>
    </row>
    <row r="5753">
      <c r="A5753" s="202" t="s">
        <v>36925</v>
      </c>
      <c r="B5753" s="147" t="s">
        <v>36926</v>
      </c>
      <c r="C5753" s="147" t="s">
        <v>36927</v>
      </c>
      <c r="D5753" s="147" t="s">
        <v>33342</v>
      </c>
      <c r="E5753" s="148" t="s">
        <v>36928</v>
      </c>
      <c r="F5753" s="146" t="s">
        <v>16936</v>
      </c>
      <c r="G5753" s="146" t="s">
        <v>33344</v>
      </c>
      <c r="H5753" s="146"/>
      <c r="I5753" s="147"/>
      <c r="J5753" s="147" t="s">
        <v>36929</v>
      </c>
      <c r="K5753" s="147" t="s">
        <v>36930</v>
      </c>
      <c r="L5753" s="150" t="s">
        <v>36931</v>
      </c>
      <c r="M5753" s="147"/>
      <c r="N5753" s="12"/>
      <c r="O5753" s="12"/>
      <c r="P5753" s="13">
        <f>IFERROR(__xludf.DUMMYFUNCTION("VALUE(SUBSTITUTE((INDEX(SPLIT(A5753,"",""),1)),""."","","",1))"),42.792699)</f>
        <v>42.792699</v>
      </c>
      <c r="Q5753" s="13">
        <f>IFERROR(__xludf.DUMMYFUNCTION("VALUE(SUBSTITUTE((INDEX(SPLIT(A5753,"",""),2)),""."","","",1))"),44.006894)</f>
        <v>44.006894</v>
      </c>
      <c r="R5753" s="14" t="b">
        <f t="shared" si="1"/>
        <v>0</v>
      </c>
      <c r="S5753" s="14" t="str">
        <f t="shared" si="2"/>
        <v>42.792699,44.006894</v>
      </c>
      <c r="T5753" s="12"/>
    </row>
    <row r="5754">
      <c r="A5754" s="201" t="s">
        <v>36932</v>
      </c>
      <c r="B5754" s="143" t="s">
        <v>36933</v>
      </c>
      <c r="C5754" s="143" t="s">
        <v>36934</v>
      </c>
      <c r="D5754" s="143" t="s">
        <v>33342</v>
      </c>
      <c r="E5754" s="144" t="s">
        <v>36935</v>
      </c>
      <c r="F5754" s="142" t="s">
        <v>16936</v>
      </c>
      <c r="G5754" s="142" t="s">
        <v>33344</v>
      </c>
      <c r="H5754" s="142"/>
      <c r="I5754" s="143"/>
      <c r="J5754" s="143" t="s">
        <v>36936</v>
      </c>
      <c r="K5754" s="143" t="s">
        <v>36937</v>
      </c>
      <c r="L5754" s="145" t="s">
        <v>36938</v>
      </c>
      <c r="M5754" s="143"/>
      <c r="N5754" s="12"/>
      <c r="O5754" s="12"/>
      <c r="P5754" s="13">
        <f>IFERROR(__xludf.DUMMYFUNCTION("VALUE(SUBSTITUTE((INDEX(SPLIT(A5754,"",""),1)),""."","","",1))"),43.033296)</f>
        <v>43.033296</v>
      </c>
      <c r="Q5754" s="13">
        <f>IFERROR(__xludf.DUMMYFUNCTION("VALUE(SUBSTITUTE((INDEX(SPLIT(A5754,"",""),2)),""."","","",1))"),44.203005)</f>
        <v>44.203005</v>
      </c>
      <c r="R5754" s="14" t="b">
        <f t="shared" si="1"/>
        <v>0</v>
      </c>
      <c r="S5754" s="14" t="str">
        <f t="shared" si="2"/>
        <v>43.033296,44.203005</v>
      </c>
      <c r="T5754" s="12"/>
    </row>
    <row r="5755">
      <c r="A5755" s="199" t="s">
        <v>36939</v>
      </c>
      <c r="B5755" s="140" t="s">
        <v>7253</v>
      </c>
      <c r="C5755" s="140" t="s">
        <v>36940</v>
      </c>
      <c r="D5755" s="140" t="s">
        <v>33342</v>
      </c>
      <c r="E5755" s="141" t="s">
        <v>36941</v>
      </c>
      <c r="F5755" s="139" t="s">
        <v>16936</v>
      </c>
      <c r="G5755" s="139" t="s">
        <v>33344</v>
      </c>
      <c r="H5755" s="139"/>
      <c r="I5755" s="140"/>
      <c r="J5755" s="140" t="s">
        <v>36942</v>
      </c>
      <c r="K5755" s="140" t="s">
        <v>33374</v>
      </c>
      <c r="L5755" s="140"/>
      <c r="M5755" s="140"/>
      <c r="N5755" s="12"/>
      <c r="O5755" s="12"/>
      <c r="P5755" s="13">
        <f>IFERROR(__xludf.DUMMYFUNCTION("VALUE(SUBSTITUTE((INDEX(SPLIT(A5755,"",""),1)),""."","","",1))"),43.033593)</f>
        <v>43.033593</v>
      </c>
      <c r="Q5755" s="13">
        <f>IFERROR(__xludf.DUMMYFUNCTION("VALUE(SUBSTITUTE((INDEX(SPLIT(A5755,"",""),2)),""."","","",1))"),44.680531)</f>
        <v>44.680531</v>
      </c>
      <c r="R5755" s="14" t="b">
        <f t="shared" si="1"/>
        <v>0</v>
      </c>
      <c r="S5755" s="14" t="str">
        <f t="shared" si="2"/>
        <v>43.033593,44.680531</v>
      </c>
      <c r="T5755" s="12"/>
    </row>
    <row r="5756">
      <c r="A5756" s="158" t="s">
        <v>36943</v>
      </c>
      <c r="B5756" s="137" t="s">
        <v>36944</v>
      </c>
      <c r="C5756" s="137" t="s">
        <v>36945</v>
      </c>
      <c r="D5756" s="137" t="s">
        <v>33342</v>
      </c>
      <c r="E5756" s="138" t="s">
        <v>36946</v>
      </c>
      <c r="F5756" s="136" t="s">
        <v>16936</v>
      </c>
      <c r="G5756" s="136" t="s">
        <v>33344</v>
      </c>
      <c r="H5756" s="136"/>
      <c r="I5756" s="137"/>
      <c r="J5756" s="137" t="s">
        <v>36947</v>
      </c>
      <c r="K5756" s="137" t="s">
        <v>36948</v>
      </c>
      <c r="L5756" s="137"/>
      <c r="M5756" s="137"/>
      <c r="N5756" s="12"/>
      <c r="O5756" s="12"/>
      <c r="P5756" s="13">
        <f>IFERROR(__xludf.DUMMYFUNCTION("VALUE(SUBSTITUTE((INDEX(SPLIT(A5756,"",""),1)),""."","","",1))"),43.059262)</f>
        <v>43.059262</v>
      </c>
      <c r="Q5756" s="13">
        <f>IFERROR(__xludf.DUMMYFUNCTION("VALUE(SUBSTITUTE((INDEX(SPLIT(A5756,"",""),2)),""."","","",1))"),44.680567)</f>
        <v>44.680567</v>
      </c>
      <c r="R5756" s="14" t="b">
        <f t="shared" si="1"/>
        <v>0</v>
      </c>
      <c r="S5756" s="14" t="str">
        <f t="shared" si="2"/>
        <v>43.059262,44.680567</v>
      </c>
      <c r="T5756" s="12"/>
    </row>
    <row r="5757">
      <c r="A5757" s="199" t="s">
        <v>36949</v>
      </c>
      <c r="B5757" s="140" t="s">
        <v>36950</v>
      </c>
      <c r="C5757" s="140" t="s">
        <v>36951</v>
      </c>
      <c r="D5757" s="140" t="s">
        <v>33342</v>
      </c>
      <c r="E5757" s="141" t="s">
        <v>36952</v>
      </c>
      <c r="F5757" s="139" t="s">
        <v>16936</v>
      </c>
      <c r="G5757" s="139" t="s">
        <v>33344</v>
      </c>
      <c r="H5757" s="139"/>
      <c r="I5757" s="140"/>
      <c r="J5757" s="140" t="s">
        <v>36953</v>
      </c>
      <c r="K5757" s="140" t="s">
        <v>36908</v>
      </c>
      <c r="L5757" s="140"/>
      <c r="M5757" s="140"/>
      <c r="N5757" s="12"/>
      <c r="O5757" s="12"/>
      <c r="P5757" s="13">
        <f>IFERROR(__xludf.DUMMYFUNCTION("VALUE(SUBSTITUTE((INDEX(SPLIT(A5757,"",""),1)),""."","","",1))"),43.049907)</f>
        <v>43.049907</v>
      </c>
      <c r="Q5757" s="13">
        <f>IFERROR(__xludf.DUMMYFUNCTION("VALUE(SUBSTITUTE((INDEX(SPLIT(A5757,"",""),2)),""."","","",1))"),44.699216)</f>
        <v>44.699216</v>
      </c>
      <c r="R5757" s="14" t="b">
        <f t="shared" si="1"/>
        <v>0</v>
      </c>
      <c r="S5757" s="14" t="str">
        <f t="shared" si="2"/>
        <v>43.049907,44.699216</v>
      </c>
      <c r="T5757" s="12"/>
    </row>
    <row r="5758">
      <c r="A5758" s="201" t="s">
        <v>36954</v>
      </c>
      <c r="B5758" s="143" t="s">
        <v>36955</v>
      </c>
      <c r="C5758" s="143" t="s">
        <v>36956</v>
      </c>
      <c r="D5758" s="143" t="s">
        <v>33342</v>
      </c>
      <c r="E5758" s="144" t="s">
        <v>36957</v>
      </c>
      <c r="F5758" s="142" t="s">
        <v>10183</v>
      </c>
      <c r="G5758" s="142" t="s">
        <v>33344</v>
      </c>
      <c r="H5758" s="142"/>
      <c r="I5758" s="143"/>
      <c r="J5758" s="143" t="s">
        <v>36958</v>
      </c>
      <c r="K5758" s="143" t="s">
        <v>36959</v>
      </c>
      <c r="L5758" s="145" t="s">
        <v>36960</v>
      </c>
      <c r="M5758" s="143"/>
      <c r="N5758" s="12"/>
      <c r="O5758" s="12"/>
      <c r="P5758" s="13">
        <f>IFERROR(__xludf.DUMMYFUNCTION("VALUE(SUBSTITUTE((INDEX(SPLIT(A5758,"",""),1)),""."","","",1))"),55.23674)</f>
        <v>55.23674</v>
      </c>
      <c r="Q5758" s="13">
        <f>IFERROR(__xludf.DUMMYFUNCTION("VALUE(SUBSTITUTE((INDEX(SPLIT(A5758,"",""),2)),""."","","",1))"),48.404812)</f>
        <v>48.404812</v>
      </c>
      <c r="R5758" s="14" t="b">
        <f t="shared" si="1"/>
        <v>0</v>
      </c>
      <c r="S5758" s="14" t="str">
        <f t="shared" si="2"/>
        <v>55.23674,48.404812</v>
      </c>
      <c r="T5758" s="12"/>
    </row>
    <row r="5759">
      <c r="A5759" s="202" t="s">
        <v>36961</v>
      </c>
      <c r="B5759" s="147" t="s">
        <v>36962</v>
      </c>
      <c r="C5759" s="147" t="s">
        <v>36963</v>
      </c>
      <c r="D5759" s="147" t="s">
        <v>33342</v>
      </c>
      <c r="E5759" s="148" t="s">
        <v>36964</v>
      </c>
      <c r="F5759" s="146" t="s">
        <v>10183</v>
      </c>
      <c r="G5759" s="146" t="s">
        <v>33344</v>
      </c>
      <c r="H5759" s="146"/>
      <c r="I5759" s="147"/>
      <c r="J5759" s="147" t="s">
        <v>36965</v>
      </c>
      <c r="K5759" s="147" t="s">
        <v>36966</v>
      </c>
      <c r="L5759" s="149" t="s">
        <v>36967</v>
      </c>
      <c r="M5759" s="147"/>
      <c r="N5759" s="12"/>
      <c r="O5759" s="12"/>
      <c r="P5759" s="13">
        <f>IFERROR(__xludf.DUMMYFUNCTION("VALUE(SUBSTITUTE((INDEX(SPLIT(A5759,"",""),1)),""."","","",1))"),56.345165)</f>
        <v>56.345165</v>
      </c>
      <c r="Q5759" s="13">
        <f>IFERROR(__xludf.DUMMYFUNCTION("VALUE(SUBSTITUTE((INDEX(SPLIT(A5759,"",""),2)),""."","","",1))"),50.26843)</f>
        <v>50.26843</v>
      </c>
      <c r="R5759" s="14" t="b">
        <f t="shared" si="1"/>
        <v>0</v>
      </c>
      <c r="S5759" s="14" t="str">
        <f t="shared" si="2"/>
        <v>56.345165,50.26843</v>
      </c>
      <c r="T5759" s="12"/>
    </row>
    <row r="5760">
      <c r="A5760" s="201" t="s">
        <v>36968</v>
      </c>
      <c r="B5760" s="143" t="s">
        <v>33576</v>
      </c>
      <c r="C5760" s="143" t="s">
        <v>33577</v>
      </c>
      <c r="D5760" s="143" t="s">
        <v>33342</v>
      </c>
      <c r="E5760" s="144" t="s">
        <v>36969</v>
      </c>
      <c r="F5760" s="142" t="s">
        <v>10183</v>
      </c>
      <c r="G5760" s="142" t="s">
        <v>33344</v>
      </c>
      <c r="H5760" s="142"/>
      <c r="I5760" s="143"/>
      <c r="J5760" s="143" t="s">
        <v>36970</v>
      </c>
      <c r="K5760" s="143" t="s">
        <v>36971</v>
      </c>
      <c r="L5760" s="145" t="s">
        <v>36972</v>
      </c>
      <c r="M5760" s="143"/>
      <c r="N5760" s="12"/>
      <c r="O5760" s="12"/>
      <c r="P5760" s="13">
        <f>IFERROR(__xludf.DUMMYFUNCTION("VALUE(SUBSTITUTE((INDEX(SPLIT(A5760,"",""),1)),""."","","",1))"),56.341104)</f>
        <v>56.341104</v>
      </c>
      <c r="Q5760" s="13">
        <f>IFERROR(__xludf.DUMMYFUNCTION("VALUE(SUBSTITUTE((INDEX(SPLIT(A5760,"",""),2)),""."","","",1))"),50.27258)</f>
        <v>50.27258</v>
      </c>
      <c r="R5760" s="14" t="b">
        <f t="shared" si="1"/>
        <v>0</v>
      </c>
      <c r="S5760" s="14" t="str">
        <f t="shared" si="2"/>
        <v>56.341104,50.27258</v>
      </c>
      <c r="T5760" s="12"/>
    </row>
    <row r="5761">
      <c r="A5761" s="202" t="s">
        <v>36973</v>
      </c>
      <c r="B5761" s="147" t="s">
        <v>36974</v>
      </c>
      <c r="C5761" s="147" t="s">
        <v>36975</v>
      </c>
      <c r="D5761" s="147" t="s">
        <v>33342</v>
      </c>
      <c r="E5761" s="148" t="s">
        <v>36976</v>
      </c>
      <c r="F5761" s="146" t="s">
        <v>10183</v>
      </c>
      <c r="G5761" s="146" t="s">
        <v>33344</v>
      </c>
      <c r="H5761" s="146"/>
      <c r="I5761" s="147"/>
      <c r="J5761" s="147" t="s">
        <v>36977</v>
      </c>
      <c r="K5761" s="147" t="s">
        <v>36978</v>
      </c>
      <c r="L5761" s="149" t="s">
        <v>36979</v>
      </c>
      <c r="M5761" s="147"/>
      <c r="N5761" s="12"/>
      <c r="O5761" s="12"/>
      <c r="P5761" s="13">
        <f>IFERROR(__xludf.DUMMYFUNCTION("VALUE(SUBSTITUTE((INDEX(SPLIT(A5761,"",""),1)),""."","","",1))"),56.340325)</f>
        <v>56.340325</v>
      </c>
      <c r="Q5761" s="13">
        <f>IFERROR(__xludf.DUMMYFUNCTION("VALUE(SUBSTITUTE((INDEX(SPLIT(A5761,"",""),2)),""."","","",1))"),50.260578)</f>
        <v>50.260578</v>
      </c>
      <c r="R5761" s="14" t="b">
        <f t="shared" si="1"/>
        <v>0</v>
      </c>
      <c r="S5761" s="14" t="str">
        <f t="shared" si="2"/>
        <v>56.340325,50.260578</v>
      </c>
      <c r="T5761" s="12"/>
    </row>
    <row r="5762">
      <c r="A5762" s="201" t="s">
        <v>36980</v>
      </c>
      <c r="B5762" s="143" t="s">
        <v>36981</v>
      </c>
      <c r="C5762" s="143" t="s">
        <v>36982</v>
      </c>
      <c r="D5762" s="143" t="s">
        <v>33342</v>
      </c>
      <c r="E5762" s="144" t="s">
        <v>36983</v>
      </c>
      <c r="F5762" s="142" t="s">
        <v>10183</v>
      </c>
      <c r="G5762" s="142" t="s">
        <v>33344</v>
      </c>
      <c r="H5762" s="142"/>
      <c r="I5762" s="143"/>
      <c r="J5762" s="143" t="s">
        <v>36984</v>
      </c>
      <c r="K5762" s="143" t="s">
        <v>36985</v>
      </c>
      <c r="L5762" s="145" t="s">
        <v>36986</v>
      </c>
      <c r="M5762" s="145" t="s">
        <v>36987</v>
      </c>
      <c r="N5762" s="12"/>
      <c r="O5762" s="12"/>
      <c r="P5762" s="13">
        <f>IFERROR(__xludf.DUMMYFUNCTION("VALUE(SUBSTITUTE((INDEX(SPLIT(A5762,"",""),1)),""."","","",1))"),55.662872)</f>
        <v>55.662872</v>
      </c>
      <c r="Q5762" s="13">
        <f>IFERROR(__xludf.DUMMYFUNCTION("VALUE(SUBSTITUTE((INDEX(SPLIT(A5762,"",""),2)),""."","","",1))"),48.877137)</f>
        <v>48.877137</v>
      </c>
      <c r="R5762" s="14" t="b">
        <f t="shared" si="1"/>
        <v>0</v>
      </c>
      <c r="S5762" s="14" t="str">
        <f t="shared" si="2"/>
        <v>55.662872,48.877137</v>
      </c>
      <c r="T5762" s="12"/>
    </row>
    <row r="5763">
      <c r="A5763" s="199" t="s">
        <v>36988</v>
      </c>
      <c r="B5763" s="140" t="s">
        <v>36989</v>
      </c>
      <c r="C5763" s="140" t="s">
        <v>36990</v>
      </c>
      <c r="D5763" s="140" t="s">
        <v>33342</v>
      </c>
      <c r="E5763" s="141" t="s">
        <v>36991</v>
      </c>
      <c r="F5763" s="139" t="s">
        <v>10183</v>
      </c>
      <c r="G5763" s="139" t="s">
        <v>33344</v>
      </c>
      <c r="H5763" s="139"/>
      <c r="I5763" s="140"/>
      <c r="J5763" s="140" t="s">
        <v>36992</v>
      </c>
      <c r="K5763" s="140" t="s">
        <v>36993</v>
      </c>
      <c r="L5763" s="140"/>
      <c r="M5763" s="140"/>
      <c r="N5763" s="12"/>
      <c r="O5763" s="12"/>
      <c r="P5763" s="13">
        <f>IFERROR(__xludf.DUMMYFUNCTION("VALUE(SUBSTITUTE((INDEX(SPLIT(A5763,"",""),1)),""."","","",1))"),55.74677)</f>
        <v>55.74677</v>
      </c>
      <c r="Q5763" s="13">
        <f>IFERROR(__xludf.DUMMYFUNCTION("VALUE(SUBSTITUTE((INDEX(SPLIT(A5763,"",""),2)),""."","","",1))"),48.743854)</f>
        <v>48.743854</v>
      </c>
      <c r="R5763" s="14" t="b">
        <f t="shared" si="1"/>
        <v>0</v>
      </c>
      <c r="S5763" s="14" t="str">
        <f t="shared" si="2"/>
        <v>55.74677,48.743854</v>
      </c>
      <c r="T5763" s="12"/>
    </row>
    <row r="5764">
      <c r="A5764" s="201" t="s">
        <v>36994</v>
      </c>
      <c r="B5764" s="143" t="s">
        <v>36995</v>
      </c>
      <c r="C5764" s="143" t="s">
        <v>36996</v>
      </c>
      <c r="D5764" s="143" t="s">
        <v>33342</v>
      </c>
      <c r="E5764" s="144" t="s">
        <v>36997</v>
      </c>
      <c r="F5764" s="142" t="s">
        <v>10183</v>
      </c>
      <c r="G5764" s="142" t="s">
        <v>33344</v>
      </c>
      <c r="H5764" s="142"/>
      <c r="I5764" s="143"/>
      <c r="J5764" s="143" t="s">
        <v>36998</v>
      </c>
      <c r="K5764" s="143" t="s">
        <v>36999</v>
      </c>
      <c r="L5764" s="145" t="s">
        <v>37000</v>
      </c>
      <c r="M5764" s="143"/>
      <c r="N5764" s="12"/>
      <c r="O5764" s="12"/>
      <c r="P5764" s="13">
        <f>IFERROR(__xludf.DUMMYFUNCTION("VALUE(SUBSTITUTE((INDEX(SPLIT(A5764,"",""),1)),""."","","",1))"),56.183042)</f>
        <v>56.183042</v>
      </c>
      <c r="Q5764" s="13">
        <f>IFERROR(__xludf.DUMMYFUNCTION("VALUE(SUBSTITUTE((INDEX(SPLIT(A5764,"",""),2)),""."","","",1))"),50.941942)</f>
        <v>50.941942</v>
      </c>
      <c r="R5764" s="14" t="b">
        <f t="shared" si="1"/>
        <v>0</v>
      </c>
      <c r="S5764" s="14" t="str">
        <f t="shared" si="2"/>
        <v>56.183042,50.941942</v>
      </c>
      <c r="T5764" s="12"/>
    </row>
    <row r="5765">
      <c r="A5765" s="202" t="s">
        <v>37001</v>
      </c>
      <c r="B5765" s="147" t="s">
        <v>22964</v>
      </c>
      <c r="C5765" s="147" t="s">
        <v>37002</v>
      </c>
      <c r="D5765" s="147" t="s">
        <v>33342</v>
      </c>
      <c r="E5765" s="148" t="s">
        <v>37003</v>
      </c>
      <c r="F5765" s="146" t="s">
        <v>10183</v>
      </c>
      <c r="G5765" s="146" t="s">
        <v>33344</v>
      </c>
      <c r="H5765" s="146"/>
      <c r="I5765" s="147"/>
      <c r="J5765" s="147" t="s">
        <v>37004</v>
      </c>
      <c r="K5765" s="147" t="s">
        <v>37005</v>
      </c>
      <c r="L5765" s="149" t="s">
        <v>37006</v>
      </c>
      <c r="M5765" s="147"/>
      <c r="N5765" s="12"/>
      <c r="O5765" s="12"/>
      <c r="P5765" s="13">
        <f>IFERROR(__xludf.DUMMYFUNCTION("VALUE(SUBSTITUTE((INDEX(SPLIT(A5765,"",""),1)),""."","","",1))"),56.188333)</f>
        <v>56.188333</v>
      </c>
      <c r="Q5765" s="13">
        <f>IFERROR(__xludf.DUMMYFUNCTION("VALUE(SUBSTITUTE((INDEX(SPLIT(A5765,"",""),2)),""."","","",1))"),50.884872)</f>
        <v>50.884872</v>
      </c>
      <c r="R5765" s="14" t="b">
        <f t="shared" si="1"/>
        <v>0</v>
      </c>
      <c r="S5765" s="14" t="str">
        <f t="shared" si="2"/>
        <v>56.188333,50.884872</v>
      </c>
      <c r="T5765" s="12"/>
    </row>
    <row r="5766">
      <c r="A5766" s="201" t="s">
        <v>37007</v>
      </c>
      <c r="B5766" s="143" t="s">
        <v>37008</v>
      </c>
      <c r="C5766" s="143" t="s">
        <v>37009</v>
      </c>
      <c r="D5766" s="143" t="s">
        <v>33342</v>
      </c>
      <c r="E5766" s="144" t="s">
        <v>37010</v>
      </c>
      <c r="F5766" s="142" t="s">
        <v>10183</v>
      </c>
      <c r="G5766" s="142" t="s">
        <v>33344</v>
      </c>
      <c r="H5766" s="142"/>
      <c r="I5766" s="143"/>
      <c r="J5766" s="143" t="s">
        <v>37011</v>
      </c>
      <c r="K5766" s="143" t="s">
        <v>37012</v>
      </c>
      <c r="L5766" s="145" t="s">
        <v>37013</v>
      </c>
      <c r="M5766" s="145" t="s">
        <v>37014</v>
      </c>
      <c r="N5766" s="12"/>
      <c r="O5766" s="12"/>
      <c r="P5766" s="13">
        <f>IFERROR(__xludf.DUMMYFUNCTION("VALUE(SUBSTITUTE((INDEX(SPLIT(A5766,"",""),1)),""."","","",1))"),55.613265)</f>
        <v>55.613265</v>
      </c>
      <c r="Q5766" s="13">
        <f>IFERROR(__xludf.DUMMYFUNCTION("VALUE(SUBSTITUTE((INDEX(SPLIT(A5766,"",""),2)),""."","","",1))"),49.139499)</f>
        <v>49.139499</v>
      </c>
      <c r="R5766" s="14" t="b">
        <f t="shared" si="1"/>
        <v>0</v>
      </c>
      <c r="S5766" s="14" t="str">
        <f t="shared" si="2"/>
        <v>55.613265,49.139499</v>
      </c>
      <c r="T5766" s="12"/>
    </row>
    <row r="5767">
      <c r="A5767" s="199" t="s">
        <v>37015</v>
      </c>
      <c r="B5767" s="140" t="s">
        <v>37016</v>
      </c>
      <c r="C5767" s="140" t="s">
        <v>37017</v>
      </c>
      <c r="D5767" s="140" t="s">
        <v>33342</v>
      </c>
      <c r="E5767" s="141" t="s">
        <v>37018</v>
      </c>
      <c r="F5767" s="139" t="s">
        <v>10183</v>
      </c>
      <c r="G5767" s="139" t="s">
        <v>33344</v>
      </c>
      <c r="H5767" s="139"/>
      <c r="I5767" s="140"/>
      <c r="J5767" s="140" t="s">
        <v>37019</v>
      </c>
      <c r="K5767" s="140" t="s">
        <v>37020</v>
      </c>
      <c r="L5767" s="140"/>
      <c r="M5767" s="140"/>
      <c r="N5767" s="12"/>
      <c r="O5767" s="12"/>
      <c r="P5767" s="13">
        <f>IFERROR(__xludf.DUMMYFUNCTION("VALUE(SUBSTITUTE((INDEX(SPLIT(A5767,"",""),1)),""."","","",1))"),55.41098)</f>
        <v>55.41098</v>
      </c>
      <c r="Q5767" s="13">
        <f>IFERROR(__xludf.DUMMYFUNCTION("VALUE(SUBSTITUTE((INDEX(SPLIT(A5767,"",""),2)),""."","","",1))"),49.554754)</f>
        <v>49.554754</v>
      </c>
      <c r="R5767" s="14" t="b">
        <f t="shared" si="1"/>
        <v>0</v>
      </c>
      <c r="S5767" s="14" t="str">
        <f t="shared" si="2"/>
        <v>55.41098,49.554754</v>
      </c>
      <c r="T5767" s="12"/>
    </row>
    <row r="5768">
      <c r="A5768" s="158" t="s">
        <v>37021</v>
      </c>
      <c r="B5768" s="137" t="s">
        <v>37022</v>
      </c>
      <c r="C5768" s="137" t="s">
        <v>37023</v>
      </c>
      <c r="D5768" s="137" t="s">
        <v>33342</v>
      </c>
      <c r="E5768" s="138" t="s">
        <v>37024</v>
      </c>
      <c r="F5768" s="136" t="s">
        <v>10183</v>
      </c>
      <c r="G5768" s="136" t="s">
        <v>33344</v>
      </c>
      <c r="H5768" s="136"/>
      <c r="I5768" s="137"/>
      <c r="J5768" s="137" t="s">
        <v>37025</v>
      </c>
      <c r="K5768" s="137" t="s">
        <v>37026</v>
      </c>
      <c r="L5768" s="137"/>
      <c r="M5768" s="137"/>
      <c r="N5768" s="12"/>
      <c r="O5768" s="12"/>
      <c r="P5768" s="13">
        <f>IFERROR(__xludf.DUMMYFUNCTION("VALUE(SUBSTITUTE((INDEX(SPLIT(A5768,"",""),1)),""."","","",1))"),55.399443)</f>
        <v>55.399443</v>
      </c>
      <c r="Q5768" s="13">
        <f>IFERROR(__xludf.DUMMYFUNCTION("VALUE(SUBSTITUTE((INDEX(SPLIT(A5768,"",""),2)),""."","","",1))"),49.511842)</f>
        <v>49.511842</v>
      </c>
      <c r="R5768" s="14" t="b">
        <f t="shared" si="1"/>
        <v>0</v>
      </c>
      <c r="S5768" s="14" t="str">
        <f t="shared" si="2"/>
        <v>55.399443,49.511842</v>
      </c>
      <c r="T5768" s="12"/>
    </row>
    <row r="5769">
      <c r="A5769" s="202" t="s">
        <v>37027</v>
      </c>
      <c r="B5769" s="147" t="s">
        <v>37028</v>
      </c>
      <c r="C5769" s="147" t="s">
        <v>37029</v>
      </c>
      <c r="D5769" s="147" t="s">
        <v>33342</v>
      </c>
      <c r="E5769" s="148" t="s">
        <v>37030</v>
      </c>
      <c r="F5769" s="146" t="s">
        <v>10183</v>
      </c>
      <c r="G5769" s="146" t="s">
        <v>33344</v>
      </c>
      <c r="H5769" s="146"/>
      <c r="I5769" s="147"/>
      <c r="J5769" s="147" t="s">
        <v>37031</v>
      </c>
      <c r="K5769" s="147" t="s">
        <v>37032</v>
      </c>
      <c r="L5769" s="149" t="s">
        <v>37033</v>
      </c>
      <c r="M5769" s="147"/>
      <c r="N5769" s="12"/>
      <c r="O5769" s="12"/>
      <c r="P5769" s="13">
        <f>IFERROR(__xludf.DUMMYFUNCTION("VALUE(SUBSTITUTE((INDEX(SPLIT(A5769,"",""),1)),""."","","",1))"),55.908278)</f>
        <v>55.908278</v>
      </c>
      <c r="Q5769" s="13">
        <f>IFERROR(__xludf.DUMMYFUNCTION("VALUE(SUBSTITUTE((INDEX(SPLIT(A5769,"",""),2)),""."","","",1))"),52.334636)</f>
        <v>52.334636</v>
      </c>
      <c r="R5769" s="14" t="b">
        <f t="shared" si="1"/>
        <v>0</v>
      </c>
      <c r="S5769" s="14" t="str">
        <f t="shared" si="2"/>
        <v>55.908278,52.334636</v>
      </c>
      <c r="T5769" s="12"/>
    </row>
    <row r="5770">
      <c r="A5770" s="158" t="s">
        <v>22205</v>
      </c>
      <c r="B5770" s="137" t="s">
        <v>37034</v>
      </c>
      <c r="C5770" s="137" t="s">
        <v>37035</v>
      </c>
      <c r="D5770" s="137" t="s">
        <v>33342</v>
      </c>
      <c r="E5770" s="138" t="s">
        <v>37036</v>
      </c>
      <c r="F5770" s="136" t="s">
        <v>10183</v>
      </c>
      <c r="G5770" s="136" t="s">
        <v>33344</v>
      </c>
      <c r="H5770" s="136"/>
      <c r="I5770" s="137"/>
      <c r="J5770" s="137" t="s">
        <v>37037</v>
      </c>
      <c r="K5770" s="137" t="s">
        <v>37038</v>
      </c>
      <c r="L5770" s="137"/>
      <c r="M5770" s="137"/>
      <c r="N5770" s="12"/>
      <c r="O5770" s="12"/>
      <c r="P5770" s="13">
        <f>IFERROR(__xludf.DUMMYFUNCTION("VALUE(SUBSTITUTE((INDEX(SPLIT(A5770,"",""),1)),""."","","",1))"),55.893869)</f>
        <v>55.893869</v>
      </c>
      <c r="Q5770" s="13">
        <f>IFERROR(__xludf.DUMMYFUNCTION("VALUE(SUBSTITUTE((INDEX(SPLIT(A5770,"",""),2)),""."","","",1))"),52.318349)</f>
        <v>52.318349</v>
      </c>
      <c r="R5770" s="14" t="b">
        <f t="shared" si="1"/>
        <v>0</v>
      </c>
      <c r="S5770" s="14" t="str">
        <f t="shared" si="2"/>
        <v>55.893869,52.318349</v>
      </c>
      <c r="T5770" s="12"/>
    </row>
    <row r="5771">
      <c r="A5771" s="202" t="s">
        <v>20261</v>
      </c>
      <c r="B5771" s="147" t="s">
        <v>37039</v>
      </c>
      <c r="C5771" s="147" t="s">
        <v>37040</v>
      </c>
      <c r="D5771" s="147" t="s">
        <v>33342</v>
      </c>
      <c r="E5771" s="148" t="s">
        <v>37041</v>
      </c>
      <c r="F5771" s="146" t="s">
        <v>10183</v>
      </c>
      <c r="G5771" s="146" t="s">
        <v>33344</v>
      </c>
      <c r="H5771" s="146"/>
      <c r="I5771" s="147"/>
      <c r="J5771" s="147" t="s">
        <v>37042</v>
      </c>
      <c r="K5771" s="147" t="s">
        <v>37043</v>
      </c>
      <c r="L5771" s="149" t="s">
        <v>37044</v>
      </c>
      <c r="M5771" s="147"/>
      <c r="N5771" s="12"/>
      <c r="O5771" s="12"/>
      <c r="P5771" s="13">
        <f>IFERROR(__xludf.DUMMYFUNCTION("VALUE(SUBSTITUTE((INDEX(SPLIT(A5771,"",""),1)),""."","","",1))"),55.864227)</f>
        <v>55.864227</v>
      </c>
      <c r="Q5771" s="13">
        <f>IFERROR(__xludf.DUMMYFUNCTION("VALUE(SUBSTITUTE((INDEX(SPLIT(A5771,"",""),2)),""."","","",1))"),49.030839)</f>
        <v>49.030839</v>
      </c>
      <c r="R5771" s="14" t="b">
        <f t="shared" si="1"/>
        <v>0</v>
      </c>
      <c r="S5771" s="14" t="str">
        <f t="shared" si="2"/>
        <v>55.864227,49.030839</v>
      </c>
      <c r="T5771" s="12"/>
    </row>
    <row r="5772">
      <c r="A5772" s="158" t="s">
        <v>37045</v>
      </c>
      <c r="B5772" s="137" t="s">
        <v>37046</v>
      </c>
      <c r="C5772" s="137" t="s">
        <v>37047</v>
      </c>
      <c r="D5772" s="137" t="s">
        <v>33342</v>
      </c>
      <c r="E5772" s="138" t="s">
        <v>37048</v>
      </c>
      <c r="F5772" s="136" t="s">
        <v>10183</v>
      </c>
      <c r="G5772" s="136" t="s">
        <v>33344</v>
      </c>
      <c r="H5772" s="136"/>
      <c r="I5772" s="137"/>
      <c r="J5772" s="137" t="s">
        <v>37049</v>
      </c>
      <c r="K5772" s="137" t="s">
        <v>37050</v>
      </c>
      <c r="L5772" s="137"/>
      <c r="M5772" s="137"/>
      <c r="N5772" s="12"/>
      <c r="O5772" s="12"/>
      <c r="P5772" s="13">
        <f>IFERROR(__xludf.DUMMYFUNCTION("VALUE(SUBSTITUTE((INDEX(SPLIT(A5772,"",""),1)),""."","","",1))"),55.837712)</f>
        <v>55.837712</v>
      </c>
      <c r="Q5772" s="13">
        <f>IFERROR(__xludf.DUMMYFUNCTION("VALUE(SUBSTITUTE((INDEX(SPLIT(A5772,"",""),2)),""."","","",1))"),49.661438)</f>
        <v>49.661438</v>
      </c>
      <c r="R5772" s="14" t="b">
        <f t="shared" si="1"/>
        <v>0</v>
      </c>
      <c r="S5772" s="14" t="str">
        <f t="shared" si="2"/>
        <v>55.837712,49.661438</v>
      </c>
      <c r="T5772" s="12"/>
    </row>
    <row r="5773">
      <c r="A5773" s="199" t="s">
        <v>37051</v>
      </c>
      <c r="B5773" s="140" t="s">
        <v>37052</v>
      </c>
      <c r="C5773" s="140" t="s">
        <v>37053</v>
      </c>
      <c r="D5773" s="140" t="s">
        <v>33342</v>
      </c>
      <c r="E5773" s="141" t="s">
        <v>37054</v>
      </c>
      <c r="F5773" s="139" t="s">
        <v>10183</v>
      </c>
      <c r="G5773" s="139" t="s">
        <v>33344</v>
      </c>
      <c r="H5773" s="139"/>
      <c r="I5773" s="140"/>
      <c r="J5773" s="140" t="s">
        <v>37055</v>
      </c>
      <c r="K5773" s="140" t="s">
        <v>37056</v>
      </c>
      <c r="L5773" s="140"/>
      <c r="M5773" s="140"/>
      <c r="N5773" s="12"/>
      <c r="O5773" s="12"/>
      <c r="P5773" s="13">
        <f>IFERROR(__xludf.DUMMYFUNCTION("VALUE(SUBSTITUTE((INDEX(SPLIT(A5773,"",""),1)),""."","","",1))"),55.468719)</f>
        <v>55.468719</v>
      </c>
      <c r="Q5773" s="13">
        <f>IFERROR(__xludf.DUMMYFUNCTION("VALUE(SUBSTITUTE((INDEX(SPLIT(A5773,"",""),2)),""."","","",1))"),50.123702)</f>
        <v>50.123702</v>
      </c>
      <c r="R5773" s="14" t="b">
        <f t="shared" si="1"/>
        <v>0</v>
      </c>
      <c r="S5773" s="14" t="str">
        <f t="shared" si="2"/>
        <v>55.468719,50.123702</v>
      </c>
      <c r="T5773" s="12"/>
    </row>
    <row r="5774">
      <c r="A5774" s="158" t="s">
        <v>37057</v>
      </c>
      <c r="B5774" s="137" t="s">
        <v>37058</v>
      </c>
      <c r="C5774" s="137" t="s">
        <v>37059</v>
      </c>
      <c r="D5774" s="137" t="s">
        <v>33342</v>
      </c>
      <c r="E5774" s="138" t="s">
        <v>37060</v>
      </c>
      <c r="F5774" s="136" t="s">
        <v>10183</v>
      </c>
      <c r="G5774" s="136" t="s">
        <v>33344</v>
      </c>
      <c r="H5774" s="136"/>
      <c r="I5774" s="137"/>
      <c r="J5774" s="137" t="s">
        <v>37061</v>
      </c>
      <c r="K5774" s="137" t="s">
        <v>37062</v>
      </c>
      <c r="L5774" s="137"/>
      <c r="M5774" s="153" t="s">
        <v>37063</v>
      </c>
      <c r="N5774" s="12"/>
      <c r="O5774" s="12"/>
      <c r="P5774" s="13">
        <f>IFERROR(__xludf.DUMMYFUNCTION("VALUE(SUBSTITUTE((INDEX(SPLIT(A5774,"",""),1)),""."","","",1))"),55.466351)</f>
        <v>55.466351</v>
      </c>
      <c r="Q5774" s="13">
        <f>IFERROR(__xludf.DUMMYFUNCTION("VALUE(SUBSTITUTE((INDEX(SPLIT(A5774,"",""),2)),""."","","",1))"),50.104927)</f>
        <v>50.104927</v>
      </c>
      <c r="R5774" s="14" t="b">
        <f t="shared" si="1"/>
        <v>0</v>
      </c>
      <c r="S5774" s="14" t="str">
        <f t="shared" si="2"/>
        <v>55.466351,50.104927</v>
      </c>
      <c r="T5774" s="12"/>
    </row>
    <row r="5775">
      <c r="A5775" s="202" t="s">
        <v>37064</v>
      </c>
      <c r="B5775" s="147" t="s">
        <v>37065</v>
      </c>
      <c r="C5775" s="147" t="s">
        <v>37066</v>
      </c>
      <c r="D5775" s="147" t="s">
        <v>33342</v>
      </c>
      <c r="E5775" s="148" t="s">
        <v>37067</v>
      </c>
      <c r="F5775" s="146" t="s">
        <v>10183</v>
      </c>
      <c r="G5775" s="146" t="s">
        <v>33344</v>
      </c>
      <c r="H5775" s="146"/>
      <c r="I5775" s="147"/>
      <c r="J5775" s="147" t="s">
        <v>37068</v>
      </c>
      <c r="K5775" s="147" t="s">
        <v>37069</v>
      </c>
      <c r="L5775" s="149" t="s">
        <v>37070</v>
      </c>
      <c r="M5775" s="147"/>
      <c r="N5775" s="12"/>
      <c r="O5775" s="12"/>
      <c r="P5775" s="13">
        <f>IFERROR(__xludf.DUMMYFUNCTION("VALUE(SUBSTITUTE((INDEX(SPLIT(A5775,"",""),1)),""."","","",1))"),55.755591)</f>
        <v>55.755591</v>
      </c>
      <c r="Q5775" s="13">
        <f>IFERROR(__xludf.DUMMYFUNCTION("VALUE(SUBSTITUTE((INDEX(SPLIT(A5775,"",""),2)),""."","","",1))"),52.4081)</f>
        <v>52.4081</v>
      </c>
      <c r="R5775" s="14" t="b">
        <f t="shared" si="1"/>
        <v>0</v>
      </c>
      <c r="S5775" s="14" t="str">
        <f t="shared" si="2"/>
        <v>55.755591,52.4081</v>
      </c>
      <c r="T5775" s="12"/>
    </row>
    <row r="5776">
      <c r="A5776" s="201" t="s">
        <v>37071</v>
      </c>
      <c r="B5776" s="143" t="s">
        <v>37072</v>
      </c>
      <c r="C5776" s="143" t="s">
        <v>37073</v>
      </c>
      <c r="D5776" s="143" t="s">
        <v>33342</v>
      </c>
      <c r="E5776" s="144" t="s">
        <v>37074</v>
      </c>
      <c r="F5776" s="142" t="s">
        <v>10183</v>
      </c>
      <c r="G5776" s="142" t="s">
        <v>33344</v>
      </c>
      <c r="H5776" s="142"/>
      <c r="I5776" s="143"/>
      <c r="J5776" s="143" t="s">
        <v>37075</v>
      </c>
      <c r="K5776" s="143" t="s">
        <v>37076</v>
      </c>
      <c r="L5776" s="145" t="s">
        <v>37077</v>
      </c>
      <c r="M5776" s="143"/>
      <c r="N5776" s="12"/>
      <c r="O5776" s="12"/>
      <c r="P5776" s="13">
        <f>IFERROR(__xludf.DUMMYFUNCTION("VALUE(SUBSTITUTE((INDEX(SPLIT(A5776,"",""),1)),""."","","",1))"),54.86073)</f>
        <v>54.86073</v>
      </c>
      <c r="Q5776" s="13">
        <f>IFERROR(__xludf.DUMMYFUNCTION("VALUE(SUBSTITUTE((INDEX(SPLIT(A5776,"",""),2)),""."","","",1))"),53.06528)</f>
        <v>53.06528</v>
      </c>
      <c r="R5776" s="14" t="b">
        <f t="shared" si="1"/>
        <v>0</v>
      </c>
      <c r="S5776" s="14" t="str">
        <f t="shared" si="2"/>
        <v>54.86073,53.06528</v>
      </c>
      <c r="T5776" s="12"/>
    </row>
    <row r="5777">
      <c r="A5777" s="199" t="s">
        <v>37078</v>
      </c>
      <c r="B5777" s="140" t="s">
        <v>37079</v>
      </c>
      <c r="C5777" s="140" t="s">
        <v>37080</v>
      </c>
      <c r="D5777" s="140" t="s">
        <v>33342</v>
      </c>
      <c r="E5777" s="141" t="s">
        <v>37081</v>
      </c>
      <c r="F5777" s="139" t="s">
        <v>10183</v>
      </c>
      <c r="G5777" s="139" t="s">
        <v>33344</v>
      </c>
      <c r="H5777" s="139"/>
      <c r="I5777" s="140"/>
      <c r="J5777" s="140" t="s">
        <v>37082</v>
      </c>
      <c r="K5777" s="140" t="s">
        <v>37083</v>
      </c>
      <c r="L5777" s="140"/>
      <c r="M5777" s="140"/>
      <c r="N5777" s="12"/>
      <c r="O5777" s="12"/>
      <c r="P5777" s="13">
        <f>IFERROR(__xludf.DUMMYFUNCTION("VALUE(SUBSTITUTE((INDEX(SPLIT(A5777,"",""),1)),""."","","",1))"),54.895983)</f>
        <v>54.895983</v>
      </c>
      <c r="Q5777" s="13">
        <f>IFERROR(__xludf.DUMMYFUNCTION("VALUE(SUBSTITUTE((INDEX(SPLIT(A5777,"",""),2)),""."","","",1))"),52.30191)</f>
        <v>52.30191</v>
      </c>
      <c r="R5777" s="14" t="b">
        <f t="shared" si="1"/>
        <v>0</v>
      </c>
      <c r="S5777" s="14" t="str">
        <f t="shared" si="2"/>
        <v>54.895983,52.30191</v>
      </c>
      <c r="T5777" s="12"/>
    </row>
    <row r="5778">
      <c r="A5778" s="158" t="s">
        <v>37084</v>
      </c>
      <c r="B5778" s="137" t="s">
        <v>37085</v>
      </c>
      <c r="C5778" s="137" t="s">
        <v>37086</v>
      </c>
      <c r="D5778" s="137" t="s">
        <v>33342</v>
      </c>
      <c r="E5778" s="138" t="s">
        <v>37087</v>
      </c>
      <c r="F5778" s="136" t="s">
        <v>10183</v>
      </c>
      <c r="G5778" s="136" t="s">
        <v>33344</v>
      </c>
      <c r="H5778" s="136"/>
      <c r="I5778" s="137"/>
      <c r="J5778" s="137" t="s">
        <v>37088</v>
      </c>
      <c r="K5778" s="137" t="s">
        <v>37089</v>
      </c>
      <c r="L5778" s="137"/>
      <c r="M5778" s="137"/>
      <c r="N5778" s="12"/>
      <c r="O5778" s="12"/>
      <c r="P5778" s="13">
        <f>IFERROR(__xludf.DUMMYFUNCTION("VALUE(SUBSTITUTE((INDEX(SPLIT(A5778,"",""),1)),""."","","",1))"),54.876092)</f>
        <v>54.876092</v>
      </c>
      <c r="Q5778" s="13">
        <f>IFERROR(__xludf.DUMMYFUNCTION("VALUE(SUBSTITUTE((INDEX(SPLIT(A5778,"",""),2)),""."","","",1))"),52.318035)</f>
        <v>52.318035</v>
      </c>
      <c r="R5778" s="14" t="b">
        <f t="shared" si="1"/>
        <v>0</v>
      </c>
      <c r="S5778" s="14" t="str">
        <f t="shared" si="2"/>
        <v>54.876092,52.318035</v>
      </c>
      <c r="T5778" s="12"/>
    </row>
    <row r="5779">
      <c r="A5779" s="199" t="s">
        <v>37090</v>
      </c>
      <c r="B5779" s="140" t="s">
        <v>37091</v>
      </c>
      <c r="C5779" s="140" t="s">
        <v>37092</v>
      </c>
      <c r="D5779" s="140" t="s">
        <v>33342</v>
      </c>
      <c r="E5779" s="141" t="s">
        <v>37093</v>
      </c>
      <c r="F5779" s="139" t="s">
        <v>10183</v>
      </c>
      <c r="G5779" s="139" t="s">
        <v>33344</v>
      </c>
      <c r="H5779" s="139"/>
      <c r="I5779" s="140"/>
      <c r="J5779" s="140" t="s">
        <v>37094</v>
      </c>
      <c r="K5779" s="140" t="s">
        <v>37095</v>
      </c>
      <c r="L5779" s="140"/>
      <c r="M5779" s="140"/>
      <c r="N5779" s="12"/>
      <c r="O5779" s="12"/>
      <c r="P5779" s="13">
        <f>IFERROR(__xludf.DUMMYFUNCTION("VALUE(SUBSTITUTE((INDEX(SPLIT(A5779,"",""),1)),""."","","",1))"),54.88369)</f>
        <v>54.88369</v>
      </c>
      <c r="Q5779" s="13">
        <f>IFERROR(__xludf.DUMMYFUNCTION("VALUE(SUBSTITUTE((INDEX(SPLIT(A5779,"",""),2)),""."","","",1))"),52.313822)</f>
        <v>52.313822</v>
      </c>
      <c r="R5779" s="14" t="b">
        <f t="shared" si="1"/>
        <v>0</v>
      </c>
      <c r="S5779" s="14" t="str">
        <f t="shared" si="2"/>
        <v>54.88369,52.313822</v>
      </c>
      <c r="T5779" s="12"/>
    </row>
    <row r="5780">
      <c r="A5780" s="158" t="s">
        <v>37096</v>
      </c>
      <c r="B5780" s="137" t="s">
        <v>5489</v>
      </c>
      <c r="C5780" s="137" t="s">
        <v>35325</v>
      </c>
      <c r="D5780" s="137" t="s">
        <v>33342</v>
      </c>
      <c r="E5780" s="138" t="s">
        <v>37097</v>
      </c>
      <c r="F5780" s="136" t="s">
        <v>10183</v>
      </c>
      <c r="G5780" s="136" t="s">
        <v>33344</v>
      </c>
      <c r="H5780" s="136"/>
      <c r="I5780" s="137"/>
      <c r="J5780" s="137" t="s">
        <v>37098</v>
      </c>
      <c r="K5780" s="137" t="s">
        <v>37099</v>
      </c>
      <c r="L5780" s="137"/>
      <c r="M5780" s="137"/>
      <c r="N5780" s="12"/>
      <c r="O5780" s="12"/>
      <c r="P5780" s="13">
        <f>IFERROR(__xludf.DUMMYFUNCTION("VALUE(SUBSTITUTE((INDEX(SPLIT(A5780,"",""),1)),""."","","",1))"),55.751796)</f>
        <v>55.751796</v>
      </c>
      <c r="Q5780" s="13">
        <f>IFERROR(__xludf.DUMMYFUNCTION("VALUE(SUBSTITUTE((INDEX(SPLIT(A5780,"",""),2)),""."","","",1))"),52.024663)</f>
        <v>52.024663</v>
      </c>
      <c r="R5780" s="14" t="b">
        <f t="shared" si="1"/>
        <v>0</v>
      </c>
      <c r="S5780" s="14" t="str">
        <f t="shared" si="2"/>
        <v>55.751796,52.024663</v>
      </c>
      <c r="T5780" s="12"/>
    </row>
    <row r="5781">
      <c r="A5781" s="202" t="s">
        <v>37100</v>
      </c>
      <c r="B5781" s="147" t="s">
        <v>37101</v>
      </c>
      <c r="C5781" s="147" t="s">
        <v>37102</v>
      </c>
      <c r="D5781" s="147" t="s">
        <v>33342</v>
      </c>
      <c r="E5781" s="148" t="s">
        <v>37103</v>
      </c>
      <c r="F5781" s="146" t="s">
        <v>10183</v>
      </c>
      <c r="G5781" s="146" t="s">
        <v>33344</v>
      </c>
      <c r="H5781" s="146"/>
      <c r="I5781" s="147"/>
      <c r="J5781" s="147" t="s">
        <v>37104</v>
      </c>
      <c r="K5781" s="147" t="s">
        <v>37105</v>
      </c>
      <c r="L5781" s="149" t="s">
        <v>37106</v>
      </c>
      <c r="M5781" s="149" t="s">
        <v>37107</v>
      </c>
      <c r="N5781" s="12"/>
      <c r="O5781" s="12"/>
      <c r="P5781" s="13">
        <f>IFERROR(__xludf.DUMMYFUNCTION("VALUE(SUBSTITUTE((INDEX(SPLIT(A5781,"",""),1)),""."","","",1))"),55.829153)</f>
        <v>55.829153</v>
      </c>
      <c r="Q5781" s="13">
        <f>IFERROR(__xludf.DUMMYFUNCTION("VALUE(SUBSTITUTE((INDEX(SPLIT(A5781,"",""),2)),""."","","",1))"),52.013659)</f>
        <v>52.013659</v>
      </c>
      <c r="R5781" s="14" t="b">
        <f t="shared" si="1"/>
        <v>0</v>
      </c>
      <c r="S5781" s="14" t="str">
        <f t="shared" si="2"/>
        <v>55.829153,52.013659</v>
      </c>
      <c r="T5781" s="12"/>
    </row>
    <row r="5782">
      <c r="A5782" s="201" t="s">
        <v>37108</v>
      </c>
      <c r="B5782" s="143" t="s">
        <v>37109</v>
      </c>
      <c r="C5782" s="143" t="s">
        <v>37110</v>
      </c>
      <c r="D5782" s="143" t="s">
        <v>33342</v>
      </c>
      <c r="E5782" s="144" t="s">
        <v>37111</v>
      </c>
      <c r="F5782" s="142" t="s">
        <v>10183</v>
      </c>
      <c r="G5782" s="142" t="s">
        <v>33344</v>
      </c>
      <c r="H5782" s="142"/>
      <c r="I5782" s="143"/>
      <c r="J5782" s="143" t="s">
        <v>37112</v>
      </c>
      <c r="K5782" s="143" t="s">
        <v>37113</v>
      </c>
      <c r="L5782" s="145" t="s">
        <v>37114</v>
      </c>
      <c r="M5782" s="143"/>
      <c r="N5782" s="12"/>
      <c r="O5782" s="12"/>
      <c r="P5782" s="13">
        <f>IFERROR(__xludf.DUMMYFUNCTION("VALUE(SUBSTITUTE((INDEX(SPLIT(A5782,"",""),1)),""."","","",1))"),55.716843)</f>
        <v>55.716843</v>
      </c>
      <c r="Q5782" s="13">
        <f>IFERROR(__xludf.DUMMYFUNCTION("VALUE(SUBSTITUTE((INDEX(SPLIT(A5782,"",""),2)),""."","","",1))"),52.440538)</f>
        <v>52.440538</v>
      </c>
      <c r="R5782" s="14" t="b">
        <f t="shared" si="1"/>
        <v>0</v>
      </c>
      <c r="S5782" s="14" t="str">
        <f t="shared" si="2"/>
        <v>55.716843,52.440538</v>
      </c>
      <c r="T5782" s="12"/>
    </row>
    <row r="5783">
      <c r="A5783" s="202" t="s">
        <v>37115</v>
      </c>
      <c r="B5783" s="147" t="s">
        <v>37116</v>
      </c>
      <c r="C5783" s="147" t="s">
        <v>37117</v>
      </c>
      <c r="D5783" s="147" t="s">
        <v>33342</v>
      </c>
      <c r="E5783" s="148" t="s">
        <v>37118</v>
      </c>
      <c r="F5783" s="146" t="s">
        <v>10183</v>
      </c>
      <c r="G5783" s="146" t="s">
        <v>33344</v>
      </c>
      <c r="H5783" s="146"/>
      <c r="I5783" s="147"/>
      <c r="J5783" s="147" t="s">
        <v>37119</v>
      </c>
      <c r="K5783" s="147" t="s">
        <v>37120</v>
      </c>
      <c r="L5783" s="149" t="s">
        <v>37121</v>
      </c>
      <c r="M5783" s="147"/>
      <c r="N5783" s="12"/>
      <c r="O5783" s="12"/>
      <c r="P5783" s="13">
        <f>IFERROR(__xludf.DUMMYFUNCTION("VALUE(SUBSTITUTE((INDEX(SPLIT(A5783,"",""),1)),""."","","",1))"),55.839673)</f>
        <v>55.839673</v>
      </c>
      <c r="Q5783" s="13">
        <f>IFERROR(__xludf.DUMMYFUNCTION("VALUE(SUBSTITUTE((INDEX(SPLIT(A5783,"",""),2)),""."","","",1))"),48.539227)</f>
        <v>48.539227</v>
      </c>
      <c r="R5783" s="14" t="b">
        <f t="shared" si="1"/>
        <v>0</v>
      </c>
      <c r="S5783" s="14" t="str">
        <f t="shared" si="2"/>
        <v>55.839673,48.539227</v>
      </c>
      <c r="T5783" s="12"/>
    </row>
    <row r="5784">
      <c r="A5784" s="158" t="s">
        <v>37122</v>
      </c>
      <c r="B5784" s="137" t="s">
        <v>4707</v>
      </c>
      <c r="C5784" s="137" t="s">
        <v>37123</v>
      </c>
      <c r="D5784" s="137" t="s">
        <v>33342</v>
      </c>
      <c r="E5784" s="138" t="s">
        <v>37124</v>
      </c>
      <c r="F5784" s="136" t="s">
        <v>10183</v>
      </c>
      <c r="G5784" s="136" t="s">
        <v>33344</v>
      </c>
      <c r="H5784" s="136"/>
      <c r="I5784" s="137"/>
      <c r="J5784" s="137" t="s">
        <v>37125</v>
      </c>
      <c r="K5784" s="137" t="s">
        <v>37126</v>
      </c>
      <c r="L5784" s="137"/>
      <c r="M5784" s="137"/>
      <c r="N5784" s="12"/>
      <c r="O5784" s="12"/>
      <c r="P5784" s="13">
        <f>IFERROR(__xludf.DUMMYFUNCTION("VALUE(SUBSTITUTE((INDEX(SPLIT(A5784,"",""),1)),""."","","",1))"),54.571376)</f>
        <v>54.571376</v>
      </c>
      <c r="Q5784" s="13">
        <f>IFERROR(__xludf.DUMMYFUNCTION("VALUE(SUBSTITUTE((INDEX(SPLIT(A5784,"",""),2)),""."","","",1))"),52.474935)</f>
        <v>52.474935</v>
      </c>
      <c r="R5784" s="14" t="b">
        <f t="shared" si="1"/>
        <v>0</v>
      </c>
      <c r="S5784" s="14" t="str">
        <f t="shared" si="2"/>
        <v>54.571376,52.474935</v>
      </c>
      <c r="T5784" s="12"/>
    </row>
    <row r="5785">
      <c r="A5785" s="199" t="s">
        <v>22380</v>
      </c>
      <c r="B5785" s="140" t="s">
        <v>37127</v>
      </c>
      <c r="C5785" s="140" t="s">
        <v>37128</v>
      </c>
      <c r="D5785" s="140" t="s">
        <v>33342</v>
      </c>
      <c r="E5785" s="141" t="s">
        <v>37129</v>
      </c>
      <c r="F5785" s="139" t="s">
        <v>10183</v>
      </c>
      <c r="G5785" s="139" t="s">
        <v>33344</v>
      </c>
      <c r="H5785" s="139"/>
      <c r="I5785" s="140"/>
      <c r="J5785" s="140" t="s">
        <v>37130</v>
      </c>
      <c r="K5785" s="140" t="s">
        <v>37131</v>
      </c>
      <c r="L5785" s="140"/>
      <c r="M5785" s="140"/>
      <c r="N5785" s="12"/>
      <c r="O5785" s="12"/>
      <c r="P5785" s="13">
        <f>IFERROR(__xludf.DUMMYFUNCTION("VALUE(SUBSTITUTE((INDEX(SPLIT(A5785,"",""),1)),""."","","",1))"),55.741272)</f>
        <v>55.741272</v>
      </c>
      <c r="Q5785" s="13">
        <f>IFERROR(__xludf.DUMMYFUNCTION("VALUE(SUBSTITUTE((INDEX(SPLIT(A5785,"",""),2)),""."","","",1))"),52.403662)</f>
        <v>52.403662</v>
      </c>
      <c r="R5785" s="14" t="b">
        <f t="shared" si="1"/>
        <v>0</v>
      </c>
      <c r="S5785" s="14" t="str">
        <f t="shared" si="2"/>
        <v>55.741272,52.403662</v>
      </c>
      <c r="T5785" s="12"/>
    </row>
    <row r="5786">
      <c r="A5786" s="158" t="s">
        <v>37132</v>
      </c>
      <c r="B5786" s="137" t="s">
        <v>37133</v>
      </c>
      <c r="C5786" s="137" t="s">
        <v>37134</v>
      </c>
      <c r="D5786" s="137" t="s">
        <v>33342</v>
      </c>
      <c r="E5786" s="138" t="s">
        <v>37135</v>
      </c>
      <c r="F5786" s="136" t="s">
        <v>10183</v>
      </c>
      <c r="G5786" s="136" t="s">
        <v>33344</v>
      </c>
      <c r="H5786" s="136"/>
      <c r="I5786" s="137"/>
      <c r="J5786" s="137" t="s">
        <v>37136</v>
      </c>
      <c r="K5786" s="137" t="s">
        <v>37137</v>
      </c>
      <c r="L5786" s="137"/>
      <c r="M5786" s="137"/>
      <c r="N5786" s="12"/>
      <c r="O5786" s="12"/>
      <c r="P5786" s="13">
        <f>IFERROR(__xludf.DUMMYFUNCTION("VALUE(SUBSTITUTE((INDEX(SPLIT(A5786,"",""),1)),""."","","",1))"),55.781372)</f>
        <v>55.781372</v>
      </c>
      <c r="Q5786" s="13">
        <f>IFERROR(__xludf.DUMMYFUNCTION("VALUE(SUBSTITUTE((INDEX(SPLIT(A5786,"",""),2)),""."","","",1))"),52.004729)</f>
        <v>52.004729</v>
      </c>
      <c r="R5786" s="14" t="b">
        <f t="shared" si="1"/>
        <v>0</v>
      </c>
      <c r="S5786" s="14" t="str">
        <f t="shared" si="2"/>
        <v>55.781372,52.004729</v>
      </c>
      <c r="T5786" s="12"/>
    </row>
    <row r="5787">
      <c r="A5787" s="199" t="s">
        <v>37138</v>
      </c>
      <c r="B5787" s="140" t="s">
        <v>37139</v>
      </c>
      <c r="C5787" s="140" t="s">
        <v>37140</v>
      </c>
      <c r="D5787" s="140" t="s">
        <v>33342</v>
      </c>
      <c r="E5787" s="141" t="s">
        <v>37141</v>
      </c>
      <c r="F5787" s="139" t="s">
        <v>10183</v>
      </c>
      <c r="G5787" s="139" t="s">
        <v>33344</v>
      </c>
      <c r="H5787" s="139"/>
      <c r="I5787" s="140"/>
      <c r="J5787" s="140" t="s">
        <v>37142</v>
      </c>
      <c r="K5787" s="140" t="s">
        <v>37143</v>
      </c>
      <c r="L5787" s="140"/>
      <c r="M5787" s="154" t="s">
        <v>15329</v>
      </c>
      <c r="N5787" s="12"/>
      <c r="O5787" s="12"/>
      <c r="P5787" s="13">
        <f>IFERROR(__xludf.DUMMYFUNCTION("VALUE(SUBSTITUTE((INDEX(SPLIT(A5787,"",""),1)),""."","","",1))"),55.767519)</f>
        <v>55.767519</v>
      </c>
      <c r="Q5787" s="13">
        <f>IFERROR(__xludf.DUMMYFUNCTION("VALUE(SUBSTITUTE((INDEX(SPLIT(A5787,"",""),2)),""."","","",1))"),52.010209)</f>
        <v>52.010209</v>
      </c>
      <c r="R5787" s="14" t="b">
        <f t="shared" si="1"/>
        <v>0</v>
      </c>
      <c r="S5787" s="14" t="str">
        <f t="shared" si="2"/>
        <v>55.767519,52.010209</v>
      </c>
      <c r="T5787" s="12"/>
    </row>
    <row r="5788">
      <c r="A5788" s="201" t="s">
        <v>37144</v>
      </c>
      <c r="B5788" s="143" t="s">
        <v>37145</v>
      </c>
      <c r="C5788" s="143" t="s">
        <v>37146</v>
      </c>
      <c r="D5788" s="143" t="s">
        <v>33342</v>
      </c>
      <c r="E5788" s="144" t="s">
        <v>37147</v>
      </c>
      <c r="F5788" s="142" t="s">
        <v>10183</v>
      </c>
      <c r="G5788" s="142" t="s">
        <v>33344</v>
      </c>
      <c r="H5788" s="142"/>
      <c r="I5788" s="143"/>
      <c r="J5788" s="143" t="s">
        <v>37148</v>
      </c>
      <c r="K5788" s="143" t="s">
        <v>37149</v>
      </c>
      <c r="L5788" s="145" t="s">
        <v>37150</v>
      </c>
      <c r="M5788" s="143"/>
      <c r="N5788" s="12"/>
      <c r="O5788" s="12"/>
      <c r="P5788" s="13">
        <f>IFERROR(__xludf.DUMMYFUNCTION("VALUE(SUBSTITUTE((INDEX(SPLIT(A5788,"",""),1)),""."","","",1))"),55.791633)</f>
        <v>55.791633</v>
      </c>
      <c r="Q5788" s="13">
        <f>IFERROR(__xludf.DUMMYFUNCTION("VALUE(SUBSTITUTE((INDEX(SPLIT(A5788,"",""),2)),""."","","",1))"),49.132151)</f>
        <v>49.132151</v>
      </c>
      <c r="R5788" s="14" t="b">
        <f t="shared" si="1"/>
        <v>0</v>
      </c>
      <c r="S5788" s="14" t="str">
        <f t="shared" si="2"/>
        <v>55.791633,49.132151</v>
      </c>
      <c r="T5788" s="12"/>
    </row>
    <row r="5789">
      <c r="A5789" s="199" t="s">
        <v>37151</v>
      </c>
      <c r="B5789" s="140" t="s">
        <v>37152</v>
      </c>
      <c r="C5789" s="140" t="s">
        <v>37153</v>
      </c>
      <c r="D5789" s="140" t="s">
        <v>33342</v>
      </c>
      <c r="E5789" s="141" t="s">
        <v>37154</v>
      </c>
      <c r="F5789" s="139" t="s">
        <v>10183</v>
      </c>
      <c r="G5789" s="139" t="s">
        <v>33344</v>
      </c>
      <c r="H5789" s="139"/>
      <c r="I5789" s="140"/>
      <c r="J5789" s="140" t="s">
        <v>37155</v>
      </c>
      <c r="K5789" s="140" t="s">
        <v>37156</v>
      </c>
      <c r="L5789" s="140"/>
      <c r="M5789" s="140"/>
      <c r="N5789" s="12"/>
      <c r="O5789" s="12"/>
      <c r="P5789" s="13">
        <f>IFERROR(__xludf.DUMMYFUNCTION("VALUE(SUBSTITUTE((INDEX(SPLIT(A5789,"",""),1)),""."","","",1))"),55.749268)</f>
        <v>55.749268</v>
      </c>
      <c r="Q5789" s="13">
        <f>IFERROR(__xludf.DUMMYFUNCTION("VALUE(SUBSTITUTE((INDEX(SPLIT(A5789,"",""),2)),""."","","",1))"),52.095459)</f>
        <v>52.095459</v>
      </c>
      <c r="R5789" s="14" t="b">
        <f t="shared" si="1"/>
        <v>0</v>
      </c>
      <c r="S5789" s="14" t="str">
        <f t="shared" si="2"/>
        <v>55.749268,52.095459</v>
      </c>
      <c r="T5789" s="12"/>
    </row>
    <row r="5790">
      <c r="A5790" s="158" t="s">
        <v>22455</v>
      </c>
      <c r="B5790" s="137" t="s">
        <v>1620</v>
      </c>
      <c r="C5790" s="137" t="s">
        <v>37157</v>
      </c>
      <c r="D5790" s="137" t="s">
        <v>33342</v>
      </c>
      <c r="E5790" s="138" t="s">
        <v>37158</v>
      </c>
      <c r="F5790" s="136" t="s">
        <v>10183</v>
      </c>
      <c r="G5790" s="136" t="s">
        <v>33344</v>
      </c>
      <c r="H5790" s="136"/>
      <c r="I5790" s="137"/>
      <c r="J5790" s="137" t="s">
        <v>37159</v>
      </c>
      <c r="K5790" s="137" t="s">
        <v>37160</v>
      </c>
      <c r="L5790" s="137"/>
      <c r="M5790" s="153" t="s">
        <v>2139</v>
      </c>
      <c r="N5790" s="12"/>
      <c r="O5790" s="12"/>
      <c r="P5790" s="13">
        <f>IFERROR(__xludf.DUMMYFUNCTION("VALUE(SUBSTITUTE((INDEX(SPLIT(A5790,"",""),1)),""."","","",1))"),55.693723)</f>
        <v>55.693723</v>
      </c>
      <c r="Q5790" s="13">
        <f>IFERROR(__xludf.DUMMYFUNCTION("VALUE(SUBSTITUTE((INDEX(SPLIT(A5790,"",""),2)),""."","","",1))"),52.45519)</f>
        <v>52.45519</v>
      </c>
      <c r="R5790" s="14" t="b">
        <f t="shared" si="1"/>
        <v>0</v>
      </c>
      <c r="S5790" s="14" t="str">
        <f t="shared" si="2"/>
        <v>55.693723,52.45519</v>
      </c>
      <c r="T5790" s="12"/>
    </row>
    <row r="5791">
      <c r="A5791" s="202" t="s">
        <v>37161</v>
      </c>
      <c r="B5791" s="147" t="s">
        <v>37162</v>
      </c>
      <c r="C5791" s="147" t="s">
        <v>37163</v>
      </c>
      <c r="D5791" s="147" t="s">
        <v>33342</v>
      </c>
      <c r="E5791" s="148" t="s">
        <v>37164</v>
      </c>
      <c r="F5791" s="146" t="s">
        <v>10183</v>
      </c>
      <c r="G5791" s="146" t="s">
        <v>33344</v>
      </c>
      <c r="H5791" s="146"/>
      <c r="I5791" s="147"/>
      <c r="J5791" s="147" t="s">
        <v>37165</v>
      </c>
      <c r="K5791" s="147" t="s">
        <v>37166</v>
      </c>
      <c r="L5791" s="149" t="s">
        <v>37167</v>
      </c>
      <c r="M5791" s="147"/>
      <c r="N5791" s="12"/>
      <c r="O5791" s="12"/>
      <c r="P5791" s="13">
        <f>IFERROR(__xludf.DUMMYFUNCTION("VALUE(SUBSTITUTE((INDEX(SPLIT(A5791,"",""),1)),""."","","",1))"),55.720895)</f>
        <v>55.720895</v>
      </c>
      <c r="Q5791" s="13">
        <f>IFERROR(__xludf.DUMMYFUNCTION("VALUE(SUBSTITUTE((INDEX(SPLIT(A5791,"",""),2)),""."","","",1))"),52.379201)</f>
        <v>52.379201</v>
      </c>
      <c r="R5791" s="14" t="b">
        <f t="shared" si="1"/>
        <v>0</v>
      </c>
      <c r="S5791" s="14" t="str">
        <f t="shared" si="2"/>
        <v>55.720895,52.379201</v>
      </c>
      <c r="T5791" s="12"/>
    </row>
    <row r="5792">
      <c r="A5792" s="158" t="s">
        <v>37168</v>
      </c>
      <c r="B5792" s="137" t="s">
        <v>37169</v>
      </c>
      <c r="C5792" s="137" t="s">
        <v>37170</v>
      </c>
      <c r="D5792" s="137" t="s">
        <v>33342</v>
      </c>
      <c r="E5792" s="138" t="s">
        <v>37171</v>
      </c>
      <c r="F5792" s="136" t="s">
        <v>10183</v>
      </c>
      <c r="G5792" s="136" t="s">
        <v>33344</v>
      </c>
      <c r="H5792" s="136"/>
      <c r="I5792" s="137"/>
      <c r="J5792" s="137" t="s">
        <v>37172</v>
      </c>
      <c r="K5792" s="137" t="s">
        <v>37173</v>
      </c>
      <c r="L5792" s="137"/>
      <c r="M5792" s="137"/>
      <c r="N5792" s="12"/>
      <c r="O5792" s="12"/>
      <c r="P5792" s="13">
        <f>IFERROR(__xludf.DUMMYFUNCTION("VALUE(SUBSTITUTE((INDEX(SPLIT(A5792,"",""),1)),""."","","",1))"),55.706056)</f>
        <v>55.706056</v>
      </c>
      <c r="Q5792" s="13">
        <f>IFERROR(__xludf.DUMMYFUNCTION("VALUE(SUBSTITUTE((INDEX(SPLIT(A5792,"",""),2)),""."","","",1))"),52.336666)</f>
        <v>52.336666</v>
      </c>
      <c r="R5792" s="14" t="b">
        <f t="shared" si="1"/>
        <v>0</v>
      </c>
      <c r="S5792" s="14" t="str">
        <f t="shared" si="2"/>
        <v>55.706056,52.336666</v>
      </c>
      <c r="T5792" s="12"/>
    </row>
    <row r="5793">
      <c r="A5793" s="199" t="s">
        <v>37174</v>
      </c>
      <c r="B5793" s="140" t="s">
        <v>770</v>
      </c>
      <c r="C5793" s="140" t="s">
        <v>37175</v>
      </c>
      <c r="D5793" s="140" t="s">
        <v>33342</v>
      </c>
      <c r="E5793" s="141" t="s">
        <v>37176</v>
      </c>
      <c r="F5793" s="139" t="s">
        <v>10183</v>
      </c>
      <c r="G5793" s="139" t="s">
        <v>33344</v>
      </c>
      <c r="H5793" s="139"/>
      <c r="I5793" s="140"/>
      <c r="J5793" s="140" t="s">
        <v>37177</v>
      </c>
      <c r="K5793" s="140" t="s">
        <v>37178</v>
      </c>
      <c r="L5793" s="140"/>
      <c r="M5793" s="154" t="s">
        <v>37179</v>
      </c>
      <c r="N5793" s="12"/>
      <c r="O5793" s="12"/>
      <c r="P5793" s="13">
        <f>IFERROR(__xludf.DUMMYFUNCTION("VALUE(SUBSTITUTE((INDEX(SPLIT(A5793,"",""),1)),""."","","",1))"),55.705605)</f>
        <v>55.705605</v>
      </c>
      <c r="Q5793" s="13">
        <f>IFERROR(__xludf.DUMMYFUNCTION("VALUE(SUBSTITUTE((INDEX(SPLIT(A5793,"",""),2)),""."","","",1))"),52.331806)</f>
        <v>52.331806</v>
      </c>
      <c r="R5793" s="14" t="b">
        <f t="shared" si="1"/>
        <v>0</v>
      </c>
      <c r="S5793" s="14" t="str">
        <f t="shared" si="2"/>
        <v>55.705605,52.331806</v>
      </c>
      <c r="T5793" s="12"/>
    </row>
    <row r="5794">
      <c r="A5794" s="158" t="s">
        <v>37180</v>
      </c>
      <c r="B5794" s="137" t="s">
        <v>37181</v>
      </c>
      <c r="C5794" s="137" t="s">
        <v>37182</v>
      </c>
      <c r="D5794" s="137" t="s">
        <v>33342</v>
      </c>
      <c r="E5794" s="138" t="s">
        <v>37183</v>
      </c>
      <c r="F5794" s="136" t="s">
        <v>10183</v>
      </c>
      <c r="G5794" s="136" t="s">
        <v>33344</v>
      </c>
      <c r="H5794" s="136"/>
      <c r="I5794" s="137"/>
      <c r="J5794" s="137" t="s">
        <v>37184</v>
      </c>
      <c r="K5794" s="137" t="s">
        <v>37185</v>
      </c>
      <c r="L5794" s="137"/>
      <c r="M5794" s="153" t="s">
        <v>37186</v>
      </c>
      <c r="N5794" s="12"/>
      <c r="O5794" s="12"/>
      <c r="P5794" s="13">
        <f>IFERROR(__xludf.DUMMYFUNCTION("VALUE(SUBSTITUTE((INDEX(SPLIT(A5794,"",""),1)),""."","","",1))"),55.7629)</f>
        <v>55.7629</v>
      </c>
      <c r="Q5794" s="13">
        <f>IFERROR(__xludf.DUMMYFUNCTION("VALUE(SUBSTITUTE((INDEX(SPLIT(A5794,"",""),2)),""."","","",1))"),52.429597)</f>
        <v>52.429597</v>
      </c>
      <c r="R5794" s="14" t="b">
        <f t="shared" si="1"/>
        <v>0</v>
      </c>
      <c r="S5794" s="14" t="str">
        <f t="shared" si="2"/>
        <v>55.7629,52.429597</v>
      </c>
      <c r="T5794" s="12"/>
    </row>
    <row r="5795">
      <c r="A5795" s="199" t="s">
        <v>37187</v>
      </c>
      <c r="B5795" s="140" t="s">
        <v>37188</v>
      </c>
      <c r="C5795" s="140" t="s">
        <v>37189</v>
      </c>
      <c r="D5795" s="140" t="s">
        <v>33342</v>
      </c>
      <c r="E5795" s="141" t="s">
        <v>37190</v>
      </c>
      <c r="F5795" s="139" t="s">
        <v>10183</v>
      </c>
      <c r="G5795" s="139" t="s">
        <v>33344</v>
      </c>
      <c r="H5795" s="139"/>
      <c r="I5795" s="140"/>
      <c r="J5795" s="140" t="s">
        <v>37191</v>
      </c>
      <c r="K5795" s="140" t="s">
        <v>37192</v>
      </c>
      <c r="L5795" s="140"/>
      <c r="M5795" s="140"/>
      <c r="N5795" s="12"/>
      <c r="O5795" s="12"/>
      <c r="P5795" s="13">
        <f>IFERROR(__xludf.DUMMYFUNCTION("VALUE(SUBSTITUTE((INDEX(SPLIT(A5795,"",""),1)),""."","","",1))"),55.428914)</f>
        <v>55.428914</v>
      </c>
      <c r="Q5795" s="13">
        <f>IFERROR(__xludf.DUMMYFUNCTION("VALUE(SUBSTITUTE((INDEX(SPLIT(A5795,"",""),2)),""."","","",1))"),51.416225)</f>
        <v>51.416225</v>
      </c>
      <c r="R5795" s="14" t="b">
        <f t="shared" si="1"/>
        <v>0</v>
      </c>
      <c r="S5795" s="14" t="str">
        <f t="shared" si="2"/>
        <v>55.428914,51.416225</v>
      </c>
      <c r="T5795" s="12"/>
    </row>
    <row r="5796">
      <c r="A5796" s="158" t="s">
        <v>37193</v>
      </c>
      <c r="B5796" s="137" t="s">
        <v>37194</v>
      </c>
      <c r="C5796" s="137" t="s">
        <v>37195</v>
      </c>
      <c r="D5796" s="137" t="s">
        <v>33342</v>
      </c>
      <c r="E5796" s="138" t="s">
        <v>37196</v>
      </c>
      <c r="F5796" s="136" t="s">
        <v>10183</v>
      </c>
      <c r="G5796" s="136" t="s">
        <v>33344</v>
      </c>
      <c r="H5796" s="136"/>
      <c r="I5796" s="137"/>
      <c r="J5796" s="137" t="s">
        <v>37197</v>
      </c>
      <c r="K5796" s="137" t="s">
        <v>37198</v>
      </c>
      <c r="L5796" s="137"/>
      <c r="M5796" s="137"/>
      <c r="N5796" s="12"/>
      <c r="O5796" s="12"/>
      <c r="P5796" s="13">
        <f>IFERROR(__xludf.DUMMYFUNCTION("VALUE(SUBSTITUTE((INDEX(SPLIT(A5796,"",""),1)),""."","","",1))"),55.604824)</f>
        <v>55.604824</v>
      </c>
      <c r="Q5796" s="13">
        <f>IFERROR(__xludf.DUMMYFUNCTION("VALUE(SUBSTITUTE((INDEX(SPLIT(A5796,"",""),2)),""."","","",1))"),51.848971)</f>
        <v>51.848971</v>
      </c>
      <c r="R5796" s="14" t="b">
        <f t="shared" si="1"/>
        <v>0</v>
      </c>
      <c r="S5796" s="14" t="str">
        <f t="shared" si="2"/>
        <v>55.604824,51.848971</v>
      </c>
      <c r="T5796" s="12"/>
    </row>
    <row r="5797">
      <c r="A5797" s="202" t="s">
        <v>37199</v>
      </c>
      <c r="B5797" s="147" t="s">
        <v>37200</v>
      </c>
      <c r="C5797" s="147" t="s">
        <v>37201</v>
      </c>
      <c r="D5797" s="147" t="s">
        <v>33342</v>
      </c>
      <c r="E5797" s="148" t="s">
        <v>37202</v>
      </c>
      <c r="F5797" s="146" t="s">
        <v>10183</v>
      </c>
      <c r="G5797" s="146" t="s">
        <v>33344</v>
      </c>
      <c r="H5797" s="146"/>
      <c r="I5797" s="147"/>
      <c r="J5797" s="147" t="s">
        <v>37203</v>
      </c>
      <c r="K5797" s="147" t="s">
        <v>37204</v>
      </c>
      <c r="L5797" s="150" t="s">
        <v>37205</v>
      </c>
      <c r="M5797" s="147"/>
      <c r="N5797" s="12"/>
      <c r="O5797" s="12"/>
      <c r="P5797" s="13">
        <f>IFERROR(__xludf.DUMMYFUNCTION("VALUE(SUBSTITUTE((INDEX(SPLIT(A5797,"",""),1)),""."","","",1))"),55.586822)</f>
        <v>55.586822</v>
      </c>
      <c r="Q5797" s="13">
        <f>IFERROR(__xludf.DUMMYFUNCTION("VALUE(SUBSTITUTE((INDEX(SPLIT(A5797,"",""),2)),""."","","",1))"),51.836538)</f>
        <v>51.836538</v>
      </c>
      <c r="R5797" s="14" t="b">
        <f t="shared" si="1"/>
        <v>0</v>
      </c>
      <c r="S5797" s="14" t="str">
        <f t="shared" si="2"/>
        <v>55.586822,51.836538</v>
      </c>
      <c r="T5797" s="12"/>
    </row>
    <row r="5798">
      <c r="A5798" s="158" t="s">
        <v>37206</v>
      </c>
      <c r="B5798" s="137" t="s">
        <v>19447</v>
      </c>
      <c r="C5798" s="137" t="s">
        <v>37207</v>
      </c>
      <c r="D5798" s="137" t="s">
        <v>33342</v>
      </c>
      <c r="E5798" s="138" t="s">
        <v>37208</v>
      </c>
      <c r="F5798" s="136" t="s">
        <v>10183</v>
      </c>
      <c r="G5798" s="136" t="s">
        <v>33344</v>
      </c>
      <c r="H5798" s="136"/>
      <c r="I5798" s="137"/>
      <c r="J5798" s="137" t="s">
        <v>37209</v>
      </c>
      <c r="K5798" s="137" t="s">
        <v>37210</v>
      </c>
      <c r="L5798" s="137"/>
      <c r="M5798" s="137"/>
      <c r="N5798" s="12"/>
      <c r="O5798" s="12"/>
      <c r="P5798" s="13">
        <f>IFERROR(__xludf.DUMMYFUNCTION("VALUE(SUBSTITUTE((INDEX(SPLIT(A5798,"",""),1)),""."","","",1))"),55.337537)</f>
        <v>55.337537</v>
      </c>
      <c r="Q5798" s="13">
        <f>IFERROR(__xludf.DUMMYFUNCTION("VALUE(SUBSTITUTE((INDEX(SPLIT(A5798,"",""),2)),""."","","",1))"),50.626139)</f>
        <v>50.626139</v>
      </c>
      <c r="R5798" s="14" t="b">
        <f t="shared" si="1"/>
        <v>0</v>
      </c>
      <c r="S5798" s="14" t="str">
        <f t="shared" si="2"/>
        <v>55.337537,50.626139</v>
      </c>
      <c r="T5798" s="12"/>
    </row>
    <row r="5799">
      <c r="A5799" s="199" t="s">
        <v>37211</v>
      </c>
      <c r="B5799" s="140" t="s">
        <v>37212</v>
      </c>
      <c r="C5799" s="140" t="s">
        <v>37213</v>
      </c>
      <c r="D5799" s="140" t="s">
        <v>33342</v>
      </c>
      <c r="E5799" s="141" t="s">
        <v>37214</v>
      </c>
      <c r="F5799" s="139" t="s">
        <v>10183</v>
      </c>
      <c r="G5799" s="139" t="s">
        <v>33344</v>
      </c>
      <c r="H5799" s="139"/>
      <c r="I5799" s="140"/>
      <c r="J5799" s="140" t="s">
        <v>37215</v>
      </c>
      <c r="K5799" s="140" t="s">
        <v>37216</v>
      </c>
      <c r="L5799" s="140"/>
      <c r="M5799" s="140"/>
      <c r="N5799" s="12"/>
      <c r="O5799" s="12"/>
      <c r="P5799" s="13">
        <f>IFERROR(__xludf.DUMMYFUNCTION("VALUE(SUBSTITUTE((INDEX(SPLIT(A5799,"",""),1)),""."","","",1))"),55.34514)</f>
        <v>55.34514</v>
      </c>
      <c r="Q5799" s="13">
        <f>IFERROR(__xludf.DUMMYFUNCTION("VALUE(SUBSTITUTE((INDEX(SPLIT(A5799,"",""),2)),""."","","",1))"),50.651696)</f>
        <v>50.651696</v>
      </c>
      <c r="R5799" s="14" t="b">
        <f t="shared" si="1"/>
        <v>0</v>
      </c>
      <c r="S5799" s="14" t="str">
        <f t="shared" si="2"/>
        <v>55.34514,50.651696</v>
      </c>
      <c r="T5799" s="12"/>
    </row>
    <row r="5800">
      <c r="A5800" s="201" t="s">
        <v>37217</v>
      </c>
      <c r="B5800" s="143" t="s">
        <v>37218</v>
      </c>
      <c r="C5800" s="143" t="s">
        <v>37219</v>
      </c>
      <c r="D5800" s="143" t="s">
        <v>33342</v>
      </c>
      <c r="E5800" s="144" t="s">
        <v>37220</v>
      </c>
      <c r="F5800" s="142" t="s">
        <v>10183</v>
      </c>
      <c r="G5800" s="142" t="s">
        <v>33344</v>
      </c>
      <c r="H5800" s="142"/>
      <c r="I5800" s="143"/>
      <c r="J5800" s="143" t="s">
        <v>37221</v>
      </c>
      <c r="K5800" s="143" t="s">
        <v>37185</v>
      </c>
      <c r="L5800" s="145" t="s">
        <v>37222</v>
      </c>
      <c r="M5800" s="143"/>
      <c r="N5800" s="12"/>
      <c r="O5800" s="12"/>
      <c r="P5800" s="13">
        <f>IFERROR(__xludf.DUMMYFUNCTION("VALUE(SUBSTITUTE((INDEX(SPLIT(A5800,"",""),1)),""."","","",1))"),55.383147)</f>
        <v>55.383147</v>
      </c>
      <c r="Q5800" s="13">
        <f>IFERROR(__xludf.DUMMYFUNCTION("VALUE(SUBSTITUTE((INDEX(SPLIT(A5800,"",""),2)),""."","","",1))"),50.690207)</f>
        <v>50.690207</v>
      </c>
      <c r="R5800" s="14" t="b">
        <f t="shared" si="1"/>
        <v>0</v>
      </c>
      <c r="S5800" s="14" t="str">
        <f t="shared" si="2"/>
        <v>55.383147,50.690207</v>
      </c>
      <c r="T5800" s="12"/>
    </row>
    <row r="5801">
      <c r="A5801" s="202" t="s">
        <v>37223</v>
      </c>
      <c r="B5801" s="147" t="s">
        <v>37224</v>
      </c>
      <c r="C5801" s="147" t="s">
        <v>37225</v>
      </c>
      <c r="D5801" s="147" t="s">
        <v>33342</v>
      </c>
      <c r="E5801" s="148" t="s">
        <v>37226</v>
      </c>
      <c r="F5801" s="146" t="s">
        <v>10183</v>
      </c>
      <c r="G5801" s="146" t="s">
        <v>33344</v>
      </c>
      <c r="H5801" s="146"/>
      <c r="I5801" s="147"/>
      <c r="J5801" s="147" t="s">
        <v>37227</v>
      </c>
      <c r="K5801" s="147" t="s">
        <v>37228</v>
      </c>
      <c r="L5801" s="149" t="s">
        <v>37229</v>
      </c>
      <c r="M5801" s="147"/>
      <c r="N5801" s="12"/>
      <c r="O5801" s="12"/>
      <c r="P5801" s="13">
        <f>IFERROR(__xludf.DUMMYFUNCTION("VALUE(SUBSTITUTE((INDEX(SPLIT(A5801,"",""),1)),""."","","",1))"),55.780826)</f>
        <v>55.780826</v>
      </c>
      <c r="Q5801" s="13">
        <f>IFERROR(__xludf.DUMMYFUNCTION("VALUE(SUBSTITUTE((INDEX(SPLIT(A5801,"",""),2)),""."","","",1))"),49.14594)</f>
        <v>49.14594</v>
      </c>
      <c r="R5801" s="14" t="b">
        <f t="shared" si="1"/>
        <v>0</v>
      </c>
      <c r="S5801" s="14" t="str">
        <f t="shared" si="2"/>
        <v>55.780826,49.14594</v>
      </c>
      <c r="T5801" s="12"/>
    </row>
    <row r="5802">
      <c r="A5802" s="201" t="s">
        <v>37230</v>
      </c>
      <c r="B5802" s="143" t="s">
        <v>37231</v>
      </c>
      <c r="C5802" s="143" t="s">
        <v>37232</v>
      </c>
      <c r="D5802" s="143" t="s">
        <v>33342</v>
      </c>
      <c r="E5802" s="144" t="s">
        <v>37233</v>
      </c>
      <c r="F5802" s="142" t="s">
        <v>10183</v>
      </c>
      <c r="G5802" s="142" t="s">
        <v>33344</v>
      </c>
      <c r="H5802" s="142"/>
      <c r="I5802" s="143"/>
      <c r="J5802" s="143" t="s">
        <v>37234</v>
      </c>
      <c r="K5802" s="143" t="s">
        <v>37235</v>
      </c>
      <c r="L5802" s="145" t="s">
        <v>37236</v>
      </c>
      <c r="M5802" s="143"/>
      <c r="N5802" s="12"/>
      <c r="O5802" s="12"/>
      <c r="P5802" s="13">
        <f>IFERROR(__xludf.DUMMYFUNCTION("VALUE(SUBSTITUTE((INDEX(SPLIT(A5802,"",""),1)),""."","","",1))"),55.796395)</f>
        <v>55.796395</v>
      </c>
      <c r="Q5802" s="13">
        <f>IFERROR(__xludf.DUMMYFUNCTION("VALUE(SUBSTITUTE((INDEX(SPLIT(A5802,"",""),2)),""."","","",1))"),49.1129)</f>
        <v>49.1129</v>
      </c>
      <c r="R5802" s="14" t="b">
        <f t="shared" si="1"/>
        <v>0</v>
      </c>
      <c r="S5802" s="14" t="str">
        <f t="shared" si="2"/>
        <v>55.796395,49.1129</v>
      </c>
      <c r="T5802" s="12"/>
    </row>
    <row r="5803">
      <c r="A5803" s="199" t="s">
        <v>37237</v>
      </c>
      <c r="B5803" s="140" t="s">
        <v>37238</v>
      </c>
      <c r="C5803" s="140" t="s">
        <v>37239</v>
      </c>
      <c r="D5803" s="140" t="s">
        <v>33342</v>
      </c>
      <c r="E5803" s="141" t="s">
        <v>37240</v>
      </c>
      <c r="F5803" s="139" t="s">
        <v>10183</v>
      </c>
      <c r="G5803" s="139" t="s">
        <v>33344</v>
      </c>
      <c r="H5803" s="139"/>
      <c r="I5803" s="140"/>
      <c r="J5803" s="140" t="s">
        <v>37241</v>
      </c>
      <c r="K5803" s="140" t="s">
        <v>37242</v>
      </c>
      <c r="L5803" s="140"/>
      <c r="M5803" s="140"/>
      <c r="N5803" s="12"/>
      <c r="O5803" s="12"/>
      <c r="P5803" s="13">
        <f>IFERROR(__xludf.DUMMYFUNCTION("VALUE(SUBSTITUTE((INDEX(SPLIT(A5803,"",""),1)),""."","","",1))"),55.791415)</f>
        <v>55.791415</v>
      </c>
      <c r="Q5803" s="13">
        <f>IFERROR(__xludf.DUMMYFUNCTION("VALUE(SUBSTITUTE((INDEX(SPLIT(A5803,"",""),2)),""."","","",1))"),49.107636)</f>
        <v>49.107636</v>
      </c>
      <c r="R5803" s="14" t="b">
        <f t="shared" si="1"/>
        <v>0</v>
      </c>
      <c r="S5803" s="14" t="str">
        <f t="shared" si="2"/>
        <v>55.791415,49.107636</v>
      </c>
      <c r="T5803" s="12"/>
    </row>
    <row r="5804">
      <c r="A5804" s="158" t="s">
        <v>37243</v>
      </c>
      <c r="B5804" s="137" t="s">
        <v>37244</v>
      </c>
      <c r="C5804" s="137" t="s">
        <v>37245</v>
      </c>
      <c r="D5804" s="137" t="s">
        <v>33342</v>
      </c>
      <c r="E5804" s="138" t="s">
        <v>37246</v>
      </c>
      <c r="F5804" s="136" t="s">
        <v>10183</v>
      </c>
      <c r="G5804" s="136" t="s">
        <v>33344</v>
      </c>
      <c r="H5804" s="136"/>
      <c r="I5804" s="137"/>
      <c r="J5804" s="137" t="s">
        <v>37247</v>
      </c>
      <c r="K5804" s="137" t="s">
        <v>37248</v>
      </c>
      <c r="L5804" s="137"/>
      <c r="M5804" s="137"/>
      <c r="N5804" s="12"/>
      <c r="O5804" s="12"/>
      <c r="P5804" s="13">
        <f>IFERROR(__xludf.DUMMYFUNCTION("VALUE(SUBSTITUTE((INDEX(SPLIT(A5804,"",""),1)),""."","","",1))"),55.779307)</f>
        <v>55.779307</v>
      </c>
      <c r="Q5804" s="13">
        <f>IFERROR(__xludf.DUMMYFUNCTION("VALUE(SUBSTITUTE((INDEX(SPLIT(A5804,"",""),2)),""."","","",1))"),49.141996)</f>
        <v>49.141996</v>
      </c>
      <c r="R5804" s="14" t="b">
        <f t="shared" si="1"/>
        <v>0</v>
      </c>
      <c r="S5804" s="14" t="str">
        <f t="shared" si="2"/>
        <v>55.779307,49.141996</v>
      </c>
      <c r="T5804" s="12"/>
    </row>
    <row r="5805">
      <c r="A5805" s="202" t="s">
        <v>37249</v>
      </c>
      <c r="B5805" s="147" t="s">
        <v>37250</v>
      </c>
      <c r="C5805" s="147" t="s">
        <v>37251</v>
      </c>
      <c r="D5805" s="147" t="s">
        <v>33342</v>
      </c>
      <c r="E5805" s="148" t="s">
        <v>37252</v>
      </c>
      <c r="F5805" s="146" t="s">
        <v>10183</v>
      </c>
      <c r="G5805" s="146" t="s">
        <v>33344</v>
      </c>
      <c r="H5805" s="146"/>
      <c r="I5805" s="147"/>
      <c r="J5805" s="147" t="s">
        <v>37253</v>
      </c>
      <c r="K5805" s="147" t="s">
        <v>37254</v>
      </c>
      <c r="L5805" s="149" t="s">
        <v>37255</v>
      </c>
      <c r="M5805" s="147"/>
      <c r="N5805" s="12"/>
      <c r="O5805" s="12"/>
      <c r="P5805" s="13">
        <f>IFERROR(__xludf.DUMMYFUNCTION("VALUE(SUBSTITUTE((INDEX(SPLIT(A5805,"",""),1)),""."","","",1))"),55.781944)</f>
        <v>55.781944</v>
      </c>
      <c r="Q5805" s="13">
        <f>IFERROR(__xludf.DUMMYFUNCTION("VALUE(SUBSTITUTE((INDEX(SPLIT(A5805,"",""),2)),""."","","",1))"),49.10318)</f>
        <v>49.10318</v>
      </c>
      <c r="R5805" s="14" t="b">
        <f t="shared" si="1"/>
        <v>0</v>
      </c>
      <c r="S5805" s="14" t="str">
        <f t="shared" si="2"/>
        <v>55.781944,49.10318</v>
      </c>
      <c r="T5805" s="12"/>
    </row>
    <row r="5806">
      <c r="A5806" s="158" t="s">
        <v>37256</v>
      </c>
      <c r="B5806" s="137" t="s">
        <v>37257</v>
      </c>
      <c r="C5806" s="137" t="s">
        <v>37258</v>
      </c>
      <c r="D5806" s="137" t="s">
        <v>33342</v>
      </c>
      <c r="E5806" s="138" t="s">
        <v>37259</v>
      </c>
      <c r="F5806" s="136" t="s">
        <v>10183</v>
      </c>
      <c r="G5806" s="136" t="s">
        <v>33344</v>
      </c>
      <c r="H5806" s="136"/>
      <c r="I5806" s="137"/>
      <c r="J5806" s="137" t="s">
        <v>37260</v>
      </c>
      <c r="K5806" s="137" t="s">
        <v>37261</v>
      </c>
      <c r="L5806" s="137"/>
      <c r="M5806" s="137"/>
      <c r="N5806" s="12"/>
      <c r="O5806" s="12"/>
      <c r="P5806" s="13">
        <f>IFERROR(__xludf.DUMMYFUNCTION("VALUE(SUBSTITUTE((INDEX(SPLIT(A5806,"",""),1)),""."","","",1))"),55.760256)</f>
        <v>55.760256</v>
      </c>
      <c r="Q5806" s="13">
        <f>IFERROR(__xludf.DUMMYFUNCTION("VALUE(SUBSTITUTE((INDEX(SPLIT(A5806,"",""),2)),""."","","",1))"),49.081171)</f>
        <v>49.081171</v>
      </c>
      <c r="R5806" s="14" t="b">
        <f t="shared" si="1"/>
        <v>0</v>
      </c>
      <c r="S5806" s="14" t="str">
        <f t="shared" si="2"/>
        <v>55.760256,49.081171</v>
      </c>
      <c r="T5806" s="12"/>
    </row>
    <row r="5807">
      <c r="A5807" s="202" t="s">
        <v>37262</v>
      </c>
      <c r="B5807" s="147" t="s">
        <v>37263</v>
      </c>
      <c r="C5807" s="147" t="s">
        <v>37264</v>
      </c>
      <c r="D5807" s="147" t="s">
        <v>33342</v>
      </c>
      <c r="E5807" s="148" t="s">
        <v>37265</v>
      </c>
      <c r="F5807" s="146" t="s">
        <v>10183</v>
      </c>
      <c r="G5807" s="146" t="s">
        <v>33344</v>
      </c>
      <c r="H5807" s="146"/>
      <c r="I5807" s="147"/>
      <c r="J5807" s="147" t="s">
        <v>37266</v>
      </c>
      <c r="K5807" s="147" t="s">
        <v>37267</v>
      </c>
      <c r="L5807" s="149" t="s">
        <v>37268</v>
      </c>
      <c r="M5807" s="147"/>
      <c r="N5807" s="12"/>
      <c r="O5807" s="12"/>
      <c r="P5807" s="13">
        <f>IFERROR(__xludf.DUMMYFUNCTION("VALUE(SUBSTITUTE((INDEX(SPLIT(A5807,"",""),1)),""."","","",1))"),55.775256)</f>
        <v>55.775256</v>
      </c>
      <c r="Q5807" s="13">
        <f>IFERROR(__xludf.DUMMYFUNCTION("VALUE(SUBSTITUTE((INDEX(SPLIT(A5807,"",""),2)),""."","","",1))"),49.136022)</f>
        <v>49.136022</v>
      </c>
      <c r="R5807" s="14" t="b">
        <f t="shared" si="1"/>
        <v>0</v>
      </c>
      <c r="S5807" s="14" t="str">
        <f t="shared" si="2"/>
        <v>55.775256,49.136022</v>
      </c>
      <c r="T5807" s="12"/>
    </row>
    <row r="5808">
      <c r="A5808" s="158" t="s">
        <v>37269</v>
      </c>
      <c r="B5808" s="137" t="s">
        <v>37270</v>
      </c>
      <c r="C5808" s="137" t="s">
        <v>37271</v>
      </c>
      <c r="D5808" s="137" t="s">
        <v>33342</v>
      </c>
      <c r="E5808" s="138" t="s">
        <v>37272</v>
      </c>
      <c r="F5808" s="136" t="s">
        <v>10183</v>
      </c>
      <c r="G5808" s="136" t="s">
        <v>33344</v>
      </c>
      <c r="H5808" s="136"/>
      <c r="I5808" s="137"/>
      <c r="J5808" s="137" t="s">
        <v>37273</v>
      </c>
      <c r="K5808" s="137" t="s">
        <v>37274</v>
      </c>
      <c r="L5808" s="137"/>
      <c r="M5808" s="153" t="s">
        <v>37275</v>
      </c>
      <c r="N5808" s="12"/>
      <c r="O5808" s="12"/>
      <c r="P5808" s="13">
        <f>IFERROR(__xludf.DUMMYFUNCTION("VALUE(SUBSTITUTE((INDEX(SPLIT(A5808,"",""),1)),""."","","",1))"),55.780061)</f>
        <v>55.780061</v>
      </c>
      <c r="Q5808" s="13">
        <f>IFERROR(__xludf.DUMMYFUNCTION("VALUE(SUBSTITUTE((INDEX(SPLIT(A5808,"",""),2)),""."","","",1))"),49.145248)</f>
        <v>49.145248</v>
      </c>
      <c r="R5808" s="14" t="b">
        <f t="shared" si="1"/>
        <v>0</v>
      </c>
      <c r="S5808" s="14" t="str">
        <f t="shared" si="2"/>
        <v>55.780061,49.145248</v>
      </c>
      <c r="T5808" s="12"/>
    </row>
    <row r="5809">
      <c r="A5809" s="199" t="s">
        <v>37276</v>
      </c>
      <c r="B5809" s="140" t="s">
        <v>37277</v>
      </c>
      <c r="C5809" s="140" t="s">
        <v>37278</v>
      </c>
      <c r="D5809" s="140" t="s">
        <v>33342</v>
      </c>
      <c r="E5809" s="141" t="s">
        <v>37279</v>
      </c>
      <c r="F5809" s="139" t="s">
        <v>10183</v>
      </c>
      <c r="G5809" s="139" t="s">
        <v>33344</v>
      </c>
      <c r="H5809" s="139"/>
      <c r="I5809" s="140"/>
      <c r="J5809" s="140" t="s">
        <v>37280</v>
      </c>
      <c r="K5809" s="140" t="s">
        <v>37281</v>
      </c>
      <c r="L5809" s="140"/>
      <c r="M5809" s="140"/>
      <c r="N5809" s="12"/>
      <c r="O5809" s="12"/>
      <c r="P5809" s="13">
        <f>IFERROR(__xludf.DUMMYFUNCTION("VALUE(SUBSTITUTE((INDEX(SPLIT(A5809,"",""),1)),""."","","",1))"),55.788829)</f>
        <v>55.788829</v>
      </c>
      <c r="Q5809" s="13">
        <f>IFERROR(__xludf.DUMMYFUNCTION("VALUE(SUBSTITUTE((INDEX(SPLIT(A5809,"",""),2)),""."","","",1))"),49.107384)</f>
        <v>49.107384</v>
      </c>
      <c r="R5809" s="14" t="b">
        <f t="shared" si="1"/>
        <v>0</v>
      </c>
      <c r="S5809" s="14" t="str">
        <f t="shared" si="2"/>
        <v>55.788829,49.107384</v>
      </c>
      <c r="T5809" s="12"/>
    </row>
    <row r="5810">
      <c r="A5810" s="158" t="s">
        <v>37282</v>
      </c>
      <c r="B5810" s="137" t="s">
        <v>37283</v>
      </c>
      <c r="C5810" s="137" t="s">
        <v>37284</v>
      </c>
      <c r="D5810" s="137" t="s">
        <v>33342</v>
      </c>
      <c r="E5810" s="138" t="s">
        <v>37285</v>
      </c>
      <c r="F5810" s="136" t="s">
        <v>10183</v>
      </c>
      <c r="G5810" s="136" t="s">
        <v>33344</v>
      </c>
      <c r="H5810" s="136"/>
      <c r="I5810" s="137"/>
      <c r="J5810" s="137" t="s">
        <v>37286</v>
      </c>
      <c r="K5810" s="137" t="s">
        <v>37287</v>
      </c>
      <c r="L5810" s="137"/>
      <c r="M5810" s="137"/>
      <c r="N5810" s="12"/>
      <c r="O5810" s="12"/>
      <c r="P5810" s="13">
        <f>IFERROR(__xludf.DUMMYFUNCTION("VALUE(SUBSTITUTE((INDEX(SPLIT(A5810,"",""),1)),""."","","",1))"),55.758235)</f>
        <v>55.758235</v>
      </c>
      <c r="Q5810" s="13">
        <f>IFERROR(__xludf.DUMMYFUNCTION("VALUE(SUBSTITUTE((INDEX(SPLIT(A5810,"",""),2)),""."","","",1))"),49.077129)</f>
        <v>49.077129</v>
      </c>
      <c r="R5810" s="14" t="b">
        <f t="shared" si="1"/>
        <v>0</v>
      </c>
      <c r="S5810" s="14" t="str">
        <f t="shared" si="2"/>
        <v>55.758235,49.077129</v>
      </c>
      <c r="T5810" s="12"/>
    </row>
    <row r="5811">
      <c r="A5811" s="199" t="s">
        <v>20474</v>
      </c>
      <c r="B5811" s="140" t="s">
        <v>37288</v>
      </c>
      <c r="C5811" s="140" t="s">
        <v>37289</v>
      </c>
      <c r="D5811" s="140" t="s">
        <v>33342</v>
      </c>
      <c r="E5811" s="141" t="s">
        <v>37290</v>
      </c>
      <c r="F5811" s="139" t="s">
        <v>10183</v>
      </c>
      <c r="G5811" s="139" t="s">
        <v>33344</v>
      </c>
      <c r="H5811" s="139"/>
      <c r="I5811" s="140"/>
      <c r="J5811" s="140" t="s">
        <v>37291</v>
      </c>
      <c r="K5811" s="140" t="s">
        <v>37292</v>
      </c>
      <c r="L5811" s="140"/>
      <c r="M5811" s="154" t="s">
        <v>359</v>
      </c>
      <c r="N5811" s="12"/>
      <c r="O5811" s="12"/>
      <c r="P5811" s="13">
        <f>IFERROR(__xludf.DUMMYFUNCTION("VALUE(SUBSTITUTE((INDEX(SPLIT(A5811,"",""),1)),""."","","",1))"),55.796127)</f>
        <v>55.796127</v>
      </c>
      <c r="Q5811" s="13">
        <f>IFERROR(__xludf.DUMMYFUNCTION("VALUE(SUBSTITUTE((INDEX(SPLIT(A5811,"",""),2)),""."","","",1))"),49.106414)</f>
        <v>49.106414</v>
      </c>
      <c r="R5811" s="14" t="b">
        <f t="shared" si="1"/>
        <v>0</v>
      </c>
      <c r="S5811" s="14" t="str">
        <f t="shared" si="2"/>
        <v>55.796127,49.106414</v>
      </c>
      <c r="T5811" s="12"/>
    </row>
    <row r="5812">
      <c r="A5812" s="158" t="s">
        <v>37293</v>
      </c>
      <c r="B5812" s="137" t="s">
        <v>37294</v>
      </c>
      <c r="C5812" s="137" t="s">
        <v>37295</v>
      </c>
      <c r="D5812" s="137" t="s">
        <v>33342</v>
      </c>
      <c r="E5812" s="138" t="s">
        <v>37296</v>
      </c>
      <c r="F5812" s="136" t="s">
        <v>10183</v>
      </c>
      <c r="G5812" s="136" t="s">
        <v>33344</v>
      </c>
      <c r="H5812" s="136"/>
      <c r="I5812" s="137"/>
      <c r="J5812" s="137" t="s">
        <v>37297</v>
      </c>
      <c r="K5812" s="137" t="s">
        <v>37298</v>
      </c>
      <c r="L5812" s="137"/>
      <c r="M5812" s="153" t="s">
        <v>37299</v>
      </c>
      <c r="N5812" s="12"/>
      <c r="O5812" s="12"/>
      <c r="P5812" s="13">
        <f>IFERROR(__xludf.DUMMYFUNCTION("VALUE(SUBSTITUTE((INDEX(SPLIT(A5812,"",""),1)),""."","","",1))"),55.759481)</f>
        <v>55.759481</v>
      </c>
      <c r="Q5812" s="13">
        <f>IFERROR(__xludf.DUMMYFUNCTION("VALUE(SUBSTITUTE((INDEX(SPLIT(A5812,"",""),2)),""."","","",1))"),49.10159)</f>
        <v>49.10159</v>
      </c>
      <c r="R5812" s="14" t="b">
        <f t="shared" si="1"/>
        <v>0</v>
      </c>
      <c r="S5812" s="14" t="str">
        <f t="shared" si="2"/>
        <v>55.759481,49.10159</v>
      </c>
      <c r="T5812" s="12"/>
    </row>
    <row r="5813">
      <c r="A5813" s="199" t="s">
        <v>37300</v>
      </c>
      <c r="B5813" s="140" t="s">
        <v>37301</v>
      </c>
      <c r="C5813" s="140" t="s">
        <v>37302</v>
      </c>
      <c r="D5813" s="140" t="s">
        <v>33342</v>
      </c>
      <c r="E5813" s="141" t="s">
        <v>37303</v>
      </c>
      <c r="F5813" s="139" t="s">
        <v>10183</v>
      </c>
      <c r="G5813" s="139" t="s">
        <v>33344</v>
      </c>
      <c r="H5813" s="139"/>
      <c r="I5813" s="140"/>
      <c r="J5813" s="140" t="s">
        <v>37304</v>
      </c>
      <c r="K5813" s="140" t="s">
        <v>37305</v>
      </c>
      <c r="L5813" s="140"/>
      <c r="M5813" s="140"/>
      <c r="N5813" s="12"/>
      <c r="O5813" s="12"/>
      <c r="P5813" s="13">
        <f>IFERROR(__xludf.DUMMYFUNCTION("VALUE(SUBSTITUTE((INDEX(SPLIT(A5813,"",""),1)),""."","","",1))"),55.816439)</f>
        <v>55.816439</v>
      </c>
      <c r="Q5813" s="13">
        <f>IFERROR(__xludf.DUMMYFUNCTION("VALUE(SUBSTITUTE((INDEX(SPLIT(A5813,"",""),2)),""."","","",1))"),49.060824)</f>
        <v>49.060824</v>
      </c>
      <c r="R5813" s="14" t="b">
        <f t="shared" si="1"/>
        <v>0</v>
      </c>
      <c r="S5813" s="14" t="str">
        <f t="shared" si="2"/>
        <v>55.816439,49.060824</v>
      </c>
      <c r="T5813" s="12"/>
    </row>
    <row r="5814">
      <c r="A5814" s="158" t="s">
        <v>37306</v>
      </c>
      <c r="B5814" s="137" t="s">
        <v>17920</v>
      </c>
      <c r="C5814" s="137" t="s">
        <v>37307</v>
      </c>
      <c r="D5814" s="137" t="s">
        <v>33342</v>
      </c>
      <c r="E5814" s="138" t="s">
        <v>37308</v>
      </c>
      <c r="F5814" s="136" t="s">
        <v>10183</v>
      </c>
      <c r="G5814" s="136" t="s">
        <v>33344</v>
      </c>
      <c r="H5814" s="136"/>
      <c r="I5814" s="137"/>
      <c r="J5814" s="137" t="s">
        <v>37309</v>
      </c>
      <c r="K5814" s="137" t="s">
        <v>37310</v>
      </c>
      <c r="L5814" s="137"/>
      <c r="M5814" s="137"/>
      <c r="N5814" s="12"/>
      <c r="O5814" s="12"/>
      <c r="P5814" s="13">
        <f>IFERROR(__xludf.DUMMYFUNCTION("VALUE(SUBSTITUTE((INDEX(SPLIT(A5814,"",""),1)),""."","","",1))"),55.813425)</f>
        <v>55.813425</v>
      </c>
      <c r="Q5814" s="13">
        <f>IFERROR(__xludf.DUMMYFUNCTION("VALUE(SUBSTITUTE((INDEX(SPLIT(A5814,"",""),2)),""."","","",1))"),49.086076)</f>
        <v>49.086076</v>
      </c>
      <c r="R5814" s="14" t="b">
        <f t="shared" si="1"/>
        <v>0</v>
      </c>
      <c r="S5814" s="14" t="str">
        <f t="shared" si="2"/>
        <v>55.813425,49.086076</v>
      </c>
      <c r="T5814" s="12"/>
    </row>
    <row r="5815">
      <c r="A5815" s="202" t="s">
        <v>37311</v>
      </c>
      <c r="B5815" s="147" t="s">
        <v>37312</v>
      </c>
      <c r="C5815" s="147" t="s">
        <v>37313</v>
      </c>
      <c r="D5815" s="147" t="s">
        <v>33342</v>
      </c>
      <c r="E5815" s="148" t="s">
        <v>37314</v>
      </c>
      <c r="F5815" s="146" t="s">
        <v>10183</v>
      </c>
      <c r="G5815" s="146" t="s">
        <v>33344</v>
      </c>
      <c r="H5815" s="146"/>
      <c r="I5815" s="147"/>
      <c r="J5815" s="147" t="s">
        <v>37315</v>
      </c>
      <c r="K5815" s="147" t="s">
        <v>37316</v>
      </c>
      <c r="L5815" s="149" t="s">
        <v>37317</v>
      </c>
      <c r="M5815" s="149" t="s">
        <v>37318</v>
      </c>
      <c r="N5815" s="12"/>
      <c r="O5815" s="12"/>
      <c r="P5815" s="13">
        <f>IFERROR(__xludf.DUMMYFUNCTION("VALUE(SUBSTITUTE((INDEX(SPLIT(A5815,"",""),1)),""."","","",1))"),55.816455)</f>
        <v>55.816455</v>
      </c>
      <c r="Q5815" s="13">
        <f>IFERROR(__xludf.DUMMYFUNCTION("VALUE(SUBSTITUTE((INDEX(SPLIT(A5815,"",""),2)),""."","","",1))"),49.06201)</f>
        <v>49.06201</v>
      </c>
      <c r="R5815" s="14" t="b">
        <f t="shared" si="1"/>
        <v>0</v>
      </c>
      <c r="S5815" s="14" t="str">
        <f t="shared" si="2"/>
        <v>55.816455,49.06201</v>
      </c>
      <c r="T5815" s="12"/>
    </row>
    <row r="5816">
      <c r="A5816" s="201" t="s">
        <v>37319</v>
      </c>
      <c r="B5816" s="143" t="s">
        <v>37320</v>
      </c>
      <c r="C5816" s="143" t="s">
        <v>37321</v>
      </c>
      <c r="D5816" s="143" t="s">
        <v>33342</v>
      </c>
      <c r="E5816" s="144" t="s">
        <v>37322</v>
      </c>
      <c r="F5816" s="142" t="s">
        <v>10183</v>
      </c>
      <c r="G5816" s="142" t="s">
        <v>33344</v>
      </c>
      <c r="H5816" s="142"/>
      <c r="I5816" s="143"/>
      <c r="J5816" s="143" t="s">
        <v>37323</v>
      </c>
      <c r="K5816" s="143" t="s">
        <v>37324</v>
      </c>
      <c r="L5816" s="145" t="s">
        <v>37325</v>
      </c>
      <c r="M5816" s="143"/>
      <c r="N5816" s="12"/>
      <c r="O5816" s="12"/>
      <c r="P5816" s="13">
        <f>IFERROR(__xludf.DUMMYFUNCTION("VALUE(SUBSTITUTE((INDEX(SPLIT(A5816,"",""),1)),""."","","",1))"),55.838546)</f>
        <v>55.838546</v>
      </c>
      <c r="Q5816" s="13">
        <f>IFERROR(__xludf.DUMMYFUNCTION("VALUE(SUBSTITUTE((INDEX(SPLIT(A5816,"",""),2)),""."","","",1))"),49.113421)</f>
        <v>49.113421</v>
      </c>
      <c r="R5816" s="14" t="b">
        <f t="shared" si="1"/>
        <v>0</v>
      </c>
      <c r="S5816" s="14" t="str">
        <f t="shared" si="2"/>
        <v>55.838546,49.113421</v>
      </c>
      <c r="T5816" s="12"/>
    </row>
    <row r="5817">
      <c r="A5817" s="202" t="s">
        <v>37326</v>
      </c>
      <c r="B5817" s="147" t="s">
        <v>37327</v>
      </c>
      <c r="C5817" s="147" t="s">
        <v>37328</v>
      </c>
      <c r="D5817" s="147" t="s">
        <v>33342</v>
      </c>
      <c r="E5817" s="148" t="s">
        <v>37329</v>
      </c>
      <c r="F5817" s="146" t="s">
        <v>10183</v>
      </c>
      <c r="G5817" s="146" t="s">
        <v>33344</v>
      </c>
      <c r="H5817" s="146"/>
      <c r="I5817" s="147"/>
      <c r="J5817" s="147" t="s">
        <v>37330</v>
      </c>
      <c r="K5817" s="147" t="s">
        <v>37331</v>
      </c>
      <c r="L5817" s="149" t="s">
        <v>37332</v>
      </c>
      <c r="M5817" s="147"/>
      <c r="N5817" s="12"/>
      <c r="O5817" s="12"/>
      <c r="P5817" s="13">
        <f>IFERROR(__xludf.DUMMYFUNCTION("VALUE(SUBSTITUTE((INDEX(SPLIT(A5817,"",""),1)),""."","","",1))"),55.790119)</f>
        <v>55.790119</v>
      </c>
      <c r="Q5817" s="13">
        <f>IFERROR(__xludf.DUMMYFUNCTION("VALUE(SUBSTITUTE((INDEX(SPLIT(A5817,"",""),2)),""."","","",1))"),49.106854)</f>
        <v>49.106854</v>
      </c>
      <c r="R5817" s="14" t="b">
        <f t="shared" si="1"/>
        <v>0</v>
      </c>
      <c r="S5817" s="14" t="str">
        <f t="shared" si="2"/>
        <v>55.790119,49.106854</v>
      </c>
      <c r="T5817" s="12"/>
    </row>
    <row r="5818">
      <c r="A5818" s="158" t="s">
        <v>37333</v>
      </c>
      <c r="B5818" s="137" t="s">
        <v>37334</v>
      </c>
      <c r="C5818" s="137" t="s">
        <v>37335</v>
      </c>
      <c r="D5818" s="137" t="s">
        <v>33342</v>
      </c>
      <c r="E5818" s="138" t="s">
        <v>37336</v>
      </c>
      <c r="F5818" s="136" t="s">
        <v>10183</v>
      </c>
      <c r="G5818" s="136" t="s">
        <v>33344</v>
      </c>
      <c r="H5818" s="136"/>
      <c r="I5818" s="137"/>
      <c r="J5818" s="137" t="s">
        <v>37337</v>
      </c>
      <c r="K5818" s="137" t="s">
        <v>37338</v>
      </c>
      <c r="L5818" s="137"/>
      <c r="M5818" s="153" t="s">
        <v>37339</v>
      </c>
      <c r="N5818" s="12"/>
      <c r="O5818" s="12"/>
      <c r="P5818" s="13">
        <f>IFERROR(__xludf.DUMMYFUNCTION("VALUE(SUBSTITUTE((INDEX(SPLIT(A5818,"",""),1)),""."","","",1))"),55.836373)</f>
        <v>55.836373</v>
      </c>
      <c r="Q5818" s="13">
        <f>IFERROR(__xludf.DUMMYFUNCTION("VALUE(SUBSTITUTE((INDEX(SPLIT(A5818,"",""),2)),""."","","",1))"),49.092499)</f>
        <v>49.092499</v>
      </c>
      <c r="R5818" s="14" t="b">
        <f t="shared" si="1"/>
        <v>0</v>
      </c>
      <c r="S5818" s="14" t="str">
        <f t="shared" si="2"/>
        <v>55.836373,49.092499</v>
      </c>
      <c r="T5818" s="12"/>
    </row>
    <row r="5819">
      <c r="A5819" s="199" t="s">
        <v>37340</v>
      </c>
      <c r="B5819" s="140" t="s">
        <v>31290</v>
      </c>
      <c r="C5819" s="140" t="s">
        <v>37341</v>
      </c>
      <c r="D5819" s="140" t="s">
        <v>33342</v>
      </c>
      <c r="E5819" s="141" t="s">
        <v>37342</v>
      </c>
      <c r="F5819" s="139" t="s">
        <v>10183</v>
      </c>
      <c r="G5819" s="139" t="s">
        <v>33344</v>
      </c>
      <c r="H5819" s="139"/>
      <c r="I5819" s="140"/>
      <c r="J5819" s="140" t="s">
        <v>37343</v>
      </c>
      <c r="K5819" s="140" t="s">
        <v>37344</v>
      </c>
      <c r="L5819" s="140"/>
      <c r="M5819" s="140"/>
      <c r="N5819" s="12"/>
      <c r="O5819" s="12"/>
      <c r="P5819" s="13">
        <f>IFERROR(__xludf.DUMMYFUNCTION("VALUE(SUBSTITUTE((INDEX(SPLIT(A5819,"",""),1)),""."","","",1))"),55.821209)</f>
        <v>55.821209</v>
      </c>
      <c r="Q5819" s="13">
        <f>IFERROR(__xludf.DUMMYFUNCTION("VALUE(SUBSTITUTE((INDEX(SPLIT(A5819,"",""),2)),""."","","",1))"),49.151258)</f>
        <v>49.151258</v>
      </c>
      <c r="R5819" s="14" t="b">
        <f t="shared" si="1"/>
        <v>0</v>
      </c>
      <c r="S5819" s="14" t="str">
        <f t="shared" si="2"/>
        <v>55.821209,49.151258</v>
      </c>
      <c r="T5819" s="12"/>
    </row>
    <row r="5820">
      <c r="A5820" s="158" t="s">
        <v>37345</v>
      </c>
      <c r="B5820" s="137" t="s">
        <v>37346</v>
      </c>
      <c r="C5820" s="137" t="s">
        <v>37347</v>
      </c>
      <c r="D5820" s="137" t="s">
        <v>33342</v>
      </c>
      <c r="E5820" s="138" t="s">
        <v>37348</v>
      </c>
      <c r="F5820" s="136" t="s">
        <v>10183</v>
      </c>
      <c r="G5820" s="136" t="s">
        <v>33344</v>
      </c>
      <c r="H5820" s="136"/>
      <c r="I5820" s="137"/>
      <c r="J5820" s="137" t="s">
        <v>37349</v>
      </c>
      <c r="K5820" s="137" t="s">
        <v>37350</v>
      </c>
      <c r="L5820" s="137"/>
      <c r="M5820" s="137"/>
      <c r="N5820" s="12"/>
      <c r="O5820" s="12"/>
      <c r="P5820" s="13">
        <f>IFERROR(__xludf.DUMMYFUNCTION("VALUE(SUBSTITUTE((INDEX(SPLIT(A5820,"",""),1)),""."","","",1))"),55.827944)</f>
        <v>55.827944</v>
      </c>
      <c r="Q5820" s="13">
        <f>IFERROR(__xludf.DUMMYFUNCTION("VALUE(SUBSTITUTE((INDEX(SPLIT(A5820,"",""),2)),""."","","",1))"),49.081971)</f>
        <v>49.081971</v>
      </c>
      <c r="R5820" s="14" t="b">
        <f t="shared" si="1"/>
        <v>0</v>
      </c>
      <c r="S5820" s="14" t="str">
        <f t="shared" si="2"/>
        <v>55.827944,49.081971</v>
      </c>
      <c r="T5820" s="12"/>
    </row>
    <row r="5821">
      <c r="A5821" s="199" t="s">
        <v>37351</v>
      </c>
      <c r="B5821" s="140" t="s">
        <v>37352</v>
      </c>
      <c r="C5821" s="140" t="s">
        <v>37353</v>
      </c>
      <c r="D5821" s="140" t="s">
        <v>33342</v>
      </c>
      <c r="E5821" s="141" t="s">
        <v>37354</v>
      </c>
      <c r="F5821" s="139" t="s">
        <v>10183</v>
      </c>
      <c r="G5821" s="139" t="s">
        <v>33344</v>
      </c>
      <c r="H5821" s="139"/>
      <c r="I5821" s="140"/>
      <c r="J5821" s="140" t="s">
        <v>37355</v>
      </c>
      <c r="K5821" s="140" t="s">
        <v>37356</v>
      </c>
      <c r="L5821" s="140"/>
      <c r="M5821" s="140"/>
      <c r="N5821" s="12"/>
      <c r="O5821" s="12"/>
      <c r="P5821" s="13">
        <f>IFERROR(__xludf.DUMMYFUNCTION("VALUE(SUBSTITUTE((INDEX(SPLIT(A5821,"",""),1)),""."","","",1))"),55.819464)</f>
        <v>55.819464</v>
      </c>
      <c r="Q5821" s="13">
        <f>IFERROR(__xludf.DUMMYFUNCTION("VALUE(SUBSTITUTE((INDEX(SPLIT(A5821,"",""),2)),""."","","",1))"),49.101689)</f>
        <v>49.101689</v>
      </c>
      <c r="R5821" s="14" t="b">
        <f t="shared" si="1"/>
        <v>0</v>
      </c>
      <c r="S5821" s="14" t="str">
        <f t="shared" si="2"/>
        <v>55.819464,49.101689</v>
      </c>
      <c r="T5821" s="12"/>
    </row>
    <row r="5822">
      <c r="A5822" s="158" t="s">
        <v>37357</v>
      </c>
      <c r="B5822" s="137" t="s">
        <v>37358</v>
      </c>
      <c r="C5822" s="137" t="s">
        <v>37359</v>
      </c>
      <c r="D5822" s="137" t="s">
        <v>33342</v>
      </c>
      <c r="E5822" s="138" t="s">
        <v>37360</v>
      </c>
      <c r="F5822" s="136" t="s">
        <v>10183</v>
      </c>
      <c r="G5822" s="136" t="s">
        <v>33344</v>
      </c>
      <c r="H5822" s="136"/>
      <c r="I5822" s="137"/>
      <c r="J5822" s="137" t="s">
        <v>37361</v>
      </c>
      <c r="K5822" s="137" t="s">
        <v>37362</v>
      </c>
      <c r="L5822" s="137"/>
      <c r="M5822" s="137"/>
      <c r="N5822" s="12"/>
      <c r="O5822" s="12"/>
      <c r="P5822" s="13">
        <f>IFERROR(__xludf.DUMMYFUNCTION("VALUE(SUBSTITUTE((INDEX(SPLIT(A5822,"",""),1)),""."","","",1))"),55.836256)</f>
        <v>55.836256</v>
      </c>
      <c r="Q5822" s="13">
        <f>IFERROR(__xludf.DUMMYFUNCTION("VALUE(SUBSTITUTE((INDEX(SPLIT(A5822,"",""),2)),""."","","",1))"),49.072817)</f>
        <v>49.072817</v>
      </c>
      <c r="R5822" s="14" t="b">
        <f t="shared" si="1"/>
        <v>0</v>
      </c>
      <c r="S5822" s="14" t="str">
        <f t="shared" si="2"/>
        <v>55.836256,49.072817</v>
      </c>
      <c r="T5822" s="12"/>
    </row>
    <row r="5823">
      <c r="A5823" s="202" t="s">
        <v>37363</v>
      </c>
      <c r="B5823" s="147" t="s">
        <v>37364</v>
      </c>
      <c r="C5823" s="147" t="s">
        <v>37365</v>
      </c>
      <c r="D5823" s="147" t="s">
        <v>33342</v>
      </c>
      <c r="E5823" s="148" t="s">
        <v>37366</v>
      </c>
      <c r="F5823" s="146" t="s">
        <v>10183</v>
      </c>
      <c r="G5823" s="146" t="s">
        <v>33344</v>
      </c>
      <c r="H5823" s="146"/>
      <c r="I5823" s="147"/>
      <c r="J5823" s="147" t="s">
        <v>37367</v>
      </c>
      <c r="K5823" s="147" t="s">
        <v>37368</v>
      </c>
      <c r="L5823" s="149" t="s">
        <v>37369</v>
      </c>
      <c r="M5823" s="149" t="s">
        <v>37370</v>
      </c>
      <c r="N5823" s="12"/>
      <c r="O5823" s="12"/>
      <c r="P5823" s="13">
        <f>IFERROR(__xludf.DUMMYFUNCTION("VALUE(SUBSTITUTE((INDEX(SPLIT(A5823,"",""),1)),""."","","",1))"),55.831787)</f>
        <v>55.831787</v>
      </c>
      <c r="Q5823" s="13">
        <f>IFERROR(__xludf.DUMMYFUNCTION("VALUE(SUBSTITUTE((INDEX(SPLIT(A5823,"",""),2)),""."","","",1))"),49.083633)</f>
        <v>49.083633</v>
      </c>
      <c r="R5823" s="14" t="b">
        <f t="shared" si="1"/>
        <v>0</v>
      </c>
      <c r="S5823" s="14" t="str">
        <f t="shared" si="2"/>
        <v>55.831787,49.083633</v>
      </c>
      <c r="T5823" s="12"/>
    </row>
    <row r="5824">
      <c r="A5824" s="201" t="s">
        <v>37371</v>
      </c>
      <c r="B5824" s="143" t="s">
        <v>37372</v>
      </c>
      <c r="C5824" s="143" t="s">
        <v>37373</v>
      </c>
      <c r="D5824" s="143" t="s">
        <v>33342</v>
      </c>
      <c r="E5824" s="144" t="s">
        <v>37374</v>
      </c>
      <c r="F5824" s="142" t="s">
        <v>10183</v>
      </c>
      <c r="G5824" s="142" t="s">
        <v>33344</v>
      </c>
      <c r="H5824" s="142"/>
      <c r="I5824" s="143"/>
      <c r="J5824" s="143" t="s">
        <v>37375</v>
      </c>
      <c r="K5824" s="143" t="s">
        <v>37043</v>
      </c>
      <c r="L5824" s="145" t="s">
        <v>37376</v>
      </c>
      <c r="M5824" s="143"/>
      <c r="N5824" s="12"/>
      <c r="O5824" s="12"/>
      <c r="P5824" s="13">
        <f>IFERROR(__xludf.DUMMYFUNCTION("VALUE(SUBSTITUTE((INDEX(SPLIT(A5824,"",""),1)),""."","","",1))"),54.904028)</f>
        <v>54.904028</v>
      </c>
      <c r="Q5824" s="13">
        <f>IFERROR(__xludf.DUMMYFUNCTION("VALUE(SUBSTITUTE((INDEX(SPLIT(A5824,"",""),2)),""."","","",1))"),52.308746)</f>
        <v>52.308746</v>
      </c>
      <c r="R5824" s="14" t="b">
        <f t="shared" si="1"/>
        <v>0</v>
      </c>
      <c r="S5824" s="14" t="str">
        <f t="shared" si="2"/>
        <v>54.904028,52.308746</v>
      </c>
      <c r="T5824" s="12"/>
    </row>
    <row r="5825">
      <c r="A5825" s="199" t="s">
        <v>20299</v>
      </c>
      <c r="B5825" s="140" t="s">
        <v>37377</v>
      </c>
      <c r="C5825" s="140" t="s">
        <v>37378</v>
      </c>
      <c r="D5825" s="140" t="s">
        <v>33342</v>
      </c>
      <c r="E5825" s="141" t="s">
        <v>37379</v>
      </c>
      <c r="F5825" s="139" t="s">
        <v>10183</v>
      </c>
      <c r="G5825" s="139" t="s">
        <v>33344</v>
      </c>
      <c r="H5825" s="139"/>
      <c r="I5825" s="140"/>
      <c r="J5825" s="140" t="s">
        <v>37380</v>
      </c>
      <c r="K5825" s="140" t="s">
        <v>37381</v>
      </c>
      <c r="L5825" s="140"/>
      <c r="M5825" s="140"/>
      <c r="N5825" s="12"/>
      <c r="O5825" s="12"/>
      <c r="P5825" s="13">
        <f>IFERROR(__xludf.DUMMYFUNCTION("VALUE(SUBSTITUTE((INDEX(SPLIT(A5825,"",""),1)),""."","","",1))"),55.847083)</f>
        <v>55.847083</v>
      </c>
      <c r="Q5825" s="13">
        <f>IFERROR(__xludf.DUMMYFUNCTION("VALUE(SUBSTITUTE((INDEX(SPLIT(A5825,"",""),2)),""."","","",1))"),49.051069)</f>
        <v>49.051069</v>
      </c>
      <c r="R5825" s="14" t="b">
        <f t="shared" si="1"/>
        <v>0</v>
      </c>
      <c r="S5825" s="14" t="str">
        <f t="shared" si="2"/>
        <v>55.847083,49.051069</v>
      </c>
      <c r="T5825" s="12"/>
    </row>
    <row r="5826">
      <c r="A5826" s="158" t="s">
        <v>37382</v>
      </c>
      <c r="B5826" s="137" t="s">
        <v>23743</v>
      </c>
      <c r="C5826" s="137" t="s">
        <v>37383</v>
      </c>
      <c r="D5826" s="137" t="s">
        <v>33342</v>
      </c>
      <c r="E5826" s="138" t="s">
        <v>37384</v>
      </c>
      <c r="F5826" s="136" t="s">
        <v>10183</v>
      </c>
      <c r="G5826" s="136" t="s">
        <v>33344</v>
      </c>
      <c r="H5826" s="136"/>
      <c r="I5826" s="137"/>
      <c r="J5826" s="137" t="s">
        <v>37385</v>
      </c>
      <c r="K5826" s="137" t="s">
        <v>36993</v>
      </c>
      <c r="L5826" s="137"/>
      <c r="M5826" s="153" t="s">
        <v>37386</v>
      </c>
      <c r="N5826" s="12"/>
      <c r="O5826" s="12"/>
      <c r="P5826" s="13">
        <f>IFERROR(__xludf.DUMMYFUNCTION("VALUE(SUBSTITUTE((INDEX(SPLIT(A5826,"",""),1)),""."","","",1))"),55.835938)</f>
        <v>55.835938</v>
      </c>
      <c r="Q5826" s="13">
        <f>IFERROR(__xludf.DUMMYFUNCTION("VALUE(SUBSTITUTE((INDEX(SPLIT(A5826,"",""),2)),""."","","",1))"),49.07191)</f>
        <v>49.07191</v>
      </c>
      <c r="R5826" s="14" t="b">
        <f t="shared" si="1"/>
        <v>0</v>
      </c>
      <c r="S5826" s="14" t="str">
        <f t="shared" si="2"/>
        <v>55.835938,49.07191</v>
      </c>
      <c r="T5826" s="12"/>
    </row>
    <row r="5827">
      <c r="A5827" s="199" t="s">
        <v>37387</v>
      </c>
      <c r="B5827" s="140" t="s">
        <v>37388</v>
      </c>
      <c r="C5827" s="140" t="s">
        <v>37389</v>
      </c>
      <c r="D5827" s="140" t="s">
        <v>33342</v>
      </c>
      <c r="E5827" s="141" t="s">
        <v>37390</v>
      </c>
      <c r="F5827" s="139" t="s">
        <v>10183</v>
      </c>
      <c r="G5827" s="139" t="s">
        <v>33344</v>
      </c>
      <c r="H5827" s="139"/>
      <c r="I5827" s="140"/>
      <c r="J5827" s="140" t="s">
        <v>37391</v>
      </c>
      <c r="K5827" s="140" t="s">
        <v>37392</v>
      </c>
      <c r="L5827" s="140"/>
      <c r="M5827" s="140"/>
      <c r="N5827" s="12"/>
      <c r="O5827" s="12"/>
      <c r="P5827" s="13">
        <f>IFERROR(__xludf.DUMMYFUNCTION("VALUE(SUBSTITUTE((INDEX(SPLIT(A5827,"",""),1)),""."","","",1))"),55.827444)</f>
        <v>55.827444</v>
      </c>
      <c r="Q5827" s="13">
        <f>IFERROR(__xludf.DUMMYFUNCTION("VALUE(SUBSTITUTE((INDEX(SPLIT(A5827,"",""),2)),""."","","",1))"),49.053907)</f>
        <v>49.053907</v>
      </c>
      <c r="R5827" s="14" t="b">
        <f t="shared" si="1"/>
        <v>0</v>
      </c>
      <c r="S5827" s="14" t="str">
        <f t="shared" si="2"/>
        <v>55.827444,49.053907</v>
      </c>
      <c r="T5827" s="12"/>
    </row>
    <row r="5828">
      <c r="A5828" s="158" t="s">
        <v>37393</v>
      </c>
      <c r="B5828" s="137" t="s">
        <v>37394</v>
      </c>
      <c r="C5828" s="137" t="s">
        <v>37395</v>
      </c>
      <c r="D5828" s="137" t="s">
        <v>33342</v>
      </c>
      <c r="E5828" s="138" t="s">
        <v>37396</v>
      </c>
      <c r="F5828" s="136" t="s">
        <v>10183</v>
      </c>
      <c r="G5828" s="136" t="s">
        <v>33344</v>
      </c>
      <c r="H5828" s="136"/>
      <c r="I5828" s="137"/>
      <c r="J5828" s="137" t="s">
        <v>37397</v>
      </c>
      <c r="K5828" s="137" t="s">
        <v>37398</v>
      </c>
      <c r="L5828" s="137"/>
      <c r="M5828" s="137"/>
      <c r="N5828" s="12"/>
      <c r="O5828" s="12"/>
      <c r="P5828" s="13">
        <f>IFERROR(__xludf.DUMMYFUNCTION("VALUE(SUBSTITUTE((INDEX(SPLIT(A5828,"",""),1)),""."","","",1))"),55.643729)</f>
        <v>55.643729</v>
      </c>
      <c r="Q5828" s="13">
        <f>IFERROR(__xludf.DUMMYFUNCTION("VALUE(SUBSTITUTE((INDEX(SPLIT(A5828,"",""),2)),""."","","",1))"),51.812544)</f>
        <v>51.812544</v>
      </c>
      <c r="R5828" s="14" t="b">
        <f t="shared" si="1"/>
        <v>0</v>
      </c>
      <c r="S5828" s="14" t="str">
        <f t="shared" si="2"/>
        <v>55.643729,51.812544</v>
      </c>
      <c r="T5828" s="12"/>
    </row>
    <row r="5829">
      <c r="A5829" s="199" t="s">
        <v>37399</v>
      </c>
      <c r="B5829" s="140" t="s">
        <v>7551</v>
      </c>
      <c r="C5829" s="140" t="s">
        <v>37400</v>
      </c>
      <c r="D5829" s="140" t="s">
        <v>33342</v>
      </c>
      <c r="E5829" s="141" t="s">
        <v>37401</v>
      </c>
      <c r="F5829" s="139" t="s">
        <v>10183</v>
      </c>
      <c r="G5829" s="139" t="s">
        <v>33344</v>
      </c>
      <c r="H5829" s="139"/>
      <c r="I5829" s="140"/>
      <c r="J5829" s="140" t="s">
        <v>37402</v>
      </c>
      <c r="K5829" s="140" t="s">
        <v>37403</v>
      </c>
      <c r="L5829" s="140"/>
      <c r="M5829" s="154" t="s">
        <v>37404</v>
      </c>
      <c r="N5829" s="12"/>
      <c r="O5829" s="12"/>
      <c r="P5829" s="13">
        <f>IFERROR(__xludf.DUMMYFUNCTION("VALUE(SUBSTITUTE((INDEX(SPLIT(A5829,"",""),1)),""."","","",1))"),55.854436)</f>
        <v>55.854436</v>
      </c>
      <c r="Q5829" s="13">
        <f>IFERROR(__xludf.DUMMYFUNCTION("VALUE(SUBSTITUTE((INDEX(SPLIT(A5829,"",""),2)),""."","","",1))"),49.020535)</f>
        <v>49.020535</v>
      </c>
      <c r="R5829" s="14" t="b">
        <f t="shared" si="1"/>
        <v>0</v>
      </c>
      <c r="S5829" s="14" t="str">
        <f t="shared" si="2"/>
        <v>55.854436,49.020535</v>
      </c>
      <c r="T5829" s="12"/>
    </row>
    <row r="5830">
      <c r="A5830" s="158" t="s">
        <v>37405</v>
      </c>
      <c r="B5830" s="137" t="s">
        <v>10248</v>
      </c>
      <c r="C5830" s="137" t="s">
        <v>37406</v>
      </c>
      <c r="D5830" s="137" t="s">
        <v>33342</v>
      </c>
      <c r="E5830" s="138" t="s">
        <v>37407</v>
      </c>
      <c r="F5830" s="136" t="s">
        <v>10183</v>
      </c>
      <c r="G5830" s="136" t="s">
        <v>33344</v>
      </c>
      <c r="H5830" s="136"/>
      <c r="I5830" s="137"/>
      <c r="J5830" s="137" t="s">
        <v>37408</v>
      </c>
      <c r="K5830" s="137" t="s">
        <v>37409</v>
      </c>
      <c r="L5830" s="137"/>
      <c r="M5830" s="137"/>
      <c r="N5830" s="12"/>
      <c r="O5830" s="12"/>
      <c r="P5830" s="13">
        <f>IFERROR(__xludf.DUMMYFUNCTION("VALUE(SUBSTITUTE((INDEX(SPLIT(A5830,"",""),1)),""."","","",1))"),55.836878)</f>
        <v>55.836878</v>
      </c>
      <c r="Q5830" s="13">
        <f>IFERROR(__xludf.DUMMYFUNCTION("VALUE(SUBSTITUTE((INDEX(SPLIT(A5830,"",""),2)),""."","","",1))"),49.077713)</f>
        <v>49.077713</v>
      </c>
      <c r="R5830" s="14" t="b">
        <f t="shared" si="1"/>
        <v>0</v>
      </c>
      <c r="S5830" s="14" t="str">
        <f t="shared" si="2"/>
        <v>55.836878,49.077713</v>
      </c>
      <c r="T5830" s="12"/>
    </row>
    <row r="5831">
      <c r="A5831" s="199" t="s">
        <v>37410</v>
      </c>
      <c r="B5831" s="140" t="s">
        <v>37411</v>
      </c>
      <c r="C5831" s="140" t="s">
        <v>37412</v>
      </c>
      <c r="D5831" s="140" t="s">
        <v>33342</v>
      </c>
      <c r="E5831" s="141" t="s">
        <v>37413</v>
      </c>
      <c r="F5831" s="139" t="s">
        <v>10183</v>
      </c>
      <c r="G5831" s="139" t="s">
        <v>33344</v>
      </c>
      <c r="H5831" s="139"/>
      <c r="I5831" s="140"/>
      <c r="J5831" s="140" t="s">
        <v>37414</v>
      </c>
      <c r="K5831" s="140" t="s">
        <v>37415</v>
      </c>
      <c r="L5831" s="140"/>
      <c r="M5831" s="140"/>
      <c r="N5831" s="12"/>
      <c r="O5831" s="12"/>
      <c r="P5831" s="13">
        <f>IFERROR(__xludf.DUMMYFUNCTION("VALUE(SUBSTITUTE((INDEX(SPLIT(A5831,"",""),1)),""."","","",1))"),55.830129)</f>
        <v>55.830129</v>
      </c>
      <c r="Q5831" s="13">
        <f>IFERROR(__xludf.DUMMYFUNCTION("VALUE(SUBSTITUTE((INDEX(SPLIT(A5831,"",""),2)),""."","","",1))"),49.048419)</f>
        <v>49.048419</v>
      </c>
      <c r="R5831" s="14" t="b">
        <f t="shared" si="1"/>
        <v>0</v>
      </c>
      <c r="S5831" s="14" t="str">
        <f t="shared" si="2"/>
        <v>55.830129,49.048419</v>
      </c>
      <c r="T5831" s="12"/>
    </row>
    <row r="5832">
      <c r="A5832" s="158" t="s">
        <v>37416</v>
      </c>
      <c r="B5832" s="137" t="s">
        <v>7324</v>
      </c>
      <c r="C5832" s="137" t="s">
        <v>37417</v>
      </c>
      <c r="D5832" s="137" t="s">
        <v>33342</v>
      </c>
      <c r="E5832" s="138" t="s">
        <v>37418</v>
      </c>
      <c r="F5832" s="136" t="s">
        <v>10183</v>
      </c>
      <c r="G5832" s="136" t="s">
        <v>33344</v>
      </c>
      <c r="H5832" s="136"/>
      <c r="I5832" s="137"/>
      <c r="J5832" s="137" t="s">
        <v>37419</v>
      </c>
      <c r="K5832" s="137" t="s">
        <v>37420</v>
      </c>
      <c r="L5832" s="137"/>
      <c r="M5832" s="137"/>
      <c r="N5832" s="12"/>
      <c r="O5832" s="12"/>
      <c r="P5832" s="13">
        <f>IFERROR(__xludf.DUMMYFUNCTION("VALUE(SUBSTITUTE((INDEX(SPLIT(A5832,"",""),1)),""."","","",1))"),55.731257)</f>
        <v>55.731257</v>
      </c>
      <c r="Q5832" s="13">
        <f>IFERROR(__xludf.DUMMYFUNCTION("VALUE(SUBSTITUTE((INDEX(SPLIT(A5832,"",""),2)),""."","","",1))"),49.103135)</f>
        <v>49.103135</v>
      </c>
      <c r="R5832" s="14" t="b">
        <f t="shared" si="1"/>
        <v>0</v>
      </c>
      <c r="S5832" s="14" t="str">
        <f t="shared" si="2"/>
        <v>55.731257,49.103135</v>
      </c>
      <c r="T5832" s="12"/>
    </row>
    <row r="5833">
      <c r="A5833" s="199" t="s">
        <v>37421</v>
      </c>
      <c r="B5833" s="140" t="s">
        <v>37422</v>
      </c>
      <c r="C5833" s="140" t="s">
        <v>37423</v>
      </c>
      <c r="D5833" s="140" t="s">
        <v>33342</v>
      </c>
      <c r="E5833" s="141" t="s">
        <v>37424</v>
      </c>
      <c r="F5833" s="139" t="s">
        <v>10183</v>
      </c>
      <c r="G5833" s="139" t="s">
        <v>33344</v>
      </c>
      <c r="H5833" s="139"/>
      <c r="I5833" s="140"/>
      <c r="J5833" s="140" t="s">
        <v>37425</v>
      </c>
      <c r="K5833" s="140" t="s">
        <v>37426</v>
      </c>
      <c r="L5833" s="140"/>
      <c r="M5833" s="140"/>
      <c r="N5833" s="12"/>
      <c r="O5833" s="12"/>
      <c r="P5833" s="13">
        <f>IFERROR(__xludf.DUMMYFUNCTION("VALUE(SUBSTITUTE((INDEX(SPLIT(A5833,"",""),1)),""."","","",1))"),55.789633)</f>
        <v>55.789633</v>
      </c>
      <c r="Q5833" s="13">
        <f>IFERROR(__xludf.DUMMYFUNCTION("VALUE(SUBSTITUTE((INDEX(SPLIT(A5833,"",""),2)),""."","","",1))"),49.134055)</f>
        <v>49.134055</v>
      </c>
      <c r="R5833" s="14" t="b">
        <f t="shared" si="1"/>
        <v>0</v>
      </c>
      <c r="S5833" s="14" t="str">
        <f t="shared" si="2"/>
        <v>55.789633,49.134055</v>
      </c>
      <c r="T5833" s="12"/>
    </row>
    <row r="5834">
      <c r="A5834" s="158" t="s">
        <v>37427</v>
      </c>
      <c r="B5834" s="137" t="s">
        <v>37428</v>
      </c>
      <c r="C5834" s="137" t="s">
        <v>37429</v>
      </c>
      <c r="D5834" s="137" t="s">
        <v>33342</v>
      </c>
      <c r="E5834" s="138" t="s">
        <v>37430</v>
      </c>
      <c r="F5834" s="136" t="s">
        <v>10183</v>
      </c>
      <c r="G5834" s="136" t="s">
        <v>33344</v>
      </c>
      <c r="H5834" s="136"/>
      <c r="I5834" s="137"/>
      <c r="J5834" s="137" t="s">
        <v>37431</v>
      </c>
      <c r="K5834" s="137" t="s">
        <v>37432</v>
      </c>
      <c r="L5834" s="137"/>
      <c r="M5834" s="137"/>
      <c r="N5834" s="12"/>
      <c r="O5834" s="12"/>
      <c r="P5834" s="13">
        <f>IFERROR(__xludf.DUMMYFUNCTION("VALUE(SUBSTITUTE((INDEX(SPLIT(A5834,"",""),1)),""."","","",1))"),54.858233)</f>
        <v>54.858233</v>
      </c>
      <c r="Q5834" s="13">
        <f>IFERROR(__xludf.DUMMYFUNCTION("VALUE(SUBSTITUTE((INDEX(SPLIT(A5834,"",""),2)),""."","","",1))"),53.079923)</f>
        <v>53.079923</v>
      </c>
      <c r="R5834" s="14" t="b">
        <f t="shared" si="1"/>
        <v>0</v>
      </c>
      <c r="S5834" s="14" t="str">
        <f t="shared" si="2"/>
        <v>54.858233,53.079923</v>
      </c>
      <c r="T5834" s="12"/>
    </row>
    <row r="5835">
      <c r="A5835" s="202" t="s">
        <v>37433</v>
      </c>
      <c r="B5835" s="147" t="s">
        <v>37434</v>
      </c>
      <c r="C5835" s="147" t="s">
        <v>37435</v>
      </c>
      <c r="D5835" s="147" t="s">
        <v>33342</v>
      </c>
      <c r="E5835" s="148" t="s">
        <v>37436</v>
      </c>
      <c r="F5835" s="146" t="s">
        <v>10183</v>
      </c>
      <c r="G5835" s="146" t="s">
        <v>33344</v>
      </c>
      <c r="H5835" s="146"/>
      <c r="I5835" s="147"/>
      <c r="J5835" s="147" t="s">
        <v>37437</v>
      </c>
      <c r="K5835" s="147" t="s">
        <v>37438</v>
      </c>
      <c r="L5835" s="149" t="s">
        <v>37439</v>
      </c>
      <c r="M5835" s="147"/>
      <c r="N5835" s="12"/>
      <c r="O5835" s="12"/>
      <c r="P5835" s="13">
        <f>IFERROR(__xludf.DUMMYFUNCTION("VALUE(SUBSTITUTE((INDEX(SPLIT(A5835,"",""),1)),""."","","",1))"),55.732418)</f>
        <v>55.732418</v>
      </c>
      <c r="Q5835" s="13">
        <f>IFERROR(__xludf.DUMMYFUNCTION("VALUE(SUBSTITUTE((INDEX(SPLIT(A5835,"",""),2)),""."","","",1))"),49.122036)</f>
        <v>49.122036</v>
      </c>
      <c r="R5835" s="14" t="b">
        <f t="shared" si="1"/>
        <v>0</v>
      </c>
      <c r="S5835" s="14" t="str">
        <f t="shared" si="2"/>
        <v>55.732418,49.122036</v>
      </c>
      <c r="T5835" s="12"/>
    </row>
    <row r="5836">
      <c r="A5836" s="158" t="s">
        <v>37440</v>
      </c>
      <c r="B5836" s="137" t="s">
        <v>37441</v>
      </c>
      <c r="C5836" s="137" t="s">
        <v>37442</v>
      </c>
      <c r="D5836" s="137" t="s">
        <v>33342</v>
      </c>
      <c r="E5836" s="138" t="s">
        <v>37443</v>
      </c>
      <c r="F5836" s="136" t="s">
        <v>10183</v>
      </c>
      <c r="G5836" s="136" t="s">
        <v>33344</v>
      </c>
      <c r="H5836" s="136"/>
      <c r="I5836" s="137"/>
      <c r="J5836" s="137" t="s">
        <v>37444</v>
      </c>
      <c r="K5836" s="137" t="s">
        <v>37445</v>
      </c>
      <c r="L5836" s="137"/>
      <c r="M5836" s="137"/>
      <c r="N5836" s="12"/>
      <c r="O5836" s="12"/>
      <c r="P5836" s="13">
        <f>IFERROR(__xludf.DUMMYFUNCTION("VALUE(SUBSTITUTE((INDEX(SPLIT(A5836,"",""),1)),""."","","",1))"),55.75551)</f>
        <v>55.75551</v>
      </c>
      <c r="Q5836" s="13">
        <f>IFERROR(__xludf.DUMMYFUNCTION("VALUE(SUBSTITUTE((INDEX(SPLIT(A5836,"",""),2)),""."","","",1))"),49.205489)</f>
        <v>49.205489</v>
      </c>
      <c r="R5836" s="14" t="b">
        <f t="shared" si="1"/>
        <v>0</v>
      </c>
      <c r="S5836" s="14" t="str">
        <f t="shared" si="2"/>
        <v>55.75551,49.205489</v>
      </c>
      <c r="T5836" s="12"/>
    </row>
    <row r="5837">
      <c r="A5837" s="199" t="s">
        <v>37446</v>
      </c>
      <c r="B5837" s="140" t="s">
        <v>37447</v>
      </c>
      <c r="C5837" s="140" t="s">
        <v>37448</v>
      </c>
      <c r="D5837" s="140" t="s">
        <v>33342</v>
      </c>
      <c r="E5837" s="141" t="s">
        <v>37449</v>
      </c>
      <c r="F5837" s="139" t="s">
        <v>10183</v>
      </c>
      <c r="G5837" s="139" t="s">
        <v>33344</v>
      </c>
      <c r="H5837" s="139"/>
      <c r="I5837" s="140"/>
      <c r="J5837" s="140" t="s">
        <v>37450</v>
      </c>
      <c r="K5837" s="140" t="s">
        <v>37451</v>
      </c>
      <c r="L5837" s="140"/>
      <c r="M5837" s="140"/>
      <c r="N5837" s="12"/>
      <c r="O5837" s="12"/>
      <c r="P5837" s="13">
        <f>IFERROR(__xludf.DUMMYFUNCTION("VALUE(SUBSTITUTE((INDEX(SPLIT(A5837,"",""),1)),""."","","",1))"),55.746912)</f>
        <v>55.746912</v>
      </c>
      <c r="Q5837" s="13">
        <f>IFERROR(__xludf.DUMMYFUNCTION("VALUE(SUBSTITUTE((INDEX(SPLIT(A5837,"",""),2)),""."","","",1))"),49.089094)</f>
        <v>49.089094</v>
      </c>
      <c r="R5837" s="14" t="b">
        <f t="shared" si="1"/>
        <v>0</v>
      </c>
      <c r="S5837" s="14" t="str">
        <f t="shared" si="2"/>
        <v>55.746912,49.089094</v>
      </c>
      <c r="T5837" s="12"/>
    </row>
    <row r="5838">
      <c r="A5838" s="201" t="s">
        <v>20420</v>
      </c>
      <c r="B5838" s="143" t="s">
        <v>37452</v>
      </c>
      <c r="C5838" s="143" t="s">
        <v>37453</v>
      </c>
      <c r="D5838" s="143" t="s">
        <v>33342</v>
      </c>
      <c r="E5838" s="144" t="s">
        <v>37454</v>
      </c>
      <c r="F5838" s="142" t="s">
        <v>10183</v>
      </c>
      <c r="G5838" s="142" t="s">
        <v>33344</v>
      </c>
      <c r="H5838" s="142"/>
      <c r="I5838" s="143"/>
      <c r="J5838" s="143" t="s">
        <v>37455</v>
      </c>
      <c r="K5838" s="143" t="s">
        <v>37456</v>
      </c>
      <c r="L5838" s="145" t="s">
        <v>34332</v>
      </c>
      <c r="M5838" s="143"/>
      <c r="N5838" s="12"/>
      <c r="O5838" s="12"/>
      <c r="P5838" s="13">
        <f>IFERROR(__xludf.DUMMYFUNCTION("VALUE(SUBSTITUTE((INDEX(SPLIT(A5838,"",""),1)),""."","","",1))"),55.733523)</f>
        <v>55.733523</v>
      </c>
      <c r="Q5838" s="13">
        <f>IFERROR(__xludf.DUMMYFUNCTION("VALUE(SUBSTITUTE((INDEX(SPLIT(A5838,"",""),2)),""."","","",1))"),49.099578)</f>
        <v>49.099578</v>
      </c>
      <c r="R5838" s="14" t="b">
        <f t="shared" si="1"/>
        <v>0</v>
      </c>
      <c r="S5838" s="14" t="str">
        <f t="shared" si="2"/>
        <v>55.733523,49.099578</v>
      </c>
      <c r="T5838" s="12"/>
    </row>
    <row r="5839">
      <c r="A5839" s="199" t="s">
        <v>37457</v>
      </c>
      <c r="B5839" s="140" t="s">
        <v>24818</v>
      </c>
      <c r="C5839" s="140" t="s">
        <v>37458</v>
      </c>
      <c r="D5839" s="140" t="s">
        <v>33342</v>
      </c>
      <c r="E5839" s="141" t="s">
        <v>37459</v>
      </c>
      <c r="F5839" s="139" t="s">
        <v>10183</v>
      </c>
      <c r="G5839" s="139" t="s">
        <v>33344</v>
      </c>
      <c r="H5839" s="139"/>
      <c r="I5839" s="140"/>
      <c r="J5839" s="140" t="s">
        <v>37460</v>
      </c>
      <c r="K5839" s="140" t="s">
        <v>37461</v>
      </c>
      <c r="L5839" s="140"/>
      <c r="M5839" s="140"/>
      <c r="N5839" s="12"/>
      <c r="O5839" s="12"/>
      <c r="P5839" s="13">
        <f>IFERROR(__xludf.DUMMYFUNCTION("VALUE(SUBSTITUTE((INDEX(SPLIT(A5839,"",""),1)),""."","","",1))"),55.754557)</f>
        <v>55.754557</v>
      </c>
      <c r="Q5839" s="13">
        <f>IFERROR(__xludf.DUMMYFUNCTION("VALUE(SUBSTITUTE((INDEX(SPLIT(A5839,"",""),2)),""."","","",1))"),49.187622)</f>
        <v>49.187622</v>
      </c>
      <c r="R5839" s="14" t="b">
        <f t="shared" si="1"/>
        <v>0</v>
      </c>
      <c r="S5839" s="14" t="str">
        <f t="shared" si="2"/>
        <v>55.754557,49.187622</v>
      </c>
      <c r="T5839" s="12"/>
    </row>
    <row r="5840">
      <c r="A5840" s="158" t="s">
        <v>37462</v>
      </c>
      <c r="B5840" s="137" t="s">
        <v>15794</v>
      </c>
      <c r="C5840" s="137" t="s">
        <v>2699</v>
      </c>
      <c r="D5840" s="137" t="s">
        <v>33342</v>
      </c>
      <c r="E5840" s="138" t="s">
        <v>37463</v>
      </c>
      <c r="F5840" s="136" t="s">
        <v>10183</v>
      </c>
      <c r="G5840" s="136" t="s">
        <v>33344</v>
      </c>
      <c r="H5840" s="136"/>
      <c r="I5840" s="137"/>
      <c r="J5840" s="137" t="s">
        <v>37464</v>
      </c>
      <c r="K5840" s="137" t="s">
        <v>37465</v>
      </c>
      <c r="L5840" s="137"/>
      <c r="M5840" s="137"/>
      <c r="N5840" s="12"/>
      <c r="O5840" s="12"/>
      <c r="P5840" s="13">
        <f>IFERROR(__xludf.DUMMYFUNCTION("VALUE(SUBSTITUTE((INDEX(SPLIT(A5840,"",""),1)),""."","","",1))"),55.739265)</f>
        <v>55.739265</v>
      </c>
      <c r="Q5840" s="13">
        <f>IFERROR(__xludf.DUMMYFUNCTION("VALUE(SUBSTITUTE((INDEX(SPLIT(A5840,"",""),2)),""."","","",1))"),49.129788)</f>
        <v>49.129788</v>
      </c>
      <c r="R5840" s="14" t="b">
        <f t="shared" si="1"/>
        <v>0</v>
      </c>
      <c r="S5840" s="14" t="str">
        <f t="shared" si="2"/>
        <v>55.739265,49.129788</v>
      </c>
      <c r="T5840" s="12"/>
    </row>
    <row r="5841">
      <c r="A5841" s="199" t="s">
        <v>37466</v>
      </c>
      <c r="B5841" s="140" t="s">
        <v>18307</v>
      </c>
      <c r="C5841" s="140" t="s">
        <v>37467</v>
      </c>
      <c r="D5841" s="140" t="s">
        <v>33342</v>
      </c>
      <c r="E5841" s="141" t="s">
        <v>37468</v>
      </c>
      <c r="F5841" s="139" t="s">
        <v>10183</v>
      </c>
      <c r="G5841" s="139" t="s">
        <v>33344</v>
      </c>
      <c r="H5841" s="139"/>
      <c r="I5841" s="140"/>
      <c r="J5841" s="140" t="s">
        <v>37469</v>
      </c>
      <c r="K5841" s="140" t="s">
        <v>37470</v>
      </c>
      <c r="L5841" s="140"/>
      <c r="M5841" s="140"/>
      <c r="N5841" s="12"/>
      <c r="O5841" s="12"/>
      <c r="P5841" s="13">
        <f>IFERROR(__xludf.DUMMYFUNCTION("VALUE(SUBSTITUTE((INDEX(SPLIT(A5841,"",""),1)),""."","","",1))"),55.730568)</f>
        <v>55.730568</v>
      </c>
      <c r="Q5841" s="13">
        <f>IFERROR(__xludf.DUMMYFUNCTION("VALUE(SUBSTITUTE((INDEX(SPLIT(A5841,"",""),2)),""."","","",1))"),49.097476)</f>
        <v>49.097476</v>
      </c>
      <c r="R5841" s="14" t="b">
        <f t="shared" si="1"/>
        <v>0</v>
      </c>
      <c r="S5841" s="14" t="str">
        <f t="shared" si="2"/>
        <v>55.730568,49.097476</v>
      </c>
      <c r="T5841" s="12"/>
    </row>
    <row r="5842">
      <c r="A5842" s="158" t="s">
        <v>37471</v>
      </c>
      <c r="B5842" s="137" t="s">
        <v>15788</v>
      </c>
      <c r="C5842" s="137" t="s">
        <v>37472</v>
      </c>
      <c r="D5842" s="137" t="s">
        <v>33342</v>
      </c>
      <c r="E5842" s="138" t="s">
        <v>37473</v>
      </c>
      <c r="F5842" s="136" t="s">
        <v>10183</v>
      </c>
      <c r="G5842" s="136" t="s">
        <v>33344</v>
      </c>
      <c r="H5842" s="136"/>
      <c r="I5842" s="137"/>
      <c r="J5842" s="137" t="s">
        <v>37474</v>
      </c>
      <c r="K5842" s="137" t="s">
        <v>37475</v>
      </c>
      <c r="L5842" s="137"/>
      <c r="M5842" s="137"/>
      <c r="N5842" s="12"/>
      <c r="O5842" s="12"/>
      <c r="P5842" s="13">
        <f>IFERROR(__xludf.DUMMYFUNCTION("VALUE(SUBSTITUTE((INDEX(SPLIT(A5842,"",""),1)),""."","","",1))"),55.739225)</f>
        <v>55.739225</v>
      </c>
      <c r="Q5842" s="13">
        <f>IFERROR(__xludf.DUMMYFUNCTION("VALUE(SUBSTITUTE((INDEX(SPLIT(A5842,"",""),2)),""."","","",1))"),49.27872)</f>
        <v>49.27872</v>
      </c>
      <c r="R5842" s="14" t="b">
        <f t="shared" si="1"/>
        <v>0</v>
      </c>
      <c r="S5842" s="14" t="str">
        <f t="shared" si="2"/>
        <v>55.739225,49.27872</v>
      </c>
      <c r="T5842" s="12"/>
    </row>
    <row r="5843">
      <c r="A5843" s="202" t="s">
        <v>37476</v>
      </c>
      <c r="B5843" s="147" t="s">
        <v>37477</v>
      </c>
      <c r="C5843" s="147" t="s">
        <v>37478</v>
      </c>
      <c r="D5843" s="147" t="s">
        <v>33342</v>
      </c>
      <c r="E5843" s="148" t="s">
        <v>37479</v>
      </c>
      <c r="F5843" s="146" t="s">
        <v>10183</v>
      </c>
      <c r="G5843" s="146" t="s">
        <v>33344</v>
      </c>
      <c r="H5843" s="146"/>
      <c r="I5843" s="147"/>
      <c r="J5843" s="147" t="s">
        <v>37480</v>
      </c>
      <c r="K5843" s="147" t="s">
        <v>37481</v>
      </c>
      <c r="L5843" s="149" t="s">
        <v>37482</v>
      </c>
      <c r="M5843" s="147"/>
      <c r="N5843" s="12"/>
      <c r="O5843" s="12"/>
      <c r="P5843" s="13">
        <f>IFERROR(__xludf.DUMMYFUNCTION("VALUE(SUBSTITUTE((INDEX(SPLIT(A5843,"",""),1)),""."","","",1))"),55.809545)</f>
        <v>55.809545</v>
      </c>
      <c r="Q5843" s="13">
        <f>IFERROR(__xludf.DUMMYFUNCTION("VALUE(SUBSTITUTE((INDEX(SPLIT(A5843,"",""),2)),""."","","",1))"),49.181351)</f>
        <v>49.181351</v>
      </c>
      <c r="R5843" s="14" t="b">
        <f t="shared" si="1"/>
        <v>0</v>
      </c>
      <c r="S5843" s="14" t="str">
        <f t="shared" si="2"/>
        <v>55.809545,49.181351</v>
      </c>
      <c r="T5843" s="12"/>
    </row>
    <row r="5844">
      <c r="A5844" s="201" t="s">
        <v>37483</v>
      </c>
      <c r="B5844" s="143" t="s">
        <v>37484</v>
      </c>
      <c r="C5844" s="143" t="s">
        <v>37485</v>
      </c>
      <c r="D5844" s="143" t="s">
        <v>33342</v>
      </c>
      <c r="E5844" s="144" t="s">
        <v>37486</v>
      </c>
      <c r="F5844" s="142" t="s">
        <v>10183</v>
      </c>
      <c r="G5844" s="142" t="s">
        <v>33344</v>
      </c>
      <c r="H5844" s="142"/>
      <c r="I5844" s="143"/>
      <c r="J5844" s="143" t="s">
        <v>37487</v>
      </c>
      <c r="K5844" s="143" t="s">
        <v>37488</v>
      </c>
      <c r="L5844" s="145" t="s">
        <v>37489</v>
      </c>
      <c r="M5844" s="143"/>
      <c r="N5844" s="12"/>
      <c r="O5844" s="12"/>
      <c r="P5844" s="13">
        <f>IFERROR(__xludf.DUMMYFUNCTION("VALUE(SUBSTITUTE((INDEX(SPLIT(A5844,"",""),1)),""."","","",1))"),55.821608)</f>
        <v>55.821608</v>
      </c>
      <c r="Q5844" s="13">
        <f>IFERROR(__xludf.DUMMYFUNCTION("VALUE(SUBSTITUTE((INDEX(SPLIT(A5844,"",""),2)),""."","","",1))"),49.201896)</f>
        <v>49.201896</v>
      </c>
      <c r="R5844" s="14" t="b">
        <f t="shared" si="1"/>
        <v>0</v>
      </c>
      <c r="S5844" s="14" t="str">
        <f t="shared" si="2"/>
        <v>55.821608,49.201896</v>
      </c>
      <c r="T5844" s="12"/>
    </row>
    <row r="5845">
      <c r="A5845" s="202" t="s">
        <v>37490</v>
      </c>
      <c r="B5845" s="147" t="s">
        <v>37491</v>
      </c>
      <c r="C5845" s="147" t="s">
        <v>37492</v>
      </c>
      <c r="D5845" s="147" t="s">
        <v>33342</v>
      </c>
      <c r="E5845" s="148" t="s">
        <v>37493</v>
      </c>
      <c r="F5845" s="146" t="s">
        <v>10183</v>
      </c>
      <c r="G5845" s="146" t="s">
        <v>33344</v>
      </c>
      <c r="H5845" s="146"/>
      <c r="I5845" s="151" t="s">
        <v>37494</v>
      </c>
      <c r="J5845" s="147" t="s">
        <v>37495</v>
      </c>
      <c r="K5845" s="147" t="s">
        <v>37488</v>
      </c>
      <c r="L5845" s="149" t="s">
        <v>37496</v>
      </c>
      <c r="M5845" s="147"/>
      <c r="N5845" s="12"/>
      <c r="O5845" s="12"/>
      <c r="P5845" s="13">
        <f>IFERROR(__xludf.DUMMYFUNCTION("VALUE(SUBSTITUTE((INDEX(SPLIT(A5845,"",""),1)),""."","","",1))"),55.792306)</f>
        <v>55.792306</v>
      </c>
      <c r="Q5845" s="13">
        <f>IFERROR(__xludf.DUMMYFUNCTION("VALUE(SUBSTITUTE((INDEX(SPLIT(A5845,"",""),2)),""."","","",1))"),49.115226)</f>
        <v>49.115226</v>
      </c>
      <c r="R5845" s="14" t="b">
        <f t="shared" si="1"/>
        <v>0</v>
      </c>
      <c r="S5845" s="14" t="str">
        <f t="shared" si="2"/>
        <v>55.792306,49.115226</v>
      </c>
      <c r="T5845" s="12"/>
    </row>
    <row r="5846">
      <c r="A5846" s="201" t="s">
        <v>37497</v>
      </c>
      <c r="B5846" s="143" t="s">
        <v>9366</v>
      </c>
      <c r="C5846" s="143" t="s">
        <v>37498</v>
      </c>
      <c r="D5846" s="143" t="s">
        <v>33342</v>
      </c>
      <c r="E5846" s="144" t="s">
        <v>37499</v>
      </c>
      <c r="F5846" s="142" t="s">
        <v>10183</v>
      </c>
      <c r="G5846" s="142" t="s">
        <v>33344</v>
      </c>
      <c r="H5846" s="142"/>
      <c r="I5846" s="143"/>
      <c r="J5846" s="143" t="s">
        <v>37500</v>
      </c>
      <c r="K5846" s="143" t="s">
        <v>37501</v>
      </c>
      <c r="L5846" s="145" t="s">
        <v>37502</v>
      </c>
      <c r="M5846" s="143"/>
      <c r="N5846" s="12"/>
      <c r="O5846" s="12"/>
      <c r="P5846" s="13">
        <f>IFERROR(__xludf.DUMMYFUNCTION("VALUE(SUBSTITUTE((INDEX(SPLIT(A5846,"",""),1)),""."","","",1))"),55.760155)</f>
        <v>55.760155</v>
      </c>
      <c r="Q5846" s="13">
        <f>IFERROR(__xludf.DUMMYFUNCTION("VALUE(SUBSTITUTE((INDEX(SPLIT(A5846,"",""),2)),""."","","",1))"),49.234271)</f>
        <v>49.234271</v>
      </c>
      <c r="R5846" s="14" t="b">
        <f t="shared" si="1"/>
        <v>0</v>
      </c>
      <c r="S5846" s="14" t="str">
        <f t="shared" si="2"/>
        <v>55.760155,49.234271</v>
      </c>
      <c r="T5846" s="12"/>
    </row>
    <row r="5847">
      <c r="A5847" s="202" t="s">
        <v>37503</v>
      </c>
      <c r="B5847" s="147" t="s">
        <v>37504</v>
      </c>
      <c r="C5847" s="147" t="s">
        <v>37505</v>
      </c>
      <c r="D5847" s="147" t="s">
        <v>33342</v>
      </c>
      <c r="E5847" s="148" t="s">
        <v>37506</v>
      </c>
      <c r="F5847" s="146" t="s">
        <v>10183</v>
      </c>
      <c r="G5847" s="146" t="s">
        <v>33344</v>
      </c>
      <c r="H5847" s="146"/>
      <c r="I5847" s="147"/>
      <c r="J5847" s="147" t="s">
        <v>37507</v>
      </c>
      <c r="K5847" s="147" t="s">
        <v>37508</v>
      </c>
      <c r="L5847" s="149" t="s">
        <v>37509</v>
      </c>
      <c r="M5847" s="147"/>
      <c r="N5847" s="12"/>
      <c r="O5847" s="12"/>
      <c r="P5847" s="13">
        <f>IFERROR(__xludf.DUMMYFUNCTION("VALUE(SUBSTITUTE((INDEX(SPLIT(A5847,"",""),1)),""."","","",1))"),55.822382)</f>
        <v>55.822382</v>
      </c>
      <c r="Q5847" s="13">
        <f>IFERROR(__xludf.DUMMYFUNCTION("VALUE(SUBSTITUTE((INDEX(SPLIT(A5847,"",""),2)),""."","","",1))"),49.20133)</f>
        <v>49.20133</v>
      </c>
      <c r="R5847" s="14" t="b">
        <f t="shared" si="1"/>
        <v>0</v>
      </c>
      <c r="S5847" s="14" t="str">
        <f t="shared" si="2"/>
        <v>55.822382,49.20133</v>
      </c>
      <c r="T5847" s="12"/>
    </row>
    <row r="5848">
      <c r="A5848" s="201" t="s">
        <v>37510</v>
      </c>
      <c r="B5848" s="143" t="s">
        <v>37511</v>
      </c>
      <c r="C5848" s="143" t="s">
        <v>37512</v>
      </c>
      <c r="D5848" s="143" t="s">
        <v>33342</v>
      </c>
      <c r="E5848" s="144" t="s">
        <v>37513</v>
      </c>
      <c r="F5848" s="142" t="s">
        <v>10183</v>
      </c>
      <c r="G5848" s="142" t="s">
        <v>33344</v>
      </c>
      <c r="H5848" s="142"/>
      <c r="I5848" s="143"/>
      <c r="J5848" s="143" t="s">
        <v>37514</v>
      </c>
      <c r="K5848" s="143" t="s">
        <v>37235</v>
      </c>
      <c r="L5848" s="145" t="s">
        <v>37515</v>
      </c>
      <c r="M5848" s="143"/>
      <c r="N5848" s="12"/>
      <c r="O5848" s="12"/>
      <c r="P5848" s="13">
        <f>IFERROR(__xludf.DUMMYFUNCTION("VALUE(SUBSTITUTE((INDEX(SPLIT(A5848,"",""),1)),""."","","",1))"),55.780026)</f>
        <v>55.780026</v>
      </c>
      <c r="Q5848" s="13">
        <f>IFERROR(__xludf.DUMMYFUNCTION("VALUE(SUBSTITUTE((INDEX(SPLIT(A5848,"",""),2)),""."","","",1))"),49.176662)</f>
        <v>49.176662</v>
      </c>
      <c r="R5848" s="14" t="b">
        <f t="shared" si="1"/>
        <v>0</v>
      </c>
      <c r="S5848" s="14" t="str">
        <f t="shared" si="2"/>
        <v>55.780026,49.176662</v>
      </c>
      <c r="T5848" s="12"/>
    </row>
    <row r="5849">
      <c r="A5849" s="202" t="s">
        <v>37516</v>
      </c>
      <c r="B5849" s="147" t="s">
        <v>37517</v>
      </c>
      <c r="C5849" s="147" t="s">
        <v>37518</v>
      </c>
      <c r="D5849" s="147" t="s">
        <v>33342</v>
      </c>
      <c r="E5849" s="148" t="s">
        <v>37519</v>
      </c>
      <c r="F5849" s="146" t="s">
        <v>10183</v>
      </c>
      <c r="G5849" s="146" t="s">
        <v>33344</v>
      </c>
      <c r="H5849" s="146"/>
      <c r="I5849" s="147"/>
      <c r="J5849" s="147" t="s">
        <v>37520</v>
      </c>
      <c r="K5849" s="147" t="s">
        <v>37521</v>
      </c>
      <c r="L5849" s="149" t="s">
        <v>37522</v>
      </c>
      <c r="M5849" s="149" t="s">
        <v>37523</v>
      </c>
      <c r="N5849" s="12"/>
      <c r="O5849" s="12"/>
      <c r="P5849" s="13">
        <f>IFERROR(__xludf.DUMMYFUNCTION("VALUE(SUBSTITUTE((INDEX(SPLIT(A5849,"",""),1)),""."","","",1))"),55.79056)</f>
        <v>55.79056</v>
      </c>
      <c r="Q5849" s="13">
        <f>IFERROR(__xludf.DUMMYFUNCTION("VALUE(SUBSTITUTE((INDEX(SPLIT(A5849,"",""),2)),""."","","",1))"),49.169557)</f>
        <v>49.169557</v>
      </c>
      <c r="R5849" s="14" t="b">
        <f t="shared" si="1"/>
        <v>0</v>
      </c>
      <c r="S5849" s="14" t="str">
        <f t="shared" si="2"/>
        <v>55.79056,49.169557</v>
      </c>
      <c r="T5849" s="12"/>
    </row>
    <row r="5850">
      <c r="A5850" s="158" t="s">
        <v>37524</v>
      </c>
      <c r="B5850" s="137" t="s">
        <v>28096</v>
      </c>
      <c r="C5850" s="137" t="s">
        <v>37525</v>
      </c>
      <c r="D5850" s="137" t="s">
        <v>33342</v>
      </c>
      <c r="E5850" s="138" t="s">
        <v>37526</v>
      </c>
      <c r="F5850" s="136" t="s">
        <v>10183</v>
      </c>
      <c r="G5850" s="136" t="s">
        <v>33344</v>
      </c>
      <c r="H5850" s="136"/>
      <c r="I5850" s="137"/>
      <c r="J5850" s="137" t="s">
        <v>37527</v>
      </c>
      <c r="K5850" s="137" t="s">
        <v>37528</v>
      </c>
      <c r="L5850" s="137"/>
      <c r="M5850" s="153" t="s">
        <v>37529</v>
      </c>
      <c r="N5850" s="12"/>
      <c r="O5850" s="12"/>
      <c r="P5850" s="13">
        <f>IFERROR(__xludf.DUMMYFUNCTION("VALUE(SUBSTITUTE((INDEX(SPLIT(A5850,"",""),1)),""."","","",1))"),55.680493)</f>
        <v>55.680493</v>
      </c>
      <c r="Q5850" s="13">
        <f>IFERROR(__xludf.DUMMYFUNCTION("VALUE(SUBSTITUTE((INDEX(SPLIT(A5850,"",""),2)),""."","","",1))"),37.572576)</f>
        <v>37.572576</v>
      </c>
      <c r="R5850" s="14" t="b">
        <f t="shared" si="1"/>
        <v>0</v>
      </c>
      <c r="S5850" s="14" t="str">
        <f t="shared" si="2"/>
        <v>55.680493,37.572576</v>
      </c>
      <c r="T5850" s="12"/>
    </row>
    <row r="5851">
      <c r="A5851" s="199" t="s">
        <v>20712</v>
      </c>
      <c r="B5851" s="140" t="s">
        <v>37530</v>
      </c>
      <c r="C5851" s="140" t="s">
        <v>37531</v>
      </c>
      <c r="D5851" s="140" t="s">
        <v>33342</v>
      </c>
      <c r="E5851" s="141" t="s">
        <v>37532</v>
      </c>
      <c r="F5851" s="139" t="s">
        <v>10183</v>
      </c>
      <c r="G5851" s="139" t="s">
        <v>33344</v>
      </c>
      <c r="H5851" s="139"/>
      <c r="I5851" s="140"/>
      <c r="J5851" s="140" t="s">
        <v>37533</v>
      </c>
      <c r="K5851" s="140" t="s">
        <v>37534</v>
      </c>
      <c r="L5851" s="140"/>
      <c r="M5851" s="140"/>
      <c r="N5851" s="12"/>
      <c r="O5851" s="12"/>
      <c r="P5851" s="13">
        <f>IFERROR(__xludf.DUMMYFUNCTION("VALUE(SUBSTITUTE((INDEX(SPLIT(A5851,"",""),1)),""."","","",1))"),55.831969)</f>
        <v>55.831969</v>
      </c>
      <c r="Q5851" s="13">
        <f>IFERROR(__xludf.DUMMYFUNCTION("VALUE(SUBSTITUTE((INDEX(SPLIT(A5851,"",""),2)),""."","","",1))"),49.195653)</f>
        <v>49.195653</v>
      </c>
      <c r="R5851" s="14" t="b">
        <f t="shared" si="1"/>
        <v>0</v>
      </c>
      <c r="S5851" s="14" t="str">
        <f t="shared" si="2"/>
        <v>55.831969,49.195653</v>
      </c>
      <c r="T5851" s="12"/>
    </row>
    <row r="5852">
      <c r="A5852" s="158" t="s">
        <v>37535</v>
      </c>
      <c r="B5852" s="137" t="s">
        <v>37536</v>
      </c>
      <c r="C5852" s="137" t="s">
        <v>37537</v>
      </c>
      <c r="D5852" s="137" t="s">
        <v>33342</v>
      </c>
      <c r="E5852" s="138" t="s">
        <v>37538</v>
      </c>
      <c r="F5852" s="136" t="s">
        <v>10183</v>
      </c>
      <c r="G5852" s="136" t="s">
        <v>33344</v>
      </c>
      <c r="H5852" s="136"/>
      <c r="I5852" s="137"/>
      <c r="J5852" s="137" t="s">
        <v>37539</v>
      </c>
      <c r="K5852" s="137" t="s">
        <v>37099</v>
      </c>
      <c r="L5852" s="137"/>
      <c r="M5852" s="137"/>
      <c r="N5852" s="12"/>
      <c r="O5852" s="12"/>
      <c r="P5852" s="13">
        <f>IFERROR(__xludf.DUMMYFUNCTION("VALUE(SUBSTITUTE((INDEX(SPLIT(A5852,"",""),1)),""."","","",1))"),55.763807)</f>
        <v>55.763807</v>
      </c>
      <c r="Q5852" s="13">
        <f>IFERROR(__xludf.DUMMYFUNCTION("VALUE(SUBSTITUTE((INDEX(SPLIT(A5852,"",""),2)),""."","","",1))"),49.220608)</f>
        <v>49.220608</v>
      </c>
      <c r="R5852" s="14" t="b">
        <f t="shared" si="1"/>
        <v>0</v>
      </c>
      <c r="S5852" s="14" t="str">
        <f t="shared" si="2"/>
        <v>55.763807,49.220608</v>
      </c>
      <c r="T5852" s="12"/>
    </row>
    <row r="5853">
      <c r="A5853" s="199" t="s">
        <v>37540</v>
      </c>
      <c r="B5853" s="140" t="s">
        <v>37541</v>
      </c>
      <c r="C5853" s="140" t="s">
        <v>37542</v>
      </c>
      <c r="D5853" s="140" t="s">
        <v>33342</v>
      </c>
      <c r="E5853" s="141" t="s">
        <v>37543</v>
      </c>
      <c r="F5853" s="139" t="s">
        <v>10183</v>
      </c>
      <c r="G5853" s="139" t="s">
        <v>33344</v>
      </c>
      <c r="H5853" s="139"/>
      <c r="I5853" s="140"/>
      <c r="J5853" s="140" t="s">
        <v>37544</v>
      </c>
      <c r="K5853" s="140" t="s">
        <v>37545</v>
      </c>
      <c r="L5853" s="140"/>
      <c r="M5853" s="154" t="s">
        <v>37546</v>
      </c>
      <c r="N5853" s="12"/>
      <c r="O5853" s="12"/>
      <c r="P5853" s="13">
        <f>IFERROR(__xludf.DUMMYFUNCTION("VALUE(SUBSTITUTE((INDEX(SPLIT(A5853,"",""),1)),""."","","",1))"),55.810744)</f>
        <v>55.810744</v>
      </c>
      <c r="Q5853" s="13">
        <f>IFERROR(__xludf.DUMMYFUNCTION("VALUE(SUBSTITUTE((INDEX(SPLIT(A5853,"",""),2)),""."","","",1))"),49.18437)</f>
        <v>49.18437</v>
      </c>
      <c r="R5853" s="14" t="b">
        <f t="shared" si="1"/>
        <v>0</v>
      </c>
      <c r="S5853" s="14" t="str">
        <f t="shared" si="2"/>
        <v>55.810744,49.18437</v>
      </c>
      <c r="T5853" s="12"/>
    </row>
    <row r="5854">
      <c r="A5854" s="201" t="s">
        <v>37547</v>
      </c>
      <c r="B5854" s="143" t="s">
        <v>37548</v>
      </c>
      <c r="C5854" s="143" t="s">
        <v>37549</v>
      </c>
      <c r="D5854" s="143" t="s">
        <v>33342</v>
      </c>
      <c r="E5854" s="144" t="s">
        <v>37550</v>
      </c>
      <c r="F5854" s="142" t="s">
        <v>10183</v>
      </c>
      <c r="G5854" s="142" t="s">
        <v>33344</v>
      </c>
      <c r="H5854" s="142"/>
      <c r="I5854" s="143"/>
      <c r="J5854" s="143" t="s">
        <v>37551</v>
      </c>
      <c r="K5854" s="143" t="s">
        <v>37552</v>
      </c>
      <c r="L5854" s="145" t="s">
        <v>37553</v>
      </c>
      <c r="M5854" s="145" t="s">
        <v>37554</v>
      </c>
      <c r="N5854" s="12"/>
      <c r="O5854" s="12"/>
      <c r="P5854" s="13">
        <f>IFERROR(__xludf.DUMMYFUNCTION("VALUE(SUBSTITUTE((INDEX(SPLIT(A5854,"",""),1)),""."","","",1))"),55.866379)</f>
        <v>55.866379</v>
      </c>
      <c r="Q5854" s="13">
        <f>IFERROR(__xludf.DUMMYFUNCTION("VALUE(SUBSTITUTE((INDEX(SPLIT(A5854,"",""),2)),""."","","",1))"),49.021865)</f>
        <v>49.021865</v>
      </c>
      <c r="R5854" s="14" t="b">
        <f t="shared" si="1"/>
        <v>0</v>
      </c>
      <c r="S5854" s="14" t="str">
        <f t="shared" si="2"/>
        <v>55.866379,49.021865</v>
      </c>
      <c r="T5854" s="12"/>
    </row>
    <row r="5855">
      <c r="A5855" s="202" t="s">
        <v>37555</v>
      </c>
      <c r="B5855" s="147" t="s">
        <v>37556</v>
      </c>
      <c r="C5855" s="147" t="s">
        <v>37557</v>
      </c>
      <c r="D5855" s="147" t="s">
        <v>33342</v>
      </c>
      <c r="E5855" s="148" t="s">
        <v>37558</v>
      </c>
      <c r="F5855" s="146" t="s">
        <v>10183</v>
      </c>
      <c r="G5855" s="146" t="s">
        <v>33344</v>
      </c>
      <c r="H5855" s="146"/>
      <c r="I5855" s="147"/>
      <c r="J5855" s="147" t="s">
        <v>37559</v>
      </c>
      <c r="K5855" s="147" t="s">
        <v>37560</v>
      </c>
      <c r="L5855" s="149" t="s">
        <v>37561</v>
      </c>
      <c r="M5855" s="147"/>
      <c r="N5855" s="12"/>
      <c r="O5855" s="12"/>
      <c r="P5855" s="13">
        <f>IFERROR(__xludf.DUMMYFUNCTION("VALUE(SUBSTITUTE((INDEX(SPLIT(A5855,"",""),1)),""."","","",1))"),55.852869)</f>
        <v>55.852869</v>
      </c>
      <c r="Q5855" s="13">
        <f>IFERROR(__xludf.DUMMYFUNCTION("VALUE(SUBSTITUTE((INDEX(SPLIT(A5855,"",""),2)),""."","","",1))"),49.081809)</f>
        <v>49.081809</v>
      </c>
      <c r="R5855" s="14" t="b">
        <f t="shared" si="1"/>
        <v>0</v>
      </c>
      <c r="S5855" s="14" t="str">
        <f t="shared" si="2"/>
        <v>55.852869,49.081809</v>
      </c>
      <c r="T5855" s="12"/>
    </row>
    <row r="5856">
      <c r="A5856" s="158" t="s">
        <v>37562</v>
      </c>
      <c r="B5856" s="137" t="s">
        <v>37563</v>
      </c>
      <c r="C5856" s="137" t="s">
        <v>37564</v>
      </c>
      <c r="D5856" s="137" t="s">
        <v>33342</v>
      </c>
      <c r="E5856" s="138" t="s">
        <v>37565</v>
      </c>
      <c r="F5856" s="136" t="s">
        <v>10183</v>
      </c>
      <c r="G5856" s="136" t="s">
        <v>33344</v>
      </c>
      <c r="H5856" s="136"/>
      <c r="I5856" s="137"/>
      <c r="J5856" s="137" t="s">
        <v>37566</v>
      </c>
      <c r="K5856" s="137" t="s">
        <v>37567</v>
      </c>
      <c r="L5856" s="137"/>
      <c r="M5856" s="153" t="s">
        <v>37568</v>
      </c>
      <c r="N5856" s="12"/>
      <c r="O5856" s="12"/>
      <c r="P5856" s="13">
        <f>IFERROR(__xludf.DUMMYFUNCTION("VALUE(SUBSTITUTE((INDEX(SPLIT(A5856,"",""),1)),""."","","",1))"),55.86258)</f>
        <v>55.86258</v>
      </c>
      <c r="Q5856" s="13">
        <f>IFERROR(__xludf.DUMMYFUNCTION("VALUE(SUBSTITUTE((INDEX(SPLIT(A5856,"",""),2)),""."","","",1))"),49.025206)</f>
        <v>49.025206</v>
      </c>
      <c r="R5856" s="14" t="b">
        <f t="shared" si="1"/>
        <v>0</v>
      </c>
      <c r="S5856" s="14" t="str">
        <f t="shared" si="2"/>
        <v>55.86258,49.025206</v>
      </c>
      <c r="T5856" s="12"/>
    </row>
    <row r="5857">
      <c r="A5857" s="199" t="s">
        <v>20395</v>
      </c>
      <c r="B5857" s="140" t="s">
        <v>37569</v>
      </c>
      <c r="C5857" s="140" t="s">
        <v>37570</v>
      </c>
      <c r="D5857" s="140" t="s">
        <v>33342</v>
      </c>
      <c r="E5857" s="141" t="s">
        <v>37571</v>
      </c>
      <c r="F5857" s="139" t="s">
        <v>10183</v>
      </c>
      <c r="G5857" s="139" t="s">
        <v>33344</v>
      </c>
      <c r="H5857" s="139"/>
      <c r="I5857" s="140"/>
      <c r="J5857" s="140" t="s">
        <v>37572</v>
      </c>
      <c r="K5857" s="140" t="s">
        <v>37573</v>
      </c>
      <c r="L5857" s="140"/>
      <c r="M5857" s="140"/>
      <c r="N5857" s="12"/>
      <c r="O5857" s="12"/>
      <c r="P5857" s="13">
        <f>IFERROR(__xludf.DUMMYFUNCTION("VALUE(SUBSTITUTE((INDEX(SPLIT(A5857,"",""),1)),""."","","",1))"),55.856508)</f>
        <v>55.856508</v>
      </c>
      <c r="Q5857" s="13">
        <f>IFERROR(__xludf.DUMMYFUNCTION("VALUE(SUBSTITUTE((INDEX(SPLIT(A5857,"",""),2)),""."","","",1))"),49.098958)</f>
        <v>49.098958</v>
      </c>
      <c r="R5857" s="14" t="b">
        <f t="shared" si="1"/>
        <v>0</v>
      </c>
      <c r="S5857" s="14" t="str">
        <f t="shared" si="2"/>
        <v>55.856508,49.098958</v>
      </c>
      <c r="T5857" s="12"/>
    </row>
    <row r="5858">
      <c r="A5858" s="158" t="s">
        <v>37574</v>
      </c>
      <c r="B5858" s="137" t="s">
        <v>37575</v>
      </c>
      <c r="C5858" s="137" t="s">
        <v>37576</v>
      </c>
      <c r="D5858" s="137" t="s">
        <v>33342</v>
      </c>
      <c r="E5858" s="138" t="s">
        <v>37577</v>
      </c>
      <c r="F5858" s="136" t="s">
        <v>10183</v>
      </c>
      <c r="G5858" s="136" t="s">
        <v>33344</v>
      </c>
      <c r="H5858" s="136"/>
      <c r="I5858" s="137"/>
      <c r="J5858" s="137" t="s">
        <v>37578</v>
      </c>
      <c r="K5858" s="137" t="s">
        <v>37579</v>
      </c>
      <c r="L5858" s="137"/>
      <c r="M5858" s="137"/>
      <c r="N5858" s="12"/>
      <c r="O5858" s="12"/>
      <c r="P5858" s="13">
        <f>IFERROR(__xludf.DUMMYFUNCTION("VALUE(SUBSTITUTE((INDEX(SPLIT(A5858,"",""),1)),""."","","",1))"),55.811639)</f>
        <v>55.811639</v>
      </c>
      <c r="Q5858" s="13">
        <f>IFERROR(__xludf.DUMMYFUNCTION("VALUE(SUBSTITUTE((INDEX(SPLIT(A5858,"",""),2)),""."","","",1))"),49.269503)</f>
        <v>49.269503</v>
      </c>
      <c r="R5858" s="14" t="b">
        <f t="shared" si="1"/>
        <v>0</v>
      </c>
      <c r="S5858" s="14" t="str">
        <f t="shared" si="2"/>
        <v>55.811639,49.269503</v>
      </c>
      <c r="T5858" s="12"/>
    </row>
    <row r="5859">
      <c r="A5859" s="199" t="s">
        <v>37580</v>
      </c>
      <c r="B5859" s="140" t="s">
        <v>37581</v>
      </c>
      <c r="C5859" s="140" t="s">
        <v>37582</v>
      </c>
      <c r="D5859" s="140" t="s">
        <v>33342</v>
      </c>
      <c r="E5859" s="141" t="s">
        <v>37583</v>
      </c>
      <c r="F5859" s="139" t="s">
        <v>10183</v>
      </c>
      <c r="G5859" s="139" t="s">
        <v>33344</v>
      </c>
      <c r="H5859" s="139"/>
      <c r="I5859" s="140"/>
      <c r="J5859" s="140" t="s">
        <v>37584</v>
      </c>
      <c r="K5859" s="140" t="s">
        <v>37585</v>
      </c>
      <c r="L5859" s="140"/>
      <c r="M5859" s="154" t="s">
        <v>37586</v>
      </c>
      <c r="N5859" s="12"/>
      <c r="O5859" s="12"/>
      <c r="P5859" s="13">
        <f>IFERROR(__xludf.DUMMYFUNCTION("VALUE(SUBSTITUTE((INDEX(SPLIT(A5859,"",""),1)),""."","","",1))"),55.757298)</f>
        <v>55.757298</v>
      </c>
      <c r="Q5859" s="13">
        <f>IFERROR(__xludf.DUMMYFUNCTION("VALUE(SUBSTITUTE((INDEX(SPLIT(A5859,"",""),2)),""."","","",1))"),52.012868)</f>
        <v>52.012868</v>
      </c>
      <c r="R5859" s="14" t="b">
        <f t="shared" si="1"/>
        <v>0</v>
      </c>
      <c r="S5859" s="14" t="str">
        <f t="shared" si="2"/>
        <v>55.757298,52.012868</v>
      </c>
      <c r="T5859" s="12"/>
    </row>
    <row r="5860">
      <c r="A5860" s="158" t="s">
        <v>37587</v>
      </c>
      <c r="B5860" s="137" t="s">
        <v>37588</v>
      </c>
      <c r="C5860" s="137" t="s">
        <v>37589</v>
      </c>
      <c r="D5860" s="137" t="s">
        <v>33342</v>
      </c>
      <c r="E5860" s="138" t="s">
        <v>37590</v>
      </c>
      <c r="F5860" s="136" t="s">
        <v>10183</v>
      </c>
      <c r="G5860" s="136" t="s">
        <v>33344</v>
      </c>
      <c r="H5860" s="136"/>
      <c r="I5860" s="137"/>
      <c r="J5860" s="137" t="s">
        <v>37591</v>
      </c>
      <c r="K5860" s="137" t="s">
        <v>37592</v>
      </c>
      <c r="L5860" s="137"/>
      <c r="M5860" s="153" t="s">
        <v>37593</v>
      </c>
      <c r="N5860" s="12"/>
      <c r="O5860" s="12"/>
      <c r="P5860" s="13">
        <f>IFERROR(__xludf.DUMMYFUNCTION("VALUE(SUBSTITUTE((INDEX(SPLIT(A5860,"",""),1)),""."","","",1))"),55.82708)</f>
        <v>55.82708</v>
      </c>
      <c r="Q5860" s="13">
        <f>IFERROR(__xludf.DUMMYFUNCTION("VALUE(SUBSTITUTE((INDEX(SPLIT(A5860,"",""),2)),""."","","",1))"),49.025871)</f>
        <v>49.025871</v>
      </c>
      <c r="R5860" s="14" t="b">
        <f t="shared" si="1"/>
        <v>0</v>
      </c>
      <c r="S5860" s="14" t="str">
        <f t="shared" si="2"/>
        <v>55.82708,49.025871</v>
      </c>
      <c r="T5860" s="12"/>
    </row>
    <row r="5861">
      <c r="A5861" s="199" t="s">
        <v>37594</v>
      </c>
      <c r="B5861" s="140" t="s">
        <v>37595</v>
      </c>
      <c r="C5861" s="140" t="s">
        <v>37596</v>
      </c>
      <c r="D5861" s="140" t="s">
        <v>33342</v>
      </c>
      <c r="E5861" s="141" t="s">
        <v>37597</v>
      </c>
      <c r="F5861" s="139" t="s">
        <v>10183</v>
      </c>
      <c r="G5861" s="139" t="s">
        <v>33344</v>
      </c>
      <c r="H5861" s="139"/>
      <c r="I5861" s="140"/>
      <c r="J5861" s="140" t="s">
        <v>37598</v>
      </c>
      <c r="K5861" s="140" t="s">
        <v>37599</v>
      </c>
      <c r="L5861" s="140"/>
      <c r="M5861" s="140"/>
      <c r="N5861" s="12"/>
      <c r="O5861" s="12"/>
      <c r="P5861" s="13">
        <f>IFERROR(__xludf.DUMMYFUNCTION("VALUE(SUBSTITUTE((INDEX(SPLIT(A5861,"",""),1)),""."","","",1))"),55.614546)</f>
        <v>55.614546</v>
      </c>
      <c r="Q5861" s="13">
        <f>IFERROR(__xludf.DUMMYFUNCTION("VALUE(SUBSTITUTE((INDEX(SPLIT(A5861,"",""),2)),""."","","",1))"),49.133265)</f>
        <v>49.133265</v>
      </c>
      <c r="R5861" s="14" t="b">
        <f t="shared" si="1"/>
        <v>0</v>
      </c>
      <c r="S5861" s="14" t="str">
        <f t="shared" si="2"/>
        <v>55.614546,49.133265</v>
      </c>
      <c r="T5861" s="12"/>
    </row>
    <row r="5862">
      <c r="A5862" s="158" t="s">
        <v>37600</v>
      </c>
      <c r="B5862" s="137" t="s">
        <v>37601</v>
      </c>
      <c r="C5862" s="137" t="s">
        <v>37602</v>
      </c>
      <c r="D5862" s="137" t="s">
        <v>33342</v>
      </c>
      <c r="E5862" s="138" t="s">
        <v>37603</v>
      </c>
      <c r="F5862" s="136" t="s">
        <v>10183</v>
      </c>
      <c r="G5862" s="136" t="s">
        <v>33344</v>
      </c>
      <c r="H5862" s="136"/>
      <c r="I5862" s="137"/>
      <c r="J5862" s="137" t="s">
        <v>37604</v>
      </c>
      <c r="K5862" s="137" t="s">
        <v>37605</v>
      </c>
      <c r="L5862" s="137"/>
      <c r="M5862" s="153" t="s">
        <v>37606</v>
      </c>
      <c r="N5862" s="12"/>
      <c r="O5862" s="12"/>
      <c r="P5862" s="13">
        <f>IFERROR(__xludf.DUMMYFUNCTION("VALUE(SUBSTITUTE((INDEX(SPLIT(A5862,"",""),1)),""."","","",1))"),55.723308)</f>
        <v>55.723308</v>
      </c>
      <c r="Q5862" s="13">
        <f>IFERROR(__xludf.DUMMYFUNCTION("VALUE(SUBSTITUTE((INDEX(SPLIT(A5862,"",""),2)),""."","","",1))"),49.089382)</f>
        <v>49.089382</v>
      </c>
      <c r="R5862" s="14" t="b">
        <f t="shared" si="1"/>
        <v>0</v>
      </c>
      <c r="S5862" s="14" t="str">
        <f t="shared" si="2"/>
        <v>55.723308,49.089382</v>
      </c>
      <c r="T5862" s="12"/>
    </row>
    <row r="5863">
      <c r="A5863" s="199" t="s">
        <v>37607</v>
      </c>
      <c r="B5863" s="140" t="s">
        <v>37608</v>
      </c>
      <c r="C5863" s="140" t="s">
        <v>37609</v>
      </c>
      <c r="D5863" s="140" t="s">
        <v>33342</v>
      </c>
      <c r="E5863" s="141" t="s">
        <v>37610</v>
      </c>
      <c r="F5863" s="139" t="s">
        <v>10183</v>
      </c>
      <c r="G5863" s="139" t="s">
        <v>33344</v>
      </c>
      <c r="H5863" s="139"/>
      <c r="I5863" s="140"/>
      <c r="J5863" s="140" t="s">
        <v>37611</v>
      </c>
      <c r="K5863" s="140" t="s">
        <v>37612</v>
      </c>
      <c r="L5863" s="140"/>
      <c r="M5863" s="154" t="s">
        <v>37613</v>
      </c>
      <c r="N5863" s="12"/>
      <c r="O5863" s="12"/>
      <c r="P5863" s="13">
        <f>IFERROR(__xludf.DUMMYFUNCTION("VALUE(SUBSTITUTE((INDEX(SPLIT(A5863,"",""),1)),""."","","",1))"),55.839668)</f>
        <v>55.839668</v>
      </c>
      <c r="Q5863" s="13">
        <f>IFERROR(__xludf.DUMMYFUNCTION("VALUE(SUBSTITUTE((INDEX(SPLIT(A5863,"",""),2)),""."","","",1))"),49.089822)</f>
        <v>49.089822</v>
      </c>
      <c r="R5863" s="14" t="b">
        <f t="shared" si="1"/>
        <v>0</v>
      </c>
      <c r="S5863" s="14" t="str">
        <f t="shared" si="2"/>
        <v>55.839668,49.089822</v>
      </c>
      <c r="T5863" s="12"/>
    </row>
    <row r="5864">
      <c r="A5864" s="158" t="s">
        <v>37614</v>
      </c>
      <c r="B5864" s="137" t="s">
        <v>37615</v>
      </c>
      <c r="C5864" s="137" t="s">
        <v>37616</v>
      </c>
      <c r="D5864" s="137" t="s">
        <v>33342</v>
      </c>
      <c r="E5864" s="138" t="s">
        <v>37617</v>
      </c>
      <c r="F5864" s="136" t="s">
        <v>10183</v>
      </c>
      <c r="G5864" s="136" t="s">
        <v>33344</v>
      </c>
      <c r="H5864" s="136"/>
      <c r="I5864" s="137"/>
      <c r="J5864" s="137" t="s">
        <v>37618</v>
      </c>
      <c r="K5864" s="137" t="s">
        <v>37619</v>
      </c>
      <c r="L5864" s="137"/>
      <c r="M5864" s="153" t="s">
        <v>37620</v>
      </c>
      <c r="N5864" s="12"/>
      <c r="O5864" s="12"/>
      <c r="P5864" s="13">
        <f>IFERROR(__xludf.DUMMYFUNCTION("VALUE(SUBSTITUTE((INDEX(SPLIT(A5864,"",""),1)),""."","","",1))"),55.774603)</f>
        <v>55.774603</v>
      </c>
      <c r="Q5864" s="13">
        <f>IFERROR(__xludf.DUMMYFUNCTION("VALUE(SUBSTITUTE((INDEX(SPLIT(A5864,"",""),2)),""."","","",1))"),49.644873)</f>
        <v>49.644873</v>
      </c>
      <c r="R5864" s="14" t="b">
        <f t="shared" si="1"/>
        <v>0</v>
      </c>
      <c r="S5864" s="14" t="str">
        <f t="shared" si="2"/>
        <v>55.774603,49.644873</v>
      </c>
      <c r="T5864" s="12"/>
    </row>
    <row r="5865">
      <c r="A5865" s="199" t="s">
        <v>37621</v>
      </c>
      <c r="B5865" s="140" t="s">
        <v>37622</v>
      </c>
      <c r="C5865" s="140" t="s">
        <v>37623</v>
      </c>
      <c r="D5865" s="140" t="s">
        <v>33342</v>
      </c>
      <c r="E5865" s="141" t="s">
        <v>37624</v>
      </c>
      <c r="F5865" s="139" t="s">
        <v>37625</v>
      </c>
      <c r="G5865" s="139" t="s">
        <v>33344</v>
      </c>
      <c r="H5865" s="139"/>
      <c r="I5865" s="140"/>
      <c r="J5865" s="140" t="s">
        <v>37626</v>
      </c>
      <c r="K5865" s="140" t="s">
        <v>37627</v>
      </c>
      <c r="L5865" s="140"/>
      <c r="M5865" s="140"/>
      <c r="N5865" s="12"/>
      <c r="O5865" s="12"/>
      <c r="P5865" s="13">
        <f>IFERROR(__xludf.DUMMYFUNCTION("VALUE(SUBSTITUTE((INDEX(SPLIT(A5865,"",""),1)),""."","","",1))"),51.720386)</f>
        <v>51.720386</v>
      </c>
      <c r="Q5865" s="13">
        <f>IFERROR(__xludf.DUMMYFUNCTION("VALUE(SUBSTITUTE((INDEX(SPLIT(A5865,"",""),2)),""."","","",1))"),94.442464)</f>
        <v>94.442464</v>
      </c>
      <c r="R5865" s="14" t="b">
        <f t="shared" si="1"/>
        <v>0</v>
      </c>
      <c r="S5865" s="14" t="str">
        <f t="shared" si="2"/>
        <v>51.720386,94.442464</v>
      </c>
      <c r="T5865" s="12"/>
    </row>
    <row r="5866">
      <c r="A5866" s="201" t="s">
        <v>22499</v>
      </c>
      <c r="B5866" s="143" t="s">
        <v>37628</v>
      </c>
      <c r="C5866" s="143" t="s">
        <v>37629</v>
      </c>
      <c r="D5866" s="143" t="s">
        <v>33342</v>
      </c>
      <c r="E5866" s="144" t="s">
        <v>37630</v>
      </c>
      <c r="F5866" s="142" t="s">
        <v>10609</v>
      </c>
      <c r="G5866" s="142" t="s">
        <v>33344</v>
      </c>
      <c r="H5866" s="142"/>
      <c r="I5866" s="143"/>
      <c r="J5866" s="143" t="s">
        <v>37631</v>
      </c>
      <c r="K5866" s="143" t="s">
        <v>37632</v>
      </c>
      <c r="L5866" s="145" t="s">
        <v>24051</v>
      </c>
      <c r="M5866" s="143"/>
      <c r="N5866" s="12"/>
      <c r="O5866" s="12"/>
      <c r="P5866" s="13">
        <f>IFERROR(__xludf.DUMMYFUNCTION("VALUE(SUBSTITUTE((INDEX(SPLIT(A5866,"",""),1)),""."","","",1))"),58.135926)</f>
        <v>58.135926</v>
      </c>
      <c r="Q5866" s="13">
        <f>IFERROR(__xludf.DUMMYFUNCTION("VALUE(SUBSTITUTE((INDEX(SPLIT(A5866,"",""),2)),""."","","",1))"),52.670974)</f>
        <v>52.670974</v>
      </c>
      <c r="R5866" s="14" t="b">
        <f t="shared" si="1"/>
        <v>0</v>
      </c>
      <c r="S5866" s="14" t="str">
        <f t="shared" si="2"/>
        <v>58.135926,52.670974</v>
      </c>
      <c r="T5866" s="12"/>
    </row>
    <row r="5867">
      <c r="A5867" s="202" t="s">
        <v>37633</v>
      </c>
      <c r="B5867" s="147" t="s">
        <v>37634</v>
      </c>
      <c r="C5867" s="147" t="s">
        <v>37635</v>
      </c>
      <c r="D5867" s="147" t="s">
        <v>33342</v>
      </c>
      <c r="E5867" s="148" t="s">
        <v>37636</v>
      </c>
      <c r="F5867" s="146" t="s">
        <v>10609</v>
      </c>
      <c r="G5867" s="146" t="s">
        <v>33344</v>
      </c>
      <c r="H5867" s="146"/>
      <c r="I5867" s="147"/>
      <c r="J5867" s="147" t="s">
        <v>37637</v>
      </c>
      <c r="K5867" s="147" t="s">
        <v>37638</v>
      </c>
      <c r="L5867" s="149" t="s">
        <v>37639</v>
      </c>
      <c r="M5867" s="147"/>
      <c r="N5867" s="12"/>
      <c r="O5867" s="12"/>
      <c r="P5867" s="13">
        <f>IFERROR(__xludf.DUMMYFUNCTION("VALUE(SUBSTITUTE((INDEX(SPLIT(A5867,"",""),1)),""."","","",1))"),56.990581)</f>
        <v>56.990581</v>
      </c>
      <c r="Q5867" s="13">
        <f>IFERROR(__xludf.DUMMYFUNCTION("VALUE(SUBSTITUTE((INDEX(SPLIT(A5867,"",""),2)),""."","","",1))"),52.178859)</f>
        <v>52.178859</v>
      </c>
      <c r="R5867" s="14" t="b">
        <f t="shared" si="1"/>
        <v>0</v>
      </c>
      <c r="S5867" s="14" t="str">
        <f t="shared" si="2"/>
        <v>56.990581,52.178859</v>
      </c>
      <c r="T5867" s="12"/>
    </row>
    <row r="5868">
      <c r="A5868" s="201" t="s">
        <v>37640</v>
      </c>
      <c r="B5868" s="143" t="s">
        <v>37641</v>
      </c>
      <c r="C5868" s="143" t="s">
        <v>37642</v>
      </c>
      <c r="D5868" s="143" t="s">
        <v>33342</v>
      </c>
      <c r="E5868" s="144" t="s">
        <v>37643</v>
      </c>
      <c r="F5868" s="142" t="s">
        <v>10609</v>
      </c>
      <c r="G5868" s="142" t="s">
        <v>33344</v>
      </c>
      <c r="H5868" s="142"/>
      <c r="I5868" s="155" t="s">
        <v>37644</v>
      </c>
      <c r="J5868" s="143" t="s">
        <v>37645</v>
      </c>
      <c r="K5868" s="143" t="s">
        <v>37646</v>
      </c>
      <c r="L5868" s="152" t="s">
        <v>37647</v>
      </c>
      <c r="M5868" s="143"/>
      <c r="N5868" s="12"/>
      <c r="O5868" s="12"/>
      <c r="P5868" s="13">
        <f>IFERROR(__xludf.DUMMYFUNCTION("VALUE(SUBSTITUTE((INDEX(SPLIT(A5868,"",""),1)),""."","","",1))"),57.05069)</f>
        <v>57.05069</v>
      </c>
      <c r="Q5868" s="13">
        <f>IFERROR(__xludf.DUMMYFUNCTION("VALUE(SUBSTITUTE((INDEX(SPLIT(A5868,"",""),2)),""."","","",1))"),54.005655)</f>
        <v>54.005655</v>
      </c>
      <c r="R5868" s="14" t="b">
        <f t="shared" si="1"/>
        <v>0</v>
      </c>
      <c r="S5868" s="14" t="str">
        <f t="shared" si="2"/>
        <v>57.05069,54.005655</v>
      </c>
      <c r="T5868" s="12"/>
    </row>
    <row r="5869">
      <c r="A5869" s="202" t="s">
        <v>37648</v>
      </c>
      <c r="B5869" s="147" t="s">
        <v>1840</v>
      </c>
      <c r="C5869" s="147" t="s">
        <v>37649</v>
      </c>
      <c r="D5869" s="147" t="s">
        <v>33342</v>
      </c>
      <c r="E5869" s="148" t="s">
        <v>37650</v>
      </c>
      <c r="F5869" s="146" t="s">
        <v>10609</v>
      </c>
      <c r="G5869" s="146" t="s">
        <v>33344</v>
      </c>
      <c r="H5869" s="146"/>
      <c r="I5869" s="147"/>
      <c r="J5869" s="147" t="s">
        <v>37651</v>
      </c>
      <c r="K5869" s="147" t="s">
        <v>37652</v>
      </c>
      <c r="L5869" s="149" t="s">
        <v>37653</v>
      </c>
      <c r="M5869" s="149" t="s">
        <v>37654</v>
      </c>
      <c r="N5869" s="12"/>
      <c r="O5869" s="12"/>
      <c r="P5869" s="13">
        <f>IFERROR(__xludf.DUMMYFUNCTION("VALUE(SUBSTITUTE((INDEX(SPLIT(A5869,"",""),1)),""."","","",1))"),57.048457)</f>
        <v>57.048457</v>
      </c>
      <c r="Q5869" s="13">
        <f>IFERROR(__xludf.DUMMYFUNCTION("VALUE(SUBSTITUTE((INDEX(SPLIT(A5869,"",""),2)),""."","","",1))"),54.001244)</f>
        <v>54.001244</v>
      </c>
      <c r="R5869" s="14" t="b">
        <f t="shared" si="1"/>
        <v>0</v>
      </c>
      <c r="S5869" s="14" t="str">
        <f t="shared" si="2"/>
        <v>57.048457,54.001244</v>
      </c>
      <c r="T5869" s="12"/>
    </row>
    <row r="5870">
      <c r="A5870" s="201" t="s">
        <v>37655</v>
      </c>
      <c r="B5870" s="143" t="s">
        <v>37656</v>
      </c>
      <c r="C5870" s="143" t="s">
        <v>37657</v>
      </c>
      <c r="D5870" s="143" t="s">
        <v>33342</v>
      </c>
      <c r="E5870" s="144" t="s">
        <v>37658</v>
      </c>
      <c r="F5870" s="142" t="s">
        <v>10609</v>
      </c>
      <c r="G5870" s="142" t="s">
        <v>33344</v>
      </c>
      <c r="H5870" s="142"/>
      <c r="I5870" s="143"/>
      <c r="J5870" s="143" t="s">
        <v>37659</v>
      </c>
      <c r="K5870" s="143" t="s">
        <v>37660</v>
      </c>
      <c r="L5870" s="145" t="s">
        <v>37661</v>
      </c>
      <c r="M5870" s="143"/>
      <c r="N5870" s="12"/>
      <c r="O5870" s="12"/>
      <c r="P5870" s="13">
        <f>IFERROR(__xludf.DUMMYFUNCTION("VALUE(SUBSTITUTE((INDEX(SPLIT(A5870,"",""),1)),""."","","",1))"),57.026791)</f>
        <v>57.026791</v>
      </c>
      <c r="Q5870" s="13">
        <f>IFERROR(__xludf.DUMMYFUNCTION("VALUE(SUBSTITUTE((INDEX(SPLIT(A5870,"",""),2)),""."","","",1))"),53.984625)</f>
        <v>53.984625</v>
      </c>
      <c r="R5870" s="14" t="b">
        <f t="shared" si="1"/>
        <v>0</v>
      </c>
      <c r="S5870" s="14" t="str">
        <f t="shared" si="2"/>
        <v>57.026791,53.984625</v>
      </c>
      <c r="T5870" s="12"/>
    </row>
    <row r="5871">
      <c r="A5871" s="139" t="s">
        <v>37662</v>
      </c>
      <c r="B5871" s="140" t="s">
        <v>37663</v>
      </c>
      <c r="C5871" s="140" t="s">
        <v>37664</v>
      </c>
      <c r="D5871" s="140" t="s">
        <v>33342</v>
      </c>
      <c r="E5871" s="141" t="s">
        <v>37665</v>
      </c>
      <c r="F5871" s="139" t="s">
        <v>10609</v>
      </c>
      <c r="G5871" s="139" t="s">
        <v>33344</v>
      </c>
      <c r="H5871" s="139"/>
      <c r="I5871" s="140"/>
      <c r="J5871" s="140" t="s">
        <v>37666</v>
      </c>
      <c r="K5871" s="140" t="s">
        <v>37667</v>
      </c>
      <c r="L5871" s="140"/>
      <c r="M5871" s="140"/>
      <c r="N5871" s="12"/>
      <c r="O5871" s="12"/>
      <c r="P5871" s="13">
        <f>IFERROR(__xludf.DUMMYFUNCTION("VALUE(SUBSTITUTE((INDEX(SPLIT(A5871,"",""),1)),""."","","",1))"),57.63914)</f>
        <v>57.63914</v>
      </c>
      <c r="Q5871" s="13">
        <f>IFERROR(__xludf.DUMMYFUNCTION("VALUE(SUBSTITUTE((INDEX(SPLIT(A5871,"",""),2)),""."","","",1))"),53.82053)</f>
        <v>53.82053</v>
      </c>
      <c r="R5871" s="14" t="b">
        <f t="shared" si="1"/>
        <v>0</v>
      </c>
      <c r="S5871" s="14" t="str">
        <f t="shared" si="2"/>
        <v>57.63914,53.82053</v>
      </c>
      <c r="T5871" s="12"/>
    </row>
    <row r="5872">
      <c r="A5872" s="142" t="s">
        <v>37668</v>
      </c>
      <c r="B5872" s="143" t="s">
        <v>37669</v>
      </c>
      <c r="C5872" s="143" t="s">
        <v>37670</v>
      </c>
      <c r="D5872" s="143" t="s">
        <v>33342</v>
      </c>
      <c r="E5872" s="144" t="s">
        <v>37671</v>
      </c>
      <c r="F5872" s="142" t="s">
        <v>10609</v>
      </c>
      <c r="G5872" s="142" t="s">
        <v>33344</v>
      </c>
      <c r="H5872" s="142"/>
      <c r="I5872" s="143"/>
      <c r="J5872" s="143" t="s">
        <v>37672</v>
      </c>
      <c r="K5872" s="143" t="s">
        <v>37673</v>
      </c>
      <c r="L5872" s="145" t="s">
        <v>24051</v>
      </c>
      <c r="M5872" s="143"/>
      <c r="N5872" s="12"/>
      <c r="O5872" s="12"/>
      <c r="P5872" s="13">
        <f>IFERROR(__xludf.DUMMYFUNCTION("VALUE(SUBSTITUTE((INDEX(SPLIT(A5872,"",""),1)),""."","","",1))"),56.827311)</f>
        <v>56.827311</v>
      </c>
      <c r="Q5872" s="13">
        <f>IFERROR(__xludf.DUMMYFUNCTION("VALUE(SUBSTITUTE((INDEX(SPLIT(A5872,"",""),2)),""."","","",1))"),53.13773)</f>
        <v>53.13773</v>
      </c>
      <c r="R5872" s="14" t="b">
        <f t="shared" si="1"/>
        <v>0</v>
      </c>
      <c r="S5872" s="14" t="str">
        <f t="shared" si="2"/>
        <v>56.827311,53.13773</v>
      </c>
      <c r="T5872" s="12"/>
    </row>
    <row r="5873">
      <c r="A5873" s="146" t="s">
        <v>37674</v>
      </c>
      <c r="B5873" s="147" t="s">
        <v>37675</v>
      </c>
      <c r="C5873" s="147" t="s">
        <v>37676</v>
      </c>
      <c r="D5873" s="147" t="s">
        <v>33342</v>
      </c>
      <c r="E5873" s="148" t="s">
        <v>37677</v>
      </c>
      <c r="F5873" s="146" t="s">
        <v>10609</v>
      </c>
      <c r="G5873" s="146" t="s">
        <v>33344</v>
      </c>
      <c r="H5873" s="146"/>
      <c r="I5873" s="147"/>
      <c r="J5873" s="147" t="s">
        <v>37678</v>
      </c>
      <c r="K5873" s="147" t="s">
        <v>37679</v>
      </c>
      <c r="L5873" s="149" t="s">
        <v>37680</v>
      </c>
      <c r="M5873" s="147"/>
      <c r="N5873" s="12"/>
      <c r="O5873" s="12"/>
      <c r="P5873" s="13">
        <f>IFERROR(__xludf.DUMMYFUNCTION("VALUE(SUBSTITUTE((INDEX(SPLIT(A5873,"",""),1)),""."","","",1))"),56.793474)</f>
        <v>56.793474</v>
      </c>
      <c r="Q5873" s="13">
        <f>IFERROR(__xludf.DUMMYFUNCTION("VALUE(SUBSTITUTE((INDEX(SPLIT(A5873,"",""),2)),""."","","",1))"),53.189607)</f>
        <v>53.189607</v>
      </c>
      <c r="R5873" s="14" t="b">
        <f t="shared" si="1"/>
        <v>0</v>
      </c>
      <c r="S5873" s="14" t="str">
        <f t="shared" si="2"/>
        <v>56.793474,53.189607</v>
      </c>
      <c r="T5873" s="12"/>
    </row>
    <row r="5874">
      <c r="A5874" s="142" t="s">
        <v>37681</v>
      </c>
      <c r="B5874" s="143" t="s">
        <v>37682</v>
      </c>
      <c r="C5874" s="143" t="s">
        <v>37683</v>
      </c>
      <c r="D5874" s="143" t="s">
        <v>33342</v>
      </c>
      <c r="E5874" s="144" t="s">
        <v>37684</v>
      </c>
      <c r="F5874" s="142" t="s">
        <v>10609</v>
      </c>
      <c r="G5874" s="142" t="s">
        <v>33344</v>
      </c>
      <c r="H5874" s="142"/>
      <c r="I5874" s="143"/>
      <c r="J5874" s="143" t="s">
        <v>37685</v>
      </c>
      <c r="K5874" s="143" t="s">
        <v>37686</v>
      </c>
      <c r="L5874" s="145" t="s">
        <v>37687</v>
      </c>
      <c r="M5874" s="143"/>
      <c r="N5874" s="12"/>
      <c r="O5874" s="12"/>
      <c r="P5874" s="13">
        <f>IFERROR(__xludf.DUMMYFUNCTION("VALUE(SUBSTITUTE((INDEX(SPLIT(A5874,"",""),1)),""."","","",1))"),56.827488)</f>
        <v>56.827488</v>
      </c>
      <c r="Q5874" s="13">
        <f>IFERROR(__xludf.DUMMYFUNCTION("VALUE(SUBSTITUTE((INDEX(SPLIT(A5874,"",""),2)),""."","","",1))"),53.109567)</f>
        <v>53.109567</v>
      </c>
      <c r="R5874" s="14" t="b">
        <f t="shared" si="1"/>
        <v>0</v>
      </c>
      <c r="S5874" s="14" t="str">
        <f t="shared" si="2"/>
        <v>56.827488,53.109567</v>
      </c>
      <c r="T5874" s="12"/>
    </row>
    <row r="5875">
      <c r="A5875" s="146" t="s">
        <v>37688</v>
      </c>
      <c r="B5875" s="147" t="s">
        <v>37689</v>
      </c>
      <c r="C5875" s="147" t="s">
        <v>37690</v>
      </c>
      <c r="D5875" s="147" t="s">
        <v>33342</v>
      </c>
      <c r="E5875" s="148" t="s">
        <v>37691</v>
      </c>
      <c r="F5875" s="146" t="s">
        <v>10609</v>
      </c>
      <c r="G5875" s="146" t="s">
        <v>33344</v>
      </c>
      <c r="H5875" s="146"/>
      <c r="I5875" s="147"/>
      <c r="J5875" s="147" t="s">
        <v>37692</v>
      </c>
      <c r="K5875" s="147" t="s">
        <v>37693</v>
      </c>
      <c r="L5875" s="149" t="s">
        <v>37694</v>
      </c>
      <c r="M5875" s="147"/>
      <c r="N5875" s="12"/>
      <c r="O5875" s="12"/>
      <c r="P5875" s="13">
        <f>IFERROR(__xludf.DUMMYFUNCTION("VALUE(SUBSTITUTE((INDEX(SPLIT(A5875,"",""),1)),""."","","",1))"),56.805151)</f>
        <v>56.805151</v>
      </c>
      <c r="Q5875" s="13">
        <f>IFERROR(__xludf.DUMMYFUNCTION("VALUE(SUBSTITUTE((INDEX(SPLIT(A5875,"",""),2)),""."","","",1))"),53.195653)</f>
        <v>53.195653</v>
      </c>
      <c r="R5875" s="14" t="b">
        <f t="shared" si="1"/>
        <v>0</v>
      </c>
      <c r="S5875" s="14" t="str">
        <f t="shared" si="2"/>
        <v>56.805151,53.195653</v>
      </c>
      <c r="T5875" s="12"/>
    </row>
    <row r="5876">
      <c r="A5876" s="136" t="s">
        <v>37695</v>
      </c>
      <c r="B5876" s="137" t="s">
        <v>763</v>
      </c>
      <c r="C5876" s="137" t="s">
        <v>35423</v>
      </c>
      <c r="D5876" s="137" t="s">
        <v>33342</v>
      </c>
      <c r="E5876" s="138" t="s">
        <v>37696</v>
      </c>
      <c r="F5876" s="136" t="s">
        <v>10609</v>
      </c>
      <c r="G5876" s="136" t="s">
        <v>33344</v>
      </c>
      <c r="H5876" s="136"/>
      <c r="I5876" s="137"/>
      <c r="J5876" s="137" t="s">
        <v>37697</v>
      </c>
      <c r="K5876" s="137" t="s">
        <v>37698</v>
      </c>
      <c r="L5876" s="137"/>
      <c r="M5876" s="153" t="s">
        <v>37699</v>
      </c>
      <c r="N5876" s="12"/>
      <c r="O5876" s="12"/>
      <c r="P5876" s="13">
        <f>IFERROR(__xludf.DUMMYFUNCTION("VALUE(SUBSTITUTE((INDEX(SPLIT(A5876,"",""),1)),""."","","",1))"),56.82471)</f>
        <v>56.82471</v>
      </c>
      <c r="Q5876" s="13">
        <f>IFERROR(__xludf.DUMMYFUNCTION("VALUE(SUBSTITUTE((INDEX(SPLIT(A5876,"",""),2)),""."","","",1))"),53.19232)</f>
        <v>53.19232</v>
      </c>
      <c r="R5876" s="14" t="b">
        <f t="shared" si="1"/>
        <v>0</v>
      </c>
      <c r="S5876" s="14" t="str">
        <f t="shared" si="2"/>
        <v>56.82471,53.19232</v>
      </c>
      <c r="T5876" s="12"/>
    </row>
    <row r="5877">
      <c r="A5877" s="139" t="s">
        <v>37700</v>
      </c>
      <c r="B5877" s="140" t="s">
        <v>37701</v>
      </c>
      <c r="C5877" s="140" t="s">
        <v>37702</v>
      </c>
      <c r="D5877" s="140" t="s">
        <v>33342</v>
      </c>
      <c r="E5877" s="141" t="s">
        <v>37703</v>
      </c>
      <c r="F5877" s="139" t="s">
        <v>10609</v>
      </c>
      <c r="G5877" s="139" t="s">
        <v>33344</v>
      </c>
      <c r="H5877" s="139"/>
      <c r="I5877" s="140"/>
      <c r="J5877" s="140" t="s">
        <v>37704</v>
      </c>
      <c r="K5877" s="140" t="s">
        <v>37705</v>
      </c>
      <c r="L5877" s="140"/>
      <c r="M5877" s="140"/>
      <c r="N5877" s="12"/>
      <c r="O5877" s="12"/>
      <c r="P5877" s="13">
        <f>IFERROR(__xludf.DUMMYFUNCTION("VALUE(SUBSTITUTE((INDEX(SPLIT(A5877,"",""),1)),""."","","",1))"),56.81505)</f>
        <v>56.81505</v>
      </c>
      <c r="Q5877" s="13">
        <f>IFERROR(__xludf.DUMMYFUNCTION("VALUE(SUBSTITUTE((INDEX(SPLIT(A5877,"",""),2)),""."","","",1))"),53.13366)</f>
        <v>53.13366</v>
      </c>
      <c r="R5877" s="14" t="b">
        <f t="shared" si="1"/>
        <v>0</v>
      </c>
      <c r="S5877" s="14" t="str">
        <f t="shared" si="2"/>
        <v>56.81505,53.13366</v>
      </c>
      <c r="T5877" s="12"/>
    </row>
    <row r="5878">
      <c r="A5878" s="136" t="s">
        <v>37706</v>
      </c>
      <c r="B5878" s="137" t="s">
        <v>37707</v>
      </c>
      <c r="C5878" s="137" t="s">
        <v>37708</v>
      </c>
      <c r="D5878" s="137" t="s">
        <v>33342</v>
      </c>
      <c r="E5878" s="138" t="s">
        <v>37709</v>
      </c>
      <c r="F5878" s="136" t="s">
        <v>10609</v>
      </c>
      <c r="G5878" s="136" t="s">
        <v>33344</v>
      </c>
      <c r="H5878" s="136"/>
      <c r="I5878" s="137"/>
      <c r="J5878" s="137" t="s">
        <v>37710</v>
      </c>
      <c r="K5878" s="137" t="s">
        <v>37711</v>
      </c>
      <c r="L5878" s="137"/>
      <c r="M5878" s="137"/>
      <c r="N5878" s="12"/>
      <c r="O5878" s="12"/>
      <c r="P5878" s="13">
        <f>IFERROR(__xludf.DUMMYFUNCTION("VALUE(SUBSTITUTE((INDEX(SPLIT(A5878,"",""),1)),""."","","",1))"),58.149089)</f>
        <v>58.149089</v>
      </c>
      <c r="Q5878" s="13">
        <f>IFERROR(__xludf.DUMMYFUNCTION("VALUE(SUBSTITUTE((INDEX(SPLIT(A5878,"",""),2)),""."","","",1))"),52.622312)</f>
        <v>52.622312</v>
      </c>
      <c r="R5878" s="14" t="b">
        <f t="shared" si="1"/>
        <v>0</v>
      </c>
      <c r="S5878" s="14" t="str">
        <f t="shared" si="2"/>
        <v>58.149089,52.622312</v>
      </c>
      <c r="T5878" s="12"/>
    </row>
    <row r="5879">
      <c r="A5879" s="139" t="s">
        <v>37712</v>
      </c>
      <c r="B5879" s="140" t="s">
        <v>37713</v>
      </c>
      <c r="C5879" s="140" t="s">
        <v>37714</v>
      </c>
      <c r="D5879" s="140" t="s">
        <v>33342</v>
      </c>
      <c r="E5879" s="141" t="s">
        <v>37715</v>
      </c>
      <c r="F5879" s="139" t="s">
        <v>10609</v>
      </c>
      <c r="G5879" s="139" t="s">
        <v>33344</v>
      </c>
      <c r="H5879" s="139"/>
      <c r="I5879" s="140"/>
      <c r="J5879" s="140" t="s">
        <v>37716</v>
      </c>
      <c r="K5879" s="140" t="s">
        <v>37717</v>
      </c>
      <c r="L5879" s="140"/>
      <c r="M5879" s="140"/>
      <c r="N5879" s="12"/>
      <c r="O5879" s="12"/>
      <c r="P5879" s="13">
        <f>IFERROR(__xludf.DUMMYFUNCTION("VALUE(SUBSTITUTE((INDEX(SPLIT(A5879,"",""),1)),""."","","",1))"),56.454085)</f>
        <v>56.454085</v>
      </c>
      <c r="Q5879" s="13">
        <f>IFERROR(__xludf.DUMMYFUNCTION("VALUE(SUBSTITUTE((INDEX(SPLIT(A5879,"",""),2)),""."","","",1))"),53.806301)</f>
        <v>53.806301</v>
      </c>
      <c r="R5879" s="14" t="b">
        <f t="shared" si="1"/>
        <v>0</v>
      </c>
      <c r="S5879" s="14" t="str">
        <f t="shared" si="2"/>
        <v>56.454085,53.806301</v>
      </c>
      <c r="T5879" s="12"/>
    </row>
    <row r="5880">
      <c r="A5880" s="142" t="s">
        <v>22651</v>
      </c>
      <c r="B5880" s="143" t="s">
        <v>37718</v>
      </c>
      <c r="C5880" s="143" t="s">
        <v>37719</v>
      </c>
      <c r="D5880" s="143" t="s">
        <v>33342</v>
      </c>
      <c r="E5880" s="144" t="s">
        <v>37720</v>
      </c>
      <c r="F5880" s="142" t="s">
        <v>10609</v>
      </c>
      <c r="G5880" s="142" t="s">
        <v>33344</v>
      </c>
      <c r="H5880" s="142"/>
      <c r="I5880" s="143"/>
      <c r="J5880" s="143" t="s">
        <v>37721</v>
      </c>
      <c r="K5880" s="143" t="s">
        <v>37722</v>
      </c>
      <c r="L5880" s="145" t="s">
        <v>37723</v>
      </c>
      <c r="M5880" s="143"/>
      <c r="N5880" s="12"/>
      <c r="O5880" s="12"/>
      <c r="P5880" s="13">
        <f>IFERROR(__xludf.DUMMYFUNCTION("VALUE(SUBSTITUTE((INDEX(SPLIT(A5880,"",""),1)),""."","","",1))"),56.836283)</f>
        <v>56.836283</v>
      </c>
      <c r="Q5880" s="13">
        <f>IFERROR(__xludf.DUMMYFUNCTION("VALUE(SUBSTITUTE((INDEX(SPLIT(A5880,"",""),2)),""."","","",1))"),53.227328)</f>
        <v>53.227328</v>
      </c>
      <c r="R5880" s="14" t="b">
        <f t="shared" si="1"/>
        <v>0</v>
      </c>
      <c r="S5880" s="14" t="str">
        <f t="shared" si="2"/>
        <v>56.836283,53.227328</v>
      </c>
      <c r="T5880" s="12"/>
    </row>
    <row r="5881">
      <c r="A5881" s="146" t="s">
        <v>37724</v>
      </c>
      <c r="B5881" s="147" t="s">
        <v>37725</v>
      </c>
      <c r="C5881" s="147" t="s">
        <v>37726</v>
      </c>
      <c r="D5881" s="147" t="s">
        <v>33342</v>
      </c>
      <c r="E5881" s="148" t="s">
        <v>37727</v>
      </c>
      <c r="F5881" s="146" t="s">
        <v>10609</v>
      </c>
      <c r="G5881" s="146" t="s">
        <v>33344</v>
      </c>
      <c r="H5881" s="146"/>
      <c r="I5881" s="147"/>
      <c r="J5881" s="147" t="s">
        <v>37728</v>
      </c>
      <c r="K5881" s="147" t="s">
        <v>37729</v>
      </c>
      <c r="L5881" s="149" t="s">
        <v>37730</v>
      </c>
      <c r="M5881" s="149" t="s">
        <v>37731</v>
      </c>
      <c r="N5881" s="12"/>
      <c r="O5881" s="12"/>
      <c r="P5881" s="13">
        <f>IFERROR(__xludf.DUMMYFUNCTION("VALUE(SUBSTITUTE((INDEX(SPLIT(A5881,"",""),1)),""."","","",1))"),56.892463)</f>
        <v>56.892463</v>
      </c>
      <c r="Q5881" s="13">
        <f>IFERROR(__xludf.DUMMYFUNCTION("VALUE(SUBSTITUTE((INDEX(SPLIT(A5881,"",""),2)),""."","","",1))"),53.27519)</f>
        <v>53.27519</v>
      </c>
      <c r="R5881" s="14" t="b">
        <f t="shared" si="1"/>
        <v>0</v>
      </c>
      <c r="S5881" s="14" t="str">
        <f t="shared" si="2"/>
        <v>56.892463,53.27519</v>
      </c>
      <c r="T5881" s="12"/>
    </row>
    <row r="5882">
      <c r="A5882" s="136" t="s">
        <v>37732</v>
      </c>
      <c r="B5882" s="137" t="s">
        <v>37733</v>
      </c>
      <c r="C5882" s="137" t="s">
        <v>37734</v>
      </c>
      <c r="D5882" s="137" t="s">
        <v>33342</v>
      </c>
      <c r="E5882" s="138" t="s">
        <v>37735</v>
      </c>
      <c r="F5882" s="136" t="s">
        <v>10609</v>
      </c>
      <c r="G5882" s="136" t="s">
        <v>33344</v>
      </c>
      <c r="H5882" s="136"/>
      <c r="I5882" s="137"/>
      <c r="J5882" s="137" t="s">
        <v>37736</v>
      </c>
      <c r="K5882" s="137" t="s">
        <v>37737</v>
      </c>
      <c r="L5882" s="137"/>
      <c r="M5882" s="137"/>
      <c r="N5882" s="12"/>
      <c r="O5882" s="12"/>
      <c r="P5882" s="13">
        <f>IFERROR(__xludf.DUMMYFUNCTION("VALUE(SUBSTITUTE((INDEX(SPLIT(A5882,"",""),1)),""."","","",1))"),56.898677)</f>
        <v>56.898677</v>
      </c>
      <c r="Q5882" s="13">
        <f>IFERROR(__xludf.DUMMYFUNCTION("VALUE(SUBSTITUTE((INDEX(SPLIT(A5882,"",""),2)),""."","","",1))"),53.336706)</f>
        <v>53.336706</v>
      </c>
      <c r="R5882" s="14" t="b">
        <f t="shared" si="1"/>
        <v>0</v>
      </c>
      <c r="S5882" s="14" t="str">
        <f t="shared" si="2"/>
        <v>56.898677,53.336706</v>
      </c>
      <c r="T5882" s="12"/>
    </row>
    <row r="5883">
      <c r="A5883" s="139" t="s">
        <v>37738</v>
      </c>
      <c r="B5883" s="140" t="s">
        <v>37739</v>
      </c>
      <c r="C5883" s="140" t="s">
        <v>37740</v>
      </c>
      <c r="D5883" s="140" t="s">
        <v>33342</v>
      </c>
      <c r="E5883" s="141" t="s">
        <v>37741</v>
      </c>
      <c r="F5883" s="139" t="s">
        <v>10609</v>
      </c>
      <c r="G5883" s="139" t="s">
        <v>33344</v>
      </c>
      <c r="H5883" s="139"/>
      <c r="I5883" s="140"/>
      <c r="J5883" s="140" t="s">
        <v>37742</v>
      </c>
      <c r="K5883" s="140" t="s">
        <v>37743</v>
      </c>
      <c r="L5883" s="140"/>
      <c r="M5883" s="154" t="s">
        <v>37744</v>
      </c>
      <c r="N5883" s="12"/>
      <c r="O5883" s="12"/>
      <c r="P5883" s="13">
        <f>IFERROR(__xludf.DUMMYFUNCTION("VALUE(SUBSTITUTE((INDEX(SPLIT(A5883,"",""),1)),""."","","",1))"),56.886263)</f>
        <v>56.886263</v>
      </c>
      <c r="Q5883" s="13">
        <f>IFERROR(__xludf.DUMMYFUNCTION("VALUE(SUBSTITUTE((INDEX(SPLIT(A5883,"",""),2)),""."","","",1))"),53.309631)</f>
        <v>53.309631</v>
      </c>
      <c r="R5883" s="14" t="b">
        <f t="shared" si="1"/>
        <v>0</v>
      </c>
      <c r="S5883" s="14" t="str">
        <f t="shared" si="2"/>
        <v>56.886263,53.309631</v>
      </c>
      <c r="T5883" s="12"/>
    </row>
    <row r="5884">
      <c r="A5884" s="136" t="s">
        <v>37745</v>
      </c>
      <c r="B5884" s="137" t="s">
        <v>37746</v>
      </c>
      <c r="C5884" s="137" t="s">
        <v>37747</v>
      </c>
      <c r="D5884" s="137" t="s">
        <v>33342</v>
      </c>
      <c r="E5884" s="138" t="s">
        <v>37748</v>
      </c>
      <c r="F5884" s="136" t="s">
        <v>10609</v>
      </c>
      <c r="G5884" s="136" t="s">
        <v>33344</v>
      </c>
      <c r="H5884" s="136"/>
      <c r="I5884" s="137"/>
      <c r="J5884" s="137" t="s">
        <v>37749</v>
      </c>
      <c r="K5884" s="137" t="s">
        <v>37750</v>
      </c>
      <c r="L5884" s="137"/>
      <c r="M5884" s="153" t="s">
        <v>37751</v>
      </c>
      <c r="N5884" s="12"/>
      <c r="O5884" s="12"/>
      <c r="P5884" s="13">
        <f>IFERROR(__xludf.DUMMYFUNCTION("VALUE(SUBSTITUTE((INDEX(SPLIT(A5884,"",""),1)),""."","","",1))"),56.857426)</f>
        <v>56.857426</v>
      </c>
      <c r="Q5884" s="13">
        <f>IFERROR(__xludf.DUMMYFUNCTION("VALUE(SUBSTITUTE((INDEX(SPLIT(A5884,"",""),2)),""."","","",1))"),53.253639)</f>
        <v>53.253639</v>
      </c>
      <c r="R5884" s="14" t="b">
        <f t="shared" si="1"/>
        <v>0</v>
      </c>
      <c r="S5884" s="14" t="str">
        <f t="shared" si="2"/>
        <v>56.857426,53.253639</v>
      </c>
      <c r="T5884" s="12"/>
    </row>
    <row r="5885">
      <c r="A5885" s="139" t="s">
        <v>37752</v>
      </c>
      <c r="B5885" s="140" t="s">
        <v>37753</v>
      </c>
      <c r="C5885" s="140" t="s">
        <v>37754</v>
      </c>
      <c r="D5885" s="140" t="s">
        <v>33342</v>
      </c>
      <c r="E5885" s="141" t="s">
        <v>37755</v>
      </c>
      <c r="F5885" s="139" t="s">
        <v>10609</v>
      </c>
      <c r="G5885" s="139" t="s">
        <v>33344</v>
      </c>
      <c r="H5885" s="139"/>
      <c r="I5885" s="140"/>
      <c r="J5885" s="140" t="s">
        <v>37756</v>
      </c>
      <c r="K5885" s="140" t="s">
        <v>37757</v>
      </c>
      <c r="L5885" s="140"/>
      <c r="M5885" s="154" t="s">
        <v>37758</v>
      </c>
      <c r="N5885" s="12"/>
      <c r="O5885" s="12"/>
      <c r="P5885" s="13">
        <f>IFERROR(__xludf.DUMMYFUNCTION("VALUE(SUBSTITUTE((INDEX(SPLIT(A5885,"",""),1)),""."","","",1))"),56.84932)</f>
        <v>56.84932</v>
      </c>
      <c r="Q5885" s="13">
        <f>IFERROR(__xludf.DUMMYFUNCTION("VALUE(SUBSTITUTE((INDEX(SPLIT(A5885,"",""),2)),""."","","",1))"),53.244961)</f>
        <v>53.244961</v>
      </c>
      <c r="R5885" s="14" t="b">
        <f t="shared" si="1"/>
        <v>0</v>
      </c>
      <c r="S5885" s="14" t="str">
        <f t="shared" si="2"/>
        <v>56.84932,53.244961</v>
      </c>
      <c r="T5885" s="12"/>
    </row>
    <row r="5886">
      <c r="A5886" s="136" t="s">
        <v>37759</v>
      </c>
      <c r="B5886" s="137" t="s">
        <v>37760</v>
      </c>
      <c r="C5886" s="137" t="s">
        <v>37761</v>
      </c>
      <c r="D5886" s="137" t="s">
        <v>33342</v>
      </c>
      <c r="E5886" s="138" t="s">
        <v>37762</v>
      </c>
      <c r="F5886" s="136" t="s">
        <v>10609</v>
      </c>
      <c r="G5886" s="136" t="s">
        <v>33344</v>
      </c>
      <c r="H5886" s="136"/>
      <c r="I5886" s="137"/>
      <c r="J5886" s="137" t="s">
        <v>37763</v>
      </c>
      <c r="K5886" s="137" t="s">
        <v>37764</v>
      </c>
      <c r="L5886" s="137"/>
      <c r="M5886" s="137"/>
      <c r="N5886" s="12"/>
      <c r="O5886" s="12"/>
      <c r="P5886" s="13">
        <f>IFERROR(__xludf.DUMMYFUNCTION("VALUE(SUBSTITUTE((INDEX(SPLIT(A5886,"",""),1)),""."","","",1))"),56.840109)</f>
        <v>56.840109</v>
      </c>
      <c r="Q5886" s="13">
        <f>IFERROR(__xludf.DUMMYFUNCTION("VALUE(SUBSTITUTE((INDEX(SPLIT(A5886,"",""),2)),""."","","",1))"),53.227283)</f>
        <v>53.227283</v>
      </c>
      <c r="R5886" s="14" t="b">
        <f t="shared" si="1"/>
        <v>0</v>
      </c>
      <c r="S5886" s="14" t="str">
        <f t="shared" si="2"/>
        <v>56.840109,53.227283</v>
      </c>
      <c r="T5886" s="12"/>
    </row>
    <row r="5887">
      <c r="A5887" s="146" t="s">
        <v>37765</v>
      </c>
      <c r="B5887" s="147" t="s">
        <v>37766</v>
      </c>
      <c r="C5887" s="147" t="s">
        <v>37767</v>
      </c>
      <c r="D5887" s="147" t="s">
        <v>33342</v>
      </c>
      <c r="E5887" s="148" t="s">
        <v>37768</v>
      </c>
      <c r="F5887" s="146" t="s">
        <v>10609</v>
      </c>
      <c r="G5887" s="146" t="s">
        <v>33344</v>
      </c>
      <c r="H5887" s="146"/>
      <c r="I5887" s="147"/>
      <c r="J5887" s="147" t="s">
        <v>37769</v>
      </c>
      <c r="K5887" s="147" t="s">
        <v>37770</v>
      </c>
      <c r="L5887" s="149" t="s">
        <v>37771</v>
      </c>
      <c r="M5887" s="149" t="s">
        <v>37772</v>
      </c>
      <c r="N5887" s="12"/>
      <c r="O5887" s="12"/>
      <c r="P5887" s="13">
        <f>IFERROR(__xludf.DUMMYFUNCTION("VALUE(SUBSTITUTE((INDEX(SPLIT(A5887,"",""),1)),""."","","",1))"),56.781301)</f>
        <v>56.781301</v>
      </c>
      <c r="Q5887" s="13">
        <f>IFERROR(__xludf.DUMMYFUNCTION("VALUE(SUBSTITUTE((INDEX(SPLIT(A5887,"",""),2)),""."","","",1))"),53.354224)</f>
        <v>53.354224</v>
      </c>
      <c r="R5887" s="14" t="b">
        <f t="shared" si="1"/>
        <v>0</v>
      </c>
      <c r="S5887" s="14" t="str">
        <f t="shared" si="2"/>
        <v>56.781301,53.354224</v>
      </c>
      <c r="T5887" s="12"/>
    </row>
    <row r="5888">
      <c r="A5888" s="142" t="s">
        <v>37773</v>
      </c>
      <c r="B5888" s="143" t="s">
        <v>4199</v>
      </c>
      <c r="C5888" s="143" t="s">
        <v>37774</v>
      </c>
      <c r="D5888" s="143" t="s">
        <v>33342</v>
      </c>
      <c r="E5888" s="144" t="s">
        <v>37775</v>
      </c>
      <c r="F5888" s="142" t="s">
        <v>10609</v>
      </c>
      <c r="G5888" s="142" t="s">
        <v>33344</v>
      </c>
      <c r="H5888" s="142"/>
      <c r="I5888" s="143"/>
      <c r="J5888" s="143" t="s">
        <v>37776</v>
      </c>
      <c r="K5888" s="143" t="s">
        <v>37777</v>
      </c>
      <c r="L5888" s="145" t="s">
        <v>37778</v>
      </c>
      <c r="M5888" s="143"/>
      <c r="N5888" s="12"/>
      <c r="O5888" s="12"/>
      <c r="P5888" s="13">
        <f>IFERROR(__xludf.DUMMYFUNCTION("VALUE(SUBSTITUTE((INDEX(SPLIT(A5888,"",""),1)),""."","","",1))"),56.847247)</f>
        <v>56.847247</v>
      </c>
      <c r="Q5888" s="13">
        <f>IFERROR(__xludf.DUMMYFUNCTION("VALUE(SUBSTITUTE((INDEX(SPLIT(A5888,"",""),2)),""."","","",1))"),53.206738)</f>
        <v>53.206738</v>
      </c>
      <c r="R5888" s="14" t="b">
        <f t="shared" si="1"/>
        <v>0</v>
      </c>
      <c r="S5888" s="14" t="str">
        <f t="shared" si="2"/>
        <v>56.847247,53.206738</v>
      </c>
      <c r="T5888" s="12"/>
    </row>
    <row r="5889">
      <c r="A5889" s="146" t="s">
        <v>37779</v>
      </c>
      <c r="B5889" s="147" t="s">
        <v>37780</v>
      </c>
      <c r="C5889" s="147" t="s">
        <v>37781</v>
      </c>
      <c r="D5889" s="147" t="s">
        <v>33342</v>
      </c>
      <c r="E5889" s="148" t="s">
        <v>37782</v>
      </c>
      <c r="F5889" s="146" t="s">
        <v>10609</v>
      </c>
      <c r="G5889" s="146" t="s">
        <v>33344</v>
      </c>
      <c r="H5889" s="146"/>
      <c r="I5889" s="147"/>
      <c r="J5889" s="147" t="s">
        <v>37783</v>
      </c>
      <c r="K5889" s="147" t="s">
        <v>37784</v>
      </c>
      <c r="L5889" s="149" t="s">
        <v>37785</v>
      </c>
      <c r="M5889" s="147"/>
      <c r="N5889" s="12"/>
      <c r="O5889" s="12"/>
      <c r="P5889" s="13">
        <f>IFERROR(__xludf.DUMMYFUNCTION("VALUE(SUBSTITUTE((INDEX(SPLIT(A5889,"",""),1)),""."","","",1))"),56.851161)</f>
        <v>56.851161</v>
      </c>
      <c r="Q5889" s="13">
        <f>IFERROR(__xludf.DUMMYFUNCTION("VALUE(SUBSTITUTE((INDEX(SPLIT(A5889,"",""),2)),""."","","",1))"),53.336275)</f>
        <v>53.336275</v>
      </c>
      <c r="R5889" s="14" t="b">
        <f t="shared" si="1"/>
        <v>0</v>
      </c>
      <c r="S5889" s="14" t="str">
        <f t="shared" si="2"/>
        <v>56.851161,53.336275</v>
      </c>
      <c r="T5889" s="12"/>
    </row>
    <row r="5890">
      <c r="A5890" s="136" t="s">
        <v>37786</v>
      </c>
      <c r="B5890" s="137" t="s">
        <v>37787</v>
      </c>
      <c r="C5890" s="137" t="s">
        <v>37788</v>
      </c>
      <c r="D5890" s="137" t="s">
        <v>33342</v>
      </c>
      <c r="E5890" s="138" t="s">
        <v>37789</v>
      </c>
      <c r="F5890" s="136" t="s">
        <v>10609</v>
      </c>
      <c r="G5890" s="136" t="s">
        <v>33344</v>
      </c>
      <c r="H5890" s="136"/>
      <c r="I5890" s="137"/>
      <c r="J5890" s="137" t="s">
        <v>37790</v>
      </c>
      <c r="K5890" s="137" t="s">
        <v>37791</v>
      </c>
      <c r="L5890" s="137"/>
      <c r="M5890" s="137"/>
      <c r="N5890" s="12"/>
      <c r="O5890" s="12"/>
      <c r="P5890" s="13">
        <f>IFERROR(__xludf.DUMMYFUNCTION("VALUE(SUBSTITUTE((INDEX(SPLIT(A5890,"",""),1)),""."","","",1))"),56.917652)</f>
        <v>56.917652</v>
      </c>
      <c r="Q5890" s="13">
        <f>IFERROR(__xludf.DUMMYFUNCTION("VALUE(SUBSTITUTE((INDEX(SPLIT(A5890,"",""),2)),""."","","",1))"),53.316872)</f>
        <v>53.316872</v>
      </c>
      <c r="R5890" s="14" t="b">
        <f t="shared" si="1"/>
        <v>0</v>
      </c>
      <c r="S5890" s="14" t="str">
        <f t="shared" si="2"/>
        <v>56.917652,53.316872</v>
      </c>
      <c r="T5890" s="12"/>
    </row>
    <row r="5891">
      <c r="A5891" s="139" t="s">
        <v>37792</v>
      </c>
      <c r="B5891" s="140" t="s">
        <v>37793</v>
      </c>
      <c r="C5891" s="140" t="s">
        <v>37794</v>
      </c>
      <c r="D5891" s="140" t="s">
        <v>33342</v>
      </c>
      <c r="E5891" s="141" t="s">
        <v>37795</v>
      </c>
      <c r="F5891" s="139" t="s">
        <v>10609</v>
      </c>
      <c r="G5891" s="139" t="s">
        <v>33344</v>
      </c>
      <c r="H5891" s="139"/>
      <c r="I5891" s="140"/>
      <c r="J5891" s="140" t="s">
        <v>37796</v>
      </c>
      <c r="K5891" s="140" t="s">
        <v>37797</v>
      </c>
      <c r="L5891" s="140"/>
      <c r="M5891" s="140"/>
      <c r="N5891" s="12"/>
      <c r="O5891" s="12"/>
      <c r="P5891" s="13">
        <f>IFERROR(__xludf.DUMMYFUNCTION("VALUE(SUBSTITUTE((INDEX(SPLIT(A5891,"",""),1)),""."","","",1))"),56.828399)</f>
        <v>56.828399</v>
      </c>
      <c r="Q5891" s="13">
        <f>IFERROR(__xludf.DUMMYFUNCTION("VALUE(SUBSTITUTE((INDEX(SPLIT(A5891,"",""),2)),""."","","",1))"),53.277984)</f>
        <v>53.277984</v>
      </c>
      <c r="R5891" s="14" t="b">
        <f t="shared" si="1"/>
        <v>0</v>
      </c>
      <c r="S5891" s="14" t="str">
        <f t="shared" si="2"/>
        <v>56.828399,53.277984</v>
      </c>
      <c r="T5891" s="12"/>
    </row>
    <row r="5892">
      <c r="A5892" s="136" t="s">
        <v>37798</v>
      </c>
      <c r="B5892" s="137" t="s">
        <v>237</v>
      </c>
      <c r="C5892" s="137" t="s">
        <v>37799</v>
      </c>
      <c r="D5892" s="137" t="s">
        <v>33342</v>
      </c>
      <c r="E5892" s="138" t="s">
        <v>37800</v>
      </c>
      <c r="F5892" s="136" t="s">
        <v>10609</v>
      </c>
      <c r="G5892" s="136" t="s">
        <v>33344</v>
      </c>
      <c r="H5892" s="136"/>
      <c r="I5892" s="137"/>
      <c r="J5892" s="137" t="s">
        <v>37801</v>
      </c>
      <c r="K5892" s="137" t="s">
        <v>37802</v>
      </c>
      <c r="L5892" s="137"/>
      <c r="M5892" s="137"/>
      <c r="N5892" s="12"/>
      <c r="O5892" s="12"/>
      <c r="P5892" s="13">
        <f>IFERROR(__xludf.DUMMYFUNCTION("VALUE(SUBSTITUTE((INDEX(SPLIT(A5892,"",""),1)),""."","","",1))"),56.916089)</f>
        <v>56.916089</v>
      </c>
      <c r="Q5892" s="13">
        <f>IFERROR(__xludf.DUMMYFUNCTION("VALUE(SUBSTITUTE((INDEX(SPLIT(A5892,"",""),2)),""."","","",1))"),53.322765)</f>
        <v>53.322765</v>
      </c>
      <c r="R5892" s="14" t="b">
        <f t="shared" si="1"/>
        <v>0</v>
      </c>
      <c r="S5892" s="14" t="str">
        <f t="shared" si="2"/>
        <v>56.916089,53.322765</v>
      </c>
      <c r="T5892" s="12"/>
    </row>
    <row r="5893">
      <c r="A5893" s="139" t="s">
        <v>37803</v>
      </c>
      <c r="B5893" s="140" t="s">
        <v>37804</v>
      </c>
      <c r="C5893" s="140" t="s">
        <v>37805</v>
      </c>
      <c r="D5893" s="140" t="s">
        <v>33342</v>
      </c>
      <c r="E5893" s="141" t="s">
        <v>37806</v>
      </c>
      <c r="F5893" s="139" t="s">
        <v>24801</v>
      </c>
      <c r="G5893" s="139" t="s">
        <v>33344</v>
      </c>
      <c r="H5893" s="139"/>
      <c r="I5893" s="140"/>
      <c r="J5893" s="140" t="s">
        <v>37807</v>
      </c>
      <c r="K5893" s="140" t="s">
        <v>37808</v>
      </c>
      <c r="L5893" s="140"/>
      <c r="M5893" s="154" t="s">
        <v>37809</v>
      </c>
      <c r="N5893" s="12"/>
      <c r="O5893" s="12"/>
      <c r="P5893" s="13">
        <f>IFERROR(__xludf.DUMMYFUNCTION("VALUE(SUBSTITUTE((INDEX(SPLIT(A5893,"",""),1)),""."","","",1))"),53.710777)</f>
        <v>53.710777</v>
      </c>
      <c r="Q5893" s="13">
        <f>IFERROR(__xludf.DUMMYFUNCTION("VALUE(SUBSTITUTE((INDEX(SPLIT(A5893,"",""),2)),""."","","",1))"),91.392261)</f>
        <v>91.392261</v>
      </c>
      <c r="R5893" s="14" t="b">
        <f t="shared" si="1"/>
        <v>0</v>
      </c>
      <c r="S5893" s="14" t="str">
        <f t="shared" si="2"/>
        <v>53.710777,91.392261</v>
      </c>
      <c r="T5893" s="12"/>
    </row>
    <row r="5894">
      <c r="A5894" s="136" t="s">
        <v>37810</v>
      </c>
      <c r="B5894" s="137" t="s">
        <v>37811</v>
      </c>
      <c r="C5894" s="137" t="s">
        <v>37812</v>
      </c>
      <c r="D5894" s="137" t="s">
        <v>33342</v>
      </c>
      <c r="E5894" s="138" t="s">
        <v>37813</v>
      </c>
      <c r="F5894" s="136" t="s">
        <v>24801</v>
      </c>
      <c r="G5894" s="136" t="s">
        <v>33344</v>
      </c>
      <c r="H5894" s="136"/>
      <c r="I5894" s="137"/>
      <c r="J5894" s="137" t="s">
        <v>37814</v>
      </c>
      <c r="K5894" s="137" t="s">
        <v>37815</v>
      </c>
      <c r="L5894" s="137"/>
      <c r="M5894" s="137"/>
      <c r="N5894" s="12"/>
      <c r="O5894" s="12"/>
      <c r="P5894" s="13">
        <f>IFERROR(__xludf.DUMMYFUNCTION("VALUE(SUBSTITUTE((INDEX(SPLIT(A5894,"",""),1)),""."","","",1))"),53.108568)</f>
        <v>53.108568</v>
      </c>
      <c r="Q5894" s="13">
        <f>IFERROR(__xludf.DUMMYFUNCTION("VALUE(SUBSTITUTE((INDEX(SPLIT(A5894,"",""),2)),""."","","",1))"),91.422903)</f>
        <v>91.422903</v>
      </c>
      <c r="R5894" s="14" t="b">
        <f t="shared" si="1"/>
        <v>0</v>
      </c>
      <c r="S5894" s="14" t="str">
        <f t="shared" si="2"/>
        <v>53.108568,91.422903</v>
      </c>
      <c r="T5894" s="12"/>
    </row>
    <row r="5895">
      <c r="A5895" s="146" t="s">
        <v>37816</v>
      </c>
      <c r="B5895" s="147" t="s">
        <v>37817</v>
      </c>
      <c r="C5895" s="147" t="s">
        <v>37818</v>
      </c>
      <c r="D5895" s="147" t="s">
        <v>33342</v>
      </c>
      <c r="E5895" s="148" t="s">
        <v>37819</v>
      </c>
      <c r="F5895" s="146" t="s">
        <v>17110</v>
      </c>
      <c r="G5895" s="146" t="s">
        <v>33344</v>
      </c>
      <c r="H5895" s="146"/>
      <c r="I5895" s="147"/>
      <c r="J5895" s="147" t="s">
        <v>37820</v>
      </c>
      <c r="K5895" s="147" t="s">
        <v>37821</v>
      </c>
      <c r="L5895" s="150" t="s">
        <v>37822</v>
      </c>
      <c r="M5895" s="147"/>
      <c r="N5895" s="12"/>
      <c r="O5895" s="12"/>
      <c r="P5895" s="13">
        <f>IFERROR(__xludf.DUMMYFUNCTION("VALUE(SUBSTITUTE((INDEX(SPLIT(A5895,"",""),1)),""."","","",1))"),43.277772)</f>
        <v>43.277772</v>
      </c>
      <c r="Q5895" s="13">
        <f>IFERROR(__xludf.DUMMYFUNCTION("VALUE(SUBSTITUTE((INDEX(SPLIT(A5895,"",""),2)),""."","","",1))"),45.849311)</f>
        <v>45.849311</v>
      </c>
      <c r="R5895" s="14" t="b">
        <f t="shared" si="1"/>
        <v>0</v>
      </c>
      <c r="S5895" s="14" t="str">
        <f t="shared" si="2"/>
        <v>43.277772,45.849311</v>
      </c>
      <c r="T5895" s="12"/>
    </row>
    <row r="5896">
      <c r="A5896" s="136" t="s">
        <v>37823</v>
      </c>
      <c r="B5896" s="137" t="s">
        <v>37824</v>
      </c>
      <c r="C5896" s="137" t="s">
        <v>37825</v>
      </c>
      <c r="D5896" s="137" t="s">
        <v>33342</v>
      </c>
      <c r="E5896" s="138" t="s">
        <v>37826</v>
      </c>
      <c r="F5896" s="136" t="s">
        <v>17110</v>
      </c>
      <c r="G5896" s="136" t="s">
        <v>33344</v>
      </c>
      <c r="H5896" s="136"/>
      <c r="I5896" s="137"/>
      <c r="J5896" s="137" t="s">
        <v>37827</v>
      </c>
      <c r="K5896" s="137" t="s">
        <v>37828</v>
      </c>
      <c r="L5896" s="137"/>
      <c r="M5896" s="137"/>
      <c r="N5896" s="12"/>
      <c r="O5896" s="12"/>
      <c r="P5896" s="13">
        <f>IFERROR(__xludf.DUMMYFUNCTION("VALUE(SUBSTITUTE((INDEX(SPLIT(A5896,"",""),1)),""."","","",1))"),43.336217)</f>
        <v>43.336217</v>
      </c>
      <c r="Q5896" s="13">
        <f>IFERROR(__xludf.DUMMYFUNCTION("VALUE(SUBSTITUTE((INDEX(SPLIT(A5896,"",""),2)),""."","","",1))"),45.708986)</f>
        <v>45.708986</v>
      </c>
      <c r="R5896" s="14" t="b">
        <f t="shared" si="1"/>
        <v>0</v>
      </c>
      <c r="S5896" s="14" t="str">
        <f t="shared" si="2"/>
        <v>43.336217,45.708986</v>
      </c>
      <c r="T5896" s="12"/>
    </row>
    <row r="5897">
      <c r="A5897" s="139" t="s">
        <v>37829</v>
      </c>
      <c r="B5897" s="140" t="s">
        <v>37830</v>
      </c>
      <c r="C5897" s="140" t="s">
        <v>37831</v>
      </c>
      <c r="D5897" s="140" t="s">
        <v>33342</v>
      </c>
      <c r="E5897" s="141" t="s">
        <v>37832</v>
      </c>
      <c r="F5897" s="139" t="s">
        <v>17110</v>
      </c>
      <c r="G5897" s="139" t="s">
        <v>33344</v>
      </c>
      <c r="H5897" s="139"/>
      <c r="I5897" s="140"/>
      <c r="J5897" s="140" t="s">
        <v>37833</v>
      </c>
      <c r="K5897" s="140" t="s">
        <v>37834</v>
      </c>
      <c r="L5897" s="140"/>
      <c r="M5897" s="154" t="s">
        <v>37835</v>
      </c>
      <c r="N5897" s="12"/>
      <c r="O5897" s="12"/>
      <c r="P5897" s="13">
        <f>IFERROR(__xludf.DUMMYFUNCTION("VALUE(SUBSTITUTE((INDEX(SPLIT(A5897,"",""),1)),""."","","",1))"),43.313302)</f>
        <v>43.313302</v>
      </c>
      <c r="Q5897" s="13">
        <f>IFERROR(__xludf.DUMMYFUNCTION("VALUE(SUBSTITUTE((INDEX(SPLIT(A5897,"",""),2)),""."","","",1))"),45.723709)</f>
        <v>45.723709</v>
      </c>
      <c r="R5897" s="14" t="b">
        <f t="shared" si="1"/>
        <v>0</v>
      </c>
      <c r="S5897" s="14" t="str">
        <f t="shared" si="2"/>
        <v>43.313302,45.723709</v>
      </c>
      <c r="T5897" s="12"/>
    </row>
    <row r="5898">
      <c r="A5898" s="142" t="s">
        <v>37836</v>
      </c>
      <c r="B5898" s="143" t="s">
        <v>37837</v>
      </c>
      <c r="C5898" s="143" t="s">
        <v>37838</v>
      </c>
      <c r="D5898" s="143" t="s">
        <v>33342</v>
      </c>
      <c r="E5898" s="144" t="s">
        <v>37839</v>
      </c>
      <c r="F5898" s="142" t="s">
        <v>13482</v>
      </c>
      <c r="G5898" s="142" t="s">
        <v>33344</v>
      </c>
      <c r="H5898" s="142"/>
      <c r="I5898" s="143"/>
      <c r="J5898" s="143" t="s">
        <v>37840</v>
      </c>
      <c r="K5898" s="143" t="s">
        <v>37841</v>
      </c>
      <c r="L5898" s="145" t="s">
        <v>37842</v>
      </c>
      <c r="M5898" s="143"/>
      <c r="N5898" s="12"/>
      <c r="O5898" s="12"/>
      <c r="P5898" s="13">
        <f>IFERROR(__xludf.DUMMYFUNCTION("VALUE(SUBSTITUTE((INDEX(SPLIT(A5898,"",""),1)),""."","","",1))"),55.854805)</f>
        <v>55.854805</v>
      </c>
      <c r="Q5898" s="13">
        <f>IFERROR(__xludf.DUMMYFUNCTION("VALUE(SUBSTITUTE((INDEX(SPLIT(A5898,"",""),2)),""."","","",1))"),47.458257)</f>
        <v>47.458257</v>
      </c>
      <c r="R5898" s="14" t="b">
        <f t="shared" si="1"/>
        <v>0</v>
      </c>
      <c r="S5898" s="14" t="str">
        <f t="shared" si="2"/>
        <v>55.854805,47.458257</v>
      </c>
      <c r="T5898" s="12"/>
    </row>
    <row r="5899">
      <c r="A5899" s="139" t="s">
        <v>37843</v>
      </c>
      <c r="B5899" s="140" t="s">
        <v>37844</v>
      </c>
      <c r="C5899" s="140" t="s">
        <v>37845</v>
      </c>
      <c r="D5899" s="140" t="s">
        <v>33342</v>
      </c>
      <c r="E5899" s="141" t="s">
        <v>37846</v>
      </c>
      <c r="F5899" s="139" t="s">
        <v>13482</v>
      </c>
      <c r="G5899" s="139" t="s">
        <v>33344</v>
      </c>
      <c r="H5899" s="139"/>
      <c r="I5899" s="140"/>
      <c r="J5899" s="140" t="s">
        <v>37847</v>
      </c>
      <c r="K5899" s="140" t="s">
        <v>37848</v>
      </c>
      <c r="L5899" s="140"/>
      <c r="M5899" s="140"/>
      <c r="N5899" s="12"/>
      <c r="O5899" s="12"/>
      <c r="P5899" s="13">
        <f>IFERROR(__xludf.DUMMYFUNCTION("VALUE(SUBSTITUTE((INDEX(SPLIT(A5899,"",""),1)),""."","","",1))"),55.769403)</f>
        <v>55.769403</v>
      </c>
      <c r="Q5899" s="13">
        <f>IFERROR(__xludf.DUMMYFUNCTION("VALUE(SUBSTITUTE((INDEX(SPLIT(A5899,"",""),2)),""."","","",1))"),37.507897)</f>
        <v>37.507897</v>
      </c>
      <c r="R5899" s="14" t="b">
        <f t="shared" si="1"/>
        <v>0</v>
      </c>
      <c r="S5899" s="14" t="str">
        <f t="shared" si="2"/>
        <v>55.769403,37.507897</v>
      </c>
      <c r="T5899" s="12"/>
    </row>
    <row r="5900">
      <c r="A5900" s="142" t="s">
        <v>37849</v>
      </c>
      <c r="B5900" s="143" t="s">
        <v>37850</v>
      </c>
      <c r="C5900" s="143" t="s">
        <v>37851</v>
      </c>
      <c r="D5900" s="143" t="s">
        <v>33342</v>
      </c>
      <c r="E5900" s="144" t="s">
        <v>37852</v>
      </c>
      <c r="F5900" s="142" t="s">
        <v>13482</v>
      </c>
      <c r="G5900" s="142" t="s">
        <v>33344</v>
      </c>
      <c r="H5900" s="142"/>
      <c r="I5900" s="143"/>
      <c r="J5900" s="143" t="s">
        <v>37853</v>
      </c>
      <c r="K5900" s="143" t="s">
        <v>37854</v>
      </c>
      <c r="L5900" s="145" t="s">
        <v>37855</v>
      </c>
      <c r="M5900" s="145" t="s">
        <v>37856</v>
      </c>
      <c r="N5900" s="12"/>
      <c r="O5900" s="12"/>
      <c r="P5900" s="13">
        <f>IFERROR(__xludf.DUMMYFUNCTION("VALUE(SUBSTITUTE((INDEX(SPLIT(A5900,"",""),1)),""."","","",1))"),56.517981)</f>
        <v>56.517981</v>
      </c>
      <c r="Q5900" s="13">
        <f>IFERROR(__xludf.DUMMYFUNCTION("VALUE(SUBSTITUTE((INDEX(SPLIT(A5900,"",""),2)),""."","","",1))"),85.018481)</f>
        <v>85.018481</v>
      </c>
      <c r="R5900" s="14" t="b">
        <f t="shared" si="1"/>
        <v>0</v>
      </c>
      <c r="S5900" s="14" t="str">
        <f t="shared" si="2"/>
        <v>56.517981,85.018481</v>
      </c>
      <c r="T5900" s="12"/>
    </row>
    <row r="5901">
      <c r="A5901" s="146" t="s">
        <v>19531</v>
      </c>
      <c r="B5901" s="147" t="s">
        <v>37857</v>
      </c>
      <c r="C5901" s="147" t="s">
        <v>37858</v>
      </c>
      <c r="D5901" s="147" t="s">
        <v>33342</v>
      </c>
      <c r="E5901" s="148" t="s">
        <v>37859</v>
      </c>
      <c r="F5901" s="146" t="s">
        <v>13482</v>
      </c>
      <c r="G5901" s="146" t="s">
        <v>33344</v>
      </c>
      <c r="H5901" s="146"/>
      <c r="I5901" s="147"/>
      <c r="J5901" s="147" t="s">
        <v>37860</v>
      </c>
      <c r="K5901" s="147" t="s">
        <v>37861</v>
      </c>
      <c r="L5901" s="149" t="s">
        <v>37862</v>
      </c>
      <c r="M5901" s="149" t="s">
        <v>37863</v>
      </c>
      <c r="N5901" s="12"/>
      <c r="O5901" s="12"/>
      <c r="P5901" s="13">
        <f>IFERROR(__xludf.DUMMYFUNCTION("VALUE(SUBSTITUTE((INDEX(SPLIT(A5901,"",""),1)),""."","","",1))"),56.092376)</f>
        <v>56.092376</v>
      </c>
      <c r="Q5901" s="13">
        <f>IFERROR(__xludf.DUMMYFUNCTION("VALUE(SUBSTITUTE((INDEX(SPLIT(A5901,"",""),2)),""."","","",1))"),47.503972)</f>
        <v>47.503972</v>
      </c>
      <c r="R5901" s="14" t="b">
        <f t="shared" si="1"/>
        <v>0</v>
      </c>
      <c r="S5901" s="14" t="str">
        <f t="shared" si="2"/>
        <v>56.092376,47.503972</v>
      </c>
      <c r="T5901" s="12"/>
    </row>
    <row r="5902">
      <c r="A5902" s="136" t="s">
        <v>37864</v>
      </c>
      <c r="B5902" s="137" t="s">
        <v>18105</v>
      </c>
      <c r="C5902" s="137" t="s">
        <v>37865</v>
      </c>
      <c r="D5902" s="137" t="s">
        <v>33342</v>
      </c>
      <c r="E5902" s="138" t="s">
        <v>37866</v>
      </c>
      <c r="F5902" s="136" t="s">
        <v>13482</v>
      </c>
      <c r="G5902" s="136" t="s">
        <v>33344</v>
      </c>
      <c r="H5902" s="136"/>
      <c r="I5902" s="137"/>
      <c r="J5902" s="137" t="s">
        <v>37867</v>
      </c>
      <c r="K5902" s="137" t="s">
        <v>37868</v>
      </c>
      <c r="L5902" s="137"/>
      <c r="M5902" s="153" t="s">
        <v>37869</v>
      </c>
      <c r="N5902" s="12"/>
      <c r="O5902" s="12"/>
      <c r="P5902" s="13">
        <f>IFERROR(__xludf.DUMMYFUNCTION("VALUE(SUBSTITUTE((INDEX(SPLIT(A5902,"",""),1)),""."","","",1))"),56.101082)</f>
        <v>56.101082</v>
      </c>
      <c r="Q5902" s="13">
        <f>IFERROR(__xludf.DUMMYFUNCTION("VALUE(SUBSTITUTE((INDEX(SPLIT(A5902,"",""),2)),""."","","",1))"),47.478307)</f>
        <v>47.478307</v>
      </c>
      <c r="R5902" s="14" t="b">
        <f t="shared" si="1"/>
        <v>0</v>
      </c>
      <c r="S5902" s="14" t="str">
        <f t="shared" si="2"/>
        <v>56.101082,47.478307</v>
      </c>
      <c r="T5902" s="12"/>
    </row>
    <row r="5903">
      <c r="A5903" s="139" t="s">
        <v>37870</v>
      </c>
      <c r="B5903" s="140" t="s">
        <v>37871</v>
      </c>
      <c r="C5903" s="140" t="s">
        <v>37872</v>
      </c>
      <c r="D5903" s="140" t="s">
        <v>33342</v>
      </c>
      <c r="E5903" s="141" t="s">
        <v>37873</v>
      </c>
      <c r="F5903" s="139" t="s">
        <v>13482</v>
      </c>
      <c r="G5903" s="139" t="s">
        <v>33344</v>
      </c>
      <c r="H5903" s="139"/>
      <c r="I5903" s="140"/>
      <c r="J5903" s="140" t="s">
        <v>37874</v>
      </c>
      <c r="K5903" s="140" t="s">
        <v>37875</v>
      </c>
      <c r="L5903" s="140"/>
      <c r="M5903" s="140"/>
      <c r="N5903" s="12"/>
      <c r="O5903" s="12"/>
      <c r="P5903" s="13">
        <f>IFERROR(__xludf.DUMMYFUNCTION("VALUE(SUBSTITUTE((INDEX(SPLIT(A5903,"",""),1)),""."","","",1))"),56.116041)</f>
        <v>56.116041</v>
      </c>
      <c r="Q5903" s="13">
        <f>IFERROR(__xludf.DUMMYFUNCTION("VALUE(SUBSTITUTE((INDEX(SPLIT(A5903,"",""),2)),""."","","",1))"),47.179698)</f>
        <v>47.179698</v>
      </c>
      <c r="R5903" s="14" t="b">
        <f t="shared" si="1"/>
        <v>0</v>
      </c>
      <c r="S5903" s="14" t="str">
        <f t="shared" si="2"/>
        <v>56.116041,47.179698</v>
      </c>
      <c r="T5903" s="12"/>
    </row>
    <row r="5904">
      <c r="A5904" s="136" t="s">
        <v>37876</v>
      </c>
      <c r="B5904" s="137" t="s">
        <v>37877</v>
      </c>
      <c r="C5904" s="137" t="s">
        <v>37878</v>
      </c>
      <c r="D5904" s="137" t="s">
        <v>33342</v>
      </c>
      <c r="E5904" s="138" t="s">
        <v>37879</v>
      </c>
      <c r="F5904" s="136" t="s">
        <v>13482</v>
      </c>
      <c r="G5904" s="136" t="s">
        <v>33344</v>
      </c>
      <c r="H5904" s="136"/>
      <c r="I5904" s="137"/>
      <c r="J5904" s="137" t="s">
        <v>37880</v>
      </c>
      <c r="K5904" s="137" t="s">
        <v>37881</v>
      </c>
      <c r="L5904" s="137"/>
      <c r="M5904" s="137"/>
      <c r="N5904" s="12"/>
      <c r="O5904" s="12"/>
      <c r="P5904" s="13">
        <f>IFERROR(__xludf.DUMMYFUNCTION("VALUE(SUBSTITUTE((INDEX(SPLIT(A5904,"",""),1)),""."","","",1))"),55.56052)</f>
        <v>55.56052</v>
      </c>
      <c r="Q5904" s="13">
        <f>IFERROR(__xludf.DUMMYFUNCTION("VALUE(SUBSTITUTE((INDEX(SPLIT(A5904,"",""),2)),""."","","",1))"),47.394234)</f>
        <v>47.394234</v>
      </c>
      <c r="R5904" s="14" t="b">
        <f t="shared" si="1"/>
        <v>0</v>
      </c>
      <c r="S5904" s="14" t="str">
        <f t="shared" si="2"/>
        <v>55.56052,47.394234</v>
      </c>
      <c r="T5904" s="12"/>
    </row>
    <row r="5905">
      <c r="A5905" s="146" t="s">
        <v>37882</v>
      </c>
      <c r="B5905" s="147" t="s">
        <v>37883</v>
      </c>
      <c r="C5905" s="147" t="s">
        <v>37884</v>
      </c>
      <c r="D5905" s="147" t="s">
        <v>33342</v>
      </c>
      <c r="E5905" s="148" t="s">
        <v>37885</v>
      </c>
      <c r="F5905" s="146" t="s">
        <v>13482</v>
      </c>
      <c r="G5905" s="146" t="s">
        <v>33344</v>
      </c>
      <c r="H5905" s="146"/>
      <c r="I5905" s="147"/>
      <c r="J5905" s="147" t="s">
        <v>37886</v>
      </c>
      <c r="K5905" s="147" t="s">
        <v>37887</v>
      </c>
      <c r="L5905" s="149" t="s">
        <v>37888</v>
      </c>
      <c r="M5905" s="147"/>
      <c r="N5905" s="12"/>
      <c r="O5905" s="12"/>
      <c r="P5905" s="13">
        <f>IFERROR(__xludf.DUMMYFUNCTION("VALUE(SUBSTITUTE((INDEX(SPLIT(A5905,"",""),1)),""."","","",1))"),56.113396)</f>
        <v>56.113396</v>
      </c>
      <c r="Q5905" s="13">
        <f>IFERROR(__xludf.DUMMYFUNCTION("VALUE(SUBSTITUTE((INDEX(SPLIT(A5905,"",""),2)),""."","","",1))"),47.241035)</f>
        <v>47.241035</v>
      </c>
      <c r="R5905" s="14" t="b">
        <f t="shared" si="1"/>
        <v>0</v>
      </c>
      <c r="S5905" s="14" t="str">
        <f t="shared" si="2"/>
        <v>56.113396,47.241035</v>
      </c>
      <c r="T5905" s="12"/>
    </row>
    <row r="5906">
      <c r="A5906" s="142" t="s">
        <v>37889</v>
      </c>
      <c r="B5906" s="143" t="s">
        <v>37890</v>
      </c>
      <c r="C5906" s="143" t="s">
        <v>37891</v>
      </c>
      <c r="D5906" s="143" t="s">
        <v>33342</v>
      </c>
      <c r="E5906" s="144" t="s">
        <v>37892</v>
      </c>
      <c r="F5906" s="142" t="s">
        <v>13482</v>
      </c>
      <c r="G5906" s="142" t="s">
        <v>33344</v>
      </c>
      <c r="H5906" s="142"/>
      <c r="I5906" s="143"/>
      <c r="J5906" s="143" t="s">
        <v>37893</v>
      </c>
      <c r="K5906" s="143" t="s">
        <v>37894</v>
      </c>
      <c r="L5906" s="145" t="s">
        <v>37895</v>
      </c>
      <c r="M5906" s="145" t="s">
        <v>37896</v>
      </c>
      <c r="N5906" s="12"/>
      <c r="O5906" s="12"/>
      <c r="P5906" s="13">
        <f>IFERROR(__xludf.DUMMYFUNCTION("VALUE(SUBSTITUTE((INDEX(SPLIT(A5906,"",""),1)),""."","","",1))"),56.068198)</f>
        <v>56.068198</v>
      </c>
      <c r="Q5906" s="13">
        <f>IFERROR(__xludf.DUMMYFUNCTION("VALUE(SUBSTITUTE((INDEX(SPLIT(A5906,"",""),2)),""."","","",1))"),47.244853)</f>
        <v>47.244853</v>
      </c>
      <c r="R5906" s="14" t="b">
        <f t="shared" si="1"/>
        <v>0</v>
      </c>
      <c r="S5906" s="14" t="str">
        <f t="shared" si="2"/>
        <v>56.068198,47.244853</v>
      </c>
      <c r="T5906" s="12"/>
    </row>
    <row r="5907">
      <c r="A5907" s="146" t="s">
        <v>37897</v>
      </c>
      <c r="B5907" s="147" t="s">
        <v>37898</v>
      </c>
      <c r="C5907" s="147" t="s">
        <v>37899</v>
      </c>
      <c r="D5907" s="147" t="s">
        <v>33342</v>
      </c>
      <c r="E5907" s="148" t="s">
        <v>37900</v>
      </c>
      <c r="F5907" s="146" t="s">
        <v>13482</v>
      </c>
      <c r="G5907" s="146" t="s">
        <v>33344</v>
      </c>
      <c r="H5907" s="146"/>
      <c r="I5907" s="147"/>
      <c r="J5907" s="147" t="s">
        <v>37901</v>
      </c>
      <c r="K5907" s="147" t="s">
        <v>37902</v>
      </c>
      <c r="L5907" s="149" t="s">
        <v>37903</v>
      </c>
      <c r="M5907" s="147"/>
      <c r="N5907" s="12"/>
      <c r="O5907" s="12"/>
      <c r="P5907" s="13">
        <f>IFERROR(__xludf.DUMMYFUNCTION("VALUE(SUBSTITUTE((INDEX(SPLIT(A5907,"",""),1)),""."","","",1))"),56.125671)</f>
        <v>56.125671</v>
      </c>
      <c r="Q5907" s="13">
        <f>IFERROR(__xludf.DUMMYFUNCTION("VALUE(SUBSTITUTE((INDEX(SPLIT(A5907,"",""),2)),""."","","",1))"),47.327714)</f>
        <v>47.327714</v>
      </c>
      <c r="R5907" s="14" t="b">
        <f t="shared" si="1"/>
        <v>0</v>
      </c>
      <c r="S5907" s="14" t="str">
        <f t="shared" si="2"/>
        <v>56.125671,47.327714</v>
      </c>
      <c r="T5907" s="12"/>
    </row>
    <row r="5908">
      <c r="A5908" s="142" t="s">
        <v>37904</v>
      </c>
      <c r="B5908" s="143" t="s">
        <v>37905</v>
      </c>
      <c r="C5908" s="143" t="s">
        <v>37906</v>
      </c>
      <c r="D5908" s="143" t="s">
        <v>33342</v>
      </c>
      <c r="E5908" s="144" t="s">
        <v>37907</v>
      </c>
      <c r="F5908" s="142" t="s">
        <v>13482</v>
      </c>
      <c r="G5908" s="142" t="s">
        <v>33344</v>
      </c>
      <c r="H5908" s="142"/>
      <c r="I5908" s="143"/>
      <c r="J5908" s="143" t="s">
        <v>37908</v>
      </c>
      <c r="K5908" s="143" t="s">
        <v>37909</v>
      </c>
      <c r="L5908" s="145" t="s">
        <v>37910</v>
      </c>
      <c r="M5908" s="145" t="s">
        <v>37911</v>
      </c>
      <c r="N5908" s="12"/>
      <c r="O5908" s="12"/>
      <c r="P5908" s="13">
        <f>IFERROR(__xludf.DUMMYFUNCTION("VALUE(SUBSTITUTE((INDEX(SPLIT(A5908,"",""),1)),""."","","",1))"),56.07164)</f>
        <v>56.07164</v>
      </c>
      <c r="Q5908" s="13">
        <f>IFERROR(__xludf.DUMMYFUNCTION("VALUE(SUBSTITUTE((INDEX(SPLIT(A5908,"",""),2)),""."","","",1))"),47.240541)</f>
        <v>47.240541</v>
      </c>
      <c r="R5908" s="14" t="b">
        <f t="shared" si="1"/>
        <v>0</v>
      </c>
      <c r="S5908" s="14" t="str">
        <f t="shared" si="2"/>
        <v>56.07164,47.240541</v>
      </c>
      <c r="T5908" s="12"/>
    </row>
    <row r="5909">
      <c r="A5909" s="146" t="s">
        <v>37912</v>
      </c>
      <c r="B5909" s="147" t="s">
        <v>9721</v>
      </c>
      <c r="C5909" s="147" t="s">
        <v>37913</v>
      </c>
      <c r="D5909" s="147" t="s">
        <v>33342</v>
      </c>
      <c r="E5909" s="148" t="s">
        <v>37914</v>
      </c>
      <c r="F5909" s="146" t="s">
        <v>13482</v>
      </c>
      <c r="G5909" s="146" t="s">
        <v>33344</v>
      </c>
      <c r="H5909" s="146"/>
      <c r="I5909" s="147"/>
      <c r="J5909" s="147" t="s">
        <v>37915</v>
      </c>
      <c r="K5909" s="147" t="s">
        <v>37916</v>
      </c>
      <c r="L5909" s="149" t="s">
        <v>37917</v>
      </c>
      <c r="M5909" s="147"/>
      <c r="N5909" s="12"/>
      <c r="O5909" s="12"/>
      <c r="P5909" s="13">
        <f>IFERROR(__xludf.DUMMYFUNCTION("VALUE(SUBSTITUTE((INDEX(SPLIT(A5909,"",""),1)),""."","","",1))"),56.06751)</f>
        <v>56.06751</v>
      </c>
      <c r="Q5909" s="13">
        <f>IFERROR(__xludf.DUMMYFUNCTION("VALUE(SUBSTITUTE((INDEX(SPLIT(A5909,"",""),2)),""."","","",1))"),47.281253)</f>
        <v>47.281253</v>
      </c>
      <c r="R5909" s="14" t="b">
        <f t="shared" si="1"/>
        <v>0</v>
      </c>
      <c r="S5909" s="14" t="str">
        <f t="shared" si="2"/>
        <v>56.06751,47.281253</v>
      </c>
      <c r="T5909" s="12"/>
    </row>
    <row r="5910">
      <c r="A5910" s="136" t="s">
        <v>19362</v>
      </c>
      <c r="B5910" s="137" t="s">
        <v>1020</v>
      </c>
      <c r="C5910" s="137" t="s">
        <v>37918</v>
      </c>
      <c r="D5910" s="137" t="s">
        <v>33342</v>
      </c>
      <c r="E5910" s="138" t="s">
        <v>37919</v>
      </c>
      <c r="F5910" s="136" t="s">
        <v>13482</v>
      </c>
      <c r="G5910" s="136" t="s">
        <v>33344</v>
      </c>
      <c r="H5910" s="136"/>
      <c r="I5910" s="137"/>
      <c r="J5910" s="137" t="s">
        <v>37920</v>
      </c>
      <c r="K5910" s="137" t="s">
        <v>37921</v>
      </c>
      <c r="L5910" s="137"/>
      <c r="M5910" s="153" t="s">
        <v>37922</v>
      </c>
      <c r="N5910" s="12"/>
      <c r="O5910" s="12"/>
      <c r="P5910" s="13">
        <f>IFERROR(__xludf.DUMMYFUNCTION("VALUE(SUBSTITUTE((INDEX(SPLIT(A5910,"",""),1)),""."","","",1))"),56.140851)</f>
        <v>56.140851</v>
      </c>
      <c r="Q5910" s="13">
        <f>IFERROR(__xludf.DUMMYFUNCTION("VALUE(SUBSTITUTE((INDEX(SPLIT(A5910,"",""),2)),""."","","",1))"),47.245913)</f>
        <v>47.245913</v>
      </c>
      <c r="R5910" s="14" t="b">
        <f t="shared" si="1"/>
        <v>0</v>
      </c>
      <c r="S5910" s="14" t="str">
        <f t="shared" si="2"/>
        <v>56.140851,47.245913</v>
      </c>
      <c r="T5910" s="12"/>
    </row>
    <row r="5911">
      <c r="A5911" s="139" t="s">
        <v>37923</v>
      </c>
      <c r="B5911" s="140" t="s">
        <v>37924</v>
      </c>
      <c r="C5911" s="140" t="s">
        <v>37925</v>
      </c>
      <c r="D5911" s="140" t="s">
        <v>33342</v>
      </c>
      <c r="E5911" s="141" t="s">
        <v>37926</v>
      </c>
      <c r="F5911" s="139" t="s">
        <v>13482</v>
      </c>
      <c r="G5911" s="139" t="s">
        <v>33344</v>
      </c>
      <c r="H5911" s="139"/>
      <c r="I5911" s="140"/>
      <c r="J5911" s="140" t="s">
        <v>37927</v>
      </c>
      <c r="K5911" s="140" t="s">
        <v>37928</v>
      </c>
      <c r="L5911" s="140"/>
      <c r="M5911" s="140"/>
      <c r="N5911" s="12"/>
      <c r="O5911" s="12"/>
      <c r="P5911" s="13">
        <f>IFERROR(__xludf.DUMMYFUNCTION("VALUE(SUBSTITUTE((INDEX(SPLIT(A5911,"",""),1)),""."","","",1))"),56.080778)</f>
        <v>56.080778</v>
      </c>
      <c r="Q5911" s="13">
        <f>IFERROR(__xludf.DUMMYFUNCTION("VALUE(SUBSTITUTE((INDEX(SPLIT(A5911,"",""),2)),""."","","",1))"),47.280786)</f>
        <v>47.280786</v>
      </c>
      <c r="R5911" s="14" t="b">
        <f t="shared" si="1"/>
        <v>0</v>
      </c>
      <c r="S5911" s="14" t="str">
        <f t="shared" si="2"/>
        <v>56.080778,47.280786</v>
      </c>
      <c r="T5911" s="12"/>
    </row>
    <row r="5912">
      <c r="A5912" s="136" t="s">
        <v>37929</v>
      </c>
      <c r="B5912" s="137" t="s">
        <v>37930</v>
      </c>
      <c r="C5912" s="137" t="s">
        <v>37931</v>
      </c>
      <c r="D5912" s="137" t="s">
        <v>33342</v>
      </c>
      <c r="E5912" s="138" t="s">
        <v>37932</v>
      </c>
      <c r="F5912" s="136" t="s">
        <v>16731</v>
      </c>
      <c r="G5912" s="136" t="s">
        <v>33344</v>
      </c>
      <c r="H5912" s="136"/>
      <c r="I5912" s="137"/>
      <c r="J5912" s="137" t="s">
        <v>37933</v>
      </c>
      <c r="K5912" s="137" t="s">
        <v>37934</v>
      </c>
      <c r="L5912" s="137"/>
      <c r="M5912" s="153" t="s">
        <v>37935</v>
      </c>
      <c r="N5912" s="12"/>
      <c r="O5912" s="12"/>
      <c r="P5912" s="13">
        <f>IFERROR(__xludf.DUMMYFUNCTION("VALUE(SUBSTITUTE((INDEX(SPLIT(A5912,"",""),1)),""."","","",1))"),51.992705)</f>
        <v>51.992705</v>
      </c>
      <c r="Q5912" s="13">
        <f>IFERROR(__xludf.DUMMYFUNCTION("VALUE(SUBSTITUTE((INDEX(SPLIT(A5912,"",""),2)),""."","","",1))"),84.963764)</f>
        <v>84.963764</v>
      </c>
      <c r="R5912" s="14" t="b">
        <f t="shared" si="1"/>
        <v>0</v>
      </c>
      <c r="S5912" s="14" t="str">
        <f t="shared" si="2"/>
        <v>51.992705,84.963764</v>
      </c>
      <c r="T5912" s="12"/>
    </row>
    <row r="5913">
      <c r="A5913" s="146" t="s">
        <v>29031</v>
      </c>
      <c r="B5913" s="147" t="s">
        <v>37936</v>
      </c>
      <c r="C5913" s="147" t="s">
        <v>37937</v>
      </c>
      <c r="D5913" s="147" t="s">
        <v>33342</v>
      </c>
      <c r="E5913" s="148" t="s">
        <v>37938</v>
      </c>
      <c r="F5913" s="146" t="s">
        <v>16731</v>
      </c>
      <c r="G5913" s="146" t="s">
        <v>33344</v>
      </c>
      <c r="H5913" s="146"/>
      <c r="I5913" s="147"/>
      <c r="J5913" s="147" t="s">
        <v>37939</v>
      </c>
      <c r="K5913" s="147" t="s">
        <v>37940</v>
      </c>
      <c r="L5913" s="150" t="s">
        <v>37941</v>
      </c>
      <c r="M5913" s="147"/>
      <c r="N5913" s="12"/>
      <c r="O5913" s="12"/>
      <c r="P5913" s="13">
        <f>IFERROR(__xludf.DUMMYFUNCTION("VALUE(SUBSTITUTE((INDEX(SPLIT(A5913,"",""),1)),""."","","",1))"),52.492282)</f>
        <v>52.492282</v>
      </c>
      <c r="Q5913" s="13">
        <f>IFERROR(__xludf.DUMMYFUNCTION("VALUE(SUBSTITUTE((INDEX(SPLIT(A5913,"",""),2)),""."","","",1))"),85.145413)</f>
        <v>85.145413</v>
      </c>
      <c r="R5913" s="14" t="b">
        <f t="shared" si="1"/>
        <v>0</v>
      </c>
      <c r="S5913" s="14" t="str">
        <f t="shared" si="2"/>
        <v>52.492282,85.145413</v>
      </c>
      <c r="T5913" s="12"/>
    </row>
    <row r="5914">
      <c r="A5914" s="136" t="s">
        <v>37942</v>
      </c>
      <c r="B5914" s="137" t="s">
        <v>37943</v>
      </c>
      <c r="C5914" s="137" t="s">
        <v>37944</v>
      </c>
      <c r="D5914" s="137" t="s">
        <v>33342</v>
      </c>
      <c r="E5914" s="138" t="s">
        <v>37945</v>
      </c>
      <c r="F5914" s="136" t="s">
        <v>16731</v>
      </c>
      <c r="G5914" s="136" t="s">
        <v>33344</v>
      </c>
      <c r="H5914" s="136"/>
      <c r="I5914" s="137"/>
      <c r="J5914" s="137" t="s">
        <v>37946</v>
      </c>
      <c r="K5914" s="137" t="s">
        <v>37947</v>
      </c>
      <c r="L5914" s="137"/>
      <c r="M5914" s="137"/>
      <c r="N5914" s="12"/>
      <c r="O5914" s="12"/>
      <c r="P5914" s="13">
        <f>IFERROR(__xludf.DUMMYFUNCTION("VALUE(SUBSTITUTE((INDEX(SPLIT(A5914,"",""),1)),""."","","",1))"),52.534252)</f>
        <v>52.534252</v>
      </c>
      <c r="Q5914" s="13">
        <f>IFERROR(__xludf.DUMMYFUNCTION("VALUE(SUBSTITUTE((INDEX(SPLIT(A5914,"",""),2)),""."","","",1))"),85.249824)</f>
        <v>85.249824</v>
      </c>
      <c r="R5914" s="14" t="b">
        <f t="shared" si="1"/>
        <v>0</v>
      </c>
      <c r="S5914" s="14" t="str">
        <f t="shared" si="2"/>
        <v>52.534252,85.249824</v>
      </c>
      <c r="T5914" s="12"/>
    </row>
    <row r="5915">
      <c r="A5915" s="139" t="s">
        <v>37948</v>
      </c>
      <c r="B5915" s="140" t="s">
        <v>37949</v>
      </c>
      <c r="C5915" s="140" t="s">
        <v>37950</v>
      </c>
      <c r="D5915" s="140" t="s">
        <v>33342</v>
      </c>
      <c r="E5915" s="141" t="s">
        <v>37951</v>
      </c>
      <c r="F5915" s="139" t="s">
        <v>16731</v>
      </c>
      <c r="G5915" s="139" t="s">
        <v>33344</v>
      </c>
      <c r="H5915" s="139"/>
      <c r="I5915" s="140"/>
      <c r="J5915" s="140" t="s">
        <v>37952</v>
      </c>
      <c r="K5915" s="140" t="s">
        <v>37953</v>
      </c>
      <c r="L5915" s="140"/>
      <c r="M5915" s="140"/>
      <c r="N5915" s="12"/>
      <c r="O5915" s="12"/>
      <c r="P5915" s="13">
        <f>IFERROR(__xludf.DUMMYFUNCTION("VALUE(SUBSTITUTE((INDEX(SPLIT(A5915,"",""),1)),""."","","",1))"),53.387431)</f>
        <v>53.387431</v>
      </c>
      <c r="Q5915" s="13">
        <f>IFERROR(__xludf.DUMMYFUNCTION("VALUE(SUBSTITUTE((INDEX(SPLIT(A5915,"",""),2)),""."","","",1))"),83.975995)</f>
        <v>83.975995</v>
      </c>
      <c r="R5915" s="14" t="b">
        <f t="shared" si="1"/>
        <v>0</v>
      </c>
      <c r="S5915" s="14" t="str">
        <f t="shared" si="2"/>
        <v>53.387431,83.975995</v>
      </c>
      <c r="T5915" s="12"/>
    </row>
    <row r="5916">
      <c r="A5916" s="142" t="s">
        <v>37954</v>
      </c>
      <c r="B5916" s="143" t="s">
        <v>37955</v>
      </c>
      <c r="C5916" s="143" t="s">
        <v>37956</v>
      </c>
      <c r="D5916" s="143" t="s">
        <v>33342</v>
      </c>
      <c r="E5916" s="144" t="s">
        <v>37957</v>
      </c>
      <c r="F5916" s="142" t="s">
        <v>16731</v>
      </c>
      <c r="G5916" s="142" t="s">
        <v>33344</v>
      </c>
      <c r="H5916" s="142"/>
      <c r="I5916" s="143"/>
      <c r="J5916" s="143" t="s">
        <v>37958</v>
      </c>
      <c r="K5916" s="143" t="s">
        <v>37959</v>
      </c>
      <c r="L5916" s="145" t="s">
        <v>37960</v>
      </c>
      <c r="M5916" s="145" t="s">
        <v>15329</v>
      </c>
      <c r="N5916" s="12"/>
      <c r="O5916" s="12"/>
      <c r="P5916" s="13">
        <f>IFERROR(__xludf.DUMMYFUNCTION("VALUE(SUBSTITUTE((INDEX(SPLIT(A5916,"",""),1)),""."","","",1))"),55.053021)</f>
        <v>55.053021</v>
      </c>
      <c r="Q5916" s="13">
        <f>IFERROR(__xludf.DUMMYFUNCTION("VALUE(SUBSTITUTE((INDEX(SPLIT(A5916,"",""),2)),""."","","",1))"),82.883608)</f>
        <v>82.883608</v>
      </c>
      <c r="R5916" s="14" t="b">
        <f t="shared" si="1"/>
        <v>0</v>
      </c>
      <c r="S5916" s="14" t="str">
        <f t="shared" si="2"/>
        <v>55.053021,82.883608</v>
      </c>
      <c r="T5916" s="12"/>
    </row>
    <row r="5917">
      <c r="A5917" s="146" t="s">
        <v>37961</v>
      </c>
      <c r="B5917" s="147" t="s">
        <v>37962</v>
      </c>
      <c r="C5917" s="147" t="s">
        <v>37963</v>
      </c>
      <c r="D5917" s="147" t="s">
        <v>33342</v>
      </c>
      <c r="E5917" s="148" t="s">
        <v>37964</v>
      </c>
      <c r="F5917" s="146" t="s">
        <v>16731</v>
      </c>
      <c r="G5917" s="146" t="s">
        <v>33344</v>
      </c>
      <c r="H5917" s="146"/>
      <c r="I5917" s="147"/>
      <c r="J5917" s="147" t="s">
        <v>37965</v>
      </c>
      <c r="K5917" s="147" t="s">
        <v>37966</v>
      </c>
      <c r="L5917" s="150" t="s">
        <v>37967</v>
      </c>
      <c r="M5917" s="147"/>
      <c r="N5917" s="12"/>
      <c r="O5917" s="12"/>
      <c r="P5917" s="13">
        <f>IFERROR(__xludf.DUMMYFUNCTION("VALUE(SUBSTITUTE((INDEX(SPLIT(A5917,"",""),1)),""."","","",1))"),53.349628)</f>
        <v>53.349628</v>
      </c>
      <c r="Q5917" s="13">
        <f>IFERROR(__xludf.DUMMYFUNCTION("VALUE(SUBSTITUTE((INDEX(SPLIT(A5917,"",""),2)),""."","","",1))"),83.691534)</f>
        <v>83.691534</v>
      </c>
      <c r="R5917" s="14" t="b">
        <f t="shared" si="1"/>
        <v>0</v>
      </c>
      <c r="S5917" s="14" t="str">
        <f t="shared" si="2"/>
        <v>53.349628,83.691534</v>
      </c>
      <c r="T5917" s="12"/>
    </row>
    <row r="5918">
      <c r="A5918" s="142" t="s">
        <v>28522</v>
      </c>
      <c r="B5918" s="143" t="s">
        <v>31882</v>
      </c>
      <c r="C5918" s="143" t="s">
        <v>37968</v>
      </c>
      <c r="D5918" s="143" t="s">
        <v>33342</v>
      </c>
      <c r="E5918" s="144" t="s">
        <v>37969</v>
      </c>
      <c r="F5918" s="142" t="s">
        <v>16731</v>
      </c>
      <c r="G5918" s="142" t="s">
        <v>33344</v>
      </c>
      <c r="H5918" s="142"/>
      <c r="I5918" s="143"/>
      <c r="J5918" s="143" t="s">
        <v>37970</v>
      </c>
      <c r="K5918" s="143" t="s">
        <v>37971</v>
      </c>
      <c r="L5918" s="145" t="s">
        <v>37972</v>
      </c>
      <c r="M5918" s="145" t="s">
        <v>37973</v>
      </c>
      <c r="N5918" s="12"/>
      <c r="O5918" s="12"/>
      <c r="P5918" s="13">
        <f>IFERROR(__xludf.DUMMYFUNCTION("VALUE(SUBSTITUTE((INDEX(SPLIT(A5918,"",""),1)),""."","","",1))"),53.307057)</f>
        <v>53.307057</v>
      </c>
      <c r="Q5918" s="13">
        <f>IFERROR(__xludf.DUMMYFUNCTION("VALUE(SUBSTITUTE((INDEX(SPLIT(A5918,"",""),2)),""."","","",1))"),83.633611)</f>
        <v>83.633611</v>
      </c>
      <c r="R5918" s="14" t="b">
        <f t="shared" si="1"/>
        <v>0</v>
      </c>
      <c r="S5918" s="14" t="str">
        <f t="shared" si="2"/>
        <v>53.307057,83.633611</v>
      </c>
      <c r="T5918" s="12"/>
    </row>
    <row r="5919">
      <c r="A5919" s="139" t="s">
        <v>28517</v>
      </c>
      <c r="B5919" s="140" t="s">
        <v>37974</v>
      </c>
      <c r="C5919" s="140" t="s">
        <v>37975</v>
      </c>
      <c r="D5919" s="140" t="s">
        <v>33342</v>
      </c>
      <c r="E5919" s="141" t="s">
        <v>37976</v>
      </c>
      <c r="F5919" s="139" t="s">
        <v>16731</v>
      </c>
      <c r="G5919" s="139" t="s">
        <v>33344</v>
      </c>
      <c r="H5919" s="139"/>
      <c r="I5919" s="140"/>
      <c r="J5919" s="140" t="s">
        <v>37977</v>
      </c>
      <c r="K5919" s="140" t="s">
        <v>37978</v>
      </c>
      <c r="L5919" s="140"/>
      <c r="M5919" s="154" t="s">
        <v>37979</v>
      </c>
      <c r="N5919" s="12"/>
      <c r="O5919" s="12"/>
      <c r="P5919" s="13">
        <f>IFERROR(__xludf.DUMMYFUNCTION("VALUE(SUBSTITUTE((INDEX(SPLIT(A5919,"",""),1)),""."","","",1))"),53.321313)</f>
        <v>53.321313</v>
      </c>
      <c r="Q5919" s="13">
        <f>IFERROR(__xludf.DUMMYFUNCTION("VALUE(SUBSTITUTE((INDEX(SPLIT(A5919,"",""),2)),""."","","",1))"),83.633198)</f>
        <v>83.633198</v>
      </c>
      <c r="R5919" s="14" t="b">
        <f t="shared" si="1"/>
        <v>0</v>
      </c>
      <c r="S5919" s="14" t="str">
        <f t="shared" si="2"/>
        <v>53.321313,83.633198</v>
      </c>
      <c r="T5919" s="12"/>
    </row>
    <row r="5920">
      <c r="A5920" s="142" t="s">
        <v>37980</v>
      </c>
      <c r="B5920" s="143" t="s">
        <v>37981</v>
      </c>
      <c r="C5920" s="143" t="s">
        <v>37982</v>
      </c>
      <c r="D5920" s="143" t="s">
        <v>33342</v>
      </c>
      <c r="E5920" s="144" t="s">
        <v>37983</v>
      </c>
      <c r="F5920" s="142" t="s">
        <v>16731</v>
      </c>
      <c r="G5920" s="142" t="s">
        <v>33344</v>
      </c>
      <c r="H5920" s="142"/>
      <c r="I5920" s="143"/>
      <c r="J5920" s="143" t="s">
        <v>37984</v>
      </c>
      <c r="K5920" s="143" t="s">
        <v>37985</v>
      </c>
      <c r="L5920" s="145" t="s">
        <v>37986</v>
      </c>
      <c r="M5920" s="143"/>
      <c r="N5920" s="12"/>
      <c r="O5920" s="12"/>
      <c r="P5920" s="13">
        <f>IFERROR(__xludf.DUMMYFUNCTION("VALUE(SUBSTITUTE((INDEX(SPLIT(A5920,"",""),1)),""."","","",1))"),53.333086)</f>
        <v>53.333086</v>
      </c>
      <c r="Q5920" s="13">
        <f>IFERROR(__xludf.DUMMYFUNCTION("VALUE(SUBSTITUTE((INDEX(SPLIT(A5920,"",""),2)),""."","","",1))"),83.70023)</f>
        <v>83.70023</v>
      </c>
      <c r="R5920" s="14" t="b">
        <f t="shared" si="1"/>
        <v>0</v>
      </c>
      <c r="S5920" s="14" t="str">
        <f t="shared" si="2"/>
        <v>53.333086,83.70023</v>
      </c>
      <c r="T5920" s="12"/>
    </row>
    <row r="5921">
      <c r="A5921" s="139" t="s">
        <v>37987</v>
      </c>
      <c r="B5921" s="140" t="s">
        <v>37988</v>
      </c>
      <c r="C5921" s="140" t="s">
        <v>37989</v>
      </c>
      <c r="D5921" s="140" t="s">
        <v>33342</v>
      </c>
      <c r="E5921" s="141" t="s">
        <v>37990</v>
      </c>
      <c r="F5921" s="139" t="s">
        <v>16731</v>
      </c>
      <c r="G5921" s="139" t="s">
        <v>33344</v>
      </c>
      <c r="H5921" s="139"/>
      <c r="I5921" s="140"/>
      <c r="J5921" s="140" t="s">
        <v>37991</v>
      </c>
      <c r="K5921" s="140" t="s">
        <v>37992</v>
      </c>
      <c r="L5921" s="140"/>
      <c r="M5921" s="140"/>
      <c r="N5921" s="12"/>
      <c r="O5921" s="12"/>
      <c r="P5921" s="13">
        <f>IFERROR(__xludf.DUMMYFUNCTION("VALUE(SUBSTITUTE((INDEX(SPLIT(A5921,"",""),1)),""."","","",1))"),53.366224)</f>
        <v>53.366224</v>
      </c>
      <c r="Q5921" s="13">
        <f>IFERROR(__xludf.DUMMYFUNCTION("VALUE(SUBSTITUTE((INDEX(SPLIT(A5921,"",""),2)),""."","","",1))"),83.703752)</f>
        <v>83.703752</v>
      </c>
      <c r="R5921" s="14" t="b">
        <f t="shared" si="1"/>
        <v>0</v>
      </c>
      <c r="S5921" s="14" t="str">
        <f t="shared" si="2"/>
        <v>53.366224,83.703752</v>
      </c>
      <c r="T5921" s="12"/>
    </row>
    <row r="5922">
      <c r="A5922" s="142" t="s">
        <v>37993</v>
      </c>
      <c r="B5922" s="143" t="s">
        <v>37994</v>
      </c>
      <c r="C5922" s="143" t="s">
        <v>37995</v>
      </c>
      <c r="D5922" s="143" t="s">
        <v>33342</v>
      </c>
      <c r="E5922" s="144" t="s">
        <v>37996</v>
      </c>
      <c r="F5922" s="142" t="s">
        <v>16731</v>
      </c>
      <c r="G5922" s="142" t="s">
        <v>33344</v>
      </c>
      <c r="H5922" s="142"/>
      <c r="I5922" s="143"/>
      <c r="J5922" s="143" t="s">
        <v>37997</v>
      </c>
      <c r="K5922" s="143" t="s">
        <v>37998</v>
      </c>
      <c r="L5922" s="152" t="s">
        <v>37999</v>
      </c>
      <c r="M5922" s="143"/>
      <c r="N5922" s="12"/>
      <c r="O5922" s="12"/>
      <c r="P5922" s="13">
        <f>IFERROR(__xludf.DUMMYFUNCTION("VALUE(SUBSTITUTE((INDEX(SPLIT(A5922,"",""),1)),""."","","",1))"),53.322851)</f>
        <v>53.322851</v>
      </c>
      <c r="Q5922" s="13">
        <f>IFERROR(__xludf.DUMMYFUNCTION("VALUE(SUBSTITUTE((INDEX(SPLIT(A5922,"",""),2)),""."","","",1))"),83.631195)</f>
        <v>83.631195</v>
      </c>
      <c r="R5922" s="14" t="b">
        <f t="shared" si="1"/>
        <v>0</v>
      </c>
      <c r="S5922" s="14" t="str">
        <f t="shared" si="2"/>
        <v>53.322851,83.631195</v>
      </c>
      <c r="T5922" s="12"/>
    </row>
    <row r="5923">
      <c r="A5923" s="139" t="s">
        <v>38000</v>
      </c>
      <c r="B5923" s="140" t="s">
        <v>38001</v>
      </c>
      <c r="C5923" s="140" t="s">
        <v>38002</v>
      </c>
      <c r="D5923" s="140" t="s">
        <v>33342</v>
      </c>
      <c r="E5923" s="141" t="s">
        <v>38003</v>
      </c>
      <c r="F5923" s="139" t="s">
        <v>16731</v>
      </c>
      <c r="G5923" s="139" t="s">
        <v>33344</v>
      </c>
      <c r="H5923" s="139"/>
      <c r="I5923" s="140"/>
      <c r="J5923" s="140" t="s">
        <v>38004</v>
      </c>
      <c r="K5923" s="140" t="s">
        <v>38005</v>
      </c>
      <c r="L5923" s="140"/>
      <c r="M5923" s="140"/>
      <c r="N5923" s="12"/>
      <c r="O5923" s="12"/>
      <c r="P5923" s="13">
        <f>IFERROR(__xludf.DUMMYFUNCTION("VALUE(SUBSTITUTE((INDEX(SPLIT(A5923,"",""),1)),""."","","",1))"),53.340769)</f>
        <v>53.340769</v>
      </c>
      <c r="Q5923" s="13">
        <f>IFERROR(__xludf.DUMMYFUNCTION("VALUE(SUBSTITUTE((INDEX(SPLIT(A5923,"",""),2)),""."","","",1))"),83.697688)</f>
        <v>83.697688</v>
      </c>
      <c r="R5923" s="14" t="b">
        <f t="shared" si="1"/>
        <v>0</v>
      </c>
      <c r="S5923" s="14" t="str">
        <f t="shared" si="2"/>
        <v>53.340769,83.697688</v>
      </c>
      <c r="T5923" s="12"/>
    </row>
    <row r="5924">
      <c r="A5924" s="136" t="s">
        <v>38006</v>
      </c>
      <c r="B5924" s="137" t="s">
        <v>38007</v>
      </c>
      <c r="C5924" s="137" t="s">
        <v>38008</v>
      </c>
      <c r="D5924" s="137" t="s">
        <v>33342</v>
      </c>
      <c r="E5924" s="138" t="s">
        <v>38009</v>
      </c>
      <c r="F5924" s="136" t="s">
        <v>16731</v>
      </c>
      <c r="G5924" s="136" t="s">
        <v>33344</v>
      </c>
      <c r="H5924" s="136"/>
      <c r="I5924" s="137"/>
      <c r="J5924" s="137" t="s">
        <v>38010</v>
      </c>
      <c r="K5924" s="137" t="s">
        <v>38011</v>
      </c>
      <c r="L5924" s="137"/>
      <c r="M5924" s="137"/>
      <c r="N5924" s="12"/>
      <c r="O5924" s="12"/>
      <c r="P5924" s="13">
        <f>IFERROR(__xludf.DUMMYFUNCTION("VALUE(SUBSTITUTE((INDEX(SPLIT(A5924,"",""),1)),""."","","",1))"),53.381856)</f>
        <v>53.381856</v>
      </c>
      <c r="Q5924" s="13">
        <f>IFERROR(__xludf.DUMMYFUNCTION("VALUE(SUBSTITUTE((INDEX(SPLIT(A5924,"",""),2)),""."","","",1))"),83.707003)</f>
        <v>83.707003</v>
      </c>
      <c r="R5924" s="14" t="b">
        <f t="shared" si="1"/>
        <v>0</v>
      </c>
      <c r="S5924" s="14" t="str">
        <f t="shared" si="2"/>
        <v>53.381856,83.707003</v>
      </c>
      <c r="T5924" s="12"/>
    </row>
    <row r="5925">
      <c r="A5925" s="139" t="s">
        <v>38012</v>
      </c>
      <c r="B5925" s="140" t="s">
        <v>15694</v>
      </c>
      <c r="C5925" s="140" t="s">
        <v>38013</v>
      </c>
      <c r="D5925" s="140" t="s">
        <v>33342</v>
      </c>
      <c r="E5925" s="141" t="s">
        <v>38014</v>
      </c>
      <c r="F5925" s="139" t="s">
        <v>16731</v>
      </c>
      <c r="G5925" s="139" t="s">
        <v>33344</v>
      </c>
      <c r="H5925" s="139"/>
      <c r="I5925" s="140"/>
      <c r="J5925" s="140" t="s">
        <v>38015</v>
      </c>
      <c r="K5925" s="140" t="s">
        <v>38016</v>
      </c>
      <c r="L5925" s="140"/>
      <c r="M5925" s="154" t="s">
        <v>38017</v>
      </c>
      <c r="N5925" s="12"/>
      <c r="O5925" s="12"/>
      <c r="P5925" s="13">
        <f>IFERROR(__xludf.DUMMYFUNCTION("VALUE(SUBSTITUTE((INDEX(SPLIT(A5925,"",""),1)),""."","","",1))"),53.391126)</f>
        <v>53.391126</v>
      </c>
      <c r="Q5925" s="13">
        <f>IFERROR(__xludf.DUMMYFUNCTION("VALUE(SUBSTITUTE((INDEX(SPLIT(A5925,"",""),2)),""."","","",1))"),83.69272)</f>
        <v>83.69272</v>
      </c>
      <c r="R5925" s="14" t="b">
        <f t="shared" si="1"/>
        <v>0</v>
      </c>
      <c r="S5925" s="14" t="str">
        <f t="shared" si="2"/>
        <v>53.391126,83.69272</v>
      </c>
      <c r="T5925" s="12"/>
    </row>
    <row r="5926">
      <c r="A5926" s="142" t="s">
        <v>38018</v>
      </c>
      <c r="B5926" s="143" t="s">
        <v>796</v>
      </c>
      <c r="C5926" s="143" t="s">
        <v>38019</v>
      </c>
      <c r="D5926" s="143" t="s">
        <v>33342</v>
      </c>
      <c r="E5926" s="144" t="s">
        <v>38020</v>
      </c>
      <c r="F5926" s="142" t="s">
        <v>16731</v>
      </c>
      <c r="G5926" s="142" t="s">
        <v>33344</v>
      </c>
      <c r="H5926" s="142"/>
      <c r="I5926" s="143"/>
      <c r="J5926" s="143" t="s">
        <v>38021</v>
      </c>
      <c r="K5926" s="143" t="s">
        <v>38022</v>
      </c>
      <c r="L5926" s="145" t="s">
        <v>38023</v>
      </c>
      <c r="M5926" s="143"/>
      <c r="N5926" s="12"/>
      <c r="O5926" s="12"/>
      <c r="P5926" s="13">
        <f>IFERROR(__xludf.DUMMYFUNCTION("VALUE(SUBSTITUTE((INDEX(SPLIT(A5926,"",""),1)),""."","","",1))"),53.370946)</f>
        <v>53.370946</v>
      </c>
      <c r="Q5926" s="13">
        <f>IFERROR(__xludf.DUMMYFUNCTION("VALUE(SUBSTITUTE((INDEX(SPLIT(A5926,"",""),2)),""."","","",1))"),83.685076)</f>
        <v>83.685076</v>
      </c>
      <c r="R5926" s="14" t="b">
        <f t="shared" si="1"/>
        <v>0</v>
      </c>
      <c r="S5926" s="14" t="str">
        <f t="shared" si="2"/>
        <v>53.370946,83.685076</v>
      </c>
      <c r="T5926" s="12"/>
    </row>
    <row r="5927">
      <c r="A5927" s="139" t="s">
        <v>38024</v>
      </c>
      <c r="B5927" s="140" t="s">
        <v>38025</v>
      </c>
      <c r="C5927" s="140" t="s">
        <v>38026</v>
      </c>
      <c r="D5927" s="140" t="s">
        <v>33342</v>
      </c>
      <c r="E5927" s="141" t="s">
        <v>38027</v>
      </c>
      <c r="F5927" s="139" t="s">
        <v>16731</v>
      </c>
      <c r="G5927" s="139" t="s">
        <v>33344</v>
      </c>
      <c r="H5927" s="139"/>
      <c r="I5927" s="140"/>
      <c r="J5927" s="140" t="s">
        <v>38028</v>
      </c>
      <c r="K5927" s="140" t="s">
        <v>38029</v>
      </c>
      <c r="L5927" s="140"/>
      <c r="M5927" s="154" t="s">
        <v>38030</v>
      </c>
      <c r="N5927" s="12"/>
      <c r="O5927" s="12"/>
      <c r="P5927" s="13">
        <f>IFERROR(__xludf.DUMMYFUNCTION("VALUE(SUBSTITUTE((INDEX(SPLIT(A5927,"",""),1)),""."","","",1))"),53.38306)</f>
        <v>53.38306</v>
      </c>
      <c r="Q5927" s="13">
        <f>IFERROR(__xludf.DUMMYFUNCTION("VALUE(SUBSTITUTE((INDEX(SPLIT(A5927,"",""),2)),""."","","",1))"),83.730944)</f>
        <v>83.730944</v>
      </c>
      <c r="R5927" s="14" t="b">
        <f t="shared" si="1"/>
        <v>0</v>
      </c>
      <c r="S5927" s="14" t="str">
        <f t="shared" si="2"/>
        <v>53.38306,83.730944</v>
      </c>
      <c r="T5927" s="12"/>
    </row>
    <row r="5928">
      <c r="A5928" s="142" t="s">
        <v>38031</v>
      </c>
      <c r="B5928" s="143" t="s">
        <v>38032</v>
      </c>
      <c r="C5928" s="143" t="s">
        <v>38033</v>
      </c>
      <c r="D5928" s="143" t="s">
        <v>33342</v>
      </c>
      <c r="E5928" s="144" t="s">
        <v>38034</v>
      </c>
      <c r="F5928" s="142" t="s">
        <v>16731</v>
      </c>
      <c r="G5928" s="142" t="s">
        <v>33344</v>
      </c>
      <c r="H5928" s="142"/>
      <c r="I5928" s="143"/>
      <c r="J5928" s="143" t="s">
        <v>38035</v>
      </c>
      <c r="K5928" s="143" t="s">
        <v>38036</v>
      </c>
      <c r="L5928" s="145" t="s">
        <v>38037</v>
      </c>
      <c r="M5928" s="145" t="s">
        <v>38038</v>
      </c>
      <c r="N5928" s="12"/>
      <c r="O5928" s="12"/>
      <c r="P5928" s="13">
        <f>IFERROR(__xludf.DUMMYFUNCTION("VALUE(SUBSTITUTE((INDEX(SPLIT(A5928,"",""),1)),""."","","",1))"),53.372435)</f>
        <v>53.372435</v>
      </c>
      <c r="Q5928" s="13">
        <f>IFERROR(__xludf.DUMMYFUNCTION("VALUE(SUBSTITUTE((INDEX(SPLIT(A5928,"",""),2)),""."","","",1))"),83.685992)</f>
        <v>83.685992</v>
      </c>
      <c r="R5928" s="14" t="b">
        <f t="shared" si="1"/>
        <v>0</v>
      </c>
      <c r="S5928" s="14" t="str">
        <f t="shared" si="2"/>
        <v>53.372435,83.685992</v>
      </c>
      <c r="T5928" s="12"/>
    </row>
    <row r="5929">
      <c r="A5929" s="139" t="s">
        <v>38039</v>
      </c>
      <c r="B5929" s="140" t="s">
        <v>38040</v>
      </c>
      <c r="C5929" s="140" t="s">
        <v>38041</v>
      </c>
      <c r="D5929" s="140" t="s">
        <v>33342</v>
      </c>
      <c r="E5929" s="141" t="s">
        <v>38042</v>
      </c>
      <c r="F5929" s="139" t="s">
        <v>16731</v>
      </c>
      <c r="G5929" s="139" t="s">
        <v>33344</v>
      </c>
      <c r="H5929" s="139"/>
      <c r="I5929" s="140"/>
      <c r="J5929" s="140" t="s">
        <v>38043</v>
      </c>
      <c r="K5929" s="140" t="s">
        <v>38044</v>
      </c>
      <c r="L5929" s="140"/>
      <c r="M5929" s="154" t="s">
        <v>38045</v>
      </c>
      <c r="N5929" s="12"/>
      <c r="O5929" s="12"/>
      <c r="P5929" s="13">
        <f>IFERROR(__xludf.DUMMYFUNCTION("VALUE(SUBSTITUTE((INDEX(SPLIT(A5929,"",""),1)),""."","","",1))"),53.334365)</f>
        <v>53.334365</v>
      </c>
      <c r="Q5929" s="13">
        <f>IFERROR(__xludf.DUMMYFUNCTION("VALUE(SUBSTITUTE((INDEX(SPLIT(A5929,"",""),2)),""."","","",1))"),83.775617)</f>
        <v>83.775617</v>
      </c>
      <c r="R5929" s="14" t="b">
        <f t="shared" si="1"/>
        <v>0</v>
      </c>
      <c r="S5929" s="14" t="str">
        <f t="shared" si="2"/>
        <v>53.334365,83.775617</v>
      </c>
      <c r="T5929" s="12"/>
    </row>
    <row r="5930">
      <c r="A5930" s="136" t="s">
        <v>38046</v>
      </c>
      <c r="B5930" s="137" t="s">
        <v>38047</v>
      </c>
      <c r="C5930" s="137" t="s">
        <v>38048</v>
      </c>
      <c r="D5930" s="137" t="s">
        <v>33342</v>
      </c>
      <c r="E5930" s="138" t="s">
        <v>38049</v>
      </c>
      <c r="F5930" s="136" t="s">
        <v>16731</v>
      </c>
      <c r="G5930" s="136" t="s">
        <v>33344</v>
      </c>
      <c r="H5930" s="136"/>
      <c r="I5930" s="137"/>
      <c r="J5930" s="137" t="s">
        <v>38050</v>
      </c>
      <c r="K5930" s="137" t="s">
        <v>38051</v>
      </c>
      <c r="L5930" s="137"/>
      <c r="M5930" s="137"/>
      <c r="N5930" s="12"/>
      <c r="O5930" s="12"/>
      <c r="P5930" s="13">
        <f>IFERROR(__xludf.DUMMYFUNCTION("VALUE(SUBSTITUTE((INDEX(SPLIT(A5930,"",""),1)),""."","","",1))"),53.316095)</f>
        <v>53.316095</v>
      </c>
      <c r="Q5930" s="13">
        <f>IFERROR(__xludf.DUMMYFUNCTION("VALUE(SUBSTITUTE((INDEX(SPLIT(A5930,"",""),2)),""."","","",1))"),83.762834)</f>
        <v>83.762834</v>
      </c>
      <c r="R5930" s="14" t="b">
        <f t="shared" si="1"/>
        <v>0</v>
      </c>
      <c r="S5930" s="14" t="str">
        <f t="shared" si="2"/>
        <v>53.316095,83.762834</v>
      </c>
      <c r="T5930" s="12"/>
    </row>
    <row r="5931">
      <c r="A5931" s="139" t="s">
        <v>38052</v>
      </c>
      <c r="B5931" s="140" t="s">
        <v>38053</v>
      </c>
      <c r="C5931" s="140" t="s">
        <v>38054</v>
      </c>
      <c r="D5931" s="140" t="s">
        <v>33342</v>
      </c>
      <c r="E5931" s="141" t="s">
        <v>38055</v>
      </c>
      <c r="F5931" s="139" t="s">
        <v>16731</v>
      </c>
      <c r="G5931" s="139" t="s">
        <v>33344</v>
      </c>
      <c r="H5931" s="139"/>
      <c r="I5931" s="140"/>
      <c r="J5931" s="140" t="s">
        <v>38056</v>
      </c>
      <c r="K5931" s="140" t="s">
        <v>38057</v>
      </c>
      <c r="L5931" s="140"/>
      <c r="M5931" s="140"/>
      <c r="N5931" s="12"/>
      <c r="O5931" s="12"/>
      <c r="P5931" s="13">
        <f>IFERROR(__xludf.DUMMYFUNCTION("VALUE(SUBSTITUTE((INDEX(SPLIT(A5931,"",""),1)),""."","","",1))"),53.295885)</f>
        <v>53.295885</v>
      </c>
      <c r="Q5931" s="13">
        <f>IFERROR(__xludf.DUMMYFUNCTION("VALUE(SUBSTITUTE((INDEX(SPLIT(A5931,"",""),2)),""."","","",1))"),83.011411)</f>
        <v>83.011411</v>
      </c>
      <c r="R5931" s="14" t="b">
        <f t="shared" si="1"/>
        <v>0</v>
      </c>
      <c r="S5931" s="14" t="str">
        <f t="shared" si="2"/>
        <v>53.295885,83.011411</v>
      </c>
      <c r="T5931" s="12"/>
    </row>
    <row r="5932">
      <c r="A5932" s="136" t="s">
        <v>38058</v>
      </c>
      <c r="B5932" s="137" t="s">
        <v>38059</v>
      </c>
      <c r="C5932" s="137" t="s">
        <v>38060</v>
      </c>
      <c r="D5932" s="137" t="s">
        <v>33342</v>
      </c>
      <c r="E5932" s="138" t="s">
        <v>38061</v>
      </c>
      <c r="F5932" s="136" t="s">
        <v>16731</v>
      </c>
      <c r="G5932" s="136" t="s">
        <v>33344</v>
      </c>
      <c r="H5932" s="136"/>
      <c r="I5932" s="137"/>
      <c r="J5932" s="137" t="s">
        <v>38062</v>
      </c>
      <c r="K5932" s="137" t="s">
        <v>38063</v>
      </c>
      <c r="L5932" s="137"/>
      <c r="M5932" s="137"/>
      <c r="N5932" s="12"/>
      <c r="O5932" s="12"/>
      <c r="P5932" s="13">
        <f>IFERROR(__xludf.DUMMYFUNCTION("VALUE(SUBSTITUTE((INDEX(SPLIT(A5932,"",""),1)),""."","","",1))"),53.231829)</f>
        <v>53.231829</v>
      </c>
      <c r="Q5932" s="13">
        <f>IFERROR(__xludf.DUMMYFUNCTION("VALUE(SUBSTITUTE((INDEX(SPLIT(A5932,"",""),2)),""."","","",1))"),82.724795)</f>
        <v>82.724795</v>
      </c>
      <c r="R5932" s="14" t="b">
        <f t="shared" si="1"/>
        <v>0</v>
      </c>
      <c r="S5932" s="14" t="str">
        <f t="shared" si="2"/>
        <v>53.231829,82.724795</v>
      </c>
      <c r="T5932" s="12"/>
    </row>
    <row r="5933">
      <c r="A5933" s="139" t="s">
        <v>38064</v>
      </c>
      <c r="B5933" s="140" t="s">
        <v>15765</v>
      </c>
      <c r="C5933" s="140" t="s">
        <v>38065</v>
      </c>
      <c r="D5933" s="140" t="s">
        <v>33342</v>
      </c>
      <c r="E5933" s="141" t="s">
        <v>38066</v>
      </c>
      <c r="F5933" s="139" t="s">
        <v>16731</v>
      </c>
      <c r="G5933" s="139" t="s">
        <v>33344</v>
      </c>
      <c r="H5933" s="139"/>
      <c r="I5933" s="140"/>
      <c r="J5933" s="140" t="s">
        <v>38067</v>
      </c>
      <c r="K5933" s="140" t="s">
        <v>38068</v>
      </c>
      <c r="L5933" s="140"/>
      <c r="M5933" s="140"/>
      <c r="N5933" s="12"/>
      <c r="O5933" s="12"/>
      <c r="P5933" s="13">
        <f>IFERROR(__xludf.DUMMYFUNCTION("VALUE(SUBSTITUTE((INDEX(SPLIT(A5933,"",""),1)),""."","","",1))"),53.815601)</f>
        <v>53.815601</v>
      </c>
      <c r="Q5933" s="13">
        <f>IFERROR(__xludf.DUMMYFUNCTION("VALUE(SUBSTITUTE((INDEX(SPLIT(A5933,"",""),2)),""."","","",1))"),83.55809)</f>
        <v>83.55809</v>
      </c>
      <c r="R5933" s="14" t="b">
        <f t="shared" si="1"/>
        <v>0</v>
      </c>
      <c r="S5933" s="14" t="str">
        <f t="shared" si="2"/>
        <v>53.815601,83.55809</v>
      </c>
      <c r="T5933" s="12"/>
    </row>
    <row r="5934">
      <c r="A5934" s="142" t="s">
        <v>38069</v>
      </c>
      <c r="B5934" s="143" t="s">
        <v>38070</v>
      </c>
      <c r="C5934" s="143" t="s">
        <v>38071</v>
      </c>
      <c r="D5934" s="143" t="s">
        <v>33342</v>
      </c>
      <c r="E5934" s="144" t="s">
        <v>38072</v>
      </c>
      <c r="F5934" s="142" t="s">
        <v>16731</v>
      </c>
      <c r="G5934" s="142" t="s">
        <v>33344</v>
      </c>
      <c r="H5934" s="142"/>
      <c r="I5934" s="143"/>
      <c r="J5934" s="143" t="s">
        <v>38073</v>
      </c>
      <c r="K5934" s="143" t="s">
        <v>38074</v>
      </c>
      <c r="L5934" s="145" t="s">
        <v>38075</v>
      </c>
      <c r="M5934" s="143"/>
      <c r="N5934" s="12"/>
      <c r="O5934" s="12"/>
      <c r="P5934" s="13">
        <f>IFERROR(__xludf.DUMMYFUNCTION("VALUE(SUBSTITUTE((INDEX(SPLIT(A5934,"",""),1)),""."","","",1))"),52.55537)</f>
        <v>52.55537</v>
      </c>
      <c r="Q5934" s="13">
        <f>IFERROR(__xludf.DUMMYFUNCTION("VALUE(SUBSTITUTE((INDEX(SPLIT(A5934,"",""),2)),""."","","",1))"),85.297884)</f>
        <v>85.297884</v>
      </c>
      <c r="R5934" s="14" t="b">
        <f t="shared" si="1"/>
        <v>0</v>
      </c>
      <c r="S5934" s="14" t="str">
        <f t="shared" si="2"/>
        <v>52.55537,85.297884</v>
      </c>
      <c r="T5934" s="12"/>
    </row>
    <row r="5935">
      <c r="A5935" s="139" t="s">
        <v>15639</v>
      </c>
      <c r="B5935" s="140" t="s">
        <v>38076</v>
      </c>
      <c r="C5935" s="140" t="s">
        <v>38077</v>
      </c>
      <c r="D5935" s="140" t="s">
        <v>33342</v>
      </c>
      <c r="E5935" s="141" t="s">
        <v>38078</v>
      </c>
      <c r="F5935" s="139" t="s">
        <v>8566</v>
      </c>
      <c r="G5935" s="139" t="s">
        <v>33344</v>
      </c>
      <c r="H5935" s="139"/>
      <c r="I5935" s="140"/>
      <c r="J5935" s="140" t="s">
        <v>15643</v>
      </c>
      <c r="K5935" s="140" t="s">
        <v>38079</v>
      </c>
      <c r="L5935" s="140"/>
      <c r="M5935" s="140"/>
      <c r="N5935" s="12"/>
      <c r="O5935" s="12"/>
      <c r="P5935" s="13">
        <f>IFERROR(__xludf.DUMMYFUNCTION("VALUE(SUBSTITUTE((INDEX(SPLIT(A5935,"",""),1)),""."","","",1))"),45.397555)</f>
        <v>45.397555</v>
      </c>
      <c r="Q5935" s="13">
        <f>IFERROR(__xludf.DUMMYFUNCTION("VALUE(SUBSTITUTE((INDEX(SPLIT(A5935,"",""),2)),""."","","",1))"),40.703043)</f>
        <v>40.703043</v>
      </c>
      <c r="R5935" s="14" t="b">
        <f t="shared" si="1"/>
        <v>0</v>
      </c>
      <c r="S5935" s="14" t="str">
        <f t="shared" si="2"/>
        <v>45.397555,40.703043</v>
      </c>
      <c r="T5935" s="12"/>
    </row>
    <row r="5936">
      <c r="A5936" s="142" t="s">
        <v>38080</v>
      </c>
      <c r="B5936" s="143" t="s">
        <v>38081</v>
      </c>
      <c r="C5936" s="143" t="s">
        <v>38082</v>
      </c>
      <c r="D5936" s="143" t="s">
        <v>33342</v>
      </c>
      <c r="E5936" s="144" t="s">
        <v>38083</v>
      </c>
      <c r="F5936" s="142" t="s">
        <v>8566</v>
      </c>
      <c r="G5936" s="142" t="s">
        <v>33344</v>
      </c>
      <c r="H5936" s="142"/>
      <c r="I5936" s="143"/>
      <c r="J5936" s="143" t="s">
        <v>38084</v>
      </c>
      <c r="K5936" s="143" t="s">
        <v>38085</v>
      </c>
      <c r="L5936" s="145" t="s">
        <v>38086</v>
      </c>
      <c r="M5936" s="143"/>
      <c r="N5936" s="12"/>
      <c r="O5936" s="12"/>
      <c r="P5936" s="13">
        <f>IFERROR(__xludf.DUMMYFUNCTION("VALUE(SUBSTITUTE((INDEX(SPLIT(A5936,"",""),1)),""."","","",1))"),44.62878)</f>
        <v>44.62878</v>
      </c>
      <c r="Q5936" s="13">
        <f>IFERROR(__xludf.DUMMYFUNCTION("VALUE(SUBSTITUTE((INDEX(SPLIT(A5936,"",""),2)),""."","","",1))"),40.082594)</f>
        <v>40.082594</v>
      </c>
      <c r="R5936" s="14" t="b">
        <f t="shared" si="1"/>
        <v>0</v>
      </c>
      <c r="S5936" s="14" t="str">
        <f t="shared" si="2"/>
        <v>44.62878,40.082594</v>
      </c>
      <c r="T5936" s="12"/>
    </row>
    <row r="5937">
      <c r="A5937" s="139" t="s">
        <v>38087</v>
      </c>
      <c r="B5937" s="140" t="s">
        <v>38088</v>
      </c>
      <c r="C5937" s="140" t="s">
        <v>38089</v>
      </c>
      <c r="D5937" s="140" t="s">
        <v>33342</v>
      </c>
      <c r="E5937" s="141" t="s">
        <v>38090</v>
      </c>
      <c r="F5937" s="139" t="s">
        <v>8566</v>
      </c>
      <c r="G5937" s="139" t="s">
        <v>33344</v>
      </c>
      <c r="H5937" s="139"/>
      <c r="I5937" s="140"/>
      <c r="J5937" s="140" t="s">
        <v>38091</v>
      </c>
      <c r="K5937" s="140" t="s">
        <v>38092</v>
      </c>
      <c r="L5937" s="140"/>
      <c r="M5937" s="140"/>
      <c r="N5937" s="12"/>
      <c r="O5937" s="12"/>
      <c r="P5937" s="13">
        <f>IFERROR(__xludf.DUMMYFUNCTION("VALUE(SUBSTITUTE((INDEX(SPLIT(A5937,"",""),1)),""."","","",1))"),44.962244)</f>
        <v>44.962244</v>
      </c>
      <c r="Q5937" s="13">
        <f>IFERROR(__xludf.DUMMYFUNCTION("VALUE(SUBSTITUTE((INDEX(SPLIT(A5937,"",""),2)),""."","","",1))"),37.316619)</f>
        <v>37.316619</v>
      </c>
      <c r="R5937" s="14" t="b">
        <f t="shared" si="1"/>
        <v>0</v>
      </c>
      <c r="S5937" s="14" t="str">
        <f t="shared" si="2"/>
        <v>44.962244,37.316619</v>
      </c>
      <c r="T5937" s="12"/>
    </row>
    <row r="5938">
      <c r="A5938" s="136" t="s">
        <v>38093</v>
      </c>
      <c r="B5938" s="137" t="s">
        <v>38094</v>
      </c>
      <c r="C5938" s="137" t="s">
        <v>38095</v>
      </c>
      <c r="D5938" s="137" t="s">
        <v>33342</v>
      </c>
      <c r="E5938" s="138" t="s">
        <v>38096</v>
      </c>
      <c r="F5938" s="136" t="s">
        <v>8566</v>
      </c>
      <c r="G5938" s="136" t="s">
        <v>33344</v>
      </c>
      <c r="H5938" s="136"/>
      <c r="I5938" s="137"/>
      <c r="J5938" s="137" t="s">
        <v>38097</v>
      </c>
      <c r="K5938" s="137" t="s">
        <v>38098</v>
      </c>
      <c r="L5938" s="137"/>
      <c r="M5938" s="153" t="s">
        <v>38099</v>
      </c>
      <c r="N5938" s="12"/>
      <c r="O5938" s="12"/>
      <c r="P5938" s="13">
        <f>IFERROR(__xludf.DUMMYFUNCTION("VALUE(SUBSTITUTE((INDEX(SPLIT(A5938,"",""),1)),""."","","",1))"),44.877454)</f>
        <v>44.877454</v>
      </c>
      <c r="Q5938" s="13">
        <f>IFERROR(__xludf.DUMMYFUNCTION("VALUE(SUBSTITUTE((INDEX(SPLIT(A5938,"",""),2)),""."","","",1))"),37.316691)</f>
        <v>37.316691</v>
      </c>
      <c r="R5938" s="14" t="b">
        <f t="shared" si="1"/>
        <v>0</v>
      </c>
      <c r="S5938" s="14" t="str">
        <f t="shared" si="2"/>
        <v>44.877454,37.316691</v>
      </c>
      <c r="T5938" s="12"/>
    </row>
    <row r="5939">
      <c r="A5939" s="139" t="s">
        <v>38100</v>
      </c>
      <c r="B5939" s="140" t="s">
        <v>38101</v>
      </c>
      <c r="C5939" s="140" t="s">
        <v>38102</v>
      </c>
      <c r="D5939" s="140" t="s">
        <v>33342</v>
      </c>
      <c r="E5939" s="141" t="s">
        <v>38103</v>
      </c>
      <c r="F5939" s="139" t="s">
        <v>8566</v>
      </c>
      <c r="G5939" s="139" t="s">
        <v>33344</v>
      </c>
      <c r="H5939" s="139"/>
      <c r="I5939" s="140"/>
      <c r="J5939" s="140" t="s">
        <v>38104</v>
      </c>
      <c r="K5939" s="140" t="s">
        <v>38105</v>
      </c>
      <c r="L5939" s="140"/>
      <c r="M5939" s="140"/>
      <c r="N5939" s="12"/>
      <c r="O5939" s="12"/>
      <c r="P5939" s="13">
        <f>IFERROR(__xludf.DUMMYFUNCTION("VALUE(SUBSTITUTE((INDEX(SPLIT(A5939,"",""),1)),""."","","",1))"),44.892289)</f>
        <v>44.892289</v>
      </c>
      <c r="Q5939" s="13">
        <f>IFERROR(__xludf.DUMMYFUNCTION("VALUE(SUBSTITUTE((INDEX(SPLIT(A5939,"",""),2)),""."","","",1))"),37.312828)</f>
        <v>37.312828</v>
      </c>
      <c r="R5939" s="14" t="b">
        <f t="shared" si="1"/>
        <v>0</v>
      </c>
      <c r="S5939" s="14" t="str">
        <f t="shared" si="2"/>
        <v>44.892289,37.312828</v>
      </c>
      <c r="T5939" s="12"/>
    </row>
    <row r="5940">
      <c r="A5940" s="142" t="s">
        <v>38106</v>
      </c>
      <c r="B5940" s="143" t="s">
        <v>38107</v>
      </c>
      <c r="C5940" s="143" t="s">
        <v>38107</v>
      </c>
      <c r="D5940" s="143" t="s">
        <v>33342</v>
      </c>
      <c r="E5940" s="144" t="s">
        <v>38108</v>
      </c>
      <c r="F5940" s="142" t="s">
        <v>8566</v>
      </c>
      <c r="G5940" s="142" t="s">
        <v>33344</v>
      </c>
      <c r="H5940" s="142"/>
      <c r="I5940" s="143"/>
      <c r="J5940" s="143" t="s">
        <v>38109</v>
      </c>
      <c r="K5940" s="143" t="s">
        <v>38110</v>
      </c>
      <c r="L5940" s="145" t="s">
        <v>38111</v>
      </c>
      <c r="M5940" s="143"/>
      <c r="N5940" s="12"/>
      <c r="O5940" s="12"/>
      <c r="P5940" s="13">
        <f>IFERROR(__xludf.DUMMYFUNCTION("VALUE(SUBSTITUTE((INDEX(SPLIT(A5940,"",""),1)),""."","","",1))"),45.007482)</f>
        <v>45.007482</v>
      </c>
      <c r="Q5940" s="13">
        <f>IFERROR(__xludf.DUMMYFUNCTION("VALUE(SUBSTITUTE((INDEX(SPLIT(A5940,"",""),2)),""."","","",1))"),41.127793)</f>
        <v>41.127793</v>
      </c>
      <c r="R5940" s="14" t="b">
        <f t="shared" si="1"/>
        <v>0</v>
      </c>
      <c r="S5940" s="14" t="str">
        <f t="shared" si="2"/>
        <v>45.007482,41.127793</v>
      </c>
      <c r="T5940" s="12"/>
    </row>
    <row r="5941">
      <c r="A5941" s="146" t="s">
        <v>16065</v>
      </c>
      <c r="B5941" s="147" t="s">
        <v>38112</v>
      </c>
      <c r="C5941" s="147" t="s">
        <v>38113</v>
      </c>
      <c r="D5941" s="147" t="s">
        <v>33342</v>
      </c>
      <c r="E5941" s="148" t="s">
        <v>38114</v>
      </c>
      <c r="F5941" s="146" t="s">
        <v>8566</v>
      </c>
      <c r="G5941" s="146" t="s">
        <v>33344</v>
      </c>
      <c r="H5941" s="146"/>
      <c r="I5941" s="147"/>
      <c r="J5941" s="147" t="s">
        <v>38115</v>
      </c>
      <c r="K5941" s="147" t="s">
        <v>38116</v>
      </c>
      <c r="L5941" s="149" t="s">
        <v>38117</v>
      </c>
      <c r="M5941" s="147"/>
      <c r="N5941" s="12"/>
      <c r="O5941" s="12"/>
      <c r="P5941" s="13">
        <f>IFERROR(__xludf.DUMMYFUNCTION("VALUE(SUBSTITUTE((INDEX(SPLIT(A5941,"",""),1)),""."","","",1))"),44.989987)</f>
        <v>44.989987</v>
      </c>
      <c r="Q5941" s="13">
        <f>IFERROR(__xludf.DUMMYFUNCTION("VALUE(SUBSTITUTE((INDEX(SPLIT(A5941,"",""),2)),""."","","",1))"),41.097754)</f>
        <v>41.097754</v>
      </c>
      <c r="R5941" s="14" t="b">
        <f t="shared" si="1"/>
        <v>0</v>
      </c>
      <c r="S5941" s="14" t="str">
        <f t="shared" si="2"/>
        <v>44.989987,41.097754</v>
      </c>
      <c r="T5941" s="12"/>
    </row>
    <row r="5942">
      <c r="A5942" s="142" t="s">
        <v>38118</v>
      </c>
      <c r="B5942" s="143" t="s">
        <v>38119</v>
      </c>
      <c r="C5942" s="143" t="s">
        <v>38120</v>
      </c>
      <c r="D5942" s="143" t="s">
        <v>33342</v>
      </c>
      <c r="E5942" s="144" t="s">
        <v>38121</v>
      </c>
      <c r="F5942" s="142" t="s">
        <v>8566</v>
      </c>
      <c r="G5942" s="142" t="s">
        <v>33344</v>
      </c>
      <c r="H5942" s="142"/>
      <c r="I5942" s="143"/>
      <c r="J5942" s="143" t="s">
        <v>38122</v>
      </c>
      <c r="K5942" s="143" t="s">
        <v>38123</v>
      </c>
      <c r="L5942" s="145" t="s">
        <v>38124</v>
      </c>
      <c r="M5942" s="145" t="s">
        <v>38125</v>
      </c>
      <c r="N5942" s="12"/>
      <c r="O5942" s="12"/>
      <c r="P5942" s="13">
        <f>IFERROR(__xludf.DUMMYFUNCTION("VALUE(SUBSTITUTE((INDEX(SPLIT(A5942,"",""),1)),""."","","",1))"),44.574003)</f>
        <v>44.574003</v>
      </c>
      <c r="Q5942" s="13">
        <f>IFERROR(__xludf.DUMMYFUNCTION("VALUE(SUBSTITUTE((INDEX(SPLIT(A5942,"",""),2)),""."","","",1))"),38.09306)</f>
        <v>38.09306</v>
      </c>
      <c r="R5942" s="14" t="b">
        <f t="shared" si="1"/>
        <v>0</v>
      </c>
      <c r="S5942" s="14" t="str">
        <f t="shared" si="2"/>
        <v>44.574003,38.09306</v>
      </c>
      <c r="T5942" s="12"/>
    </row>
    <row r="5943">
      <c r="A5943" s="139" t="s">
        <v>38126</v>
      </c>
      <c r="B5943" s="140" t="s">
        <v>38127</v>
      </c>
      <c r="C5943" s="140" t="s">
        <v>38128</v>
      </c>
      <c r="D5943" s="140" t="s">
        <v>33342</v>
      </c>
      <c r="E5943" s="141" t="s">
        <v>38129</v>
      </c>
      <c r="F5943" s="139" t="s">
        <v>8566</v>
      </c>
      <c r="G5943" s="139" t="s">
        <v>33344</v>
      </c>
      <c r="H5943" s="139"/>
      <c r="I5943" s="140"/>
      <c r="J5943" s="140" t="s">
        <v>38130</v>
      </c>
      <c r="K5943" s="140" t="s">
        <v>38131</v>
      </c>
      <c r="L5943" s="140"/>
      <c r="M5943" s="140"/>
      <c r="N5943" s="12"/>
      <c r="O5943" s="12"/>
      <c r="P5943" s="13">
        <f>IFERROR(__xludf.DUMMYFUNCTION("VALUE(SUBSTITUTE((INDEX(SPLIT(A5943,"",""),1)),""."","","",1))"),45.057492)</f>
        <v>45.057492</v>
      </c>
      <c r="Q5943" s="13">
        <f>IFERROR(__xludf.DUMMYFUNCTION("VALUE(SUBSTITUTE((INDEX(SPLIT(A5943,"",""),2)),""."","","",1))"),38.97384)</f>
        <v>38.97384</v>
      </c>
      <c r="R5943" s="14" t="b">
        <f t="shared" si="1"/>
        <v>0</v>
      </c>
      <c r="S5943" s="14" t="str">
        <f t="shared" si="2"/>
        <v>45.057492,38.97384</v>
      </c>
      <c r="T5943" s="12"/>
    </row>
    <row r="5944">
      <c r="A5944" s="142" t="s">
        <v>38132</v>
      </c>
      <c r="B5944" s="143" t="s">
        <v>38133</v>
      </c>
      <c r="C5944" s="143" t="s">
        <v>38134</v>
      </c>
      <c r="D5944" s="143" t="s">
        <v>33342</v>
      </c>
      <c r="E5944" s="144" t="s">
        <v>38135</v>
      </c>
      <c r="F5944" s="142" t="s">
        <v>8566</v>
      </c>
      <c r="G5944" s="142" t="s">
        <v>33344</v>
      </c>
      <c r="H5944" s="142"/>
      <c r="I5944" s="143"/>
      <c r="J5944" s="143" t="s">
        <v>38136</v>
      </c>
      <c r="K5944" s="143" t="s">
        <v>38137</v>
      </c>
      <c r="L5944" s="152" t="s">
        <v>38138</v>
      </c>
      <c r="M5944" s="143"/>
      <c r="N5944" s="12"/>
      <c r="O5944" s="12"/>
      <c r="P5944" s="13">
        <f>IFERROR(__xludf.DUMMYFUNCTION("VALUE(SUBSTITUTE((INDEX(SPLIT(A5944,"",""),1)),""."","","",1))"),45.038324)</f>
        <v>45.038324</v>
      </c>
      <c r="Q5944" s="13">
        <f>IFERROR(__xludf.DUMMYFUNCTION("VALUE(SUBSTITUTE((INDEX(SPLIT(A5944,"",""),2)),""."","","",1))"),38.974783)</f>
        <v>38.974783</v>
      </c>
      <c r="R5944" s="14" t="b">
        <f t="shared" si="1"/>
        <v>0</v>
      </c>
      <c r="S5944" s="14" t="str">
        <f t="shared" si="2"/>
        <v>45.038324,38.974783</v>
      </c>
      <c r="T5944" s="12"/>
    </row>
    <row r="5945">
      <c r="A5945" s="146" t="s">
        <v>38139</v>
      </c>
      <c r="B5945" s="147" t="s">
        <v>38140</v>
      </c>
      <c r="C5945" s="147" t="s">
        <v>38141</v>
      </c>
      <c r="D5945" s="147" t="s">
        <v>33342</v>
      </c>
      <c r="E5945" s="148" t="s">
        <v>38142</v>
      </c>
      <c r="F5945" s="146" t="s">
        <v>8566</v>
      </c>
      <c r="G5945" s="146" t="s">
        <v>33344</v>
      </c>
      <c r="H5945" s="146"/>
      <c r="I5945" s="147"/>
      <c r="J5945" s="147" t="s">
        <v>38143</v>
      </c>
      <c r="K5945" s="147" t="s">
        <v>38144</v>
      </c>
      <c r="L5945" s="149" t="s">
        <v>38145</v>
      </c>
      <c r="M5945" s="147"/>
      <c r="N5945" s="12"/>
      <c r="O5945" s="12"/>
      <c r="P5945" s="13">
        <f>IFERROR(__xludf.DUMMYFUNCTION("VALUE(SUBSTITUTE((INDEX(SPLIT(A5945,"",""),1)),""."","","",1))"),45.067812)</f>
        <v>45.067812</v>
      </c>
      <c r="Q5945" s="13">
        <f>IFERROR(__xludf.DUMMYFUNCTION("VALUE(SUBSTITUTE((INDEX(SPLIT(A5945,"",""),2)),""."","","",1))"),38.983173)</f>
        <v>38.983173</v>
      </c>
      <c r="R5945" s="14" t="b">
        <f t="shared" si="1"/>
        <v>0</v>
      </c>
      <c r="S5945" s="14" t="str">
        <f t="shared" si="2"/>
        <v>45.067812,38.983173</v>
      </c>
      <c r="T5945" s="12"/>
    </row>
    <row r="5946">
      <c r="A5946" s="142" t="s">
        <v>38146</v>
      </c>
      <c r="B5946" s="143" t="s">
        <v>38147</v>
      </c>
      <c r="C5946" s="143" t="s">
        <v>38148</v>
      </c>
      <c r="D5946" s="143" t="s">
        <v>33342</v>
      </c>
      <c r="E5946" s="144" t="s">
        <v>38149</v>
      </c>
      <c r="F5946" s="142" t="s">
        <v>8566</v>
      </c>
      <c r="G5946" s="142" t="s">
        <v>33344</v>
      </c>
      <c r="H5946" s="142"/>
      <c r="I5946" s="143"/>
      <c r="J5946" s="143" t="s">
        <v>38150</v>
      </c>
      <c r="K5946" s="143" t="s">
        <v>38151</v>
      </c>
      <c r="L5946" s="145" t="s">
        <v>38152</v>
      </c>
      <c r="M5946" s="145" t="s">
        <v>38153</v>
      </c>
      <c r="N5946" s="12"/>
      <c r="O5946" s="12"/>
      <c r="P5946" s="13">
        <f>IFERROR(__xludf.DUMMYFUNCTION("VALUE(SUBSTITUTE((INDEX(SPLIT(A5946,"",""),1)),""."","","",1))"),45.03084)</f>
        <v>45.03084</v>
      </c>
      <c r="Q5946" s="13">
        <f>IFERROR(__xludf.DUMMYFUNCTION("VALUE(SUBSTITUTE((INDEX(SPLIT(A5946,"",""),2)),""."","","",1))"),38.923974)</f>
        <v>38.923974</v>
      </c>
      <c r="R5946" s="14" t="b">
        <f t="shared" si="1"/>
        <v>0</v>
      </c>
      <c r="S5946" s="14" t="str">
        <f t="shared" si="2"/>
        <v>45.03084,38.923974</v>
      </c>
      <c r="T5946" s="12"/>
    </row>
    <row r="5947">
      <c r="A5947" s="146" t="s">
        <v>38154</v>
      </c>
      <c r="B5947" s="147" t="s">
        <v>38155</v>
      </c>
      <c r="C5947" s="147" t="s">
        <v>38156</v>
      </c>
      <c r="D5947" s="147" t="s">
        <v>33342</v>
      </c>
      <c r="E5947" s="148" t="s">
        <v>38157</v>
      </c>
      <c r="F5947" s="146" t="s">
        <v>8566</v>
      </c>
      <c r="G5947" s="146" t="s">
        <v>33344</v>
      </c>
      <c r="H5947" s="146"/>
      <c r="I5947" s="147"/>
      <c r="J5947" s="147" t="s">
        <v>38158</v>
      </c>
      <c r="K5947" s="147" t="s">
        <v>38159</v>
      </c>
      <c r="L5947" s="149" t="s">
        <v>38160</v>
      </c>
      <c r="M5947" s="147"/>
      <c r="N5947" s="12"/>
      <c r="O5947" s="12"/>
      <c r="P5947" s="13">
        <f>IFERROR(__xludf.DUMMYFUNCTION("VALUE(SUBSTITUTE((INDEX(SPLIT(A5947,"",""),1)),""."","","",1))"),45.019347)</f>
        <v>45.019347</v>
      </c>
      <c r="Q5947" s="13">
        <f>IFERROR(__xludf.DUMMYFUNCTION("VALUE(SUBSTITUTE((INDEX(SPLIT(A5947,"",""),2)),""."","","",1))"),39.065899)</f>
        <v>39.065899</v>
      </c>
      <c r="R5947" s="14" t="b">
        <f t="shared" si="1"/>
        <v>0</v>
      </c>
      <c r="S5947" s="14" t="str">
        <f t="shared" si="2"/>
        <v>45.019347,39.065899</v>
      </c>
      <c r="T5947" s="12"/>
    </row>
    <row r="5948">
      <c r="A5948" s="136" t="s">
        <v>38161</v>
      </c>
      <c r="B5948" s="137" t="s">
        <v>38162</v>
      </c>
      <c r="C5948" s="137" t="s">
        <v>38163</v>
      </c>
      <c r="D5948" s="137" t="s">
        <v>33342</v>
      </c>
      <c r="E5948" s="138" t="s">
        <v>38164</v>
      </c>
      <c r="F5948" s="136" t="s">
        <v>8566</v>
      </c>
      <c r="G5948" s="136" t="s">
        <v>33344</v>
      </c>
      <c r="H5948" s="136"/>
      <c r="I5948" s="137"/>
      <c r="J5948" s="137" t="s">
        <v>38165</v>
      </c>
      <c r="K5948" s="137" t="s">
        <v>38166</v>
      </c>
      <c r="L5948" s="137"/>
      <c r="M5948" s="137"/>
      <c r="N5948" s="12"/>
      <c r="O5948" s="12"/>
      <c r="P5948" s="13">
        <f>IFERROR(__xludf.DUMMYFUNCTION("VALUE(SUBSTITUTE((INDEX(SPLIT(A5948,"",""),1)),""."","","",1))"),45.011765)</f>
        <v>45.011765</v>
      </c>
      <c r="Q5948" s="13">
        <f>IFERROR(__xludf.DUMMYFUNCTION("VALUE(SUBSTITUTE((INDEX(SPLIT(A5948,"",""),2)),""."","","",1))"),38.992372)</f>
        <v>38.992372</v>
      </c>
      <c r="R5948" s="14" t="b">
        <f t="shared" si="1"/>
        <v>0</v>
      </c>
      <c r="S5948" s="14" t="str">
        <f t="shared" si="2"/>
        <v>45.011765,38.992372</v>
      </c>
      <c r="T5948" s="12"/>
    </row>
    <row r="5949">
      <c r="A5949" s="146" t="s">
        <v>38167</v>
      </c>
      <c r="B5949" s="147" t="s">
        <v>10304</v>
      </c>
      <c r="C5949" s="147" t="s">
        <v>38168</v>
      </c>
      <c r="D5949" s="147" t="s">
        <v>33342</v>
      </c>
      <c r="E5949" s="148" t="s">
        <v>38169</v>
      </c>
      <c r="F5949" s="146" t="s">
        <v>8566</v>
      </c>
      <c r="G5949" s="146" t="s">
        <v>33344</v>
      </c>
      <c r="H5949" s="146"/>
      <c r="I5949" s="147"/>
      <c r="J5949" s="147" t="s">
        <v>38170</v>
      </c>
      <c r="K5949" s="147" t="s">
        <v>38171</v>
      </c>
      <c r="L5949" s="150" t="s">
        <v>38172</v>
      </c>
      <c r="M5949" s="147"/>
      <c r="N5949" s="12"/>
      <c r="O5949" s="12"/>
      <c r="P5949" s="13">
        <f>IFERROR(__xludf.DUMMYFUNCTION("VALUE(SUBSTITUTE((INDEX(SPLIT(A5949,"",""),1)),""."","","",1))"),45.01432)</f>
        <v>45.01432</v>
      </c>
      <c r="Q5949" s="13">
        <f>IFERROR(__xludf.DUMMYFUNCTION("VALUE(SUBSTITUTE((INDEX(SPLIT(A5949,"",""),2)),""."","","",1))"),38.965971)</f>
        <v>38.965971</v>
      </c>
      <c r="R5949" s="14" t="b">
        <f t="shared" si="1"/>
        <v>0</v>
      </c>
      <c r="S5949" s="14" t="str">
        <f t="shared" si="2"/>
        <v>45.01432,38.965971</v>
      </c>
      <c r="T5949" s="12"/>
    </row>
    <row r="5950">
      <c r="A5950" s="142" t="s">
        <v>38173</v>
      </c>
      <c r="B5950" s="143" t="s">
        <v>27963</v>
      </c>
      <c r="C5950" s="143" t="s">
        <v>38174</v>
      </c>
      <c r="D5950" s="143" t="s">
        <v>33342</v>
      </c>
      <c r="E5950" s="144" t="s">
        <v>38175</v>
      </c>
      <c r="F5950" s="142" t="s">
        <v>8566</v>
      </c>
      <c r="G5950" s="142" t="s">
        <v>33344</v>
      </c>
      <c r="H5950" s="142"/>
      <c r="I5950" s="143"/>
      <c r="J5950" s="143" t="s">
        <v>38176</v>
      </c>
      <c r="K5950" s="143" t="s">
        <v>38177</v>
      </c>
      <c r="L5950" s="145" t="s">
        <v>38178</v>
      </c>
      <c r="M5950" s="143"/>
      <c r="N5950" s="12"/>
      <c r="O5950" s="12"/>
      <c r="P5950" s="13">
        <f>IFERROR(__xludf.DUMMYFUNCTION("VALUE(SUBSTITUTE((INDEX(SPLIT(A5950,"",""),1)),""."","","",1))"),45.044355)</f>
        <v>45.044355</v>
      </c>
      <c r="Q5950" s="13">
        <f>IFERROR(__xludf.DUMMYFUNCTION("VALUE(SUBSTITUTE((INDEX(SPLIT(A5950,"",""),2)),""."","","",1))"),38.981808)</f>
        <v>38.981808</v>
      </c>
      <c r="R5950" s="14" t="b">
        <f t="shared" si="1"/>
        <v>0</v>
      </c>
      <c r="S5950" s="14" t="str">
        <f t="shared" si="2"/>
        <v>45.044355,38.981808</v>
      </c>
      <c r="T5950" s="12"/>
    </row>
    <row r="5951">
      <c r="A5951" s="146" t="s">
        <v>38179</v>
      </c>
      <c r="B5951" s="147" t="s">
        <v>38180</v>
      </c>
      <c r="C5951" s="147" t="s">
        <v>38181</v>
      </c>
      <c r="D5951" s="147" t="s">
        <v>33342</v>
      </c>
      <c r="E5951" s="148" t="s">
        <v>38182</v>
      </c>
      <c r="F5951" s="146" t="s">
        <v>8566</v>
      </c>
      <c r="G5951" s="146" t="s">
        <v>33344</v>
      </c>
      <c r="H5951" s="146"/>
      <c r="I5951" s="147"/>
      <c r="J5951" s="147" t="s">
        <v>38183</v>
      </c>
      <c r="K5951" s="147" t="s">
        <v>38184</v>
      </c>
      <c r="L5951" s="149" t="s">
        <v>38185</v>
      </c>
      <c r="M5951" s="147"/>
      <c r="N5951" s="12"/>
      <c r="O5951" s="12"/>
      <c r="P5951" s="13">
        <f>IFERROR(__xludf.DUMMYFUNCTION("VALUE(SUBSTITUTE((INDEX(SPLIT(A5951,"",""),1)),""."","","",1))"),45.056091)</f>
        <v>45.056091</v>
      </c>
      <c r="Q5951" s="13">
        <f>IFERROR(__xludf.DUMMYFUNCTION("VALUE(SUBSTITUTE((INDEX(SPLIT(A5951,"",""),2)),""."","","",1))"),38.984835)</f>
        <v>38.984835</v>
      </c>
      <c r="R5951" s="14" t="b">
        <f t="shared" si="1"/>
        <v>0</v>
      </c>
      <c r="S5951" s="14" t="str">
        <f t="shared" si="2"/>
        <v>45.056091,38.984835</v>
      </c>
      <c r="T5951" s="12"/>
    </row>
    <row r="5952">
      <c r="A5952" s="142" t="s">
        <v>38186</v>
      </c>
      <c r="B5952" s="143" t="s">
        <v>38187</v>
      </c>
      <c r="C5952" s="143" t="s">
        <v>38188</v>
      </c>
      <c r="D5952" s="143" t="s">
        <v>33342</v>
      </c>
      <c r="E5952" s="144" t="s">
        <v>38189</v>
      </c>
      <c r="F5952" s="142" t="s">
        <v>8566</v>
      </c>
      <c r="G5952" s="142" t="s">
        <v>33344</v>
      </c>
      <c r="H5952" s="142"/>
      <c r="I5952" s="143"/>
      <c r="J5952" s="143" t="s">
        <v>38190</v>
      </c>
      <c r="K5952" s="143" t="s">
        <v>38191</v>
      </c>
      <c r="L5952" s="152" t="s">
        <v>38192</v>
      </c>
      <c r="M5952" s="143"/>
      <c r="N5952" s="12"/>
      <c r="O5952" s="12"/>
      <c r="P5952" s="13">
        <f>IFERROR(__xludf.DUMMYFUNCTION("VALUE(SUBSTITUTE((INDEX(SPLIT(A5952,"",""),1)),""."","","",1))"),45.060936)</f>
        <v>45.060936</v>
      </c>
      <c r="Q5952" s="13">
        <f>IFERROR(__xludf.DUMMYFUNCTION("VALUE(SUBSTITUTE((INDEX(SPLIT(A5952,"",""),2)),""."","","",1))"),39.001517)</f>
        <v>39.001517</v>
      </c>
      <c r="R5952" s="14" t="b">
        <f t="shared" si="1"/>
        <v>0</v>
      </c>
      <c r="S5952" s="14" t="str">
        <f t="shared" si="2"/>
        <v>45.060936,39.001517</v>
      </c>
      <c r="T5952" s="12"/>
    </row>
    <row r="5953">
      <c r="A5953" s="146" t="s">
        <v>38193</v>
      </c>
      <c r="B5953" s="147" t="s">
        <v>38194</v>
      </c>
      <c r="C5953" s="147" t="s">
        <v>38195</v>
      </c>
      <c r="D5953" s="147" t="s">
        <v>33342</v>
      </c>
      <c r="E5953" s="148" t="s">
        <v>38196</v>
      </c>
      <c r="F5953" s="146" t="s">
        <v>8566</v>
      </c>
      <c r="G5953" s="146" t="s">
        <v>33344</v>
      </c>
      <c r="H5953" s="146"/>
      <c r="I5953" s="147"/>
      <c r="J5953" s="147" t="s">
        <v>38197</v>
      </c>
      <c r="K5953" s="147" t="s">
        <v>38198</v>
      </c>
      <c r="L5953" s="150" t="s">
        <v>38199</v>
      </c>
      <c r="M5953" s="147"/>
      <c r="N5953" s="12"/>
      <c r="O5953" s="12"/>
      <c r="P5953" s="13">
        <f>IFERROR(__xludf.DUMMYFUNCTION("VALUE(SUBSTITUTE((INDEX(SPLIT(A5953,"",""),1)),""."","","",1))"),45.028011)</f>
        <v>45.028011</v>
      </c>
      <c r="Q5953" s="13">
        <f>IFERROR(__xludf.DUMMYFUNCTION("VALUE(SUBSTITUTE((INDEX(SPLIT(A5953,"",""),2)),""."","","",1))"),38.973247)</f>
        <v>38.973247</v>
      </c>
      <c r="R5953" s="14" t="b">
        <f t="shared" si="1"/>
        <v>0</v>
      </c>
      <c r="S5953" s="14" t="str">
        <f t="shared" si="2"/>
        <v>45.028011,38.973247</v>
      </c>
      <c r="T5953" s="12"/>
    </row>
    <row r="5954">
      <c r="A5954" s="142" t="s">
        <v>38200</v>
      </c>
      <c r="B5954" s="143" t="s">
        <v>38201</v>
      </c>
      <c r="C5954" s="143" t="s">
        <v>38202</v>
      </c>
      <c r="D5954" s="143" t="s">
        <v>33342</v>
      </c>
      <c r="E5954" s="144" t="s">
        <v>38203</v>
      </c>
      <c r="F5954" s="142" t="s">
        <v>8566</v>
      </c>
      <c r="G5954" s="142" t="s">
        <v>33344</v>
      </c>
      <c r="H5954" s="142"/>
      <c r="I5954" s="143"/>
      <c r="J5954" s="143" t="s">
        <v>38204</v>
      </c>
      <c r="K5954" s="143" t="s">
        <v>38205</v>
      </c>
      <c r="L5954" s="145" t="s">
        <v>38206</v>
      </c>
      <c r="M5954" s="143"/>
      <c r="N5954" s="12"/>
      <c r="O5954" s="12"/>
      <c r="P5954" s="13">
        <f>IFERROR(__xludf.DUMMYFUNCTION("VALUE(SUBSTITUTE((INDEX(SPLIT(A5954,"",""),1)),""."","","",1))"),45.047361)</f>
        <v>45.047361</v>
      </c>
      <c r="Q5954" s="13">
        <f>IFERROR(__xludf.DUMMYFUNCTION("VALUE(SUBSTITUTE((INDEX(SPLIT(A5954,"",""),2)),""."","","",1))"),38.99592)</f>
        <v>38.99592</v>
      </c>
      <c r="R5954" s="14" t="b">
        <f t="shared" si="1"/>
        <v>0</v>
      </c>
      <c r="S5954" s="14" t="str">
        <f t="shared" si="2"/>
        <v>45.047361,38.99592</v>
      </c>
      <c r="T5954" s="12"/>
    </row>
    <row r="5955">
      <c r="A5955" s="146" t="s">
        <v>38207</v>
      </c>
      <c r="B5955" s="147" t="s">
        <v>38208</v>
      </c>
      <c r="C5955" s="147" t="s">
        <v>38209</v>
      </c>
      <c r="D5955" s="147" t="s">
        <v>33342</v>
      </c>
      <c r="E5955" s="148" t="s">
        <v>38210</v>
      </c>
      <c r="F5955" s="146" t="s">
        <v>8566</v>
      </c>
      <c r="G5955" s="146" t="s">
        <v>33344</v>
      </c>
      <c r="H5955" s="146"/>
      <c r="I5955" s="147"/>
      <c r="J5955" s="147" t="s">
        <v>38211</v>
      </c>
      <c r="K5955" s="147" t="s">
        <v>38177</v>
      </c>
      <c r="L5955" s="149" t="s">
        <v>38212</v>
      </c>
      <c r="M5955" s="147"/>
      <c r="N5955" s="12"/>
      <c r="O5955" s="12"/>
      <c r="P5955" s="13">
        <f>IFERROR(__xludf.DUMMYFUNCTION("VALUE(SUBSTITUTE((INDEX(SPLIT(A5955,"",""),1)),""."","","",1))"),45.048546)</f>
        <v>45.048546</v>
      </c>
      <c r="Q5955" s="13">
        <f>IFERROR(__xludf.DUMMYFUNCTION("VALUE(SUBSTITUTE((INDEX(SPLIT(A5955,"",""),2)),""."","","",1))"),38.983209)</f>
        <v>38.983209</v>
      </c>
      <c r="R5955" s="14" t="b">
        <f t="shared" si="1"/>
        <v>0</v>
      </c>
      <c r="S5955" s="14" t="str">
        <f t="shared" si="2"/>
        <v>45.048546,38.983209</v>
      </c>
      <c r="T5955" s="12"/>
    </row>
    <row r="5956">
      <c r="A5956" s="136" t="s">
        <v>38213</v>
      </c>
      <c r="B5956" s="137" t="s">
        <v>38214</v>
      </c>
      <c r="C5956" s="137" t="s">
        <v>38215</v>
      </c>
      <c r="D5956" s="137" t="s">
        <v>33342</v>
      </c>
      <c r="E5956" s="138" t="s">
        <v>38216</v>
      </c>
      <c r="F5956" s="136" t="s">
        <v>8566</v>
      </c>
      <c r="G5956" s="136" t="s">
        <v>33344</v>
      </c>
      <c r="H5956" s="136"/>
      <c r="I5956" s="137"/>
      <c r="J5956" s="137" t="s">
        <v>38217</v>
      </c>
      <c r="K5956" s="137" t="s">
        <v>38218</v>
      </c>
      <c r="L5956" s="137"/>
      <c r="M5956" s="153" t="s">
        <v>38219</v>
      </c>
      <c r="N5956" s="12"/>
      <c r="O5956" s="12"/>
      <c r="P5956" s="13">
        <f>IFERROR(__xludf.DUMMYFUNCTION("VALUE(SUBSTITUTE((INDEX(SPLIT(A5956,"",""),1)),""."","","",1))"),45.072395)</f>
        <v>45.072395</v>
      </c>
      <c r="Q5956" s="13">
        <f>IFERROR(__xludf.DUMMYFUNCTION("VALUE(SUBSTITUTE((INDEX(SPLIT(A5956,"",""),2)),""."","","",1))"),38.970498)</f>
        <v>38.970498</v>
      </c>
      <c r="R5956" s="14" t="b">
        <f t="shared" si="1"/>
        <v>0</v>
      </c>
      <c r="S5956" s="14" t="str">
        <f t="shared" si="2"/>
        <v>45.072395,38.970498</v>
      </c>
      <c r="T5956" s="12"/>
    </row>
    <row r="5957">
      <c r="A5957" s="146" t="s">
        <v>38220</v>
      </c>
      <c r="B5957" s="147" t="s">
        <v>38221</v>
      </c>
      <c r="C5957" s="147" t="s">
        <v>38222</v>
      </c>
      <c r="D5957" s="147" t="s">
        <v>33342</v>
      </c>
      <c r="E5957" s="148" t="s">
        <v>38223</v>
      </c>
      <c r="F5957" s="146" t="s">
        <v>8566</v>
      </c>
      <c r="G5957" s="146" t="s">
        <v>33344</v>
      </c>
      <c r="H5957" s="146"/>
      <c r="I5957" s="147"/>
      <c r="J5957" s="147" t="s">
        <v>38224</v>
      </c>
      <c r="K5957" s="147" t="s">
        <v>38225</v>
      </c>
      <c r="L5957" s="149" t="s">
        <v>38226</v>
      </c>
      <c r="M5957" s="147"/>
      <c r="N5957" s="12"/>
      <c r="O5957" s="12"/>
      <c r="P5957" s="13">
        <f>IFERROR(__xludf.DUMMYFUNCTION("VALUE(SUBSTITUTE((INDEX(SPLIT(A5957,"",""),1)),""."","","",1))"),45.03177)</f>
        <v>45.03177</v>
      </c>
      <c r="Q5957" s="13">
        <f>IFERROR(__xludf.DUMMYFUNCTION("VALUE(SUBSTITUTE((INDEX(SPLIT(A5957,"",""),2)),""."","","",1))"),39.06651)</f>
        <v>39.06651</v>
      </c>
      <c r="R5957" s="14" t="b">
        <f t="shared" si="1"/>
        <v>0</v>
      </c>
      <c r="S5957" s="14" t="str">
        <f t="shared" si="2"/>
        <v>45.03177,39.06651</v>
      </c>
      <c r="T5957" s="12"/>
    </row>
    <row r="5958">
      <c r="A5958" s="142" t="s">
        <v>38227</v>
      </c>
      <c r="B5958" s="143" t="s">
        <v>38228</v>
      </c>
      <c r="C5958" s="143" t="s">
        <v>38229</v>
      </c>
      <c r="D5958" s="143" t="s">
        <v>33342</v>
      </c>
      <c r="E5958" s="144" t="s">
        <v>38230</v>
      </c>
      <c r="F5958" s="142" t="s">
        <v>8566</v>
      </c>
      <c r="G5958" s="142" t="s">
        <v>33344</v>
      </c>
      <c r="H5958" s="142"/>
      <c r="I5958" s="143"/>
      <c r="J5958" s="143" t="s">
        <v>38231</v>
      </c>
      <c r="K5958" s="143" t="s">
        <v>38232</v>
      </c>
      <c r="L5958" s="145" t="s">
        <v>38233</v>
      </c>
      <c r="M5958" s="143"/>
      <c r="N5958" s="12"/>
      <c r="O5958" s="12"/>
      <c r="P5958" s="13">
        <f>IFERROR(__xludf.DUMMYFUNCTION("VALUE(SUBSTITUTE((INDEX(SPLIT(A5958,"",""),1)),""."","","",1))"),45.024571)</f>
        <v>45.024571</v>
      </c>
      <c r="Q5958" s="13">
        <f>IFERROR(__xludf.DUMMYFUNCTION("VALUE(SUBSTITUTE((INDEX(SPLIT(A5958,"",""),2)),""."","","",1))"),38.991977)</f>
        <v>38.991977</v>
      </c>
      <c r="R5958" s="14" t="b">
        <f t="shared" si="1"/>
        <v>0</v>
      </c>
      <c r="S5958" s="14" t="str">
        <f t="shared" si="2"/>
        <v>45.024571,38.991977</v>
      </c>
      <c r="T5958" s="12"/>
    </row>
    <row r="5959">
      <c r="A5959" s="146" t="s">
        <v>13146</v>
      </c>
      <c r="B5959" s="147" t="s">
        <v>38234</v>
      </c>
      <c r="C5959" s="147" t="s">
        <v>38235</v>
      </c>
      <c r="D5959" s="147" t="s">
        <v>33342</v>
      </c>
      <c r="E5959" s="148" t="s">
        <v>38236</v>
      </c>
      <c r="F5959" s="146" t="s">
        <v>8566</v>
      </c>
      <c r="G5959" s="146" t="s">
        <v>33344</v>
      </c>
      <c r="H5959" s="146"/>
      <c r="I5959" s="147"/>
      <c r="J5959" s="147" t="s">
        <v>38237</v>
      </c>
      <c r="K5959" s="147" t="s">
        <v>38238</v>
      </c>
      <c r="L5959" s="149" t="s">
        <v>38239</v>
      </c>
      <c r="M5959" s="147"/>
      <c r="N5959" s="12"/>
      <c r="O5959" s="12"/>
      <c r="P5959" s="13">
        <f>IFERROR(__xludf.DUMMYFUNCTION("VALUE(SUBSTITUTE((INDEX(SPLIT(A5959,"",""),1)),""."","","",1))"),45.03547)</f>
        <v>45.03547</v>
      </c>
      <c r="Q5959" s="13">
        <f>IFERROR(__xludf.DUMMYFUNCTION("VALUE(SUBSTITUTE((INDEX(SPLIT(A5959,"",""),2)),""."","","",1))"),38.975313)</f>
        <v>38.975313</v>
      </c>
      <c r="R5959" s="14" t="b">
        <f t="shared" si="1"/>
        <v>0</v>
      </c>
      <c r="S5959" s="14" t="str">
        <f t="shared" si="2"/>
        <v>45.03547,38.975313</v>
      </c>
      <c r="T5959" s="12"/>
    </row>
    <row r="5960">
      <c r="A5960" s="142" t="s">
        <v>38240</v>
      </c>
      <c r="B5960" s="143" t="s">
        <v>38241</v>
      </c>
      <c r="C5960" s="143" t="s">
        <v>38242</v>
      </c>
      <c r="D5960" s="143" t="s">
        <v>33342</v>
      </c>
      <c r="E5960" s="144" t="s">
        <v>38243</v>
      </c>
      <c r="F5960" s="142" t="s">
        <v>8566</v>
      </c>
      <c r="G5960" s="142" t="s">
        <v>33344</v>
      </c>
      <c r="H5960" s="142"/>
      <c r="I5960" s="143"/>
      <c r="J5960" s="143" t="s">
        <v>38244</v>
      </c>
      <c r="K5960" s="143" t="s">
        <v>38245</v>
      </c>
      <c r="L5960" s="145" t="s">
        <v>38246</v>
      </c>
      <c r="M5960" s="143"/>
      <c r="N5960" s="12"/>
      <c r="O5960" s="12"/>
      <c r="P5960" s="13">
        <f>IFERROR(__xludf.DUMMYFUNCTION("VALUE(SUBSTITUTE((INDEX(SPLIT(A5960,"",""),1)),""."","","",1))"),45.04789)</f>
        <v>45.04789</v>
      </c>
      <c r="Q5960" s="13">
        <f>IFERROR(__xludf.DUMMYFUNCTION("VALUE(SUBSTITUTE((INDEX(SPLIT(A5960,"",""),2)),""."","","",1))"),38.979382)</f>
        <v>38.979382</v>
      </c>
      <c r="R5960" s="14" t="b">
        <f t="shared" si="1"/>
        <v>0</v>
      </c>
      <c r="S5960" s="14" t="str">
        <f t="shared" si="2"/>
        <v>45.04789,38.979382</v>
      </c>
      <c r="T5960" s="12"/>
    </row>
    <row r="5961">
      <c r="A5961" s="139" t="s">
        <v>38247</v>
      </c>
      <c r="B5961" s="140" t="s">
        <v>38248</v>
      </c>
      <c r="C5961" s="140" t="s">
        <v>38249</v>
      </c>
      <c r="D5961" s="140" t="s">
        <v>33342</v>
      </c>
      <c r="E5961" s="141" t="s">
        <v>38250</v>
      </c>
      <c r="F5961" s="139" t="s">
        <v>8566</v>
      </c>
      <c r="G5961" s="139" t="s">
        <v>33344</v>
      </c>
      <c r="H5961" s="139"/>
      <c r="I5961" s="140"/>
      <c r="J5961" s="140" t="s">
        <v>38251</v>
      </c>
      <c r="K5961" s="140" t="s">
        <v>38252</v>
      </c>
      <c r="L5961" s="140"/>
      <c r="M5961" s="154" t="s">
        <v>38253</v>
      </c>
      <c r="N5961" s="12"/>
      <c r="O5961" s="12"/>
      <c r="P5961" s="13">
        <f>IFERROR(__xludf.DUMMYFUNCTION("VALUE(SUBSTITUTE((INDEX(SPLIT(A5961,"",""),1)),""."","","",1))"),45.053035)</f>
        <v>45.053035</v>
      </c>
      <c r="Q5961" s="13">
        <f>IFERROR(__xludf.DUMMYFUNCTION("VALUE(SUBSTITUTE((INDEX(SPLIT(A5961,"",""),2)),""."","","",1))"),38.990153)</f>
        <v>38.990153</v>
      </c>
      <c r="R5961" s="14" t="b">
        <f t="shared" si="1"/>
        <v>0</v>
      </c>
      <c r="S5961" s="14" t="str">
        <f t="shared" si="2"/>
        <v>45.053035,38.990153</v>
      </c>
      <c r="T5961" s="12"/>
    </row>
    <row r="5962">
      <c r="A5962" s="142" t="s">
        <v>38254</v>
      </c>
      <c r="B5962" s="143" t="s">
        <v>38255</v>
      </c>
      <c r="C5962" s="143" t="s">
        <v>38256</v>
      </c>
      <c r="D5962" s="143" t="s">
        <v>33342</v>
      </c>
      <c r="E5962" s="144" t="s">
        <v>38257</v>
      </c>
      <c r="F5962" s="142" t="s">
        <v>8566</v>
      </c>
      <c r="G5962" s="142" t="s">
        <v>33344</v>
      </c>
      <c r="H5962" s="142"/>
      <c r="I5962" s="143"/>
      <c r="J5962" s="143" t="s">
        <v>38258</v>
      </c>
      <c r="K5962" s="143" t="s">
        <v>38259</v>
      </c>
      <c r="L5962" s="145" t="s">
        <v>38260</v>
      </c>
      <c r="M5962" s="143"/>
      <c r="N5962" s="12"/>
      <c r="O5962" s="12"/>
      <c r="P5962" s="13">
        <f>IFERROR(__xludf.DUMMYFUNCTION("VALUE(SUBSTITUTE((INDEX(SPLIT(A5962,"",""),1)),""."","","",1))"),45.062159)</f>
        <v>45.062159</v>
      </c>
      <c r="Q5962" s="13">
        <f>IFERROR(__xludf.DUMMYFUNCTION("VALUE(SUBSTITUTE((INDEX(SPLIT(A5962,"",""),2)),""."","","",1))"),39.004886)</f>
        <v>39.004886</v>
      </c>
      <c r="R5962" s="14" t="b">
        <f t="shared" si="1"/>
        <v>0</v>
      </c>
      <c r="S5962" s="14" t="str">
        <f t="shared" si="2"/>
        <v>45.062159,39.004886</v>
      </c>
      <c r="T5962" s="12"/>
    </row>
    <row r="5963">
      <c r="A5963" s="146" t="s">
        <v>38261</v>
      </c>
      <c r="B5963" s="147" t="s">
        <v>38262</v>
      </c>
      <c r="C5963" s="147" t="s">
        <v>38263</v>
      </c>
      <c r="D5963" s="147" t="s">
        <v>33342</v>
      </c>
      <c r="E5963" s="148" t="s">
        <v>38264</v>
      </c>
      <c r="F5963" s="146" t="s">
        <v>8566</v>
      </c>
      <c r="G5963" s="146" t="s">
        <v>33344</v>
      </c>
      <c r="H5963" s="146"/>
      <c r="I5963" s="147"/>
      <c r="J5963" s="147" t="s">
        <v>38265</v>
      </c>
      <c r="K5963" s="147" t="s">
        <v>38266</v>
      </c>
      <c r="L5963" s="149" t="s">
        <v>38267</v>
      </c>
      <c r="M5963" s="149" t="s">
        <v>29897</v>
      </c>
      <c r="N5963" s="12"/>
      <c r="O5963" s="12"/>
      <c r="P5963" s="13">
        <f>IFERROR(__xludf.DUMMYFUNCTION("VALUE(SUBSTITUTE((INDEX(SPLIT(A5963,"",""),1)),""."","","",1))"),45.070912)</f>
        <v>45.070912</v>
      </c>
      <c r="Q5963" s="13">
        <f>IFERROR(__xludf.DUMMYFUNCTION("VALUE(SUBSTITUTE((INDEX(SPLIT(A5963,"",""),2)),""."","","",1))"),39.000367)</f>
        <v>39.000367</v>
      </c>
      <c r="R5963" s="14" t="b">
        <f t="shared" si="1"/>
        <v>0</v>
      </c>
      <c r="S5963" s="14" t="str">
        <f t="shared" si="2"/>
        <v>45.070912,39.000367</v>
      </c>
      <c r="T5963" s="12"/>
    </row>
    <row r="5964">
      <c r="A5964" s="136" t="s">
        <v>38268</v>
      </c>
      <c r="B5964" s="137" t="s">
        <v>38269</v>
      </c>
      <c r="C5964" s="137" t="s">
        <v>38270</v>
      </c>
      <c r="D5964" s="137" t="s">
        <v>33342</v>
      </c>
      <c r="E5964" s="138" t="s">
        <v>38271</v>
      </c>
      <c r="F5964" s="136" t="s">
        <v>8566</v>
      </c>
      <c r="G5964" s="136" t="s">
        <v>33344</v>
      </c>
      <c r="H5964" s="136"/>
      <c r="I5964" s="137"/>
      <c r="J5964" s="137" t="s">
        <v>38272</v>
      </c>
      <c r="K5964" s="137" t="s">
        <v>38273</v>
      </c>
      <c r="L5964" s="137"/>
      <c r="M5964" s="137"/>
      <c r="N5964" s="12"/>
      <c r="O5964" s="12"/>
      <c r="P5964" s="13">
        <f>IFERROR(__xludf.DUMMYFUNCTION("VALUE(SUBSTITUTE((INDEX(SPLIT(A5964,"",""),1)),""."","","",1))"),44.854404)</f>
        <v>44.854404</v>
      </c>
      <c r="Q5964" s="13">
        <f>IFERROR(__xludf.DUMMYFUNCTION("VALUE(SUBSTITUTE((INDEX(SPLIT(A5964,"",""),2)),""."","","",1))"),38.590708)</f>
        <v>38.590708</v>
      </c>
      <c r="R5964" s="14" t="b">
        <f t="shared" si="1"/>
        <v>0</v>
      </c>
      <c r="S5964" s="14" t="str">
        <f t="shared" si="2"/>
        <v>44.854404,38.590708</v>
      </c>
      <c r="T5964" s="12"/>
    </row>
    <row r="5965">
      <c r="A5965" s="139" t="s">
        <v>38274</v>
      </c>
      <c r="B5965" s="140" t="s">
        <v>38275</v>
      </c>
      <c r="C5965" s="140" t="s">
        <v>38276</v>
      </c>
      <c r="D5965" s="140" t="s">
        <v>33342</v>
      </c>
      <c r="E5965" s="141" t="s">
        <v>38277</v>
      </c>
      <c r="F5965" s="139" t="s">
        <v>8566</v>
      </c>
      <c r="G5965" s="139" t="s">
        <v>33344</v>
      </c>
      <c r="H5965" s="139"/>
      <c r="I5965" s="140"/>
      <c r="J5965" s="140" t="s">
        <v>38278</v>
      </c>
      <c r="K5965" s="140" t="s">
        <v>38279</v>
      </c>
      <c r="L5965" s="140"/>
      <c r="M5965" s="154" t="s">
        <v>38280</v>
      </c>
      <c r="N5965" s="12"/>
      <c r="O5965" s="12"/>
      <c r="P5965" s="13">
        <f>IFERROR(__xludf.DUMMYFUNCTION("VALUE(SUBSTITUTE((INDEX(SPLIT(A5965,"",""),1)),""."","","",1))"),45.07209)</f>
        <v>45.07209</v>
      </c>
      <c r="Q5965" s="13">
        <f>IFERROR(__xludf.DUMMYFUNCTION("VALUE(SUBSTITUTE((INDEX(SPLIT(A5965,"",""),2)),""."","","",1))"),38.929158)</f>
        <v>38.929158</v>
      </c>
      <c r="R5965" s="14" t="b">
        <f t="shared" si="1"/>
        <v>0</v>
      </c>
      <c r="S5965" s="14" t="str">
        <f t="shared" si="2"/>
        <v>45.07209,38.929158</v>
      </c>
      <c r="T5965" s="12"/>
    </row>
    <row r="5966">
      <c r="A5966" s="142" t="s">
        <v>38281</v>
      </c>
      <c r="B5966" s="143" t="s">
        <v>38282</v>
      </c>
      <c r="C5966" s="143" t="s">
        <v>38283</v>
      </c>
      <c r="D5966" s="143" t="s">
        <v>33342</v>
      </c>
      <c r="E5966" s="144" t="s">
        <v>38284</v>
      </c>
      <c r="F5966" s="142" t="s">
        <v>8566</v>
      </c>
      <c r="G5966" s="142" t="s">
        <v>33344</v>
      </c>
      <c r="H5966" s="142"/>
      <c r="I5966" s="143"/>
      <c r="J5966" s="143" t="s">
        <v>38285</v>
      </c>
      <c r="K5966" s="143" t="s">
        <v>38286</v>
      </c>
      <c r="L5966" s="152" t="s">
        <v>38287</v>
      </c>
      <c r="M5966" s="143"/>
      <c r="N5966" s="12"/>
      <c r="O5966" s="12"/>
      <c r="P5966" s="13">
        <f>IFERROR(__xludf.DUMMYFUNCTION("VALUE(SUBSTITUTE((INDEX(SPLIT(A5966,"",""),1)),""."","","",1))"),45.061821)</f>
        <v>45.061821</v>
      </c>
      <c r="Q5966" s="13">
        <f>IFERROR(__xludf.DUMMYFUNCTION("VALUE(SUBSTITUTE((INDEX(SPLIT(A5966,"",""),2)),""."","","",1))"),38.937287)</f>
        <v>38.937287</v>
      </c>
      <c r="R5966" s="14" t="b">
        <f t="shared" si="1"/>
        <v>0</v>
      </c>
      <c r="S5966" s="14" t="str">
        <f t="shared" si="2"/>
        <v>45.061821,38.937287</v>
      </c>
      <c r="T5966" s="12"/>
    </row>
    <row r="5967">
      <c r="A5967" s="146" t="s">
        <v>38288</v>
      </c>
      <c r="B5967" s="147" t="s">
        <v>38289</v>
      </c>
      <c r="C5967" s="147" t="s">
        <v>38290</v>
      </c>
      <c r="D5967" s="147" t="s">
        <v>33342</v>
      </c>
      <c r="E5967" s="148" t="s">
        <v>38291</v>
      </c>
      <c r="F5967" s="146" t="s">
        <v>8566</v>
      </c>
      <c r="G5967" s="146" t="s">
        <v>33344</v>
      </c>
      <c r="H5967" s="146"/>
      <c r="I5967" s="147"/>
      <c r="J5967" s="147" t="s">
        <v>38292</v>
      </c>
      <c r="K5967" s="147" t="s">
        <v>38293</v>
      </c>
      <c r="L5967" s="149" t="s">
        <v>38294</v>
      </c>
      <c r="M5967" s="147"/>
      <c r="N5967" s="12"/>
      <c r="O5967" s="12"/>
      <c r="P5967" s="13">
        <f>IFERROR(__xludf.DUMMYFUNCTION("VALUE(SUBSTITUTE((INDEX(SPLIT(A5967,"",""),1)),""."","","",1))"),45.106688)</f>
        <v>45.106688</v>
      </c>
      <c r="Q5967" s="13">
        <f>IFERROR(__xludf.DUMMYFUNCTION("VALUE(SUBSTITUTE((INDEX(SPLIT(A5967,"",""),2)),""."","","",1))"),38.960868)</f>
        <v>38.960868</v>
      </c>
      <c r="R5967" s="14" t="b">
        <f t="shared" si="1"/>
        <v>0</v>
      </c>
      <c r="S5967" s="14" t="str">
        <f t="shared" si="2"/>
        <v>45.106688,38.960868</v>
      </c>
      <c r="T5967" s="12"/>
    </row>
    <row r="5968">
      <c r="A5968" s="142" t="s">
        <v>38295</v>
      </c>
      <c r="B5968" s="143" t="s">
        <v>38296</v>
      </c>
      <c r="C5968" s="143" t="s">
        <v>38297</v>
      </c>
      <c r="D5968" s="143" t="s">
        <v>33342</v>
      </c>
      <c r="E5968" s="144" t="s">
        <v>38298</v>
      </c>
      <c r="F5968" s="142" t="s">
        <v>8566</v>
      </c>
      <c r="G5968" s="142" t="s">
        <v>33344</v>
      </c>
      <c r="H5968" s="142"/>
      <c r="I5968" s="143"/>
      <c r="J5968" s="143" t="s">
        <v>38299</v>
      </c>
      <c r="K5968" s="143" t="s">
        <v>38300</v>
      </c>
      <c r="L5968" s="145" t="s">
        <v>38301</v>
      </c>
      <c r="M5968" s="145" t="s">
        <v>38302</v>
      </c>
      <c r="N5968" s="12"/>
      <c r="O5968" s="12"/>
      <c r="P5968" s="13">
        <f>IFERROR(__xludf.DUMMYFUNCTION("VALUE(SUBSTITUTE((INDEX(SPLIT(A5968,"",""),1)),""."","","",1))"),45.107565)</f>
        <v>45.107565</v>
      </c>
      <c r="Q5968" s="13">
        <f>IFERROR(__xludf.DUMMYFUNCTION("VALUE(SUBSTITUTE((INDEX(SPLIT(A5968,"",""),2)),""."","","",1))"),38.930793)</f>
        <v>38.930793</v>
      </c>
      <c r="R5968" s="14" t="b">
        <f t="shared" si="1"/>
        <v>0</v>
      </c>
      <c r="S5968" s="14" t="str">
        <f t="shared" si="2"/>
        <v>45.107565,38.930793</v>
      </c>
      <c r="T5968" s="12"/>
    </row>
    <row r="5969">
      <c r="A5969" s="146" t="s">
        <v>38303</v>
      </c>
      <c r="B5969" s="147" t="s">
        <v>38304</v>
      </c>
      <c r="C5969" s="147" t="s">
        <v>38305</v>
      </c>
      <c r="D5969" s="147" t="s">
        <v>33342</v>
      </c>
      <c r="E5969" s="148" t="s">
        <v>38306</v>
      </c>
      <c r="F5969" s="146" t="s">
        <v>8566</v>
      </c>
      <c r="G5969" s="146" t="s">
        <v>33344</v>
      </c>
      <c r="H5969" s="146"/>
      <c r="I5969" s="147"/>
      <c r="J5969" s="147" t="s">
        <v>38307</v>
      </c>
      <c r="K5969" s="147" t="s">
        <v>38308</v>
      </c>
      <c r="L5969" s="149" t="s">
        <v>38309</v>
      </c>
      <c r="M5969" s="149" t="s">
        <v>38310</v>
      </c>
      <c r="N5969" s="12"/>
      <c r="O5969" s="12"/>
      <c r="P5969" s="13">
        <f>IFERROR(__xludf.DUMMYFUNCTION("VALUE(SUBSTITUTE((INDEX(SPLIT(A5969,"",""),1)),""."","","",1))"),45.063712)</f>
        <v>45.063712</v>
      </c>
      <c r="Q5969" s="13">
        <f>IFERROR(__xludf.DUMMYFUNCTION("VALUE(SUBSTITUTE((INDEX(SPLIT(A5969,"",""),2)),""."","","",1))"),38.899253)</f>
        <v>38.899253</v>
      </c>
      <c r="R5969" s="14" t="b">
        <f t="shared" si="1"/>
        <v>0</v>
      </c>
      <c r="S5969" s="14" t="str">
        <f t="shared" si="2"/>
        <v>45.063712,38.899253</v>
      </c>
      <c r="T5969" s="12"/>
    </row>
    <row r="5970">
      <c r="A5970" s="142" t="s">
        <v>38311</v>
      </c>
      <c r="B5970" s="143" t="s">
        <v>38312</v>
      </c>
      <c r="C5970" s="143" t="s">
        <v>38313</v>
      </c>
      <c r="D5970" s="143" t="s">
        <v>33342</v>
      </c>
      <c r="E5970" s="144" t="s">
        <v>38314</v>
      </c>
      <c r="F5970" s="142" t="s">
        <v>8566</v>
      </c>
      <c r="G5970" s="142" t="s">
        <v>33344</v>
      </c>
      <c r="H5970" s="142"/>
      <c r="I5970" s="143"/>
      <c r="J5970" s="143" t="s">
        <v>38315</v>
      </c>
      <c r="K5970" s="143" t="s">
        <v>38316</v>
      </c>
      <c r="L5970" s="145" t="s">
        <v>38317</v>
      </c>
      <c r="M5970" s="143"/>
      <c r="N5970" s="12"/>
      <c r="O5970" s="12"/>
      <c r="P5970" s="13">
        <f>IFERROR(__xludf.DUMMYFUNCTION("VALUE(SUBSTITUTE((INDEX(SPLIT(A5970,"",""),1)),""."","","",1))"),44.956377)</f>
        <v>44.956377</v>
      </c>
      <c r="Q5970" s="13">
        <f>IFERROR(__xludf.DUMMYFUNCTION("VALUE(SUBSTITUTE((INDEX(SPLIT(A5970,"",""),2)),""."","","",1))"),37.319529)</f>
        <v>37.319529</v>
      </c>
      <c r="R5970" s="14" t="b">
        <f t="shared" si="1"/>
        <v>0</v>
      </c>
      <c r="S5970" s="14" t="str">
        <f t="shared" si="2"/>
        <v>44.956377,37.319529</v>
      </c>
      <c r="T5970" s="12"/>
    </row>
    <row r="5971">
      <c r="A5971" s="139" t="s">
        <v>38318</v>
      </c>
      <c r="B5971" s="140" t="s">
        <v>38319</v>
      </c>
      <c r="C5971" s="140" t="s">
        <v>38320</v>
      </c>
      <c r="D5971" s="140" t="s">
        <v>33342</v>
      </c>
      <c r="E5971" s="141" t="s">
        <v>38321</v>
      </c>
      <c r="F5971" s="139" t="s">
        <v>8566</v>
      </c>
      <c r="G5971" s="139" t="s">
        <v>33344</v>
      </c>
      <c r="H5971" s="139"/>
      <c r="I5971" s="140"/>
      <c r="J5971" s="140" t="s">
        <v>38322</v>
      </c>
      <c r="K5971" s="140" t="s">
        <v>38323</v>
      </c>
      <c r="L5971" s="140"/>
      <c r="M5971" s="140"/>
      <c r="N5971" s="12"/>
      <c r="O5971" s="12"/>
      <c r="P5971" s="13">
        <f>IFERROR(__xludf.DUMMYFUNCTION("VALUE(SUBSTITUTE((INDEX(SPLIT(A5971,"",""),1)),""."","","",1))"),46.130067)</f>
        <v>46.130067</v>
      </c>
      <c r="Q5971" s="13">
        <f>IFERROR(__xludf.DUMMYFUNCTION("VALUE(SUBSTITUTE((INDEX(SPLIT(A5971,"",""),2)),""."","","",1))"),38.97463)</f>
        <v>38.97463</v>
      </c>
      <c r="R5971" s="14" t="b">
        <f t="shared" si="1"/>
        <v>0</v>
      </c>
      <c r="S5971" s="14" t="str">
        <f t="shared" si="2"/>
        <v>46.130067,38.97463</v>
      </c>
      <c r="T5971" s="12"/>
    </row>
    <row r="5972">
      <c r="A5972" s="142" t="s">
        <v>38324</v>
      </c>
      <c r="B5972" s="143" t="s">
        <v>38325</v>
      </c>
      <c r="C5972" s="143" t="s">
        <v>38326</v>
      </c>
      <c r="D5972" s="143" t="s">
        <v>33342</v>
      </c>
      <c r="E5972" s="144" t="s">
        <v>38327</v>
      </c>
      <c r="F5972" s="142" t="s">
        <v>8566</v>
      </c>
      <c r="G5972" s="142" t="s">
        <v>33344</v>
      </c>
      <c r="H5972" s="142"/>
      <c r="I5972" s="143"/>
      <c r="J5972" s="143" t="s">
        <v>38328</v>
      </c>
      <c r="K5972" s="143" t="s">
        <v>38329</v>
      </c>
      <c r="L5972" s="145" t="s">
        <v>38330</v>
      </c>
      <c r="M5972" s="143"/>
      <c r="N5972" s="12"/>
      <c r="O5972" s="12"/>
      <c r="P5972" s="13">
        <f>IFERROR(__xludf.DUMMYFUNCTION("VALUE(SUBSTITUTE((INDEX(SPLIT(A5972,"",""),1)),""."","","",1))"),45.051347)</f>
        <v>45.051347</v>
      </c>
      <c r="Q5972" s="13">
        <f>IFERROR(__xludf.DUMMYFUNCTION("VALUE(SUBSTITUTE((INDEX(SPLIT(A5972,"",""),2)),""."","","",1))"),38.86314)</f>
        <v>38.86314</v>
      </c>
      <c r="R5972" s="14" t="b">
        <f t="shared" si="1"/>
        <v>0</v>
      </c>
      <c r="S5972" s="14" t="str">
        <f t="shared" si="2"/>
        <v>45.051347,38.86314</v>
      </c>
      <c r="T5972" s="12"/>
    </row>
    <row r="5973">
      <c r="A5973" s="146" t="s">
        <v>38331</v>
      </c>
      <c r="B5973" s="147" t="s">
        <v>38332</v>
      </c>
      <c r="C5973" s="147" t="s">
        <v>38333</v>
      </c>
      <c r="D5973" s="147" t="s">
        <v>33342</v>
      </c>
      <c r="E5973" s="148" t="s">
        <v>38334</v>
      </c>
      <c r="F5973" s="146" t="s">
        <v>8566</v>
      </c>
      <c r="G5973" s="146" t="s">
        <v>33344</v>
      </c>
      <c r="H5973" s="146"/>
      <c r="I5973" s="147"/>
      <c r="J5973" s="147" t="s">
        <v>38335</v>
      </c>
      <c r="K5973" s="147" t="s">
        <v>38336</v>
      </c>
      <c r="L5973" s="150" t="s">
        <v>38337</v>
      </c>
      <c r="M5973" s="147"/>
      <c r="N5973" s="12"/>
      <c r="O5973" s="12"/>
      <c r="P5973" s="13">
        <f>IFERROR(__xludf.DUMMYFUNCTION("VALUE(SUBSTITUTE((INDEX(SPLIT(A5973,"",""),1)),""."","","",1))"),44.990216)</f>
        <v>44.990216</v>
      </c>
      <c r="Q5973" s="13">
        <f>IFERROR(__xludf.DUMMYFUNCTION("VALUE(SUBSTITUTE((INDEX(SPLIT(A5973,"",""),2)),""."","","",1))"),39.068944)</f>
        <v>39.068944</v>
      </c>
      <c r="R5973" s="14" t="b">
        <f t="shared" si="1"/>
        <v>0</v>
      </c>
      <c r="S5973" s="14" t="str">
        <f t="shared" si="2"/>
        <v>44.990216,39.068944</v>
      </c>
      <c r="T5973" s="12"/>
    </row>
    <row r="5974">
      <c r="A5974" s="142" t="s">
        <v>38338</v>
      </c>
      <c r="B5974" s="143" t="s">
        <v>38339</v>
      </c>
      <c r="C5974" s="143" t="s">
        <v>38340</v>
      </c>
      <c r="D5974" s="143" t="s">
        <v>33342</v>
      </c>
      <c r="E5974" s="144" t="s">
        <v>38341</v>
      </c>
      <c r="F5974" s="142" t="s">
        <v>8566</v>
      </c>
      <c r="G5974" s="142" t="s">
        <v>33344</v>
      </c>
      <c r="H5974" s="142"/>
      <c r="I5974" s="143"/>
      <c r="J5974" s="143" t="s">
        <v>38342</v>
      </c>
      <c r="K5974" s="143" t="s">
        <v>38343</v>
      </c>
      <c r="L5974" s="145" t="s">
        <v>38344</v>
      </c>
      <c r="M5974" s="143"/>
      <c r="N5974" s="12"/>
      <c r="O5974" s="12"/>
      <c r="P5974" s="13">
        <f>IFERROR(__xludf.DUMMYFUNCTION("VALUE(SUBSTITUTE((INDEX(SPLIT(A5974,"",""),1)),""."","","",1))"),45.10233)</f>
        <v>45.10233</v>
      </c>
      <c r="Q5974" s="13">
        <f>IFERROR(__xludf.DUMMYFUNCTION("VALUE(SUBSTITUTE((INDEX(SPLIT(A5974,"",""),2)),""."","","",1))"),38.976328)</f>
        <v>38.976328</v>
      </c>
      <c r="R5974" s="14" t="b">
        <f t="shared" si="1"/>
        <v>0</v>
      </c>
      <c r="S5974" s="14" t="str">
        <f t="shared" si="2"/>
        <v>45.10233,38.976328</v>
      </c>
      <c r="T5974" s="12"/>
    </row>
    <row r="5975">
      <c r="A5975" s="146" t="s">
        <v>38345</v>
      </c>
      <c r="B5975" s="147" t="s">
        <v>38346</v>
      </c>
      <c r="C5975" s="147" t="s">
        <v>38347</v>
      </c>
      <c r="D5975" s="147" t="s">
        <v>33342</v>
      </c>
      <c r="E5975" s="148" t="s">
        <v>38348</v>
      </c>
      <c r="F5975" s="146" t="s">
        <v>8566</v>
      </c>
      <c r="G5975" s="146" t="s">
        <v>33344</v>
      </c>
      <c r="H5975" s="146"/>
      <c r="I5975" s="147"/>
      <c r="J5975" s="147" t="s">
        <v>38349</v>
      </c>
      <c r="K5975" s="147" t="s">
        <v>38350</v>
      </c>
      <c r="L5975" s="149" t="s">
        <v>38351</v>
      </c>
      <c r="M5975" s="147"/>
      <c r="N5975" s="12"/>
      <c r="O5975" s="12"/>
      <c r="P5975" s="13">
        <f>IFERROR(__xludf.DUMMYFUNCTION("VALUE(SUBSTITUTE((INDEX(SPLIT(A5975,"",""),1)),""."","","",1))"),45.106694)</f>
        <v>45.106694</v>
      </c>
      <c r="Q5975" s="13">
        <f>IFERROR(__xludf.DUMMYFUNCTION("VALUE(SUBSTITUTE((INDEX(SPLIT(A5975,"",""),2)),""."","","",1))"),39.000619)</f>
        <v>39.000619</v>
      </c>
      <c r="R5975" s="14" t="b">
        <f t="shared" si="1"/>
        <v>0</v>
      </c>
      <c r="S5975" s="14" t="str">
        <f t="shared" si="2"/>
        <v>45.106694,39.000619</v>
      </c>
      <c r="T5975" s="12"/>
    </row>
    <row r="5976">
      <c r="A5976" s="136" t="s">
        <v>38352</v>
      </c>
      <c r="B5976" s="137" t="s">
        <v>38353</v>
      </c>
      <c r="C5976" s="137" t="s">
        <v>38354</v>
      </c>
      <c r="D5976" s="137" t="s">
        <v>33342</v>
      </c>
      <c r="E5976" s="138" t="s">
        <v>38355</v>
      </c>
      <c r="F5976" s="136" t="s">
        <v>8566</v>
      </c>
      <c r="G5976" s="136" t="s">
        <v>33344</v>
      </c>
      <c r="H5976" s="136"/>
      <c r="I5976" s="137"/>
      <c r="J5976" s="137" t="s">
        <v>38356</v>
      </c>
      <c r="K5976" s="137" t="s">
        <v>38357</v>
      </c>
      <c r="L5976" s="137"/>
      <c r="M5976" s="137"/>
      <c r="N5976" s="12"/>
      <c r="O5976" s="12"/>
      <c r="P5976" s="13">
        <f>IFERROR(__xludf.DUMMYFUNCTION("VALUE(SUBSTITUTE((INDEX(SPLIT(A5976,"",""),1)),""."","","",1))"),45.03977)</f>
        <v>45.03977</v>
      </c>
      <c r="Q5976" s="13">
        <f>IFERROR(__xludf.DUMMYFUNCTION("VALUE(SUBSTITUTE((INDEX(SPLIT(A5976,"",""),2)),""."","","",1))"),38.956116)</f>
        <v>38.956116</v>
      </c>
      <c r="R5976" s="14" t="b">
        <f t="shared" si="1"/>
        <v>0</v>
      </c>
      <c r="S5976" s="14" t="str">
        <f t="shared" si="2"/>
        <v>45.03977,38.956116</v>
      </c>
      <c r="T5976" s="12"/>
    </row>
    <row r="5977">
      <c r="A5977" s="146" t="s">
        <v>38358</v>
      </c>
      <c r="B5977" s="147" t="s">
        <v>38359</v>
      </c>
      <c r="C5977" s="147" t="s">
        <v>38360</v>
      </c>
      <c r="D5977" s="147" t="s">
        <v>33342</v>
      </c>
      <c r="E5977" s="148" t="s">
        <v>38361</v>
      </c>
      <c r="F5977" s="146" t="s">
        <v>8566</v>
      </c>
      <c r="G5977" s="146" t="s">
        <v>33344</v>
      </c>
      <c r="H5977" s="146"/>
      <c r="I5977" s="147"/>
      <c r="J5977" s="147" t="s">
        <v>38362</v>
      </c>
      <c r="K5977" s="147" t="s">
        <v>38363</v>
      </c>
      <c r="L5977" s="149" t="s">
        <v>38364</v>
      </c>
      <c r="M5977" s="147"/>
      <c r="N5977" s="12"/>
      <c r="O5977" s="12"/>
      <c r="P5977" s="13">
        <f>IFERROR(__xludf.DUMMYFUNCTION("VALUE(SUBSTITUTE((INDEX(SPLIT(A5977,"",""),1)),""."","","",1))"),45.118105)</f>
        <v>45.118105</v>
      </c>
      <c r="Q5977" s="13">
        <f>IFERROR(__xludf.DUMMYFUNCTION("VALUE(SUBSTITUTE((INDEX(SPLIT(A5977,"",""),2)),""."","","",1))"),39.359469)</f>
        <v>39.359469</v>
      </c>
      <c r="R5977" s="14" t="b">
        <f t="shared" si="1"/>
        <v>0</v>
      </c>
      <c r="S5977" s="14" t="str">
        <f t="shared" si="2"/>
        <v>45.118105,39.359469</v>
      </c>
      <c r="T5977" s="12"/>
    </row>
    <row r="5978">
      <c r="A5978" s="142" t="s">
        <v>38365</v>
      </c>
      <c r="B5978" s="143" t="s">
        <v>38366</v>
      </c>
      <c r="C5978" s="143" t="s">
        <v>38367</v>
      </c>
      <c r="D5978" s="143" t="s">
        <v>33342</v>
      </c>
      <c r="E5978" s="144" t="s">
        <v>38368</v>
      </c>
      <c r="F5978" s="142" t="s">
        <v>8566</v>
      </c>
      <c r="G5978" s="142" t="s">
        <v>33344</v>
      </c>
      <c r="H5978" s="142"/>
      <c r="I5978" s="143"/>
      <c r="J5978" s="143" t="s">
        <v>38369</v>
      </c>
      <c r="K5978" s="143" t="s">
        <v>38370</v>
      </c>
      <c r="L5978" s="145" t="s">
        <v>38371</v>
      </c>
      <c r="M5978" s="143"/>
      <c r="N5978" s="12"/>
      <c r="O5978" s="12"/>
      <c r="P5978" s="13">
        <f>IFERROR(__xludf.DUMMYFUNCTION("VALUE(SUBSTITUTE((INDEX(SPLIT(A5978,"",""),1)),""."","","",1))"),45.141932)</f>
        <v>45.141932</v>
      </c>
      <c r="Q5978" s="13">
        <f>IFERROR(__xludf.DUMMYFUNCTION("VALUE(SUBSTITUTE((INDEX(SPLIT(A5978,"",""),2)),""."","","",1))"),38.998651)</f>
        <v>38.998651</v>
      </c>
      <c r="R5978" s="14" t="b">
        <f t="shared" si="1"/>
        <v>0</v>
      </c>
      <c r="S5978" s="14" t="str">
        <f t="shared" si="2"/>
        <v>45.141932,38.998651</v>
      </c>
      <c r="T5978" s="12"/>
    </row>
    <row r="5979">
      <c r="A5979" s="146" t="s">
        <v>38372</v>
      </c>
      <c r="B5979" s="147" t="s">
        <v>38373</v>
      </c>
      <c r="C5979" s="147" t="s">
        <v>38374</v>
      </c>
      <c r="D5979" s="147" t="s">
        <v>33342</v>
      </c>
      <c r="E5979" s="148" t="s">
        <v>38375</v>
      </c>
      <c r="F5979" s="146" t="s">
        <v>8566</v>
      </c>
      <c r="G5979" s="146" t="s">
        <v>33344</v>
      </c>
      <c r="H5979" s="146"/>
      <c r="I5979" s="147"/>
      <c r="J5979" s="147" t="s">
        <v>38376</v>
      </c>
      <c r="K5979" s="147" t="s">
        <v>38377</v>
      </c>
      <c r="L5979" s="149" t="s">
        <v>38378</v>
      </c>
      <c r="M5979" s="147"/>
      <c r="N5979" s="12"/>
      <c r="O5979" s="12"/>
      <c r="P5979" s="13">
        <f>IFERROR(__xludf.DUMMYFUNCTION("VALUE(SUBSTITUTE((INDEX(SPLIT(A5979,"",""),1)),""."","","",1))"),45.046788)</f>
        <v>45.046788</v>
      </c>
      <c r="Q5979" s="13">
        <f>IFERROR(__xludf.DUMMYFUNCTION("VALUE(SUBSTITUTE((INDEX(SPLIT(A5979,"",""),2)),""."","","",1))"),39.027317)</f>
        <v>39.027317</v>
      </c>
      <c r="R5979" s="14" t="b">
        <f t="shared" si="1"/>
        <v>0</v>
      </c>
      <c r="S5979" s="14" t="str">
        <f t="shared" si="2"/>
        <v>45.046788,39.027317</v>
      </c>
      <c r="T5979" s="12"/>
    </row>
    <row r="5980">
      <c r="A5980" s="142" t="s">
        <v>38379</v>
      </c>
      <c r="B5980" s="143" t="s">
        <v>38380</v>
      </c>
      <c r="C5980" s="143" t="s">
        <v>38381</v>
      </c>
      <c r="D5980" s="143" t="s">
        <v>33342</v>
      </c>
      <c r="E5980" s="144" t="s">
        <v>38382</v>
      </c>
      <c r="F5980" s="142" t="s">
        <v>8566</v>
      </c>
      <c r="G5980" s="142" t="s">
        <v>33344</v>
      </c>
      <c r="H5980" s="142"/>
      <c r="I5980" s="143"/>
      <c r="J5980" s="143" t="s">
        <v>38383</v>
      </c>
      <c r="K5980" s="143" t="s">
        <v>38384</v>
      </c>
      <c r="L5980" s="145" t="s">
        <v>38385</v>
      </c>
      <c r="M5980" s="143"/>
      <c r="N5980" s="12"/>
      <c r="O5980" s="12"/>
      <c r="P5980" s="13">
        <f>IFERROR(__xludf.DUMMYFUNCTION("VALUE(SUBSTITUTE((INDEX(SPLIT(A5980,"",""),1)),""."","","",1))"),45.06447)</f>
        <v>45.06447</v>
      </c>
      <c r="Q5980" s="13">
        <f>IFERROR(__xludf.DUMMYFUNCTION("VALUE(SUBSTITUTE((INDEX(SPLIT(A5980,"",""),2)),""."","","",1))"),39.033569)</f>
        <v>39.033569</v>
      </c>
      <c r="R5980" s="14" t="b">
        <f t="shared" si="1"/>
        <v>0</v>
      </c>
      <c r="S5980" s="14" t="str">
        <f t="shared" si="2"/>
        <v>45.06447,39.033569</v>
      </c>
      <c r="T5980" s="12"/>
    </row>
    <row r="5981">
      <c r="A5981" s="139" t="s">
        <v>38386</v>
      </c>
      <c r="B5981" s="140" t="s">
        <v>38387</v>
      </c>
      <c r="C5981" s="140" t="s">
        <v>38388</v>
      </c>
      <c r="D5981" s="140" t="s">
        <v>33342</v>
      </c>
      <c r="E5981" s="141" t="s">
        <v>38389</v>
      </c>
      <c r="F5981" s="139" t="s">
        <v>8566</v>
      </c>
      <c r="G5981" s="139" t="s">
        <v>33344</v>
      </c>
      <c r="H5981" s="139"/>
      <c r="I5981" s="140"/>
      <c r="J5981" s="140" t="s">
        <v>38390</v>
      </c>
      <c r="K5981" s="140" t="s">
        <v>38391</v>
      </c>
      <c r="L5981" s="140"/>
      <c r="M5981" s="154" t="s">
        <v>38392</v>
      </c>
      <c r="N5981" s="12"/>
      <c r="O5981" s="12"/>
      <c r="P5981" s="13">
        <f>IFERROR(__xludf.DUMMYFUNCTION("VALUE(SUBSTITUTE((INDEX(SPLIT(A5981,"",""),1)),""."","","",1))"),45.152777)</f>
        <v>45.152777</v>
      </c>
      <c r="Q5981" s="13">
        <f>IFERROR(__xludf.DUMMYFUNCTION("VALUE(SUBSTITUTE((INDEX(SPLIT(A5981,"",""),2)),""."","","",1))"),38.994133)</f>
        <v>38.994133</v>
      </c>
      <c r="R5981" s="14" t="b">
        <f t="shared" si="1"/>
        <v>0</v>
      </c>
      <c r="S5981" s="14" t="str">
        <f t="shared" si="2"/>
        <v>45.152777,38.994133</v>
      </c>
      <c r="T5981" s="12"/>
    </row>
    <row r="5982">
      <c r="A5982" s="136" t="s">
        <v>38393</v>
      </c>
      <c r="B5982" s="137" t="s">
        <v>2843</v>
      </c>
      <c r="C5982" s="137" t="s">
        <v>33711</v>
      </c>
      <c r="D5982" s="137" t="s">
        <v>33342</v>
      </c>
      <c r="E5982" s="138" t="s">
        <v>38394</v>
      </c>
      <c r="F5982" s="136" t="s">
        <v>8566</v>
      </c>
      <c r="G5982" s="136" t="s">
        <v>33344</v>
      </c>
      <c r="H5982" s="136"/>
      <c r="I5982" s="137"/>
      <c r="J5982" s="137" t="s">
        <v>38395</v>
      </c>
      <c r="K5982" s="137" t="s">
        <v>38396</v>
      </c>
      <c r="L5982" s="137"/>
      <c r="M5982" s="153" t="s">
        <v>38397</v>
      </c>
      <c r="N5982" s="12"/>
      <c r="O5982" s="12"/>
      <c r="P5982" s="13">
        <f>IFERROR(__xludf.DUMMYFUNCTION("VALUE(SUBSTITUTE((INDEX(SPLIT(A5982,"",""),1)),""."","","",1))"),45.060854)</f>
        <v>45.060854</v>
      </c>
      <c r="Q5982" s="13">
        <f>IFERROR(__xludf.DUMMYFUNCTION("VALUE(SUBSTITUTE((INDEX(SPLIT(A5982,"",""),2)),""."","","",1))"),39.02843)</f>
        <v>39.02843</v>
      </c>
      <c r="R5982" s="14" t="b">
        <f t="shared" si="1"/>
        <v>0</v>
      </c>
      <c r="S5982" s="14" t="str">
        <f t="shared" si="2"/>
        <v>45.060854,39.02843</v>
      </c>
      <c r="T5982" s="12"/>
    </row>
    <row r="5983">
      <c r="A5983" s="139" t="s">
        <v>38398</v>
      </c>
      <c r="B5983" s="140" t="s">
        <v>10062</v>
      </c>
      <c r="C5983" s="140" t="s">
        <v>38399</v>
      </c>
      <c r="D5983" s="140" t="s">
        <v>33342</v>
      </c>
      <c r="E5983" s="141" t="s">
        <v>38400</v>
      </c>
      <c r="F5983" s="139" t="s">
        <v>8566</v>
      </c>
      <c r="G5983" s="139" t="s">
        <v>33344</v>
      </c>
      <c r="H5983" s="139"/>
      <c r="I5983" s="140"/>
      <c r="J5983" s="140" t="s">
        <v>38401</v>
      </c>
      <c r="K5983" s="140" t="s">
        <v>38396</v>
      </c>
      <c r="L5983" s="140"/>
      <c r="M5983" s="154" t="s">
        <v>38397</v>
      </c>
      <c r="N5983" s="12"/>
      <c r="O5983" s="12"/>
      <c r="P5983" s="13">
        <f>IFERROR(__xludf.DUMMYFUNCTION("VALUE(SUBSTITUTE((INDEX(SPLIT(A5983,"",""),1)),""."","","",1))"),45.067392)</f>
        <v>45.067392</v>
      </c>
      <c r="Q5983" s="13">
        <f>IFERROR(__xludf.DUMMYFUNCTION("VALUE(SUBSTITUTE((INDEX(SPLIT(A5983,"",""),2)),""."","","",1))"),39.037072)</f>
        <v>39.037072</v>
      </c>
      <c r="R5983" s="14" t="b">
        <f t="shared" si="1"/>
        <v>0</v>
      </c>
      <c r="S5983" s="14" t="str">
        <f t="shared" si="2"/>
        <v>45.067392,39.037072</v>
      </c>
      <c r="T5983" s="12"/>
    </row>
    <row r="5984">
      <c r="A5984" s="136" t="s">
        <v>38402</v>
      </c>
      <c r="B5984" s="137" t="s">
        <v>38403</v>
      </c>
      <c r="C5984" s="137" t="s">
        <v>38404</v>
      </c>
      <c r="D5984" s="137" t="s">
        <v>33342</v>
      </c>
      <c r="E5984" s="138" t="s">
        <v>38405</v>
      </c>
      <c r="F5984" s="136" t="s">
        <v>8566</v>
      </c>
      <c r="G5984" s="136" t="s">
        <v>33344</v>
      </c>
      <c r="H5984" s="136"/>
      <c r="I5984" s="137"/>
      <c r="J5984" s="137" t="s">
        <v>38406</v>
      </c>
      <c r="K5984" s="137" t="s">
        <v>38407</v>
      </c>
      <c r="L5984" s="137"/>
      <c r="M5984" s="153" t="s">
        <v>38408</v>
      </c>
      <c r="N5984" s="12"/>
      <c r="O5984" s="12"/>
      <c r="P5984" s="13">
        <f>IFERROR(__xludf.DUMMYFUNCTION("VALUE(SUBSTITUTE((INDEX(SPLIT(A5984,"",""),1)),""."","","",1))"),45.05895)</f>
        <v>45.05895</v>
      </c>
      <c r="Q5984" s="13">
        <f>IFERROR(__xludf.DUMMYFUNCTION("VALUE(SUBSTITUTE((INDEX(SPLIT(A5984,"",""),2)),""."","","",1))"),38.956403)</f>
        <v>38.956403</v>
      </c>
      <c r="R5984" s="14" t="b">
        <f t="shared" si="1"/>
        <v>0</v>
      </c>
      <c r="S5984" s="14" t="str">
        <f t="shared" si="2"/>
        <v>45.05895,38.956403</v>
      </c>
      <c r="T5984" s="12"/>
    </row>
    <row r="5985">
      <c r="A5985" s="139" t="s">
        <v>38409</v>
      </c>
      <c r="B5985" s="140" t="s">
        <v>38410</v>
      </c>
      <c r="C5985" s="140" t="s">
        <v>38411</v>
      </c>
      <c r="D5985" s="140" t="s">
        <v>33342</v>
      </c>
      <c r="E5985" s="141" t="s">
        <v>38412</v>
      </c>
      <c r="F5985" s="139" t="s">
        <v>8566</v>
      </c>
      <c r="G5985" s="139" t="s">
        <v>33344</v>
      </c>
      <c r="H5985" s="139"/>
      <c r="I5985" s="140"/>
      <c r="J5985" s="140" t="s">
        <v>38413</v>
      </c>
      <c r="K5985" s="140" t="s">
        <v>38414</v>
      </c>
      <c r="L5985" s="140"/>
      <c r="M5985" s="154" t="s">
        <v>38415</v>
      </c>
      <c r="N5985" s="12"/>
      <c r="O5985" s="12"/>
      <c r="P5985" s="13">
        <f>IFERROR(__xludf.DUMMYFUNCTION("VALUE(SUBSTITUTE((INDEX(SPLIT(A5985,"",""),1)),""."","","",1))"),45.066475)</f>
        <v>45.066475</v>
      </c>
      <c r="Q5985" s="13">
        <f>IFERROR(__xludf.DUMMYFUNCTION("VALUE(SUBSTITUTE((INDEX(SPLIT(A5985,"",""),2)),""."","","",1))"),39.039381)</f>
        <v>39.039381</v>
      </c>
      <c r="R5985" s="14" t="b">
        <f t="shared" si="1"/>
        <v>0</v>
      </c>
      <c r="S5985" s="14" t="str">
        <f t="shared" si="2"/>
        <v>45.066475,39.039381</v>
      </c>
      <c r="T5985" s="12"/>
    </row>
    <row r="5986">
      <c r="A5986" s="136" t="s">
        <v>38416</v>
      </c>
      <c r="B5986" s="137" t="s">
        <v>38417</v>
      </c>
      <c r="C5986" s="137" t="s">
        <v>38418</v>
      </c>
      <c r="D5986" s="137" t="s">
        <v>33342</v>
      </c>
      <c r="E5986" s="138" t="s">
        <v>38419</v>
      </c>
      <c r="F5986" s="136" t="s">
        <v>8566</v>
      </c>
      <c r="G5986" s="136" t="s">
        <v>33344</v>
      </c>
      <c r="H5986" s="136"/>
      <c r="I5986" s="137"/>
      <c r="J5986" s="137" t="s">
        <v>38420</v>
      </c>
      <c r="K5986" s="137" t="s">
        <v>33643</v>
      </c>
      <c r="L5986" s="137"/>
      <c r="M5986" s="153" t="s">
        <v>38421</v>
      </c>
      <c r="N5986" s="12"/>
      <c r="O5986" s="12"/>
      <c r="P5986" s="13">
        <f>IFERROR(__xludf.DUMMYFUNCTION("VALUE(SUBSTITUTE((INDEX(SPLIT(A5986,"",""),1)),""."","","",1))"),45.054175)</f>
        <v>45.054175</v>
      </c>
      <c r="Q5986" s="13">
        <f>IFERROR(__xludf.DUMMYFUNCTION("VALUE(SUBSTITUTE((INDEX(SPLIT(A5986,"",""),2)),""."","","",1))"),38.939515)</f>
        <v>38.939515</v>
      </c>
      <c r="R5986" s="14" t="b">
        <f t="shared" si="1"/>
        <v>0</v>
      </c>
      <c r="S5986" s="14" t="str">
        <f t="shared" si="2"/>
        <v>45.054175,38.939515</v>
      </c>
      <c r="T5986" s="12"/>
    </row>
    <row r="5987">
      <c r="A5987" s="146" t="s">
        <v>38422</v>
      </c>
      <c r="B5987" s="147" t="s">
        <v>38423</v>
      </c>
      <c r="C5987" s="147" t="s">
        <v>38424</v>
      </c>
      <c r="D5987" s="147" t="s">
        <v>33342</v>
      </c>
      <c r="E5987" s="148" t="s">
        <v>38425</v>
      </c>
      <c r="F5987" s="146" t="s">
        <v>8566</v>
      </c>
      <c r="G5987" s="146" t="s">
        <v>33344</v>
      </c>
      <c r="H5987" s="146"/>
      <c r="I5987" s="147"/>
      <c r="J5987" s="147" t="s">
        <v>38426</v>
      </c>
      <c r="K5987" s="147" t="s">
        <v>38427</v>
      </c>
      <c r="L5987" s="149" t="s">
        <v>38428</v>
      </c>
      <c r="M5987" s="149" t="s">
        <v>38429</v>
      </c>
      <c r="N5987" s="12"/>
      <c r="O5987" s="12"/>
      <c r="P5987" s="13">
        <f>IFERROR(__xludf.DUMMYFUNCTION("VALUE(SUBSTITUTE((INDEX(SPLIT(A5987,"",""),1)),""."","","",1))"),45.014269)</f>
        <v>45.014269</v>
      </c>
      <c r="Q5987" s="13">
        <f>IFERROR(__xludf.DUMMYFUNCTION("VALUE(SUBSTITUTE((INDEX(SPLIT(A5987,"",""),2)),""."","","",1))"),39.103449)</f>
        <v>39.103449</v>
      </c>
      <c r="R5987" s="14" t="b">
        <f t="shared" si="1"/>
        <v>0</v>
      </c>
      <c r="S5987" s="14" t="str">
        <f t="shared" si="2"/>
        <v>45.014269,39.103449</v>
      </c>
      <c r="T5987" s="12"/>
    </row>
    <row r="5988">
      <c r="A5988" s="142" t="s">
        <v>38430</v>
      </c>
      <c r="B5988" s="143" t="s">
        <v>38431</v>
      </c>
      <c r="C5988" s="143" t="s">
        <v>38432</v>
      </c>
      <c r="D5988" s="143" t="s">
        <v>33342</v>
      </c>
      <c r="E5988" s="144" t="s">
        <v>38433</v>
      </c>
      <c r="F5988" s="142" t="s">
        <v>8566</v>
      </c>
      <c r="G5988" s="142" t="s">
        <v>33344</v>
      </c>
      <c r="H5988" s="142"/>
      <c r="I5988" s="143"/>
      <c r="J5988" s="143" t="s">
        <v>38434</v>
      </c>
      <c r="K5988" s="143" t="s">
        <v>38435</v>
      </c>
      <c r="L5988" s="145" t="s">
        <v>38436</v>
      </c>
      <c r="M5988" s="143"/>
      <c r="N5988" s="12"/>
      <c r="O5988" s="12"/>
      <c r="P5988" s="13">
        <f>IFERROR(__xludf.DUMMYFUNCTION("VALUE(SUBSTITUTE((INDEX(SPLIT(A5988,"",""),1)),""."","","",1))"),45.007157)</f>
        <v>45.007157</v>
      </c>
      <c r="Q5988" s="13">
        <f>IFERROR(__xludf.DUMMYFUNCTION("VALUE(SUBSTITUTE((INDEX(SPLIT(A5988,"",""),2)),""."","","",1))"),39.05441)</f>
        <v>39.05441</v>
      </c>
      <c r="R5988" s="14" t="b">
        <f t="shared" si="1"/>
        <v>0</v>
      </c>
      <c r="S5988" s="14" t="str">
        <f t="shared" si="2"/>
        <v>45.007157,39.05441</v>
      </c>
      <c r="T5988" s="12"/>
    </row>
    <row r="5989">
      <c r="A5989" s="146" t="s">
        <v>38437</v>
      </c>
      <c r="B5989" s="147" t="s">
        <v>38438</v>
      </c>
      <c r="C5989" s="147" t="s">
        <v>38439</v>
      </c>
      <c r="D5989" s="147" t="s">
        <v>33342</v>
      </c>
      <c r="E5989" s="148" t="s">
        <v>38440</v>
      </c>
      <c r="F5989" s="146" t="s">
        <v>8566</v>
      </c>
      <c r="G5989" s="146" t="s">
        <v>33344</v>
      </c>
      <c r="H5989" s="146"/>
      <c r="I5989" s="147"/>
      <c r="J5989" s="147" t="s">
        <v>38441</v>
      </c>
      <c r="K5989" s="147" t="s">
        <v>38442</v>
      </c>
      <c r="L5989" s="149" t="s">
        <v>38443</v>
      </c>
      <c r="M5989" s="149" t="s">
        <v>38444</v>
      </c>
      <c r="N5989" s="12"/>
      <c r="O5989" s="12"/>
      <c r="P5989" s="13">
        <f>IFERROR(__xludf.DUMMYFUNCTION("VALUE(SUBSTITUTE((INDEX(SPLIT(A5989,"",""),1)),""."","","",1))"),45.090171)</f>
        <v>45.090171</v>
      </c>
      <c r="Q5989" s="13">
        <f>IFERROR(__xludf.DUMMYFUNCTION("VALUE(SUBSTITUTE((INDEX(SPLIT(A5989,"",""),2)),""."","","",1))"),39.048445)</f>
        <v>39.048445</v>
      </c>
      <c r="R5989" s="14" t="b">
        <f t="shared" si="1"/>
        <v>0</v>
      </c>
      <c r="S5989" s="14" t="str">
        <f t="shared" si="2"/>
        <v>45.090171,39.048445</v>
      </c>
      <c r="T5989" s="12"/>
    </row>
    <row r="5990">
      <c r="A5990" s="142" t="s">
        <v>38445</v>
      </c>
      <c r="B5990" s="143" t="s">
        <v>17096</v>
      </c>
      <c r="C5990" s="143" t="s">
        <v>38446</v>
      </c>
      <c r="D5990" s="143" t="s">
        <v>33342</v>
      </c>
      <c r="E5990" s="144" t="s">
        <v>38447</v>
      </c>
      <c r="F5990" s="142" t="s">
        <v>8566</v>
      </c>
      <c r="G5990" s="142" t="s">
        <v>33344</v>
      </c>
      <c r="H5990" s="142"/>
      <c r="I5990" s="143"/>
      <c r="J5990" s="143" t="s">
        <v>38448</v>
      </c>
      <c r="K5990" s="143" t="s">
        <v>38449</v>
      </c>
      <c r="L5990" s="145" t="s">
        <v>38450</v>
      </c>
      <c r="M5990" s="143"/>
      <c r="N5990" s="12"/>
      <c r="O5990" s="12"/>
      <c r="P5990" s="13">
        <f>IFERROR(__xludf.DUMMYFUNCTION("VALUE(SUBSTITUTE((INDEX(SPLIT(A5990,"",""),1)),""."","","",1))"),45.034426)</f>
        <v>45.034426</v>
      </c>
      <c r="Q5990" s="13">
        <f>IFERROR(__xludf.DUMMYFUNCTION("VALUE(SUBSTITUTE((INDEX(SPLIT(A5990,"",""),2)),""."","","",1))"),39.111471)</f>
        <v>39.111471</v>
      </c>
      <c r="R5990" s="14" t="b">
        <f t="shared" si="1"/>
        <v>0</v>
      </c>
      <c r="S5990" s="14" t="str">
        <f t="shared" si="2"/>
        <v>45.034426,39.111471</v>
      </c>
      <c r="T5990" s="12"/>
    </row>
    <row r="5991">
      <c r="A5991" s="146" t="s">
        <v>38451</v>
      </c>
      <c r="B5991" s="147" t="s">
        <v>38452</v>
      </c>
      <c r="C5991" s="147" t="s">
        <v>38453</v>
      </c>
      <c r="D5991" s="147" t="s">
        <v>33342</v>
      </c>
      <c r="E5991" s="148" t="s">
        <v>38454</v>
      </c>
      <c r="F5991" s="146" t="s">
        <v>8566</v>
      </c>
      <c r="G5991" s="146" t="s">
        <v>33344</v>
      </c>
      <c r="H5991" s="146"/>
      <c r="I5991" s="147"/>
      <c r="J5991" s="147" t="s">
        <v>38455</v>
      </c>
      <c r="K5991" s="147" t="s">
        <v>38456</v>
      </c>
      <c r="L5991" s="149" t="s">
        <v>38457</v>
      </c>
      <c r="M5991" s="147"/>
      <c r="N5991" s="12"/>
      <c r="O5991" s="12"/>
      <c r="P5991" s="13">
        <f>IFERROR(__xludf.DUMMYFUNCTION("VALUE(SUBSTITUTE((INDEX(SPLIT(A5991,"",""),1)),""."","","",1))"),45.028559)</f>
        <v>45.028559</v>
      </c>
      <c r="Q5991" s="13">
        <f>IFERROR(__xludf.DUMMYFUNCTION("VALUE(SUBSTITUTE((INDEX(SPLIT(A5991,"",""),2)),""."","","",1))"),39.048705)</f>
        <v>39.048705</v>
      </c>
      <c r="R5991" s="14" t="b">
        <f t="shared" si="1"/>
        <v>0</v>
      </c>
      <c r="S5991" s="14" t="str">
        <f t="shared" si="2"/>
        <v>45.028559,39.048705</v>
      </c>
      <c r="T5991" s="12"/>
    </row>
    <row r="5992">
      <c r="A5992" s="142" t="s">
        <v>38458</v>
      </c>
      <c r="B5992" s="143" t="s">
        <v>38459</v>
      </c>
      <c r="C5992" s="143" t="s">
        <v>38460</v>
      </c>
      <c r="D5992" s="143" t="s">
        <v>33342</v>
      </c>
      <c r="E5992" s="144" t="s">
        <v>38461</v>
      </c>
      <c r="F5992" s="142" t="s">
        <v>8566</v>
      </c>
      <c r="G5992" s="142" t="s">
        <v>33344</v>
      </c>
      <c r="H5992" s="142"/>
      <c r="I5992" s="143"/>
      <c r="J5992" s="143" t="s">
        <v>38462</v>
      </c>
      <c r="K5992" s="143" t="s">
        <v>38463</v>
      </c>
      <c r="L5992" s="145" t="s">
        <v>38464</v>
      </c>
      <c r="M5992" s="143"/>
      <c r="N5992" s="12"/>
      <c r="O5992" s="12"/>
      <c r="P5992" s="13">
        <f>IFERROR(__xludf.DUMMYFUNCTION("VALUE(SUBSTITUTE((INDEX(SPLIT(A5992,"",""),1)),""."","","",1))"),45.041126)</f>
        <v>45.041126</v>
      </c>
      <c r="Q5992" s="13">
        <f>IFERROR(__xludf.DUMMYFUNCTION("VALUE(SUBSTITUTE((INDEX(SPLIT(A5992,"",""),2)),""."","","",1))"),39.135914)</f>
        <v>39.135914</v>
      </c>
      <c r="R5992" s="14" t="b">
        <f t="shared" si="1"/>
        <v>0</v>
      </c>
      <c r="S5992" s="14" t="str">
        <f t="shared" si="2"/>
        <v>45.041126,39.135914</v>
      </c>
      <c r="T5992" s="12"/>
    </row>
    <row r="5993">
      <c r="A5993" s="139" t="s">
        <v>38465</v>
      </c>
      <c r="B5993" s="140" t="s">
        <v>38466</v>
      </c>
      <c r="C5993" s="140" t="s">
        <v>38467</v>
      </c>
      <c r="D5993" s="140" t="s">
        <v>33342</v>
      </c>
      <c r="E5993" s="141" t="s">
        <v>38468</v>
      </c>
      <c r="F5993" s="139" t="s">
        <v>8566</v>
      </c>
      <c r="G5993" s="139" t="s">
        <v>33344</v>
      </c>
      <c r="H5993" s="139"/>
      <c r="I5993" s="140"/>
      <c r="J5993" s="140" t="s">
        <v>38469</v>
      </c>
      <c r="K5993" s="140" t="s">
        <v>38470</v>
      </c>
      <c r="L5993" s="140"/>
      <c r="M5993" s="140"/>
      <c r="N5993" s="12"/>
      <c r="O5993" s="12"/>
      <c r="P5993" s="13">
        <f>IFERROR(__xludf.DUMMYFUNCTION("VALUE(SUBSTITUTE((INDEX(SPLIT(A5993,"",""),1)),""."","","",1))"),44.989267)</f>
        <v>44.989267</v>
      </c>
      <c r="Q5993" s="13">
        <f>IFERROR(__xludf.DUMMYFUNCTION("VALUE(SUBSTITUTE((INDEX(SPLIT(A5993,"",""),2)),""."","","",1))"),39.071011)</f>
        <v>39.071011</v>
      </c>
      <c r="R5993" s="14" t="b">
        <f t="shared" si="1"/>
        <v>0</v>
      </c>
      <c r="S5993" s="14" t="str">
        <f t="shared" si="2"/>
        <v>44.989267,39.071011</v>
      </c>
      <c r="T5993" s="12"/>
    </row>
    <row r="5994">
      <c r="A5994" s="136" t="s">
        <v>38471</v>
      </c>
      <c r="B5994" s="137" t="s">
        <v>38472</v>
      </c>
      <c r="C5994" s="137" t="s">
        <v>38473</v>
      </c>
      <c r="D5994" s="137" t="s">
        <v>33342</v>
      </c>
      <c r="E5994" s="138" t="s">
        <v>38474</v>
      </c>
      <c r="F5994" s="136" t="s">
        <v>8566</v>
      </c>
      <c r="G5994" s="136" t="s">
        <v>33344</v>
      </c>
      <c r="H5994" s="136"/>
      <c r="I5994" s="137"/>
      <c r="J5994" s="137" t="s">
        <v>38475</v>
      </c>
      <c r="K5994" s="137" t="s">
        <v>38476</v>
      </c>
      <c r="L5994" s="137"/>
      <c r="M5994" s="137"/>
      <c r="N5994" s="12"/>
      <c r="O5994" s="12"/>
      <c r="P5994" s="13">
        <f>IFERROR(__xludf.DUMMYFUNCTION("VALUE(SUBSTITUTE((INDEX(SPLIT(A5994,"",""),1)),""."","","",1))"),45.024973)</f>
        <v>45.024973</v>
      </c>
      <c r="Q5994" s="13">
        <f>IFERROR(__xludf.DUMMYFUNCTION("VALUE(SUBSTITUTE((INDEX(SPLIT(A5994,"",""),2)),""."","","",1))"),39.060905)</f>
        <v>39.060905</v>
      </c>
      <c r="R5994" s="14" t="b">
        <f t="shared" si="1"/>
        <v>0</v>
      </c>
      <c r="S5994" s="14" t="str">
        <f t="shared" si="2"/>
        <v>45.024973,39.060905</v>
      </c>
      <c r="T5994" s="12"/>
    </row>
    <row r="5995">
      <c r="A5995" s="146" t="s">
        <v>38477</v>
      </c>
      <c r="B5995" s="147" t="s">
        <v>38478</v>
      </c>
      <c r="C5995" s="147" t="s">
        <v>38479</v>
      </c>
      <c r="D5995" s="147" t="s">
        <v>33342</v>
      </c>
      <c r="E5995" s="148" t="s">
        <v>38480</v>
      </c>
      <c r="F5995" s="146" t="s">
        <v>8566</v>
      </c>
      <c r="G5995" s="146" t="s">
        <v>33344</v>
      </c>
      <c r="H5995" s="146"/>
      <c r="I5995" s="147"/>
      <c r="J5995" s="147" t="s">
        <v>38481</v>
      </c>
      <c r="K5995" s="147" t="s">
        <v>38482</v>
      </c>
      <c r="L5995" s="149" t="s">
        <v>38483</v>
      </c>
      <c r="M5995" s="149" t="s">
        <v>38484</v>
      </c>
      <c r="N5995" s="12"/>
      <c r="O5995" s="12"/>
      <c r="P5995" s="13">
        <f>IFERROR(__xludf.DUMMYFUNCTION("VALUE(SUBSTITUTE((INDEX(SPLIT(A5995,"",""),1)),""."","","",1))"),44.780299)</f>
        <v>44.780299</v>
      </c>
      <c r="Q5995" s="13">
        <f>IFERROR(__xludf.DUMMYFUNCTION("VALUE(SUBSTITUTE((INDEX(SPLIT(A5995,"",""),2)),""."","","",1))"),37.703766)</f>
        <v>37.703766</v>
      </c>
      <c r="R5995" s="14" t="b">
        <f t="shared" si="1"/>
        <v>0</v>
      </c>
      <c r="S5995" s="14" t="str">
        <f t="shared" si="2"/>
        <v>44.780299,37.703766</v>
      </c>
      <c r="T5995" s="12"/>
    </row>
    <row r="5996">
      <c r="A5996" s="136" t="s">
        <v>38485</v>
      </c>
      <c r="B5996" s="137" t="s">
        <v>38486</v>
      </c>
      <c r="C5996" s="137" t="s">
        <v>38487</v>
      </c>
      <c r="D5996" s="137" t="s">
        <v>33342</v>
      </c>
      <c r="E5996" s="138" t="s">
        <v>38488</v>
      </c>
      <c r="F5996" s="136" t="s">
        <v>8566</v>
      </c>
      <c r="G5996" s="136" t="s">
        <v>33344</v>
      </c>
      <c r="H5996" s="136"/>
      <c r="I5996" s="137"/>
      <c r="J5996" s="137" t="s">
        <v>38489</v>
      </c>
      <c r="K5996" s="137" t="s">
        <v>38490</v>
      </c>
      <c r="L5996" s="137"/>
      <c r="M5996" s="137"/>
      <c r="N5996" s="12"/>
      <c r="O5996" s="12"/>
      <c r="P5996" s="13">
        <f>IFERROR(__xludf.DUMMYFUNCTION("VALUE(SUBSTITUTE((INDEX(SPLIT(A5996,"",""),1)),""."","","",1))"),44.722624)</f>
        <v>44.722624</v>
      </c>
      <c r="Q5996" s="13">
        <f>IFERROR(__xludf.DUMMYFUNCTION("VALUE(SUBSTITUTE((INDEX(SPLIT(A5996,"",""),2)),""."","","",1))"),37.733841)</f>
        <v>37.733841</v>
      </c>
      <c r="R5996" s="14" t="b">
        <f t="shared" si="1"/>
        <v>0</v>
      </c>
      <c r="S5996" s="14" t="str">
        <f t="shared" si="2"/>
        <v>44.722624,37.733841</v>
      </c>
      <c r="T5996" s="12"/>
    </row>
    <row r="5997">
      <c r="A5997" s="146" t="s">
        <v>38491</v>
      </c>
      <c r="B5997" s="147" t="s">
        <v>38492</v>
      </c>
      <c r="C5997" s="147" t="s">
        <v>38493</v>
      </c>
      <c r="D5997" s="147" t="s">
        <v>33342</v>
      </c>
      <c r="E5997" s="148" t="s">
        <v>38494</v>
      </c>
      <c r="F5997" s="146" t="s">
        <v>8566</v>
      </c>
      <c r="G5997" s="146" t="s">
        <v>33344</v>
      </c>
      <c r="H5997" s="146"/>
      <c r="I5997" s="147"/>
      <c r="J5997" s="147" t="s">
        <v>38495</v>
      </c>
      <c r="K5997" s="147" t="s">
        <v>38079</v>
      </c>
      <c r="L5997" s="149" t="s">
        <v>38496</v>
      </c>
      <c r="M5997" s="147"/>
      <c r="N5997" s="12"/>
      <c r="O5997" s="12"/>
      <c r="P5997" s="13">
        <f>IFERROR(__xludf.DUMMYFUNCTION("VALUE(SUBSTITUTE((INDEX(SPLIT(A5997,"",""),1)),""."","","",1))"),44.959923)</f>
        <v>44.959923</v>
      </c>
      <c r="Q5997" s="13">
        <f>IFERROR(__xludf.DUMMYFUNCTION("VALUE(SUBSTITUTE((INDEX(SPLIT(A5997,"",""),2)),""."","","",1))"),37.317023)</f>
        <v>37.317023</v>
      </c>
      <c r="R5997" s="14" t="b">
        <f t="shared" si="1"/>
        <v>0</v>
      </c>
      <c r="S5997" s="14" t="str">
        <f t="shared" si="2"/>
        <v>44.959923,37.317023</v>
      </c>
      <c r="T5997" s="12"/>
    </row>
    <row r="5998">
      <c r="A5998" s="142" t="s">
        <v>38497</v>
      </c>
      <c r="B5998" s="143" t="s">
        <v>38498</v>
      </c>
      <c r="C5998" s="143" t="s">
        <v>38499</v>
      </c>
      <c r="D5998" s="143" t="s">
        <v>33342</v>
      </c>
      <c r="E5998" s="144" t="s">
        <v>38500</v>
      </c>
      <c r="F5998" s="142" t="s">
        <v>8566</v>
      </c>
      <c r="G5998" s="142" t="s">
        <v>33344</v>
      </c>
      <c r="H5998" s="142"/>
      <c r="I5998" s="143"/>
      <c r="J5998" s="143" t="s">
        <v>38501</v>
      </c>
      <c r="K5998" s="143" t="s">
        <v>11517</v>
      </c>
      <c r="L5998" s="145" t="s">
        <v>38502</v>
      </c>
      <c r="M5998" s="143"/>
      <c r="N5998" s="12"/>
      <c r="O5998" s="12"/>
      <c r="P5998" s="13">
        <f>IFERROR(__xludf.DUMMYFUNCTION("VALUE(SUBSTITUTE((INDEX(SPLIT(A5998,"",""),1)),""."","","",1))"),44.680436)</f>
        <v>44.680436</v>
      </c>
      <c r="Q5998" s="13">
        <f>IFERROR(__xludf.DUMMYFUNCTION("VALUE(SUBSTITUTE((INDEX(SPLIT(A5998,"",""),2)),""."","","",1))"),37.794244)</f>
        <v>37.794244</v>
      </c>
      <c r="R5998" s="14" t="b">
        <f t="shared" si="1"/>
        <v>0</v>
      </c>
      <c r="S5998" s="14" t="str">
        <f t="shared" si="2"/>
        <v>44.680436,37.794244</v>
      </c>
      <c r="T5998" s="12"/>
    </row>
    <row r="5999">
      <c r="A5999" s="139" t="s">
        <v>38503</v>
      </c>
      <c r="B5999" s="140" t="s">
        <v>38504</v>
      </c>
      <c r="C5999" s="140" t="s">
        <v>38505</v>
      </c>
      <c r="D5999" s="140" t="s">
        <v>33342</v>
      </c>
      <c r="E5999" s="141" t="s">
        <v>38506</v>
      </c>
      <c r="F5999" s="139" t="s">
        <v>8566</v>
      </c>
      <c r="G5999" s="139" t="s">
        <v>33344</v>
      </c>
      <c r="H5999" s="139"/>
      <c r="I5999" s="157" t="s">
        <v>38507</v>
      </c>
      <c r="J5999" s="140" t="s">
        <v>38508</v>
      </c>
      <c r="K5999" s="140" t="s">
        <v>38509</v>
      </c>
      <c r="L5999" s="140"/>
      <c r="M5999" s="140"/>
      <c r="N5999" s="12"/>
      <c r="O5999" s="12"/>
      <c r="P5999" s="13">
        <f>IFERROR(__xludf.DUMMYFUNCTION("VALUE(SUBSTITUTE((INDEX(SPLIT(A5999,"",""),1)),""."","","",1))"),44.751015)</f>
        <v>44.751015</v>
      </c>
      <c r="Q5999" s="13">
        <f>IFERROR(__xludf.DUMMYFUNCTION("VALUE(SUBSTITUTE((INDEX(SPLIT(A5999,"",""),2)),""."","","",1))"),37.714051)</f>
        <v>37.714051</v>
      </c>
      <c r="R5999" s="14" t="b">
        <f t="shared" si="1"/>
        <v>0</v>
      </c>
      <c r="S5999" s="14" t="str">
        <f t="shared" si="2"/>
        <v>44.751015,37.714051</v>
      </c>
      <c r="T5999" s="12"/>
    </row>
    <row r="6000">
      <c r="A6000" s="142" t="s">
        <v>38510</v>
      </c>
      <c r="B6000" s="143" t="s">
        <v>38511</v>
      </c>
      <c r="C6000" s="143" t="s">
        <v>38512</v>
      </c>
      <c r="D6000" s="143" t="s">
        <v>33342</v>
      </c>
      <c r="E6000" s="144" t="s">
        <v>38513</v>
      </c>
      <c r="F6000" s="142" t="s">
        <v>8566</v>
      </c>
      <c r="G6000" s="142" t="s">
        <v>33344</v>
      </c>
      <c r="H6000" s="142"/>
      <c r="I6000" s="143"/>
      <c r="J6000" s="143" t="s">
        <v>38514</v>
      </c>
      <c r="K6000" s="143" t="s">
        <v>38515</v>
      </c>
      <c r="L6000" s="145" t="s">
        <v>38516</v>
      </c>
      <c r="M6000" s="145" t="s">
        <v>38517</v>
      </c>
      <c r="N6000" s="12"/>
      <c r="O6000" s="12"/>
      <c r="P6000" s="13">
        <f>IFERROR(__xludf.DUMMYFUNCTION("VALUE(SUBSTITUTE((INDEX(SPLIT(A6000,"",""),1)),""."","","",1))"),44.427091)</f>
        <v>44.427091</v>
      </c>
      <c r="Q6000" s="13">
        <f>IFERROR(__xludf.DUMMYFUNCTION("VALUE(SUBSTITUTE((INDEX(SPLIT(A6000,"",""),2)),""."","","",1))"),38.78487)</f>
        <v>38.78487</v>
      </c>
      <c r="R6000" s="14" t="b">
        <f t="shared" si="1"/>
        <v>0</v>
      </c>
      <c r="S6000" s="14" t="str">
        <f t="shared" si="2"/>
        <v>44.427091,38.78487</v>
      </c>
      <c r="T6000" s="12"/>
    </row>
    <row r="6001">
      <c r="A6001" s="146" t="s">
        <v>38518</v>
      </c>
      <c r="B6001" s="147" t="s">
        <v>38519</v>
      </c>
      <c r="C6001" s="147" t="s">
        <v>38520</v>
      </c>
      <c r="D6001" s="147" t="s">
        <v>33342</v>
      </c>
      <c r="E6001" s="148" t="s">
        <v>38521</v>
      </c>
      <c r="F6001" s="146" t="s">
        <v>8566</v>
      </c>
      <c r="G6001" s="146" t="s">
        <v>33344</v>
      </c>
      <c r="H6001" s="146"/>
      <c r="I6001" s="147"/>
      <c r="J6001" s="147" t="s">
        <v>38522</v>
      </c>
      <c r="K6001" s="147" t="s">
        <v>38523</v>
      </c>
      <c r="L6001" s="149" t="s">
        <v>38524</v>
      </c>
      <c r="M6001" s="149" t="s">
        <v>38525</v>
      </c>
      <c r="N6001" s="12"/>
      <c r="O6001" s="12"/>
      <c r="P6001" s="13">
        <f>IFERROR(__xludf.DUMMYFUNCTION("VALUE(SUBSTITUTE((INDEX(SPLIT(A6001,"",""),1)),""."","","",1))"),44.930794)</f>
        <v>44.930794</v>
      </c>
      <c r="Q6001" s="13">
        <f>IFERROR(__xludf.DUMMYFUNCTION("VALUE(SUBSTITUTE((INDEX(SPLIT(A6001,"",""),2)),""."","","",1))"),37.981534)</f>
        <v>37.981534</v>
      </c>
      <c r="R6001" s="14" t="b">
        <f t="shared" si="1"/>
        <v>0</v>
      </c>
      <c r="S6001" s="14" t="str">
        <f t="shared" si="2"/>
        <v>44.930794,37.981534</v>
      </c>
      <c r="T6001" s="12"/>
    </row>
    <row r="6002">
      <c r="A6002" s="142" t="s">
        <v>38526</v>
      </c>
      <c r="B6002" s="143" t="s">
        <v>38527</v>
      </c>
      <c r="C6002" s="143" t="s">
        <v>38528</v>
      </c>
      <c r="D6002" s="143" t="s">
        <v>33342</v>
      </c>
      <c r="E6002" s="144" t="s">
        <v>38529</v>
      </c>
      <c r="F6002" s="142" t="s">
        <v>8566</v>
      </c>
      <c r="G6002" s="142" t="s">
        <v>33344</v>
      </c>
      <c r="H6002" s="142"/>
      <c r="I6002" s="143"/>
      <c r="J6002" s="143" t="s">
        <v>38530</v>
      </c>
      <c r="K6002" s="143" t="s">
        <v>38531</v>
      </c>
      <c r="L6002" s="145" t="s">
        <v>38532</v>
      </c>
      <c r="M6002" s="143"/>
      <c r="N6002" s="12"/>
      <c r="O6002" s="12"/>
      <c r="P6002" s="13">
        <f>IFERROR(__xludf.DUMMYFUNCTION("VALUE(SUBSTITUTE((INDEX(SPLIT(A6002,"",""),1)),""."","","",1))"),44.757326)</f>
        <v>44.757326</v>
      </c>
      <c r="Q6002" s="13">
        <f>IFERROR(__xludf.DUMMYFUNCTION("VALUE(SUBSTITUTE((INDEX(SPLIT(A6002,"",""),2)),""."","","",1))"),37.720187)</f>
        <v>37.720187</v>
      </c>
      <c r="R6002" s="14" t="b">
        <f t="shared" si="1"/>
        <v>0</v>
      </c>
      <c r="S6002" s="14" t="str">
        <f t="shared" si="2"/>
        <v>44.757326,37.720187</v>
      </c>
      <c r="T6002" s="12"/>
    </row>
    <row r="6003">
      <c r="A6003" s="146" t="s">
        <v>38533</v>
      </c>
      <c r="B6003" s="147" t="s">
        <v>38534</v>
      </c>
      <c r="C6003" s="147" t="s">
        <v>38535</v>
      </c>
      <c r="D6003" s="147" t="s">
        <v>33342</v>
      </c>
      <c r="E6003" s="148" t="s">
        <v>38536</v>
      </c>
      <c r="F6003" s="146" t="s">
        <v>8566</v>
      </c>
      <c r="G6003" s="146" t="s">
        <v>33344</v>
      </c>
      <c r="H6003" s="146"/>
      <c r="I6003" s="147"/>
      <c r="J6003" s="147" t="s">
        <v>38537</v>
      </c>
      <c r="K6003" s="147" t="s">
        <v>38538</v>
      </c>
      <c r="L6003" s="149" t="s">
        <v>38539</v>
      </c>
      <c r="M6003" s="149" t="s">
        <v>38540</v>
      </c>
      <c r="N6003" s="12"/>
      <c r="O6003" s="12"/>
      <c r="P6003" s="13">
        <f>IFERROR(__xludf.DUMMYFUNCTION("VALUE(SUBSTITUTE((INDEX(SPLIT(A6003,"",""),1)),""."","","",1))"),44.788834)</f>
        <v>44.788834</v>
      </c>
      <c r="Q6003" s="13">
        <f>IFERROR(__xludf.DUMMYFUNCTION("VALUE(SUBSTITUTE((INDEX(SPLIT(A6003,"",""),2)),""."","","",1))"),37.699041)</f>
        <v>37.699041</v>
      </c>
      <c r="R6003" s="14" t="b">
        <f t="shared" si="1"/>
        <v>0</v>
      </c>
      <c r="S6003" s="14" t="str">
        <f t="shared" si="2"/>
        <v>44.788834,37.699041</v>
      </c>
      <c r="T6003" s="12"/>
    </row>
    <row r="6004">
      <c r="A6004" s="136" t="s">
        <v>38541</v>
      </c>
      <c r="B6004" s="137" t="s">
        <v>38542</v>
      </c>
      <c r="C6004" s="137" t="s">
        <v>38543</v>
      </c>
      <c r="D6004" s="137" t="s">
        <v>33342</v>
      </c>
      <c r="E6004" s="138" t="s">
        <v>38544</v>
      </c>
      <c r="F6004" s="136" t="s">
        <v>8566</v>
      </c>
      <c r="G6004" s="136" t="s">
        <v>33344</v>
      </c>
      <c r="H6004" s="136"/>
      <c r="I6004" s="137"/>
      <c r="J6004" s="137" t="s">
        <v>38545</v>
      </c>
      <c r="K6004" s="137" t="s">
        <v>38546</v>
      </c>
      <c r="L6004" s="137"/>
      <c r="M6004" s="137"/>
      <c r="N6004" s="12"/>
      <c r="O6004" s="12"/>
      <c r="P6004" s="13">
        <f>IFERROR(__xludf.DUMMYFUNCTION("VALUE(SUBSTITUTE((INDEX(SPLIT(A6004,"",""),1)),""."","","",1))"),44.845963)</f>
        <v>44.845963</v>
      </c>
      <c r="Q6004" s="13">
        <f>IFERROR(__xludf.DUMMYFUNCTION("VALUE(SUBSTITUTE((INDEX(SPLIT(A6004,"",""),2)),""."","","",1))"),37.548213)</f>
        <v>37.548213</v>
      </c>
      <c r="R6004" s="14" t="b">
        <f t="shared" si="1"/>
        <v>0</v>
      </c>
      <c r="S6004" s="14" t="str">
        <f t="shared" si="2"/>
        <v>44.845963,37.548213</v>
      </c>
      <c r="T6004" s="12"/>
    </row>
    <row r="6005">
      <c r="A6005" s="139" t="s">
        <v>38547</v>
      </c>
      <c r="B6005" s="140" t="s">
        <v>38548</v>
      </c>
      <c r="C6005" s="140" t="s">
        <v>38549</v>
      </c>
      <c r="D6005" s="140" t="s">
        <v>33342</v>
      </c>
      <c r="E6005" s="141" t="s">
        <v>38550</v>
      </c>
      <c r="F6005" s="139" t="s">
        <v>8566</v>
      </c>
      <c r="G6005" s="139" t="s">
        <v>33344</v>
      </c>
      <c r="H6005" s="139"/>
      <c r="I6005" s="140"/>
      <c r="J6005" s="140" t="s">
        <v>38551</v>
      </c>
      <c r="K6005" s="140" t="s">
        <v>38552</v>
      </c>
      <c r="L6005" s="140"/>
      <c r="M6005" s="154" t="s">
        <v>38553</v>
      </c>
      <c r="N6005" s="12"/>
      <c r="O6005" s="12"/>
      <c r="P6005" s="13">
        <f>IFERROR(__xludf.DUMMYFUNCTION("VALUE(SUBSTITUTE((INDEX(SPLIT(A6005,"",""),1)),""."","","",1))"),44.752884)</f>
        <v>44.752884</v>
      </c>
      <c r="Q6005" s="13">
        <f>IFERROR(__xludf.DUMMYFUNCTION("VALUE(SUBSTITUTE((INDEX(SPLIT(A6005,"",""),2)),""."","","",1))"),37.687219)</f>
        <v>37.687219</v>
      </c>
      <c r="R6005" s="14" t="b">
        <f t="shared" si="1"/>
        <v>0</v>
      </c>
      <c r="S6005" s="14" t="str">
        <f t="shared" si="2"/>
        <v>44.752884,37.687219</v>
      </c>
      <c r="T6005" s="12"/>
    </row>
    <row r="6006">
      <c r="A6006" s="136" t="s">
        <v>38554</v>
      </c>
      <c r="B6006" s="137" t="s">
        <v>38555</v>
      </c>
      <c r="C6006" s="137" t="s">
        <v>38556</v>
      </c>
      <c r="D6006" s="137" t="s">
        <v>33342</v>
      </c>
      <c r="E6006" s="138" t="s">
        <v>38557</v>
      </c>
      <c r="F6006" s="136" t="s">
        <v>8566</v>
      </c>
      <c r="G6006" s="136" t="s">
        <v>33344</v>
      </c>
      <c r="H6006" s="136"/>
      <c r="I6006" s="137"/>
      <c r="J6006" s="137" t="s">
        <v>38558</v>
      </c>
      <c r="K6006" s="137" t="s">
        <v>38559</v>
      </c>
      <c r="L6006" s="137"/>
      <c r="M6006" s="137"/>
      <c r="N6006" s="12"/>
      <c r="O6006" s="12"/>
      <c r="P6006" s="13">
        <f>IFERROR(__xludf.DUMMYFUNCTION("VALUE(SUBSTITUTE((INDEX(SPLIT(A6006,"",""),1)),""."","","",1))"),44.679635)</f>
        <v>44.679635</v>
      </c>
      <c r="Q6006" s="13">
        <f>IFERROR(__xludf.DUMMYFUNCTION("VALUE(SUBSTITUTE((INDEX(SPLIT(A6006,"",""),2)),""."","","",1))"),37.77272)</f>
        <v>37.77272</v>
      </c>
      <c r="R6006" s="14" t="b">
        <f t="shared" si="1"/>
        <v>0</v>
      </c>
      <c r="S6006" s="14" t="str">
        <f t="shared" si="2"/>
        <v>44.679635,37.77272</v>
      </c>
      <c r="T6006" s="12"/>
    </row>
    <row r="6007">
      <c r="A6007" s="139" t="s">
        <v>38560</v>
      </c>
      <c r="B6007" s="140" t="s">
        <v>38561</v>
      </c>
      <c r="C6007" s="140" t="s">
        <v>38562</v>
      </c>
      <c r="D6007" s="140" t="s">
        <v>33342</v>
      </c>
      <c r="E6007" s="141" t="s">
        <v>38563</v>
      </c>
      <c r="F6007" s="139" t="s">
        <v>8566</v>
      </c>
      <c r="G6007" s="139" t="s">
        <v>33344</v>
      </c>
      <c r="H6007" s="139"/>
      <c r="I6007" s="140"/>
      <c r="J6007" s="140" t="s">
        <v>38564</v>
      </c>
      <c r="K6007" s="140" t="s">
        <v>38565</v>
      </c>
      <c r="L6007" s="140"/>
      <c r="M6007" s="140"/>
      <c r="N6007" s="12"/>
      <c r="O6007" s="12"/>
      <c r="P6007" s="13">
        <f>IFERROR(__xludf.DUMMYFUNCTION("VALUE(SUBSTITUTE((INDEX(SPLIT(A6007,"",""),1)),""."","","",1))"),44.791674)</f>
        <v>44.791674</v>
      </c>
      <c r="Q6007" s="13">
        <f>IFERROR(__xludf.DUMMYFUNCTION("VALUE(SUBSTITUTE((INDEX(SPLIT(A6007,"",""),2)),""."","","",1))"),37.674687)</f>
        <v>37.674687</v>
      </c>
      <c r="R6007" s="14" t="b">
        <f t="shared" si="1"/>
        <v>0</v>
      </c>
      <c r="S6007" s="14" t="str">
        <f t="shared" si="2"/>
        <v>44.791674,37.674687</v>
      </c>
      <c r="T6007" s="12"/>
    </row>
    <row r="6008">
      <c r="A6008" s="142" t="s">
        <v>38566</v>
      </c>
      <c r="B6008" s="143" t="s">
        <v>38567</v>
      </c>
      <c r="C6008" s="143" t="s">
        <v>38568</v>
      </c>
      <c r="D6008" s="143" t="s">
        <v>33342</v>
      </c>
      <c r="E6008" s="144" t="s">
        <v>38569</v>
      </c>
      <c r="F6008" s="142" t="s">
        <v>8566</v>
      </c>
      <c r="G6008" s="142" t="s">
        <v>33344</v>
      </c>
      <c r="H6008" s="142"/>
      <c r="I6008" s="143"/>
      <c r="J6008" s="143" t="s">
        <v>38570</v>
      </c>
      <c r="K6008" s="143" t="s">
        <v>38571</v>
      </c>
      <c r="L6008" s="145" t="s">
        <v>38572</v>
      </c>
      <c r="M6008" s="145" t="s">
        <v>38573</v>
      </c>
      <c r="N6008" s="12"/>
      <c r="O6008" s="12"/>
      <c r="P6008" s="13">
        <f>IFERROR(__xludf.DUMMYFUNCTION("VALUE(SUBSTITUTE((INDEX(SPLIT(A6008,"",""),1)),""."","","",1))"),44.750336)</f>
        <v>44.750336</v>
      </c>
      <c r="Q6008" s="13">
        <f>IFERROR(__xludf.DUMMYFUNCTION("VALUE(SUBSTITUTE((INDEX(SPLIT(A6008,"",""),2)),""."","","",1))"),37.758365)</f>
        <v>37.758365</v>
      </c>
      <c r="R6008" s="14" t="b">
        <f t="shared" si="1"/>
        <v>0</v>
      </c>
      <c r="S6008" s="14" t="str">
        <f t="shared" si="2"/>
        <v>44.750336,37.758365</v>
      </c>
      <c r="T6008" s="12"/>
    </row>
    <row r="6009">
      <c r="A6009" s="139" t="s">
        <v>38574</v>
      </c>
      <c r="B6009" s="140" t="s">
        <v>38575</v>
      </c>
      <c r="C6009" s="140" t="s">
        <v>38576</v>
      </c>
      <c r="D6009" s="140" t="s">
        <v>33342</v>
      </c>
      <c r="E6009" s="141" t="s">
        <v>38577</v>
      </c>
      <c r="F6009" s="139" t="s">
        <v>8566</v>
      </c>
      <c r="G6009" s="139" t="s">
        <v>33344</v>
      </c>
      <c r="H6009" s="139"/>
      <c r="I6009" s="140"/>
      <c r="J6009" s="140" t="s">
        <v>38578</v>
      </c>
      <c r="K6009" s="140" t="s">
        <v>38579</v>
      </c>
      <c r="L6009" s="140"/>
      <c r="M6009" s="154" t="s">
        <v>38580</v>
      </c>
      <c r="N6009" s="12"/>
      <c r="O6009" s="12"/>
      <c r="P6009" s="13">
        <f>IFERROR(__xludf.DUMMYFUNCTION("VALUE(SUBSTITUTE((INDEX(SPLIT(A6009,"",""),1)),""."","","",1))"),44.728113)</f>
        <v>44.728113</v>
      </c>
      <c r="Q6009" s="13">
        <f>IFERROR(__xludf.DUMMYFUNCTION("VALUE(SUBSTITUTE((INDEX(SPLIT(A6009,"",""),2)),""."","","",1))"),37.739159)</f>
        <v>37.739159</v>
      </c>
      <c r="R6009" s="14" t="b">
        <f t="shared" si="1"/>
        <v>0</v>
      </c>
      <c r="S6009" s="14" t="str">
        <f t="shared" si="2"/>
        <v>44.728113,37.739159</v>
      </c>
      <c r="T6009" s="12"/>
    </row>
    <row r="6010">
      <c r="A6010" s="142" t="s">
        <v>38581</v>
      </c>
      <c r="B6010" s="143" t="s">
        <v>35398</v>
      </c>
      <c r="C6010" s="143" t="s">
        <v>35399</v>
      </c>
      <c r="D6010" s="143" t="s">
        <v>33342</v>
      </c>
      <c r="E6010" s="144" t="s">
        <v>38582</v>
      </c>
      <c r="F6010" s="142" t="s">
        <v>8566</v>
      </c>
      <c r="G6010" s="142" t="s">
        <v>33344</v>
      </c>
      <c r="H6010" s="142"/>
      <c r="I6010" s="143"/>
      <c r="J6010" s="143" t="s">
        <v>38583</v>
      </c>
      <c r="K6010" s="143" t="s">
        <v>38584</v>
      </c>
      <c r="L6010" s="145" t="s">
        <v>38585</v>
      </c>
      <c r="M6010" s="143"/>
      <c r="N6010" s="12"/>
      <c r="O6010" s="12"/>
      <c r="P6010" s="13">
        <f>IFERROR(__xludf.DUMMYFUNCTION("VALUE(SUBSTITUTE((INDEX(SPLIT(A6010,"",""),1)),""."","","",1))"),44.715592)</f>
        <v>44.715592</v>
      </c>
      <c r="Q6010" s="13">
        <f>IFERROR(__xludf.DUMMYFUNCTION("VALUE(SUBSTITUTE((INDEX(SPLIT(A6010,"",""),2)),""."","","",1))"),37.586877)</f>
        <v>37.586877</v>
      </c>
      <c r="R6010" s="14" t="b">
        <f t="shared" si="1"/>
        <v>0</v>
      </c>
      <c r="S6010" s="14" t="str">
        <f t="shared" si="2"/>
        <v>44.715592,37.586877</v>
      </c>
      <c r="T6010" s="12"/>
    </row>
    <row r="6011">
      <c r="A6011" s="146" t="s">
        <v>38586</v>
      </c>
      <c r="B6011" s="147" t="s">
        <v>38587</v>
      </c>
      <c r="C6011" s="147" t="s">
        <v>38588</v>
      </c>
      <c r="D6011" s="147" t="s">
        <v>33342</v>
      </c>
      <c r="E6011" s="148" t="s">
        <v>38589</v>
      </c>
      <c r="F6011" s="146" t="s">
        <v>8566</v>
      </c>
      <c r="G6011" s="146" t="s">
        <v>33344</v>
      </c>
      <c r="H6011" s="146"/>
      <c r="I6011" s="147"/>
      <c r="J6011" s="147" t="s">
        <v>38590</v>
      </c>
      <c r="K6011" s="147" t="s">
        <v>38591</v>
      </c>
      <c r="L6011" s="149" t="s">
        <v>38592</v>
      </c>
      <c r="M6011" s="147"/>
      <c r="N6011" s="12"/>
      <c r="O6011" s="12"/>
      <c r="P6011" s="13">
        <f>IFERROR(__xludf.DUMMYFUNCTION("VALUE(SUBSTITUTE((INDEX(SPLIT(A6011,"",""),1)),""."","","",1))"),43.424188)</f>
        <v>43.424188</v>
      </c>
      <c r="Q6011" s="13">
        <f>IFERROR(__xludf.DUMMYFUNCTION("VALUE(SUBSTITUTE((INDEX(SPLIT(A6011,"",""),2)),""."","","",1))"),39.94658)</f>
        <v>39.94658</v>
      </c>
      <c r="R6011" s="14" t="b">
        <f t="shared" si="1"/>
        <v>0</v>
      </c>
      <c r="S6011" s="14" t="str">
        <f t="shared" si="2"/>
        <v>43.424188,39.94658</v>
      </c>
      <c r="T6011" s="12"/>
    </row>
    <row r="6012">
      <c r="A6012" s="142" t="s">
        <v>38593</v>
      </c>
      <c r="B6012" s="143" t="s">
        <v>38594</v>
      </c>
      <c r="C6012" s="143" t="s">
        <v>38595</v>
      </c>
      <c r="D6012" s="143" t="s">
        <v>33342</v>
      </c>
      <c r="E6012" s="144" t="s">
        <v>38596</v>
      </c>
      <c r="F6012" s="142" t="s">
        <v>8566</v>
      </c>
      <c r="G6012" s="142" t="s">
        <v>33344</v>
      </c>
      <c r="H6012" s="142"/>
      <c r="I6012" s="143"/>
      <c r="J6012" s="143" t="s">
        <v>38597</v>
      </c>
      <c r="K6012" s="143" t="s">
        <v>33421</v>
      </c>
      <c r="L6012" s="145" t="s">
        <v>38598</v>
      </c>
      <c r="M6012" s="143"/>
      <c r="N6012" s="12"/>
      <c r="O6012" s="12"/>
      <c r="P6012" s="13">
        <f>IFERROR(__xludf.DUMMYFUNCTION("VALUE(SUBSTITUTE((INDEX(SPLIT(A6012,"",""),1)),""."","","",1))"),43.453867)</f>
        <v>43.453867</v>
      </c>
      <c r="Q6012" s="13">
        <f>IFERROR(__xludf.DUMMYFUNCTION("VALUE(SUBSTITUTE((INDEX(SPLIT(A6012,"",""),2)),""."","","",1))"),39.912597)</f>
        <v>39.912597</v>
      </c>
      <c r="R6012" s="14" t="b">
        <f t="shared" si="1"/>
        <v>0</v>
      </c>
      <c r="S6012" s="14" t="str">
        <f t="shared" si="2"/>
        <v>43.453867,39.912597</v>
      </c>
      <c r="T6012" s="12"/>
    </row>
    <row r="6013">
      <c r="A6013" s="139" t="s">
        <v>38599</v>
      </c>
      <c r="B6013" s="140" t="s">
        <v>38600</v>
      </c>
      <c r="C6013" s="140" t="s">
        <v>38601</v>
      </c>
      <c r="D6013" s="140" t="s">
        <v>33342</v>
      </c>
      <c r="E6013" s="141" t="s">
        <v>38602</v>
      </c>
      <c r="F6013" s="139" t="s">
        <v>8566</v>
      </c>
      <c r="G6013" s="139" t="s">
        <v>33344</v>
      </c>
      <c r="H6013" s="139"/>
      <c r="I6013" s="140"/>
      <c r="J6013" s="140" t="s">
        <v>38603</v>
      </c>
      <c r="K6013" s="140" t="s">
        <v>38604</v>
      </c>
      <c r="L6013" s="140"/>
      <c r="M6013" s="140"/>
      <c r="N6013" s="12"/>
      <c r="O6013" s="12"/>
      <c r="P6013" s="13">
        <f>IFERROR(__xludf.DUMMYFUNCTION("VALUE(SUBSTITUTE((INDEX(SPLIT(A6013,"",""),1)),""."","","",1))"),43.431443)</f>
        <v>43.431443</v>
      </c>
      <c r="Q6013" s="13">
        <f>IFERROR(__xludf.DUMMYFUNCTION("VALUE(SUBSTITUTE((INDEX(SPLIT(A6013,"",""),2)),""."","","",1))"),39.921958)</f>
        <v>39.921958</v>
      </c>
      <c r="R6013" s="14" t="b">
        <f t="shared" si="1"/>
        <v>0</v>
      </c>
      <c r="S6013" s="14" t="str">
        <f t="shared" si="2"/>
        <v>43.431443,39.921958</v>
      </c>
      <c r="T6013" s="12"/>
    </row>
    <row r="6014">
      <c r="A6014" s="142" t="s">
        <v>38605</v>
      </c>
      <c r="B6014" s="143" t="s">
        <v>38606</v>
      </c>
      <c r="C6014" s="143" t="s">
        <v>38607</v>
      </c>
      <c r="D6014" s="143" t="s">
        <v>33342</v>
      </c>
      <c r="E6014" s="144" t="s">
        <v>38608</v>
      </c>
      <c r="F6014" s="142" t="s">
        <v>8566</v>
      </c>
      <c r="G6014" s="142" t="s">
        <v>33344</v>
      </c>
      <c r="H6014" s="142"/>
      <c r="I6014" s="143"/>
      <c r="J6014" s="143" t="s">
        <v>38609</v>
      </c>
      <c r="K6014" s="143" t="s">
        <v>38610</v>
      </c>
      <c r="L6014" s="152" t="s">
        <v>38611</v>
      </c>
      <c r="M6014" s="143"/>
      <c r="N6014" s="12"/>
      <c r="O6014" s="12"/>
      <c r="P6014" s="13">
        <f>IFERROR(__xludf.DUMMYFUNCTION("VALUE(SUBSTITUTE((INDEX(SPLIT(A6014,"",""),1)),""."","","",1))"),45.024635)</f>
        <v>45.024635</v>
      </c>
      <c r="Q6014" s="13">
        <f>IFERROR(__xludf.DUMMYFUNCTION("VALUE(SUBSTITUTE((INDEX(SPLIT(A6014,"",""),2)),""."","","",1))"),38.973786)</f>
        <v>38.973786</v>
      </c>
      <c r="R6014" s="14" t="b">
        <f t="shared" si="1"/>
        <v>0</v>
      </c>
      <c r="S6014" s="14" t="str">
        <f t="shared" si="2"/>
        <v>45.024635,38.973786</v>
      </c>
      <c r="T6014" s="12"/>
    </row>
    <row r="6015">
      <c r="A6015" s="146" t="s">
        <v>38612</v>
      </c>
      <c r="B6015" s="147" t="s">
        <v>38613</v>
      </c>
      <c r="C6015" s="147" t="s">
        <v>38614</v>
      </c>
      <c r="D6015" s="147" t="s">
        <v>33342</v>
      </c>
      <c r="E6015" s="148" t="s">
        <v>38615</v>
      </c>
      <c r="F6015" s="146" t="s">
        <v>8566</v>
      </c>
      <c r="G6015" s="146" t="s">
        <v>33344</v>
      </c>
      <c r="H6015" s="146"/>
      <c r="I6015" s="147"/>
      <c r="J6015" s="147" t="s">
        <v>38616</v>
      </c>
      <c r="K6015" s="147" t="s">
        <v>38617</v>
      </c>
      <c r="L6015" s="150" t="s">
        <v>38618</v>
      </c>
      <c r="M6015" s="147"/>
      <c r="N6015" s="12"/>
      <c r="O6015" s="12"/>
      <c r="P6015" s="13">
        <f>IFERROR(__xludf.DUMMYFUNCTION("VALUE(SUBSTITUTE((INDEX(SPLIT(A6015,"",""),1)),""."","","",1))"),43.454365)</f>
        <v>43.454365</v>
      </c>
      <c r="Q6015" s="13">
        <f>IFERROR(__xludf.DUMMYFUNCTION("VALUE(SUBSTITUTE((INDEX(SPLIT(A6015,"",""),2)),""."","","",1))"),39.918355)</f>
        <v>39.918355</v>
      </c>
      <c r="R6015" s="14" t="b">
        <f t="shared" si="1"/>
        <v>0</v>
      </c>
      <c r="S6015" s="14" t="str">
        <f t="shared" si="2"/>
        <v>43.454365,39.918355</v>
      </c>
      <c r="T6015" s="12"/>
    </row>
    <row r="6016">
      <c r="A6016" s="142" t="s">
        <v>38619</v>
      </c>
      <c r="B6016" s="143" t="s">
        <v>38620</v>
      </c>
      <c r="C6016" s="143" t="s">
        <v>38621</v>
      </c>
      <c r="D6016" s="143" t="s">
        <v>33342</v>
      </c>
      <c r="E6016" s="144" t="s">
        <v>38622</v>
      </c>
      <c r="F6016" s="142" t="s">
        <v>8566</v>
      </c>
      <c r="G6016" s="142" t="s">
        <v>33344</v>
      </c>
      <c r="H6016" s="142"/>
      <c r="I6016" s="143"/>
      <c r="J6016" s="143" t="s">
        <v>38623</v>
      </c>
      <c r="K6016" s="143" t="s">
        <v>38624</v>
      </c>
      <c r="L6016" s="145" t="s">
        <v>38625</v>
      </c>
      <c r="M6016" s="143"/>
      <c r="N6016" s="12"/>
      <c r="O6016" s="12"/>
      <c r="P6016" s="13">
        <f>IFERROR(__xludf.DUMMYFUNCTION("VALUE(SUBSTITUTE((INDEX(SPLIT(A6016,"",""),1)),""."","","",1))"),43.576794)</f>
        <v>43.576794</v>
      </c>
      <c r="Q6016" s="13">
        <f>IFERROR(__xludf.DUMMYFUNCTION("VALUE(SUBSTITUTE((INDEX(SPLIT(A6016,"",""),2)),""."","","",1))"),39.747999)</f>
        <v>39.747999</v>
      </c>
      <c r="R6016" s="14" t="b">
        <f t="shared" si="1"/>
        <v>0</v>
      </c>
      <c r="S6016" s="14" t="str">
        <f t="shared" si="2"/>
        <v>43.576794,39.747999</v>
      </c>
      <c r="T6016" s="12"/>
    </row>
    <row r="6017">
      <c r="A6017" s="146" t="s">
        <v>38626</v>
      </c>
      <c r="B6017" s="147" t="s">
        <v>38627</v>
      </c>
      <c r="C6017" s="147" t="s">
        <v>38628</v>
      </c>
      <c r="D6017" s="147" t="s">
        <v>33342</v>
      </c>
      <c r="E6017" s="148" t="s">
        <v>38629</v>
      </c>
      <c r="F6017" s="146" t="s">
        <v>8566</v>
      </c>
      <c r="G6017" s="146" t="s">
        <v>33344</v>
      </c>
      <c r="H6017" s="146"/>
      <c r="I6017" s="147"/>
      <c r="J6017" s="147" t="s">
        <v>38630</v>
      </c>
      <c r="K6017" s="147" t="s">
        <v>38631</v>
      </c>
      <c r="L6017" s="149" t="s">
        <v>38632</v>
      </c>
      <c r="M6017" s="149" t="s">
        <v>38633</v>
      </c>
      <c r="N6017" s="12"/>
      <c r="O6017" s="12"/>
      <c r="P6017" s="13">
        <f>IFERROR(__xludf.DUMMYFUNCTION("VALUE(SUBSTITUTE((INDEX(SPLIT(A6017,"",""),1)),""."","","",1))"),43.601332)</f>
        <v>43.601332</v>
      </c>
      <c r="Q6017" s="13">
        <f>IFERROR(__xludf.DUMMYFUNCTION("VALUE(SUBSTITUTE((INDEX(SPLIT(A6017,"",""),2)),""."","","",1))"),39.739636)</f>
        <v>39.739636</v>
      </c>
      <c r="R6017" s="14" t="b">
        <f t="shared" si="1"/>
        <v>0</v>
      </c>
      <c r="S6017" s="14" t="str">
        <f t="shared" si="2"/>
        <v>43.601332,39.739636</v>
      </c>
      <c r="T6017" s="12"/>
    </row>
    <row r="6018">
      <c r="A6018" s="142" t="s">
        <v>38634</v>
      </c>
      <c r="B6018" s="143" t="s">
        <v>38635</v>
      </c>
      <c r="C6018" s="143" t="s">
        <v>38636</v>
      </c>
      <c r="D6018" s="143" t="s">
        <v>33342</v>
      </c>
      <c r="E6018" s="144" t="s">
        <v>38637</v>
      </c>
      <c r="F6018" s="142" t="s">
        <v>8566</v>
      </c>
      <c r="G6018" s="142" t="s">
        <v>33344</v>
      </c>
      <c r="H6018" s="142"/>
      <c r="I6018" s="143"/>
      <c r="J6018" s="143" t="s">
        <v>38638</v>
      </c>
      <c r="K6018" s="143" t="s">
        <v>33714</v>
      </c>
      <c r="L6018" s="145" t="s">
        <v>38639</v>
      </c>
      <c r="M6018" s="145" t="s">
        <v>38640</v>
      </c>
      <c r="N6018" s="12"/>
      <c r="O6018" s="12"/>
      <c r="P6018" s="13">
        <f>IFERROR(__xludf.DUMMYFUNCTION("VALUE(SUBSTITUTE((INDEX(SPLIT(A6018,"",""),1)),""."","","",1))"),43.426257)</f>
        <v>43.426257</v>
      </c>
      <c r="Q6018" s="13">
        <f>IFERROR(__xludf.DUMMYFUNCTION("VALUE(SUBSTITUTE((INDEX(SPLIT(A6018,"",""),2)),""."","","",1))"),39.945332)</f>
        <v>39.945332</v>
      </c>
      <c r="R6018" s="14" t="b">
        <f t="shared" si="1"/>
        <v>0</v>
      </c>
      <c r="S6018" s="14" t="str">
        <f t="shared" si="2"/>
        <v>43.426257,39.945332</v>
      </c>
      <c r="T6018" s="12"/>
    </row>
    <row r="6019">
      <c r="A6019" s="146" t="s">
        <v>38641</v>
      </c>
      <c r="B6019" s="147" t="s">
        <v>38642</v>
      </c>
      <c r="C6019" s="147" t="s">
        <v>38643</v>
      </c>
      <c r="D6019" s="147" t="s">
        <v>33342</v>
      </c>
      <c r="E6019" s="148" t="s">
        <v>38644</v>
      </c>
      <c r="F6019" s="146" t="s">
        <v>8566</v>
      </c>
      <c r="G6019" s="146" t="s">
        <v>33344</v>
      </c>
      <c r="H6019" s="146"/>
      <c r="I6019" s="147"/>
      <c r="J6019" s="147" t="s">
        <v>38645</v>
      </c>
      <c r="K6019" s="147" t="s">
        <v>38646</v>
      </c>
      <c r="L6019" s="149" t="s">
        <v>38647</v>
      </c>
      <c r="M6019" s="149" t="s">
        <v>38648</v>
      </c>
      <c r="N6019" s="12"/>
      <c r="O6019" s="12"/>
      <c r="P6019" s="13">
        <f>IFERROR(__xludf.DUMMYFUNCTION("VALUE(SUBSTITUTE((INDEX(SPLIT(A6019,"",""),1)),""."","","",1))"),43.433099)</f>
        <v>43.433099</v>
      </c>
      <c r="Q6019" s="13">
        <f>IFERROR(__xludf.DUMMYFUNCTION("VALUE(SUBSTITUTE((INDEX(SPLIT(A6019,"",""),2)),""."","","",1))"),39.934417)</f>
        <v>39.934417</v>
      </c>
      <c r="R6019" s="14" t="b">
        <f t="shared" si="1"/>
        <v>0</v>
      </c>
      <c r="S6019" s="14" t="str">
        <f t="shared" si="2"/>
        <v>43.433099,39.934417</v>
      </c>
      <c r="T6019" s="12"/>
    </row>
    <row r="6020">
      <c r="A6020" s="142" t="s">
        <v>38649</v>
      </c>
      <c r="B6020" s="143" t="s">
        <v>38650</v>
      </c>
      <c r="C6020" s="143" t="s">
        <v>38651</v>
      </c>
      <c r="D6020" s="143" t="s">
        <v>33342</v>
      </c>
      <c r="E6020" s="144" t="s">
        <v>38652</v>
      </c>
      <c r="F6020" s="142" t="s">
        <v>8566</v>
      </c>
      <c r="G6020" s="142" t="s">
        <v>33344</v>
      </c>
      <c r="H6020" s="142"/>
      <c r="I6020" s="143"/>
      <c r="J6020" s="143" t="s">
        <v>38653</v>
      </c>
      <c r="K6020" s="143" t="s">
        <v>38654</v>
      </c>
      <c r="L6020" s="145" t="s">
        <v>38655</v>
      </c>
      <c r="M6020" s="143"/>
      <c r="N6020" s="12"/>
      <c r="O6020" s="12"/>
      <c r="P6020" s="13">
        <f>IFERROR(__xludf.DUMMYFUNCTION("VALUE(SUBSTITUTE((INDEX(SPLIT(A6020,"",""),1)),""."","","",1))"),43.661276)</f>
        <v>43.661276</v>
      </c>
      <c r="Q6020" s="13">
        <f>IFERROR(__xludf.DUMMYFUNCTION("VALUE(SUBSTITUTE((INDEX(SPLIT(A6020,"",""),2)),""."","","",1))"),39.764744)</f>
        <v>39.764744</v>
      </c>
      <c r="R6020" s="14" t="b">
        <f t="shared" si="1"/>
        <v>0</v>
      </c>
      <c r="S6020" s="14" t="str">
        <f t="shared" si="2"/>
        <v>43.661276,39.764744</v>
      </c>
      <c r="T6020" s="12"/>
    </row>
    <row r="6021">
      <c r="A6021" s="146" t="s">
        <v>38656</v>
      </c>
      <c r="B6021" s="147" t="s">
        <v>38657</v>
      </c>
      <c r="C6021" s="147" t="s">
        <v>38658</v>
      </c>
      <c r="D6021" s="147" t="s">
        <v>33342</v>
      </c>
      <c r="E6021" s="148" t="s">
        <v>38659</v>
      </c>
      <c r="F6021" s="146" t="s">
        <v>8566</v>
      </c>
      <c r="G6021" s="146" t="s">
        <v>33344</v>
      </c>
      <c r="H6021" s="146"/>
      <c r="I6021" s="147"/>
      <c r="J6021" s="147" t="s">
        <v>38660</v>
      </c>
      <c r="K6021" s="147" t="s">
        <v>38661</v>
      </c>
      <c r="L6021" s="149" t="s">
        <v>38662</v>
      </c>
      <c r="M6021" s="147"/>
      <c r="N6021" s="12"/>
      <c r="O6021" s="12"/>
      <c r="P6021" s="13">
        <f>IFERROR(__xludf.DUMMYFUNCTION("VALUE(SUBSTITUTE((INDEX(SPLIT(A6021,"",""),1)),""."","","",1))"),43.720737)</f>
        <v>43.720737</v>
      </c>
      <c r="Q6021" s="13">
        <f>IFERROR(__xludf.DUMMYFUNCTION("VALUE(SUBSTITUTE((INDEX(SPLIT(A6021,"",""),2)),""."","","",1))"),39.576735)</f>
        <v>39.576735</v>
      </c>
      <c r="R6021" s="14" t="b">
        <f t="shared" si="1"/>
        <v>0</v>
      </c>
      <c r="S6021" s="14" t="str">
        <f t="shared" si="2"/>
        <v>43.720737,39.576735</v>
      </c>
      <c r="T6021" s="12"/>
    </row>
    <row r="6022">
      <c r="A6022" s="142" t="s">
        <v>38663</v>
      </c>
      <c r="B6022" s="143" t="s">
        <v>38664</v>
      </c>
      <c r="C6022" s="143" t="s">
        <v>38665</v>
      </c>
      <c r="D6022" s="143" t="s">
        <v>33342</v>
      </c>
      <c r="E6022" s="144" t="s">
        <v>38666</v>
      </c>
      <c r="F6022" s="142" t="s">
        <v>8566</v>
      </c>
      <c r="G6022" s="142" t="s">
        <v>33344</v>
      </c>
      <c r="H6022" s="142"/>
      <c r="I6022" s="143"/>
      <c r="J6022" s="143" t="s">
        <v>38667</v>
      </c>
      <c r="K6022" s="143" t="s">
        <v>38668</v>
      </c>
      <c r="L6022" s="145" t="s">
        <v>38669</v>
      </c>
      <c r="M6022" s="143"/>
      <c r="N6022" s="12"/>
      <c r="O6022" s="12"/>
      <c r="P6022" s="13">
        <f>IFERROR(__xludf.DUMMYFUNCTION("VALUE(SUBSTITUTE((INDEX(SPLIT(A6022,"",""),1)),""."","","",1))"),43.905147)</f>
        <v>43.905147</v>
      </c>
      <c r="Q6022" s="13">
        <f>IFERROR(__xludf.DUMMYFUNCTION("VALUE(SUBSTITUTE((INDEX(SPLIT(A6022,"",""),2)),""."","","",1))"),39.334424)</f>
        <v>39.334424</v>
      </c>
      <c r="R6022" s="14" t="b">
        <f t="shared" si="1"/>
        <v>0</v>
      </c>
      <c r="S6022" s="14" t="str">
        <f t="shared" si="2"/>
        <v>43.905147,39.334424</v>
      </c>
      <c r="T6022" s="12"/>
    </row>
    <row r="6023">
      <c r="A6023" s="146" t="s">
        <v>38670</v>
      </c>
      <c r="B6023" s="147" t="s">
        <v>38671</v>
      </c>
      <c r="C6023" s="147" t="s">
        <v>38672</v>
      </c>
      <c r="D6023" s="147" t="s">
        <v>33342</v>
      </c>
      <c r="E6023" s="148" t="s">
        <v>38673</v>
      </c>
      <c r="F6023" s="146" t="s">
        <v>8566</v>
      </c>
      <c r="G6023" s="146" t="s">
        <v>33344</v>
      </c>
      <c r="H6023" s="146"/>
      <c r="I6023" s="147"/>
      <c r="J6023" s="147" t="s">
        <v>38674</v>
      </c>
      <c r="K6023" s="147" t="s">
        <v>38675</v>
      </c>
      <c r="L6023" s="149" t="s">
        <v>38676</v>
      </c>
      <c r="M6023" s="147"/>
      <c r="N6023" s="12"/>
      <c r="O6023" s="12"/>
      <c r="P6023" s="13">
        <f>IFERROR(__xludf.DUMMYFUNCTION("VALUE(SUBSTITUTE((INDEX(SPLIT(A6023,"",""),1)),""."","","",1))"),43.902907)</f>
        <v>43.902907</v>
      </c>
      <c r="Q6023" s="13">
        <f>IFERROR(__xludf.DUMMYFUNCTION("VALUE(SUBSTITUTE((INDEX(SPLIT(A6023,"",""),2)),""."","","",1))"),39.340029)</f>
        <v>39.340029</v>
      </c>
      <c r="R6023" s="14" t="b">
        <f t="shared" si="1"/>
        <v>0</v>
      </c>
      <c r="S6023" s="14" t="str">
        <f t="shared" si="2"/>
        <v>43.902907,39.340029</v>
      </c>
      <c r="T6023" s="12"/>
    </row>
    <row r="6024">
      <c r="A6024" s="142" t="s">
        <v>38677</v>
      </c>
      <c r="B6024" s="143" t="s">
        <v>38678</v>
      </c>
      <c r="C6024" s="143" t="s">
        <v>38679</v>
      </c>
      <c r="D6024" s="143" t="s">
        <v>33342</v>
      </c>
      <c r="E6024" s="144" t="s">
        <v>38680</v>
      </c>
      <c r="F6024" s="142" t="s">
        <v>8566</v>
      </c>
      <c r="G6024" s="142" t="s">
        <v>33344</v>
      </c>
      <c r="H6024" s="142"/>
      <c r="I6024" s="143"/>
      <c r="J6024" s="143" t="s">
        <v>38681</v>
      </c>
      <c r="K6024" s="143" t="s">
        <v>38682</v>
      </c>
      <c r="L6024" s="145" t="s">
        <v>38683</v>
      </c>
      <c r="M6024" s="143"/>
      <c r="N6024" s="12"/>
      <c r="O6024" s="12"/>
      <c r="P6024" s="13">
        <f>IFERROR(__xludf.DUMMYFUNCTION("VALUE(SUBSTITUTE((INDEX(SPLIT(A6024,"",""),1)),""."","","",1))"),43.707581)</f>
        <v>43.707581</v>
      </c>
      <c r="Q6024" s="13">
        <f>IFERROR(__xludf.DUMMYFUNCTION("VALUE(SUBSTITUTE((INDEX(SPLIT(A6024,"",""),2)),""."","","",1))"),39.585179)</f>
        <v>39.585179</v>
      </c>
      <c r="R6024" s="14" t="b">
        <f t="shared" si="1"/>
        <v>0</v>
      </c>
      <c r="S6024" s="14" t="str">
        <f t="shared" si="2"/>
        <v>43.707581,39.585179</v>
      </c>
      <c r="T6024" s="12"/>
    </row>
    <row r="6025">
      <c r="A6025" s="146" t="s">
        <v>38684</v>
      </c>
      <c r="B6025" s="147" t="s">
        <v>38685</v>
      </c>
      <c r="C6025" s="147" t="s">
        <v>38686</v>
      </c>
      <c r="D6025" s="147" t="s">
        <v>33342</v>
      </c>
      <c r="E6025" s="148" t="s">
        <v>38687</v>
      </c>
      <c r="F6025" s="146" t="s">
        <v>8566</v>
      </c>
      <c r="G6025" s="146" t="s">
        <v>33344</v>
      </c>
      <c r="H6025" s="146"/>
      <c r="I6025" s="147"/>
      <c r="J6025" s="147" t="s">
        <v>38688</v>
      </c>
      <c r="K6025" s="147" t="s">
        <v>38689</v>
      </c>
      <c r="L6025" s="149" t="s">
        <v>38690</v>
      </c>
      <c r="M6025" s="149" t="s">
        <v>38691</v>
      </c>
      <c r="N6025" s="12"/>
      <c r="O6025" s="12"/>
      <c r="P6025" s="13">
        <f>IFERROR(__xludf.DUMMYFUNCTION("VALUE(SUBSTITUTE((INDEX(SPLIT(A6025,"",""),1)),""."","","",1))"),43.663552)</f>
        <v>43.663552</v>
      </c>
      <c r="Q6025" s="13">
        <f>IFERROR(__xludf.DUMMYFUNCTION("VALUE(SUBSTITUTE((INDEX(SPLIT(A6025,"",""),2)),""."","","",1))"),39.663988)</f>
        <v>39.663988</v>
      </c>
      <c r="R6025" s="14" t="b">
        <f t="shared" si="1"/>
        <v>0</v>
      </c>
      <c r="S6025" s="14" t="str">
        <f t="shared" si="2"/>
        <v>43.663552,39.663988</v>
      </c>
      <c r="T6025" s="12"/>
    </row>
    <row r="6026">
      <c r="A6026" s="142" t="s">
        <v>38692</v>
      </c>
      <c r="B6026" s="143" t="s">
        <v>38693</v>
      </c>
      <c r="C6026" s="143" t="s">
        <v>38694</v>
      </c>
      <c r="D6026" s="143" t="s">
        <v>33342</v>
      </c>
      <c r="E6026" s="144" t="s">
        <v>38695</v>
      </c>
      <c r="F6026" s="142" t="s">
        <v>8566</v>
      </c>
      <c r="G6026" s="142" t="s">
        <v>33344</v>
      </c>
      <c r="H6026" s="142"/>
      <c r="I6026" s="143"/>
      <c r="J6026" s="143" t="s">
        <v>38696</v>
      </c>
      <c r="K6026" s="143" t="s">
        <v>38697</v>
      </c>
      <c r="L6026" s="145" t="s">
        <v>38698</v>
      </c>
      <c r="M6026" s="145" t="s">
        <v>38699</v>
      </c>
      <c r="N6026" s="12"/>
      <c r="O6026" s="12"/>
      <c r="P6026" s="13">
        <f>IFERROR(__xludf.DUMMYFUNCTION("VALUE(SUBSTITUTE((INDEX(SPLIT(A6026,"",""),1)),""."","","",1))"),43.601749)</f>
        <v>43.601749</v>
      </c>
      <c r="Q6026" s="13">
        <f>IFERROR(__xludf.DUMMYFUNCTION("VALUE(SUBSTITUTE((INDEX(SPLIT(A6026,"",""),2)),""."","","",1))"),39.732692)</f>
        <v>39.732692</v>
      </c>
      <c r="R6026" s="14" t="b">
        <f t="shared" si="1"/>
        <v>0</v>
      </c>
      <c r="S6026" s="14" t="str">
        <f t="shared" si="2"/>
        <v>43.601749,39.732692</v>
      </c>
      <c r="T6026" s="12"/>
    </row>
    <row r="6027">
      <c r="A6027" s="146" t="s">
        <v>38700</v>
      </c>
      <c r="B6027" s="147" t="s">
        <v>38701</v>
      </c>
      <c r="C6027" s="147" t="s">
        <v>38702</v>
      </c>
      <c r="D6027" s="147" t="s">
        <v>33342</v>
      </c>
      <c r="E6027" s="148" t="s">
        <v>38703</v>
      </c>
      <c r="F6027" s="146" t="s">
        <v>8566</v>
      </c>
      <c r="G6027" s="146" t="s">
        <v>33344</v>
      </c>
      <c r="H6027" s="146"/>
      <c r="I6027" s="147"/>
      <c r="J6027" s="147" t="s">
        <v>38704</v>
      </c>
      <c r="K6027" s="147" t="s">
        <v>38705</v>
      </c>
      <c r="L6027" s="150" t="s">
        <v>38706</v>
      </c>
      <c r="M6027" s="147"/>
      <c r="N6027" s="12"/>
      <c r="O6027" s="12"/>
      <c r="P6027" s="13">
        <f>IFERROR(__xludf.DUMMYFUNCTION("VALUE(SUBSTITUTE((INDEX(SPLIT(A6027,"",""),1)),""."","","",1))"),43.564449)</f>
        <v>43.564449</v>
      </c>
      <c r="Q6027" s="13">
        <f>IFERROR(__xludf.DUMMYFUNCTION("VALUE(SUBSTITUTE((INDEX(SPLIT(A6027,"",""),2)),""."","","",1))"),39.766666)</f>
        <v>39.766666</v>
      </c>
      <c r="R6027" s="14" t="b">
        <f t="shared" si="1"/>
        <v>0</v>
      </c>
      <c r="S6027" s="14" t="str">
        <f t="shared" si="2"/>
        <v>43.564449,39.766666</v>
      </c>
      <c r="T6027" s="12"/>
    </row>
    <row r="6028">
      <c r="A6028" s="142" t="s">
        <v>8482</v>
      </c>
      <c r="B6028" s="143" t="s">
        <v>2128</v>
      </c>
      <c r="C6028" s="143" t="s">
        <v>38707</v>
      </c>
      <c r="D6028" s="143" t="s">
        <v>33342</v>
      </c>
      <c r="E6028" s="144" t="s">
        <v>38708</v>
      </c>
      <c r="F6028" s="142" t="s">
        <v>8566</v>
      </c>
      <c r="G6028" s="142" t="s">
        <v>33344</v>
      </c>
      <c r="H6028" s="142"/>
      <c r="I6028" s="143"/>
      <c r="J6028" s="143" t="s">
        <v>38709</v>
      </c>
      <c r="K6028" s="143" t="s">
        <v>38710</v>
      </c>
      <c r="L6028" s="145" t="s">
        <v>38711</v>
      </c>
      <c r="M6028" s="143"/>
      <c r="N6028" s="12"/>
      <c r="O6028" s="12"/>
      <c r="P6028" s="13">
        <f>IFERROR(__xludf.DUMMYFUNCTION("VALUE(SUBSTITUTE((INDEX(SPLIT(A6028,"",""),1)),""."","","",1))"),54.502429)</f>
        <v>54.502429</v>
      </c>
      <c r="Q6028" s="13">
        <f>IFERROR(__xludf.DUMMYFUNCTION("VALUE(SUBSTITUTE((INDEX(SPLIT(A6028,"",""),2)),""."","","",1))"),37.066034)</f>
        <v>37.066034</v>
      </c>
      <c r="R6028" s="14" t="b">
        <f t="shared" si="1"/>
        <v>0</v>
      </c>
      <c r="S6028" s="14" t="str">
        <f t="shared" si="2"/>
        <v>54.502429,37.066034</v>
      </c>
      <c r="T6028" s="12"/>
    </row>
    <row r="6029">
      <c r="A6029" s="146" t="s">
        <v>38712</v>
      </c>
      <c r="B6029" s="147" t="s">
        <v>38713</v>
      </c>
      <c r="C6029" s="147" t="s">
        <v>38714</v>
      </c>
      <c r="D6029" s="147" t="s">
        <v>33342</v>
      </c>
      <c r="E6029" s="148" t="s">
        <v>38715</v>
      </c>
      <c r="F6029" s="146" t="s">
        <v>8566</v>
      </c>
      <c r="G6029" s="146" t="s">
        <v>33344</v>
      </c>
      <c r="H6029" s="146"/>
      <c r="I6029" s="151" t="s">
        <v>38716</v>
      </c>
      <c r="J6029" s="147" t="s">
        <v>38717</v>
      </c>
      <c r="K6029" s="147" t="s">
        <v>38718</v>
      </c>
      <c r="L6029" s="149" t="s">
        <v>38719</v>
      </c>
      <c r="M6029" s="149" t="s">
        <v>38720</v>
      </c>
      <c r="N6029" s="12"/>
      <c r="O6029" s="12"/>
      <c r="P6029" s="13">
        <f>IFERROR(__xludf.DUMMYFUNCTION("VALUE(SUBSTITUTE((INDEX(SPLIT(A6029,"",""),1)),""."","","",1))"),43.585472)</f>
        <v>43.585472</v>
      </c>
      <c r="Q6029" s="13">
        <f>IFERROR(__xludf.DUMMYFUNCTION("VALUE(SUBSTITUTE((INDEX(SPLIT(A6029,"",""),2)),""."","","",1))"),39.723098)</f>
        <v>39.723098</v>
      </c>
      <c r="R6029" s="14" t="b">
        <f t="shared" si="1"/>
        <v>0</v>
      </c>
      <c r="S6029" s="14" t="str">
        <f t="shared" si="2"/>
        <v>43.585472,39.723098</v>
      </c>
      <c r="T6029" s="12"/>
    </row>
    <row r="6030">
      <c r="A6030" s="136" t="s">
        <v>38721</v>
      </c>
      <c r="B6030" s="137" t="s">
        <v>38722</v>
      </c>
      <c r="C6030" s="137" t="s">
        <v>38723</v>
      </c>
      <c r="D6030" s="137" t="s">
        <v>33342</v>
      </c>
      <c r="E6030" s="138" t="s">
        <v>38724</v>
      </c>
      <c r="F6030" s="136" t="s">
        <v>8566</v>
      </c>
      <c r="G6030" s="136" t="s">
        <v>33344</v>
      </c>
      <c r="H6030" s="136"/>
      <c r="I6030" s="137"/>
      <c r="J6030" s="137" t="s">
        <v>38725</v>
      </c>
      <c r="K6030" s="137" t="s">
        <v>38726</v>
      </c>
      <c r="L6030" s="137"/>
      <c r="M6030" s="137"/>
      <c r="N6030" s="12"/>
      <c r="O6030" s="12"/>
      <c r="P6030" s="13">
        <f>IFERROR(__xludf.DUMMYFUNCTION("VALUE(SUBSTITUTE((INDEX(SPLIT(A6030,"",""),1)),""."","","",1))"),43.65615)</f>
        <v>43.65615</v>
      </c>
      <c r="Q6030" s="13">
        <f>IFERROR(__xludf.DUMMYFUNCTION("VALUE(SUBSTITUTE((INDEX(SPLIT(A6030,"",""),2)),""."","","",1))"),39.694819)</f>
        <v>39.694819</v>
      </c>
      <c r="R6030" s="14" t="b">
        <f t="shared" si="1"/>
        <v>0</v>
      </c>
      <c r="S6030" s="14" t="str">
        <f t="shared" si="2"/>
        <v>43.65615,39.694819</v>
      </c>
      <c r="T6030" s="12"/>
    </row>
    <row r="6031">
      <c r="A6031" s="146" t="s">
        <v>38727</v>
      </c>
      <c r="B6031" s="147" t="s">
        <v>38728</v>
      </c>
      <c r="C6031" s="147" t="s">
        <v>38729</v>
      </c>
      <c r="D6031" s="147" t="s">
        <v>33342</v>
      </c>
      <c r="E6031" s="148" t="s">
        <v>38730</v>
      </c>
      <c r="F6031" s="146" t="s">
        <v>8566</v>
      </c>
      <c r="G6031" s="146" t="s">
        <v>33344</v>
      </c>
      <c r="H6031" s="146"/>
      <c r="I6031" s="147"/>
      <c r="J6031" s="147" t="s">
        <v>38731</v>
      </c>
      <c r="K6031" s="147" t="s">
        <v>33630</v>
      </c>
      <c r="L6031" s="149" t="s">
        <v>38732</v>
      </c>
      <c r="M6031" s="147"/>
      <c r="N6031" s="12"/>
      <c r="O6031" s="12"/>
      <c r="P6031" s="13">
        <f>IFERROR(__xludf.DUMMYFUNCTION("VALUE(SUBSTITUTE((INDEX(SPLIT(A6031,"",""),1)),""."","","",1))"),43.396086)</f>
        <v>43.396086</v>
      </c>
      <c r="Q6031" s="13">
        <f>IFERROR(__xludf.DUMMYFUNCTION("VALUE(SUBSTITUTE((INDEX(SPLIT(A6031,"",""),2)),""."","","",1))"),39.977177)</f>
        <v>39.977177</v>
      </c>
      <c r="R6031" s="14" t="b">
        <f t="shared" si="1"/>
        <v>0</v>
      </c>
      <c r="S6031" s="14" t="str">
        <f t="shared" si="2"/>
        <v>43.396086,39.977177</v>
      </c>
      <c r="T6031" s="12"/>
    </row>
    <row r="6032">
      <c r="A6032" s="136" t="s">
        <v>38733</v>
      </c>
      <c r="B6032" s="137" t="s">
        <v>38734</v>
      </c>
      <c r="C6032" s="137" t="s">
        <v>38735</v>
      </c>
      <c r="D6032" s="137" t="s">
        <v>33342</v>
      </c>
      <c r="E6032" s="138" t="s">
        <v>38736</v>
      </c>
      <c r="F6032" s="136" t="s">
        <v>8566</v>
      </c>
      <c r="G6032" s="136" t="s">
        <v>33344</v>
      </c>
      <c r="H6032" s="136"/>
      <c r="I6032" s="137"/>
      <c r="J6032" s="137" t="s">
        <v>38737</v>
      </c>
      <c r="K6032" s="137" t="s">
        <v>38738</v>
      </c>
      <c r="L6032" s="137"/>
      <c r="M6032" s="137"/>
      <c r="N6032" s="12"/>
      <c r="O6032" s="12"/>
      <c r="P6032" s="13">
        <f>IFERROR(__xludf.DUMMYFUNCTION("VALUE(SUBSTITUTE((INDEX(SPLIT(A6032,"",""),1)),""."","","",1))"),43.636782)</f>
        <v>43.636782</v>
      </c>
      <c r="Q6032" s="13">
        <f>IFERROR(__xludf.DUMMYFUNCTION("VALUE(SUBSTITUTE((INDEX(SPLIT(A6032,"",""),2)),""."","","",1))"),39.754341)</f>
        <v>39.754341</v>
      </c>
      <c r="R6032" s="14" t="b">
        <f t="shared" si="1"/>
        <v>0</v>
      </c>
      <c r="S6032" s="14" t="str">
        <f t="shared" si="2"/>
        <v>43.636782,39.754341</v>
      </c>
      <c r="T6032" s="12"/>
    </row>
    <row r="6033">
      <c r="A6033" s="146" t="s">
        <v>38739</v>
      </c>
      <c r="B6033" s="147" t="s">
        <v>38740</v>
      </c>
      <c r="C6033" s="147" t="s">
        <v>38741</v>
      </c>
      <c r="D6033" s="147" t="s">
        <v>33342</v>
      </c>
      <c r="E6033" s="148" t="s">
        <v>38742</v>
      </c>
      <c r="F6033" s="146" t="s">
        <v>8566</v>
      </c>
      <c r="G6033" s="146" t="s">
        <v>33344</v>
      </c>
      <c r="H6033" s="146"/>
      <c r="I6033" s="151" t="s">
        <v>38743</v>
      </c>
      <c r="J6033" s="147" t="s">
        <v>38744</v>
      </c>
      <c r="K6033" s="147" t="s">
        <v>38745</v>
      </c>
      <c r="L6033" s="149" t="s">
        <v>38746</v>
      </c>
      <c r="M6033" s="149" t="s">
        <v>38747</v>
      </c>
      <c r="N6033" s="12"/>
      <c r="O6033" s="12"/>
      <c r="P6033" s="13">
        <f>IFERROR(__xludf.DUMMYFUNCTION("VALUE(SUBSTITUTE((INDEX(SPLIT(A6033,"",""),1)),""."","","",1))"),43.62815)</f>
        <v>43.62815</v>
      </c>
      <c r="Q6033" s="13">
        <f>IFERROR(__xludf.DUMMYFUNCTION("VALUE(SUBSTITUTE((INDEX(SPLIT(A6033,"",""),2)),""."","","",1))"),39.713459)</f>
        <v>39.713459</v>
      </c>
      <c r="R6033" s="14" t="b">
        <f t="shared" si="1"/>
        <v>0</v>
      </c>
      <c r="S6033" s="14" t="str">
        <f t="shared" si="2"/>
        <v>43.62815,39.713459</v>
      </c>
      <c r="T6033" s="12"/>
    </row>
    <row r="6034">
      <c r="A6034" s="142" t="s">
        <v>38748</v>
      </c>
      <c r="B6034" s="143" t="s">
        <v>38749</v>
      </c>
      <c r="C6034" s="143" t="s">
        <v>38750</v>
      </c>
      <c r="D6034" s="143" t="s">
        <v>33342</v>
      </c>
      <c r="E6034" s="144" t="s">
        <v>38751</v>
      </c>
      <c r="F6034" s="142" t="s">
        <v>8566</v>
      </c>
      <c r="G6034" s="142" t="s">
        <v>33344</v>
      </c>
      <c r="H6034" s="142"/>
      <c r="I6034" s="143"/>
      <c r="J6034" s="143" t="s">
        <v>38752</v>
      </c>
      <c r="K6034" s="143" t="s">
        <v>38753</v>
      </c>
      <c r="L6034" s="145" t="s">
        <v>38754</v>
      </c>
      <c r="M6034" s="145" t="s">
        <v>38755</v>
      </c>
      <c r="N6034" s="12"/>
      <c r="O6034" s="12"/>
      <c r="P6034" s="13">
        <f>IFERROR(__xludf.DUMMYFUNCTION("VALUE(SUBSTITUTE((INDEX(SPLIT(A6034,"",""),1)),""."","","",1))"),43.603492)</f>
        <v>43.603492</v>
      </c>
      <c r="Q6034" s="13">
        <f>IFERROR(__xludf.DUMMYFUNCTION("VALUE(SUBSTITUTE((INDEX(SPLIT(A6034,"",""),2)),""."","","",1))"),39.741765)</f>
        <v>39.741765</v>
      </c>
      <c r="R6034" s="14" t="b">
        <f t="shared" si="1"/>
        <v>0</v>
      </c>
      <c r="S6034" s="14" t="str">
        <f t="shared" si="2"/>
        <v>43.603492,39.741765</v>
      </c>
      <c r="T6034" s="12"/>
    </row>
    <row r="6035">
      <c r="A6035" s="139" t="s">
        <v>38756</v>
      </c>
      <c r="B6035" s="140" t="s">
        <v>38757</v>
      </c>
      <c r="C6035" s="140" t="s">
        <v>38758</v>
      </c>
      <c r="D6035" s="140" t="s">
        <v>33342</v>
      </c>
      <c r="E6035" s="141" t="s">
        <v>38759</v>
      </c>
      <c r="F6035" s="139" t="s">
        <v>8566</v>
      </c>
      <c r="G6035" s="139" t="s">
        <v>33344</v>
      </c>
      <c r="H6035" s="139"/>
      <c r="I6035" s="140"/>
      <c r="J6035" s="140" t="s">
        <v>38760</v>
      </c>
      <c r="K6035" s="140" t="s">
        <v>38761</v>
      </c>
      <c r="L6035" s="140"/>
      <c r="M6035" s="140"/>
      <c r="N6035" s="12"/>
      <c r="O6035" s="12"/>
      <c r="P6035" s="13">
        <f>IFERROR(__xludf.DUMMYFUNCTION("VALUE(SUBSTITUTE((INDEX(SPLIT(A6035,"",""),1)),""."","","",1))"),45.444792)</f>
        <v>45.444792</v>
      </c>
      <c r="Q6035" s="13">
        <f>IFERROR(__xludf.DUMMYFUNCTION("VALUE(SUBSTITUTE((INDEX(SPLIT(A6035,"",""),2)),""."","","",1))"),39.449228)</f>
        <v>39.449228</v>
      </c>
      <c r="R6035" s="14" t="b">
        <f t="shared" si="1"/>
        <v>0</v>
      </c>
      <c r="S6035" s="14" t="str">
        <f t="shared" si="2"/>
        <v>45.444792,39.449228</v>
      </c>
      <c r="T6035" s="12"/>
    </row>
    <row r="6036">
      <c r="A6036" s="142" t="s">
        <v>38762</v>
      </c>
      <c r="B6036" s="143" t="s">
        <v>38763</v>
      </c>
      <c r="C6036" s="143" t="s">
        <v>38764</v>
      </c>
      <c r="D6036" s="143" t="s">
        <v>33342</v>
      </c>
      <c r="E6036" s="144" t="s">
        <v>38765</v>
      </c>
      <c r="F6036" s="142" t="s">
        <v>8566</v>
      </c>
      <c r="G6036" s="142" t="s">
        <v>33344</v>
      </c>
      <c r="H6036" s="142"/>
      <c r="I6036" s="143"/>
      <c r="J6036" s="143" t="s">
        <v>38766</v>
      </c>
      <c r="K6036" s="143" t="s">
        <v>38767</v>
      </c>
      <c r="L6036" s="152" t="s">
        <v>38768</v>
      </c>
      <c r="M6036" s="143"/>
      <c r="N6036" s="12"/>
      <c r="O6036" s="12"/>
      <c r="P6036" s="13">
        <f>IFERROR(__xludf.DUMMYFUNCTION("VALUE(SUBSTITUTE((INDEX(SPLIT(A6036,"",""),1)),""."","","",1))"),45.453878)</f>
        <v>45.453878</v>
      </c>
      <c r="Q6036" s="13">
        <f>IFERROR(__xludf.DUMMYFUNCTION("VALUE(SUBSTITUTE((INDEX(SPLIT(A6036,"",""),2)),""."","","",1))"),38.702656)</f>
        <v>38.702656</v>
      </c>
      <c r="R6036" s="14" t="b">
        <f t="shared" si="1"/>
        <v>0</v>
      </c>
      <c r="S6036" s="14" t="str">
        <f t="shared" si="2"/>
        <v>45.453878,38.702656</v>
      </c>
      <c r="T6036" s="12"/>
    </row>
    <row r="6037">
      <c r="A6037" s="146" t="s">
        <v>38769</v>
      </c>
      <c r="B6037" s="147" t="s">
        <v>38770</v>
      </c>
      <c r="C6037" s="147" t="s">
        <v>38771</v>
      </c>
      <c r="D6037" s="147" t="s">
        <v>33342</v>
      </c>
      <c r="E6037" s="148" t="s">
        <v>38772</v>
      </c>
      <c r="F6037" s="146" t="s">
        <v>8566</v>
      </c>
      <c r="G6037" s="146" t="s">
        <v>33344</v>
      </c>
      <c r="H6037" s="146"/>
      <c r="I6037" s="147"/>
      <c r="J6037" s="147" t="s">
        <v>38773</v>
      </c>
      <c r="K6037" s="147" t="s">
        <v>38774</v>
      </c>
      <c r="L6037" s="150" t="s">
        <v>38775</v>
      </c>
      <c r="M6037" s="147"/>
      <c r="N6037" s="12"/>
      <c r="O6037" s="12"/>
      <c r="P6037" s="13">
        <f>IFERROR(__xludf.DUMMYFUNCTION("VALUE(SUBSTITUTE((INDEX(SPLIT(A6037,"",""),1)),""."","","",1))"),45.366497)</f>
        <v>45.366497</v>
      </c>
      <c r="Q6037" s="13">
        <f>IFERROR(__xludf.DUMMYFUNCTION("VALUE(SUBSTITUTE((INDEX(SPLIT(A6037,"",""),2)),""."","","",1))"),38.21029)</f>
        <v>38.21029</v>
      </c>
      <c r="R6037" s="14" t="b">
        <f t="shared" si="1"/>
        <v>0</v>
      </c>
      <c r="S6037" s="14" t="str">
        <f t="shared" si="2"/>
        <v>45.366497,38.21029</v>
      </c>
      <c r="T6037" s="12"/>
    </row>
    <row r="6038">
      <c r="A6038" s="142" t="s">
        <v>38776</v>
      </c>
      <c r="B6038" s="143" t="s">
        <v>38777</v>
      </c>
      <c r="C6038" s="143" t="s">
        <v>38778</v>
      </c>
      <c r="D6038" s="143" t="s">
        <v>33342</v>
      </c>
      <c r="E6038" s="144" t="s">
        <v>38779</v>
      </c>
      <c r="F6038" s="142" t="s">
        <v>8566</v>
      </c>
      <c r="G6038" s="142" t="s">
        <v>33344</v>
      </c>
      <c r="H6038" s="142"/>
      <c r="I6038" s="155" t="s">
        <v>38780</v>
      </c>
      <c r="J6038" s="143" t="s">
        <v>38781</v>
      </c>
      <c r="K6038" s="143" t="s">
        <v>38782</v>
      </c>
      <c r="L6038" s="152" t="s">
        <v>38783</v>
      </c>
      <c r="M6038" s="143"/>
      <c r="N6038" s="12"/>
      <c r="O6038" s="12"/>
      <c r="P6038" s="13">
        <f>IFERROR(__xludf.DUMMYFUNCTION("VALUE(SUBSTITUTE((INDEX(SPLIT(A6038,"",""),1)),""."","","",1))"),44.918221)</f>
        <v>44.918221</v>
      </c>
      <c r="Q6038" s="13">
        <f>IFERROR(__xludf.DUMMYFUNCTION("VALUE(SUBSTITUTE((INDEX(SPLIT(A6038,"",""),2)),""."","","",1))"),38.017898)</f>
        <v>38.017898</v>
      </c>
      <c r="R6038" s="14" t="b">
        <f t="shared" si="1"/>
        <v>0</v>
      </c>
      <c r="S6038" s="14" t="str">
        <f t="shared" si="2"/>
        <v>44.918221,38.017898</v>
      </c>
      <c r="T6038" s="12"/>
    </row>
    <row r="6039">
      <c r="A6039" s="146" t="s">
        <v>38784</v>
      </c>
      <c r="B6039" s="147" t="s">
        <v>38785</v>
      </c>
      <c r="C6039" s="147" t="s">
        <v>38786</v>
      </c>
      <c r="D6039" s="147" t="s">
        <v>33342</v>
      </c>
      <c r="E6039" s="148" t="s">
        <v>38787</v>
      </c>
      <c r="F6039" s="146" t="s">
        <v>8566</v>
      </c>
      <c r="G6039" s="146" t="s">
        <v>33344</v>
      </c>
      <c r="H6039" s="146"/>
      <c r="I6039" s="147"/>
      <c r="J6039" s="147" t="s">
        <v>38788</v>
      </c>
      <c r="K6039" s="147" t="s">
        <v>38789</v>
      </c>
      <c r="L6039" s="149" t="s">
        <v>38790</v>
      </c>
      <c r="M6039" s="149" t="s">
        <v>38791</v>
      </c>
      <c r="N6039" s="12"/>
      <c r="O6039" s="12"/>
      <c r="P6039" s="13">
        <f>IFERROR(__xludf.DUMMYFUNCTION("VALUE(SUBSTITUTE((INDEX(SPLIT(A6039,"",""),1)),""."","","",1))"),44.85581)</f>
        <v>44.85581</v>
      </c>
      <c r="Q6039" s="13">
        <f>IFERROR(__xludf.DUMMYFUNCTION("VALUE(SUBSTITUTE((INDEX(SPLIT(A6039,"",""),2)),""."","","",1))"),40.611684)</f>
        <v>40.611684</v>
      </c>
      <c r="R6039" s="14" t="b">
        <f t="shared" si="1"/>
        <v>0</v>
      </c>
      <c r="S6039" s="14" t="str">
        <f t="shared" si="2"/>
        <v>44.85581,40.611684</v>
      </c>
      <c r="T6039" s="12"/>
    </row>
    <row r="6040">
      <c r="A6040" s="142" t="s">
        <v>38792</v>
      </c>
      <c r="B6040" s="143" t="s">
        <v>3698</v>
      </c>
      <c r="C6040" s="143" t="s">
        <v>38793</v>
      </c>
      <c r="D6040" s="143" t="s">
        <v>33342</v>
      </c>
      <c r="E6040" s="144" t="s">
        <v>38794</v>
      </c>
      <c r="F6040" s="142" t="s">
        <v>8566</v>
      </c>
      <c r="G6040" s="142" t="s">
        <v>33344</v>
      </c>
      <c r="H6040" s="142"/>
      <c r="I6040" s="143"/>
      <c r="J6040" s="143" t="s">
        <v>38795</v>
      </c>
      <c r="K6040" s="143" t="s">
        <v>38796</v>
      </c>
      <c r="L6040" s="145" t="s">
        <v>38797</v>
      </c>
      <c r="M6040" s="143"/>
      <c r="N6040" s="12"/>
      <c r="O6040" s="12"/>
      <c r="P6040" s="13">
        <f>IFERROR(__xludf.DUMMYFUNCTION("VALUE(SUBSTITUTE((INDEX(SPLIT(A6040,"",""),1)),""."","","",1))"),44.914009)</f>
        <v>44.914009</v>
      </c>
      <c r="Q6040" s="13">
        <f>IFERROR(__xludf.DUMMYFUNCTION("VALUE(SUBSTITUTE((INDEX(SPLIT(A6040,"",""),2)),""."","","",1))"),38.838949)</f>
        <v>38.838949</v>
      </c>
      <c r="R6040" s="14" t="b">
        <f t="shared" si="1"/>
        <v>0</v>
      </c>
      <c r="S6040" s="14" t="str">
        <f t="shared" si="2"/>
        <v>44.914009,38.838949</v>
      </c>
      <c r="T6040" s="12"/>
    </row>
    <row r="6041">
      <c r="A6041" s="139" t="s">
        <v>38798</v>
      </c>
      <c r="B6041" s="140" t="s">
        <v>38799</v>
      </c>
      <c r="C6041" s="140" t="s">
        <v>38800</v>
      </c>
      <c r="D6041" s="140" t="s">
        <v>33342</v>
      </c>
      <c r="E6041" s="141" t="s">
        <v>38801</v>
      </c>
      <c r="F6041" s="139" t="s">
        <v>8566</v>
      </c>
      <c r="G6041" s="139" t="s">
        <v>33344</v>
      </c>
      <c r="H6041" s="139"/>
      <c r="I6041" s="140"/>
      <c r="J6041" s="140" t="s">
        <v>38802</v>
      </c>
      <c r="K6041" s="140" t="s">
        <v>38803</v>
      </c>
      <c r="L6041" s="140"/>
      <c r="M6041" s="154" t="s">
        <v>38804</v>
      </c>
      <c r="N6041" s="12"/>
      <c r="O6041" s="12"/>
      <c r="P6041" s="13">
        <f>IFERROR(__xludf.DUMMYFUNCTION("VALUE(SUBSTITUTE((INDEX(SPLIT(A6041,"",""),1)),""."","","",1))"),44.856602)</f>
        <v>44.856602</v>
      </c>
      <c r="Q6041" s="13">
        <f>IFERROR(__xludf.DUMMYFUNCTION("VALUE(SUBSTITUTE((INDEX(SPLIT(A6041,"",""),2)),""."","","",1))"),38.659879)</f>
        <v>38.659879</v>
      </c>
      <c r="R6041" s="14" t="b">
        <f t="shared" si="1"/>
        <v>0</v>
      </c>
      <c r="S6041" s="14" t="str">
        <f t="shared" si="2"/>
        <v>44.856602,38.659879</v>
      </c>
      <c r="T6041" s="12"/>
    </row>
    <row r="6042">
      <c r="A6042" s="142" t="s">
        <v>38805</v>
      </c>
      <c r="B6042" s="143" t="s">
        <v>22148</v>
      </c>
      <c r="C6042" s="143" t="s">
        <v>38806</v>
      </c>
      <c r="D6042" s="143" t="s">
        <v>33342</v>
      </c>
      <c r="E6042" s="144" t="s">
        <v>38807</v>
      </c>
      <c r="F6042" s="142" t="s">
        <v>8566</v>
      </c>
      <c r="G6042" s="142" t="s">
        <v>33344</v>
      </c>
      <c r="H6042" s="142"/>
      <c r="I6042" s="143"/>
      <c r="J6042" s="143" t="s">
        <v>38808</v>
      </c>
      <c r="K6042" s="143" t="s">
        <v>38809</v>
      </c>
      <c r="L6042" s="152" t="s">
        <v>38810</v>
      </c>
      <c r="M6042" s="143"/>
      <c r="N6042" s="12"/>
      <c r="O6042" s="12"/>
      <c r="P6042" s="13">
        <f>IFERROR(__xludf.DUMMYFUNCTION("VALUE(SUBSTITUTE((INDEX(SPLIT(A6042,"",""),1)),""."","","",1))"),45.220984)</f>
        <v>45.220984</v>
      </c>
      <c r="Q6042" s="13">
        <f>IFERROR(__xludf.DUMMYFUNCTION("VALUE(SUBSTITUTE((INDEX(SPLIT(A6042,"",""),2)),""."","","",1))"),38.111933)</f>
        <v>38.111933</v>
      </c>
      <c r="R6042" s="14" t="b">
        <f t="shared" si="1"/>
        <v>0</v>
      </c>
      <c r="S6042" s="14" t="str">
        <f t="shared" si="2"/>
        <v>45.220984,38.111933</v>
      </c>
      <c r="T6042" s="12"/>
    </row>
    <row r="6043">
      <c r="A6043" s="139" t="s">
        <v>38811</v>
      </c>
      <c r="B6043" s="140" t="s">
        <v>3800</v>
      </c>
      <c r="C6043" s="140" t="s">
        <v>38812</v>
      </c>
      <c r="D6043" s="140" t="s">
        <v>33342</v>
      </c>
      <c r="E6043" s="141" t="s">
        <v>38813</v>
      </c>
      <c r="F6043" s="139" t="s">
        <v>8566</v>
      </c>
      <c r="G6043" s="139" t="s">
        <v>33344</v>
      </c>
      <c r="H6043" s="139"/>
      <c r="I6043" s="140"/>
      <c r="J6043" s="140" t="s">
        <v>38814</v>
      </c>
      <c r="K6043" s="140" t="s">
        <v>38815</v>
      </c>
      <c r="L6043" s="140"/>
      <c r="M6043" s="140"/>
      <c r="N6043" s="12"/>
      <c r="O6043" s="12"/>
      <c r="P6043" s="13">
        <f>IFERROR(__xludf.DUMMYFUNCTION("VALUE(SUBSTITUTE((INDEX(SPLIT(A6043,"",""),1)),""."","","",1))"),45.595933)</f>
        <v>45.595933</v>
      </c>
      <c r="Q6043" s="13">
        <f>IFERROR(__xludf.DUMMYFUNCTION("VALUE(SUBSTITUTE((INDEX(SPLIT(A6043,"",""),2)),""."","","",1))"),38.921324)</f>
        <v>38.921324</v>
      </c>
      <c r="R6043" s="14" t="b">
        <f t="shared" si="1"/>
        <v>0</v>
      </c>
      <c r="S6043" s="14" t="str">
        <f t="shared" si="2"/>
        <v>45.595933,38.921324</v>
      </c>
      <c r="T6043" s="12"/>
    </row>
    <row r="6044">
      <c r="A6044" s="142" t="s">
        <v>38816</v>
      </c>
      <c r="B6044" s="143" t="s">
        <v>38817</v>
      </c>
      <c r="C6044" s="143" t="s">
        <v>38818</v>
      </c>
      <c r="D6044" s="143" t="s">
        <v>33342</v>
      </c>
      <c r="E6044" s="144" t="s">
        <v>38819</v>
      </c>
      <c r="F6044" s="142" t="s">
        <v>8566</v>
      </c>
      <c r="G6044" s="142" t="s">
        <v>33344</v>
      </c>
      <c r="H6044" s="142"/>
      <c r="I6044" s="143"/>
      <c r="J6044" s="143" t="s">
        <v>38820</v>
      </c>
      <c r="K6044" s="143" t="s">
        <v>38821</v>
      </c>
      <c r="L6044" s="145" t="s">
        <v>38822</v>
      </c>
      <c r="M6044" s="143"/>
      <c r="N6044" s="12"/>
      <c r="O6044" s="12"/>
      <c r="P6044" s="13">
        <f>IFERROR(__xludf.DUMMYFUNCTION("VALUE(SUBSTITUTE((INDEX(SPLIT(A6044,"",""),1)),""."","","",1))"),45.863486)</f>
        <v>45.863486</v>
      </c>
      <c r="Q6044" s="13">
        <f>IFERROR(__xludf.DUMMYFUNCTION("VALUE(SUBSTITUTE((INDEX(SPLIT(A6044,"",""),2)),""."","","",1))"),40.100633)</f>
        <v>40.100633</v>
      </c>
      <c r="R6044" s="14" t="b">
        <f t="shared" si="1"/>
        <v>0</v>
      </c>
      <c r="S6044" s="14" t="str">
        <f t="shared" si="2"/>
        <v>45.863486,40.100633</v>
      </c>
      <c r="T6044" s="12"/>
    </row>
    <row r="6045">
      <c r="A6045" s="146" t="s">
        <v>38823</v>
      </c>
      <c r="B6045" s="147" t="s">
        <v>38824</v>
      </c>
      <c r="C6045" s="147" t="s">
        <v>38825</v>
      </c>
      <c r="D6045" s="147" t="s">
        <v>33342</v>
      </c>
      <c r="E6045" s="148" t="s">
        <v>38826</v>
      </c>
      <c r="F6045" s="146" t="s">
        <v>8566</v>
      </c>
      <c r="G6045" s="146" t="s">
        <v>33344</v>
      </c>
      <c r="H6045" s="146"/>
      <c r="I6045" s="147"/>
      <c r="J6045" s="147" t="s">
        <v>38827</v>
      </c>
      <c r="K6045" s="147" t="s">
        <v>38828</v>
      </c>
      <c r="L6045" s="149" t="s">
        <v>38829</v>
      </c>
      <c r="M6045" s="147"/>
      <c r="N6045" s="12"/>
      <c r="O6045" s="12"/>
      <c r="P6045" s="13">
        <f>IFERROR(__xludf.DUMMYFUNCTION("VALUE(SUBSTITUTE((INDEX(SPLIT(A6045,"",""),1)),""."","","",1))"),45.867722)</f>
        <v>45.867722</v>
      </c>
      <c r="Q6045" s="13">
        <f>IFERROR(__xludf.DUMMYFUNCTION("VALUE(SUBSTITUTE((INDEX(SPLIT(A6045,"",""),2)),""."","","",1))"),40.084409)</f>
        <v>40.084409</v>
      </c>
      <c r="R6045" s="14" t="b">
        <f t="shared" si="1"/>
        <v>0</v>
      </c>
      <c r="S6045" s="14" t="str">
        <f t="shared" si="2"/>
        <v>45.867722,40.084409</v>
      </c>
      <c r="T6045" s="12"/>
    </row>
    <row r="6046">
      <c r="A6046" s="142" t="s">
        <v>38830</v>
      </c>
      <c r="B6046" s="143" t="s">
        <v>38831</v>
      </c>
      <c r="C6046" s="143" t="s">
        <v>38832</v>
      </c>
      <c r="D6046" s="143" t="s">
        <v>33342</v>
      </c>
      <c r="E6046" s="144" t="s">
        <v>38833</v>
      </c>
      <c r="F6046" s="142" t="s">
        <v>8566</v>
      </c>
      <c r="G6046" s="142" t="s">
        <v>33344</v>
      </c>
      <c r="H6046" s="142"/>
      <c r="I6046" s="143"/>
      <c r="J6046" s="143" t="s">
        <v>38834</v>
      </c>
      <c r="K6046" s="143" t="s">
        <v>38835</v>
      </c>
      <c r="L6046" s="145" t="s">
        <v>38836</v>
      </c>
      <c r="M6046" s="143"/>
      <c r="N6046" s="12"/>
      <c r="O6046" s="12"/>
      <c r="P6046" s="13">
        <f>IFERROR(__xludf.DUMMYFUNCTION("VALUE(SUBSTITUTE((INDEX(SPLIT(A6046,"",""),1)),""."","","",1))"),46.095224)</f>
        <v>46.095224</v>
      </c>
      <c r="Q6046" s="13">
        <f>IFERROR(__xludf.DUMMYFUNCTION("VALUE(SUBSTITUTE((INDEX(SPLIT(A6046,"",""),2)),""."","","",1))"),40.829813)</f>
        <v>40.829813</v>
      </c>
      <c r="R6046" s="14" t="b">
        <f t="shared" si="1"/>
        <v>0</v>
      </c>
      <c r="S6046" s="14" t="str">
        <f t="shared" si="2"/>
        <v>46.095224,40.829813</v>
      </c>
      <c r="T6046" s="12"/>
    </row>
    <row r="6047">
      <c r="A6047" s="146" t="s">
        <v>38837</v>
      </c>
      <c r="B6047" s="147" t="s">
        <v>38838</v>
      </c>
      <c r="C6047" s="147" t="s">
        <v>38839</v>
      </c>
      <c r="D6047" s="147" t="s">
        <v>33342</v>
      </c>
      <c r="E6047" s="148" t="s">
        <v>38840</v>
      </c>
      <c r="F6047" s="146" t="s">
        <v>8566</v>
      </c>
      <c r="G6047" s="146" t="s">
        <v>33344</v>
      </c>
      <c r="H6047" s="146"/>
      <c r="I6047" s="147"/>
      <c r="J6047" s="147" t="s">
        <v>38841</v>
      </c>
      <c r="K6047" s="147" t="s">
        <v>38842</v>
      </c>
      <c r="L6047" s="150" t="s">
        <v>38843</v>
      </c>
      <c r="M6047" s="147"/>
      <c r="N6047" s="12"/>
      <c r="O6047" s="12"/>
      <c r="P6047" s="13">
        <f>IFERROR(__xludf.DUMMYFUNCTION("VALUE(SUBSTITUTE((INDEX(SPLIT(A6047,"",""),1)),""."","","",1))"),45.840021)</f>
        <v>45.840021</v>
      </c>
      <c r="Q6047" s="13">
        <f>IFERROR(__xludf.DUMMYFUNCTION("VALUE(SUBSTITUTE((INDEX(SPLIT(A6047,"",""),2)),""."","","",1))"),40.156903)</f>
        <v>40.156903</v>
      </c>
      <c r="R6047" s="14" t="b">
        <f t="shared" si="1"/>
        <v>0</v>
      </c>
      <c r="S6047" s="14" t="str">
        <f t="shared" si="2"/>
        <v>45.840021,40.156903</v>
      </c>
      <c r="T6047" s="12"/>
    </row>
    <row r="6048">
      <c r="A6048" s="142" t="s">
        <v>38844</v>
      </c>
      <c r="B6048" s="143" t="s">
        <v>38845</v>
      </c>
      <c r="C6048" s="143" t="s">
        <v>38846</v>
      </c>
      <c r="D6048" s="143" t="s">
        <v>33342</v>
      </c>
      <c r="E6048" s="144" t="s">
        <v>38847</v>
      </c>
      <c r="F6048" s="142" t="s">
        <v>8566</v>
      </c>
      <c r="G6048" s="142" t="s">
        <v>33344</v>
      </c>
      <c r="H6048" s="142"/>
      <c r="I6048" s="143"/>
      <c r="J6048" s="143" t="s">
        <v>38848</v>
      </c>
      <c r="K6048" s="143" t="s">
        <v>38849</v>
      </c>
      <c r="L6048" s="145" t="s">
        <v>38850</v>
      </c>
      <c r="M6048" s="145" t="s">
        <v>38851</v>
      </c>
      <c r="N6048" s="12"/>
      <c r="O6048" s="12"/>
      <c r="P6048" s="13">
        <f>IFERROR(__xludf.DUMMYFUNCTION("VALUE(SUBSTITUTE((INDEX(SPLIT(A6048,"",""),1)),""."","","",1))"),46.68569)</f>
        <v>46.68569</v>
      </c>
      <c r="Q6048" s="13">
        <f>IFERROR(__xludf.DUMMYFUNCTION("VALUE(SUBSTITUTE((INDEX(SPLIT(A6048,"",""),2)),""."","","",1))"),38.268078)</f>
        <v>38.268078</v>
      </c>
      <c r="R6048" s="14" t="b">
        <f t="shared" si="1"/>
        <v>0</v>
      </c>
      <c r="S6048" s="14" t="str">
        <f t="shared" si="2"/>
        <v>46.68569,38.268078</v>
      </c>
      <c r="T6048" s="12"/>
    </row>
    <row r="6049">
      <c r="A6049" s="139" t="s">
        <v>38852</v>
      </c>
      <c r="B6049" s="140" t="s">
        <v>17230</v>
      </c>
      <c r="C6049" s="140" t="s">
        <v>38853</v>
      </c>
      <c r="D6049" s="140" t="s">
        <v>33342</v>
      </c>
      <c r="E6049" s="141" t="s">
        <v>38854</v>
      </c>
      <c r="F6049" s="139" t="s">
        <v>8566</v>
      </c>
      <c r="G6049" s="139" t="s">
        <v>33344</v>
      </c>
      <c r="H6049" s="139"/>
      <c r="I6049" s="140"/>
      <c r="J6049" s="140" t="s">
        <v>38855</v>
      </c>
      <c r="K6049" s="140" t="s">
        <v>38856</v>
      </c>
      <c r="L6049" s="140"/>
      <c r="M6049" s="140"/>
      <c r="N6049" s="12"/>
      <c r="O6049" s="12"/>
      <c r="P6049" s="13">
        <f>IFERROR(__xludf.DUMMYFUNCTION("VALUE(SUBSTITUTE((INDEX(SPLIT(A6049,"",""),1)),""."","","",1))"),46.673485)</f>
        <v>46.673485</v>
      </c>
      <c r="Q6049" s="13">
        <f>IFERROR(__xludf.DUMMYFUNCTION("VALUE(SUBSTITUTE((INDEX(SPLIT(A6049,"",""),2)),""."","","",1))"),38.310694)</f>
        <v>38.310694</v>
      </c>
      <c r="R6049" s="14" t="b">
        <f t="shared" si="1"/>
        <v>0</v>
      </c>
      <c r="S6049" s="14" t="str">
        <f t="shared" si="2"/>
        <v>46.673485,38.310694</v>
      </c>
      <c r="T6049" s="12"/>
    </row>
    <row r="6050">
      <c r="A6050" s="142" t="s">
        <v>38857</v>
      </c>
      <c r="B6050" s="143" t="s">
        <v>1903</v>
      </c>
      <c r="C6050" s="143" t="s">
        <v>38858</v>
      </c>
      <c r="D6050" s="143" t="s">
        <v>33342</v>
      </c>
      <c r="E6050" s="144" t="s">
        <v>38859</v>
      </c>
      <c r="F6050" s="142" t="s">
        <v>8566</v>
      </c>
      <c r="G6050" s="142" t="s">
        <v>33344</v>
      </c>
      <c r="H6050" s="142"/>
      <c r="I6050" s="143"/>
      <c r="J6050" s="143" t="s">
        <v>38860</v>
      </c>
      <c r="K6050" s="143" t="s">
        <v>38861</v>
      </c>
      <c r="L6050" s="152" t="s">
        <v>38862</v>
      </c>
      <c r="M6050" s="143"/>
      <c r="N6050" s="12"/>
      <c r="O6050" s="12"/>
      <c r="P6050" s="13">
        <f>IFERROR(__xludf.DUMMYFUNCTION("VALUE(SUBSTITUTE((INDEX(SPLIT(A6050,"",""),1)),""."","","",1))"),46.324468)</f>
        <v>46.324468</v>
      </c>
      <c r="Q6050" s="13">
        <f>IFERROR(__xludf.DUMMYFUNCTION("VALUE(SUBSTITUTE((INDEX(SPLIT(A6050,"",""),2)),""."","","",1))"),39.967907)</f>
        <v>39.967907</v>
      </c>
      <c r="R6050" s="14" t="b">
        <f t="shared" si="1"/>
        <v>0</v>
      </c>
      <c r="S6050" s="14" t="str">
        <f t="shared" si="2"/>
        <v>46.324468,39.967907</v>
      </c>
      <c r="T6050" s="12"/>
    </row>
    <row r="6051">
      <c r="A6051" s="146" t="s">
        <v>38863</v>
      </c>
      <c r="B6051" s="147" t="s">
        <v>38864</v>
      </c>
      <c r="C6051" s="147" t="s">
        <v>38865</v>
      </c>
      <c r="D6051" s="147" t="s">
        <v>33342</v>
      </c>
      <c r="E6051" s="148" t="s">
        <v>38866</v>
      </c>
      <c r="F6051" s="146" t="s">
        <v>8566</v>
      </c>
      <c r="G6051" s="146" t="s">
        <v>33344</v>
      </c>
      <c r="H6051" s="146"/>
      <c r="I6051" s="147"/>
      <c r="J6051" s="147" t="s">
        <v>38867</v>
      </c>
      <c r="K6051" s="147" t="s">
        <v>38868</v>
      </c>
      <c r="L6051" s="149" t="s">
        <v>38869</v>
      </c>
      <c r="M6051" s="147"/>
      <c r="N6051" s="12"/>
      <c r="O6051" s="12"/>
      <c r="P6051" s="13">
        <f>IFERROR(__xludf.DUMMYFUNCTION("VALUE(SUBSTITUTE((INDEX(SPLIT(A6051,"",""),1)),""."","","",1))"),45.381503)</f>
        <v>45.381503</v>
      </c>
      <c r="Q6051" s="13">
        <f>IFERROR(__xludf.DUMMYFUNCTION("VALUE(SUBSTITUTE((INDEX(SPLIT(A6051,"",""),2)),""."","","",1))"),40.55333)</f>
        <v>40.55333</v>
      </c>
      <c r="R6051" s="14" t="b">
        <f t="shared" si="1"/>
        <v>0</v>
      </c>
      <c r="S6051" s="14" t="str">
        <f t="shared" si="2"/>
        <v>45.381503,40.55333</v>
      </c>
      <c r="T6051" s="12"/>
    </row>
    <row r="6052">
      <c r="A6052" s="142" t="s">
        <v>38870</v>
      </c>
      <c r="B6052" s="143" t="s">
        <v>38871</v>
      </c>
      <c r="C6052" s="143" t="s">
        <v>38872</v>
      </c>
      <c r="D6052" s="143" t="s">
        <v>33342</v>
      </c>
      <c r="E6052" s="144" t="s">
        <v>38873</v>
      </c>
      <c r="F6052" s="142" t="s">
        <v>8566</v>
      </c>
      <c r="G6052" s="142" t="s">
        <v>33344</v>
      </c>
      <c r="H6052" s="142"/>
      <c r="I6052" s="143"/>
      <c r="J6052" s="143" t="s">
        <v>38874</v>
      </c>
      <c r="K6052" s="143" t="s">
        <v>38875</v>
      </c>
      <c r="L6052" s="145" t="s">
        <v>38876</v>
      </c>
      <c r="M6052" s="143"/>
      <c r="N6052" s="12"/>
      <c r="O6052" s="12"/>
      <c r="P6052" s="13">
        <f>IFERROR(__xludf.DUMMYFUNCTION("VALUE(SUBSTITUTE((INDEX(SPLIT(A6052,"",""),1)),""."","","",1))"),45.430082)</f>
        <v>45.430082</v>
      </c>
      <c r="Q6052" s="13">
        <f>IFERROR(__xludf.DUMMYFUNCTION("VALUE(SUBSTITUTE((INDEX(SPLIT(A6052,"",""),2)),""."","","",1))"),40.561325)</f>
        <v>40.561325</v>
      </c>
      <c r="R6052" s="14" t="b">
        <f t="shared" si="1"/>
        <v>0</v>
      </c>
      <c r="S6052" s="14" t="str">
        <f t="shared" si="2"/>
        <v>45.430082,40.561325</v>
      </c>
      <c r="T6052" s="12"/>
    </row>
    <row r="6053">
      <c r="A6053" s="139" t="s">
        <v>38877</v>
      </c>
      <c r="B6053" s="140" t="s">
        <v>38878</v>
      </c>
      <c r="C6053" s="140" t="s">
        <v>38879</v>
      </c>
      <c r="D6053" s="140" t="s">
        <v>33342</v>
      </c>
      <c r="E6053" s="141" t="s">
        <v>38880</v>
      </c>
      <c r="F6053" s="139" t="s">
        <v>8566</v>
      </c>
      <c r="G6053" s="139" t="s">
        <v>33344</v>
      </c>
      <c r="H6053" s="139"/>
      <c r="I6053" s="140"/>
      <c r="J6053" s="140" t="s">
        <v>38881</v>
      </c>
      <c r="K6053" s="140" t="s">
        <v>38882</v>
      </c>
      <c r="L6053" s="140"/>
      <c r="M6053" s="140"/>
      <c r="N6053" s="12"/>
      <c r="O6053" s="12"/>
      <c r="P6053" s="13">
        <f>IFERROR(__xludf.DUMMYFUNCTION("VALUE(SUBSTITUTE((INDEX(SPLIT(A6053,"",""),1)),""."","","",1))"),45.442876)</f>
        <v>45.442876</v>
      </c>
      <c r="Q6053" s="13">
        <f>IFERROR(__xludf.DUMMYFUNCTION("VALUE(SUBSTITUTE((INDEX(SPLIT(A6053,"",""),2)),""."","","",1))"),40.544912)</f>
        <v>40.544912</v>
      </c>
      <c r="R6053" s="14" t="b">
        <f t="shared" si="1"/>
        <v>0</v>
      </c>
      <c r="S6053" s="14" t="str">
        <f t="shared" si="2"/>
        <v>45.442876,40.544912</v>
      </c>
      <c r="T6053" s="12"/>
    </row>
    <row r="6054">
      <c r="A6054" s="142" t="s">
        <v>38883</v>
      </c>
      <c r="B6054" s="143" t="s">
        <v>38884</v>
      </c>
      <c r="C6054" s="143" t="s">
        <v>38885</v>
      </c>
      <c r="D6054" s="143" t="s">
        <v>33342</v>
      </c>
      <c r="E6054" s="144" t="s">
        <v>38886</v>
      </c>
      <c r="F6054" s="142" t="s">
        <v>8566</v>
      </c>
      <c r="G6054" s="142" t="s">
        <v>33344</v>
      </c>
      <c r="H6054" s="142"/>
      <c r="I6054" s="143"/>
      <c r="J6054" s="143" t="s">
        <v>38887</v>
      </c>
      <c r="K6054" s="143" t="s">
        <v>38888</v>
      </c>
      <c r="L6054" s="145" t="s">
        <v>38889</v>
      </c>
      <c r="M6054" s="143"/>
      <c r="N6054" s="12"/>
      <c r="O6054" s="12"/>
      <c r="P6054" s="13">
        <f>IFERROR(__xludf.DUMMYFUNCTION("VALUE(SUBSTITUTE((INDEX(SPLIT(A6054,"",""),1)),""."","","",1))"),44.266091)</f>
        <v>44.266091</v>
      </c>
      <c r="Q6054" s="13">
        <f>IFERROR(__xludf.DUMMYFUNCTION("VALUE(SUBSTITUTE((INDEX(SPLIT(A6054,"",""),2)),""."","","",1))"),38.866177)</f>
        <v>38.866177</v>
      </c>
      <c r="R6054" s="14" t="b">
        <f t="shared" si="1"/>
        <v>0</v>
      </c>
      <c r="S6054" s="14" t="str">
        <f t="shared" si="2"/>
        <v>44.266091,38.866177</v>
      </c>
      <c r="T6054" s="12"/>
    </row>
    <row r="6055">
      <c r="A6055" s="146" t="s">
        <v>38890</v>
      </c>
      <c r="B6055" s="147" t="s">
        <v>33870</v>
      </c>
      <c r="C6055" s="147" t="s">
        <v>33871</v>
      </c>
      <c r="D6055" s="147" t="s">
        <v>33342</v>
      </c>
      <c r="E6055" s="148" t="s">
        <v>38891</v>
      </c>
      <c r="F6055" s="146" t="s">
        <v>8566</v>
      </c>
      <c r="G6055" s="146" t="s">
        <v>33344</v>
      </c>
      <c r="H6055" s="146"/>
      <c r="I6055" s="147"/>
      <c r="J6055" s="147" t="s">
        <v>38892</v>
      </c>
      <c r="K6055" s="147" t="s">
        <v>38893</v>
      </c>
      <c r="L6055" s="149" t="s">
        <v>38894</v>
      </c>
      <c r="M6055" s="149" t="s">
        <v>38895</v>
      </c>
      <c r="N6055" s="12"/>
      <c r="O6055" s="12"/>
      <c r="P6055" s="13">
        <f>IFERROR(__xludf.DUMMYFUNCTION("VALUE(SUBSTITUTE((INDEX(SPLIT(A6055,"",""),1)),""."","","",1))"),44.103331)</f>
        <v>44.103331</v>
      </c>
      <c r="Q6055" s="13">
        <f>IFERROR(__xludf.DUMMYFUNCTION("VALUE(SUBSTITUTE((INDEX(SPLIT(A6055,"",""),2)),""."","","",1))"),39.0575)</f>
        <v>39.0575</v>
      </c>
      <c r="R6055" s="14" t="b">
        <f t="shared" si="1"/>
        <v>0</v>
      </c>
      <c r="S6055" s="14" t="str">
        <f t="shared" si="2"/>
        <v>44.103331,39.0575</v>
      </c>
      <c r="T6055" s="12"/>
    </row>
    <row r="6056">
      <c r="A6056" s="142" t="s">
        <v>38896</v>
      </c>
      <c r="B6056" s="143" t="s">
        <v>38897</v>
      </c>
      <c r="C6056" s="143" t="s">
        <v>38898</v>
      </c>
      <c r="D6056" s="143" t="s">
        <v>33342</v>
      </c>
      <c r="E6056" s="144" t="s">
        <v>38899</v>
      </c>
      <c r="F6056" s="142" t="s">
        <v>8566</v>
      </c>
      <c r="G6056" s="142" t="s">
        <v>33344</v>
      </c>
      <c r="H6056" s="142"/>
      <c r="I6056" s="143"/>
      <c r="J6056" s="143" t="s">
        <v>38900</v>
      </c>
      <c r="K6056" s="143" t="s">
        <v>38901</v>
      </c>
      <c r="L6056" s="145" t="s">
        <v>38902</v>
      </c>
      <c r="M6056" s="145" t="s">
        <v>38903</v>
      </c>
      <c r="N6056" s="12"/>
      <c r="O6056" s="12"/>
      <c r="P6056" s="13">
        <f>IFERROR(__xludf.DUMMYFUNCTION("VALUE(SUBSTITUTE((INDEX(SPLIT(A6056,"",""),1)),""."","","",1))"),44.144052)</f>
        <v>44.144052</v>
      </c>
      <c r="Q6056" s="13">
        <f>IFERROR(__xludf.DUMMYFUNCTION("VALUE(SUBSTITUTE((INDEX(SPLIT(A6056,"",""),2)),""."","","",1))"),39.036246)</f>
        <v>39.036246</v>
      </c>
      <c r="R6056" s="14" t="b">
        <f t="shared" si="1"/>
        <v>0</v>
      </c>
      <c r="S6056" s="14" t="str">
        <f t="shared" si="2"/>
        <v>44.144052,39.036246</v>
      </c>
      <c r="T6056" s="12"/>
    </row>
    <row r="6057">
      <c r="A6057" s="146" t="s">
        <v>38904</v>
      </c>
      <c r="B6057" s="147" t="s">
        <v>38905</v>
      </c>
      <c r="C6057" s="147" t="s">
        <v>38906</v>
      </c>
      <c r="D6057" s="147" t="s">
        <v>33342</v>
      </c>
      <c r="E6057" s="148" t="s">
        <v>38907</v>
      </c>
      <c r="F6057" s="146" t="s">
        <v>8566</v>
      </c>
      <c r="G6057" s="146" t="s">
        <v>33344</v>
      </c>
      <c r="H6057" s="146"/>
      <c r="I6057" s="147"/>
      <c r="J6057" s="147" t="s">
        <v>38908</v>
      </c>
      <c r="K6057" s="147" t="s">
        <v>38909</v>
      </c>
      <c r="L6057" s="149" t="s">
        <v>38910</v>
      </c>
      <c r="M6057" s="149" t="s">
        <v>38911</v>
      </c>
      <c r="N6057" s="12"/>
      <c r="O6057" s="12"/>
      <c r="P6057" s="13">
        <f>IFERROR(__xludf.DUMMYFUNCTION("VALUE(SUBSTITUTE((INDEX(SPLIT(A6057,"",""),1)),""."","","",1))"),44.248072)</f>
        <v>44.248072</v>
      </c>
      <c r="Q6057" s="13">
        <f>IFERROR(__xludf.DUMMYFUNCTION("VALUE(SUBSTITUTE((INDEX(SPLIT(A6057,"",""),2)),""."","","",1))"),38.847303)</f>
        <v>38.847303</v>
      </c>
      <c r="R6057" s="14" t="b">
        <f t="shared" si="1"/>
        <v>0</v>
      </c>
      <c r="S6057" s="14" t="str">
        <f t="shared" si="2"/>
        <v>44.248072,38.847303</v>
      </c>
      <c r="T6057" s="12"/>
    </row>
    <row r="6058">
      <c r="A6058" s="136" t="s">
        <v>38912</v>
      </c>
      <c r="B6058" s="137" t="s">
        <v>10121</v>
      </c>
      <c r="C6058" s="137" t="s">
        <v>34694</v>
      </c>
      <c r="D6058" s="137" t="s">
        <v>33342</v>
      </c>
      <c r="E6058" s="138" t="s">
        <v>38913</v>
      </c>
      <c r="F6058" s="136" t="s">
        <v>8566</v>
      </c>
      <c r="G6058" s="136" t="s">
        <v>33344</v>
      </c>
      <c r="H6058" s="136"/>
      <c r="I6058" s="137"/>
      <c r="J6058" s="137" t="s">
        <v>38914</v>
      </c>
      <c r="K6058" s="137" t="s">
        <v>38915</v>
      </c>
      <c r="L6058" s="137"/>
      <c r="M6058" s="137"/>
      <c r="N6058" s="12"/>
      <c r="O6058" s="12"/>
      <c r="P6058" s="13">
        <f>IFERROR(__xludf.DUMMYFUNCTION("VALUE(SUBSTITUTE((INDEX(SPLIT(A6058,"",""),1)),""."","","",1))"),44.118288)</f>
        <v>44.118288</v>
      </c>
      <c r="Q6058" s="13">
        <f>IFERROR(__xludf.DUMMYFUNCTION("VALUE(SUBSTITUTE((INDEX(SPLIT(A6058,"",""),2)),""."","","",1))"),39.055047)</f>
        <v>39.055047</v>
      </c>
      <c r="R6058" s="14" t="b">
        <f t="shared" si="1"/>
        <v>0</v>
      </c>
      <c r="S6058" s="14" t="str">
        <f t="shared" si="2"/>
        <v>44.118288,39.055047</v>
      </c>
      <c r="T6058" s="12"/>
    </row>
    <row r="6059">
      <c r="A6059" s="146" t="s">
        <v>38916</v>
      </c>
      <c r="B6059" s="147" t="s">
        <v>14670</v>
      </c>
      <c r="C6059" s="147" t="s">
        <v>38917</v>
      </c>
      <c r="D6059" s="147" t="s">
        <v>33342</v>
      </c>
      <c r="E6059" s="148" t="s">
        <v>38918</v>
      </c>
      <c r="F6059" s="146" t="s">
        <v>8566</v>
      </c>
      <c r="G6059" s="146" t="s">
        <v>33344</v>
      </c>
      <c r="H6059" s="146"/>
      <c r="I6059" s="147"/>
      <c r="J6059" s="147" t="s">
        <v>38919</v>
      </c>
      <c r="K6059" s="147" t="s">
        <v>38920</v>
      </c>
      <c r="L6059" s="149" t="s">
        <v>38921</v>
      </c>
      <c r="M6059" s="147"/>
      <c r="N6059" s="12"/>
      <c r="O6059" s="12"/>
      <c r="P6059" s="13">
        <f>IFERROR(__xludf.DUMMYFUNCTION("VALUE(SUBSTITUTE((INDEX(SPLIT(A6059,"",""),1)),""."","","",1))"),43.604165)</f>
        <v>43.604165</v>
      </c>
      <c r="Q6059" s="13">
        <f>IFERROR(__xludf.DUMMYFUNCTION("VALUE(SUBSTITUTE((INDEX(SPLIT(A6059,"",""),2)),""."","","",1))"),39.723807)</f>
        <v>39.723807</v>
      </c>
      <c r="R6059" s="14" t="b">
        <f t="shared" si="1"/>
        <v>0</v>
      </c>
      <c r="S6059" s="14" t="str">
        <f t="shared" si="2"/>
        <v>43.604165,39.723807</v>
      </c>
      <c r="T6059" s="12"/>
    </row>
    <row r="6060">
      <c r="A6060" s="142" t="s">
        <v>38922</v>
      </c>
      <c r="B6060" s="143" t="s">
        <v>38923</v>
      </c>
      <c r="C6060" s="143" t="s">
        <v>38924</v>
      </c>
      <c r="D6060" s="143" t="s">
        <v>33342</v>
      </c>
      <c r="E6060" s="144" t="s">
        <v>38925</v>
      </c>
      <c r="F6060" s="142" t="s">
        <v>8566</v>
      </c>
      <c r="G6060" s="142" t="s">
        <v>33344</v>
      </c>
      <c r="H6060" s="142"/>
      <c r="I6060" s="143"/>
      <c r="J6060" s="143" t="s">
        <v>38926</v>
      </c>
      <c r="K6060" s="143" t="s">
        <v>38927</v>
      </c>
      <c r="L6060" s="145" t="s">
        <v>38928</v>
      </c>
      <c r="M6060" s="143"/>
      <c r="N6060" s="12"/>
      <c r="O6060" s="12"/>
      <c r="P6060" s="13">
        <f>IFERROR(__xludf.DUMMYFUNCTION("VALUE(SUBSTITUTE((INDEX(SPLIT(A6060,"",""),1)),""."","","",1))"),43.550436)</f>
        <v>43.550436</v>
      </c>
      <c r="Q6060" s="13">
        <f>IFERROR(__xludf.DUMMYFUNCTION("VALUE(SUBSTITUTE((INDEX(SPLIT(A6060,"",""),2)),""."","","",1))"),39.783186)</f>
        <v>39.783186</v>
      </c>
      <c r="R6060" s="14" t="b">
        <f t="shared" si="1"/>
        <v>0</v>
      </c>
      <c r="S6060" s="14" t="str">
        <f t="shared" si="2"/>
        <v>43.550436,39.783186</v>
      </c>
      <c r="T6060" s="12"/>
    </row>
    <row r="6061">
      <c r="A6061" s="146" t="s">
        <v>38929</v>
      </c>
      <c r="B6061" s="147" t="s">
        <v>38930</v>
      </c>
      <c r="C6061" s="147" t="s">
        <v>38931</v>
      </c>
      <c r="D6061" s="147" t="s">
        <v>33342</v>
      </c>
      <c r="E6061" s="148" t="s">
        <v>38932</v>
      </c>
      <c r="F6061" s="146" t="s">
        <v>8566</v>
      </c>
      <c r="G6061" s="146" t="s">
        <v>33344</v>
      </c>
      <c r="H6061" s="146"/>
      <c r="I6061" s="147"/>
      <c r="J6061" s="147" t="s">
        <v>38933</v>
      </c>
      <c r="K6061" s="147" t="s">
        <v>38934</v>
      </c>
      <c r="L6061" s="149" t="s">
        <v>33455</v>
      </c>
      <c r="M6061" s="147"/>
      <c r="N6061" s="12"/>
      <c r="O6061" s="12"/>
      <c r="P6061" s="13">
        <f>IFERROR(__xludf.DUMMYFUNCTION("VALUE(SUBSTITUTE((INDEX(SPLIT(A6061,"",""),1)),""."","","",1))"),43.600855)</f>
        <v>43.600855</v>
      </c>
      <c r="Q6061" s="13">
        <f>IFERROR(__xludf.DUMMYFUNCTION("VALUE(SUBSTITUTE((INDEX(SPLIT(A6061,"",""),2)),""."","","",1))"),39.720582)</f>
        <v>39.720582</v>
      </c>
      <c r="R6061" s="14" t="b">
        <f t="shared" si="1"/>
        <v>0</v>
      </c>
      <c r="S6061" s="14" t="str">
        <f t="shared" si="2"/>
        <v>43.600855,39.720582</v>
      </c>
      <c r="T6061" s="12"/>
    </row>
    <row r="6062">
      <c r="A6062" s="142" t="s">
        <v>38935</v>
      </c>
      <c r="B6062" s="143" t="s">
        <v>38936</v>
      </c>
      <c r="C6062" s="143" t="s">
        <v>38937</v>
      </c>
      <c r="D6062" s="143" t="s">
        <v>33342</v>
      </c>
      <c r="E6062" s="144" t="s">
        <v>38938</v>
      </c>
      <c r="F6062" s="142" t="s">
        <v>8566</v>
      </c>
      <c r="G6062" s="142" t="s">
        <v>33344</v>
      </c>
      <c r="H6062" s="142"/>
      <c r="I6062" s="143"/>
      <c r="J6062" s="143" t="s">
        <v>38939</v>
      </c>
      <c r="K6062" s="143" t="s">
        <v>38940</v>
      </c>
      <c r="L6062" s="145" t="s">
        <v>38941</v>
      </c>
      <c r="M6062" s="143"/>
      <c r="N6062" s="12"/>
      <c r="O6062" s="12"/>
      <c r="P6062" s="13">
        <f>IFERROR(__xludf.DUMMYFUNCTION("VALUE(SUBSTITUTE((INDEX(SPLIT(A6062,"",""),1)),""."","","",1))"),43.595573)</f>
        <v>43.595573</v>
      </c>
      <c r="Q6062" s="13">
        <f>IFERROR(__xludf.DUMMYFUNCTION("VALUE(SUBSTITUTE((INDEX(SPLIT(A6062,"",""),2)),""."","","",1))"),39.724697)</f>
        <v>39.724697</v>
      </c>
      <c r="R6062" s="14" t="b">
        <f t="shared" si="1"/>
        <v>0</v>
      </c>
      <c r="S6062" s="14" t="str">
        <f t="shared" si="2"/>
        <v>43.595573,39.724697</v>
      </c>
      <c r="T6062" s="12"/>
    </row>
    <row r="6063">
      <c r="A6063" s="139" t="s">
        <v>38942</v>
      </c>
      <c r="B6063" s="140" t="s">
        <v>1286</v>
      </c>
      <c r="C6063" s="140" t="s">
        <v>38943</v>
      </c>
      <c r="D6063" s="140" t="s">
        <v>33342</v>
      </c>
      <c r="E6063" s="141" t="s">
        <v>38944</v>
      </c>
      <c r="F6063" s="139" t="s">
        <v>8566</v>
      </c>
      <c r="G6063" s="139" t="s">
        <v>33344</v>
      </c>
      <c r="H6063" s="139"/>
      <c r="I6063" s="140"/>
      <c r="J6063" s="140" t="s">
        <v>38945</v>
      </c>
      <c r="K6063" s="140" t="s">
        <v>38946</v>
      </c>
      <c r="L6063" s="140"/>
      <c r="M6063" s="140"/>
      <c r="N6063" s="12"/>
      <c r="O6063" s="12"/>
      <c r="P6063" s="13">
        <f>IFERROR(__xludf.DUMMYFUNCTION("VALUE(SUBSTITUTE((INDEX(SPLIT(A6063,"",""),1)),""."","","",1))"),43.590376)</f>
        <v>43.590376</v>
      </c>
      <c r="Q6063" s="13">
        <f>IFERROR(__xludf.DUMMYFUNCTION("VALUE(SUBSTITUTE((INDEX(SPLIT(A6063,"",""),2)),""."","","",1))"),39.735575)</f>
        <v>39.735575</v>
      </c>
      <c r="R6063" s="14" t="b">
        <f t="shared" si="1"/>
        <v>0</v>
      </c>
      <c r="S6063" s="14" t="str">
        <f t="shared" si="2"/>
        <v>43.590376,39.735575</v>
      </c>
      <c r="T6063" s="12"/>
    </row>
    <row r="6064">
      <c r="A6064" s="136" t="s">
        <v>38947</v>
      </c>
      <c r="B6064" s="137" t="s">
        <v>38948</v>
      </c>
      <c r="C6064" s="137" t="s">
        <v>38949</v>
      </c>
      <c r="D6064" s="137" t="s">
        <v>33342</v>
      </c>
      <c r="E6064" s="138" t="s">
        <v>38950</v>
      </c>
      <c r="F6064" s="136" t="s">
        <v>8566</v>
      </c>
      <c r="G6064" s="136" t="s">
        <v>33344</v>
      </c>
      <c r="H6064" s="136"/>
      <c r="I6064" s="137"/>
      <c r="J6064" s="137" t="s">
        <v>38951</v>
      </c>
      <c r="K6064" s="137" t="s">
        <v>38952</v>
      </c>
      <c r="L6064" s="137"/>
      <c r="M6064" s="137"/>
      <c r="N6064" s="12"/>
      <c r="O6064" s="12"/>
      <c r="P6064" s="13">
        <f>IFERROR(__xludf.DUMMYFUNCTION("VALUE(SUBSTITUTE((INDEX(SPLIT(A6064,"",""),1)),""."","","",1))"),43.601958)</f>
        <v>43.601958</v>
      </c>
      <c r="Q6064" s="13">
        <f>IFERROR(__xludf.DUMMYFUNCTION("VALUE(SUBSTITUTE((INDEX(SPLIT(A6064,"",""),2)),""."","","",1))"),39.717169)</f>
        <v>39.717169</v>
      </c>
      <c r="R6064" s="14" t="b">
        <f t="shared" si="1"/>
        <v>0</v>
      </c>
      <c r="S6064" s="14" t="str">
        <f t="shared" si="2"/>
        <v>43.601958,39.717169</v>
      </c>
      <c r="T6064" s="12"/>
    </row>
    <row r="6065">
      <c r="A6065" s="139" t="s">
        <v>38953</v>
      </c>
      <c r="B6065" s="140" t="s">
        <v>38954</v>
      </c>
      <c r="C6065" s="140" t="s">
        <v>38955</v>
      </c>
      <c r="D6065" s="140" t="s">
        <v>33342</v>
      </c>
      <c r="E6065" s="141" t="s">
        <v>38956</v>
      </c>
      <c r="F6065" s="139" t="s">
        <v>8566</v>
      </c>
      <c r="G6065" s="139" t="s">
        <v>33344</v>
      </c>
      <c r="H6065" s="139"/>
      <c r="I6065" s="140"/>
      <c r="J6065" s="140" t="s">
        <v>38957</v>
      </c>
      <c r="K6065" s="140" t="s">
        <v>38958</v>
      </c>
      <c r="L6065" s="140"/>
      <c r="M6065" s="140"/>
      <c r="N6065" s="12"/>
      <c r="O6065" s="12"/>
      <c r="P6065" s="13">
        <f>IFERROR(__xludf.DUMMYFUNCTION("VALUE(SUBSTITUTE((INDEX(SPLIT(A6065,"",""),1)),""."","","",1))"),43.534511)</f>
        <v>43.534511</v>
      </c>
      <c r="Q6065" s="13">
        <f>IFERROR(__xludf.DUMMYFUNCTION("VALUE(SUBSTITUTE((INDEX(SPLIT(A6065,"",""),2)),""."","","",1))"),39.844433)</f>
        <v>39.844433</v>
      </c>
      <c r="R6065" s="14" t="b">
        <f t="shared" si="1"/>
        <v>0</v>
      </c>
      <c r="S6065" s="14" t="str">
        <f t="shared" si="2"/>
        <v>43.534511,39.844433</v>
      </c>
      <c r="T6065" s="12"/>
    </row>
    <row r="6066">
      <c r="A6066" s="142" t="s">
        <v>38959</v>
      </c>
      <c r="B6066" s="143" t="s">
        <v>38960</v>
      </c>
      <c r="C6066" s="143" t="s">
        <v>38961</v>
      </c>
      <c r="D6066" s="143" t="s">
        <v>33342</v>
      </c>
      <c r="E6066" s="144" t="s">
        <v>38962</v>
      </c>
      <c r="F6066" s="142" t="s">
        <v>8566</v>
      </c>
      <c r="G6066" s="142" t="s">
        <v>33344</v>
      </c>
      <c r="H6066" s="142"/>
      <c r="I6066" s="143"/>
      <c r="J6066" s="143" t="s">
        <v>38963</v>
      </c>
      <c r="K6066" s="143" t="s">
        <v>38964</v>
      </c>
      <c r="L6066" s="145" t="s">
        <v>38965</v>
      </c>
      <c r="M6066" s="143"/>
      <c r="N6066" s="12"/>
      <c r="O6066" s="12"/>
      <c r="P6066" s="13">
        <f>IFERROR(__xludf.DUMMYFUNCTION("VALUE(SUBSTITUTE((INDEX(SPLIT(A6066,"",""),1)),""."","","",1))"),43.499575)</f>
        <v>43.499575</v>
      </c>
      <c r="Q6066" s="13">
        <f>IFERROR(__xludf.DUMMYFUNCTION("VALUE(SUBSTITUTE((INDEX(SPLIT(A6066,"",""),2)),""."","","",1))"),39.881183)</f>
        <v>39.881183</v>
      </c>
      <c r="R6066" s="14" t="b">
        <f t="shared" si="1"/>
        <v>0</v>
      </c>
      <c r="S6066" s="14" t="str">
        <f t="shared" si="2"/>
        <v>43.499575,39.881183</v>
      </c>
      <c r="T6066" s="12"/>
    </row>
    <row r="6067">
      <c r="A6067" s="139" t="s">
        <v>38966</v>
      </c>
      <c r="B6067" s="140" t="s">
        <v>38967</v>
      </c>
      <c r="C6067" s="140" t="s">
        <v>38968</v>
      </c>
      <c r="D6067" s="140" t="s">
        <v>33342</v>
      </c>
      <c r="E6067" s="141" t="s">
        <v>38969</v>
      </c>
      <c r="F6067" s="139" t="s">
        <v>8566</v>
      </c>
      <c r="G6067" s="139" t="s">
        <v>33344</v>
      </c>
      <c r="H6067" s="139"/>
      <c r="I6067" s="140"/>
      <c r="J6067" s="140" t="s">
        <v>38970</v>
      </c>
      <c r="K6067" s="140" t="s">
        <v>38971</v>
      </c>
      <c r="L6067" s="140"/>
      <c r="M6067" s="154" t="s">
        <v>38972</v>
      </c>
      <c r="N6067" s="12"/>
      <c r="O6067" s="12"/>
      <c r="P6067" s="13">
        <f>IFERROR(__xludf.DUMMYFUNCTION("VALUE(SUBSTITUTE((INDEX(SPLIT(A6067,"",""),1)),""."","","",1))"),43.421425)</f>
        <v>43.421425</v>
      </c>
      <c r="Q6067" s="13">
        <f>IFERROR(__xludf.DUMMYFUNCTION("VALUE(SUBSTITUTE((INDEX(SPLIT(A6067,"",""),2)),""."","","",1))"),39.959822)</f>
        <v>39.959822</v>
      </c>
      <c r="R6067" s="14" t="b">
        <f t="shared" si="1"/>
        <v>0</v>
      </c>
      <c r="S6067" s="14" t="str">
        <f t="shared" si="2"/>
        <v>43.421425,39.959822</v>
      </c>
      <c r="T6067" s="12"/>
    </row>
    <row r="6068">
      <c r="A6068" s="142" t="s">
        <v>38973</v>
      </c>
      <c r="B6068" s="143" t="s">
        <v>38974</v>
      </c>
      <c r="C6068" s="143" t="s">
        <v>38975</v>
      </c>
      <c r="D6068" s="143" t="s">
        <v>33342</v>
      </c>
      <c r="E6068" s="144" t="s">
        <v>38976</v>
      </c>
      <c r="F6068" s="142" t="s">
        <v>8566</v>
      </c>
      <c r="G6068" s="142" t="s">
        <v>33344</v>
      </c>
      <c r="H6068" s="142"/>
      <c r="I6068" s="143"/>
      <c r="J6068" s="143" t="s">
        <v>38977</v>
      </c>
      <c r="K6068" s="143" t="s">
        <v>38978</v>
      </c>
      <c r="L6068" s="145" t="s">
        <v>38979</v>
      </c>
      <c r="M6068" s="143"/>
      <c r="N6068" s="12"/>
      <c r="O6068" s="12"/>
      <c r="P6068" s="13">
        <f>IFERROR(__xludf.DUMMYFUNCTION("VALUE(SUBSTITUTE((INDEX(SPLIT(A6068,"",""),1)),""."","","",1))"),45.014549)</f>
        <v>45.014549</v>
      </c>
      <c r="Q6068" s="13">
        <f>IFERROR(__xludf.DUMMYFUNCTION("VALUE(SUBSTITUTE((INDEX(SPLIT(A6068,"",""),2)),""."","","",1))"),39.009422)</f>
        <v>39.009422</v>
      </c>
      <c r="R6068" s="14" t="b">
        <f t="shared" si="1"/>
        <v>0</v>
      </c>
      <c r="S6068" s="14" t="str">
        <f t="shared" si="2"/>
        <v>45.014549,39.009422</v>
      </c>
      <c r="T6068" s="12"/>
    </row>
    <row r="6069">
      <c r="A6069" s="146" t="s">
        <v>38980</v>
      </c>
      <c r="B6069" s="147" t="s">
        <v>38981</v>
      </c>
      <c r="C6069" s="147" t="s">
        <v>38982</v>
      </c>
      <c r="D6069" s="147" t="s">
        <v>33342</v>
      </c>
      <c r="E6069" s="148" t="s">
        <v>38983</v>
      </c>
      <c r="F6069" s="146" t="s">
        <v>8566</v>
      </c>
      <c r="G6069" s="146" t="s">
        <v>33344</v>
      </c>
      <c r="H6069" s="146"/>
      <c r="I6069" s="147"/>
      <c r="J6069" s="147" t="s">
        <v>38984</v>
      </c>
      <c r="K6069" s="147" t="s">
        <v>38985</v>
      </c>
      <c r="L6069" s="149" t="s">
        <v>38986</v>
      </c>
      <c r="M6069" s="149" t="s">
        <v>38987</v>
      </c>
      <c r="N6069" s="12"/>
      <c r="O6069" s="12"/>
      <c r="P6069" s="13">
        <f>IFERROR(__xludf.DUMMYFUNCTION("VALUE(SUBSTITUTE((INDEX(SPLIT(A6069,"",""),1)),""."","","",1))"),44.734683)</f>
        <v>44.734683</v>
      </c>
      <c r="Q6069" s="13">
        <f>IFERROR(__xludf.DUMMYFUNCTION("VALUE(SUBSTITUTE((INDEX(SPLIT(A6069,"",""),2)),""."","","",1))"),39.850802)</f>
        <v>39.850802</v>
      </c>
      <c r="R6069" s="14" t="b">
        <f t="shared" si="1"/>
        <v>0</v>
      </c>
      <c r="S6069" s="14" t="str">
        <f t="shared" si="2"/>
        <v>44.734683,39.850802</v>
      </c>
      <c r="T6069" s="12"/>
    </row>
    <row r="6070">
      <c r="A6070" s="142" t="s">
        <v>38988</v>
      </c>
      <c r="B6070" s="143" t="s">
        <v>38989</v>
      </c>
      <c r="C6070" s="143" t="s">
        <v>38990</v>
      </c>
      <c r="D6070" s="143" t="s">
        <v>33342</v>
      </c>
      <c r="E6070" s="144" t="s">
        <v>38991</v>
      </c>
      <c r="F6070" s="142" t="s">
        <v>8566</v>
      </c>
      <c r="G6070" s="142" t="s">
        <v>33344</v>
      </c>
      <c r="H6070" s="142"/>
      <c r="I6070" s="143"/>
      <c r="J6070" s="143" t="s">
        <v>38992</v>
      </c>
      <c r="K6070" s="143" t="s">
        <v>38993</v>
      </c>
      <c r="L6070" s="145" t="s">
        <v>38994</v>
      </c>
      <c r="M6070" s="145" t="s">
        <v>38995</v>
      </c>
      <c r="N6070" s="12"/>
      <c r="O6070" s="12"/>
      <c r="P6070" s="13">
        <f>IFERROR(__xludf.DUMMYFUNCTION("VALUE(SUBSTITUTE((INDEX(SPLIT(A6070,"",""),1)),""."","","",1))"),44.752833)</f>
        <v>44.752833</v>
      </c>
      <c r="Q6070" s="13">
        <f>IFERROR(__xludf.DUMMYFUNCTION("VALUE(SUBSTITUTE((INDEX(SPLIT(A6070,"",""),2)),""."","","",1))"),39.869397)</f>
        <v>39.869397</v>
      </c>
      <c r="R6070" s="14" t="b">
        <f t="shared" si="1"/>
        <v>0</v>
      </c>
      <c r="S6070" s="14" t="str">
        <f t="shared" si="2"/>
        <v>44.752833,39.869397</v>
      </c>
      <c r="T6070" s="12"/>
    </row>
    <row r="6071">
      <c r="A6071" s="146" t="s">
        <v>38996</v>
      </c>
      <c r="B6071" s="147" t="s">
        <v>38997</v>
      </c>
      <c r="C6071" s="147" t="s">
        <v>38998</v>
      </c>
      <c r="D6071" s="147" t="s">
        <v>33342</v>
      </c>
      <c r="E6071" s="148" t="s">
        <v>38999</v>
      </c>
      <c r="F6071" s="146" t="s">
        <v>8566</v>
      </c>
      <c r="G6071" s="146" t="s">
        <v>33344</v>
      </c>
      <c r="H6071" s="146"/>
      <c r="I6071" s="147"/>
      <c r="J6071" s="147" t="s">
        <v>39000</v>
      </c>
      <c r="K6071" s="147" t="s">
        <v>39001</v>
      </c>
      <c r="L6071" s="149" t="s">
        <v>39002</v>
      </c>
      <c r="M6071" s="147"/>
      <c r="N6071" s="12"/>
      <c r="O6071" s="12"/>
      <c r="P6071" s="13">
        <f>IFERROR(__xludf.DUMMYFUNCTION("VALUE(SUBSTITUTE((INDEX(SPLIT(A6071,"",""),1)),""."","","",1))"),44.778418)</f>
        <v>44.778418</v>
      </c>
      <c r="Q6071" s="13">
        <f>IFERROR(__xludf.DUMMYFUNCTION("VALUE(SUBSTITUTE((INDEX(SPLIT(A6071,"",""),2)),""."","","",1))"),39.866406)</f>
        <v>39.866406</v>
      </c>
      <c r="R6071" s="14" t="b">
        <f t="shared" si="1"/>
        <v>0</v>
      </c>
      <c r="S6071" s="14" t="str">
        <f t="shared" si="2"/>
        <v>44.778418,39.866406</v>
      </c>
      <c r="T6071" s="12"/>
    </row>
    <row r="6072">
      <c r="A6072" s="142" t="s">
        <v>39003</v>
      </c>
      <c r="B6072" s="143" t="s">
        <v>39004</v>
      </c>
      <c r="C6072" s="143" t="s">
        <v>39005</v>
      </c>
      <c r="D6072" s="143" t="s">
        <v>33342</v>
      </c>
      <c r="E6072" s="144" t="s">
        <v>39006</v>
      </c>
      <c r="F6072" s="142" t="s">
        <v>8566</v>
      </c>
      <c r="G6072" s="142" t="s">
        <v>33344</v>
      </c>
      <c r="H6072" s="142"/>
      <c r="I6072" s="143"/>
      <c r="J6072" s="143" t="s">
        <v>39007</v>
      </c>
      <c r="K6072" s="143" t="s">
        <v>39008</v>
      </c>
      <c r="L6072" s="145" t="s">
        <v>39009</v>
      </c>
      <c r="M6072" s="143"/>
      <c r="N6072" s="12"/>
      <c r="O6072" s="12"/>
      <c r="P6072" s="13">
        <f>IFERROR(__xludf.DUMMYFUNCTION("VALUE(SUBSTITUTE((INDEX(SPLIT(A6072,"",""),1)),""."","","",1))"),45.071243)</f>
        <v>45.071243</v>
      </c>
      <c r="Q6072" s="13">
        <f>IFERROR(__xludf.DUMMYFUNCTION("VALUE(SUBSTITUTE((INDEX(SPLIT(A6072,"",""),2)),""."","","",1))"),38.903565)</f>
        <v>38.903565</v>
      </c>
      <c r="R6072" s="14" t="b">
        <f t="shared" si="1"/>
        <v>0</v>
      </c>
      <c r="S6072" s="14" t="str">
        <f t="shared" si="2"/>
        <v>45.071243,38.903565</v>
      </c>
      <c r="T6072" s="12"/>
    </row>
    <row r="6073">
      <c r="A6073" s="146" t="s">
        <v>39010</v>
      </c>
      <c r="B6073" s="147" t="s">
        <v>39011</v>
      </c>
      <c r="C6073" s="147" t="s">
        <v>39012</v>
      </c>
      <c r="D6073" s="147" t="s">
        <v>33342</v>
      </c>
      <c r="E6073" s="148" t="s">
        <v>39013</v>
      </c>
      <c r="F6073" s="146" t="s">
        <v>8566</v>
      </c>
      <c r="G6073" s="146" t="s">
        <v>33344</v>
      </c>
      <c r="H6073" s="146"/>
      <c r="I6073" s="147"/>
      <c r="J6073" s="147" t="s">
        <v>39014</v>
      </c>
      <c r="K6073" s="147" t="s">
        <v>39015</v>
      </c>
      <c r="L6073" s="149" t="s">
        <v>39016</v>
      </c>
      <c r="M6073" s="147"/>
      <c r="N6073" s="12"/>
      <c r="O6073" s="12"/>
      <c r="P6073" s="13">
        <f>IFERROR(__xludf.DUMMYFUNCTION("VALUE(SUBSTITUTE((INDEX(SPLIT(A6073,"",""),1)),""."","","",1))"),44.629602)</f>
        <v>44.629602</v>
      </c>
      <c r="Q6073" s="13">
        <f>IFERROR(__xludf.DUMMYFUNCTION("VALUE(SUBSTITUTE((INDEX(SPLIT(A6073,"",""),2)),""."","","",1))"),39.108659)</f>
        <v>39.108659</v>
      </c>
      <c r="R6073" s="14" t="b">
        <f t="shared" si="1"/>
        <v>0</v>
      </c>
      <c r="S6073" s="14" t="str">
        <f t="shared" si="2"/>
        <v>44.629602,39.108659</v>
      </c>
      <c r="T6073" s="12"/>
    </row>
    <row r="6074">
      <c r="A6074" s="136" t="s">
        <v>39017</v>
      </c>
      <c r="B6074" s="137" t="s">
        <v>39018</v>
      </c>
      <c r="C6074" s="137" t="s">
        <v>39019</v>
      </c>
      <c r="D6074" s="137" t="s">
        <v>33342</v>
      </c>
      <c r="E6074" s="138" t="s">
        <v>39020</v>
      </c>
      <c r="F6074" s="136" t="s">
        <v>8566</v>
      </c>
      <c r="G6074" s="136" t="s">
        <v>33344</v>
      </c>
      <c r="H6074" s="136"/>
      <c r="I6074" s="137"/>
      <c r="J6074" s="137" t="s">
        <v>39021</v>
      </c>
      <c r="K6074" s="137" t="s">
        <v>39022</v>
      </c>
      <c r="L6074" s="137"/>
      <c r="M6074" s="153" t="s">
        <v>39023</v>
      </c>
      <c r="N6074" s="12"/>
      <c r="O6074" s="12"/>
      <c r="P6074" s="13">
        <f>IFERROR(__xludf.DUMMYFUNCTION("VALUE(SUBSTITUTE((INDEX(SPLIT(A6074,"",""),1)),""."","","",1))"),45.464777)</f>
        <v>45.464777</v>
      </c>
      <c r="Q6074" s="13">
        <f>IFERROR(__xludf.DUMMYFUNCTION("VALUE(SUBSTITUTE((INDEX(SPLIT(A6074,"",""),2)),""."","","",1))"),39.013635)</f>
        <v>39.013635</v>
      </c>
      <c r="R6074" s="14" t="b">
        <f t="shared" si="1"/>
        <v>0</v>
      </c>
      <c r="S6074" s="14" t="str">
        <f t="shared" si="2"/>
        <v>45.464777,39.013635</v>
      </c>
      <c r="T6074" s="12"/>
    </row>
    <row r="6075">
      <c r="A6075" s="139" t="s">
        <v>39024</v>
      </c>
      <c r="B6075" s="140" t="s">
        <v>39025</v>
      </c>
      <c r="C6075" s="140" t="s">
        <v>39026</v>
      </c>
      <c r="D6075" s="140" t="s">
        <v>33342</v>
      </c>
      <c r="E6075" s="141" t="s">
        <v>39027</v>
      </c>
      <c r="F6075" s="139" t="s">
        <v>8566</v>
      </c>
      <c r="G6075" s="139" t="s">
        <v>33344</v>
      </c>
      <c r="H6075" s="139"/>
      <c r="I6075" s="140"/>
      <c r="J6075" s="140" t="s">
        <v>39028</v>
      </c>
      <c r="K6075" s="140" t="s">
        <v>39029</v>
      </c>
      <c r="L6075" s="140"/>
      <c r="M6075" s="154" t="s">
        <v>39030</v>
      </c>
      <c r="N6075" s="12"/>
      <c r="O6075" s="12"/>
      <c r="P6075" s="13">
        <f>IFERROR(__xludf.DUMMYFUNCTION("VALUE(SUBSTITUTE((INDEX(SPLIT(A6075,"",""),1)),""."","","",1))"),45.257255)</f>
        <v>45.257255</v>
      </c>
      <c r="Q6075" s="13">
        <f>IFERROR(__xludf.DUMMYFUNCTION("VALUE(SUBSTITUTE((INDEX(SPLIT(A6075,"",""),2)),""."","","",1))"),38.119937)</f>
        <v>38.119937</v>
      </c>
      <c r="R6075" s="14" t="b">
        <f t="shared" si="1"/>
        <v>0</v>
      </c>
      <c r="S6075" s="14" t="str">
        <f t="shared" si="2"/>
        <v>45.257255,38.119937</v>
      </c>
      <c r="T6075" s="12"/>
    </row>
    <row r="6076">
      <c r="A6076" s="142" t="s">
        <v>39031</v>
      </c>
      <c r="B6076" s="143" t="s">
        <v>14515</v>
      </c>
      <c r="C6076" s="143" t="s">
        <v>39032</v>
      </c>
      <c r="D6076" s="143" t="s">
        <v>33342</v>
      </c>
      <c r="E6076" s="144" t="s">
        <v>39033</v>
      </c>
      <c r="F6076" s="142" t="s">
        <v>8566</v>
      </c>
      <c r="G6076" s="142" t="s">
        <v>33344</v>
      </c>
      <c r="H6076" s="142"/>
      <c r="I6076" s="143"/>
      <c r="J6076" s="143" t="s">
        <v>39034</v>
      </c>
      <c r="K6076" s="143" t="s">
        <v>33701</v>
      </c>
      <c r="L6076" s="145" t="s">
        <v>39035</v>
      </c>
      <c r="M6076" s="145" t="s">
        <v>39036</v>
      </c>
      <c r="N6076" s="12"/>
      <c r="O6076" s="12"/>
      <c r="P6076" s="13">
        <f>IFERROR(__xludf.DUMMYFUNCTION("VALUE(SUBSTITUTE((INDEX(SPLIT(A6076,"",""),1)),""."","","",1))"),46.550518)</f>
        <v>46.550518</v>
      </c>
      <c r="Q6076" s="13">
        <f>IFERROR(__xludf.DUMMYFUNCTION("VALUE(SUBSTITUTE((INDEX(SPLIT(A6076,"",""),2)),""."","","",1))"),39.614976)</f>
        <v>39.614976</v>
      </c>
      <c r="R6076" s="14" t="b">
        <f t="shared" si="1"/>
        <v>0</v>
      </c>
      <c r="S6076" s="14" t="str">
        <f t="shared" si="2"/>
        <v>46.550518,39.614976</v>
      </c>
      <c r="T6076" s="12"/>
    </row>
    <row r="6077">
      <c r="A6077" s="139" t="s">
        <v>39037</v>
      </c>
      <c r="B6077" s="140" t="s">
        <v>39038</v>
      </c>
      <c r="C6077" s="140" t="s">
        <v>39039</v>
      </c>
      <c r="D6077" s="140" t="s">
        <v>33342</v>
      </c>
      <c r="E6077" s="141" t="s">
        <v>39040</v>
      </c>
      <c r="F6077" s="139" t="s">
        <v>8566</v>
      </c>
      <c r="G6077" s="139" t="s">
        <v>33344</v>
      </c>
      <c r="H6077" s="139"/>
      <c r="I6077" s="140"/>
      <c r="J6077" s="140" t="s">
        <v>39041</v>
      </c>
      <c r="K6077" s="140" t="s">
        <v>39042</v>
      </c>
      <c r="L6077" s="140"/>
      <c r="M6077" s="154" t="s">
        <v>39043</v>
      </c>
      <c r="N6077" s="12"/>
      <c r="O6077" s="12"/>
      <c r="P6077" s="13">
        <f>IFERROR(__xludf.DUMMYFUNCTION("VALUE(SUBSTITUTE((INDEX(SPLIT(A6077,"",""),1)),""."","","",1))"),46.568078)</f>
        <v>46.568078</v>
      </c>
      <c r="Q6077" s="13">
        <f>IFERROR(__xludf.DUMMYFUNCTION("VALUE(SUBSTITUTE((INDEX(SPLIT(A6077,"",""),2)),""."","","",1))"),39.579942)</f>
        <v>39.579942</v>
      </c>
      <c r="R6077" s="14" t="b">
        <f t="shared" si="1"/>
        <v>0</v>
      </c>
      <c r="S6077" s="14" t="str">
        <f t="shared" si="2"/>
        <v>46.568078,39.579942</v>
      </c>
      <c r="T6077" s="12"/>
    </row>
    <row r="6078">
      <c r="A6078" s="136" t="s">
        <v>39044</v>
      </c>
      <c r="B6078" s="137" t="s">
        <v>39045</v>
      </c>
      <c r="C6078" s="137" t="s">
        <v>39046</v>
      </c>
      <c r="D6078" s="137" t="s">
        <v>33342</v>
      </c>
      <c r="E6078" s="138" t="s">
        <v>39047</v>
      </c>
      <c r="F6078" s="136" t="s">
        <v>8566</v>
      </c>
      <c r="G6078" s="136" t="s">
        <v>33344</v>
      </c>
      <c r="H6078" s="136"/>
      <c r="I6078" s="137"/>
      <c r="J6078" s="137" t="s">
        <v>39048</v>
      </c>
      <c r="K6078" s="137" t="s">
        <v>39049</v>
      </c>
      <c r="L6078" s="137"/>
      <c r="M6078" s="153" t="s">
        <v>39050</v>
      </c>
      <c r="N6078" s="12"/>
      <c r="O6078" s="12"/>
      <c r="P6078" s="13">
        <f>IFERROR(__xludf.DUMMYFUNCTION("VALUE(SUBSTITUTE((INDEX(SPLIT(A6078,"",""),1)),""."","","",1))"),46.324766)</f>
        <v>46.324766</v>
      </c>
      <c r="Q6078" s="13">
        <f>IFERROR(__xludf.DUMMYFUNCTION("VALUE(SUBSTITUTE((INDEX(SPLIT(A6078,"",""),2)),""."","","",1))"),39.386158)</f>
        <v>39.386158</v>
      </c>
      <c r="R6078" s="14" t="b">
        <f t="shared" si="1"/>
        <v>0</v>
      </c>
      <c r="S6078" s="14" t="str">
        <f t="shared" si="2"/>
        <v>46.324766,39.386158</v>
      </c>
      <c r="T6078" s="12"/>
    </row>
    <row r="6079">
      <c r="A6079" s="146" t="s">
        <v>39051</v>
      </c>
      <c r="B6079" s="147" t="s">
        <v>39052</v>
      </c>
      <c r="C6079" s="147" t="s">
        <v>39053</v>
      </c>
      <c r="D6079" s="147" t="s">
        <v>33342</v>
      </c>
      <c r="E6079" s="148" t="s">
        <v>39054</v>
      </c>
      <c r="F6079" s="146" t="s">
        <v>8566</v>
      </c>
      <c r="G6079" s="146" t="s">
        <v>33344</v>
      </c>
      <c r="H6079" s="146"/>
      <c r="I6079" s="147"/>
      <c r="J6079" s="147" t="s">
        <v>39055</v>
      </c>
      <c r="K6079" s="147" t="s">
        <v>39056</v>
      </c>
      <c r="L6079" s="149" t="s">
        <v>39057</v>
      </c>
      <c r="M6079" s="147"/>
      <c r="N6079" s="12"/>
      <c r="O6079" s="12"/>
      <c r="P6079" s="13">
        <f>IFERROR(__xludf.DUMMYFUNCTION("VALUE(SUBSTITUTE((INDEX(SPLIT(A6079,"",""),1)),""."","","",1))"),44.415477)</f>
        <v>44.415477</v>
      </c>
      <c r="Q6079" s="13">
        <f>IFERROR(__xludf.DUMMYFUNCTION("VALUE(SUBSTITUTE((INDEX(SPLIT(A6079,"",""),2)),""."","","",1))"),41.509344)</f>
        <v>41.509344</v>
      </c>
      <c r="R6079" s="14" t="b">
        <f t="shared" si="1"/>
        <v>0</v>
      </c>
      <c r="S6079" s="14" t="str">
        <f t="shared" si="2"/>
        <v>44.415477,41.509344</v>
      </c>
      <c r="T6079" s="12"/>
    </row>
    <row r="6080">
      <c r="A6080" s="142" t="s">
        <v>39058</v>
      </c>
      <c r="B6080" s="143" t="s">
        <v>39059</v>
      </c>
      <c r="C6080" s="143" t="s">
        <v>39060</v>
      </c>
      <c r="D6080" s="143" t="s">
        <v>33342</v>
      </c>
      <c r="E6080" s="144" t="s">
        <v>39061</v>
      </c>
      <c r="F6080" s="142" t="s">
        <v>8566</v>
      </c>
      <c r="G6080" s="142" t="s">
        <v>33344</v>
      </c>
      <c r="H6080" s="142"/>
      <c r="I6080" s="143"/>
      <c r="J6080" s="143" t="s">
        <v>39062</v>
      </c>
      <c r="K6080" s="143" t="s">
        <v>39063</v>
      </c>
      <c r="L6080" s="145" t="s">
        <v>39064</v>
      </c>
      <c r="M6080" s="143"/>
      <c r="N6080" s="12"/>
      <c r="O6080" s="12"/>
      <c r="P6080" s="13">
        <f>IFERROR(__xludf.DUMMYFUNCTION("VALUE(SUBSTITUTE((INDEX(SPLIT(A6080,"",""),1)),""."","","",1))"),45.195971)</f>
        <v>45.195971</v>
      </c>
      <c r="Q6080" s="13">
        <f>IFERROR(__xludf.DUMMYFUNCTION("VALUE(SUBSTITUTE((INDEX(SPLIT(A6080,"",""),2)),""."","","",1))"),39.234809)</f>
        <v>39.234809</v>
      </c>
      <c r="R6080" s="14" t="b">
        <f t="shared" si="1"/>
        <v>0</v>
      </c>
      <c r="S6080" s="14" t="str">
        <f t="shared" si="2"/>
        <v>45.195971,39.234809</v>
      </c>
      <c r="T6080" s="12"/>
    </row>
    <row r="6081">
      <c r="A6081" s="146" t="s">
        <v>39065</v>
      </c>
      <c r="B6081" s="147" t="s">
        <v>39066</v>
      </c>
      <c r="C6081" s="147" t="s">
        <v>39067</v>
      </c>
      <c r="D6081" s="147" t="s">
        <v>33342</v>
      </c>
      <c r="E6081" s="148" t="s">
        <v>39068</v>
      </c>
      <c r="F6081" s="146" t="s">
        <v>8566</v>
      </c>
      <c r="G6081" s="146" t="s">
        <v>33344</v>
      </c>
      <c r="H6081" s="146"/>
      <c r="I6081" s="147"/>
      <c r="J6081" s="147" t="s">
        <v>39069</v>
      </c>
      <c r="K6081" s="147" t="s">
        <v>39070</v>
      </c>
      <c r="L6081" s="149" t="s">
        <v>39071</v>
      </c>
      <c r="M6081" s="147"/>
      <c r="N6081" s="12"/>
      <c r="O6081" s="12"/>
      <c r="P6081" s="13">
        <f>IFERROR(__xludf.DUMMYFUNCTION("VALUE(SUBSTITUTE((INDEX(SPLIT(A6081,"",""),1)),""."","","",1))"),45.221536)</f>
        <v>45.221536</v>
      </c>
      <c r="Q6081" s="13">
        <f>IFERROR(__xludf.DUMMYFUNCTION("VALUE(SUBSTITUTE((INDEX(SPLIT(A6081,"",""),2)),""."","","",1))"),39.671031)</f>
        <v>39.671031</v>
      </c>
      <c r="R6081" s="14" t="b">
        <f t="shared" si="1"/>
        <v>0</v>
      </c>
      <c r="S6081" s="14" t="str">
        <f t="shared" si="2"/>
        <v>45.221536,39.671031</v>
      </c>
      <c r="T6081" s="12"/>
    </row>
    <row r="6082">
      <c r="A6082" s="136" t="s">
        <v>39072</v>
      </c>
      <c r="B6082" s="137" t="s">
        <v>39073</v>
      </c>
      <c r="C6082" s="137" t="s">
        <v>39074</v>
      </c>
      <c r="D6082" s="137" t="s">
        <v>33342</v>
      </c>
      <c r="E6082" s="138" t="s">
        <v>39075</v>
      </c>
      <c r="F6082" s="136" t="s">
        <v>8566</v>
      </c>
      <c r="G6082" s="136" t="s">
        <v>33344</v>
      </c>
      <c r="H6082" s="136"/>
      <c r="I6082" s="137"/>
      <c r="J6082" s="137" t="s">
        <v>39076</v>
      </c>
      <c r="K6082" s="137" t="s">
        <v>39077</v>
      </c>
      <c r="L6082" s="137"/>
      <c r="M6082" s="137"/>
      <c r="N6082" s="12"/>
      <c r="O6082" s="12"/>
      <c r="P6082" s="13">
        <f>IFERROR(__xludf.DUMMYFUNCTION("VALUE(SUBSTITUTE((INDEX(SPLIT(A6082,"",""),1)),""."","","",1))"),44.933461)</f>
        <v>44.933461</v>
      </c>
      <c r="Q6082" s="13">
        <f>IFERROR(__xludf.DUMMYFUNCTION("VALUE(SUBSTITUTE((INDEX(SPLIT(A6082,"",""),2)),""."","","",1))"),38.010909)</f>
        <v>38.010909</v>
      </c>
      <c r="R6082" s="14" t="b">
        <f t="shared" si="1"/>
        <v>0</v>
      </c>
      <c r="S6082" s="14" t="str">
        <f t="shared" si="2"/>
        <v>44.933461,38.010909</v>
      </c>
      <c r="T6082" s="12"/>
    </row>
    <row r="6083">
      <c r="A6083" s="139" t="s">
        <v>39078</v>
      </c>
      <c r="B6083" s="140" t="s">
        <v>18004</v>
      </c>
      <c r="C6083" s="140" t="s">
        <v>39079</v>
      </c>
      <c r="D6083" s="140" t="s">
        <v>33342</v>
      </c>
      <c r="E6083" s="141" t="s">
        <v>39080</v>
      </c>
      <c r="F6083" s="139" t="s">
        <v>26306</v>
      </c>
      <c r="G6083" s="139" t="s">
        <v>33344</v>
      </c>
      <c r="H6083" s="139"/>
      <c r="I6083" s="140"/>
      <c r="J6083" s="140" t="s">
        <v>39081</v>
      </c>
      <c r="K6083" s="140" t="s">
        <v>39082</v>
      </c>
      <c r="L6083" s="140"/>
      <c r="M6083" s="154" t="s">
        <v>39083</v>
      </c>
      <c r="N6083" s="12"/>
      <c r="O6083" s="12"/>
      <c r="P6083" s="13">
        <f>IFERROR(__xludf.DUMMYFUNCTION("VALUE(SUBSTITUTE((INDEX(SPLIT(A6083,"",""),1)),""."","","",1))"),56.033027)</f>
        <v>56.033027</v>
      </c>
      <c r="Q6083" s="13">
        <f>IFERROR(__xludf.DUMMYFUNCTION("VALUE(SUBSTITUTE((INDEX(SPLIT(A6083,"",""),2)),""."","","",1))"),93.139224)</f>
        <v>93.139224</v>
      </c>
      <c r="R6083" s="14" t="b">
        <f t="shared" si="1"/>
        <v>0</v>
      </c>
      <c r="S6083" s="14" t="str">
        <f t="shared" si="2"/>
        <v>56.033027,93.139224</v>
      </c>
      <c r="T6083" s="12"/>
    </row>
    <row r="6084">
      <c r="A6084" s="142" t="s">
        <v>39084</v>
      </c>
      <c r="B6084" s="143" t="s">
        <v>39085</v>
      </c>
      <c r="C6084" s="143" t="s">
        <v>39086</v>
      </c>
      <c r="D6084" s="143" t="s">
        <v>33342</v>
      </c>
      <c r="E6084" s="144" t="s">
        <v>39087</v>
      </c>
      <c r="F6084" s="142" t="s">
        <v>26306</v>
      </c>
      <c r="G6084" s="142" t="s">
        <v>33344</v>
      </c>
      <c r="H6084" s="142"/>
      <c r="I6084" s="143"/>
      <c r="J6084" s="143" t="s">
        <v>39088</v>
      </c>
      <c r="K6084" s="143" t="s">
        <v>39089</v>
      </c>
      <c r="L6084" s="145" t="s">
        <v>39090</v>
      </c>
      <c r="M6084" s="143"/>
      <c r="N6084" s="12"/>
      <c r="O6084" s="12"/>
      <c r="P6084" s="13">
        <f>IFERROR(__xludf.DUMMYFUNCTION("VALUE(SUBSTITUTE((INDEX(SPLIT(A6084,"",""),1)),""."","","",1))"),56.040958)</f>
        <v>56.040958</v>
      </c>
      <c r="Q6084" s="13">
        <f>IFERROR(__xludf.DUMMYFUNCTION("VALUE(SUBSTITUTE((INDEX(SPLIT(A6084,"",""),2)),""."","","",1))"),93.083115)</f>
        <v>93.083115</v>
      </c>
      <c r="R6084" s="14" t="b">
        <f t="shared" si="1"/>
        <v>0</v>
      </c>
      <c r="S6084" s="14" t="str">
        <f t="shared" si="2"/>
        <v>56.040958,93.083115</v>
      </c>
      <c r="T6084" s="12"/>
    </row>
    <row r="6085">
      <c r="A6085" s="139" t="s">
        <v>39091</v>
      </c>
      <c r="B6085" s="140" t="s">
        <v>39092</v>
      </c>
      <c r="C6085" s="140" t="s">
        <v>39093</v>
      </c>
      <c r="D6085" s="140" t="s">
        <v>33342</v>
      </c>
      <c r="E6085" s="141" t="s">
        <v>39094</v>
      </c>
      <c r="F6085" s="139" t="s">
        <v>26306</v>
      </c>
      <c r="G6085" s="139" t="s">
        <v>33344</v>
      </c>
      <c r="H6085" s="139"/>
      <c r="I6085" s="140"/>
      <c r="J6085" s="140" t="s">
        <v>39095</v>
      </c>
      <c r="K6085" s="140" t="s">
        <v>39096</v>
      </c>
      <c r="L6085" s="140"/>
      <c r="M6085" s="140"/>
      <c r="N6085" s="12"/>
      <c r="O6085" s="12"/>
      <c r="P6085" s="13">
        <f>IFERROR(__xludf.DUMMYFUNCTION("VALUE(SUBSTITUTE((INDEX(SPLIT(A6085,"",""),1)),""."","","",1))"),56.495355)</f>
        <v>56.495355</v>
      </c>
      <c r="Q6085" s="13">
        <f>IFERROR(__xludf.DUMMYFUNCTION("VALUE(SUBSTITUTE((INDEX(SPLIT(A6085,"",""),2)),""."","","",1))"),93.271851)</f>
        <v>93.271851</v>
      </c>
      <c r="R6085" s="14" t="b">
        <f t="shared" si="1"/>
        <v>0</v>
      </c>
      <c r="S6085" s="14" t="str">
        <f t="shared" si="2"/>
        <v>56.495355,93.271851</v>
      </c>
      <c r="T6085" s="12"/>
    </row>
    <row r="6086">
      <c r="A6086" s="136" t="s">
        <v>39097</v>
      </c>
      <c r="B6086" s="137" t="s">
        <v>39098</v>
      </c>
      <c r="C6086" s="137" t="s">
        <v>39099</v>
      </c>
      <c r="D6086" s="137" t="s">
        <v>33342</v>
      </c>
      <c r="E6086" s="138" t="s">
        <v>39100</v>
      </c>
      <c r="F6086" s="136" t="s">
        <v>26306</v>
      </c>
      <c r="G6086" s="136" t="s">
        <v>33344</v>
      </c>
      <c r="H6086" s="136"/>
      <c r="I6086" s="137"/>
      <c r="J6086" s="137" t="s">
        <v>39101</v>
      </c>
      <c r="K6086" s="137" t="s">
        <v>39102</v>
      </c>
      <c r="L6086" s="137"/>
      <c r="M6086" s="137"/>
      <c r="N6086" s="12"/>
      <c r="O6086" s="12"/>
      <c r="P6086" s="13">
        <f>IFERROR(__xludf.DUMMYFUNCTION("VALUE(SUBSTITUTE((INDEX(SPLIT(A6086,"",""),1)),""."","","",1))"),56.258248)</f>
        <v>56.258248</v>
      </c>
      <c r="Q6086" s="13">
        <f>IFERROR(__xludf.DUMMYFUNCTION("VALUE(SUBSTITUTE((INDEX(SPLIT(A6086,"",""),2)),""."","","",1))"),90.495294)</f>
        <v>90.495294</v>
      </c>
      <c r="R6086" s="14" t="b">
        <f t="shared" si="1"/>
        <v>0</v>
      </c>
      <c r="S6086" s="14" t="str">
        <f t="shared" si="2"/>
        <v>56.258248,90.495294</v>
      </c>
      <c r="T6086" s="12"/>
    </row>
    <row r="6087">
      <c r="A6087" s="146" t="s">
        <v>39103</v>
      </c>
      <c r="B6087" s="147" t="s">
        <v>39104</v>
      </c>
      <c r="C6087" s="147" t="s">
        <v>39105</v>
      </c>
      <c r="D6087" s="147" t="s">
        <v>33342</v>
      </c>
      <c r="E6087" s="148" t="s">
        <v>39106</v>
      </c>
      <c r="F6087" s="146" t="s">
        <v>26306</v>
      </c>
      <c r="G6087" s="146" t="s">
        <v>33344</v>
      </c>
      <c r="H6087" s="146"/>
      <c r="I6087" s="147"/>
      <c r="J6087" s="147" t="s">
        <v>39107</v>
      </c>
      <c r="K6087" s="147" t="s">
        <v>39108</v>
      </c>
      <c r="L6087" s="149" t="s">
        <v>39109</v>
      </c>
      <c r="M6087" s="149" t="s">
        <v>39110</v>
      </c>
      <c r="N6087" s="12"/>
      <c r="O6087" s="12"/>
      <c r="P6087" s="13">
        <f>IFERROR(__xludf.DUMMYFUNCTION("VALUE(SUBSTITUTE((INDEX(SPLIT(A6087,"",""),1)),""."","","",1))"),56.231943)</f>
        <v>56.231943</v>
      </c>
      <c r="Q6087" s="13">
        <f>IFERROR(__xludf.DUMMYFUNCTION("VALUE(SUBSTITUTE((INDEX(SPLIT(A6087,"",""),2)),""."","","",1))"),90.479789)</f>
        <v>90.479789</v>
      </c>
      <c r="R6087" s="14" t="b">
        <f t="shared" si="1"/>
        <v>0</v>
      </c>
      <c r="S6087" s="14" t="str">
        <f t="shared" si="2"/>
        <v>56.231943,90.479789</v>
      </c>
      <c r="T6087" s="12"/>
    </row>
    <row r="6088">
      <c r="A6088" s="142" t="s">
        <v>39111</v>
      </c>
      <c r="B6088" s="143" t="s">
        <v>39112</v>
      </c>
      <c r="C6088" s="143" t="s">
        <v>39113</v>
      </c>
      <c r="D6088" s="143" t="s">
        <v>33342</v>
      </c>
      <c r="E6088" s="144" t="s">
        <v>39114</v>
      </c>
      <c r="F6088" s="142" t="s">
        <v>26306</v>
      </c>
      <c r="G6088" s="142" t="s">
        <v>33344</v>
      </c>
      <c r="H6088" s="142"/>
      <c r="I6088" s="143"/>
      <c r="J6088" s="143" t="s">
        <v>39115</v>
      </c>
      <c r="K6088" s="143" t="s">
        <v>39116</v>
      </c>
      <c r="L6088" s="145" t="s">
        <v>39117</v>
      </c>
      <c r="M6088" s="143"/>
      <c r="N6088" s="12"/>
      <c r="O6088" s="12"/>
      <c r="P6088" s="13">
        <f>IFERROR(__xludf.DUMMYFUNCTION("VALUE(SUBSTITUTE((INDEX(SPLIT(A6088,"",""),1)),""."","","",1))"),56.236746)</f>
        <v>56.236746</v>
      </c>
      <c r="Q6088" s="13">
        <f>IFERROR(__xludf.DUMMYFUNCTION("VALUE(SUBSTITUTE((INDEX(SPLIT(A6088,"",""),2)),""."","","",1))"),90.479735)</f>
        <v>90.479735</v>
      </c>
      <c r="R6088" s="14" t="b">
        <f t="shared" si="1"/>
        <v>0</v>
      </c>
      <c r="S6088" s="14" t="str">
        <f t="shared" si="2"/>
        <v>56.236746,90.479735</v>
      </c>
      <c r="T6088" s="12"/>
    </row>
    <row r="6089">
      <c r="A6089" s="146" t="s">
        <v>39118</v>
      </c>
      <c r="B6089" s="147" t="s">
        <v>9645</v>
      </c>
      <c r="C6089" s="147" t="s">
        <v>39119</v>
      </c>
      <c r="D6089" s="147" t="s">
        <v>33342</v>
      </c>
      <c r="E6089" s="148" t="s">
        <v>39120</v>
      </c>
      <c r="F6089" s="146" t="s">
        <v>26306</v>
      </c>
      <c r="G6089" s="146" t="s">
        <v>33344</v>
      </c>
      <c r="H6089" s="146"/>
      <c r="I6089" s="147"/>
      <c r="J6089" s="147" t="s">
        <v>39121</v>
      </c>
      <c r="K6089" s="147" t="s">
        <v>39122</v>
      </c>
      <c r="L6089" s="149" t="s">
        <v>39123</v>
      </c>
      <c r="M6089" s="149" t="s">
        <v>39124</v>
      </c>
      <c r="N6089" s="12"/>
      <c r="O6089" s="12"/>
      <c r="P6089" s="13">
        <f>IFERROR(__xludf.DUMMYFUNCTION("VALUE(SUBSTITUTE((INDEX(SPLIT(A6089,"",""),1)),""."","","",1))"),56.22198)</f>
        <v>56.22198</v>
      </c>
      <c r="Q6089" s="13">
        <f>IFERROR(__xludf.DUMMYFUNCTION("VALUE(SUBSTITUTE((INDEX(SPLIT(A6089,"",""),2)),""."","","",1))"),93.466687)</f>
        <v>93.466687</v>
      </c>
      <c r="R6089" s="14" t="b">
        <f t="shared" si="1"/>
        <v>0</v>
      </c>
      <c r="S6089" s="14" t="str">
        <f t="shared" si="2"/>
        <v>56.22198,93.466687</v>
      </c>
      <c r="T6089" s="12"/>
    </row>
    <row r="6090">
      <c r="A6090" s="136" t="s">
        <v>39125</v>
      </c>
      <c r="B6090" s="137" t="s">
        <v>39126</v>
      </c>
      <c r="C6090" s="137" t="s">
        <v>39127</v>
      </c>
      <c r="D6090" s="137" t="s">
        <v>33342</v>
      </c>
      <c r="E6090" s="138" t="s">
        <v>39128</v>
      </c>
      <c r="F6090" s="136" t="s">
        <v>26306</v>
      </c>
      <c r="G6090" s="136" t="s">
        <v>33344</v>
      </c>
      <c r="H6090" s="136"/>
      <c r="I6090" s="137"/>
      <c r="J6090" s="137" t="s">
        <v>39129</v>
      </c>
      <c r="K6090" s="137" t="s">
        <v>39130</v>
      </c>
      <c r="L6090" s="137"/>
      <c r="M6090" s="153" t="s">
        <v>39131</v>
      </c>
      <c r="N6090" s="12"/>
      <c r="O6090" s="12"/>
      <c r="P6090" s="13">
        <f>IFERROR(__xludf.DUMMYFUNCTION("VALUE(SUBSTITUTE((INDEX(SPLIT(A6090,"",""),1)),""."","","",1))"),58.201968)</f>
        <v>58.201968</v>
      </c>
      <c r="Q6090" s="13">
        <f>IFERROR(__xludf.DUMMYFUNCTION("VALUE(SUBSTITUTE((INDEX(SPLIT(A6090,"",""),2)),""."","","",1))"),92.513817)</f>
        <v>92.513817</v>
      </c>
      <c r="R6090" s="14" t="b">
        <f t="shared" si="1"/>
        <v>0</v>
      </c>
      <c r="S6090" s="14" t="str">
        <f t="shared" si="2"/>
        <v>58.201968,92.513817</v>
      </c>
      <c r="T6090" s="12"/>
    </row>
    <row r="6091">
      <c r="A6091" s="146" t="s">
        <v>29778</v>
      </c>
      <c r="B6091" s="147" t="s">
        <v>39132</v>
      </c>
      <c r="C6091" s="147" t="s">
        <v>34081</v>
      </c>
      <c r="D6091" s="147" t="s">
        <v>33342</v>
      </c>
      <c r="E6091" s="148" t="s">
        <v>39133</v>
      </c>
      <c r="F6091" s="146" t="s">
        <v>26306</v>
      </c>
      <c r="G6091" s="146" t="s">
        <v>33344</v>
      </c>
      <c r="H6091" s="146"/>
      <c r="I6091" s="147"/>
      <c r="J6091" s="147" t="s">
        <v>39134</v>
      </c>
      <c r="K6091" s="147" t="s">
        <v>32410</v>
      </c>
      <c r="L6091" s="149" t="s">
        <v>39135</v>
      </c>
      <c r="M6091" s="149" t="s">
        <v>39136</v>
      </c>
      <c r="N6091" s="12"/>
      <c r="O6091" s="12"/>
      <c r="P6091" s="13">
        <f>IFERROR(__xludf.DUMMYFUNCTION("VALUE(SUBSTITUTE((INDEX(SPLIT(A6091,"",""),1)),""."","","",1))"),56.025879)</f>
        <v>56.025879</v>
      </c>
      <c r="Q6091" s="13">
        <f>IFERROR(__xludf.DUMMYFUNCTION("VALUE(SUBSTITUTE((INDEX(SPLIT(A6091,"",""),2)),""."","","",1))"),92.800317)</f>
        <v>92.800317</v>
      </c>
      <c r="R6091" s="14" t="b">
        <f t="shared" si="1"/>
        <v>0</v>
      </c>
      <c r="S6091" s="14" t="str">
        <f t="shared" si="2"/>
        <v>56.025879,92.800317</v>
      </c>
      <c r="T6091" s="12"/>
    </row>
    <row r="6092">
      <c r="A6092" s="136" t="s">
        <v>39137</v>
      </c>
      <c r="B6092" s="137" t="s">
        <v>39138</v>
      </c>
      <c r="C6092" s="137" t="s">
        <v>39139</v>
      </c>
      <c r="D6092" s="137" t="s">
        <v>33342</v>
      </c>
      <c r="E6092" s="138" t="s">
        <v>39140</v>
      </c>
      <c r="F6092" s="136" t="s">
        <v>26306</v>
      </c>
      <c r="G6092" s="136" t="s">
        <v>33344</v>
      </c>
      <c r="H6092" s="136"/>
      <c r="I6092" s="137"/>
      <c r="J6092" s="137" t="s">
        <v>39141</v>
      </c>
      <c r="K6092" s="137" t="s">
        <v>39142</v>
      </c>
      <c r="L6092" s="137"/>
      <c r="M6092" s="153" t="s">
        <v>39143</v>
      </c>
      <c r="N6092" s="12"/>
      <c r="O6092" s="12"/>
      <c r="P6092" s="13">
        <f>IFERROR(__xludf.DUMMYFUNCTION("VALUE(SUBSTITUTE((INDEX(SPLIT(A6092,"",""),1)),""."","","",1))"),56.033093)</f>
        <v>56.033093</v>
      </c>
      <c r="Q6092" s="13">
        <f>IFERROR(__xludf.DUMMYFUNCTION("VALUE(SUBSTITUTE((INDEX(SPLIT(A6092,"",""),2)),""."","","",1))"),92.805491)</f>
        <v>92.805491</v>
      </c>
      <c r="R6092" s="14" t="b">
        <f t="shared" si="1"/>
        <v>0</v>
      </c>
      <c r="S6092" s="14" t="str">
        <f t="shared" si="2"/>
        <v>56.033093,92.805491</v>
      </c>
      <c r="T6092" s="12"/>
    </row>
    <row r="6093">
      <c r="A6093" s="139" t="s">
        <v>39144</v>
      </c>
      <c r="B6093" s="140" t="s">
        <v>16796</v>
      </c>
      <c r="C6093" s="140" t="s">
        <v>39145</v>
      </c>
      <c r="D6093" s="140" t="s">
        <v>33342</v>
      </c>
      <c r="E6093" s="141" t="s">
        <v>39146</v>
      </c>
      <c r="F6093" s="139" t="s">
        <v>26306</v>
      </c>
      <c r="G6093" s="139" t="s">
        <v>33344</v>
      </c>
      <c r="H6093" s="139"/>
      <c r="I6093" s="140"/>
      <c r="J6093" s="140" t="s">
        <v>39147</v>
      </c>
      <c r="K6093" s="140" t="s">
        <v>39148</v>
      </c>
      <c r="L6093" s="140"/>
      <c r="M6093" s="154" t="s">
        <v>39149</v>
      </c>
      <c r="N6093" s="12"/>
      <c r="O6093" s="12"/>
      <c r="P6093" s="13">
        <f>IFERROR(__xludf.DUMMYFUNCTION("VALUE(SUBSTITUTE((INDEX(SPLIT(A6093,"",""),1)),""."","","",1))"),56.0326)</f>
        <v>56.0326</v>
      </c>
      <c r="Q6093" s="13">
        <f>IFERROR(__xludf.DUMMYFUNCTION("VALUE(SUBSTITUTE((INDEX(SPLIT(A6093,"",""),2)),""."","","",1))"),92.806659)</f>
        <v>92.806659</v>
      </c>
      <c r="R6093" s="14" t="b">
        <f t="shared" si="1"/>
        <v>0</v>
      </c>
      <c r="S6093" s="14" t="str">
        <f t="shared" si="2"/>
        <v>56.0326,92.806659</v>
      </c>
      <c r="T6093" s="12"/>
    </row>
    <row r="6094">
      <c r="A6094" s="136" t="s">
        <v>39150</v>
      </c>
      <c r="B6094" s="137" t="s">
        <v>39151</v>
      </c>
      <c r="C6094" s="137" t="s">
        <v>39152</v>
      </c>
      <c r="D6094" s="137" t="s">
        <v>33342</v>
      </c>
      <c r="E6094" s="138" t="s">
        <v>39153</v>
      </c>
      <c r="F6094" s="136" t="s">
        <v>26306</v>
      </c>
      <c r="G6094" s="136" t="s">
        <v>33344</v>
      </c>
      <c r="H6094" s="136"/>
      <c r="I6094" s="137"/>
      <c r="J6094" s="137" t="s">
        <v>39154</v>
      </c>
      <c r="K6094" s="137" t="s">
        <v>39155</v>
      </c>
      <c r="L6094" s="137"/>
      <c r="M6094" s="153" t="s">
        <v>20961</v>
      </c>
      <c r="N6094" s="12"/>
      <c r="O6094" s="12"/>
      <c r="P6094" s="13">
        <f>IFERROR(__xludf.DUMMYFUNCTION("VALUE(SUBSTITUTE((INDEX(SPLIT(A6094,"",""),1)),""."","","",1))"),56.02193)</f>
        <v>56.02193</v>
      </c>
      <c r="Q6094" s="13">
        <f>IFERROR(__xludf.DUMMYFUNCTION("VALUE(SUBSTITUTE((INDEX(SPLIT(A6094,"",""),2)),""."","","",1))"),92.837947)</f>
        <v>92.837947</v>
      </c>
      <c r="R6094" s="14" t="b">
        <f t="shared" si="1"/>
        <v>0</v>
      </c>
      <c r="S6094" s="14" t="str">
        <f t="shared" si="2"/>
        <v>56.02193,92.837947</v>
      </c>
      <c r="T6094" s="12"/>
    </row>
    <row r="6095">
      <c r="A6095" s="146" t="s">
        <v>29813</v>
      </c>
      <c r="B6095" s="147" t="s">
        <v>39156</v>
      </c>
      <c r="C6095" s="147" t="s">
        <v>39157</v>
      </c>
      <c r="D6095" s="147" t="s">
        <v>33342</v>
      </c>
      <c r="E6095" s="148" t="s">
        <v>39158</v>
      </c>
      <c r="F6095" s="146" t="s">
        <v>26306</v>
      </c>
      <c r="G6095" s="146" t="s">
        <v>33344</v>
      </c>
      <c r="H6095" s="146"/>
      <c r="I6095" s="147"/>
      <c r="J6095" s="147" t="s">
        <v>39159</v>
      </c>
      <c r="K6095" s="147" t="s">
        <v>32492</v>
      </c>
      <c r="L6095" s="150" t="s">
        <v>39160</v>
      </c>
      <c r="M6095" s="147"/>
      <c r="N6095" s="12"/>
      <c r="O6095" s="12"/>
      <c r="P6095" s="13">
        <f>IFERROR(__xludf.DUMMYFUNCTION("VALUE(SUBSTITUTE((INDEX(SPLIT(A6095,"",""),1)),""."","","",1))"),56.039097)</f>
        <v>56.039097</v>
      </c>
      <c r="Q6095" s="13">
        <f>IFERROR(__xludf.DUMMYFUNCTION("VALUE(SUBSTITUTE((INDEX(SPLIT(A6095,"",""),2)),""."","","",1))"),92.83191)</f>
        <v>92.83191</v>
      </c>
      <c r="R6095" s="14" t="b">
        <f t="shared" si="1"/>
        <v>0</v>
      </c>
      <c r="S6095" s="14" t="str">
        <f t="shared" si="2"/>
        <v>56.039097,92.83191</v>
      </c>
      <c r="T6095" s="12"/>
    </row>
    <row r="6096">
      <c r="A6096" s="142" t="s">
        <v>39161</v>
      </c>
      <c r="B6096" s="143" t="s">
        <v>39162</v>
      </c>
      <c r="C6096" s="143" t="s">
        <v>39163</v>
      </c>
      <c r="D6096" s="143" t="s">
        <v>33342</v>
      </c>
      <c r="E6096" s="144" t="s">
        <v>39164</v>
      </c>
      <c r="F6096" s="142" t="s">
        <v>26306</v>
      </c>
      <c r="G6096" s="142" t="s">
        <v>33344</v>
      </c>
      <c r="H6096" s="142"/>
      <c r="I6096" s="155" t="s">
        <v>39165</v>
      </c>
      <c r="J6096" s="143" t="s">
        <v>39166</v>
      </c>
      <c r="K6096" s="143" t="s">
        <v>39167</v>
      </c>
      <c r="L6096" s="152" t="s">
        <v>39168</v>
      </c>
      <c r="M6096" s="143"/>
      <c r="N6096" s="12"/>
      <c r="O6096" s="12"/>
      <c r="P6096" s="13">
        <f>IFERROR(__xludf.DUMMYFUNCTION("VALUE(SUBSTITUTE((INDEX(SPLIT(A6096,"",""),1)),""."","","",1))"),56.006527)</f>
        <v>56.006527</v>
      </c>
      <c r="Q6096" s="13">
        <f>IFERROR(__xludf.DUMMYFUNCTION("VALUE(SUBSTITUTE((INDEX(SPLIT(A6096,"",""),2)),""."","","",1))"),92.839331)</f>
        <v>92.839331</v>
      </c>
      <c r="R6096" s="14" t="b">
        <f t="shared" si="1"/>
        <v>0</v>
      </c>
      <c r="S6096" s="14" t="str">
        <f t="shared" si="2"/>
        <v>56.006527,92.839331</v>
      </c>
      <c r="T6096" s="12"/>
    </row>
    <row r="6097">
      <c r="A6097" s="139" t="s">
        <v>29450</v>
      </c>
      <c r="B6097" s="140" t="s">
        <v>39169</v>
      </c>
      <c r="C6097" s="140" t="s">
        <v>39170</v>
      </c>
      <c r="D6097" s="140" t="s">
        <v>33342</v>
      </c>
      <c r="E6097" s="141" t="s">
        <v>39171</v>
      </c>
      <c r="F6097" s="139" t="s">
        <v>26306</v>
      </c>
      <c r="G6097" s="139" t="s">
        <v>33344</v>
      </c>
      <c r="H6097" s="139"/>
      <c r="I6097" s="140"/>
      <c r="J6097" s="140" t="s">
        <v>39172</v>
      </c>
      <c r="K6097" s="140" t="s">
        <v>39173</v>
      </c>
      <c r="L6097" s="140"/>
      <c r="M6097" s="140"/>
      <c r="N6097" s="12"/>
      <c r="O6097" s="12"/>
      <c r="P6097" s="13">
        <f>IFERROR(__xludf.DUMMYFUNCTION("VALUE(SUBSTITUTE((INDEX(SPLIT(A6097,"",""),1)),""."","","",1))"),56.269501)</f>
        <v>56.269501</v>
      </c>
      <c r="Q6097" s="13">
        <f>IFERROR(__xludf.DUMMYFUNCTION("VALUE(SUBSTITUTE((INDEX(SPLIT(A6097,"",""),2)),""."","","",1))"),90.49524)</f>
        <v>90.49524</v>
      </c>
      <c r="R6097" s="14" t="b">
        <f t="shared" si="1"/>
        <v>0</v>
      </c>
      <c r="S6097" s="14" t="str">
        <f t="shared" si="2"/>
        <v>56.269501,90.49524</v>
      </c>
      <c r="T6097" s="12"/>
    </row>
    <row r="6098">
      <c r="A6098" s="142" t="s">
        <v>39174</v>
      </c>
      <c r="B6098" s="143" t="s">
        <v>39175</v>
      </c>
      <c r="C6098" s="143" t="s">
        <v>39176</v>
      </c>
      <c r="D6098" s="143" t="s">
        <v>33342</v>
      </c>
      <c r="E6098" s="144" t="s">
        <v>39177</v>
      </c>
      <c r="F6098" s="142" t="s">
        <v>26306</v>
      </c>
      <c r="G6098" s="142" t="s">
        <v>33344</v>
      </c>
      <c r="H6098" s="142"/>
      <c r="I6098" s="143"/>
      <c r="J6098" s="143" t="s">
        <v>39178</v>
      </c>
      <c r="K6098" s="143" t="s">
        <v>39179</v>
      </c>
      <c r="L6098" s="145" t="s">
        <v>34867</v>
      </c>
      <c r="M6098" s="145" t="s">
        <v>39180</v>
      </c>
      <c r="N6098" s="12"/>
      <c r="O6098" s="12"/>
      <c r="P6098" s="13">
        <f>IFERROR(__xludf.DUMMYFUNCTION("VALUE(SUBSTITUTE((INDEX(SPLIT(A6098,"",""),1)),""."","","",1))"),56.00018)</f>
        <v>56.00018</v>
      </c>
      <c r="Q6098" s="13">
        <f>IFERROR(__xludf.DUMMYFUNCTION("VALUE(SUBSTITUTE((INDEX(SPLIT(A6098,"",""),2)),""."","","",1))"),92.912714)</f>
        <v>92.912714</v>
      </c>
      <c r="R6098" s="14" t="b">
        <f t="shared" si="1"/>
        <v>0</v>
      </c>
      <c r="S6098" s="14" t="str">
        <f t="shared" si="2"/>
        <v>56.00018,92.912714</v>
      </c>
      <c r="T6098" s="12"/>
    </row>
    <row r="6099">
      <c r="A6099" s="139" t="s">
        <v>39181</v>
      </c>
      <c r="B6099" s="140" t="s">
        <v>39182</v>
      </c>
      <c r="C6099" s="140" t="s">
        <v>39183</v>
      </c>
      <c r="D6099" s="140" t="s">
        <v>33342</v>
      </c>
      <c r="E6099" s="141" t="s">
        <v>39184</v>
      </c>
      <c r="F6099" s="139" t="s">
        <v>26306</v>
      </c>
      <c r="G6099" s="139" t="s">
        <v>33344</v>
      </c>
      <c r="H6099" s="139"/>
      <c r="I6099" s="140"/>
      <c r="J6099" s="140" t="s">
        <v>39185</v>
      </c>
      <c r="K6099" s="140" t="s">
        <v>39186</v>
      </c>
      <c r="L6099" s="140"/>
      <c r="M6099" s="140"/>
      <c r="N6099" s="12"/>
      <c r="O6099" s="12"/>
      <c r="P6099" s="13">
        <f>IFERROR(__xludf.DUMMYFUNCTION("VALUE(SUBSTITUTE((INDEX(SPLIT(A6099,"",""),1)),""."","","",1))"),56.005113)</f>
        <v>56.005113</v>
      </c>
      <c r="Q6099" s="13">
        <f>IFERROR(__xludf.DUMMYFUNCTION("VALUE(SUBSTITUTE((INDEX(SPLIT(A6099,"",""),2)),""."","","",1))"),92.93448)</f>
        <v>92.93448</v>
      </c>
      <c r="R6099" s="14" t="b">
        <f t="shared" si="1"/>
        <v>0</v>
      </c>
      <c r="S6099" s="14" t="str">
        <f t="shared" si="2"/>
        <v>56.005113,92.93448</v>
      </c>
      <c r="T6099" s="12"/>
    </row>
    <row r="6100">
      <c r="A6100" s="136" t="s">
        <v>39187</v>
      </c>
      <c r="B6100" s="137" t="s">
        <v>39188</v>
      </c>
      <c r="C6100" s="137" t="s">
        <v>39189</v>
      </c>
      <c r="D6100" s="137" t="s">
        <v>33342</v>
      </c>
      <c r="E6100" s="138" t="s">
        <v>39190</v>
      </c>
      <c r="F6100" s="136" t="s">
        <v>26306</v>
      </c>
      <c r="G6100" s="136" t="s">
        <v>33344</v>
      </c>
      <c r="H6100" s="136"/>
      <c r="I6100" s="137"/>
      <c r="J6100" s="137" t="s">
        <v>39191</v>
      </c>
      <c r="K6100" s="137" t="s">
        <v>39192</v>
      </c>
      <c r="L6100" s="137"/>
      <c r="M6100" s="153" t="s">
        <v>20961</v>
      </c>
      <c r="N6100" s="12"/>
      <c r="O6100" s="12"/>
      <c r="P6100" s="13">
        <f>IFERROR(__xludf.DUMMYFUNCTION("VALUE(SUBSTITUTE((INDEX(SPLIT(A6100,"",""),1)),""."","","",1))"),56.001141)</f>
        <v>56.001141</v>
      </c>
      <c r="Q6100" s="13">
        <f>IFERROR(__xludf.DUMMYFUNCTION("VALUE(SUBSTITUTE((INDEX(SPLIT(A6100,"",""),2)),""."","","",1))"),92.920951)</f>
        <v>92.920951</v>
      </c>
      <c r="R6100" s="14" t="b">
        <f t="shared" si="1"/>
        <v>0</v>
      </c>
      <c r="S6100" s="14" t="str">
        <f t="shared" si="2"/>
        <v>56.001141,92.920951</v>
      </c>
      <c r="T6100" s="12"/>
    </row>
    <row r="6101">
      <c r="A6101" s="146" t="s">
        <v>39193</v>
      </c>
      <c r="B6101" s="147" t="s">
        <v>39194</v>
      </c>
      <c r="C6101" s="147" t="s">
        <v>39195</v>
      </c>
      <c r="D6101" s="147" t="s">
        <v>33342</v>
      </c>
      <c r="E6101" s="148" t="s">
        <v>39196</v>
      </c>
      <c r="F6101" s="146" t="s">
        <v>26306</v>
      </c>
      <c r="G6101" s="146" t="s">
        <v>33344</v>
      </c>
      <c r="H6101" s="146"/>
      <c r="I6101" s="147"/>
      <c r="J6101" s="147" t="s">
        <v>39197</v>
      </c>
      <c r="K6101" s="147" t="s">
        <v>39198</v>
      </c>
      <c r="L6101" s="149" t="s">
        <v>39199</v>
      </c>
      <c r="M6101" s="147"/>
      <c r="N6101" s="12"/>
      <c r="O6101" s="12"/>
      <c r="P6101" s="13">
        <f>IFERROR(__xludf.DUMMYFUNCTION("VALUE(SUBSTITUTE((INDEX(SPLIT(A6101,"",""),1)),""."","","",1))"),56.06865)</f>
        <v>56.06865</v>
      </c>
      <c r="Q6101" s="13">
        <f>IFERROR(__xludf.DUMMYFUNCTION("VALUE(SUBSTITUTE((INDEX(SPLIT(A6101,"",""),2)),""."","","",1))"),92.991487)</f>
        <v>92.991487</v>
      </c>
      <c r="R6101" s="14" t="b">
        <f t="shared" si="1"/>
        <v>0</v>
      </c>
      <c r="S6101" s="14" t="str">
        <f t="shared" si="2"/>
        <v>56.06865,92.991487</v>
      </c>
      <c r="T6101" s="12"/>
    </row>
    <row r="6102">
      <c r="A6102" s="142" t="s">
        <v>39200</v>
      </c>
      <c r="B6102" s="143" t="s">
        <v>39201</v>
      </c>
      <c r="C6102" s="143" t="s">
        <v>39202</v>
      </c>
      <c r="D6102" s="143" t="s">
        <v>33342</v>
      </c>
      <c r="E6102" s="144" t="s">
        <v>39203</v>
      </c>
      <c r="F6102" s="142" t="s">
        <v>26306</v>
      </c>
      <c r="G6102" s="142" t="s">
        <v>33344</v>
      </c>
      <c r="H6102" s="142"/>
      <c r="I6102" s="143"/>
      <c r="J6102" s="143" t="s">
        <v>39204</v>
      </c>
      <c r="K6102" s="143" t="s">
        <v>39205</v>
      </c>
      <c r="L6102" s="152" t="s">
        <v>39206</v>
      </c>
      <c r="M6102" s="143"/>
      <c r="N6102" s="12"/>
      <c r="O6102" s="12"/>
      <c r="P6102" s="13">
        <f>IFERROR(__xludf.DUMMYFUNCTION("VALUE(SUBSTITUTE((INDEX(SPLIT(A6102,"",""),1)),""."","","",1))"),55.999908)</f>
        <v>55.999908</v>
      </c>
      <c r="Q6102" s="13">
        <f>IFERROR(__xludf.DUMMYFUNCTION("VALUE(SUBSTITUTE((INDEX(SPLIT(A6102,"",""),2)),""."","","",1))"),93.01434)</f>
        <v>93.01434</v>
      </c>
      <c r="R6102" s="14" t="b">
        <f t="shared" si="1"/>
        <v>0</v>
      </c>
      <c r="S6102" s="14" t="str">
        <f t="shared" si="2"/>
        <v>55.999908,93.01434</v>
      </c>
      <c r="T6102" s="12"/>
    </row>
    <row r="6103">
      <c r="A6103" s="146" t="s">
        <v>39207</v>
      </c>
      <c r="B6103" s="147" t="s">
        <v>39208</v>
      </c>
      <c r="C6103" s="147" t="s">
        <v>39209</v>
      </c>
      <c r="D6103" s="147" t="s">
        <v>33342</v>
      </c>
      <c r="E6103" s="148" t="s">
        <v>39210</v>
      </c>
      <c r="F6103" s="146" t="s">
        <v>26306</v>
      </c>
      <c r="G6103" s="146" t="s">
        <v>33344</v>
      </c>
      <c r="H6103" s="146"/>
      <c r="I6103" s="147"/>
      <c r="J6103" s="147" t="s">
        <v>39211</v>
      </c>
      <c r="K6103" s="147" t="s">
        <v>39212</v>
      </c>
      <c r="L6103" s="149" t="s">
        <v>39213</v>
      </c>
      <c r="M6103" s="149" t="s">
        <v>39214</v>
      </c>
      <c r="N6103" s="12"/>
      <c r="O6103" s="12"/>
      <c r="P6103" s="13">
        <f>IFERROR(__xludf.DUMMYFUNCTION("VALUE(SUBSTITUTE((INDEX(SPLIT(A6103,"",""),1)),""."","","",1))"),56.006507)</f>
        <v>56.006507</v>
      </c>
      <c r="Q6103" s="13">
        <f>IFERROR(__xludf.DUMMYFUNCTION("VALUE(SUBSTITUTE((INDEX(SPLIT(A6103,"",""),2)),""."","","",1))"),92.998817)</f>
        <v>92.998817</v>
      </c>
      <c r="R6103" s="14" t="b">
        <f t="shared" si="1"/>
        <v>0</v>
      </c>
      <c r="S6103" s="14" t="str">
        <f t="shared" si="2"/>
        <v>56.006507,92.998817</v>
      </c>
      <c r="T6103" s="12"/>
    </row>
    <row r="6104">
      <c r="A6104" s="136" t="s">
        <v>39215</v>
      </c>
      <c r="B6104" s="137" t="s">
        <v>22774</v>
      </c>
      <c r="C6104" s="137" t="s">
        <v>39216</v>
      </c>
      <c r="D6104" s="137" t="s">
        <v>33342</v>
      </c>
      <c r="E6104" s="138" t="s">
        <v>39217</v>
      </c>
      <c r="F6104" s="136" t="s">
        <v>26306</v>
      </c>
      <c r="G6104" s="136" t="s">
        <v>33344</v>
      </c>
      <c r="H6104" s="136"/>
      <c r="I6104" s="137"/>
      <c r="J6104" s="137" t="s">
        <v>39218</v>
      </c>
      <c r="K6104" s="137" t="s">
        <v>39219</v>
      </c>
      <c r="L6104" s="137"/>
      <c r="M6104" s="153" t="s">
        <v>39220</v>
      </c>
      <c r="N6104" s="12"/>
      <c r="O6104" s="12"/>
      <c r="P6104" s="13">
        <f>IFERROR(__xludf.DUMMYFUNCTION("VALUE(SUBSTITUTE((INDEX(SPLIT(A6104,"",""),1)),""."","","",1))"),56.041898)</f>
        <v>56.041898</v>
      </c>
      <c r="Q6104" s="13">
        <f>IFERROR(__xludf.DUMMYFUNCTION("VALUE(SUBSTITUTE((INDEX(SPLIT(A6104,"",""),2)),""."","","",1))"),92.821724)</f>
        <v>92.821724</v>
      </c>
      <c r="R6104" s="14" t="b">
        <f t="shared" si="1"/>
        <v>0</v>
      </c>
      <c r="S6104" s="14" t="str">
        <f t="shared" si="2"/>
        <v>56.041898,92.821724</v>
      </c>
      <c r="T6104" s="12"/>
    </row>
    <row r="6105">
      <c r="A6105" s="139" t="s">
        <v>39221</v>
      </c>
      <c r="B6105" s="140" t="s">
        <v>39222</v>
      </c>
      <c r="C6105" s="140" t="s">
        <v>39223</v>
      </c>
      <c r="D6105" s="140" t="s">
        <v>33342</v>
      </c>
      <c r="E6105" s="141" t="s">
        <v>39224</v>
      </c>
      <c r="F6105" s="139" t="s">
        <v>26306</v>
      </c>
      <c r="G6105" s="139" t="s">
        <v>33344</v>
      </c>
      <c r="H6105" s="139"/>
      <c r="I6105" s="140"/>
      <c r="J6105" s="140" t="s">
        <v>39225</v>
      </c>
      <c r="K6105" s="140" t="s">
        <v>39226</v>
      </c>
      <c r="L6105" s="140"/>
      <c r="M6105" s="154" t="s">
        <v>20961</v>
      </c>
      <c r="N6105" s="12"/>
      <c r="O6105" s="12"/>
      <c r="P6105" s="13">
        <f>IFERROR(__xludf.DUMMYFUNCTION("VALUE(SUBSTITUTE((INDEX(SPLIT(A6105,"",""),1)),""."","","",1))"),56.024395)</f>
        <v>56.024395</v>
      </c>
      <c r="Q6105" s="13">
        <f>IFERROR(__xludf.DUMMYFUNCTION("VALUE(SUBSTITUTE((INDEX(SPLIT(A6105,"",""),2)),""."","","",1))"),92.753497)</f>
        <v>92.753497</v>
      </c>
      <c r="R6105" s="14" t="b">
        <f t="shared" si="1"/>
        <v>0</v>
      </c>
      <c r="S6105" s="14" t="str">
        <f t="shared" si="2"/>
        <v>56.024395,92.753497</v>
      </c>
      <c r="T6105" s="12"/>
    </row>
    <row r="6106">
      <c r="A6106" s="136" t="s">
        <v>39227</v>
      </c>
      <c r="B6106" s="137" t="s">
        <v>39228</v>
      </c>
      <c r="C6106" s="137" t="s">
        <v>39229</v>
      </c>
      <c r="D6106" s="137" t="s">
        <v>33342</v>
      </c>
      <c r="E6106" s="138" t="s">
        <v>39230</v>
      </c>
      <c r="F6106" s="136" t="s">
        <v>26306</v>
      </c>
      <c r="G6106" s="136" t="s">
        <v>33344</v>
      </c>
      <c r="H6106" s="136"/>
      <c r="I6106" s="137"/>
      <c r="J6106" s="137" t="s">
        <v>39231</v>
      </c>
      <c r="K6106" s="137" t="s">
        <v>39232</v>
      </c>
      <c r="L6106" s="137"/>
      <c r="M6106" s="137"/>
      <c r="N6106" s="12"/>
      <c r="O6106" s="12"/>
      <c r="P6106" s="13">
        <f>IFERROR(__xludf.DUMMYFUNCTION("VALUE(SUBSTITUTE((INDEX(SPLIT(A6106,"",""),1)),""."","","",1))"),56.056131)</f>
        <v>56.056131</v>
      </c>
      <c r="Q6106" s="13">
        <f>IFERROR(__xludf.DUMMYFUNCTION("VALUE(SUBSTITUTE((INDEX(SPLIT(A6106,"",""),2)),""."","","",1))"),92.741639)</f>
        <v>92.741639</v>
      </c>
      <c r="R6106" s="14" t="b">
        <f t="shared" si="1"/>
        <v>0</v>
      </c>
      <c r="S6106" s="14" t="str">
        <f t="shared" si="2"/>
        <v>56.056131,92.741639</v>
      </c>
      <c r="T6106" s="12"/>
    </row>
    <row r="6107">
      <c r="A6107" s="139" t="s">
        <v>39233</v>
      </c>
      <c r="B6107" s="140" t="s">
        <v>39234</v>
      </c>
      <c r="C6107" s="140" t="s">
        <v>39235</v>
      </c>
      <c r="D6107" s="140" t="s">
        <v>33342</v>
      </c>
      <c r="E6107" s="141" t="s">
        <v>39236</v>
      </c>
      <c r="F6107" s="139" t="s">
        <v>26306</v>
      </c>
      <c r="G6107" s="139" t="s">
        <v>33344</v>
      </c>
      <c r="H6107" s="139"/>
      <c r="I6107" s="140"/>
      <c r="J6107" s="140" t="s">
        <v>39237</v>
      </c>
      <c r="K6107" s="140" t="s">
        <v>39238</v>
      </c>
      <c r="L6107" s="140"/>
      <c r="M6107" s="140"/>
      <c r="N6107" s="12"/>
      <c r="O6107" s="12"/>
      <c r="P6107" s="13">
        <f>IFERROR(__xludf.DUMMYFUNCTION("VALUE(SUBSTITUTE((INDEX(SPLIT(A6107,"",""),1)),""."","","",1))"),56.035924)</f>
        <v>56.035924</v>
      </c>
      <c r="Q6107" s="13">
        <f>IFERROR(__xludf.DUMMYFUNCTION("VALUE(SUBSTITUTE((INDEX(SPLIT(A6107,"",""),2)),""."","","",1))"),92.790606)</f>
        <v>92.790606</v>
      </c>
      <c r="R6107" s="14" t="b">
        <f t="shared" si="1"/>
        <v>0</v>
      </c>
      <c r="S6107" s="14" t="str">
        <f t="shared" si="2"/>
        <v>56.035924,92.790606</v>
      </c>
      <c r="T6107" s="12"/>
    </row>
    <row r="6108">
      <c r="A6108" s="142" t="s">
        <v>39239</v>
      </c>
      <c r="B6108" s="143" t="s">
        <v>39240</v>
      </c>
      <c r="C6108" s="143" t="s">
        <v>39241</v>
      </c>
      <c r="D6108" s="143" t="s">
        <v>33342</v>
      </c>
      <c r="E6108" s="144" t="s">
        <v>39242</v>
      </c>
      <c r="F6108" s="142" t="s">
        <v>26306</v>
      </c>
      <c r="G6108" s="142" t="s">
        <v>33344</v>
      </c>
      <c r="H6108" s="142"/>
      <c r="I6108" s="143"/>
      <c r="J6108" s="143" t="s">
        <v>39243</v>
      </c>
      <c r="K6108" s="143" t="s">
        <v>39219</v>
      </c>
      <c r="L6108" s="145" t="s">
        <v>39244</v>
      </c>
      <c r="M6108" s="143"/>
      <c r="N6108" s="12"/>
      <c r="O6108" s="12"/>
      <c r="P6108" s="13">
        <f>IFERROR(__xludf.DUMMYFUNCTION("VALUE(SUBSTITUTE((INDEX(SPLIT(A6108,"",""),1)),""."","","",1))"),56.03692)</f>
        <v>56.03692</v>
      </c>
      <c r="Q6108" s="13">
        <f>IFERROR(__xludf.DUMMYFUNCTION("VALUE(SUBSTITUTE((INDEX(SPLIT(A6108,"",""),2)),""."","","",1))"),92.789779)</f>
        <v>92.789779</v>
      </c>
      <c r="R6108" s="14" t="b">
        <f t="shared" si="1"/>
        <v>0</v>
      </c>
      <c r="S6108" s="14" t="str">
        <f t="shared" si="2"/>
        <v>56.03692,92.789779</v>
      </c>
      <c r="T6108" s="12"/>
    </row>
    <row r="6109">
      <c r="A6109" s="146" t="s">
        <v>39245</v>
      </c>
      <c r="B6109" s="147" t="s">
        <v>39246</v>
      </c>
      <c r="C6109" s="147" t="s">
        <v>39247</v>
      </c>
      <c r="D6109" s="147" t="s">
        <v>33342</v>
      </c>
      <c r="E6109" s="148" t="s">
        <v>39248</v>
      </c>
      <c r="F6109" s="146" t="s">
        <v>26306</v>
      </c>
      <c r="G6109" s="146" t="s">
        <v>33344</v>
      </c>
      <c r="H6109" s="146"/>
      <c r="I6109" s="147"/>
      <c r="J6109" s="147" t="s">
        <v>39249</v>
      </c>
      <c r="K6109" s="147" t="s">
        <v>39250</v>
      </c>
      <c r="L6109" s="150" t="s">
        <v>39251</v>
      </c>
      <c r="M6109" s="147"/>
      <c r="N6109" s="12"/>
      <c r="O6109" s="12"/>
      <c r="P6109" s="13">
        <f>IFERROR(__xludf.DUMMYFUNCTION("VALUE(SUBSTITUTE((INDEX(SPLIT(A6109,"",""),1)),""."","","",1))"),55.000167)</f>
        <v>55.000167</v>
      </c>
      <c r="Q6109" s="13">
        <f>IFERROR(__xludf.DUMMYFUNCTION("VALUE(SUBSTITUTE((INDEX(SPLIT(A6109,"",""),2)),""."","","",1))"),82.971607)</f>
        <v>82.971607</v>
      </c>
      <c r="R6109" s="14" t="b">
        <f t="shared" si="1"/>
        <v>0</v>
      </c>
      <c r="S6109" s="14" t="str">
        <f t="shared" si="2"/>
        <v>55.000167,82.971607</v>
      </c>
      <c r="T6109" s="12"/>
    </row>
    <row r="6110">
      <c r="A6110" s="136" t="s">
        <v>39252</v>
      </c>
      <c r="B6110" s="137" t="s">
        <v>39253</v>
      </c>
      <c r="C6110" s="137" t="s">
        <v>39254</v>
      </c>
      <c r="D6110" s="137" t="s">
        <v>33342</v>
      </c>
      <c r="E6110" s="138" t="s">
        <v>39255</v>
      </c>
      <c r="F6110" s="136" t="s">
        <v>26306</v>
      </c>
      <c r="G6110" s="136" t="s">
        <v>33344</v>
      </c>
      <c r="H6110" s="136"/>
      <c r="I6110" s="137"/>
      <c r="J6110" s="137" t="s">
        <v>39256</v>
      </c>
      <c r="K6110" s="137" t="s">
        <v>39257</v>
      </c>
      <c r="L6110" s="137"/>
      <c r="M6110" s="153" t="s">
        <v>39258</v>
      </c>
      <c r="N6110" s="12"/>
      <c r="O6110" s="12"/>
      <c r="P6110" s="13">
        <f>IFERROR(__xludf.DUMMYFUNCTION("VALUE(SUBSTITUTE((INDEX(SPLIT(A6110,"",""),1)),""."","","",1))"),55.975828)</f>
        <v>55.975828</v>
      </c>
      <c r="Q6110" s="13">
        <f>IFERROR(__xludf.DUMMYFUNCTION("VALUE(SUBSTITUTE((INDEX(SPLIT(A6110,"",""),2)),""."","","",1))"),92.905662)</f>
        <v>92.905662</v>
      </c>
      <c r="R6110" s="14" t="b">
        <f t="shared" si="1"/>
        <v>0</v>
      </c>
      <c r="S6110" s="14" t="str">
        <f t="shared" si="2"/>
        <v>55.975828,92.905662</v>
      </c>
      <c r="T6110" s="12"/>
    </row>
    <row r="6111">
      <c r="A6111" s="139" t="s">
        <v>39259</v>
      </c>
      <c r="B6111" s="140" t="s">
        <v>16946</v>
      </c>
      <c r="C6111" s="140" t="s">
        <v>34816</v>
      </c>
      <c r="D6111" s="140" t="s">
        <v>33342</v>
      </c>
      <c r="E6111" s="141" t="s">
        <v>39260</v>
      </c>
      <c r="F6111" s="139" t="s">
        <v>26306</v>
      </c>
      <c r="G6111" s="139" t="s">
        <v>33344</v>
      </c>
      <c r="H6111" s="139"/>
      <c r="I6111" s="140"/>
      <c r="J6111" s="140" t="s">
        <v>39261</v>
      </c>
      <c r="K6111" s="140" t="s">
        <v>39262</v>
      </c>
      <c r="L6111" s="140"/>
      <c r="M6111" s="154" t="s">
        <v>39263</v>
      </c>
      <c r="N6111" s="12"/>
      <c r="O6111" s="12"/>
      <c r="P6111" s="13">
        <f>IFERROR(__xludf.DUMMYFUNCTION("VALUE(SUBSTITUTE((INDEX(SPLIT(A6111,"",""),1)),""."","","",1))"),55.987724)</f>
        <v>55.987724</v>
      </c>
      <c r="Q6111" s="13">
        <f>IFERROR(__xludf.DUMMYFUNCTION("VALUE(SUBSTITUTE((INDEX(SPLIT(A6111,"",""),2)),""."","","",1))"),92.848835)</f>
        <v>92.848835</v>
      </c>
      <c r="R6111" s="14" t="b">
        <f t="shared" si="1"/>
        <v>0</v>
      </c>
      <c r="S6111" s="14" t="str">
        <f t="shared" si="2"/>
        <v>55.987724,92.848835</v>
      </c>
      <c r="T6111" s="12"/>
    </row>
    <row r="6112">
      <c r="A6112" s="142" t="s">
        <v>39264</v>
      </c>
      <c r="B6112" s="143" t="s">
        <v>39265</v>
      </c>
      <c r="C6112" s="143" t="s">
        <v>39266</v>
      </c>
      <c r="D6112" s="143" t="s">
        <v>33342</v>
      </c>
      <c r="E6112" s="144" t="s">
        <v>39267</v>
      </c>
      <c r="F6112" s="142" t="s">
        <v>26306</v>
      </c>
      <c r="G6112" s="142" t="s">
        <v>33344</v>
      </c>
      <c r="H6112" s="142"/>
      <c r="I6112" s="143"/>
      <c r="J6112" s="143" t="s">
        <v>39268</v>
      </c>
      <c r="K6112" s="143" t="s">
        <v>39269</v>
      </c>
      <c r="L6112" s="152" t="s">
        <v>39270</v>
      </c>
      <c r="M6112" s="143"/>
      <c r="N6112" s="12"/>
      <c r="O6112" s="12"/>
      <c r="P6112" s="13">
        <f>IFERROR(__xludf.DUMMYFUNCTION("VALUE(SUBSTITUTE((INDEX(SPLIT(A6112,"",""),1)),""."","","",1))"),56.0352)</f>
        <v>56.0352</v>
      </c>
      <c r="Q6112" s="13">
        <f>IFERROR(__xludf.DUMMYFUNCTION("VALUE(SUBSTITUTE((INDEX(SPLIT(A6112,"",""),2)),""."","","",1))"),92.897685)</f>
        <v>92.897685</v>
      </c>
      <c r="R6112" s="14" t="b">
        <f t="shared" si="1"/>
        <v>0</v>
      </c>
      <c r="S6112" s="14" t="str">
        <f t="shared" si="2"/>
        <v>56.0352,92.897685</v>
      </c>
      <c r="T6112" s="12"/>
    </row>
    <row r="6113">
      <c r="A6113" s="146" t="s">
        <v>39271</v>
      </c>
      <c r="B6113" s="147" t="s">
        <v>39272</v>
      </c>
      <c r="C6113" s="147" t="s">
        <v>39273</v>
      </c>
      <c r="D6113" s="147" t="s">
        <v>33342</v>
      </c>
      <c r="E6113" s="148" t="s">
        <v>39274</v>
      </c>
      <c r="F6113" s="146" t="s">
        <v>26306</v>
      </c>
      <c r="G6113" s="146" t="s">
        <v>33344</v>
      </c>
      <c r="H6113" s="146"/>
      <c r="I6113" s="147"/>
      <c r="J6113" s="147" t="s">
        <v>39275</v>
      </c>
      <c r="K6113" s="147" t="s">
        <v>39276</v>
      </c>
      <c r="L6113" s="149" t="s">
        <v>39277</v>
      </c>
      <c r="M6113" s="147"/>
      <c r="N6113" s="12"/>
      <c r="O6113" s="12"/>
      <c r="P6113" s="13">
        <f>IFERROR(__xludf.DUMMYFUNCTION("VALUE(SUBSTITUTE((INDEX(SPLIT(A6113,"",""),1)),""."","","",1))"),56.062997)</f>
        <v>56.062997</v>
      </c>
      <c r="Q6113" s="13">
        <f>IFERROR(__xludf.DUMMYFUNCTION("VALUE(SUBSTITUTE((INDEX(SPLIT(A6113,"",""),2)),""."","","",1))"),92.907468)</f>
        <v>92.907468</v>
      </c>
      <c r="R6113" s="14" t="b">
        <f t="shared" si="1"/>
        <v>0</v>
      </c>
      <c r="S6113" s="14" t="str">
        <f t="shared" si="2"/>
        <v>56.062997,92.907468</v>
      </c>
      <c r="T6113" s="12"/>
    </row>
    <row r="6114">
      <c r="A6114" s="136" t="s">
        <v>39278</v>
      </c>
      <c r="B6114" s="137" t="s">
        <v>39279</v>
      </c>
      <c r="C6114" s="137" t="s">
        <v>39280</v>
      </c>
      <c r="D6114" s="137" t="s">
        <v>33342</v>
      </c>
      <c r="E6114" s="138" t="s">
        <v>39281</v>
      </c>
      <c r="F6114" s="136" t="s">
        <v>26306</v>
      </c>
      <c r="G6114" s="136" t="s">
        <v>33344</v>
      </c>
      <c r="H6114" s="136"/>
      <c r="I6114" s="137"/>
      <c r="J6114" s="137" t="s">
        <v>39282</v>
      </c>
      <c r="K6114" s="137" t="s">
        <v>39283</v>
      </c>
      <c r="L6114" s="137"/>
      <c r="M6114" s="153" t="s">
        <v>39284</v>
      </c>
      <c r="N6114" s="12"/>
      <c r="O6114" s="12"/>
      <c r="P6114" s="13">
        <f>IFERROR(__xludf.DUMMYFUNCTION("VALUE(SUBSTITUTE((INDEX(SPLIT(A6114,"",""),1)),""."","","",1))"),56.033455)</f>
        <v>56.033455</v>
      </c>
      <c r="Q6114" s="13">
        <f>IFERROR(__xludf.DUMMYFUNCTION("VALUE(SUBSTITUTE((INDEX(SPLIT(A6114,"",""),2)),""."","","",1))"),93.134715)</f>
        <v>93.134715</v>
      </c>
      <c r="R6114" s="14" t="b">
        <f t="shared" si="1"/>
        <v>0</v>
      </c>
      <c r="S6114" s="14" t="str">
        <f t="shared" si="2"/>
        <v>56.033455,93.134715</v>
      </c>
      <c r="T6114" s="12"/>
    </row>
    <row r="6115">
      <c r="A6115" s="139" t="s">
        <v>39285</v>
      </c>
      <c r="B6115" s="140" t="s">
        <v>39286</v>
      </c>
      <c r="C6115" s="140" t="s">
        <v>39287</v>
      </c>
      <c r="D6115" s="140" t="s">
        <v>33342</v>
      </c>
      <c r="E6115" s="141" t="s">
        <v>39288</v>
      </c>
      <c r="F6115" s="139" t="s">
        <v>26306</v>
      </c>
      <c r="G6115" s="139" t="s">
        <v>33344</v>
      </c>
      <c r="H6115" s="139"/>
      <c r="I6115" s="140"/>
      <c r="J6115" s="140" t="s">
        <v>39289</v>
      </c>
      <c r="K6115" s="140" t="s">
        <v>39290</v>
      </c>
      <c r="L6115" s="140"/>
      <c r="M6115" s="154" t="s">
        <v>15594</v>
      </c>
      <c r="N6115" s="12"/>
      <c r="O6115" s="12"/>
      <c r="P6115" s="13">
        <f>IFERROR(__xludf.DUMMYFUNCTION("VALUE(SUBSTITUTE((INDEX(SPLIT(A6115,"",""),1)),""."","","",1))"),56.024828)</f>
        <v>56.024828</v>
      </c>
      <c r="Q6115" s="13">
        <f>IFERROR(__xludf.DUMMYFUNCTION("VALUE(SUBSTITUTE((INDEX(SPLIT(A6115,"",""),2)),""."","","",1))"),92.882108)</f>
        <v>92.882108</v>
      </c>
      <c r="R6115" s="14" t="b">
        <f t="shared" si="1"/>
        <v>0</v>
      </c>
      <c r="S6115" s="14" t="str">
        <f t="shared" si="2"/>
        <v>56.024828,92.882108</v>
      </c>
      <c r="T6115" s="12"/>
    </row>
    <row r="6116">
      <c r="A6116" s="142" t="s">
        <v>39291</v>
      </c>
      <c r="B6116" s="143" t="s">
        <v>29684</v>
      </c>
      <c r="C6116" s="143" t="s">
        <v>39292</v>
      </c>
      <c r="D6116" s="143" t="s">
        <v>33342</v>
      </c>
      <c r="E6116" s="144" t="s">
        <v>39293</v>
      </c>
      <c r="F6116" s="142" t="s">
        <v>26306</v>
      </c>
      <c r="G6116" s="142" t="s">
        <v>33344</v>
      </c>
      <c r="H6116" s="142"/>
      <c r="I6116" s="143"/>
      <c r="J6116" s="143" t="s">
        <v>39294</v>
      </c>
      <c r="K6116" s="143" t="s">
        <v>39295</v>
      </c>
      <c r="L6116" s="145" t="s">
        <v>39296</v>
      </c>
      <c r="M6116" s="143"/>
      <c r="N6116" s="12"/>
      <c r="O6116" s="12"/>
      <c r="P6116" s="13">
        <f>IFERROR(__xludf.DUMMYFUNCTION("VALUE(SUBSTITUTE((INDEX(SPLIT(A6116,"",""),1)),""."","","",1))"),56.106017)</f>
        <v>56.106017</v>
      </c>
      <c r="Q6116" s="13">
        <f>IFERROR(__xludf.DUMMYFUNCTION("VALUE(SUBSTITUTE((INDEX(SPLIT(A6116,"",""),2)),""."","","",1))"),93.065158)</f>
        <v>93.065158</v>
      </c>
      <c r="R6116" s="14" t="b">
        <f t="shared" si="1"/>
        <v>0</v>
      </c>
      <c r="S6116" s="14" t="str">
        <f t="shared" si="2"/>
        <v>56.106017,93.065158</v>
      </c>
      <c r="T6116" s="12"/>
    </row>
    <row r="6117">
      <c r="A6117" s="146" t="s">
        <v>39297</v>
      </c>
      <c r="B6117" s="147" t="s">
        <v>39298</v>
      </c>
      <c r="C6117" s="147" t="s">
        <v>39299</v>
      </c>
      <c r="D6117" s="147" t="s">
        <v>33342</v>
      </c>
      <c r="E6117" s="148" t="s">
        <v>39300</v>
      </c>
      <c r="F6117" s="146" t="s">
        <v>26306</v>
      </c>
      <c r="G6117" s="146" t="s">
        <v>33344</v>
      </c>
      <c r="H6117" s="146"/>
      <c r="I6117" s="147"/>
      <c r="J6117" s="147" t="s">
        <v>39301</v>
      </c>
      <c r="K6117" s="147" t="s">
        <v>39302</v>
      </c>
      <c r="L6117" s="149" t="s">
        <v>39303</v>
      </c>
      <c r="M6117" s="147"/>
      <c r="N6117" s="12"/>
      <c r="O6117" s="12"/>
      <c r="P6117" s="13">
        <f>IFERROR(__xludf.DUMMYFUNCTION("VALUE(SUBSTITUTE((INDEX(SPLIT(A6117,"",""),1)),""."","","",1))"),56.053668)</f>
        <v>56.053668</v>
      </c>
      <c r="Q6117" s="13">
        <f>IFERROR(__xludf.DUMMYFUNCTION("VALUE(SUBSTITUTE((INDEX(SPLIT(A6117,"",""),2)),""."","","",1))"),92.919146)</f>
        <v>92.919146</v>
      </c>
      <c r="R6117" s="14" t="b">
        <f t="shared" si="1"/>
        <v>0</v>
      </c>
      <c r="S6117" s="14" t="str">
        <f t="shared" si="2"/>
        <v>56.053668,92.919146</v>
      </c>
      <c r="T6117" s="12"/>
    </row>
    <row r="6118">
      <c r="A6118" s="136" t="s">
        <v>39304</v>
      </c>
      <c r="B6118" s="137" t="s">
        <v>39305</v>
      </c>
      <c r="C6118" s="137" t="s">
        <v>39306</v>
      </c>
      <c r="D6118" s="137" t="s">
        <v>33342</v>
      </c>
      <c r="E6118" s="138" t="s">
        <v>39307</v>
      </c>
      <c r="F6118" s="136" t="s">
        <v>26306</v>
      </c>
      <c r="G6118" s="136" t="s">
        <v>33344</v>
      </c>
      <c r="H6118" s="136"/>
      <c r="I6118" s="137"/>
      <c r="J6118" s="137" t="s">
        <v>39308</v>
      </c>
      <c r="K6118" s="137" t="s">
        <v>32480</v>
      </c>
      <c r="L6118" s="137"/>
      <c r="M6118" s="153" t="s">
        <v>39309</v>
      </c>
      <c r="N6118" s="12"/>
      <c r="O6118" s="12"/>
      <c r="P6118" s="13">
        <f>IFERROR(__xludf.DUMMYFUNCTION("VALUE(SUBSTITUTE((INDEX(SPLIT(A6118,"",""),1)),""."","","",1))"),56.064223)</f>
        <v>56.064223</v>
      </c>
      <c r="Q6118" s="13">
        <f>IFERROR(__xludf.DUMMYFUNCTION("VALUE(SUBSTITUTE((INDEX(SPLIT(A6118,"",""),2)),""."","","",1))"),92.981228)</f>
        <v>92.981228</v>
      </c>
      <c r="R6118" s="14" t="b">
        <f t="shared" si="1"/>
        <v>0</v>
      </c>
      <c r="S6118" s="14" t="str">
        <f t="shared" si="2"/>
        <v>56.064223,92.981228</v>
      </c>
      <c r="T6118" s="12"/>
    </row>
    <row r="6119">
      <c r="A6119" s="146" t="s">
        <v>39310</v>
      </c>
      <c r="B6119" s="147" t="s">
        <v>39311</v>
      </c>
      <c r="C6119" s="147" t="s">
        <v>39312</v>
      </c>
      <c r="D6119" s="147" t="s">
        <v>33342</v>
      </c>
      <c r="E6119" s="148" t="s">
        <v>39313</v>
      </c>
      <c r="F6119" s="146" t="s">
        <v>26306</v>
      </c>
      <c r="G6119" s="146" t="s">
        <v>33344</v>
      </c>
      <c r="H6119" s="146"/>
      <c r="I6119" s="147"/>
      <c r="J6119" s="147" t="s">
        <v>39314</v>
      </c>
      <c r="K6119" s="147" t="s">
        <v>39315</v>
      </c>
      <c r="L6119" s="149" t="s">
        <v>39316</v>
      </c>
      <c r="M6119" s="147"/>
      <c r="N6119" s="12"/>
      <c r="O6119" s="12"/>
      <c r="P6119" s="13">
        <f>IFERROR(__xludf.DUMMYFUNCTION("VALUE(SUBSTITUTE((INDEX(SPLIT(A6119,"",""),1)),""."","","",1))"),56.034742)</f>
        <v>56.034742</v>
      </c>
      <c r="Q6119" s="13">
        <f>IFERROR(__xludf.DUMMYFUNCTION("VALUE(SUBSTITUTE((INDEX(SPLIT(A6119,"",""),2)),""."","","",1))"),92.912974)</f>
        <v>92.912974</v>
      </c>
      <c r="R6119" s="14" t="b">
        <f t="shared" si="1"/>
        <v>0</v>
      </c>
      <c r="S6119" s="14" t="str">
        <f t="shared" si="2"/>
        <v>56.034742,92.912974</v>
      </c>
      <c r="T6119" s="12"/>
    </row>
    <row r="6120">
      <c r="A6120" s="136" t="s">
        <v>39317</v>
      </c>
      <c r="B6120" s="137" t="s">
        <v>39318</v>
      </c>
      <c r="C6120" s="137" t="s">
        <v>39319</v>
      </c>
      <c r="D6120" s="137" t="s">
        <v>33342</v>
      </c>
      <c r="E6120" s="138" t="s">
        <v>39320</v>
      </c>
      <c r="F6120" s="136" t="s">
        <v>26306</v>
      </c>
      <c r="G6120" s="136" t="s">
        <v>33344</v>
      </c>
      <c r="H6120" s="136"/>
      <c r="I6120" s="137"/>
      <c r="J6120" s="137" t="s">
        <v>39321</v>
      </c>
      <c r="K6120" s="137" t="s">
        <v>39322</v>
      </c>
      <c r="L6120" s="137"/>
      <c r="M6120" s="153" t="s">
        <v>39323</v>
      </c>
      <c r="N6120" s="12"/>
      <c r="O6120" s="12"/>
      <c r="P6120" s="13">
        <f>IFERROR(__xludf.DUMMYFUNCTION("VALUE(SUBSTITUTE((INDEX(SPLIT(A6120,"",""),1)),""."","","",1))"),56.014182)</f>
        <v>56.014182</v>
      </c>
      <c r="Q6120" s="13">
        <f>IFERROR(__xludf.DUMMYFUNCTION("VALUE(SUBSTITUTE((INDEX(SPLIT(A6120,"",""),2)),""."","","",1))"),92.889007)</f>
        <v>92.889007</v>
      </c>
      <c r="R6120" s="14" t="b">
        <f t="shared" si="1"/>
        <v>0</v>
      </c>
      <c r="S6120" s="14" t="str">
        <f t="shared" si="2"/>
        <v>56.014182,92.889007</v>
      </c>
      <c r="T6120" s="12"/>
    </row>
    <row r="6121">
      <c r="A6121" s="146" t="s">
        <v>39324</v>
      </c>
      <c r="B6121" s="147" t="s">
        <v>39325</v>
      </c>
      <c r="C6121" s="147" t="s">
        <v>39326</v>
      </c>
      <c r="D6121" s="147" t="s">
        <v>33342</v>
      </c>
      <c r="E6121" s="148" t="s">
        <v>39327</v>
      </c>
      <c r="F6121" s="146" t="s">
        <v>26306</v>
      </c>
      <c r="G6121" s="146" t="s">
        <v>33344</v>
      </c>
      <c r="H6121" s="146"/>
      <c r="I6121" s="151" t="s">
        <v>39328</v>
      </c>
      <c r="J6121" s="147" t="s">
        <v>39329</v>
      </c>
      <c r="K6121" s="147" t="s">
        <v>39330</v>
      </c>
      <c r="L6121" s="149" t="s">
        <v>39331</v>
      </c>
      <c r="M6121" s="149" t="s">
        <v>39332</v>
      </c>
      <c r="N6121" s="12"/>
      <c r="O6121" s="12"/>
      <c r="P6121" s="13">
        <f>IFERROR(__xludf.DUMMYFUNCTION("VALUE(SUBSTITUTE((INDEX(SPLIT(A6121,"",""),1)),""."","","",1))"),56.038303)</f>
        <v>56.038303</v>
      </c>
      <c r="Q6121" s="13">
        <f>IFERROR(__xludf.DUMMYFUNCTION("VALUE(SUBSTITUTE((INDEX(SPLIT(A6121,"",""),2)),""."","","",1))"),92.839322)</f>
        <v>92.839322</v>
      </c>
      <c r="R6121" s="14" t="b">
        <f t="shared" si="1"/>
        <v>0</v>
      </c>
      <c r="S6121" s="14" t="str">
        <f t="shared" si="2"/>
        <v>56.038303,92.839322</v>
      </c>
      <c r="T6121" s="12"/>
    </row>
    <row r="6122">
      <c r="A6122" s="136" t="s">
        <v>39333</v>
      </c>
      <c r="B6122" s="137" t="s">
        <v>39334</v>
      </c>
      <c r="C6122" s="137" t="s">
        <v>39335</v>
      </c>
      <c r="D6122" s="137" t="s">
        <v>33342</v>
      </c>
      <c r="E6122" s="138" t="s">
        <v>39336</v>
      </c>
      <c r="F6122" s="136" t="s">
        <v>26306</v>
      </c>
      <c r="G6122" s="136" t="s">
        <v>33344</v>
      </c>
      <c r="H6122" s="136"/>
      <c r="I6122" s="137"/>
      <c r="J6122" s="137" t="s">
        <v>39337</v>
      </c>
      <c r="K6122" s="137" t="s">
        <v>39338</v>
      </c>
      <c r="L6122" s="137"/>
      <c r="M6122" s="137"/>
      <c r="N6122" s="12"/>
      <c r="O6122" s="12"/>
      <c r="P6122" s="13">
        <f>IFERROR(__xludf.DUMMYFUNCTION("VALUE(SUBSTITUTE((INDEX(SPLIT(A6122,"",""),1)),""."","","",1))"),56.114872)</f>
        <v>56.114872</v>
      </c>
      <c r="Q6122" s="13">
        <f>IFERROR(__xludf.DUMMYFUNCTION("VALUE(SUBSTITUTE((INDEX(SPLIT(A6122,"",""),2)),""."","","",1))"),92.910792)</f>
        <v>92.910792</v>
      </c>
      <c r="R6122" s="14" t="b">
        <f t="shared" si="1"/>
        <v>0</v>
      </c>
      <c r="S6122" s="14" t="str">
        <f t="shared" si="2"/>
        <v>56.114872,92.910792</v>
      </c>
      <c r="T6122" s="12"/>
    </row>
    <row r="6123">
      <c r="A6123" s="139" t="s">
        <v>39339</v>
      </c>
      <c r="B6123" s="140" t="s">
        <v>39340</v>
      </c>
      <c r="C6123" s="140" t="s">
        <v>39341</v>
      </c>
      <c r="D6123" s="140" t="s">
        <v>33342</v>
      </c>
      <c r="E6123" s="141" t="s">
        <v>39342</v>
      </c>
      <c r="F6123" s="139" t="s">
        <v>26306</v>
      </c>
      <c r="G6123" s="139" t="s">
        <v>33344</v>
      </c>
      <c r="H6123" s="139"/>
      <c r="I6123" s="140"/>
      <c r="J6123" s="140" t="s">
        <v>39343</v>
      </c>
      <c r="K6123" s="140" t="s">
        <v>39344</v>
      </c>
      <c r="L6123" s="140"/>
      <c r="M6123" s="154" t="s">
        <v>39345</v>
      </c>
      <c r="N6123" s="12"/>
      <c r="O6123" s="12"/>
      <c r="P6123" s="13">
        <f>IFERROR(__xludf.DUMMYFUNCTION("VALUE(SUBSTITUTE((INDEX(SPLIT(A6123,"",""),1)),""."","","",1))"),56.054598)</f>
        <v>56.054598</v>
      </c>
      <c r="Q6123" s="13">
        <f>IFERROR(__xludf.DUMMYFUNCTION("VALUE(SUBSTITUTE((INDEX(SPLIT(A6123,"",""),2)),""."","","",1))"),92.923682)</f>
        <v>92.923682</v>
      </c>
      <c r="R6123" s="14" t="b">
        <f t="shared" si="1"/>
        <v>0</v>
      </c>
      <c r="S6123" s="14" t="str">
        <f t="shared" si="2"/>
        <v>56.054598,92.923682</v>
      </c>
      <c r="T6123" s="12"/>
    </row>
    <row r="6124">
      <c r="A6124" s="136" t="s">
        <v>39346</v>
      </c>
      <c r="B6124" s="137" t="s">
        <v>34882</v>
      </c>
      <c r="C6124" s="137" t="s">
        <v>34883</v>
      </c>
      <c r="D6124" s="137" t="s">
        <v>33342</v>
      </c>
      <c r="E6124" s="138" t="s">
        <v>39347</v>
      </c>
      <c r="F6124" s="136" t="s">
        <v>26306</v>
      </c>
      <c r="G6124" s="136" t="s">
        <v>33344</v>
      </c>
      <c r="H6124" s="136"/>
      <c r="I6124" s="137"/>
      <c r="J6124" s="137" t="s">
        <v>39348</v>
      </c>
      <c r="K6124" s="137" t="s">
        <v>34887</v>
      </c>
      <c r="L6124" s="137"/>
      <c r="M6124" s="153" t="s">
        <v>39349</v>
      </c>
      <c r="N6124" s="12"/>
      <c r="O6124" s="12"/>
      <c r="P6124" s="13">
        <f>IFERROR(__xludf.DUMMYFUNCTION("VALUE(SUBSTITUTE((INDEX(SPLIT(A6124,"",""),1)),""."","","",1))"),56.097171)</f>
        <v>56.097171</v>
      </c>
      <c r="Q6124" s="13">
        <f>IFERROR(__xludf.DUMMYFUNCTION("VALUE(SUBSTITUTE((INDEX(SPLIT(A6124,"",""),2)),""."","","",1))"),93.066263)</f>
        <v>93.066263</v>
      </c>
      <c r="R6124" s="14" t="b">
        <f t="shared" si="1"/>
        <v>0</v>
      </c>
      <c r="S6124" s="14" t="str">
        <f t="shared" si="2"/>
        <v>56.097171,93.066263</v>
      </c>
      <c r="T6124" s="12"/>
    </row>
    <row r="6125">
      <c r="A6125" s="139" t="s">
        <v>39350</v>
      </c>
      <c r="B6125" s="140" t="s">
        <v>16736</v>
      </c>
      <c r="C6125" s="140" t="s">
        <v>39351</v>
      </c>
      <c r="D6125" s="140" t="s">
        <v>33342</v>
      </c>
      <c r="E6125" s="141" t="s">
        <v>39352</v>
      </c>
      <c r="F6125" s="139" t="s">
        <v>26306</v>
      </c>
      <c r="G6125" s="139" t="s">
        <v>33344</v>
      </c>
      <c r="H6125" s="139"/>
      <c r="I6125" s="140"/>
      <c r="J6125" s="140" t="s">
        <v>39353</v>
      </c>
      <c r="K6125" s="140" t="s">
        <v>39354</v>
      </c>
      <c r="L6125" s="140"/>
      <c r="M6125" s="154" t="s">
        <v>39355</v>
      </c>
      <c r="N6125" s="12"/>
      <c r="O6125" s="12"/>
      <c r="P6125" s="13">
        <f>IFERROR(__xludf.DUMMYFUNCTION("VALUE(SUBSTITUTE((INDEX(SPLIT(A6125,"",""),1)),""."","","",1))"),56.032856)</f>
        <v>56.032856</v>
      </c>
      <c r="Q6125" s="13">
        <f>IFERROR(__xludf.DUMMYFUNCTION("VALUE(SUBSTITUTE((INDEX(SPLIT(A6125,"",""),2)),""."","","",1))"),92.92406)</f>
        <v>92.92406</v>
      </c>
      <c r="R6125" s="14" t="b">
        <f t="shared" si="1"/>
        <v>0</v>
      </c>
      <c r="S6125" s="14" t="str">
        <f t="shared" si="2"/>
        <v>56.032856,92.92406</v>
      </c>
      <c r="T6125" s="12"/>
    </row>
    <row r="6126">
      <c r="A6126" s="136" t="s">
        <v>39356</v>
      </c>
      <c r="B6126" s="137" t="s">
        <v>39357</v>
      </c>
      <c r="C6126" s="137" t="s">
        <v>39358</v>
      </c>
      <c r="D6126" s="137" t="s">
        <v>33342</v>
      </c>
      <c r="E6126" s="138" t="s">
        <v>39359</v>
      </c>
      <c r="F6126" s="136" t="s">
        <v>26306</v>
      </c>
      <c r="G6126" s="136" t="s">
        <v>33344</v>
      </c>
      <c r="H6126" s="136"/>
      <c r="I6126" s="137"/>
      <c r="J6126" s="137" t="s">
        <v>39360</v>
      </c>
      <c r="K6126" s="137" t="s">
        <v>39361</v>
      </c>
      <c r="L6126" s="137"/>
      <c r="M6126" s="137"/>
      <c r="N6126" s="12"/>
      <c r="O6126" s="12"/>
      <c r="P6126" s="13">
        <f>IFERROR(__xludf.DUMMYFUNCTION("VALUE(SUBSTITUTE((INDEX(SPLIT(A6126,"",""),1)),""."","","",1))"),56.06364)</f>
        <v>56.06364</v>
      </c>
      <c r="Q6126" s="13">
        <f>IFERROR(__xludf.DUMMYFUNCTION("VALUE(SUBSTITUTE((INDEX(SPLIT(A6126,"",""),2)),""."","","",1))"),92.939735)</f>
        <v>92.939735</v>
      </c>
      <c r="R6126" s="14" t="b">
        <f t="shared" si="1"/>
        <v>0</v>
      </c>
      <c r="S6126" s="14" t="str">
        <f t="shared" si="2"/>
        <v>56.06364,92.939735</v>
      </c>
      <c r="T6126" s="12"/>
    </row>
    <row r="6127">
      <c r="A6127" s="139" t="s">
        <v>39362</v>
      </c>
      <c r="B6127" s="140" t="s">
        <v>39363</v>
      </c>
      <c r="C6127" s="140" t="s">
        <v>39364</v>
      </c>
      <c r="D6127" s="140" t="s">
        <v>33342</v>
      </c>
      <c r="E6127" s="141" t="s">
        <v>39365</v>
      </c>
      <c r="F6127" s="139" t="s">
        <v>26306</v>
      </c>
      <c r="G6127" s="139" t="s">
        <v>33344</v>
      </c>
      <c r="H6127" s="139"/>
      <c r="I6127" s="140"/>
      <c r="J6127" s="140" t="s">
        <v>39366</v>
      </c>
      <c r="K6127" s="140" t="s">
        <v>39367</v>
      </c>
      <c r="L6127" s="140"/>
      <c r="M6127" s="154" t="s">
        <v>39368</v>
      </c>
      <c r="N6127" s="12"/>
      <c r="O6127" s="12"/>
      <c r="P6127" s="13">
        <f>IFERROR(__xludf.DUMMYFUNCTION("VALUE(SUBSTITUTE((INDEX(SPLIT(A6127,"",""),1)),""."","","",1))"),56.116468)</f>
        <v>56.116468</v>
      </c>
      <c r="Q6127" s="13">
        <f>IFERROR(__xludf.DUMMYFUNCTION("VALUE(SUBSTITUTE((INDEX(SPLIT(A6127,"",""),2)),""."","","",1))"),92.938208)</f>
        <v>92.938208</v>
      </c>
      <c r="R6127" s="14" t="b">
        <f t="shared" si="1"/>
        <v>0</v>
      </c>
      <c r="S6127" s="14" t="str">
        <f t="shared" si="2"/>
        <v>56.116468,92.938208</v>
      </c>
      <c r="T6127" s="12"/>
    </row>
    <row r="6128">
      <c r="A6128" s="142" t="s">
        <v>39369</v>
      </c>
      <c r="B6128" s="143" t="s">
        <v>21414</v>
      </c>
      <c r="C6128" s="143" t="s">
        <v>39370</v>
      </c>
      <c r="D6128" s="143" t="s">
        <v>33342</v>
      </c>
      <c r="E6128" s="144" t="s">
        <v>39371</v>
      </c>
      <c r="F6128" s="142" t="s">
        <v>26306</v>
      </c>
      <c r="G6128" s="142" t="s">
        <v>33344</v>
      </c>
      <c r="H6128" s="142"/>
      <c r="I6128" s="143"/>
      <c r="J6128" s="143" t="s">
        <v>39372</v>
      </c>
      <c r="K6128" s="143" t="s">
        <v>39373</v>
      </c>
      <c r="L6128" s="145" t="s">
        <v>39374</v>
      </c>
      <c r="M6128" s="143"/>
      <c r="N6128" s="12"/>
      <c r="O6128" s="12"/>
      <c r="P6128" s="13">
        <f>IFERROR(__xludf.DUMMYFUNCTION("VALUE(SUBSTITUTE((INDEX(SPLIT(A6128,"",""),1)),""."","","",1))"),56.060956)</f>
        <v>56.060956</v>
      </c>
      <c r="Q6128" s="13">
        <f>IFERROR(__xludf.DUMMYFUNCTION("VALUE(SUBSTITUTE((INDEX(SPLIT(A6128,"",""),2)),""."","","",1))"),92.903605)</f>
        <v>92.903605</v>
      </c>
      <c r="R6128" s="14" t="b">
        <f t="shared" si="1"/>
        <v>0</v>
      </c>
      <c r="S6128" s="14" t="str">
        <f t="shared" si="2"/>
        <v>56.060956,92.903605</v>
      </c>
      <c r="T6128" s="12"/>
    </row>
    <row r="6129">
      <c r="A6129" s="146" t="s">
        <v>39375</v>
      </c>
      <c r="B6129" s="147" t="s">
        <v>39376</v>
      </c>
      <c r="C6129" s="147" t="s">
        <v>39377</v>
      </c>
      <c r="D6129" s="147" t="s">
        <v>33342</v>
      </c>
      <c r="E6129" s="148" t="s">
        <v>39378</v>
      </c>
      <c r="F6129" s="146" t="s">
        <v>26306</v>
      </c>
      <c r="G6129" s="146" t="s">
        <v>33344</v>
      </c>
      <c r="H6129" s="146"/>
      <c r="I6129" s="147"/>
      <c r="J6129" s="147" t="s">
        <v>39379</v>
      </c>
      <c r="K6129" s="147" t="s">
        <v>39380</v>
      </c>
      <c r="L6129" s="149" t="s">
        <v>39381</v>
      </c>
      <c r="M6129" s="147"/>
      <c r="N6129" s="12"/>
      <c r="O6129" s="12"/>
      <c r="P6129" s="13">
        <f>IFERROR(__xludf.DUMMYFUNCTION("VALUE(SUBSTITUTE((INDEX(SPLIT(A6129,"",""),1)),""."","","",1))"),56.046097)</f>
        <v>56.046097</v>
      </c>
      <c r="Q6129" s="13">
        <f>IFERROR(__xludf.DUMMYFUNCTION("VALUE(SUBSTITUTE((INDEX(SPLIT(A6129,"",""),2)),""."","","",1))"),92.939834)</f>
        <v>92.939834</v>
      </c>
      <c r="R6129" s="14" t="b">
        <f t="shared" si="1"/>
        <v>0</v>
      </c>
      <c r="S6129" s="14" t="str">
        <f t="shared" si="2"/>
        <v>56.046097,92.939834</v>
      </c>
      <c r="T6129" s="12"/>
    </row>
    <row r="6130">
      <c r="A6130" s="142" t="s">
        <v>29860</v>
      </c>
      <c r="B6130" s="143" t="s">
        <v>39382</v>
      </c>
      <c r="C6130" s="143" t="s">
        <v>39383</v>
      </c>
      <c r="D6130" s="143" t="s">
        <v>33342</v>
      </c>
      <c r="E6130" s="144" t="s">
        <v>39384</v>
      </c>
      <c r="F6130" s="142" t="s">
        <v>26306</v>
      </c>
      <c r="G6130" s="142" t="s">
        <v>33344</v>
      </c>
      <c r="H6130" s="142"/>
      <c r="I6130" s="143"/>
      <c r="J6130" s="143" t="s">
        <v>39385</v>
      </c>
      <c r="K6130" s="143" t="s">
        <v>39386</v>
      </c>
      <c r="L6130" s="145" t="s">
        <v>39387</v>
      </c>
      <c r="M6130" s="143"/>
      <c r="N6130" s="12"/>
      <c r="O6130" s="12"/>
      <c r="P6130" s="13">
        <f>IFERROR(__xludf.DUMMYFUNCTION("VALUE(SUBSTITUTE((INDEX(SPLIT(A6130,"",""),1)),""."","","",1))"),56.010569)</f>
        <v>56.010569</v>
      </c>
      <c r="Q6130" s="13">
        <f>IFERROR(__xludf.DUMMYFUNCTION("VALUE(SUBSTITUTE((INDEX(SPLIT(A6130,"",""),2)),""."","","",1))"),92.852572)</f>
        <v>92.852572</v>
      </c>
      <c r="R6130" s="14" t="b">
        <f t="shared" si="1"/>
        <v>0</v>
      </c>
      <c r="S6130" s="14" t="str">
        <f t="shared" si="2"/>
        <v>56.010569,92.852572</v>
      </c>
      <c r="T6130" s="12"/>
    </row>
    <row r="6131">
      <c r="A6131" s="139" t="s">
        <v>39388</v>
      </c>
      <c r="B6131" s="140" t="s">
        <v>39389</v>
      </c>
      <c r="C6131" s="140" t="s">
        <v>39390</v>
      </c>
      <c r="D6131" s="140" t="s">
        <v>33342</v>
      </c>
      <c r="E6131" s="141" t="s">
        <v>39391</v>
      </c>
      <c r="F6131" s="139" t="s">
        <v>26306</v>
      </c>
      <c r="G6131" s="139" t="s">
        <v>33344</v>
      </c>
      <c r="H6131" s="139"/>
      <c r="I6131" s="140"/>
      <c r="J6131" s="140" t="s">
        <v>39392</v>
      </c>
      <c r="K6131" s="140" t="s">
        <v>39393</v>
      </c>
      <c r="L6131" s="140"/>
      <c r="M6131" s="140"/>
      <c r="N6131" s="12"/>
      <c r="O6131" s="12"/>
      <c r="P6131" s="13">
        <f>IFERROR(__xludf.DUMMYFUNCTION("VALUE(SUBSTITUTE((INDEX(SPLIT(A6131,"",""),1)),""."","","",1))"),56.026503)</f>
        <v>56.026503</v>
      </c>
      <c r="Q6131" s="13">
        <f>IFERROR(__xludf.DUMMYFUNCTION("VALUE(SUBSTITUTE((INDEX(SPLIT(A6131,"",""),2)),""."","","",1))"),92.861258)</f>
        <v>92.861258</v>
      </c>
      <c r="R6131" s="14" t="b">
        <f t="shared" si="1"/>
        <v>0</v>
      </c>
      <c r="S6131" s="14" t="str">
        <f t="shared" si="2"/>
        <v>56.026503,92.861258</v>
      </c>
      <c r="T6131" s="12"/>
    </row>
    <row r="6132">
      <c r="A6132" s="136" t="s">
        <v>39394</v>
      </c>
      <c r="B6132" s="137" t="s">
        <v>39395</v>
      </c>
      <c r="C6132" s="137" t="s">
        <v>39396</v>
      </c>
      <c r="D6132" s="137" t="s">
        <v>33342</v>
      </c>
      <c r="E6132" s="138" t="s">
        <v>39397</v>
      </c>
      <c r="F6132" s="136" t="s">
        <v>26306</v>
      </c>
      <c r="G6132" s="136" t="s">
        <v>33344</v>
      </c>
      <c r="H6132" s="136"/>
      <c r="I6132" s="137"/>
      <c r="J6132" s="137" t="s">
        <v>39398</v>
      </c>
      <c r="K6132" s="137" t="s">
        <v>39399</v>
      </c>
      <c r="L6132" s="137"/>
      <c r="M6132" s="137"/>
      <c r="N6132" s="12"/>
      <c r="O6132" s="12"/>
      <c r="P6132" s="13">
        <f>IFERROR(__xludf.DUMMYFUNCTION("VALUE(SUBSTITUTE((INDEX(SPLIT(A6132,"",""),1)),""."","","",1))"),56.045267)</f>
        <v>56.045267</v>
      </c>
      <c r="Q6132" s="13">
        <f>IFERROR(__xludf.DUMMYFUNCTION("VALUE(SUBSTITUTE((INDEX(SPLIT(A6132,"",""),2)),""."","","",1))"),92.888738)</f>
        <v>92.888738</v>
      </c>
      <c r="R6132" s="14" t="b">
        <f t="shared" si="1"/>
        <v>0</v>
      </c>
      <c r="S6132" s="14" t="str">
        <f t="shared" si="2"/>
        <v>56.045267,92.888738</v>
      </c>
      <c r="T6132" s="12"/>
    </row>
    <row r="6133">
      <c r="A6133" s="139" t="s">
        <v>39400</v>
      </c>
      <c r="B6133" s="140" t="s">
        <v>39401</v>
      </c>
      <c r="C6133" s="140" t="s">
        <v>39402</v>
      </c>
      <c r="D6133" s="140" t="s">
        <v>33342</v>
      </c>
      <c r="E6133" s="141" t="s">
        <v>39403</v>
      </c>
      <c r="F6133" s="139" t="s">
        <v>26306</v>
      </c>
      <c r="G6133" s="139" t="s">
        <v>33344</v>
      </c>
      <c r="H6133" s="139"/>
      <c r="I6133" s="140"/>
      <c r="J6133" s="140" t="s">
        <v>39404</v>
      </c>
      <c r="K6133" s="140" t="s">
        <v>39405</v>
      </c>
      <c r="L6133" s="140"/>
      <c r="M6133" s="140"/>
      <c r="N6133" s="12"/>
      <c r="O6133" s="12"/>
      <c r="P6133" s="13">
        <f>IFERROR(__xludf.DUMMYFUNCTION("VALUE(SUBSTITUTE((INDEX(SPLIT(A6133,"",""),1)),""."","","",1))"),56.043351)</f>
        <v>56.043351</v>
      </c>
      <c r="Q6133" s="13">
        <f>IFERROR(__xludf.DUMMYFUNCTION("VALUE(SUBSTITUTE((INDEX(SPLIT(A6133,"",""),2)),""."","","",1))"),92.889618)</f>
        <v>92.889618</v>
      </c>
      <c r="R6133" s="14" t="b">
        <f t="shared" si="1"/>
        <v>0</v>
      </c>
      <c r="S6133" s="14" t="str">
        <f t="shared" si="2"/>
        <v>56.043351,92.889618</v>
      </c>
      <c r="T6133" s="12"/>
    </row>
    <row r="6134">
      <c r="A6134" s="136" t="s">
        <v>39406</v>
      </c>
      <c r="B6134" s="137" t="s">
        <v>39407</v>
      </c>
      <c r="C6134" s="137" t="s">
        <v>39408</v>
      </c>
      <c r="D6134" s="137" t="s">
        <v>33342</v>
      </c>
      <c r="E6134" s="138" t="s">
        <v>39409</v>
      </c>
      <c r="F6134" s="136" t="s">
        <v>26306</v>
      </c>
      <c r="G6134" s="136" t="s">
        <v>33344</v>
      </c>
      <c r="H6134" s="136"/>
      <c r="I6134" s="137"/>
      <c r="J6134" s="137" t="s">
        <v>39410</v>
      </c>
      <c r="K6134" s="137" t="s">
        <v>39411</v>
      </c>
      <c r="L6134" s="137"/>
      <c r="M6134" s="153" t="s">
        <v>39412</v>
      </c>
      <c r="N6134" s="12"/>
      <c r="O6134" s="12"/>
      <c r="P6134" s="13">
        <f>IFERROR(__xludf.DUMMYFUNCTION("VALUE(SUBSTITUTE((INDEX(SPLIT(A6134,"",""),1)),""."","","",1))"),56.044548)</f>
        <v>56.044548</v>
      </c>
      <c r="Q6134" s="13">
        <f>IFERROR(__xludf.DUMMYFUNCTION("VALUE(SUBSTITUTE((INDEX(SPLIT(A6134,"",""),2)),""."","","",1))"),92.846975)</f>
        <v>92.846975</v>
      </c>
      <c r="R6134" s="14" t="b">
        <f t="shared" si="1"/>
        <v>0</v>
      </c>
      <c r="S6134" s="14" t="str">
        <f t="shared" si="2"/>
        <v>56.044548,92.846975</v>
      </c>
      <c r="T6134" s="12"/>
    </row>
    <row r="6135">
      <c r="A6135" s="146" t="s">
        <v>39413</v>
      </c>
      <c r="B6135" s="147" t="s">
        <v>39414</v>
      </c>
      <c r="C6135" s="147" t="s">
        <v>39415</v>
      </c>
      <c r="D6135" s="147" t="s">
        <v>33342</v>
      </c>
      <c r="E6135" s="148" t="s">
        <v>39416</v>
      </c>
      <c r="F6135" s="146" t="s">
        <v>1448</v>
      </c>
      <c r="G6135" s="146" t="s">
        <v>33344</v>
      </c>
      <c r="H6135" s="146"/>
      <c r="I6135" s="147"/>
      <c r="J6135" s="147" t="s">
        <v>39417</v>
      </c>
      <c r="K6135" s="147" t="s">
        <v>39418</v>
      </c>
      <c r="L6135" s="149" t="s">
        <v>39419</v>
      </c>
      <c r="M6135" s="147"/>
      <c r="N6135" s="12"/>
      <c r="O6135" s="12"/>
      <c r="P6135" s="13">
        <f>IFERROR(__xludf.DUMMYFUNCTION("VALUE(SUBSTITUTE((INDEX(SPLIT(A6135,"",""),1)),""."","","",1))"),43.351513)</f>
        <v>43.351513</v>
      </c>
      <c r="Q6135" s="13">
        <f>IFERROR(__xludf.DUMMYFUNCTION("VALUE(SUBSTITUTE((INDEX(SPLIT(A6135,"",""),2)),""."","","",1))"),132.128793)</f>
        <v>132.128793</v>
      </c>
      <c r="R6135" s="14" t="b">
        <f t="shared" si="1"/>
        <v>0</v>
      </c>
      <c r="S6135" s="14" t="str">
        <f t="shared" si="2"/>
        <v>43.351513,132.128793</v>
      </c>
      <c r="T6135" s="12"/>
    </row>
    <row r="6136">
      <c r="A6136" s="142" t="s">
        <v>39420</v>
      </c>
      <c r="B6136" s="143" t="s">
        <v>39421</v>
      </c>
      <c r="C6136" s="143" t="s">
        <v>39422</v>
      </c>
      <c r="D6136" s="143" t="s">
        <v>33342</v>
      </c>
      <c r="E6136" s="144" t="s">
        <v>39423</v>
      </c>
      <c r="F6136" s="142" t="s">
        <v>1448</v>
      </c>
      <c r="G6136" s="142" t="s">
        <v>33344</v>
      </c>
      <c r="H6136" s="142"/>
      <c r="I6136" s="143"/>
      <c r="J6136" s="143" t="s">
        <v>39424</v>
      </c>
      <c r="K6136" s="143" t="s">
        <v>39425</v>
      </c>
      <c r="L6136" s="152" t="s">
        <v>39426</v>
      </c>
      <c r="M6136" s="143"/>
      <c r="N6136" s="12"/>
      <c r="O6136" s="12"/>
      <c r="P6136" s="13">
        <f>IFERROR(__xludf.DUMMYFUNCTION("VALUE(SUBSTITUTE((INDEX(SPLIT(A6136,"",""),1)),""."","","",1))"),43.360821)</f>
        <v>43.360821</v>
      </c>
      <c r="Q6136" s="13">
        <f>IFERROR(__xludf.DUMMYFUNCTION("VALUE(SUBSTITUTE((INDEX(SPLIT(A6136,"",""),2)),""."","","",1))"),132.185594)</f>
        <v>132.185594</v>
      </c>
      <c r="R6136" s="14" t="b">
        <f t="shared" si="1"/>
        <v>0</v>
      </c>
      <c r="S6136" s="14" t="str">
        <f t="shared" si="2"/>
        <v>43.360821,132.185594</v>
      </c>
      <c r="T6136" s="12"/>
    </row>
    <row r="6137">
      <c r="A6137" s="139" t="s">
        <v>39427</v>
      </c>
      <c r="B6137" s="140" t="s">
        <v>39428</v>
      </c>
      <c r="C6137" s="140" t="s">
        <v>39429</v>
      </c>
      <c r="D6137" s="140" t="s">
        <v>33342</v>
      </c>
      <c r="E6137" s="141" t="s">
        <v>39430</v>
      </c>
      <c r="F6137" s="139" t="s">
        <v>1448</v>
      </c>
      <c r="G6137" s="139" t="s">
        <v>33344</v>
      </c>
      <c r="H6137" s="139"/>
      <c r="I6137" s="140"/>
      <c r="J6137" s="140" t="s">
        <v>39431</v>
      </c>
      <c r="K6137" s="140" t="s">
        <v>39432</v>
      </c>
      <c r="L6137" s="140"/>
      <c r="M6137" s="140"/>
      <c r="N6137" s="12"/>
      <c r="O6137" s="12"/>
      <c r="P6137" s="13">
        <f>IFERROR(__xludf.DUMMYFUNCTION("VALUE(SUBSTITUTE((INDEX(SPLIT(A6137,"",""),1)),""."","","",1))"),43.37094)</f>
        <v>43.37094</v>
      </c>
      <c r="Q6137" s="13">
        <f>IFERROR(__xludf.DUMMYFUNCTION("VALUE(SUBSTITUTE((INDEX(SPLIT(A6137,"",""),2)),""."","","",1))"),131.993049)</f>
        <v>131.993049</v>
      </c>
      <c r="R6137" s="14" t="b">
        <f t="shared" si="1"/>
        <v>0</v>
      </c>
      <c r="S6137" s="14" t="str">
        <f t="shared" si="2"/>
        <v>43.37094,131.993049</v>
      </c>
      <c r="T6137" s="12"/>
    </row>
    <row r="6138">
      <c r="A6138" s="142" t="s">
        <v>39433</v>
      </c>
      <c r="B6138" s="143" t="s">
        <v>39434</v>
      </c>
      <c r="C6138" s="143" t="s">
        <v>39435</v>
      </c>
      <c r="D6138" s="143" t="s">
        <v>33342</v>
      </c>
      <c r="E6138" s="144" t="s">
        <v>39436</v>
      </c>
      <c r="F6138" s="142" t="s">
        <v>1448</v>
      </c>
      <c r="G6138" s="142" t="s">
        <v>33344</v>
      </c>
      <c r="H6138" s="142"/>
      <c r="I6138" s="143"/>
      <c r="J6138" s="143" t="s">
        <v>39437</v>
      </c>
      <c r="K6138" s="143" t="s">
        <v>39438</v>
      </c>
      <c r="L6138" s="152" t="s">
        <v>39439</v>
      </c>
      <c r="M6138" s="143"/>
      <c r="N6138" s="12"/>
      <c r="O6138" s="12"/>
      <c r="P6138" s="13">
        <f>IFERROR(__xludf.DUMMYFUNCTION("VALUE(SUBSTITUTE((INDEX(SPLIT(A6138,"",""),1)),""."","","",1))"),43.109079)</f>
        <v>43.109079</v>
      </c>
      <c r="Q6138" s="13">
        <f>IFERROR(__xludf.DUMMYFUNCTION("VALUE(SUBSTITUTE((INDEX(SPLIT(A6138,"",""),2)),""."","","",1))"),132.338864)</f>
        <v>132.338864</v>
      </c>
      <c r="R6138" s="14" t="b">
        <f t="shared" si="1"/>
        <v>0</v>
      </c>
      <c r="S6138" s="14" t="str">
        <f t="shared" si="2"/>
        <v>43.109079,132.338864</v>
      </c>
      <c r="T6138" s="12"/>
    </row>
    <row r="6139">
      <c r="A6139" s="146" t="s">
        <v>39440</v>
      </c>
      <c r="B6139" s="147" t="s">
        <v>39441</v>
      </c>
      <c r="C6139" s="147" t="s">
        <v>39442</v>
      </c>
      <c r="D6139" s="147" t="s">
        <v>33342</v>
      </c>
      <c r="E6139" s="148" t="s">
        <v>39443</v>
      </c>
      <c r="F6139" s="146" t="s">
        <v>1448</v>
      </c>
      <c r="G6139" s="146" t="s">
        <v>33344</v>
      </c>
      <c r="H6139" s="146"/>
      <c r="I6139" s="147"/>
      <c r="J6139" s="147" t="s">
        <v>39444</v>
      </c>
      <c r="K6139" s="147" t="s">
        <v>39445</v>
      </c>
      <c r="L6139" s="149" t="s">
        <v>39446</v>
      </c>
      <c r="M6139" s="147"/>
      <c r="N6139" s="12"/>
      <c r="O6139" s="12"/>
      <c r="P6139" s="13">
        <f>IFERROR(__xludf.DUMMYFUNCTION("VALUE(SUBSTITUTE((INDEX(SPLIT(A6139,"",""),1)),""."","","",1))"),43.107842)</f>
        <v>43.107842</v>
      </c>
      <c r="Q6139" s="13">
        <f>IFERROR(__xludf.DUMMYFUNCTION("VALUE(SUBSTITUTE((INDEX(SPLIT(A6139,"",""),2)),""."","","",1))"),132.338424)</f>
        <v>132.338424</v>
      </c>
      <c r="R6139" s="14" t="b">
        <f t="shared" si="1"/>
        <v>0</v>
      </c>
      <c r="S6139" s="14" t="str">
        <f t="shared" si="2"/>
        <v>43.107842,132.338424</v>
      </c>
      <c r="T6139" s="12"/>
    </row>
    <row r="6140">
      <c r="A6140" s="136" t="s">
        <v>39447</v>
      </c>
      <c r="B6140" s="137" t="s">
        <v>39448</v>
      </c>
      <c r="C6140" s="137" t="s">
        <v>39449</v>
      </c>
      <c r="D6140" s="137" t="s">
        <v>33342</v>
      </c>
      <c r="E6140" s="138" t="s">
        <v>39450</v>
      </c>
      <c r="F6140" s="136" t="s">
        <v>1448</v>
      </c>
      <c r="G6140" s="136" t="s">
        <v>33344</v>
      </c>
      <c r="H6140" s="136"/>
      <c r="I6140" s="137"/>
      <c r="J6140" s="137" t="s">
        <v>39451</v>
      </c>
      <c r="K6140" s="137" t="s">
        <v>33388</v>
      </c>
      <c r="L6140" s="137"/>
      <c r="M6140" s="153" t="s">
        <v>39452</v>
      </c>
      <c r="N6140" s="12"/>
      <c r="O6140" s="12"/>
      <c r="P6140" s="13">
        <f>IFERROR(__xludf.DUMMYFUNCTION("VALUE(SUBSTITUTE((INDEX(SPLIT(A6140,"",""),1)),""."","","",1))"),43.128479)</f>
        <v>43.128479</v>
      </c>
      <c r="Q6140" s="13">
        <f>IFERROR(__xludf.DUMMYFUNCTION("VALUE(SUBSTITUTE((INDEX(SPLIT(A6140,"",""),2)),""."","","",1))"),132.351764)</f>
        <v>132.351764</v>
      </c>
      <c r="R6140" s="14" t="b">
        <f t="shared" si="1"/>
        <v>0</v>
      </c>
      <c r="S6140" s="14" t="str">
        <f t="shared" si="2"/>
        <v>43.128479,132.351764</v>
      </c>
      <c r="T6140" s="12"/>
    </row>
    <row r="6141">
      <c r="A6141" s="146" t="s">
        <v>39453</v>
      </c>
      <c r="B6141" s="147" t="s">
        <v>39454</v>
      </c>
      <c r="C6141" s="147" t="s">
        <v>39455</v>
      </c>
      <c r="D6141" s="147" t="s">
        <v>33342</v>
      </c>
      <c r="E6141" s="148" t="s">
        <v>39456</v>
      </c>
      <c r="F6141" s="146" t="s">
        <v>1448</v>
      </c>
      <c r="G6141" s="146" t="s">
        <v>33344</v>
      </c>
      <c r="H6141" s="146"/>
      <c r="I6141" s="147"/>
      <c r="J6141" s="147" t="s">
        <v>39457</v>
      </c>
      <c r="K6141" s="147" t="s">
        <v>39458</v>
      </c>
      <c r="L6141" s="149" t="s">
        <v>39459</v>
      </c>
      <c r="M6141" s="147"/>
      <c r="N6141" s="12"/>
      <c r="O6141" s="12"/>
      <c r="P6141" s="13">
        <f>IFERROR(__xludf.DUMMYFUNCTION("VALUE(SUBSTITUTE((INDEX(SPLIT(A6141,"",""),1)),""."","","",1))"),44.545327)</f>
        <v>44.545327</v>
      </c>
      <c r="Q6141" s="13">
        <f>IFERROR(__xludf.DUMMYFUNCTION("VALUE(SUBSTITUTE((INDEX(SPLIT(A6141,"",""),2)),""."","","",1))"),135.522979)</f>
        <v>135.522979</v>
      </c>
      <c r="R6141" s="14" t="b">
        <f t="shared" si="1"/>
        <v>0</v>
      </c>
      <c r="S6141" s="14" t="str">
        <f t="shared" si="2"/>
        <v>44.545327,135.522979</v>
      </c>
      <c r="T6141" s="12"/>
    </row>
    <row r="6142">
      <c r="A6142" s="136" t="s">
        <v>39460</v>
      </c>
      <c r="B6142" s="137" t="s">
        <v>39461</v>
      </c>
      <c r="C6142" s="137" t="s">
        <v>39462</v>
      </c>
      <c r="D6142" s="137" t="s">
        <v>33342</v>
      </c>
      <c r="E6142" s="138" t="s">
        <v>39463</v>
      </c>
      <c r="F6142" s="136" t="s">
        <v>1448</v>
      </c>
      <c r="G6142" s="136" t="s">
        <v>33344</v>
      </c>
      <c r="H6142" s="136"/>
      <c r="I6142" s="137"/>
      <c r="J6142" s="137" t="s">
        <v>39464</v>
      </c>
      <c r="K6142" s="137" t="s">
        <v>39465</v>
      </c>
      <c r="L6142" s="137"/>
      <c r="M6142" s="137"/>
      <c r="N6142" s="12"/>
      <c r="O6142" s="12"/>
      <c r="P6142" s="13">
        <f>IFERROR(__xludf.DUMMYFUNCTION("VALUE(SUBSTITUTE((INDEX(SPLIT(A6142,"",""),1)),""."","","",1))"),42.848392)</f>
        <v>42.848392</v>
      </c>
      <c r="Q6142" s="13">
        <f>IFERROR(__xludf.DUMMYFUNCTION("VALUE(SUBSTITUTE((INDEX(SPLIT(A6142,"",""),2)),""."","","",1))"),132.960292)</f>
        <v>132.960292</v>
      </c>
      <c r="R6142" s="14" t="b">
        <f t="shared" si="1"/>
        <v>0</v>
      </c>
      <c r="S6142" s="14" t="str">
        <f t="shared" si="2"/>
        <v>42.848392,132.960292</v>
      </c>
      <c r="T6142" s="12"/>
    </row>
    <row r="6143">
      <c r="A6143" s="146" t="s">
        <v>39466</v>
      </c>
      <c r="B6143" s="147" t="s">
        <v>39467</v>
      </c>
      <c r="C6143" s="147" t="s">
        <v>39468</v>
      </c>
      <c r="D6143" s="147" t="s">
        <v>33342</v>
      </c>
      <c r="E6143" s="148" t="s">
        <v>39469</v>
      </c>
      <c r="F6143" s="146" t="s">
        <v>1448</v>
      </c>
      <c r="G6143" s="146" t="s">
        <v>33344</v>
      </c>
      <c r="H6143" s="146"/>
      <c r="I6143" s="151" t="s">
        <v>39470</v>
      </c>
      <c r="J6143" s="147" t="s">
        <v>39471</v>
      </c>
      <c r="K6143" s="147" t="s">
        <v>39472</v>
      </c>
      <c r="L6143" s="150" t="s">
        <v>39473</v>
      </c>
      <c r="M6143" s="147"/>
      <c r="N6143" s="12"/>
      <c r="O6143" s="12"/>
      <c r="P6143" s="13">
        <f>IFERROR(__xludf.DUMMYFUNCTION("VALUE(SUBSTITUTE((INDEX(SPLIT(A6143,"",""),1)),""."","","",1))"),42.767705)</f>
        <v>42.767705</v>
      </c>
      <c r="Q6143" s="13">
        <f>IFERROR(__xludf.DUMMYFUNCTION("VALUE(SUBSTITUTE((INDEX(SPLIT(A6143,"",""),2)),""."","","",1))"),133.068665)</f>
        <v>133.068665</v>
      </c>
      <c r="R6143" s="14" t="b">
        <f t="shared" si="1"/>
        <v>0</v>
      </c>
      <c r="S6143" s="14" t="str">
        <f t="shared" si="2"/>
        <v>42.767705,133.068665</v>
      </c>
      <c r="T6143" s="12"/>
    </row>
    <row r="6144">
      <c r="A6144" s="136" t="s">
        <v>39474</v>
      </c>
      <c r="B6144" s="137" t="s">
        <v>39475</v>
      </c>
      <c r="C6144" s="137" t="s">
        <v>39476</v>
      </c>
      <c r="D6144" s="137" t="s">
        <v>33342</v>
      </c>
      <c r="E6144" s="138" t="s">
        <v>39477</v>
      </c>
      <c r="F6144" s="136" t="s">
        <v>1448</v>
      </c>
      <c r="G6144" s="136" t="s">
        <v>33344</v>
      </c>
      <c r="H6144" s="136"/>
      <c r="I6144" s="137"/>
      <c r="J6144" s="137" t="s">
        <v>39478</v>
      </c>
      <c r="K6144" s="137" t="s">
        <v>39479</v>
      </c>
      <c r="L6144" s="137"/>
      <c r="M6144" s="137"/>
      <c r="N6144" s="12"/>
      <c r="O6144" s="12"/>
      <c r="P6144" s="13">
        <f>IFERROR(__xludf.DUMMYFUNCTION("VALUE(SUBSTITUTE((INDEX(SPLIT(A6144,"",""),1)),""."","","",1))"),42.825346)</f>
        <v>42.825346</v>
      </c>
      <c r="Q6144" s="13">
        <f>IFERROR(__xludf.DUMMYFUNCTION("VALUE(SUBSTITUTE((INDEX(SPLIT(A6144,"",""),2)),""."","","",1))"),132.89326)</f>
        <v>132.89326</v>
      </c>
      <c r="R6144" s="14" t="b">
        <f t="shared" si="1"/>
        <v>0</v>
      </c>
      <c r="S6144" s="14" t="str">
        <f t="shared" si="2"/>
        <v>42.825346,132.89326</v>
      </c>
      <c r="T6144" s="12"/>
    </row>
    <row r="6145">
      <c r="A6145" s="139" t="s">
        <v>2020</v>
      </c>
      <c r="B6145" s="140" t="s">
        <v>39480</v>
      </c>
      <c r="C6145" s="140" t="s">
        <v>39481</v>
      </c>
      <c r="D6145" s="140" t="s">
        <v>33342</v>
      </c>
      <c r="E6145" s="141" t="s">
        <v>39482</v>
      </c>
      <c r="F6145" s="139" t="s">
        <v>1448</v>
      </c>
      <c r="G6145" s="139" t="s">
        <v>33344</v>
      </c>
      <c r="H6145" s="139"/>
      <c r="I6145" s="140"/>
      <c r="J6145" s="140" t="s">
        <v>39483</v>
      </c>
      <c r="K6145" s="140" t="s">
        <v>39484</v>
      </c>
      <c r="L6145" s="140"/>
      <c r="M6145" s="140"/>
      <c r="N6145" s="12"/>
      <c r="O6145" s="12"/>
      <c r="P6145" s="13">
        <f>IFERROR(__xludf.DUMMYFUNCTION("VALUE(SUBSTITUTE((INDEX(SPLIT(A6145,"",""),1)),""."","","",1))"),42.85682)</f>
        <v>42.85682</v>
      </c>
      <c r="Q6145" s="13">
        <f>IFERROR(__xludf.DUMMYFUNCTION("VALUE(SUBSTITUTE((INDEX(SPLIT(A6145,"",""),2)),""."","","",1))"),132.974261)</f>
        <v>132.974261</v>
      </c>
      <c r="R6145" s="14" t="b">
        <f t="shared" si="1"/>
        <v>0</v>
      </c>
      <c r="S6145" s="14" t="str">
        <f t="shared" si="2"/>
        <v>42.85682,132.974261</v>
      </c>
      <c r="T6145" s="12"/>
    </row>
    <row r="6146">
      <c r="A6146" s="142" t="s">
        <v>39485</v>
      </c>
      <c r="B6146" s="143" t="s">
        <v>39486</v>
      </c>
      <c r="C6146" s="143" t="s">
        <v>39487</v>
      </c>
      <c r="D6146" s="143" t="s">
        <v>33342</v>
      </c>
      <c r="E6146" s="144" t="s">
        <v>39488</v>
      </c>
      <c r="F6146" s="142" t="s">
        <v>1448</v>
      </c>
      <c r="G6146" s="142" t="s">
        <v>33344</v>
      </c>
      <c r="H6146" s="142"/>
      <c r="I6146" s="143"/>
      <c r="J6146" s="143" t="s">
        <v>39489</v>
      </c>
      <c r="K6146" s="143" t="s">
        <v>39490</v>
      </c>
      <c r="L6146" s="152" t="s">
        <v>39491</v>
      </c>
      <c r="M6146" s="143"/>
      <c r="N6146" s="12"/>
      <c r="O6146" s="12"/>
      <c r="P6146" s="13">
        <f>IFERROR(__xludf.DUMMYFUNCTION("VALUE(SUBSTITUTE((INDEX(SPLIT(A6146,"",""),1)),""."","","",1))"),43.807722)</f>
        <v>43.807722</v>
      </c>
      <c r="Q6146" s="13">
        <f>IFERROR(__xludf.DUMMYFUNCTION("VALUE(SUBSTITUTE((INDEX(SPLIT(A6146,"",""),2)),""."","","",1))"),131.917294)</f>
        <v>131.917294</v>
      </c>
      <c r="R6146" s="14" t="b">
        <f t="shared" si="1"/>
        <v>0</v>
      </c>
      <c r="S6146" s="14" t="str">
        <f t="shared" si="2"/>
        <v>43.807722,131.917294</v>
      </c>
      <c r="T6146" s="12"/>
    </row>
    <row r="6147">
      <c r="A6147" s="146" t="s">
        <v>39492</v>
      </c>
      <c r="B6147" s="147" t="s">
        <v>39493</v>
      </c>
      <c r="C6147" s="147" t="s">
        <v>39494</v>
      </c>
      <c r="D6147" s="147" t="s">
        <v>33342</v>
      </c>
      <c r="E6147" s="148" t="s">
        <v>39495</v>
      </c>
      <c r="F6147" s="146" t="s">
        <v>1448</v>
      </c>
      <c r="G6147" s="146" t="s">
        <v>33344</v>
      </c>
      <c r="H6147" s="146"/>
      <c r="I6147" s="147"/>
      <c r="J6147" s="147" t="s">
        <v>39496</v>
      </c>
      <c r="K6147" s="147" t="s">
        <v>39497</v>
      </c>
      <c r="L6147" s="150" t="s">
        <v>39498</v>
      </c>
      <c r="M6147" s="147"/>
      <c r="N6147" s="12"/>
      <c r="O6147" s="12"/>
      <c r="P6147" s="13">
        <f>IFERROR(__xludf.DUMMYFUNCTION("VALUE(SUBSTITUTE((INDEX(SPLIT(A6147,"",""),1)),""."","","",1))"),43.114318)</f>
        <v>43.114318</v>
      </c>
      <c r="Q6147" s="13">
        <f>IFERROR(__xludf.DUMMYFUNCTION("VALUE(SUBSTITUTE((INDEX(SPLIT(A6147,"",""),2)),""."","","",1))"),131.894261)</f>
        <v>131.894261</v>
      </c>
      <c r="R6147" s="14" t="b">
        <f t="shared" si="1"/>
        <v>0</v>
      </c>
      <c r="S6147" s="14" t="str">
        <f t="shared" si="2"/>
        <v>43.114318,131.894261</v>
      </c>
      <c r="T6147" s="12"/>
    </row>
    <row r="6148">
      <c r="A6148" s="142" t="s">
        <v>39499</v>
      </c>
      <c r="B6148" s="143" t="s">
        <v>39500</v>
      </c>
      <c r="C6148" s="143" t="s">
        <v>39501</v>
      </c>
      <c r="D6148" s="143" t="s">
        <v>33342</v>
      </c>
      <c r="E6148" s="144" t="s">
        <v>39502</v>
      </c>
      <c r="F6148" s="142" t="s">
        <v>1448</v>
      </c>
      <c r="G6148" s="142" t="s">
        <v>33344</v>
      </c>
      <c r="H6148" s="142"/>
      <c r="I6148" s="143"/>
      <c r="J6148" s="143" t="s">
        <v>39503</v>
      </c>
      <c r="K6148" s="143" t="s">
        <v>39504</v>
      </c>
      <c r="L6148" s="152" t="s">
        <v>39505</v>
      </c>
      <c r="M6148" s="143"/>
      <c r="N6148" s="12"/>
      <c r="O6148" s="12"/>
      <c r="P6148" s="13">
        <f>IFERROR(__xludf.DUMMYFUNCTION("VALUE(SUBSTITUTE((INDEX(SPLIT(A6148,"",""),1)),""."","","",1))"),43.775256)</f>
        <v>43.775256</v>
      </c>
      <c r="Q6148" s="13">
        <f>IFERROR(__xludf.DUMMYFUNCTION("VALUE(SUBSTITUTE((INDEX(SPLIT(A6148,"",""),2)),""."","","",1))"),131.89745)</f>
        <v>131.89745</v>
      </c>
      <c r="R6148" s="14" t="b">
        <f t="shared" si="1"/>
        <v>0</v>
      </c>
      <c r="S6148" s="14" t="str">
        <f t="shared" si="2"/>
        <v>43.775256,131.89745</v>
      </c>
      <c r="T6148" s="12"/>
    </row>
    <row r="6149">
      <c r="A6149" s="139" t="s">
        <v>1613</v>
      </c>
      <c r="B6149" s="140" t="s">
        <v>39506</v>
      </c>
      <c r="C6149" s="140" t="s">
        <v>39507</v>
      </c>
      <c r="D6149" s="140" t="s">
        <v>33342</v>
      </c>
      <c r="E6149" s="141" t="s">
        <v>39508</v>
      </c>
      <c r="F6149" s="139" t="s">
        <v>1448</v>
      </c>
      <c r="G6149" s="139" t="s">
        <v>33344</v>
      </c>
      <c r="H6149" s="139"/>
      <c r="I6149" s="140"/>
      <c r="J6149" s="140" t="s">
        <v>39509</v>
      </c>
      <c r="K6149" s="140" t="s">
        <v>39510</v>
      </c>
      <c r="L6149" s="140"/>
      <c r="M6149" s="154" t="s">
        <v>39511</v>
      </c>
      <c r="N6149" s="12"/>
      <c r="O6149" s="12"/>
      <c r="P6149" s="13">
        <f>IFERROR(__xludf.DUMMYFUNCTION("VALUE(SUBSTITUTE((INDEX(SPLIT(A6149,"",""),1)),""."","","",1))"),43.170331)</f>
        <v>43.170331</v>
      </c>
      <c r="Q6149" s="13">
        <f>IFERROR(__xludf.DUMMYFUNCTION("VALUE(SUBSTITUTE((INDEX(SPLIT(A6149,"",""),2)),""."","","",1))"),131.917977)</f>
        <v>131.917977</v>
      </c>
      <c r="R6149" s="14" t="b">
        <f t="shared" si="1"/>
        <v>0</v>
      </c>
      <c r="S6149" s="14" t="str">
        <f t="shared" si="2"/>
        <v>43.170331,131.917977</v>
      </c>
      <c r="T6149" s="12"/>
    </row>
    <row r="6150">
      <c r="A6150" s="136" t="s">
        <v>39512</v>
      </c>
      <c r="B6150" s="137" t="s">
        <v>39513</v>
      </c>
      <c r="C6150" s="137" t="s">
        <v>39514</v>
      </c>
      <c r="D6150" s="137" t="s">
        <v>33342</v>
      </c>
      <c r="E6150" s="138" t="s">
        <v>39515</v>
      </c>
      <c r="F6150" s="136" t="s">
        <v>1448</v>
      </c>
      <c r="G6150" s="136" t="s">
        <v>33344</v>
      </c>
      <c r="H6150" s="136"/>
      <c r="I6150" s="137"/>
      <c r="J6150" s="137" t="s">
        <v>39516</v>
      </c>
      <c r="K6150" s="137" t="s">
        <v>39517</v>
      </c>
      <c r="L6150" s="137"/>
      <c r="M6150" s="137"/>
      <c r="N6150" s="12"/>
      <c r="O6150" s="12"/>
      <c r="P6150" s="13">
        <f>IFERROR(__xludf.DUMMYFUNCTION("VALUE(SUBSTITUTE((INDEX(SPLIT(A6150,"",""),1)),""."","","",1))"),43.873684)</f>
        <v>43.873684</v>
      </c>
      <c r="Q6150" s="13">
        <f>IFERROR(__xludf.DUMMYFUNCTION("VALUE(SUBSTITUTE((INDEX(SPLIT(A6150,"",""),2)),""."","","",1))"),131.954305)</f>
        <v>131.954305</v>
      </c>
      <c r="R6150" s="14" t="b">
        <f t="shared" si="1"/>
        <v>0</v>
      </c>
      <c r="S6150" s="14" t="str">
        <f t="shared" si="2"/>
        <v>43.873684,131.954305</v>
      </c>
      <c r="T6150" s="12"/>
    </row>
    <row r="6151">
      <c r="A6151" s="139" t="s">
        <v>39518</v>
      </c>
      <c r="B6151" s="140" t="s">
        <v>39519</v>
      </c>
      <c r="C6151" s="140" t="s">
        <v>39520</v>
      </c>
      <c r="D6151" s="140" t="s">
        <v>33342</v>
      </c>
      <c r="E6151" s="141" t="s">
        <v>39521</v>
      </c>
      <c r="F6151" s="139" t="s">
        <v>1448</v>
      </c>
      <c r="G6151" s="139" t="s">
        <v>33344</v>
      </c>
      <c r="H6151" s="139"/>
      <c r="I6151" s="140"/>
      <c r="J6151" s="140" t="s">
        <v>39522</v>
      </c>
      <c r="K6151" s="140" t="s">
        <v>1582</v>
      </c>
      <c r="L6151" s="140"/>
      <c r="M6151" s="140"/>
      <c r="N6151" s="12"/>
      <c r="O6151" s="12"/>
      <c r="P6151" s="13">
        <f>IFERROR(__xludf.DUMMYFUNCTION("VALUE(SUBSTITUTE((INDEX(SPLIT(A6151,"",""),1)),""."","","",1))"),43.793128)</f>
        <v>43.793128</v>
      </c>
      <c r="Q6151" s="13">
        <f>IFERROR(__xludf.DUMMYFUNCTION("VALUE(SUBSTITUTE((INDEX(SPLIT(A6151,"",""),2)),""."","","",1))"),131.993848)</f>
        <v>131.993848</v>
      </c>
      <c r="R6151" s="14" t="b">
        <f t="shared" si="1"/>
        <v>0</v>
      </c>
      <c r="S6151" s="14" t="str">
        <f t="shared" si="2"/>
        <v>43.793128,131.993848</v>
      </c>
      <c r="T6151" s="12"/>
    </row>
    <row r="6152">
      <c r="A6152" s="142" t="s">
        <v>39523</v>
      </c>
      <c r="B6152" s="143" t="s">
        <v>39524</v>
      </c>
      <c r="C6152" s="143" t="s">
        <v>39525</v>
      </c>
      <c r="D6152" s="143" t="s">
        <v>33342</v>
      </c>
      <c r="E6152" s="144" t="s">
        <v>39526</v>
      </c>
      <c r="F6152" s="142" t="s">
        <v>1448</v>
      </c>
      <c r="G6152" s="142" t="s">
        <v>33344</v>
      </c>
      <c r="H6152" s="142"/>
      <c r="I6152" s="143"/>
      <c r="J6152" s="143" t="s">
        <v>39527</v>
      </c>
      <c r="K6152" s="143" t="s">
        <v>39528</v>
      </c>
      <c r="L6152" s="145" t="s">
        <v>39529</v>
      </c>
      <c r="M6152" s="145" t="s">
        <v>39530</v>
      </c>
      <c r="N6152" s="12"/>
      <c r="O6152" s="12"/>
      <c r="P6152" s="13">
        <f>IFERROR(__xludf.DUMMYFUNCTION("VALUE(SUBSTITUTE((INDEX(SPLIT(A6152,"",""),1)),""."","","",1))"),43.329817)</f>
        <v>43.329817</v>
      </c>
      <c r="Q6152" s="13">
        <f>IFERROR(__xludf.DUMMYFUNCTION("VALUE(SUBSTITUTE((INDEX(SPLIT(A6152,"",""),2)),""."","","",1))"),131.874929)</f>
        <v>131.874929</v>
      </c>
      <c r="R6152" s="14" t="b">
        <f t="shared" si="1"/>
        <v>0</v>
      </c>
      <c r="S6152" s="14" t="str">
        <f t="shared" si="2"/>
        <v>43.329817,131.874929</v>
      </c>
      <c r="T6152" s="12"/>
    </row>
    <row r="6153">
      <c r="A6153" s="146" t="s">
        <v>1682</v>
      </c>
      <c r="B6153" s="147" t="s">
        <v>39531</v>
      </c>
      <c r="C6153" s="147" t="s">
        <v>39532</v>
      </c>
      <c r="D6153" s="147" t="s">
        <v>33342</v>
      </c>
      <c r="E6153" s="148" t="s">
        <v>39533</v>
      </c>
      <c r="F6153" s="146" t="s">
        <v>1448</v>
      </c>
      <c r="G6153" s="146" t="s">
        <v>33344</v>
      </c>
      <c r="H6153" s="146"/>
      <c r="I6153" s="147"/>
      <c r="J6153" s="147" t="s">
        <v>1691</v>
      </c>
      <c r="K6153" s="147" t="s">
        <v>39534</v>
      </c>
      <c r="L6153" s="149" t="s">
        <v>39535</v>
      </c>
      <c r="M6153" s="147"/>
      <c r="N6153" s="12"/>
      <c r="O6153" s="12"/>
      <c r="P6153" s="13">
        <f>IFERROR(__xludf.DUMMYFUNCTION("VALUE(SUBSTITUTE((INDEX(SPLIT(A6153,"",""),1)),""."","","",1))"),43.33404)</f>
        <v>43.33404</v>
      </c>
      <c r="Q6153" s="13">
        <f>IFERROR(__xludf.DUMMYFUNCTION("VALUE(SUBSTITUTE((INDEX(SPLIT(A6153,"",""),2)),""."","","",1))"),131.94896)</f>
        <v>131.94896</v>
      </c>
      <c r="R6153" s="14" t="b">
        <f t="shared" si="1"/>
        <v>0</v>
      </c>
      <c r="S6153" s="14" t="str">
        <f t="shared" si="2"/>
        <v>43.33404,131.94896</v>
      </c>
      <c r="T6153" s="12"/>
    </row>
    <row r="6154">
      <c r="A6154" s="142" t="s">
        <v>39536</v>
      </c>
      <c r="B6154" s="143" t="s">
        <v>39537</v>
      </c>
      <c r="C6154" s="143" t="s">
        <v>39538</v>
      </c>
      <c r="D6154" s="143" t="s">
        <v>33342</v>
      </c>
      <c r="E6154" s="144" t="s">
        <v>39539</v>
      </c>
      <c r="F6154" s="142" t="s">
        <v>1448</v>
      </c>
      <c r="G6154" s="142" t="s">
        <v>33344</v>
      </c>
      <c r="H6154" s="142"/>
      <c r="I6154" s="143"/>
      <c r="J6154" s="143" t="s">
        <v>39540</v>
      </c>
      <c r="K6154" s="143" t="s">
        <v>39541</v>
      </c>
      <c r="L6154" s="152" t="s">
        <v>39542</v>
      </c>
      <c r="M6154" s="143"/>
      <c r="N6154" s="12"/>
      <c r="O6154" s="12"/>
      <c r="P6154" s="13">
        <f>IFERROR(__xludf.DUMMYFUNCTION("VALUE(SUBSTITUTE((INDEX(SPLIT(A6154,"",""),1)),""."","","",1))"),43.117675)</f>
        <v>43.117675</v>
      </c>
      <c r="Q6154" s="13">
        <f>IFERROR(__xludf.DUMMYFUNCTION("VALUE(SUBSTITUTE((INDEX(SPLIT(A6154,"",""),2)),""."","","",1))"),131.893057)</f>
        <v>131.893057</v>
      </c>
      <c r="R6154" s="14" t="b">
        <f t="shared" si="1"/>
        <v>0</v>
      </c>
      <c r="S6154" s="14" t="str">
        <f t="shared" si="2"/>
        <v>43.117675,131.893057</v>
      </c>
      <c r="T6154" s="12"/>
    </row>
    <row r="6155">
      <c r="A6155" s="146" t="s">
        <v>39543</v>
      </c>
      <c r="B6155" s="147" t="s">
        <v>28699</v>
      </c>
      <c r="C6155" s="147" t="s">
        <v>39544</v>
      </c>
      <c r="D6155" s="147" t="s">
        <v>33342</v>
      </c>
      <c r="E6155" s="148" t="s">
        <v>39545</v>
      </c>
      <c r="F6155" s="146" t="s">
        <v>1448</v>
      </c>
      <c r="G6155" s="146" t="s">
        <v>33344</v>
      </c>
      <c r="H6155" s="146"/>
      <c r="I6155" s="147"/>
      <c r="J6155" s="147" t="s">
        <v>39546</v>
      </c>
      <c r="K6155" s="147" t="s">
        <v>39547</v>
      </c>
      <c r="L6155" s="149" t="s">
        <v>39548</v>
      </c>
      <c r="M6155" s="147"/>
      <c r="N6155" s="12"/>
      <c r="O6155" s="12"/>
      <c r="P6155" s="13">
        <f>IFERROR(__xludf.DUMMYFUNCTION("VALUE(SUBSTITUTE((INDEX(SPLIT(A6155,"",""),1)),""."","","",1))"),43.241787)</f>
        <v>43.241787</v>
      </c>
      <c r="Q6155" s="13">
        <f>IFERROR(__xludf.DUMMYFUNCTION("VALUE(SUBSTITUTE((INDEX(SPLIT(A6155,"",""),2)),""."","","",1))"),132.014393)</f>
        <v>132.014393</v>
      </c>
      <c r="R6155" s="14" t="b">
        <f t="shared" si="1"/>
        <v>0</v>
      </c>
      <c r="S6155" s="14" t="str">
        <f t="shared" si="2"/>
        <v>43.241787,132.014393</v>
      </c>
      <c r="T6155" s="12"/>
    </row>
    <row r="6156">
      <c r="A6156" s="136" t="s">
        <v>39549</v>
      </c>
      <c r="B6156" s="137" t="s">
        <v>39550</v>
      </c>
      <c r="C6156" s="137" t="s">
        <v>39551</v>
      </c>
      <c r="D6156" s="137" t="s">
        <v>33342</v>
      </c>
      <c r="E6156" s="138" t="s">
        <v>39552</v>
      </c>
      <c r="F6156" s="136" t="s">
        <v>1448</v>
      </c>
      <c r="G6156" s="136" t="s">
        <v>33344</v>
      </c>
      <c r="H6156" s="136"/>
      <c r="I6156" s="137"/>
      <c r="J6156" s="137" t="s">
        <v>39553</v>
      </c>
      <c r="K6156" s="137" t="s">
        <v>39554</v>
      </c>
      <c r="L6156" s="137"/>
      <c r="M6156" s="153" t="s">
        <v>39555</v>
      </c>
      <c r="N6156" s="12"/>
      <c r="O6156" s="12"/>
      <c r="P6156" s="13">
        <f>IFERROR(__xludf.DUMMYFUNCTION("VALUE(SUBSTITUTE((INDEX(SPLIT(A6156,"",""),1)),""."","","",1))"),43.117767)</f>
        <v>43.117767</v>
      </c>
      <c r="Q6156" s="13">
        <f>IFERROR(__xludf.DUMMYFUNCTION("VALUE(SUBSTITUTE((INDEX(SPLIT(A6156,"",""),2)),""."","","",1))"),131.8971)</f>
        <v>131.8971</v>
      </c>
      <c r="R6156" s="14" t="b">
        <f t="shared" si="1"/>
        <v>0</v>
      </c>
      <c r="S6156" s="14" t="str">
        <f t="shared" si="2"/>
        <v>43.117767,131.8971</v>
      </c>
      <c r="T6156" s="12"/>
    </row>
    <row r="6157">
      <c r="A6157" s="139" t="s">
        <v>39556</v>
      </c>
      <c r="B6157" s="140" t="s">
        <v>39557</v>
      </c>
      <c r="C6157" s="140" t="s">
        <v>39558</v>
      </c>
      <c r="D6157" s="140" t="s">
        <v>33342</v>
      </c>
      <c r="E6157" s="141" t="s">
        <v>39559</v>
      </c>
      <c r="F6157" s="139" t="s">
        <v>1448</v>
      </c>
      <c r="G6157" s="139" t="s">
        <v>33344</v>
      </c>
      <c r="H6157" s="139"/>
      <c r="I6157" s="140"/>
      <c r="J6157" s="140" t="s">
        <v>39560</v>
      </c>
      <c r="K6157" s="140" t="s">
        <v>39561</v>
      </c>
      <c r="L6157" s="140"/>
      <c r="M6157" s="154" t="s">
        <v>39562</v>
      </c>
      <c r="N6157" s="12"/>
      <c r="O6157" s="12"/>
      <c r="P6157" s="13">
        <f>IFERROR(__xludf.DUMMYFUNCTION("VALUE(SUBSTITUTE((INDEX(SPLIT(A6157,"",""),1)),""."","","",1))"),43.109836)</f>
        <v>43.109836</v>
      </c>
      <c r="Q6157" s="13">
        <f>IFERROR(__xludf.DUMMYFUNCTION("VALUE(SUBSTITUTE((INDEX(SPLIT(A6157,"",""),2)),""."","","",1))"),131.932089)</f>
        <v>131.932089</v>
      </c>
      <c r="R6157" s="14" t="b">
        <f t="shared" si="1"/>
        <v>0</v>
      </c>
      <c r="S6157" s="14" t="str">
        <f t="shared" si="2"/>
        <v>43.109836,131.932089</v>
      </c>
      <c r="T6157" s="12"/>
    </row>
    <row r="6158">
      <c r="A6158" s="136" t="s">
        <v>39563</v>
      </c>
      <c r="B6158" s="137" t="s">
        <v>39564</v>
      </c>
      <c r="C6158" s="137" t="s">
        <v>39565</v>
      </c>
      <c r="D6158" s="137" t="s">
        <v>33342</v>
      </c>
      <c r="E6158" s="138" t="s">
        <v>39566</v>
      </c>
      <c r="F6158" s="136" t="s">
        <v>1448</v>
      </c>
      <c r="G6158" s="136" t="s">
        <v>33344</v>
      </c>
      <c r="H6158" s="136"/>
      <c r="I6158" s="137"/>
      <c r="J6158" s="137" t="s">
        <v>39567</v>
      </c>
      <c r="K6158" s="137" t="s">
        <v>39568</v>
      </c>
      <c r="L6158" s="137"/>
      <c r="M6158" s="153" t="s">
        <v>39562</v>
      </c>
      <c r="N6158" s="12"/>
      <c r="O6158" s="12"/>
      <c r="P6158" s="13">
        <f>IFERROR(__xludf.DUMMYFUNCTION("VALUE(SUBSTITUTE((INDEX(SPLIT(A6158,"",""),1)),""."","","",1))"),43.0747)</f>
        <v>43.0747</v>
      </c>
      <c r="Q6158" s="13">
        <f>IFERROR(__xludf.DUMMYFUNCTION("VALUE(SUBSTITUTE((INDEX(SPLIT(A6158,"",""),2)),""."","","",1))"),131.936904)</f>
        <v>131.936904</v>
      </c>
      <c r="R6158" s="14" t="b">
        <f t="shared" si="1"/>
        <v>0</v>
      </c>
      <c r="S6158" s="14" t="str">
        <f t="shared" si="2"/>
        <v>43.0747,131.936904</v>
      </c>
      <c r="T6158" s="12"/>
    </row>
    <row r="6159">
      <c r="A6159" s="146" t="s">
        <v>39569</v>
      </c>
      <c r="B6159" s="147" t="s">
        <v>39570</v>
      </c>
      <c r="C6159" s="147" t="s">
        <v>39571</v>
      </c>
      <c r="D6159" s="147" t="s">
        <v>33342</v>
      </c>
      <c r="E6159" s="148" t="s">
        <v>39572</v>
      </c>
      <c r="F6159" s="146" t="s">
        <v>1448</v>
      </c>
      <c r="G6159" s="146" t="s">
        <v>33344</v>
      </c>
      <c r="H6159" s="146"/>
      <c r="I6159" s="147"/>
      <c r="J6159" s="147" t="s">
        <v>39573</v>
      </c>
      <c r="K6159" s="147" t="s">
        <v>39574</v>
      </c>
      <c r="L6159" s="149" t="s">
        <v>39575</v>
      </c>
      <c r="M6159" s="147"/>
      <c r="N6159" s="12"/>
      <c r="O6159" s="12"/>
      <c r="P6159" s="13">
        <f>IFERROR(__xludf.DUMMYFUNCTION("VALUE(SUBSTITUTE((INDEX(SPLIT(A6159,"",""),1)),""."","","",1))"),43.19194)</f>
        <v>43.19194</v>
      </c>
      <c r="Q6159" s="13">
        <f>IFERROR(__xludf.DUMMYFUNCTION("VALUE(SUBSTITUTE((INDEX(SPLIT(A6159,"",""),2)),""."","","",1))"),131.921561)</f>
        <v>131.921561</v>
      </c>
      <c r="R6159" s="14" t="b">
        <f t="shared" si="1"/>
        <v>0</v>
      </c>
      <c r="S6159" s="14" t="str">
        <f t="shared" si="2"/>
        <v>43.19194,131.921561</v>
      </c>
      <c r="T6159" s="12"/>
    </row>
    <row r="6160">
      <c r="A6160" s="136" t="s">
        <v>39576</v>
      </c>
      <c r="B6160" s="137" t="s">
        <v>39577</v>
      </c>
      <c r="C6160" s="137" t="s">
        <v>39578</v>
      </c>
      <c r="D6160" s="137" t="s">
        <v>33342</v>
      </c>
      <c r="E6160" s="138" t="s">
        <v>39579</v>
      </c>
      <c r="F6160" s="136" t="s">
        <v>1448</v>
      </c>
      <c r="G6160" s="136" t="s">
        <v>33344</v>
      </c>
      <c r="H6160" s="136"/>
      <c r="I6160" s="137"/>
      <c r="J6160" s="137" t="s">
        <v>39580</v>
      </c>
      <c r="K6160" s="137" t="s">
        <v>39581</v>
      </c>
      <c r="L6160" s="137"/>
      <c r="M6160" s="137"/>
      <c r="N6160" s="12"/>
      <c r="O6160" s="12"/>
      <c r="P6160" s="13">
        <f>IFERROR(__xludf.DUMMYFUNCTION("VALUE(SUBSTITUTE((INDEX(SPLIT(A6160,"",""),1)),""."","","",1))"),43.130683)</f>
        <v>43.130683</v>
      </c>
      <c r="Q6160" s="13">
        <f>IFERROR(__xludf.DUMMYFUNCTION("VALUE(SUBSTITUTE((INDEX(SPLIT(A6160,"",""),2)),""."","","",1))"),131.890039)</f>
        <v>131.890039</v>
      </c>
      <c r="R6160" s="14" t="b">
        <f t="shared" si="1"/>
        <v>0</v>
      </c>
      <c r="S6160" s="14" t="str">
        <f t="shared" si="2"/>
        <v>43.130683,131.890039</v>
      </c>
      <c r="T6160" s="12"/>
    </row>
    <row r="6161">
      <c r="A6161" s="146" t="s">
        <v>39582</v>
      </c>
      <c r="B6161" s="147" t="s">
        <v>39583</v>
      </c>
      <c r="C6161" s="147" t="s">
        <v>39583</v>
      </c>
      <c r="D6161" s="147" t="s">
        <v>33342</v>
      </c>
      <c r="E6161" s="148" t="s">
        <v>39584</v>
      </c>
      <c r="F6161" s="146" t="s">
        <v>1448</v>
      </c>
      <c r="G6161" s="146" t="s">
        <v>33344</v>
      </c>
      <c r="H6161" s="146"/>
      <c r="I6161" s="147"/>
      <c r="J6161" s="147" t="s">
        <v>39585</v>
      </c>
      <c r="K6161" s="147" t="s">
        <v>39586</v>
      </c>
      <c r="L6161" s="150" t="s">
        <v>39587</v>
      </c>
      <c r="M6161" s="147"/>
      <c r="N6161" s="12"/>
      <c r="O6161" s="12"/>
      <c r="P6161" s="13">
        <f>IFERROR(__xludf.DUMMYFUNCTION("VALUE(SUBSTITUTE((INDEX(SPLIT(A6161,"",""),1)),""."","","",1))"),43.135624)</f>
        <v>43.135624</v>
      </c>
      <c r="Q6161" s="13">
        <f>IFERROR(__xludf.DUMMYFUNCTION("VALUE(SUBSTITUTE((INDEX(SPLIT(A6161,"",""),2)),""."","","",1))"),131.955931)</f>
        <v>131.955931</v>
      </c>
      <c r="R6161" s="14" t="b">
        <f t="shared" si="1"/>
        <v>0</v>
      </c>
      <c r="S6161" s="14" t="str">
        <f t="shared" si="2"/>
        <v>43.135624,131.955931</v>
      </c>
      <c r="T6161" s="12"/>
    </row>
    <row r="6162">
      <c r="A6162" s="136" t="s">
        <v>1908</v>
      </c>
      <c r="B6162" s="137" t="s">
        <v>39588</v>
      </c>
      <c r="C6162" s="137" t="s">
        <v>39589</v>
      </c>
      <c r="D6162" s="137" t="s">
        <v>33342</v>
      </c>
      <c r="E6162" s="138" t="s">
        <v>39590</v>
      </c>
      <c r="F6162" s="136" t="s">
        <v>1448</v>
      </c>
      <c r="G6162" s="136" t="s">
        <v>33344</v>
      </c>
      <c r="H6162" s="136"/>
      <c r="I6162" s="137"/>
      <c r="J6162" s="137" t="s">
        <v>39591</v>
      </c>
      <c r="K6162" s="137" t="s">
        <v>39592</v>
      </c>
      <c r="L6162" s="137"/>
      <c r="M6162" s="153" t="s">
        <v>39593</v>
      </c>
      <c r="N6162" s="12"/>
      <c r="O6162" s="12"/>
      <c r="P6162" s="13">
        <f>IFERROR(__xludf.DUMMYFUNCTION("VALUE(SUBSTITUTE((INDEX(SPLIT(A6162,"",""),1)),""."","","",1))"),43.110843)</f>
        <v>43.110843</v>
      </c>
      <c r="Q6162" s="13">
        <f>IFERROR(__xludf.DUMMYFUNCTION("VALUE(SUBSTITUTE((INDEX(SPLIT(A6162,"",""),2)),""."","","",1))"),132.354037)</f>
        <v>132.354037</v>
      </c>
      <c r="R6162" s="14" t="b">
        <f t="shared" si="1"/>
        <v>0</v>
      </c>
      <c r="S6162" s="14" t="str">
        <f t="shared" si="2"/>
        <v>43.110843,132.354037</v>
      </c>
      <c r="T6162" s="12"/>
    </row>
    <row r="6163">
      <c r="A6163" s="146" t="s">
        <v>39594</v>
      </c>
      <c r="B6163" s="147" t="s">
        <v>39595</v>
      </c>
      <c r="C6163" s="147" t="s">
        <v>39596</v>
      </c>
      <c r="D6163" s="147" t="s">
        <v>33342</v>
      </c>
      <c r="E6163" s="148" t="s">
        <v>39597</v>
      </c>
      <c r="F6163" s="146" t="s">
        <v>1448</v>
      </c>
      <c r="G6163" s="146" t="s">
        <v>33344</v>
      </c>
      <c r="H6163" s="146"/>
      <c r="I6163" s="147"/>
      <c r="J6163" s="147" t="s">
        <v>39598</v>
      </c>
      <c r="K6163" s="147" t="s">
        <v>39599</v>
      </c>
      <c r="L6163" s="149" t="s">
        <v>39600</v>
      </c>
      <c r="M6163" s="147"/>
      <c r="N6163" s="12"/>
      <c r="O6163" s="12"/>
      <c r="P6163" s="13">
        <f>IFERROR(__xludf.DUMMYFUNCTION("VALUE(SUBSTITUTE((INDEX(SPLIT(A6163,"",""),1)),""."","","",1))"),43.134203)</f>
        <v>43.134203</v>
      </c>
      <c r="Q6163" s="13">
        <f>IFERROR(__xludf.DUMMYFUNCTION("VALUE(SUBSTITUTE((INDEX(SPLIT(A6163,"",""),2)),""."","","",1))"),131.961168)</f>
        <v>131.961168</v>
      </c>
      <c r="R6163" s="14" t="b">
        <f t="shared" si="1"/>
        <v>0</v>
      </c>
      <c r="S6163" s="14" t="str">
        <f t="shared" si="2"/>
        <v>43.134203,131.961168</v>
      </c>
      <c r="T6163" s="12"/>
    </row>
    <row r="6164">
      <c r="A6164" s="136" t="s">
        <v>39601</v>
      </c>
      <c r="B6164" s="137" t="s">
        <v>39602</v>
      </c>
      <c r="C6164" s="137" t="s">
        <v>39603</v>
      </c>
      <c r="D6164" s="137" t="s">
        <v>33342</v>
      </c>
      <c r="E6164" s="138" t="s">
        <v>39604</v>
      </c>
      <c r="F6164" s="136" t="s">
        <v>1448</v>
      </c>
      <c r="G6164" s="136" t="s">
        <v>33344</v>
      </c>
      <c r="H6164" s="136"/>
      <c r="I6164" s="137"/>
      <c r="J6164" s="137" t="s">
        <v>39605</v>
      </c>
      <c r="K6164" s="137" t="s">
        <v>39606</v>
      </c>
      <c r="L6164" s="137"/>
      <c r="M6164" s="137"/>
      <c r="N6164" s="12"/>
      <c r="O6164" s="12"/>
      <c r="P6164" s="13">
        <f>IFERROR(__xludf.DUMMYFUNCTION("VALUE(SUBSTITUTE((INDEX(SPLIT(A6164,"",""),1)),""."","","",1))"),43.283646)</f>
        <v>43.283646</v>
      </c>
      <c r="Q6164" s="13">
        <f>IFERROR(__xludf.DUMMYFUNCTION("VALUE(SUBSTITUTE((INDEX(SPLIT(A6164,"",""),2)),""."","","",1))"),132.058869)</f>
        <v>132.058869</v>
      </c>
      <c r="R6164" s="14" t="b">
        <f t="shared" si="1"/>
        <v>0</v>
      </c>
      <c r="S6164" s="14" t="str">
        <f t="shared" si="2"/>
        <v>43.283646,132.058869</v>
      </c>
      <c r="T6164" s="12"/>
    </row>
    <row r="6165">
      <c r="A6165" s="139" t="s">
        <v>39607</v>
      </c>
      <c r="B6165" s="140" t="s">
        <v>39608</v>
      </c>
      <c r="C6165" s="140" t="s">
        <v>39609</v>
      </c>
      <c r="D6165" s="140" t="s">
        <v>33342</v>
      </c>
      <c r="E6165" s="141" t="s">
        <v>39610</v>
      </c>
      <c r="F6165" s="139" t="s">
        <v>1448</v>
      </c>
      <c r="G6165" s="139" t="s">
        <v>33344</v>
      </c>
      <c r="H6165" s="139"/>
      <c r="I6165" s="140"/>
      <c r="J6165" s="140" t="s">
        <v>39611</v>
      </c>
      <c r="K6165" s="140" t="s">
        <v>39612</v>
      </c>
      <c r="L6165" s="140"/>
      <c r="M6165" s="140"/>
      <c r="N6165" s="12"/>
      <c r="O6165" s="12"/>
      <c r="P6165" s="13">
        <f>IFERROR(__xludf.DUMMYFUNCTION("VALUE(SUBSTITUTE((INDEX(SPLIT(A6165,"",""),1)),""."","","",1))"),43.145314)</f>
        <v>43.145314</v>
      </c>
      <c r="Q6165" s="13">
        <f>IFERROR(__xludf.DUMMYFUNCTION("VALUE(SUBSTITUTE((INDEX(SPLIT(A6165,"",""),2)),""."","","",1))"),131.916548)</f>
        <v>131.916548</v>
      </c>
      <c r="R6165" s="14" t="b">
        <f t="shared" si="1"/>
        <v>0</v>
      </c>
      <c r="S6165" s="14" t="str">
        <f t="shared" si="2"/>
        <v>43.145314,131.916548</v>
      </c>
      <c r="T6165" s="12"/>
    </row>
    <row r="6166">
      <c r="A6166" s="136" t="s">
        <v>39613</v>
      </c>
      <c r="B6166" s="137" t="s">
        <v>39614</v>
      </c>
      <c r="C6166" s="137" t="s">
        <v>39615</v>
      </c>
      <c r="D6166" s="137" t="s">
        <v>33342</v>
      </c>
      <c r="E6166" s="138" t="s">
        <v>39616</v>
      </c>
      <c r="F6166" s="136" t="s">
        <v>1448</v>
      </c>
      <c r="G6166" s="136" t="s">
        <v>33344</v>
      </c>
      <c r="H6166" s="136"/>
      <c r="I6166" s="137"/>
      <c r="J6166" s="137" t="s">
        <v>39617</v>
      </c>
      <c r="K6166" s="137" t="s">
        <v>39618</v>
      </c>
      <c r="L6166" s="137"/>
      <c r="M6166" s="137"/>
      <c r="N6166" s="12"/>
      <c r="O6166" s="12"/>
      <c r="P6166" s="13">
        <f>IFERROR(__xludf.DUMMYFUNCTION("VALUE(SUBSTITUTE((INDEX(SPLIT(A6166,"",""),1)),""."","","",1))"),43.143163)</f>
        <v>43.143163</v>
      </c>
      <c r="Q6166" s="13">
        <f>IFERROR(__xludf.DUMMYFUNCTION("VALUE(SUBSTITUTE((INDEX(SPLIT(A6166,"",""),2)),""."","","",1))"),131.925792)</f>
        <v>131.925792</v>
      </c>
      <c r="R6166" s="14" t="b">
        <f t="shared" si="1"/>
        <v>0</v>
      </c>
      <c r="S6166" s="14" t="str">
        <f t="shared" si="2"/>
        <v>43.143163,131.925792</v>
      </c>
      <c r="T6166" s="12"/>
    </row>
    <row r="6167">
      <c r="A6167" s="139" t="s">
        <v>39619</v>
      </c>
      <c r="B6167" s="140" t="s">
        <v>39620</v>
      </c>
      <c r="C6167" s="140" t="s">
        <v>39621</v>
      </c>
      <c r="D6167" s="140" t="s">
        <v>33342</v>
      </c>
      <c r="E6167" s="141" t="s">
        <v>39622</v>
      </c>
      <c r="F6167" s="139" t="s">
        <v>1448</v>
      </c>
      <c r="G6167" s="139" t="s">
        <v>33344</v>
      </c>
      <c r="H6167" s="139"/>
      <c r="I6167" s="140"/>
      <c r="J6167" s="140" t="s">
        <v>39623</v>
      </c>
      <c r="K6167" s="140" t="s">
        <v>39624</v>
      </c>
      <c r="L6167" s="140"/>
      <c r="M6167" s="140"/>
      <c r="N6167" s="12"/>
      <c r="O6167" s="12"/>
      <c r="P6167" s="13">
        <f>IFERROR(__xludf.DUMMYFUNCTION("VALUE(SUBSTITUTE((INDEX(SPLIT(A6167,"",""),1)),""."","","",1))"),43.165557)</f>
        <v>43.165557</v>
      </c>
      <c r="Q6167" s="13">
        <f>IFERROR(__xludf.DUMMYFUNCTION("VALUE(SUBSTITUTE((INDEX(SPLIT(A6167,"",""),2)),""."","","",1))"),131.905104)</f>
        <v>131.905104</v>
      </c>
      <c r="R6167" s="14" t="b">
        <f t="shared" si="1"/>
        <v>0</v>
      </c>
      <c r="S6167" s="14" t="str">
        <f t="shared" si="2"/>
        <v>43.165557,131.905104</v>
      </c>
      <c r="T6167" s="12"/>
    </row>
    <row r="6168">
      <c r="A6168" s="136" t="s">
        <v>39625</v>
      </c>
      <c r="B6168" s="137" t="s">
        <v>39626</v>
      </c>
      <c r="C6168" s="137" t="s">
        <v>39627</v>
      </c>
      <c r="D6168" s="137" t="s">
        <v>33342</v>
      </c>
      <c r="E6168" s="138" t="s">
        <v>39628</v>
      </c>
      <c r="F6168" s="136" t="s">
        <v>12993</v>
      </c>
      <c r="G6168" s="136" t="s">
        <v>33344</v>
      </c>
      <c r="H6168" s="136"/>
      <c r="I6168" s="137"/>
      <c r="J6168" s="137" t="s">
        <v>39629</v>
      </c>
      <c r="K6168" s="137" t="s">
        <v>39630</v>
      </c>
      <c r="L6168" s="137"/>
      <c r="M6168" s="153" t="s">
        <v>39631</v>
      </c>
      <c r="N6168" s="12"/>
      <c r="O6168" s="12"/>
      <c r="P6168" s="13">
        <f>IFERROR(__xludf.DUMMYFUNCTION("VALUE(SUBSTITUTE((INDEX(SPLIT(A6168,"",""),1)),""."","","",1))"),45.31188)</f>
        <v>45.31188</v>
      </c>
      <c r="Q6168" s="13">
        <f>IFERROR(__xludf.DUMMYFUNCTION("VALUE(SUBSTITUTE((INDEX(SPLIT(A6168,"",""),2)),""."","","",1))"),41.513395)</f>
        <v>41.513395</v>
      </c>
      <c r="R6168" s="14" t="b">
        <f t="shared" si="1"/>
        <v>0</v>
      </c>
      <c r="S6168" s="14" t="str">
        <f t="shared" si="2"/>
        <v>45.31188,41.513395</v>
      </c>
      <c r="T6168" s="12"/>
    </row>
    <row r="6169">
      <c r="A6169" s="139" t="s">
        <v>39632</v>
      </c>
      <c r="B6169" s="140" t="s">
        <v>39633</v>
      </c>
      <c r="C6169" s="140" t="s">
        <v>39634</v>
      </c>
      <c r="D6169" s="140" t="s">
        <v>33342</v>
      </c>
      <c r="E6169" s="141" t="s">
        <v>39635</v>
      </c>
      <c r="F6169" s="139" t="s">
        <v>12993</v>
      </c>
      <c r="G6169" s="139" t="s">
        <v>33344</v>
      </c>
      <c r="H6169" s="139"/>
      <c r="I6169" s="140"/>
      <c r="J6169" s="140" t="s">
        <v>39636</v>
      </c>
      <c r="K6169" s="140" t="s">
        <v>39637</v>
      </c>
      <c r="L6169" s="140"/>
      <c r="M6169" s="140"/>
      <c r="N6169" s="12"/>
      <c r="O6169" s="12"/>
      <c r="P6169" s="13">
        <f>IFERROR(__xludf.DUMMYFUNCTION("VALUE(SUBSTITUTE((INDEX(SPLIT(A6169,"",""),1)),""."","","",1))"),45.491364)</f>
        <v>45.491364</v>
      </c>
      <c r="Q6169" s="13">
        <f>IFERROR(__xludf.DUMMYFUNCTION("VALUE(SUBSTITUTE((INDEX(SPLIT(A6169,"",""),2)),""."","","",1))"),41.196604)</f>
        <v>41.196604</v>
      </c>
      <c r="R6169" s="14" t="b">
        <f t="shared" si="1"/>
        <v>0</v>
      </c>
      <c r="S6169" s="14" t="str">
        <f t="shared" si="2"/>
        <v>45.491364,41.196604</v>
      </c>
      <c r="T6169" s="12"/>
    </row>
    <row r="6170">
      <c r="A6170" s="136" t="s">
        <v>39638</v>
      </c>
      <c r="B6170" s="137" t="s">
        <v>39639</v>
      </c>
      <c r="C6170" s="137" t="s">
        <v>39640</v>
      </c>
      <c r="D6170" s="137" t="s">
        <v>33342</v>
      </c>
      <c r="E6170" s="138" t="s">
        <v>39641</v>
      </c>
      <c r="F6170" s="136" t="s">
        <v>12993</v>
      </c>
      <c r="G6170" s="136" t="s">
        <v>33344</v>
      </c>
      <c r="H6170" s="136"/>
      <c r="I6170" s="137"/>
      <c r="J6170" s="137" t="s">
        <v>39642</v>
      </c>
      <c r="K6170" s="137" t="s">
        <v>39643</v>
      </c>
      <c r="L6170" s="137"/>
      <c r="M6170" s="137"/>
      <c r="N6170" s="12"/>
      <c r="O6170" s="12"/>
      <c r="P6170" s="13">
        <f>IFERROR(__xludf.DUMMYFUNCTION("VALUE(SUBSTITUTE((INDEX(SPLIT(A6170,"",""),1)),""."","","",1))"),54.959832)</f>
        <v>54.959832</v>
      </c>
      <c r="Q6170" s="13">
        <f>IFERROR(__xludf.DUMMYFUNCTION("VALUE(SUBSTITUTE((INDEX(SPLIT(A6170,"",""),2)),""."","","",1))"),73.385406)</f>
        <v>73.385406</v>
      </c>
      <c r="R6170" s="14" t="b">
        <f t="shared" si="1"/>
        <v>0</v>
      </c>
      <c r="S6170" s="14" t="str">
        <f t="shared" si="2"/>
        <v>54.959832,73.385406</v>
      </c>
      <c r="T6170" s="12"/>
    </row>
    <row r="6171">
      <c r="A6171" s="139" t="s">
        <v>39644</v>
      </c>
      <c r="B6171" s="140" t="s">
        <v>16887</v>
      </c>
      <c r="C6171" s="140" t="s">
        <v>39645</v>
      </c>
      <c r="D6171" s="140" t="s">
        <v>33342</v>
      </c>
      <c r="E6171" s="141" t="s">
        <v>39646</v>
      </c>
      <c r="F6171" s="139" t="s">
        <v>12993</v>
      </c>
      <c r="G6171" s="139" t="s">
        <v>33344</v>
      </c>
      <c r="H6171" s="139"/>
      <c r="I6171" s="140"/>
      <c r="J6171" s="140" t="s">
        <v>39647</v>
      </c>
      <c r="K6171" s="140" t="s">
        <v>39648</v>
      </c>
      <c r="L6171" s="140"/>
      <c r="M6171" s="140"/>
      <c r="N6171" s="12"/>
      <c r="O6171" s="12"/>
      <c r="P6171" s="13">
        <f>IFERROR(__xludf.DUMMYFUNCTION("VALUE(SUBSTITUTE((INDEX(SPLIT(A6171,"",""),1)),""."","","",1))"),44.164735)</f>
        <v>44.164735</v>
      </c>
      <c r="Q6171" s="13">
        <f>IFERROR(__xludf.DUMMYFUNCTION("VALUE(SUBSTITUTE((INDEX(SPLIT(A6171,"",""),2)),""."","","",1))"),43.460332)</f>
        <v>43.460332</v>
      </c>
      <c r="R6171" s="14" t="b">
        <f t="shared" si="1"/>
        <v>0</v>
      </c>
      <c r="S6171" s="14" t="str">
        <f t="shared" si="2"/>
        <v>44.164735,43.460332</v>
      </c>
      <c r="T6171" s="12"/>
    </row>
    <row r="6172">
      <c r="A6172" s="136" t="s">
        <v>39649</v>
      </c>
      <c r="B6172" s="137" t="s">
        <v>39650</v>
      </c>
      <c r="C6172" s="137" t="s">
        <v>39651</v>
      </c>
      <c r="D6172" s="137" t="s">
        <v>33342</v>
      </c>
      <c r="E6172" s="138" t="s">
        <v>39652</v>
      </c>
      <c r="F6172" s="136" t="s">
        <v>12993</v>
      </c>
      <c r="G6172" s="136" t="s">
        <v>33344</v>
      </c>
      <c r="H6172" s="136"/>
      <c r="I6172" s="156" t="s">
        <v>39653</v>
      </c>
      <c r="J6172" s="137" t="s">
        <v>39654</v>
      </c>
      <c r="K6172" s="137" t="s">
        <v>39655</v>
      </c>
      <c r="L6172" s="137"/>
      <c r="M6172" s="137"/>
      <c r="N6172" s="12"/>
      <c r="O6172" s="12"/>
      <c r="P6172" s="13">
        <f>IFERROR(__xludf.DUMMYFUNCTION("VALUE(SUBSTITUTE((INDEX(SPLIT(A6172,"",""),1)),""."","","",1))"),44.045044)</f>
        <v>44.045044</v>
      </c>
      <c r="Q6172" s="13">
        <f>IFERROR(__xludf.DUMMYFUNCTION("VALUE(SUBSTITUTE((INDEX(SPLIT(A6172,"",""),2)),""."","","",1))"),42.834143)</f>
        <v>42.834143</v>
      </c>
      <c r="R6172" s="14" t="b">
        <f t="shared" si="1"/>
        <v>0</v>
      </c>
      <c r="S6172" s="14" t="str">
        <f t="shared" si="2"/>
        <v>44.045044,42.834143</v>
      </c>
      <c r="T6172" s="12"/>
    </row>
    <row r="6173">
      <c r="A6173" s="139" t="s">
        <v>39656</v>
      </c>
      <c r="B6173" s="140" t="s">
        <v>39657</v>
      </c>
      <c r="C6173" s="140" t="s">
        <v>39658</v>
      </c>
      <c r="D6173" s="140" t="s">
        <v>33342</v>
      </c>
      <c r="E6173" s="141" t="s">
        <v>39659</v>
      </c>
      <c r="F6173" s="139" t="s">
        <v>12993</v>
      </c>
      <c r="G6173" s="139" t="s">
        <v>33344</v>
      </c>
      <c r="H6173" s="139"/>
      <c r="I6173" s="140"/>
      <c r="J6173" s="140" t="s">
        <v>39660</v>
      </c>
      <c r="K6173" s="140" t="s">
        <v>39661</v>
      </c>
      <c r="L6173" s="140"/>
      <c r="M6173" s="154" t="s">
        <v>39662</v>
      </c>
      <c r="N6173" s="12"/>
      <c r="O6173" s="12"/>
      <c r="P6173" s="13">
        <f>IFERROR(__xludf.DUMMYFUNCTION("VALUE(SUBSTITUTE((INDEX(SPLIT(A6173,"",""),1)),""."","","",1))"),44.045621)</f>
        <v>44.045621</v>
      </c>
      <c r="Q6173" s="13">
        <f>IFERROR(__xludf.DUMMYFUNCTION("VALUE(SUBSTITUTE((INDEX(SPLIT(A6173,"",""),2)),""."","","",1))"),42.835931)</f>
        <v>42.835931</v>
      </c>
      <c r="R6173" s="14" t="b">
        <f t="shared" si="1"/>
        <v>0</v>
      </c>
      <c r="S6173" s="14" t="str">
        <f t="shared" si="2"/>
        <v>44.045621,42.835931</v>
      </c>
      <c r="T6173" s="12"/>
    </row>
    <row r="6174">
      <c r="A6174" s="142" t="s">
        <v>39663</v>
      </c>
      <c r="B6174" s="143" t="s">
        <v>39664</v>
      </c>
      <c r="C6174" s="143" t="s">
        <v>39665</v>
      </c>
      <c r="D6174" s="143" t="s">
        <v>33342</v>
      </c>
      <c r="E6174" s="144" t="s">
        <v>39666</v>
      </c>
      <c r="F6174" s="142" t="s">
        <v>12993</v>
      </c>
      <c r="G6174" s="142" t="s">
        <v>33344</v>
      </c>
      <c r="H6174" s="142"/>
      <c r="I6174" s="143"/>
      <c r="J6174" s="143" t="s">
        <v>39667</v>
      </c>
      <c r="K6174" s="143" t="s">
        <v>39668</v>
      </c>
      <c r="L6174" s="152" t="s">
        <v>39669</v>
      </c>
      <c r="M6174" s="143"/>
      <c r="N6174" s="12"/>
      <c r="O6174" s="12"/>
      <c r="P6174" s="13">
        <f>IFERROR(__xludf.DUMMYFUNCTION("VALUE(SUBSTITUTE((INDEX(SPLIT(A6174,"",""),1)),""."","","",1))"),43.905933)</f>
        <v>43.905933</v>
      </c>
      <c r="Q6174" s="13">
        <f>IFERROR(__xludf.DUMMYFUNCTION("VALUE(SUBSTITUTE((INDEX(SPLIT(A6174,"",""),2)),""."","","",1))"),42.716203)</f>
        <v>42.716203</v>
      </c>
      <c r="R6174" s="14" t="b">
        <f t="shared" si="1"/>
        <v>0</v>
      </c>
      <c r="S6174" s="14" t="str">
        <f t="shared" si="2"/>
        <v>43.905933,42.716203</v>
      </c>
      <c r="T6174" s="12"/>
    </row>
    <row r="6175">
      <c r="A6175" s="146" t="s">
        <v>39670</v>
      </c>
      <c r="B6175" s="147" t="s">
        <v>39671</v>
      </c>
      <c r="C6175" s="147" t="s">
        <v>39672</v>
      </c>
      <c r="D6175" s="147" t="s">
        <v>33342</v>
      </c>
      <c r="E6175" s="148" t="s">
        <v>39673</v>
      </c>
      <c r="F6175" s="146" t="s">
        <v>12993</v>
      </c>
      <c r="G6175" s="146" t="s">
        <v>33344</v>
      </c>
      <c r="H6175" s="146"/>
      <c r="I6175" s="147"/>
      <c r="J6175" s="147" t="s">
        <v>39674</v>
      </c>
      <c r="K6175" s="147" t="s">
        <v>39675</v>
      </c>
      <c r="L6175" s="149" t="s">
        <v>39676</v>
      </c>
      <c r="M6175" s="147"/>
      <c r="N6175" s="12"/>
      <c r="O6175" s="12"/>
      <c r="P6175" s="13">
        <f>IFERROR(__xludf.DUMMYFUNCTION("VALUE(SUBSTITUTE((INDEX(SPLIT(A6175,"",""),1)),""."","","",1))"),43.895255)</f>
        <v>43.895255</v>
      </c>
      <c r="Q6175" s="13">
        <f>IFERROR(__xludf.DUMMYFUNCTION("VALUE(SUBSTITUTE((INDEX(SPLIT(A6175,"",""),2)),""."","","",1))"),42.711002)</f>
        <v>42.711002</v>
      </c>
      <c r="R6175" s="14" t="b">
        <f t="shared" si="1"/>
        <v>0</v>
      </c>
      <c r="S6175" s="14" t="str">
        <f t="shared" si="2"/>
        <v>43.895255,42.711002</v>
      </c>
      <c r="T6175" s="12"/>
    </row>
    <row r="6176">
      <c r="A6176" s="136" t="s">
        <v>39677</v>
      </c>
      <c r="B6176" s="137" t="s">
        <v>39678</v>
      </c>
      <c r="C6176" s="137" t="s">
        <v>39679</v>
      </c>
      <c r="D6176" s="137" t="s">
        <v>33342</v>
      </c>
      <c r="E6176" s="138" t="s">
        <v>39680</v>
      </c>
      <c r="F6176" s="136" t="s">
        <v>12993</v>
      </c>
      <c r="G6176" s="136" t="s">
        <v>33344</v>
      </c>
      <c r="H6176" s="136"/>
      <c r="I6176" s="137"/>
      <c r="J6176" s="137" t="s">
        <v>39681</v>
      </c>
      <c r="K6176" s="137" t="s">
        <v>39682</v>
      </c>
      <c r="L6176" s="137"/>
      <c r="M6176" s="153" t="s">
        <v>39683</v>
      </c>
      <c r="N6176" s="12"/>
      <c r="O6176" s="12"/>
      <c r="P6176" s="13">
        <f>IFERROR(__xludf.DUMMYFUNCTION("VALUE(SUBSTITUTE((INDEX(SPLIT(A6176,"",""),1)),""."","","",1))"),44.097757)</f>
        <v>44.097757</v>
      </c>
      <c r="Q6176" s="13">
        <f>IFERROR(__xludf.DUMMYFUNCTION("VALUE(SUBSTITUTE((INDEX(SPLIT(A6176,"",""),2)),""."","","",1))"),42.942956)</f>
        <v>42.942956</v>
      </c>
      <c r="R6176" s="14" t="b">
        <f t="shared" si="1"/>
        <v>0</v>
      </c>
      <c r="S6176" s="14" t="str">
        <f t="shared" si="2"/>
        <v>44.097757,42.942956</v>
      </c>
      <c r="T6176" s="12"/>
    </row>
    <row r="6177">
      <c r="A6177" s="146" t="s">
        <v>39684</v>
      </c>
      <c r="B6177" s="147" t="s">
        <v>39685</v>
      </c>
      <c r="C6177" s="147" t="s">
        <v>39686</v>
      </c>
      <c r="D6177" s="147" t="s">
        <v>33342</v>
      </c>
      <c r="E6177" s="148" t="s">
        <v>39687</v>
      </c>
      <c r="F6177" s="146" t="s">
        <v>12993</v>
      </c>
      <c r="G6177" s="146" t="s">
        <v>33344</v>
      </c>
      <c r="H6177" s="146"/>
      <c r="I6177" s="147"/>
      <c r="J6177" s="147" t="s">
        <v>39688</v>
      </c>
      <c r="K6177" s="147" t="s">
        <v>39689</v>
      </c>
      <c r="L6177" s="149" t="s">
        <v>39690</v>
      </c>
      <c r="M6177" s="147"/>
      <c r="N6177" s="12"/>
      <c r="O6177" s="12"/>
      <c r="P6177" s="13">
        <f>IFERROR(__xludf.DUMMYFUNCTION("VALUE(SUBSTITUTE((INDEX(SPLIT(A6177,"",""),1)),""."","","",1))"),44.201084)</f>
        <v>44.201084</v>
      </c>
      <c r="Q6177" s="13">
        <f>IFERROR(__xludf.DUMMYFUNCTION("VALUE(SUBSTITUTE((INDEX(SPLIT(A6177,"",""),2)),""."","","",1))"),43.144978)</f>
        <v>43.144978</v>
      </c>
      <c r="R6177" s="14" t="b">
        <f t="shared" si="1"/>
        <v>0</v>
      </c>
      <c r="S6177" s="14" t="str">
        <f t="shared" si="2"/>
        <v>44.201084,43.144978</v>
      </c>
      <c r="T6177" s="12"/>
    </row>
    <row r="6178">
      <c r="A6178" s="142" t="s">
        <v>39691</v>
      </c>
      <c r="B6178" s="143" t="s">
        <v>19702</v>
      </c>
      <c r="C6178" s="143" t="s">
        <v>39692</v>
      </c>
      <c r="D6178" s="143" t="s">
        <v>33342</v>
      </c>
      <c r="E6178" s="144" t="s">
        <v>39693</v>
      </c>
      <c r="F6178" s="142" t="s">
        <v>12993</v>
      </c>
      <c r="G6178" s="142" t="s">
        <v>33344</v>
      </c>
      <c r="H6178" s="142"/>
      <c r="I6178" s="143"/>
      <c r="J6178" s="143" t="s">
        <v>39694</v>
      </c>
      <c r="K6178" s="143" t="s">
        <v>39695</v>
      </c>
      <c r="L6178" s="145" t="s">
        <v>39696</v>
      </c>
      <c r="M6178" s="143"/>
      <c r="N6178" s="12"/>
      <c r="O6178" s="12"/>
      <c r="P6178" s="13">
        <f>IFERROR(__xludf.DUMMYFUNCTION("VALUE(SUBSTITUTE((INDEX(SPLIT(A6178,"",""),1)),""."","","",1))"),44.617797)</f>
        <v>44.617797</v>
      </c>
      <c r="Q6178" s="13">
        <f>IFERROR(__xludf.DUMMYFUNCTION("VALUE(SUBSTITUTE((INDEX(SPLIT(A6178,"",""),2)),""."","","",1))"),41.984058)</f>
        <v>41.984058</v>
      </c>
      <c r="R6178" s="14" t="b">
        <f t="shared" si="1"/>
        <v>0</v>
      </c>
      <c r="S6178" s="14" t="str">
        <f t="shared" si="2"/>
        <v>44.617797,41.984058</v>
      </c>
      <c r="T6178" s="12"/>
    </row>
    <row r="6179">
      <c r="A6179" s="146" t="s">
        <v>39697</v>
      </c>
      <c r="B6179" s="147" t="s">
        <v>39698</v>
      </c>
      <c r="C6179" s="147" t="s">
        <v>39699</v>
      </c>
      <c r="D6179" s="147" t="s">
        <v>33342</v>
      </c>
      <c r="E6179" s="148" t="s">
        <v>39700</v>
      </c>
      <c r="F6179" s="146" t="s">
        <v>12993</v>
      </c>
      <c r="G6179" s="146" t="s">
        <v>33344</v>
      </c>
      <c r="H6179" s="146"/>
      <c r="I6179" s="147"/>
      <c r="J6179" s="147" t="s">
        <v>18048</v>
      </c>
      <c r="K6179" s="147" t="s">
        <v>39701</v>
      </c>
      <c r="L6179" s="149" t="s">
        <v>39702</v>
      </c>
      <c r="M6179" s="147"/>
      <c r="N6179" s="12"/>
      <c r="O6179" s="12"/>
      <c r="P6179" s="13">
        <f>IFERROR(__xludf.DUMMYFUNCTION("VALUE(SUBSTITUTE((INDEX(SPLIT(A6179,"",""),1)),""."","","",1))"),44.053091)</f>
        <v>44.053091</v>
      </c>
      <c r="Q6179" s="13">
        <f>IFERROR(__xludf.DUMMYFUNCTION("VALUE(SUBSTITUTE((INDEX(SPLIT(A6179,"",""),2)),""."","","",1))"),42.993846)</f>
        <v>42.993846</v>
      </c>
      <c r="R6179" s="14" t="b">
        <f t="shared" si="1"/>
        <v>0</v>
      </c>
      <c r="S6179" s="14" t="str">
        <f t="shared" si="2"/>
        <v>44.053091,42.993846</v>
      </c>
      <c r="T6179" s="12"/>
    </row>
    <row r="6180">
      <c r="A6180" s="136" t="s">
        <v>39703</v>
      </c>
      <c r="B6180" s="137" t="s">
        <v>39704</v>
      </c>
      <c r="C6180" s="137" t="s">
        <v>39705</v>
      </c>
      <c r="D6180" s="137" t="s">
        <v>33342</v>
      </c>
      <c r="E6180" s="138" t="s">
        <v>39706</v>
      </c>
      <c r="F6180" s="136" t="s">
        <v>12993</v>
      </c>
      <c r="G6180" s="136" t="s">
        <v>33344</v>
      </c>
      <c r="H6180" s="136"/>
      <c r="I6180" s="137"/>
      <c r="J6180" s="137" t="s">
        <v>39707</v>
      </c>
      <c r="K6180" s="137" t="s">
        <v>39708</v>
      </c>
      <c r="L6180" s="137"/>
      <c r="M6180" s="137"/>
      <c r="N6180" s="12"/>
      <c r="O6180" s="12"/>
      <c r="P6180" s="13">
        <f>IFERROR(__xludf.DUMMYFUNCTION("VALUE(SUBSTITUTE((INDEX(SPLIT(A6180,"",""),1)),""."","","",1))"),44.043787)</f>
        <v>44.043787</v>
      </c>
      <c r="Q6180" s="13">
        <f>IFERROR(__xludf.DUMMYFUNCTION("VALUE(SUBSTITUTE((INDEX(SPLIT(A6180,"",""),2)),""."","","",1))"),43.02826)</f>
        <v>43.02826</v>
      </c>
      <c r="R6180" s="14" t="b">
        <f t="shared" si="1"/>
        <v>0</v>
      </c>
      <c r="S6180" s="14" t="str">
        <f t="shared" si="2"/>
        <v>44.043787,43.02826</v>
      </c>
      <c r="T6180" s="12"/>
    </row>
    <row r="6181">
      <c r="A6181" s="146" t="s">
        <v>39709</v>
      </c>
      <c r="B6181" s="147" t="s">
        <v>39710</v>
      </c>
      <c r="C6181" s="147" t="s">
        <v>39711</v>
      </c>
      <c r="D6181" s="147" t="s">
        <v>33342</v>
      </c>
      <c r="E6181" s="148" t="s">
        <v>39712</v>
      </c>
      <c r="F6181" s="146" t="s">
        <v>12993</v>
      </c>
      <c r="G6181" s="146" t="s">
        <v>33344</v>
      </c>
      <c r="H6181" s="146"/>
      <c r="I6181" s="147"/>
      <c r="J6181" s="147" t="s">
        <v>39713</v>
      </c>
      <c r="K6181" s="147" t="s">
        <v>39714</v>
      </c>
      <c r="L6181" s="149" t="s">
        <v>39715</v>
      </c>
      <c r="M6181" s="147"/>
      <c r="N6181" s="12"/>
      <c r="O6181" s="12"/>
      <c r="P6181" s="13">
        <f>IFERROR(__xludf.DUMMYFUNCTION("VALUE(SUBSTITUTE((INDEX(SPLIT(A6181,"",""),1)),""."","","",1))"),44.013467)</f>
        <v>44.013467</v>
      </c>
      <c r="Q6181" s="13">
        <f>IFERROR(__xludf.DUMMYFUNCTION("VALUE(SUBSTITUTE((INDEX(SPLIT(A6181,"",""),2)),""."","","",1))"),42.816842)</f>
        <v>42.816842</v>
      </c>
      <c r="R6181" s="14" t="b">
        <f t="shared" si="1"/>
        <v>0</v>
      </c>
      <c r="S6181" s="14" t="str">
        <f t="shared" si="2"/>
        <v>44.013467,42.816842</v>
      </c>
      <c r="T6181" s="12"/>
    </row>
    <row r="6182">
      <c r="A6182" s="142" t="s">
        <v>39716</v>
      </c>
      <c r="B6182" s="143" t="s">
        <v>39717</v>
      </c>
      <c r="C6182" s="143" t="s">
        <v>39718</v>
      </c>
      <c r="D6182" s="143" t="s">
        <v>33342</v>
      </c>
      <c r="E6182" s="144" t="s">
        <v>39719</v>
      </c>
      <c r="F6182" s="142" t="s">
        <v>12993</v>
      </c>
      <c r="G6182" s="142" t="s">
        <v>33344</v>
      </c>
      <c r="H6182" s="142"/>
      <c r="I6182" s="143"/>
      <c r="J6182" s="143" t="s">
        <v>39720</v>
      </c>
      <c r="K6182" s="143" t="s">
        <v>39721</v>
      </c>
      <c r="L6182" s="145" t="s">
        <v>39722</v>
      </c>
      <c r="M6182" s="143"/>
      <c r="N6182" s="12"/>
      <c r="O6182" s="12"/>
      <c r="P6182" s="13">
        <f>IFERROR(__xludf.DUMMYFUNCTION("VALUE(SUBSTITUTE((INDEX(SPLIT(A6182,"",""),1)),""."","","",1))"),45.040356)</f>
        <v>45.040356</v>
      </c>
      <c r="Q6182" s="13">
        <f>IFERROR(__xludf.DUMMYFUNCTION("VALUE(SUBSTITUTE((INDEX(SPLIT(A6182,"",""),2)),""."","","",1))"),41.95745)</f>
        <v>41.95745</v>
      </c>
      <c r="R6182" s="14" t="b">
        <f t="shared" si="1"/>
        <v>0</v>
      </c>
      <c r="S6182" s="14" t="str">
        <f t="shared" si="2"/>
        <v>45.040356,41.95745</v>
      </c>
      <c r="T6182" s="12"/>
    </row>
    <row r="6183">
      <c r="A6183" s="139" t="s">
        <v>39723</v>
      </c>
      <c r="B6183" s="140" t="s">
        <v>39724</v>
      </c>
      <c r="C6183" s="140" t="s">
        <v>39725</v>
      </c>
      <c r="D6183" s="140" t="s">
        <v>33342</v>
      </c>
      <c r="E6183" s="141" t="s">
        <v>39726</v>
      </c>
      <c r="F6183" s="139" t="s">
        <v>12993</v>
      </c>
      <c r="G6183" s="139" t="s">
        <v>33344</v>
      </c>
      <c r="H6183" s="139"/>
      <c r="I6183" s="140"/>
      <c r="J6183" s="140" t="s">
        <v>39727</v>
      </c>
      <c r="K6183" s="140" t="s">
        <v>39728</v>
      </c>
      <c r="L6183" s="140"/>
      <c r="M6183" s="140"/>
      <c r="N6183" s="12"/>
      <c r="O6183" s="12"/>
      <c r="P6183" s="13">
        <f>IFERROR(__xludf.DUMMYFUNCTION("VALUE(SUBSTITUTE((INDEX(SPLIT(A6183,"",""),1)),""."","","",1))"),45.033687)</f>
        <v>45.033687</v>
      </c>
      <c r="Q6183" s="13">
        <f>IFERROR(__xludf.DUMMYFUNCTION("VALUE(SUBSTITUTE((INDEX(SPLIT(A6183,"",""),2)),""."","","",1))"),42.02848)</f>
        <v>42.02848</v>
      </c>
      <c r="R6183" s="14" t="b">
        <f t="shared" si="1"/>
        <v>0</v>
      </c>
      <c r="S6183" s="14" t="str">
        <f t="shared" si="2"/>
        <v>45.033687,42.02848</v>
      </c>
      <c r="T6183" s="12"/>
    </row>
    <row r="6184">
      <c r="A6184" s="142" t="s">
        <v>39729</v>
      </c>
      <c r="B6184" s="143" t="s">
        <v>39730</v>
      </c>
      <c r="C6184" s="143" t="s">
        <v>39731</v>
      </c>
      <c r="D6184" s="143" t="s">
        <v>33342</v>
      </c>
      <c r="E6184" s="144" t="s">
        <v>39732</v>
      </c>
      <c r="F6184" s="142" t="s">
        <v>12993</v>
      </c>
      <c r="G6184" s="142" t="s">
        <v>33344</v>
      </c>
      <c r="H6184" s="142"/>
      <c r="I6184" s="143"/>
      <c r="J6184" s="143" t="s">
        <v>39733</v>
      </c>
      <c r="K6184" s="143" t="s">
        <v>39734</v>
      </c>
      <c r="L6184" s="145" t="s">
        <v>39735</v>
      </c>
      <c r="M6184" s="145" t="s">
        <v>39736</v>
      </c>
      <c r="N6184" s="12"/>
      <c r="O6184" s="12"/>
      <c r="P6184" s="13">
        <f>IFERROR(__xludf.DUMMYFUNCTION("VALUE(SUBSTITUTE((INDEX(SPLIT(A6184,"",""),1)),""."","","",1))"),45.042941)</f>
        <v>45.042941</v>
      </c>
      <c r="Q6184" s="13">
        <f>IFERROR(__xludf.DUMMYFUNCTION("VALUE(SUBSTITUTE((INDEX(SPLIT(A6184,"",""),2)),""."","","",1))"),41.996446)</f>
        <v>41.996446</v>
      </c>
      <c r="R6184" s="14" t="b">
        <f t="shared" si="1"/>
        <v>0</v>
      </c>
      <c r="S6184" s="14" t="str">
        <f t="shared" si="2"/>
        <v>45.042941,41.996446</v>
      </c>
      <c r="T6184" s="12"/>
    </row>
    <row r="6185">
      <c r="A6185" s="146" t="s">
        <v>39737</v>
      </c>
      <c r="B6185" s="147" t="s">
        <v>39738</v>
      </c>
      <c r="C6185" s="147" t="s">
        <v>39739</v>
      </c>
      <c r="D6185" s="147" t="s">
        <v>33342</v>
      </c>
      <c r="E6185" s="148" t="s">
        <v>39740</v>
      </c>
      <c r="F6185" s="146" t="s">
        <v>12993</v>
      </c>
      <c r="G6185" s="146" t="s">
        <v>33344</v>
      </c>
      <c r="H6185" s="146"/>
      <c r="I6185" s="147"/>
      <c r="J6185" s="147" t="s">
        <v>39741</v>
      </c>
      <c r="K6185" s="147" t="s">
        <v>39742</v>
      </c>
      <c r="L6185" s="149" t="s">
        <v>39743</v>
      </c>
      <c r="M6185" s="147"/>
      <c r="N6185" s="12"/>
      <c r="O6185" s="12"/>
      <c r="P6185" s="13">
        <f>IFERROR(__xludf.DUMMYFUNCTION("VALUE(SUBSTITUTE((INDEX(SPLIT(A6185,"",""),1)),""."","","",1))"),44.799388)</f>
        <v>44.799388</v>
      </c>
      <c r="Q6185" s="13">
        <f>IFERROR(__xludf.DUMMYFUNCTION("VALUE(SUBSTITUTE((INDEX(SPLIT(A6185,"",""),2)),""."","","",1))"),44.14501)</f>
        <v>44.14501</v>
      </c>
      <c r="R6185" s="14" t="b">
        <f t="shared" si="1"/>
        <v>0</v>
      </c>
      <c r="S6185" s="14" t="str">
        <f t="shared" si="2"/>
        <v>44.799388,44.14501</v>
      </c>
      <c r="T6185" s="12"/>
    </row>
    <row r="6186">
      <c r="A6186" s="136" t="s">
        <v>39744</v>
      </c>
      <c r="B6186" s="137" t="s">
        <v>39745</v>
      </c>
      <c r="C6186" s="137" t="s">
        <v>39746</v>
      </c>
      <c r="D6186" s="137" t="s">
        <v>33342</v>
      </c>
      <c r="E6186" s="138" t="s">
        <v>39747</v>
      </c>
      <c r="F6186" s="136" t="s">
        <v>12993</v>
      </c>
      <c r="G6186" s="136" t="s">
        <v>33344</v>
      </c>
      <c r="H6186" s="136"/>
      <c r="I6186" s="137"/>
      <c r="J6186" s="137" t="s">
        <v>39748</v>
      </c>
      <c r="K6186" s="137" t="s">
        <v>39749</v>
      </c>
      <c r="L6186" s="137"/>
      <c r="M6186" s="137"/>
      <c r="N6186" s="12"/>
      <c r="O6186" s="12"/>
      <c r="P6186" s="13">
        <f>IFERROR(__xludf.DUMMYFUNCTION("VALUE(SUBSTITUTE((INDEX(SPLIT(A6186,"",""),1)),""."","","",1))"),45.013816)</f>
        <v>45.013816</v>
      </c>
      <c r="Q6186" s="13">
        <f>IFERROR(__xludf.DUMMYFUNCTION("VALUE(SUBSTITUTE((INDEX(SPLIT(A6186,"",""),2)),""."","","",1))"),41.913855)</f>
        <v>41.913855</v>
      </c>
      <c r="R6186" s="14" t="b">
        <f t="shared" si="1"/>
        <v>0</v>
      </c>
      <c r="S6186" s="14" t="str">
        <f t="shared" si="2"/>
        <v>45.013816,41.913855</v>
      </c>
      <c r="T6186" s="12"/>
    </row>
    <row r="6187">
      <c r="A6187" s="139" t="s">
        <v>39750</v>
      </c>
      <c r="B6187" s="140" t="s">
        <v>16463</v>
      </c>
      <c r="C6187" s="140" t="s">
        <v>39751</v>
      </c>
      <c r="D6187" s="140" t="s">
        <v>33342</v>
      </c>
      <c r="E6187" s="141" t="s">
        <v>39752</v>
      </c>
      <c r="F6187" s="139" t="s">
        <v>12993</v>
      </c>
      <c r="G6187" s="139" t="s">
        <v>33344</v>
      </c>
      <c r="H6187" s="139"/>
      <c r="I6187" s="140"/>
      <c r="J6187" s="140" t="s">
        <v>39753</v>
      </c>
      <c r="K6187" s="140" t="s">
        <v>39754</v>
      </c>
      <c r="L6187" s="140"/>
      <c r="M6187" s="154" t="s">
        <v>39755</v>
      </c>
      <c r="N6187" s="12"/>
      <c r="O6187" s="12"/>
      <c r="P6187" s="13">
        <f>IFERROR(__xludf.DUMMYFUNCTION("VALUE(SUBSTITUTE((INDEX(SPLIT(A6187,"",""),1)),""."","","",1))"),44.993506)</f>
        <v>44.993506</v>
      </c>
      <c r="Q6187" s="13">
        <f>IFERROR(__xludf.DUMMYFUNCTION("VALUE(SUBSTITUTE((INDEX(SPLIT(A6187,"",""),2)),""."","","",1))"),41.942898)</f>
        <v>41.942898</v>
      </c>
      <c r="R6187" s="14" t="b">
        <f t="shared" si="1"/>
        <v>0</v>
      </c>
      <c r="S6187" s="14" t="str">
        <f t="shared" si="2"/>
        <v>44.993506,41.942898</v>
      </c>
      <c r="T6187" s="12"/>
    </row>
    <row r="6188">
      <c r="A6188" s="136" t="s">
        <v>39756</v>
      </c>
      <c r="B6188" s="137" t="s">
        <v>39757</v>
      </c>
      <c r="C6188" s="137" t="s">
        <v>39758</v>
      </c>
      <c r="D6188" s="137" t="s">
        <v>33342</v>
      </c>
      <c r="E6188" s="138" t="s">
        <v>39759</v>
      </c>
      <c r="F6188" s="136" t="s">
        <v>12993</v>
      </c>
      <c r="G6188" s="136" t="s">
        <v>33344</v>
      </c>
      <c r="H6188" s="136"/>
      <c r="I6188" s="137"/>
      <c r="J6188" s="137" t="s">
        <v>39760</v>
      </c>
      <c r="K6188" s="137" t="s">
        <v>39761</v>
      </c>
      <c r="L6188" s="137"/>
      <c r="M6188" s="137"/>
      <c r="N6188" s="12"/>
      <c r="O6188" s="12"/>
      <c r="P6188" s="13">
        <f>IFERROR(__xludf.DUMMYFUNCTION("VALUE(SUBSTITUTE((INDEX(SPLIT(A6188,"",""),1)),""."","","",1))"),45.095936)</f>
        <v>45.095936</v>
      </c>
      <c r="Q6188" s="13">
        <f>IFERROR(__xludf.DUMMYFUNCTION("VALUE(SUBSTITUTE((INDEX(SPLIT(A6188,"",""),2)),""."","","",1))"),41.959705)</f>
        <v>41.959705</v>
      </c>
      <c r="R6188" s="14" t="b">
        <f t="shared" si="1"/>
        <v>0</v>
      </c>
      <c r="S6188" s="14" t="str">
        <f t="shared" si="2"/>
        <v>45.095936,41.959705</v>
      </c>
      <c r="T6188" s="12"/>
    </row>
    <row r="6189">
      <c r="A6189" s="139" t="s">
        <v>16411</v>
      </c>
      <c r="B6189" s="140" t="s">
        <v>39762</v>
      </c>
      <c r="C6189" s="140" t="s">
        <v>39763</v>
      </c>
      <c r="D6189" s="140" t="s">
        <v>33342</v>
      </c>
      <c r="E6189" s="141" t="s">
        <v>39764</v>
      </c>
      <c r="F6189" s="139" t="s">
        <v>12993</v>
      </c>
      <c r="G6189" s="139" t="s">
        <v>33344</v>
      </c>
      <c r="H6189" s="139"/>
      <c r="I6189" s="140"/>
      <c r="J6189" s="140" t="s">
        <v>39765</v>
      </c>
      <c r="K6189" s="140" t="s">
        <v>39766</v>
      </c>
      <c r="L6189" s="140"/>
      <c r="M6189" s="154" t="s">
        <v>39767</v>
      </c>
      <c r="N6189" s="12"/>
      <c r="O6189" s="12"/>
      <c r="P6189" s="13">
        <f>IFERROR(__xludf.DUMMYFUNCTION("VALUE(SUBSTITUTE((INDEX(SPLIT(A6189,"",""),1)),""."","","",1))"),45.100434)</f>
        <v>45.100434</v>
      </c>
      <c r="Q6189" s="13">
        <f>IFERROR(__xludf.DUMMYFUNCTION("VALUE(SUBSTITUTE((INDEX(SPLIT(A6189,"",""),2)),""."","","",1))"),41.952339)</f>
        <v>41.952339</v>
      </c>
      <c r="R6189" s="14" t="b">
        <f t="shared" si="1"/>
        <v>0</v>
      </c>
      <c r="S6189" s="14" t="str">
        <f t="shared" si="2"/>
        <v>45.100434,41.952339</v>
      </c>
      <c r="T6189" s="12"/>
    </row>
    <row r="6190">
      <c r="A6190" s="136" t="s">
        <v>39768</v>
      </c>
      <c r="B6190" s="137" t="s">
        <v>39769</v>
      </c>
      <c r="C6190" s="137" t="s">
        <v>39770</v>
      </c>
      <c r="D6190" s="137" t="s">
        <v>33342</v>
      </c>
      <c r="E6190" s="138" t="s">
        <v>39771</v>
      </c>
      <c r="F6190" s="136" t="s">
        <v>12993</v>
      </c>
      <c r="G6190" s="136" t="s">
        <v>33344</v>
      </c>
      <c r="H6190" s="136"/>
      <c r="I6190" s="137"/>
      <c r="J6190" s="137" t="s">
        <v>39772</v>
      </c>
      <c r="K6190" s="137" t="s">
        <v>39773</v>
      </c>
      <c r="L6190" s="137"/>
      <c r="M6190" s="153" t="s">
        <v>39774</v>
      </c>
      <c r="N6190" s="12"/>
      <c r="O6190" s="12"/>
      <c r="P6190" s="13">
        <f>IFERROR(__xludf.DUMMYFUNCTION("VALUE(SUBSTITUTE((INDEX(SPLIT(A6190,"",""),1)),""."","","",1))"),45.054366)</f>
        <v>45.054366</v>
      </c>
      <c r="Q6190" s="13">
        <f>IFERROR(__xludf.DUMMYFUNCTION("VALUE(SUBSTITUTE((INDEX(SPLIT(A6190,"",""),2)),""."","","",1))"),41.912247)</f>
        <v>41.912247</v>
      </c>
      <c r="R6190" s="14" t="b">
        <f t="shared" si="1"/>
        <v>0</v>
      </c>
      <c r="S6190" s="14" t="str">
        <f t="shared" si="2"/>
        <v>45.054366,41.912247</v>
      </c>
      <c r="T6190" s="12"/>
    </row>
    <row r="6191">
      <c r="A6191" s="139" t="s">
        <v>39775</v>
      </c>
      <c r="B6191" s="140" t="s">
        <v>4400</v>
      </c>
      <c r="C6191" s="140" t="s">
        <v>39776</v>
      </c>
      <c r="D6191" s="140" t="s">
        <v>33342</v>
      </c>
      <c r="E6191" s="141" t="s">
        <v>39777</v>
      </c>
      <c r="F6191" s="139" t="s">
        <v>12993</v>
      </c>
      <c r="G6191" s="139" t="s">
        <v>33344</v>
      </c>
      <c r="H6191" s="139"/>
      <c r="I6191" s="140"/>
      <c r="J6191" s="140" t="s">
        <v>39778</v>
      </c>
      <c r="K6191" s="140" t="s">
        <v>39779</v>
      </c>
      <c r="L6191" s="140"/>
      <c r="M6191" s="140"/>
      <c r="N6191" s="12"/>
      <c r="O6191" s="12"/>
      <c r="P6191" s="13">
        <f>IFERROR(__xludf.DUMMYFUNCTION("VALUE(SUBSTITUTE((INDEX(SPLIT(A6191,"",""),1)),""."","","",1))"),45.101662)</f>
        <v>45.101662</v>
      </c>
      <c r="Q6191" s="13">
        <f>IFERROR(__xludf.DUMMYFUNCTION("VALUE(SUBSTITUTE((INDEX(SPLIT(A6191,"",""),2)),""."","","",1))"),41.972964)</f>
        <v>41.972964</v>
      </c>
      <c r="R6191" s="14" t="b">
        <f t="shared" si="1"/>
        <v>0</v>
      </c>
      <c r="S6191" s="14" t="str">
        <f t="shared" si="2"/>
        <v>45.101662,41.972964</v>
      </c>
      <c r="T6191" s="12"/>
    </row>
    <row r="6192">
      <c r="A6192" s="142" t="s">
        <v>39780</v>
      </c>
      <c r="B6192" s="143" t="s">
        <v>39781</v>
      </c>
      <c r="C6192" s="143" t="s">
        <v>39782</v>
      </c>
      <c r="D6192" s="143" t="s">
        <v>33342</v>
      </c>
      <c r="E6192" s="144" t="s">
        <v>39783</v>
      </c>
      <c r="F6192" s="142" t="s">
        <v>12993</v>
      </c>
      <c r="G6192" s="142" t="s">
        <v>33344</v>
      </c>
      <c r="H6192" s="142"/>
      <c r="I6192" s="143"/>
      <c r="J6192" s="143" t="s">
        <v>39784</v>
      </c>
      <c r="K6192" s="143" t="s">
        <v>39785</v>
      </c>
      <c r="L6192" s="145" t="s">
        <v>39786</v>
      </c>
      <c r="M6192" s="143"/>
      <c r="N6192" s="12"/>
      <c r="O6192" s="12"/>
      <c r="P6192" s="13">
        <f>IFERROR(__xludf.DUMMYFUNCTION("VALUE(SUBSTITUTE((INDEX(SPLIT(A6192,"",""),1)),""."","","",1))"),45.106039)</f>
        <v>45.106039</v>
      </c>
      <c r="Q6192" s="13">
        <f>IFERROR(__xludf.DUMMYFUNCTION("VALUE(SUBSTITUTE((INDEX(SPLIT(A6192,"",""),2)),""."","","",1))"),41.962068)</f>
        <v>41.962068</v>
      </c>
      <c r="R6192" s="14" t="b">
        <f t="shared" si="1"/>
        <v>0</v>
      </c>
      <c r="S6192" s="14" t="str">
        <f t="shared" si="2"/>
        <v>45.106039,41.962068</v>
      </c>
      <c r="T6192" s="12"/>
    </row>
    <row r="6193">
      <c r="A6193" s="146" t="s">
        <v>39787</v>
      </c>
      <c r="B6193" s="147" t="s">
        <v>3138</v>
      </c>
      <c r="C6193" s="147" t="s">
        <v>39788</v>
      </c>
      <c r="D6193" s="147" t="s">
        <v>33342</v>
      </c>
      <c r="E6193" s="148" t="s">
        <v>39789</v>
      </c>
      <c r="F6193" s="146" t="s">
        <v>12993</v>
      </c>
      <c r="G6193" s="146" t="s">
        <v>33344</v>
      </c>
      <c r="H6193" s="146"/>
      <c r="I6193" s="147"/>
      <c r="J6193" s="147" t="s">
        <v>39790</v>
      </c>
      <c r="K6193" s="147" t="s">
        <v>39791</v>
      </c>
      <c r="L6193" s="149" t="s">
        <v>39792</v>
      </c>
      <c r="M6193" s="147"/>
      <c r="N6193" s="12"/>
      <c r="O6193" s="12"/>
      <c r="P6193" s="13">
        <f>IFERROR(__xludf.DUMMYFUNCTION("VALUE(SUBSTITUTE((INDEX(SPLIT(A6193,"",""),1)),""."","","",1))"),45.063801)</f>
        <v>45.063801</v>
      </c>
      <c r="Q6193" s="13">
        <f>IFERROR(__xludf.DUMMYFUNCTION("VALUE(SUBSTITUTE((INDEX(SPLIT(A6193,"",""),2)),""."","","",1))"),41.936403)</f>
        <v>41.936403</v>
      </c>
      <c r="R6193" s="14" t="b">
        <f t="shared" si="1"/>
        <v>0</v>
      </c>
      <c r="S6193" s="14" t="str">
        <f t="shared" si="2"/>
        <v>45.063801,41.936403</v>
      </c>
      <c r="T6193" s="12"/>
    </row>
    <row r="6194">
      <c r="A6194" s="142" t="s">
        <v>39793</v>
      </c>
      <c r="B6194" s="143" t="s">
        <v>39794</v>
      </c>
      <c r="C6194" s="143" t="s">
        <v>39795</v>
      </c>
      <c r="D6194" s="143" t="s">
        <v>33342</v>
      </c>
      <c r="E6194" s="144" t="s">
        <v>39796</v>
      </c>
      <c r="F6194" s="142" t="s">
        <v>12993</v>
      </c>
      <c r="G6194" s="142" t="s">
        <v>33344</v>
      </c>
      <c r="H6194" s="142"/>
      <c r="I6194" s="143"/>
      <c r="J6194" s="143" t="s">
        <v>39797</v>
      </c>
      <c r="K6194" s="143" t="s">
        <v>39798</v>
      </c>
      <c r="L6194" s="145" t="s">
        <v>39786</v>
      </c>
      <c r="M6194" s="143"/>
      <c r="N6194" s="12"/>
      <c r="O6194" s="12"/>
      <c r="P6194" s="13">
        <f>IFERROR(__xludf.DUMMYFUNCTION("VALUE(SUBSTITUTE((INDEX(SPLIT(A6194,"",""),1)),""."","","",1))"),45.048807)</f>
        <v>45.048807</v>
      </c>
      <c r="Q6194" s="13">
        <f>IFERROR(__xludf.DUMMYFUNCTION("VALUE(SUBSTITUTE((INDEX(SPLIT(A6194,"",""),2)),""."","","",1))"),41.986888)</f>
        <v>41.986888</v>
      </c>
      <c r="R6194" s="14" t="b">
        <f t="shared" si="1"/>
        <v>0</v>
      </c>
      <c r="S6194" s="14" t="str">
        <f t="shared" si="2"/>
        <v>45.048807,41.986888</v>
      </c>
      <c r="T6194" s="12"/>
    </row>
    <row r="6195">
      <c r="A6195" s="146" t="s">
        <v>39799</v>
      </c>
      <c r="B6195" s="147" t="s">
        <v>39800</v>
      </c>
      <c r="C6195" s="147" t="s">
        <v>39801</v>
      </c>
      <c r="D6195" s="147" t="s">
        <v>33342</v>
      </c>
      <c r="E6195" s="148" t="s">
        <v>39802</v>
      </c>
      <c r="F6195" s="146" t="s">
        <v>12993</v>
      </c>
      <c r="G6195" s="146" t="s">
        <v>33344</v>
      </c>
      <c r="H6195" s="146"/>
      <c r="I6195" s="147"/>
      <c r="J6195" s="147" t="s">
        <v>39803</v>
      </c>
      <c r="K6195" s="147" t="s">
        <v>39804</v>
      </c>
      <c r="L6195" s="149" t="s">
        <v>39805</v>
      </c>
      <c r="M6195" s="147"/>
      <c r="N6195" s="12"/>
      <c r="O6195" s="12"/>
      <c r="P6195" s="13">
        <f>IFERROR(__xludf.DUMMYFUNCTION("VALUE(SUBSTITUTE((INDEX(SPLIT(A6195,"",""),1)),""."","","",1))"),45.030508)</f>
        <v>45.030508</v>
      </c>
      <c r="Q6195" s="13">
        <f>IFERROR(__xludf.DUMMYFUNCTION("VALUE(SUBSTITUTE((INDEX(SPLIT(A6195,"",""),2)),""."","","",1))"),41.96788)</f>
        <v>41.96788</v>
      </c>
      <c r="R6195" s="14" t="b">
        <f t="shared" si="1"/>
        <v>0</v>
      </c>
      <c r="S6195" s="14" t="str">
        <f t="shared" si="2"/>
        <v>45.030508,41.96788</v>
      </c>
      <c r="T6195" s="12"/>
    </row>
    <row r="6196">
      <c r="A6196" s="136" t="s">
        <v>39806</v>
      </c>
      <c r="B6196" s="137" t="s">
        <v>39807</v>
      </c>
      <c r="C6196" s="137" t="s">
        <v>39808</v>
      </c>
      <c r="D6196" s="137" t="s">
        <v>33342</v>
      </c>
      <c r="E6196" s="138" t="s">
        <v>39809</v>
      </c>
      <c r="F6196" s="136" t="s">
        <v>12993</v>
      </c>
      <c r="G6196" s="136" t="s">
        <v>33344</v>
      </c>
      <c r="H6196" s="136"/>
      <c r="I6196" s="137"/>
      <c r="J6196" s="137" t="s">
        <v>39810</v>
      </c>
      <c r="K6196" s="137" t="s">
        <v>39811</v>
      </c>
      <c r="L6196" s="137"/>
      <c r="M6196" s="153" t="s">
        <v>39812</v>
      </c>
      <c r="N6196" s="12"/>
      <c r="O6196" s="12"/>
      <c r="P6196" s="13">
        <f>IFERROR(__xludf.DUMMYFUNCTION("VALUE(SUBSTITUTE((INDEX(SPLIT(A6196,"",""),1)),""."","","",1))"),44.088137)</f>
        <v>44.088137</v>
      </c>
      <c r="Q6196" s="13">
        <f>IFERROR(__xludf.DUMMYFUNCTION("VALUE(SUBSTITUTE((INDEX(SPLIT(A6196,"",""),2)),""."","","",1))"),43.073122)</f>
        <v>43.073122</v>
      </c>
      <c r="R6196" s="14" t="b">
        <f t="shared" si="1"/>
        <v>0</v>
      </c>
      <c r="S6196" s="14" t="str">
        <f t="shared" si="2"/>
        <v>44.088137,43.073122</v>
      </c>
      <c r="T6196" s="12"/>
    </row>
    <row r="6197">
      <c r="A6197" s="139" t="s">
        <v>39813</v>
      </c>
      <c r="B6197" s="140" t="s">
        <v>2685</v>
      </c>
      <c r="C6197" s="140" t="s">
        <v>34974</v>
      </c>
      <c r="D6197" s="140" t="s">
        <v>33342</v>
      </c>
      <c r="E6197" s="141" t="s">
        <v>39814</v>
      </c>
      <c r="F6197" s="139" t="s">
        <v>9563</v>
      </c>
      <c r="G6197" s="139" t="s">
        <v>33344</v>
      </c>
      <c r="H6197" s="139"/>
      <c r="I6197" s="140"/>
      <c r="J6197" s="140" t="s">
        <v>39815</v>
      </c>
      <c r="K6197" s="140" t="s">
        <v>39816</v>
      </c>
      <c r="L6197" s="140"/>
      <c r="M6197" s="154" t="s">
        <v>39817</v>
      </c>
      <c r="N6197" s="12"/>
      <c r="O6197" s="12"/>
      <c r="P6197" s="13">
        <f>IFERROR(__xludf.DUMMYFUNCTION("VALUE(SUBSTITUTE((INDEX(SPLIT(A6197,"",""),1)),""."","","",1))"),51.378475)</f>
        <v>51.378475</v>
      </c>
      <c r="Q6197" s="13">
        <f>IFERROR(__xludf.DUMMYFUNCTION("VALUE(SUBSTITUTE((INDEX(SPLIT(A6197,"",""),2)),""."","","",1))"),42.117332)</f>
        <v>42.117332</v>
      </c>
      <c r="R6197" s="14" t="b">
        <f t="shared" si="1"/>
        <v>0</v>
      </c>
      <c r="S6197" s="14" t="str">
        <f t="shared" si="2"/>
        <v>51.378475,42.117332</v>
      </c>
      <c r="T6197" s="12"/>
    </row>
    <row r="6198">
      <c r="A6198" s="136" t="s">
        <v>39818</v>
      </c>
      <c r="B6198" s="137" t="s">
        <v>39819</v>
      </c>
      <c r="C6198" s="137" t="s">
        <v>39820</v>
      </c>
      <c r="D6198" s="137" t="s">
        <v>33342</v>
      </c>
      <c r="E6198" s="138" t="s">
        <v>39821</v>
      </c>
      <c r="F6198" s="136" t="s">
        <v>2057</v>
      </c>
      <c r="G6198" s="136" t="s">
        <v>33344</v>
      </c>
      <c r="H6198" s="136"/>
      <c r="I6198" s="137"/>
      <c r="J6198" s="137" t="s">
        <v>39822</v>
      </c>
      <c r="K6198" s="137" t="s">
        <v>39823</v>
      </c>
      <c r="L6198" s="137"/>
      <c r="M6198" s="153" t="s">
        <v>39824</v>
      </c>
      <c r="N6198" s="12"/>
      <c r="O6198" s="12"/>
      <c r="P6198" s="13">
        <f>IFERROR(__xludf.DUMMYFUNCTION("VALUE(SUBSTITUTE((INDEX(SPLIT(A6198,"",""),1)),""."","","",1))"),50.572022)</f>
        <v>50.572022</v>
      </c>
      <c r="Q6198" s="13">
        <f>IFERROR(__xludf.DUMMYFUNCTION("VALUE(SUBSTITUTE((INDEX(SPLIT(A6198,"",""),2)),""."","","",1))"),137.001929)</f>
        <v>137.001929</v>
      </c>
      <c r="R6198" s="14" t="b">
        <f t="shared" si="1"/>
        <v>0</v>
      </c>
      <c r="S6198" s="14" t="str">
        <f t="shared" si="2"/>
        <v>50.572022,137.001929</v>
      </c>
      <c r="T6198" s="12"/>
    </row>
    <row r="6199">
      <c r="A6199" s="146" t="s">
        <v>39825</v>
      </c>
      <c r="B6199" s="147" t="s">
        <v>39826</v>
      </c>
      <c r="C6199" s="147" t="s">
        <v>39827</v>
      </c>
      <c r="D6199" s="147" t="s">
        <v>33342</v>
      </c>
      <c r="E6199" s="148" t="s">
        <v>39828</v>
      </c>
      <c r="F6199" s="146" t="s">
        <v>2057</v>
      </c>
      <c r="G6199" s="146" t="s">
        <v>33344</v>
      </c>
      <c r="H6199" s="146"/>
      <c r="I6199" s="147"/>
      <c r="J6199" s="147" t="s">
        <v>39829</v>
      </c>
      <c r="K6199" s="147" t="s">
        <v>39830</v>
      </c>
      <c r="L6199" s="149" t="s">
        <v>39831</v>
      </c>
      <c r="M6199" s="147"/>
      <c r="N6199" s="12"/>
      <c r="O6199" s="12"/>
      <c r="P6199" s="13">
        <f>IFERROR(__xludf.DUMMYFUNCTION("VALUE(SUBSTITUTE((INDEX(SPLIT(A6199,"",""),1)),""."","","",1))"),50.543839)</f>
        <v>50.543839</v>
      </c>
      <c r="Q6199" s="13">
        <f>IFERROR(__xludf.DUMMYFUNCTION("VALUE(SUBSTITUTE((INDEX(SPLIT(A6199,"",""),2)),""."","","",1))"),137.008855)</f>
        <v>137.008855</v>
      </c>
      <c r="R6199" s="14" t="b">
        <f t="shared" si="1"/>
        <v>0</v>
      </c>
      <c r="S6199" s="14" t="str">
        <f t="shared" si="2"/>
        <v>50.543839,137.008855</v>
      </c>
      <c r="T6199" s="12"/>
    </row>
    <row r="6200">
      <c r="A6200" s="136" t="s">
        <v>39832</v>
      </c>
      <c r="B6200" s="137" t="s">
        <v>39833</v>
      </c>
      <c r="C6200" s="137" t="s">
        <v>39834</v>
      </c>
      <c r="D6200" s="137" t="s">
        <v>33342</v>
      </c>
      <c r="E6200" s="138" t="s">
        <v>39835</v>
      </c>
      <c r="F6200" s="136" t="s">
        <v>2057</v>
      </c>
      <c r="G6200" s="136" t="s">
        <v>33344</v>
      </c>
      <c r="H6200" s="136"/>
      <c r="I6200" s="137"/>
      <c r="J6200" s="137" t="s">
        <v>39836</v>
      </c>
      <c r="K6200" s="137" t="s">
        <v>39837</v>
      </c>
      <c r="L6200" s="137"/>
      <c r="M6200" s="153" t="s">
        <v>39838</v>
      </c>
      <c r="N6200" s="12"/>
      <c r="O6200" s="12"/>
      <c r="P6200" s="13">
        <f>IFERROR(__xludf.DUMMYFUNCTION("VALUE(SUBSTITUTE((INDEX(SPLIT(A6200,"",""),1)),""."","","",1))"),50.599731)</f>
        <v>50.599731</v>
      </c>
      <c r="Q6200" s="13">
        <f>IFERROR(__xludf.DUMMYFUNCTION("VALUE(SUBSTITUTE((INDEX(SPLIT(A6200,"",""),2)),""."","","",1))"),137.029427)</f>
        <v>137.029427</v>
      </c>
      <c r="R6200" s="14" t="b">
        <f t="shared" si="1"/>
        <v>0</v>
      </c>
      <c r="S6200" s="14" t="str">
        <f t="shared" si="2"/>
        <v>50.599731,137.029427</v>
      </c>
      <c r="T6200" s="12"/>
    </row>
    <row r="6201">
      <c r="A6201" s="139" t="s">
        <v>39839</v>
      </c>
      <c r="B6201" s="140" t="s">
        <v>39840</v>
      </c>
      <c r="C6201" s="140" t="s">
        <v>39841</v>
      </c>
      <c r="D6201" s="140" t="s">
        <v>33342</v>
      </c>
      <c r="E6201" s="141" t="s">
        <v>39842</v>
      </c>
      <c r="F6201" s="139" t="s">
        <v>2057</v>
      </c>
      <c r="G6201" s="139" t="s">
        <v>33344</v>
      </c>
      <c r="H6201" s="139"/>
      <c r="I6201" s="140"/>
      <c r="J6201" s="140" t="s">
        <v>39843</v>
      </c>
      <c r="K6201" s="140" t="s">
        <v>33844</v>
      </c>
      <c r="L6201" s="140"/>
      <c r="M6201" s="154" t="s">
        <v>39844</v>
      </c>
      <c r="N6201" s="12"/>
      <c r="O6201" s="12"/>
      <c r="P6201" s="13">
        <f>IFERROR(__xludf.DUMMYFUNCTION("VALUE(SUBSTITUTE((INDEX(SPLIT(A6201,"",""),1)),""."","","",1))"),49.126142)</f>
        <v>49.126142</v>
      </c>
      <c r="Q6201" s="13">
        <f>IFERROR(__xludf.DUMMYFUNCTION("VALUE(SUBSTITUTE((INDEX(SPLIT(A6201,"",""),2)),""."","","",1))"),140.315823)</f>
        <v>140.315823</v>
      </c>
      <c r="R6201" s="14" t="b">
        <f t="shared" si="1"/>
        <v>0</v>
      </c>
      <c r="S6201" s="14" t="str">
        <f t="shared" si="2"/>
        <v>49.126142,140.315823</v>
      </c>
      <c r="T6201" s="12"/>
    </row>
    <row r="6202">
      <c r="A6202" s="136" t="s">
        <v>39845</v>
      </c>
      <c r="B6202" s="137" t="s">
        <v>39846</v>
      </c>
      <c r="C6202" s="137" t="s">
        <v>39847</v>
      </c>
      <c r="D6202" s="137" t="s">
        <v>33342</v>
      </c>
      <c r="E6202" s="138" t="s">
        <v>39848</v>
      </c>
      <c r="F6202" s="136" t="s">
        <v>2057</v>
      </c>
      <c r="G6202" s="136" t="s">
        <v>33344</v>
      </c>
      <c r="H6202" s="136"/>
      <c r="I6202" s="137"/>
      <c r="J6202" s="137" t="s">
        <v>39849</v>
      </c>
      <c r="K6202" s="137" t="s">
        <v>39850</v>
      </c>
      <c r="L6202" s="137"/>
      <c r="M6202" s="137"/>
      <c r="N6202" s="12"/>
      <c r="O6202" s="12"/>
      <c r="P6202" s="13">
        <f>IFERROR(__xludf.DUMMYFUNCTION("VALUE(SUBSTITUTE((INDEX(SPLIT(A6202,"",""),1)),""."","","",1))"),48.371648)</f>
        <v>48.371648</v>
      </c>
      <c r="Q6202" s="13">
        <f>IFERROR(__xludf.DUMMYFUNCTION("VALUE(SUBSTITUTE((INDEX(SPLIT(A6202,"",""),2)),""."","","",1))"),135.128942)</f>
        <v>135.128942</v>
      </c>
      <c r="R6202" s="14" t="b">
        <f t="shared" si="1"/>
        <v>0</v>
      </c>
      <c r="S6202" s="14" t="str">
        <f t="shared" si="2"/>
        <v>48.371648,135.128942</v>
      </c>
      <c r="T6202" s="12"/>
    </row>
    <row r="6203">
      <c r="A6203" s="146" t="s">
        <v>39851</v>
      </c>
      <c r="B6203" s="147" t="s">
        <v>39852</v>
      </c>
      <c r="C6203" s="147" t="s">
        <v>39853</v>
      </c>
      <c r="D6203" s="147" t="s">
        <v>33342</v>
      </c>
      <c r="E6203" s="148" t="s">
        <v>39854</v>
      </c>
      <c r="F6203" s="146" t="s">
        <v>2057</v>
      </c>
      <c r="G6203" s="146" t="s">
        <v>33344</v>
      </c>
      <c r="H6203" s="146"/>
      <c r="I6203" s="147"/>
      <c r="J6203" s="147" t="s">
        <v>39855</v>
      </c>
      <c r="K6203" s="147" t="s">
        <v>33778</v>
      </c>
      <c r="L6203" s="149" t="s">
        <v>39856</v>
      </c>
      <c r="M6203" s="147"/>
      <c r="N6203" s="12"/>
      <c r="O6203" s="12"/>
      <c r="P6203" s="13">
        <f>IFERROR(__xludf.DUMMYFUNCTION("VALUE(SUBSTITUTE((INDEX(SPLIT(A6203,"",""),1)),""."","","",1))"),48.528731)</f>
        <v>48.528731</v>
      </c>
      <c r="Q6203" s="13">
        <f>IFERROR(__xludf.DUMMYFUNCTION("VALUE(SUBSTITUTE((INDEX(SPLIT(A6203,"",""),2)),""."","","",1))"),135.122222)</f>
        <v>135.122222</v>
      </c>
      <c r="R6203" s="14" t="b">
        <f t="shared" si="1"/>
        <v>0</v>
      </c>
      <c r="S6203" s="14" t="str">
        <f t="shared" si="2"/>
        <v>48.528731,135.122222</v>
      </c>
      <c r="T6203" s="12"/>
    </row>
    <row r="6204">
      <c r="A6204" s="136" t="s">
        <v>39857</v>
      </c>
      <c r="B6204" s="137" t="s">
        <v>39858</v>
      </c>
      <c r="C6204" s="137" t="s">
        <v>39859</v>
      </c>
      <c r="D6204" s="137" t="s">
        <v>33342</v>
      </c>
      <c r="E6204" s="138" t="s">
        <v>39860</v>
      </c>
      <c r="F6204" s="136" t="s">
        <v>2057</v>
      </c>
      <c r="G6204" s="136" t="s">
        <v>33344</v>
      </c>
      <c r="H6204" s="136"/>
      <c r="I6204" s="137"/>
      <c r="J6204" s="137" t="s">
        <v>39861</v>
      </c>
      <c r="K6204" s="137" t="s">
        <v>39862</v>
      </c>
      <c r="L6204" s="137"/>
      <c r="M6204" s="137"/>
      <c r="N6204" s="12"/>
      <c r="O6204" s="12"/>
      <c r="P6204" s="13">
        <f>IFERROR(__xludf.DUMMYFUNCTION("VALUE(SUBSTITUTE((INDEX(SPLIT(A6204,"",""),1)),""."","","",1))"),48.551787)</f>
        <v>48.551787</v>
      </c>
      <c r="Q6204" s="13">
        <f>IFERROR(__xludf.DUMMYFUNCTION("VALUE(SUBSTITUTE((INDEX(SPLIT(A6204,"",""),2)),""."","","",1))"),135.053304)</f>
        <v>135.053304</v>
      </c>
      <c r="R6204" s="14" t="b">
        <f t="shared" si="1"/>
        <v>0</v>
      </c>
      <c r="S6204" s="14" t="str">
        <f t="shared" si="2"/>
        <v>48.551787,135.053304</v>
      </c>
      <c r="T6204" s="12"/>
    </row>
    <row r="6205">
      <c r="A6205" s="139" t="s">
        <v>39863</v>
      </c>
      <c r="B6205" s="140" t="s">
        <v>7187</v>
      </c>
      <c r="C6205" s="140" t="s">
        <v>39864</v>
      </c>
      <c r="D6205" s="140" t="s">
        <v>33342</v>
      </c>
      <c r="E6205" s="141" t="s">
        <v>39865</v>
      </c>
      <c r="F6205" s="139" t="s">
        <v>2057</v>
      </c>
      <c r="G6205" s="139" t="s">
        <v>33344</v>
      </c>
      <c r="H6205" s="139"/>
      <c r="I6205" s="140"/>
      <c r="J6205" s="140" t="s">
        <v>39866</v>
      </c>
      <c r="K6205" s="140" t="s">
        <v>39867</v>
      </c>
      <c r="L6205" s="140"/>
      <c r="M6205" s="140"/>
      <c r="N6205" s="12"/>
      <c r="O6205" s="12"/>
      <c r="P6205" s="13">
        <f>IFERROR(__xludf.DUMMYFUNCTION("VALUE(SUBSTITUTE((INDEX(SPLIT(A6205,"",""),1)),""."","","",1))"),48.478903)</f>
        <v>48.478903</v>
      </c>
      <c r="Q6205" s="13">
        <f>IFERROR(__xludf.DUMMYFUNCTION("VALUE(SUBSTITUTE((INDEX(SPLIT(A6205,"",""),2)),""."","","",1))"),135.065144)</f>
        <v>135.065144</v>
      </c>
      <c r="R6205" s="14" t="b">
        <f t="shared" si="1"/>
        <v>0</v>
      </c>
      <c r="S6205" s="14" t="str">
        <f t="shared" si="2"/>
        <v>48.478903,135.065144</v>
      </c>
      <c r="T6205" s="12"/>
    </row>
    <row r="6206">
      <c r="A6206" s="136" t="s">
        <v>39868</v>
      </c>
      <c r="B6206" s="137" t="s">
        <v>39869</v>
      </c>
      <c r="C6206" s="137" t="s">
        <v>39870</v>
      </c>
      <c r="D6206" s="137" t="s">
        <v>33342</v>
      </c>
      <c r="E6206" s="138" t="s">
        <v>39871</v>
      </c>
      <c r="F6206" s="136" t="s">
        <v>2057</v>
      </c>
      <c r="G6206" s="136" t="s">
        <v>33344</v>
      </c>
      <c r="H6206" s="136"/>
      <c r="I6206" s="137"/>
      <c r="J6206" s="137" t="s">
        <v>39872</v>
      </c>
      <c r="K6206" s="137" t="s">
        <v>39873</v>
      </c>
      <c r="L6206" s="137"/>
      <c r="M6206" s="153" t="s">
        <v>39874</v>
      </c>
      <c r="N6206" s="12"/>
      <c r="O6206" s="12"/>
      <c r="P6206" s="13">
        <f>IFERROR(__xludf.DUMMYFUNCTION("VALUE(SUBSTITUTE((INDEX(SPLIT(A6206,"",""),1)),""."","","",1))"),48.474549)</f>
        <v>48.474549</v>
      </c>
      <c r="Q6206" s="13">
        <f>IFERROR(__xludf.DUMMYFUNCTION("VALUE(SUBSTITUTE((INDEX(SPLIT(A6206,"",""),2)),""."","","",1))"),135.066204)</f>
        <v>135.066204</v>
      </c>
      <c r="R6206" s="14" t="b">
        <f t="shared" si="1"/>
        <v>0</v>
      </c>
      <c r="S6206" s="14" t="str">
        <f t="shared" si="2"/>
        <v>48.474549,135.066204</v>
      </c>
      <c r="T6206" s="12"/>
    </row>
    <row r="6207">
      <c r="A6207" s="146" t="s">
        <v>39875</v>
      </c>
      <c r="B6207" s="147" t="s">
        <v>39876</v>
      </c>
      <c r="C6207" s="147" t="s">
        <v>39877</v>
      </c>
      <c r="D6207" s="147" t="s">
        <v>33342</v>
      </c>
      <c r="E6207" s="148" t="s">
        <v>39878</v>
      </c>
      <c r="F6207" s="146" t="s">
        <v>2057</v>
      </c>
      <c r="G6207" s="146" t="s">
        <v>33344</v>
      </c>
      <c r="H6207" s="146"/>
      <c r="I6207" s="147"/>
      <c r="J6207" s="147" t="s">
        <v>39879</v>
      </c>
      <c r="K6207" s="147" t="s">
        <v>39880</v>
      </c>
      <c r="L6207" s="149" t="s">
        <v>39881</v>
      </c>
      <c r="M6207" s="147"/>
      <c r="N6207" s="12"/>
      <c r="O6207" s="12"/>
      <c r="P6207" s="13">
        <f>IFERROR(__xludf.DUMMYFUNCTION("VALUE(SUBSTITUTE((INDEX(SPLIT(A6207,"",""),1)),""."","","",1))"),48.487814)</f>
        <v>48.487814</v>
      </c>
      <c r="Q6207" s="13">
        <f>IFERROR(__xludf.DUMMYFUNCTION("VALUE(SUBSTITUTE((INDEX(SPLIT(A6207,"",""),2)),""."","","",1))"),135.115458)</f>
        <v>135.115458</v>
      </c>
      <c r="R6207" s="14" t="b">
        <f t="shared" si="1"/>
        <v>0</v>
      </c>
      <c r="S6207" s="14" t="str">
        <f t="shared" si="2"/>
        <v>48.487814,135.115458</v>
      </c>
      <c r="T6207" s="12"/>
    </row>
    <row r="6208">
      <c r="A6208" s="136" t="s">
        <v>39882</v>
      </c>
      <c r="B6208" s="137" t="s">
        <v>39883</v>
      </c>
      <c r="C6208" s="137" t="s">
        <v>39884</v>
      </c>
      <c r="D6208" s="137" t="s">
        <v>33342</v>
      </c>
      <c r="E6208" s="138" t="s">
        <v>39885</v>
      </c>
      <c r="F6208" s="136" t="s">
        <v>2057</v>
      </c>
      <c r="G6208" s="136" t="s">
        <v>33344</v>
      </c>
      <c r="H6208" s="136"/>
      <c r="I6208" s="137"/>
      <c r="J6208" s="137" t="s">
        <v>39886</v>
      </c>
      <c r="K6208" s="137" t="s">
        <v>39873</v>
      </c>
      <c r="L6208" s="137"/>
      <c r="M6208" s="137"/>
      <c r="N6208" s="12"/>
      <c r="O6208" s="12"/>
      <c r="P6208" s="13">
        <f>IFERROR(__xludf.DUMMYFUNCTION("VALUE(SUBSTITUTE((INDEX(SPLIT(A6208,"",""),1)),""."","","",1))"),48.429737)</f>
        <v>48.429737</v>
      </c>
      <c r="Q6208" s="13">
        <f>IFERROR(__xludf.DUMMYFUNCTION("VALUE(SUBSTITUTE((INDEX(SPLIT(A6208,"",""),2)),""."","","",1))"),135.162692)</f>
        <v>135.162692</v>
      </c>
      <c r="R6208" s="14" t="b">
        <f t="shared" si="1"/>
        <v>0</v>
      </c>
      <c r="S6208" s="14" t="str">
        <f t="shared" si="2"/>
        <v>48.429737,135.162692</v>
      </c>
      <c r="T6208" s="12"/>
    </row>
    <row r="6209">
      <c r="A6209" s="146" t="s">
        <v>39887</v>
      </c>
      <c r="B6209" s="147" t="s">
        <v>39888</v>
      </c>
      <c r="C6209" s="147" t="s">
        <v>39889</v>
      </c>
      <c r="D6209" s="147" t="s">
        <v>33342</v>
      </c>
      <c r="E6209" s="148" t="s">
        <v>39890</v>
      </c>
      <c r="F6209" s="146" t="s">
        <v>2057</v>
      </c>
      <c r="G6209" s="146" t="s">
        <v>33344</v>
      </c>
      <c r="H6209" s="146"/>
      <c r="I6209" s="147"/>
      <c r="J6209" s="147" t="s">
        <v>39891</v>
      </c>
      <c r="K6209" s="147" t="s">
        <v>39892</v>
      </c>
      <c r="L6209" s="149" t="s">
        <v>39893</v>
      </c>
      <c r="M6209" s="147"/>
      <c r="N6209" s="12"/>
      <c r="O6209" s="12"/>
      <c r="P6209" s="13">
        <f>IFERROR(__xludf.DUMMYFUNCTION("VALUE(SUBSTITUTE((INDEX(SPLIT(A6209,"",""),1)),""."","","",1))"),48.531404)</f>
        <v>48.531404</v>
      </c>
      <c r="Q6209" s="13">
        <f>IFERROR(__xludf.DUMMYFUNCTION("VALUE(SUBSTITUTE((INDEX(SPLIT(A6209,"",""),2)),""."","","",1))"),135.032005)</f>
        <v>135.032005</v>
      </c>
      <c r="R6209" s="14" t="b">
        <f t="shared" si="1"/>
        <v>0</v>
      </c>
      <c r="S6209" s="14" t="str">
        <f t="shared" si="2"/>
        <v>48.531404,135.032005</v>
      </c>
      <c r="T6209" s="12"/>
    </row>
    <row r="6210">
      <c r="A6210" s="136" t="s">
        <v>39894</v>
      </c>
      <c r="B6210" s="137" t="s">
        <v>39895</v>
      </c>
      <c r="C6210" s="137" t="s">
        <v>39896</v>
      </c>
      <c r="D6210" s="137" t="s">
        <v>33342</v>
      </c>
      <c r="E6210" s="138" t="s">
        <v>39897</v>
      </c>
      <c r="F6210" s="136" t="s">
        <v>2057</v>
      </c>
      <c r="G6210" s="136" t="s">
        <v>33344</v>
      </c>
      <c r="H6210" s="136"/>
      <c r="I6210" s="137"/>
      <c r="J6210" s="137" t="s">
        <v>39898</v>
      </c>
      <c r="K6210" s="137" t="s">
        <v>39899</v>
      </c>
      <c r="L6210" s="137"/>
      <c r="M6210" s="137"/>
      <c r="N6210" s="12"/>
      <c r="O6210" s="12"/>
      <c r="P6210" s="13">
        <f>IFERROR(__xludf.DUMMYFUNCTION("VALUE(SUBSTITUTE((INDEX(SPLIT(A6210,"",""),1)),""."","","",1))"),48.565156)</f>
        <v>48.565156</v>
      </c>
      <c r="Q6210" s="13">
        <f>IFERROR(__xludf.DUMMYFUNCTION("VALUE(SUBSTITUTE((INDEX(SPLIT(A6210,"",""),2)),""."","","",1))"),135.024082)</f>
        <v>135.024082</v>
      </c>
      <c r="R6210" s="14" t="b">
        <f t="shared" si="1"/>
        <v>0</v>
      </c>
      <c r="S6210" s="14" t="str">
        <f t="shared" si="2"/>
        <v>48.565156,135.024082</v>
      </c>
      <c r="T6210" s="12"/>
    </row>
    <row r="6211">
      <c r="A6211" s="139" t="s">
        <v>39900</v>
      </c>
      <c r="B6211" s="140" t="s">
        <v>39901</v>
      </c>
      <c r="C6211" s="140" t="s">
        <v>39902</v>
      </c>
      <c r="D6211" s="140" t="s">
        <v>33342</v>
      </c>
      <c r="E6211" s="141" t="s">
        <v>39903</v>
      </c>
      <c r="F6211" s="139" t="s">
        <v>2057</v>
      </c>
      <c r="G6211" s="139" t="s">
        <v>33344</v>
      </c>
      <c r="H6211" s="139"/>
      <c r="I6211" s="140"/>
      <c r="J6211" s="140" t="s">
        <v>39904</v>
      </c>
      <c r="K6211" s="140" t="s">
        <v>39905</v>
      </c>
      <c r="L6211" s="140"/>
      <c r="M6211" s="140"/>
      <c r="N6211" s="12"/>
      <c r="O6211" s="12"/>
      <c r="P6211" s="13">
        <f>IFERROR(__xludf.DUMMYFUNCTION("VALUE(SUBSTITUTE((INDEX(SPLIT(A6211,"",""),1)),""."","","",1))"),48.535193)</f>
        <v>48.535193</v>
      </c>
      <c r="Q6211" s="13">
        <f>IFERROR(__xludf.DUMMYFUNCTION("VALUE(SUBSTITUTE((INDEX(SPLIT(A6211,"",""),2)),""."","","",1))"),135.041509)</f>
        <v>135.041509</v>
      </c>
      <c r="R6211" s="14" t="b">
        <f t="shared" si="1"/>
        <v>0</v>
      </c>
      <c r="S6211" s="14" t="str">
        <f t="shared" si="2"/>
        <v>48.535193,135.041509</v>
      </c>
      <c r="T6211" s="12"/>
    </row>
    <row r="6212">
      <c r="A6212" s="136" t="s">
        <v>39906</v>
      </c>
      <c r="B6212" s="137" t="s">
        <v>39907</v>
      </c>
      <c r="C6212" s="137" t="s">
        <v>39908</v>
      </c>
      <c r="D6212" s="137" t="s">
        <v>33342</v>
      </c>
      <c r="E6212" s="138" t="s">
        <v>39909</v>
      </c>
      <c r="F6212" s="136" t="s">
        <v>2057</v>
      </c>
      <c r="G6212" s="136" t="s">
        <v>33344</v>
      </c>
      <c r="H6212" s="136"/>
      <c r="I6212" s="137"/>
      <c r="J6212" s="137" t="s">
        <v>39910</v>
      </c>
      <c r="K6212" s="137" t="s">
        <v>39905</v>
      </c>
      <c r="L6212" s="137"/>
      <c r="M6212" s="137"/>
      <c r="N6212" s="12"/>
      <c r="O6212" s="12"/>
      <c r="P6212" s="13">
        <f>IFERROR(__xludf.DUMMYFUNCTION("VALUE(SUBSTITUTE((INDEX(SPLIT(A6212,"",""),1)),""."","","",1))"),48.429791)</f>
        <v>48.429791</v>
      </c>
      <c r="Q6212" s="13">
        <f>IFERROR(__xludf.DUMMYFUNCTION("VALUE(SUBSTITUTE((INDEX(SPLIT(A6212,"",""),2)),""."","","",1))"),135.112152)</f>
        <v>135.112152</v>
      </c>
      <c r="R6212" s="14" t="b">
        <f t="shared" si="1"/>
        <v>0</v>
      </c>
      <c r="S6212" s="14" t="str">
        <f t="shared" si="2"/>
        <v>48.429791,135.112152</v>
      </c>
      <c r="T6212" s="12"/>
    </row>
    <row r="6213">
      <c r="A6213" s="146" t="s">
        <v>2165</v>
      </c>
      <c r="B6213" s="147" t="s">
        <v>39911</v>
      </c>
      <c r="C6213" s="147" t="s">
        <v>39912</v>
      </c>
      <c r="D6213" s="147" t="s">
        <v>33342</v>
      </c>
      <c r="E6213" s="148" t="s">
        <v>39913</v>
      </c>
      <c r="F6213" s="146" t="s">
        <v>2057</v>
      </c>
      <c r="G6213" s="146" t="s">
        <v>33344</v>
      </c>
      <c r="H6213" s="146"/>
      <c r="I6213" s="147"/>
      <c r="J6213" s="147" t="s">
        <v>39914</v>
      </c>
      <c r="K6213" s="147" t="s">
        <v>39915</v>
      </c>
      <c r="L6213" s="149" t="s">
        <v>39916</v>
      </c>
      <c r="M6213" s="149" t="s">
        <v>39917</v>
      </c>
      <c r="N6213" s="12"/>
      <c r="O6213" s="12"/>
      <c r="P6213" s="13">
        <f>IFERROR(__xludf.DUMMYFUNCTION("VALUE(SUBSTITUTE((INDEX(SPLIT(A6213,"",""),1)),""."","","",1))"),48.374371)</f>
        <v>48.374371</v>
      </c>
      <c r="Q6213" s="13">
        <f>IFERROR(__xludf.DUMMYFUNCTION("VALUE(SUBSTITUTE((INDEX(SPLIT(A6213,"",""),2)),""."","","",1))"),135.100546)</f>
        <v>135.100546</v>
      </c>
      <c r="R6213" s="14" t="b">
        <f t="shared" si="1"/>
        <v>0</v>
      </c>
      <c r="S6213" s="14" t="str">
        <f t="shared" si="2"/>
        <v>48.374371,135.100546</v>
      </c>
      <c r="T6213" s="12"/>
    </row>
    <row r="6214">
      <c r="A6214" s="142" t="s">
        <v>39918</v>
      </c>
      <c r="B6214" s="143" t="s">
        <v>39919</v>
      </c>
      <c r="C6214" s="143" t="s">
        <v>39920</v>
      </c>
      <c r="D6214" s="143" t="s">
        <v>33342</v>
      </c>
      <c r="E6214" s="144" t="s">
        <v>39921</v>
      </c>
      <c r="F6214" s="142" t="s">
        <v>2057</v>
      </c>
      <c r="G6214" s="142" t="s">
        <v>33344</v>
      </c>
      <c r="H6214" s="142"/>
      <c r="I6214" s="143"/>
      <c r="J6214" s="143" t="s">
        <v>39922</v>
      </c>
      <c r="K6214" s="143" t="s">
        <v>39923</v>
      </c>
      <c r="L6214" s="145" t="s">
        <v>39924</v>
      </c>
      <c r="M6214" s="145" t="s">
        <v>39925</v>
      </c>
      <c r="N6214" s="12"/>
      <c r="O6214" s="12"/>
      <c r="P6214" s="13">
        <f>IFERROR(__xludf.DUMMYFUNCTION("VALUE(SUBSTITUTE((INDEX(SPLIT(A6214,"",""),1)),""."","","",1))"),48.403043)</f>
        <v>48.403043</v>
      </c>
      <c r="Q6214" s="13">
        <f>IFERROR(__xludf.DUMMYFUNCTION("VALUE(SUBSTITUTE((INDEX(SPLIT(A6214,"",""),2)),""."","","",1))"),135.130065)</f>
        <v>135.130065</v>
      </c>
      <c r="R6214" s="14" t="b">
        <f t="shared" si="1"/>
        <v>0</v>
      </c>
      <c r="S6214" s="14" t="str">
        <f t="shared" si="2"/>
        <v>48.403043,135.130065</v>
      </c>
      <c r="T6214" s="12"/>
    </row>
    <row r="6215">
      <c r="A6215" s="139" t="s">
        <v>39926</v>
      </c>
      <c r="B6215" s="140" t="s">
        <v>39927</v>
      </c>
      <c r="C6215" s="140" t="s">
        <v>39928</v>
      </c>
      <c r="D6215" s="140" t="s">
        <v>33342</v>
      </c>
      <c r="E6215" s="141" t="s">
        <v>39929</v>
      </c>
      <c r="F6215" s="139" t="s">
        <v>2057</v>
      </c>
      <c r="G6215" s="139" t="s">
        <v>33344</v>
      </c>
      <c r="H6215" s="139"/>
      <c r="I6215" s="140"/>
      <c r="J6215" s="140" t="s">
        <v>39930</v>
      </c>
      <c r="K6215" s="140" t="s">
        <v>39931</v>
      </c>
      <c r="L6215" s="140"/>
      <c r="M6215" s="140"/>
      <c r="N6215" s="12"/>
      <c r="O6215" s="12"/>
      <c r="P6215" s="13">
        <f>IFERROR(__xludf.DUMMYFUNCTION("VALUE(SUBSTITUTE((INDEX(SPLIT(A6215,"",""),1)),""."","","",1))"),48.531148)</f>
        <v>48.531148</v>
      </c>
      <c r="Q6215" s="13">
        <f>IFERROR(__xludf.DUMMYFUNCTION("VALUE(SUBSTITUTE((INDEX(SPLIT(A6215,"",""),2)),""."","","",1))"),135.163069)</f>
        <v>135.163069</v>
      </c>
      <c r="R6215" s="14" t="b">
        <f t="shared" si="1"/>
        <v>0</v>
      </c>
      <c r="S6215" s="14" t="str">
        <f t="shared" si="2"/>
        <v>48.531148,135.163069</v>
      </c>
      <c r="T6215" s="12"/>
    </row>
    <row r="6216">
      <c r="A6216" s="136" t="s">
        <v>39932</v>
      </c>
      <c r="B6216" s="137" t="s">
        <v>39933</v>
      </c>
      <c r="C6216" s="137" t="s">
        <v>39934</v>
      </c>
      <c r="D6216" s="137" t="s">
        <v>33342</v>
      </c>
      <c r="E6216" s="138" t="s">
        <v>39935</v>
      </c>
      <c r="F6216" s="136" t="s">
        <v>2057</v>
      </c>
      <c r="G6216" s="136" t="s">
        <v>33344</v>
      </c>
      <c r="H6216" s="136"/>
      <c r="I6216" s="137"/>
      <c r="J6216" s="137" t="s">
        <v>39936</v>
      </c>
      <c r="K6216" s="137" t="s">
        <v>39937</v>
      </c>
      <c r="L6216" s="137"/>
      <c r="M6216" s="153" t="s">
        <v>39938</v>
      </c>
      <c r="N6216" s="12"/>
      <c r="O6216" s="12"/>
      <c r="P6216" s="13">
        <f>IFERROR(__xludf.DUMMYFUNCTION("VALUE(SUBSTITUTE((INDEX(SPLIT(A6216,"",""),1)),""."","","",1))"),48.522788)</f>
        <v>48.522788</v>
      </c>
      <c r="Q6216" s="13">
        <f>IFERROR(__xludf.DUMMYFUNCTION("VALUE(SUBSTITUTE((INDEX(SPLIT(A6216,"",""),2)),""."","","",1))"),135.113176)</f>
        <v>135.113176</v>
      </c>
      <c r="R6216" s="14" t="b">
        <f t="shared" si="1"/>
        <v>0</v>
      </c>
      <c r="S6216" s="14" t="str">
        <f t="shared" si="2"/>
        <v>48.522788,135.113176</v>
      </c>
      <c r="T6216" s="12"/>
    </row>
    <row r="6217">
      <c r="A6217" s="146" t="s">
        <v>39939</v>
      </c>
      <c r="B6217" s="147" t="s">
        <v>39940</v>
      </c>
      <c r="C6217" s="147" t="s">
        <v>39941</v>
      </c>
      <c r="D6217" s="147" t="s">
        <v>33342</v>
      </c>
      <c r="E6217" s="148" t="s">
        <v>39942</v>
      </c>
      <c r="F6217" s="146" t="s">
        <v>2057</v>
      </c>
      <c r="G6217" s="146" t="s">
        <v>33344</v>
      </c>
      <c r="H6217" s="146"/>
      <c r="I6217" s="147"/>
      <c r="J6217" s="147" t="s">
        <v>39943</v>
      </c>
      <c r="K6217" s="147" t="s">
        <v>39944</v>
      </c>
      <c r="L6217" s="149" t="s">
        <v>39945</v>
      </c>
      <c r="M6217" s="147"/>
      <c r="N6217" s="12"/>
      <c r="O6217" s="12"/>
      <c r="P6217" s="13">
        <f>IFERROR(__xludf.DUMMYFUNCTION("VALUE(SUBSTITUTE((INDEX(SPLIT(A6217,"",""),1)),""."","","",1))"),48.434944)</f>
        <v>48.434944</v>
      </c>
      <c r="Q6217" s="13">
        <f>IFERROR(__xludf.DUMMYFUNCTION("VALUE(SUBSTITUTE((INDEX(SPLIT(A6217,"",""),2)),""."","","",1))"),135.155604)</f>
        <v>135.155604</v>
      </c>
      <c r="R6217" s="14" t="b">
        <f t="shared" si="1"/>
        <v>0</v>
      </c>
      <c r="S6217" s="14" t="str">
        <f t="shared" si="2"/>
        <v>48.434944,135.155604</v>
      </c>
      <c r="T6217" s="12"/>
    </row>
    <row r="6218">
      <c r="A6218" s="136" t="s">
        <v>39946</v>
      </c>
      <c r="B6218" s="137" t="s">
        <v>34362</v>
      </c>
      <c r="C6218" s="137" t="s">
        <v>34363</v>
      </c>
      <c r="D6218" s="137" t="s">
        <v>33342</v>
      </c>
      <c r="E6218" s="138" t="s">
        <v>39947</v>
      </c>
      <c r="F6218" s="136" t="s">
        <v>2057</v>
      </c>
      <c r="G6218" s="136" t="s">
        <v>33344</v>
      </c>
      <c r="H6218" s="136"/>
      <c r="I6218" s="137"/>
      <c r="J6218" s="137" t="s">
        <v>39948</v>
      </c>
      <c r="K6218" s="137" t="s">
        <v>39949</v>
      </c>
      <c r="L6218" s="137"/>
      <c r="M6218" s="153" t="s">
        <v>39950</v>
      </c>
      <c r="N6218" s="12"/>
      <c r="O6218" s="12"/>
      <c r="P6218" s="13">
        <f>IFERROR(__xludf.DUMMYFUNCTION("VALUE(SUBSTITUTE((INDEX(SPLIT(A6218,"",""),1)),""."","","",1))"),48.460696)</f>
        <v>48.460696</v>
      </c>
      <c r="Q6218" s="13">
        <f>IFERROR(__xludf.DUMMYFUNCTION("VALUE(SUBSTITUTE((INDEX(SPLIT(A6218,"",""),2)),""."","","",1))"),135.133002)</f>
        <v>135.133002</v>
      </c>
      <c r="R6218" s="14" t="b">
        <f t="shared" si="1"/>
        <v>0</v>
      </c>
      <c r="S6218" s="14" t="str">
        <f t="shared" si="2"/>
        <v>48.460696,135.133002</v>
      </c>
      <c r="T6218" s="12"/>
    </row>
    <row r="6219">
      <c r="A6219" s="139" t="s">
        <v>39951</v>
      </c>
      <c r="B6219" s="140" t="s">
        <v>39952</v>
      </c>
      <c r="C6219" s="140" t="s">
        <v>39953</v>
      </c>
      <c r="D6219" s="140" t="s">
        <v>33342</v>
      </c>
      <c r="E6219" s="141" t="s">
        <v>39954</v>
      </c>
      <c r="F6219" s="139" t="s">
        <v>2057</v>
      </c>
      <c r="G6219" s="139" t="s">
        <v>33344</v>
      </c>
      <c r="H6219" s="139"/>
      <c r="I6219" s="140"/>
      <c r="J6219" s="140" t="s">
        <v>39955</v>
      </c>
      <c r="K6219" s="140" t="s">
        <v>39956</v>
      </c>
      <c r="L6219" s="140"/>
      <c r="M6219" s="154" t="s">
        <v>39957</v>
      </c>
      <c r="N6219" s="12"/>
      <c r="O6219" s="12"/>
      <c r="P6219" s="13">
        <f>IFERROR(__xludf.DUMMYFUNCTION("VALUE(SUBSTITUTE((INDEX(SPLIT(A6219,"",""),1)),""."","","",1))"),48.529471)</f>
        <v>48.529471</v>
      </c>
      <c r="Q6219" s="13">
        <f>IFERROR(__xludf.DUMMYFUNCTION("VALUE(SUBSTITUTE((INDEX(SPLIT(A6219,"",""),2)),""."","","",1))"),135.163392)</f>
        <v>135.163392</v>
      </c>
      <c r="R6219" s="14" t="b">
        <f t="shared" si="1"/>
        <v>0</v>
      </c>
      <c r="S6219" s="14" t="str">
        <f t="shared" si="2"/>
        <v>48.529471,135.163392</v>
      </c>
      <c r="T6219" s="12"/>
    </row>
    <row r="6220">
      <c r="A6220" s="136" t="s">
        <v>39958</v>
      </c>
      <c r="B6220" s="137" t="s">
        <v>17687</v>
      </c>
      <c r="C6220" s="137" t="s">
        <v>39959</v>
      </c>
      <c r="D6220" s="137" t="s">
        <v>33342</v>
      </c>
      <c r="E6220" s="138" t="s">
        <v>39960</v>
      </c>
      <c r="F6220" s="136" t="s">
        <v>2057</v>
      </c>
      <c r="G6220" s="136" t="s">
        <v>33344</v>
      </c>
      <c r="H6220" s="136"/>
      <c r="I6220" s="137"/>
      <c r="J6220" s="137" t="s">
        <v>39961</v>
      </c>
      <c r="K6220" s="137" t="s">
        <v>39962</v>
      </c>
      <c r="L6220" s="137"/>
      <c r="M6220" s="137"/>
      <c r="N6220" s="12"/>
      <c r="O6220" s="12"/>
      <c r="P6220" s="13">
        <f>IFERROR(__xludf.DUMMYFUNCTION("VALUE(SUBSTITUTE((INDEX(SPLIT(A6220,"",""),1)),""."","","",1))"),48.435733)</f>
        <v>48.435733</v>
      </c>
      <c r="Q6220" s="13">
        <f>IFERROR(__xludf.DUMMYFUNCTION("VALUE(SUBSTITUTE((INDEX(SPLIT(A6220,"",""),2)),""."","","",1))"),135.130253)</f>
        <v>135.130253</v>
      </c>
      <c r="R6220" s="14" t="b">
        <f t="shared" si="1"/>
        <v>0</v>
      </c>
      <c r="S6220" s="14" t="str">
        <f t="shared" si="2"/>
        <v>48.435733,135.130253</v>
      </c>
      <c r="T6220" s="12"/>
    </row>
    <row r="6221">
      <c r="A6221" s="146" t="s">
        <v>39963</v>
      </c>
      <c r="B6221" s="147" t="s">
        <v>39964</v>
      </c>
      <c r="C6221" s="147" t="s">
        <v>39965</v>
      </c>
      <c r="D6221" s="147" t="s">
        <v>33342</v>
      </c>
      <c r="E6221" s="148" t="s">
        <v>39966</v>
      </c>
      <c r="F6221" s="146" t="s">
        <v>2057</v>
      </c>
      <c r="G6221" s="146" t="s">
        <v>33344</v>
      </c>
      <c r="H6221" s="146"/>
      <c r="I6221" s="147"/>
      <c r="J6221" s="147" t="s">
        <v>39967</v>
      </c>
      <c r="K6221" s="147" t="s">
        <v>39968</v>
      </c>
      <c r="L6221" s="149" t="s">
        <v>39969</v>
      </c>
      <c r="M6221" s="147"/>
      <c r="N6221" s="12"/>
      <c r="O6221" s="12"/>
      <c r="P6221" s="13">
        <f>IFERROR(__xludf.DUMMYFUNCTION("VALUE(SUBSTITUTE((INDEX(SPLIT(A6221,"",""),1)),""."","","",1))"),48.504268)</f>
        <v>48.504268</v>
      </c>
      <c r="Q6221" s="13">
        <f>IFERROR(__xludf.DUMMYFUNCTION("VALUE(SUBSTITUTE((INDEX(SPLIT(A6221,"",""),2)),""."","","",1))"),135.073992)</f>
        <v>135.073992</v>
      </c>
      <c r="R6221" s="14" t="b">
        <f t="shared" si="1"/>
        <v>0</v>
      </c>
      <c r="S6221" s="14" t="str">
        <f t="shared" si="2"/>
        <v>48.504268,135.073992</v>
      </c>
      <c r="T6221" s="12"/>
    </row>
    <row r="6222">
      <c r="A6222" s="136" t="s">
        <v>39970</v>
      </c>
      <c r="B6222" s="137" t="s">
        <v>39971</v>
      </c>
      <c r="C6222" s="137" t="s">
        <v>39972</v>
      </c>
      <c r="D6222" s="137" t="s">
        <v>33342</v>
      </c>
      <c r="E6222" s="138" t="s">
        <v>39973</v>
      </c>
      <c r="F6222" s="136" t="s">
        <v>2057</v>
      </c>
      <c r="G6222" s="136" t="s">
        <v>33344</v>
      </c>
      <c r="H6222" s="136"/>
      <c r="I6222" s="137"/>
      <c r="J6222" s="137" t="s">
        <v>39974</v>
      </c>
      <c r="K6222" s="137" t="s">
        <v>39975</v>
      </c>
      <c r="L6222" s="137"/>
      <c r="M6222" s="137"/>
      <c r="N6222" s="12"/>
      <c r="O6222" s="12"/>
      <c r="P6222" s="13">
        <f>IFERROR(__xludf.DUMMYFUNCTION("VALUE(SUBSTITUTE((INDEX(SPLIT(A6222,"",""),1)),""."","","",1))"),48.530301)</f>
        <v>48.530301</v>
      </c>
      <c r="Q6222" s="13">
        <f>IFERROR(__xludf.DUMMYFUNCTION("VALUE(SUBSTITUTE((INDEX(SPLIT(A6222,"",""),2)),""."","","",1))"),135.090341)</f>
        <v>135.090341</v>
      </c>
      <c r="R6222" s="14" t="b">
        <f t="shared" si="1"/>
        <v>0</v>
      </c>
      <c r="S6222" s="14" t="str">
        <f t="shared" si="2"/>
        <v>48.530301,135.090341</v>
      </c>
      <c r="T6222" s="12"/>
    </row>
    <row r="6223">
      <c r="A6223" s="139" t="s">
        <v>39976</v>
      </c>
      <c r="B6223" s="140" t="s">
        <v>39977</v>
      </c>
      <c r="C6223" s="140" t="s">
        <v>39978</v>
      </c>
      <c r="D6223" s="140" t="s">
        <v>33342</v>
      </c>
      <c r="E6223" s="141" t="s">
        <v>39979</v>
      </c>
      <c r="F6223" s="139" t="s">
        <v>2057</v>
      </c>
      <c r="G6223" s="139" t="s">
        <v>33344</v>
      </c>
      <c r="H6223" s="139"/>
      <c r="I6223" s="140"/>
      <c r="J6223" s="140" t="s">
        <v>39980</v>
      </c>
      <c r="K6223" s="140" t="s">
        <v>39981</v>
      </c>
      <c r="L6223" s="140"/>
      <c r="M6223" s="140"/>
      <c r="N6223" s="12"/>
      <c r="O6223" s="12"/>
      <c r="P6223" s="13">
        <f>IFERROR(__xludf.DUMMYFUNCTION("VALUE(SUBSTITUTE((INDEX(SPLIT(A6223,"",""),1)),""."","","",1))"),48.499277)</f>
        <v>48.499277</v>
      </c>
      <c r="Q6223" s="13">
        <f>IFERROR(__xludf.DUMMYFUNCTION("VALUE(SUBSTITUTE((INDEX(SPLIT(A6223,"",""),2)),""."","","",1))"),135.125582)</f>
        <v>135.125582</v>
      </c>
      <c r="R6223" s="14" t="b">
        <f t="shared" si="1"/>
        <v>0</v>
      </c>
      <c r="S6223" s="14" t="str">
        <f t="shared" si="2"/>
        <v>48.499277,135.125582</v>
      </c>
      <c r="T6223" s="12"/>
    </row>
    <row r="6224">
      <c r="A6224" s="136" t="s">
        <v>39982</v>
      </c>
      <c r="B6224" s="137" t="s">
        <v>39983</v>
      </c>
      <c r="C6224" s="137" t="s">
        <v>39984</v>
      </c>
      <c r="D6224" s="137" t="s">
        <v>33342</v>
      </c>
      <c r="E6224" s="138" t="s">
        <v>39985</v>
      </c>
      <c r="F6224" s="136" t="s">
        <v>2057</v>
      </c>
      <c r="G6224" s="136" t="s">
        <v>33344</v>
      </c>
      <c r="H6224" s="136"/>
      <c r="I6224" s="137"/>
      <c r="J6224" s="137" t="s">
        <v>39986</v>
      </c>
      <c r="K6224" s="137" t="s">
        <v>39987</v>
      </c>
      <c r="L6224" s="137"/>
      <c r="M6224" s="153" t="s">
        <v>39988</v>
      </c>
      <c r="N6224" s="12"/>
      <c r="O6224" s="12"/>
      <c r="P6224" s="13">
        <f>IFERROR(__xludf.DUMMYFUNCTION("VALUE(SUBSTITUTE((INDEX(SPLIT(A6224,"",""),1)),""."","","",1))"),48.451841)</f>
        <v>48.451841</v>
      </c>
      <c r="Q6224" s="13">
        <f>IFERROR(__xludf.DUMMYFUNCTION("VALUE(SUBSTITUTE((INDEX(SPLIT(A6224,"",""),2)),""."","","",1))"),135.155784)</f>
        <v>135.155784</v>
      </c>
      <c r="R6224" s="14" t="b">
        <f t="shared" si="1"/>
        <v>0</v>
      </c>
      <c r="S6224" s="14" t="str">
        <f t="shared" si="2"/>
        <v>48.451841,135.155784</v>
      </c>
      <c r="T6224" s="12"/>
    </row>
    <row r="6225">
      <c r="A6225" s="139" t="s">
        <v>39989</v>
      </c>
      <c r="B6225" s="140" t="s">
        <v>39990</v>
      </c>
      <c r="C6225" s="140" t="s">
        <v>39991</v>
      </c>
      <c r="D6225" s="140" t="s">
        <v>33342</v>
      </c>
      <c r="E6225" s="141" t="s">
        <v>39992</v>
      </c>
      <c r="F6225" s="139" t="s">
        <v>2057</v>
      </c>
      <c r="G6225" s="139" t="s">
        <v>33344</v>
      </c>
      <c r="H6225" s="139"/>
      <c r="I6225" s="140"/>
      <c r="J6225" s="140" t="s">
        <v>39993</v>
      </c>
      <c r="K6225" s="140" t="s">
        <v>39994</v>
      </c>
      <c r="L6225" s="140"/>
      <c r="M6225" s="140"/>
      <c r="N6225" s="12"/>
      <c r="O6225" s="12"/>
      <c r="P6225" s="13">
        <f>IFERROR(__xludf.DUMMYFUNCTION("VALUE(SUBSTITUTE((INDEX(SPLIT(A6225,"",""),1)),""."","","",1))"),48.431124)</f>
        <v>48.431124</v>
      </c>
      <c r="Q6225" s="13">
        <f>IFERROR(__xludf.DUMMYFUNCTION("VALUE(SUBSTITUTE((INDEX(SPLIT(A6225,"",""),2)),""."","","",1))"),135.131538)</f>
        <v>135.131538</v>
      </c>
      <c r="R6225" s="14" t="b">
        <f t="shared" si="1"/>
        <v>0</v>
      </c>
      <c r="S6225" s="14" t="str">
        <f t="shared" si="2"/>
        <v>48.431124,135.131538</v>
      </c>
      <c r="T6225" s="12"/>
    </row>
    <row r="6226">
      <c r="A6226" s="136" t="s">
        <v>39995</v>
      </c>
      <c r="B6226" s="137" t="s">
        <v>39996</v>
      </c>
      <c r="C6226" s="137" t="s">
        <v>39997</v>
      </c>
      <c r="D6226" s="137" t="s">
        <v>33342</v>
      </c>
      <c r="E6226" s="138" t="s">
        <v>39998</v>
      </c>
      <c r="F6226" s="136" t="s">
        <v>2057</v>
      </c>
      <c r="G6226" s="136" t="s">
        <v>33344</v>
      </c>
      <c r="H6226" s="136"/>
      <c r="I6226" s="137"/>
      <c r="J6226" s="137" t="s">
        <v>39999</v>
      </c>
      <c r="K6226" s="137" t="s">
        <v>40000</v>
      </c>
      <c r="L6226" s="137"/>
      <c r="M6226" s="137"/>
      <c r="N6226" s="12"/>
      <c r="O6226" s="12"/>
      <c r="P6226" s="13">
        <f>IFERROR(__xludf.DUMMYFUNCTION("VALUE(SUBSTITUTE((INDEX(SPLIT(A6226,"",""),1)),""."","","",1))"),48.476245)</f>
        <v>48.476245</v>
      </c>
      <c r="Q6226" s="13">
        <f>IFERROR(__xludf.DUMMYFUNCTION("VALUE(SUBSTITUTE((INDEX(SPLIT(A6226,"",""),2)),""."","","",1))"),135.068467)</f>
        <v>135.068467</v>
      </c>
      <c r="R6226" s="14" t="b">
        <f t="shared" si="1"/>
        <v>0</v>
      </c>
      <c r="S6226" s="14" t="str">
        <f t="shared" si="2"/>
        <v>48.476245,135.068467</v>
      </c>
      <c r="T6226" s="12"/>
    </row>
    <row r="6227">
      <c r="A6227" s="146" t="s">
        <v>40001</v>
      </c>
      <c r="B6227" s="147" t="s">
        <v>40002</v>
      </c>
      <c r="C6227" s="147" t="s">
        <v>40003</v>
      </c>
      <c r="D6227" s="147" t="s">
        <v>33342</v>
      </c>
      <c r="E6227" s="148" t="s">
        <v>40004</v>
      </c>
      <c r="F6227" s="146" t="s">
        <v>2057</v>
      </c>
      <c r="G6227" s="146" t="s">
        <v>33344</v>
      </c>
      <c r="H6227" s="146"/>
      <c r="I6227" s="147"/>
      <c r="J6227" s="147" t="s">
        <v>40005</v>
      </c>
      <c r="K6227" s="147" t="s">
        <v>40006</v>
      </c>
      <c r="L6227" s="149" t="s">
        <v>40007</v>
      </c>
      <c r="M6227" s="147"/>
      <c r="N6227" s="12"/>
      <c r="O6227" s="12"/>
      <c r="P6227" s="13">
        <f>IFERROR(__xludf.DUMMYFUNCTION("VALUE(SUBSTITUTE((INDEX(SPLIT(A6227,"",""),1)),""."","","",1))"),48.496012)</f>
        <v>48.496012</v>
      </c>
      <c r="Q6227" s="13">
        <f>IFERROR(__xludf.DUMMYFUNCTION("VALUE(SUBSTITUTE((INDEX(SPLIT(A6227,"",""),2)),""."","","",1))"),135.105792)</f>
        <v>135.105792</v>
      </c>
      <c r="R6227" s="14" t="b">
        <f t="shared" si="1"/>
        <v>0</v>
      </c>
      <c r="S6227" s="14" t="str">
        <f t="shared" si="2"/>
        <v>48.496012,135.105792</v>
      </c>
      <c r="T6227" s="12"/>
    </row>
    <row r="6228">
      <c r="A6228" s="136" t="s">
        <v>40008</v>
      </c>
      <c r="B6228" s="137" t="s">
        <v>40009</v>
      </c>
      <c r="C6228" s="137" t="s">
        <v>40010</v>
      </c>
      <c r="D6228" s="137" t="s">
        <v>33342</v>
      </c>
      <c r="E6228" s="138" t="s">
        <v>40011</v>
      </c>
      <c r="F6228" s="136" t="s">
        <v>953</v>
      </c>
      <c r="G6228" s="136" t="s">
        <v>33344</v>
      </c>
      <c r="H6228" s="136"/>
      <c r="I6228" s="137"/>
      <c r="J6228" s="137" t="s">
        <v>40012</v>
      </c>
      <c r="K6228" s="137" t="s">
        <v>40013</v>
      </c>
      <c r="L6228" s="137"/>
      <c r="M6228" s="137"/>
      <c r="N6228" s="12"/>
      <c r="O6228" s="12"/>
      <c r="P6228" s="13">
        <f>IFERROR(__xludf.DUMMYFUNCTION("VALUE(SUBSTITUTE((INDEX(SPLIT(A6228,"",""),1)),""."","","",1))"),50.293092)</f>
        <v>50.293092</v>
      </c>
      <c r="Q6228" s="13">
        <f>IFERROR(__xludf.DUMMYFUNCTION("VALUE(SUBSTITUTE((INDEX(SPLIT(A6228,"",""),2)),""."","","",1))"),127.537378)</f>
        <v>127.537378</v>
      </c>
      <c r="R6228" s="14" t="b">
        <f t="shared" si="1"/>
        <v>0</v>
      </c>
      <c r="S6228" s="14" t="str">
        <f t="shared" si="2"/>
        <v>50.293092,127.537378</v>
      </c>
      <c r="T6228" s="12"/>
    </row>
    <row r="6229">
      <c r="A6229" s="146" t="s">
        <v>40014</v>
      </c>
      <c r="B6229" s="147" t="s">
        <v>40015</v>
      </c>
      <c r="C6229" s="147" t="s">
        <v>40016</v>
      </c>
      <c r="D6229" s="147" t="s">
        <v>33342</v>
      </c>
      <c r="E6229" s="148" t="s">
        <v>40017</v>
      </c>
      <c r="F6229" s="146" t="s">
        <v>953</v>
      </c>
      <c r="G6229" s="146" t="s">
        <v>33344</v>
      </c>
      <c r="H6229" s="146"/>
      <c r="I6229" s="147"/>
      <c r="J6229" s="147" t="s">
        <v>40018</v>
      </c>
      <c r="K6229" s="147" t="s">
        <v>40019</v>
      </c>
      <c r="L6229" s="149" t="s">
        <v>40020</v>
      </c>
      <c r="M6229" s="147"/>
      <c r="N6229" s="12"/>
      <c r="O6229" s="12"/>
      <c r="P6229" s="13">
        <f>IFERROR(__xludf.DUMMYFUNCTION("VALUE(SUBSTITUTE((INDEX(SPLIT(A6229,"",""),1)),""."","","",1))"),50.20212)</f>
        <v>50.20212</v>
      </c>
      <c r="Q6229" s="13">
        <f>IFERROR(__xludf.DUMMYFUNCTION("VALUE(SUBSTITUTE((INDEX(SPLIT(A6229,"",""),2)),""."","","",1))"),127.755148)</f>
        <v>127.755148</v>
      </c>
      <c r="R6229" s="14" t="b">
        <f t="shared" si="1"/>
        <v>0</v>
      </c>
      <c r="S6229" s="14" t="str">
        <f t="shared" si="2"/>
        <v>50.20212,127.755148</v>
      </c>
      <c r="T6229" s="12"/>
    </row>
    <row r="6230">
      <c r="A6230" s="136" t="s">
        <v>40021</v>
      </c>
      <c r="B6230" s="137" t="s">
        <v>40022</v>
      </c>
      <c r="C6230" s="137" t="s">
        <v>40023</v>
      </c>
      <c r="D6230" s="137" t="s">
        <v>33342</v>
      </c>
      <c r="E6230" s="138" t="s">
        <v>40024</v>
      </c>
      <c r="F6230" s="136" t="s">
        <v>953</v>
      </c>
      <c r="G6230" s="136" t="s">
        <v>33344</v>
      </c>
      <c r="H6230" s="136"/>
      <c r="I6230" s="137"/>
      <c r="J6230" s="137" t="s">
        <v>40025</v>
      </c>
      <c r="K6230" s="137" t="s">
        <v>40026</v>
      </c>
      <c r="L6230" s="137"/>
      <c r="M6230" s="137"/>
      <c r="N6230" s="12"/>
      <c r="O6230" s="12"/>
      <c r="P6230" s="13">
        <f>IFERROR(__xludf.DUMMYFUNCTION("VALUE(SUBSTITUTE((INDEX(SPLIT(A6230,"",""),1)),""."","","",1))"),50.296763)</f>
        <v>50.296763</v>
      </c>
      <c r="Q6230" s="13">
        <f>IFERROR(__xludf.DUMMYFUNCTION("VALUE(SUBSTITUTE((INDEX(SPLIT(A6230,"",""),2)),""."","","",1))"),127.540702)</f>
        <v>127.540702</v>
      </c>
      <c r="R6230" s="14" t="b">
        <f t="shared" si="1"/>
        <v>0</v>
      </c>
      <c r="S6230" s="14" t="str">
        <f t="shared" si="2"/>
        <v>50.296763,127.540702</v>
      </c>
      <c r="T6230" s="12"/>
    </row>
    <row r="6231">
      <c r="A6231" s="139" t="s">
        <v>40027</v>
      </c>
      <c r="B6231" s="140" t="s">
        <v>40028</v>
      </c>
      <c r="C6231" s="140" t="s">
        <v>40029</v>
      </c>
      <c r="D6231" s="140" t="s">
        <v>33342</v>
      </c>
      <c r="E6231" s="141" t="s">
        <v>40030</v>
      </c>
      <c r="F6231" s="139" t="s">
        <v>953</v>
      </c>
      <c r="G6231" s="139" t="s">
        <v>33344</v>
      </c>
      <c r="H6231" s="139"/>
      <c r="I6231" s="140"/>
      <c r="J6231" s="140" t="s">
        <v>40031</v>
      </c>
      <c r="K6231" s="140" t="s">
        <v>40032</v>
      </c>
      <c r="L6231" s="140"/>
      <c r="M6231" s="140"/>
      <c r="N6231" s="12"/>
      <c r="O6231" s="12"/>
      <c r="P6231" s="13">
        <f>IFERROR(__xludf.DUMMYFUNCTION("VALUE(SUBSTITUTE((INDEX(SPLIT(A6231,"",""),1)),""."","","",1))"),50.341304)</f>
        <v>50.341304</v>
      </c>
      <c r="Q6231" s="13">
        <f>IFERROR(__xludf.DUMMYFUNCTION("VALUE(SUBSTITUTE((INDEX(SPLIT(A6231,"",""),2)),""."","","",1))"),127.596317)</f>
        <v>127.596317</v>
      </c>
      <c r="R6231" s="14" t="b">
        <f t="shared" si="1"/>
        <v>0</v>
      </c>
      <c r="S6231" s="14" t="str">
        <f t="shared" si="2"/>
        <v>50.341304,127.596317</v>
      </c>
      <c r="T6231" s="12"/>
    </row>
    <row r="6232">
      <c r="A6232" s="142" t="s">
        <v>40033</v>
      </c>
      <c r="B6232" s="143" t="s">
        <v>40034</v>
      </c>
      <c r="C6232" s="143" t="s">
        <v>40035</v>
      </c>
      <c r="D6232" s="143" t="s">
        <v>33342</v>
      </c>
      <c r="E6232" s="144" t="s">
        <v>40036</v>
      </c>
      <c r="F6232" s="142" t="s">
        <v>953</v>
      </c>
      <c r="G6232" s="142" t="s">
        <v>33344</v>
      </c>
      <c r="H6232" s="142"/>
      <c r="I6232" s="143"/>
      <c r="J6232" s="143" t="s">
        <v>40037</v>
      </c>
      <c r="K6232" s="143" t="s">
        <v>40038</v>
      </c>
      <c r="L6232" s="145" t="s">
        <v>40039</v>
      </c>
      <c r="M6232" s="143"/>
      <c r="N6232" s="12"/>
      <c r="O6232" s="12"/>
      <c r="P6232" s="13">
        <f>IFERROR(__xludf.DUMMYFUNCTION("VALUE(SUBSTITUTE((INDEX(SPLIT(A6232,"",""),1)),""."","","",1))"),50.249618)</f>
        <v>50.249618</v>
      </c>
      <c r="Q6232" s="13">
        <f>IFERROR(__xludf.DUMMYFUNCTION("VALUE(SUBSTITUTE((INDEX(SPLIT(A6232,"",""),2)),""."","","",1))"),127.562827)</f>
        <v>127.562827</v>
      </c>
      <c r="R6232" s="14" t="b">
        <f t="shared" si="1"/>
        <v>0</v>
      </c>
      <c r="S6232" s="14" t="str">
        <f t="shared" si="2"/>
        <v>50.249618,127.562827</v>
      </c>
      <c r="T6232" s="12"/>
    </row>
    <row r="6233">
      <c r="A6233" s="139" t="s">
        <v>40040</v>
      </c>
      <c r="B6233" s="140" t="s">
        <v>5475</v>
      </c>
      <c r="C6233" s="140" t="s">
        <v>40041</v>
      </c>
      <c r="D6233" s="140" t="s">
        <v>33342</v>
      </c>
      <c r="E6233" s="141" t="s">
        <v>40042</v>
      </c>
      <c r="F6233" s="139" t="s">
        <v>953</v>
      </c>
      <c r="G6233" s="139" t="s">
        <v>33344</v>
      </c>
      <c r="H6233" s="139"/>
      <c r="I6233" s="140"/>
      <c r="J6233" s="140" t="s">
        <v>40043</v>
      </c>
      <c r="K6233" s="140" t="s">
        <v>40044</v>
      </c>
      <c r="L6233" s="140"/>
      <c r="M6233" s="140"/>
      <c r="N6233" s="12"/>
      <c r="O6233" s="12"/>
      <c r="P6233" s="13">
        <f>IFERROR(__xludf.DUMMYFUNCTION("VALUE(SUBSTITUTE((INDEX(SPLIT(A6233,"",""),1)),""."","","",1))"),50.275824)</f>
        <v>50.275824</v>
      </c>
      <c r="Q6233" s="13">
        <f>IFERROR(__xludf.DUMMYFUNCTION("VALUE(SUBSTITUTE((INDEX(SPLIT(A6233,"",""),2)),""."","","",1))"),127.530452)</f>
        <v>127.530452</v>
      </c>
      <c r="R6233" s="14" t="b">
        <f t="shared" si="1"/>
        <v>0</v>
      </c>
      <c r="S6233" s="14" t="str">
        <f t="shared" si="2"/>
        <v>50.275824,127.530452</v>
      </c>
      <c r="T6233" s="12"/>
    </row>
    <row r="6234">
      <c r="A6234" s="136" t="s">
        <v>40045</v>
      </c>
      <c r="B6234" s="137" t="s">
        <v>40046</v>
      </c>
      <c r="C6234" s="137" t="s">
        <v>40047</v>
      </c>
      <c r="D6234" s="137" t="s">
        <v>33342</v>
      </c>
      <c r="E6234" s="138" t="s">
        <v>40048</v>
      </c>
      <c r="F6234" s="136" t="s">
        <v>953</v>
      </c>
      <c r="G6234" s="136" t="s">
        <v>33344</v>
      </c>
      <c r="H6234" s="136"/>
      <c r="I6234" s="137"/>
      <c r="J6234" s="137" t="s">
        <v>40049</v>
      </c>
      <c r="K6234" s="137" t="s">
        <v>40050</v>
      </c>
      <c r="L6234" s="137"/>
      <c r="M6234" s="137"/>
      <c r="N6234" s="12"/>
      <c r="O6234" s="12"/>
      <c r="P6234" s="13">
        <f>IFERROR(__xludf.DUMMYFUNCTION("VALUE(SUBSTITUTE((INDEX(SPLIT(A6234,"",""),1)),""."","","",1))"),50.268156)</f>
        <v>50.268156</v>
      </c>
      <c r="Q6234" s="13">
        <f>IFERROR(__xludf.DUMMYFUNCTION("VALUE(SUBSTITUTE((INDEX(SPLIT(A6234,"",""),2)),""."","","",1))"),127.522843)</f>
        <v>127.522843</v>
      </c>
      <c r="R6234" s="14" t="b">
        <f t="shared" si="1"/>
        <v>0</v>
      </c>
      <c r="S6234" s="14" t="str">
        <f t="shared" si="2"/>
        <v>50.268156,127.522843</v>
      </c>
      <c r="T6234" s="12"/>
    </row>
    <row r="6235">
      <c r="A6235" s="139" t="s">
        <v>40051</v>
      </c>
      <c r="B6235" s="140" t="s">
        <v>40052</v>
      </c>
      <c r="C6235" s="140" t="s">
        <v>40053</v>
      </c>
      <c r="D6235" s="140" t="s">
        <v>33342</v>
      </c>
      <c r="E6235" s="141" t="s">
        <v>40054</v>
      </c>
      <c r="F6235" s="139" t="s">
        <v>953</v>
      </c>
      <c r="G6235" s="139" t="s">
        <v>33344</v>
      </c>
      <c r="H6235" s="139"/>
      <c r="I6235" s="140"/>
      <c r="J6235" s="140" t="s">
        <v>40055</v>
      </c>
      <c r="K6235" s="140" t="s">
        <v>40056</v>
      </c>
      <c r="L6235" s="140"/>
      <c r="M6235" s="154" t="s">
        <v>40057</v>
      </c>
      <c r="N6235" s="12"/>
      <c r="O6235" s="12"/>
      <c r="P6235" s="13">
        <f>IFERROR(__xludf.DUMMYFUNCTION("VALUE(SUBSTITUTE((INDEX(SPLIT(A6235,"",""),1)),""."","","",1))"),50.906726)</f>
        <v>50.906726</v>
      </c>
      <c r="Q6235" s="13">
        <f>IFERROR(__xludf.DUMMYFUNCTION("VALUE(SUBSTITUTE((INDEX(SPLIT(A6235,"",""),2)),""."","","",1))"),128.561044)</f>
        <v>128.561044</v>
      </c>
      <c r="R6235" s="14" t="b">
        <f t="shared" si="1"/>
        <v>0</v>
      </c>
      <c r="S6235" s="14" t="str">
        <f t="shared" si="2"/>
        <v>50.906726,128.561044</v>
      </c>
      <c r="T6235" s="12"/>
    </row>
    <row r="6236">
      <c r="A6236" s="142" t="s">
        <v>1136</v>
      </c>
      <c r="B6236" s="143" t="s">
        <v>12011</v>
      </c>
      <c r="C6236" s="143" t="s">
        <v>40058</v>
      </c>
      <c r="D6236" s="143" t="s">
        <v>33342</v>
      </c>
      <c r="E6236" s="144" t="s">
        <v>40059</v>
      </c>
      <c r="F6236" s="142" t="s">
        <v>953</v>
      </c>
      <c r="G6236" s="142" t="s">
        <v>33344</v>
      </c>
      <c r="H6236" s="142"/>
      <c r="I6236" s="143"/>
      <c r="J6236" s="143" t="s">
        <v>40060</v>
      </c>
      <c r="K6236" s="143" t="s">
        <v>40061</v>
      </c>
      <c r="L6236" s="145" t="s">
        <v>40062</v>
      </c>
      <c r="M6236" s="143"/>
      <c r="N6236" s="12"/>
      <c r="O6236" s="12"/>
      <c r="P6236" s="13">
        <f>IFERROR(__xludf.DUMMYFUNCTION("VALUE(SUBSTITUTE((INDEX(SPLIT(A6236,"",""),1)),""."","","",1))"),51.375889)</f>
        <v>51.375889</v>
      </c>
      <c r="Q6236" s="13">
        <f>IFERROR(__xludf.DUMMYFUNCTION("VALUE(SUBSTITUTE((INDEX(SPLIT(A6236,"",""),2)),""."","","",1))"),128.134156)</f>
        <v>128.134156</v>
      </c>
      <c r="R6236" s="14" t="b">
        <f t="shared" si="1"/>
        <v>0</v>
      </c>
      <c r="S6236" s="14" t="str">
        <f t="shared" si="2"/>
        <v>51.375889,128.134156</v>
      </c>
      <c r="T6236" s="12"/>
    </row>
    <row r="6237">
      <c r="A6237" s="139" t="s">
        <v>40063</v>
      </c>
      <c r="B6237" s="140" t="s">
        <v>40064</v>
      </c>
      <c r="C6237" s="140" t="s">
        <v>40064</v>
      </c>
      <c r="D6237" s="140" t="s">
        <v>33342</v>
      </c>
      <c r="E6237" s="141" t="s">
        <v>40065</v>
      </c>
      <c r="F6237" s="139" t="s">
        <v>953</v>
      </c>
      <c r="G6237" s="139" t="s">
        <v>33344</v>
      </c>
      <c r="H6237" s="139"/>
      <c r="I6237" s="140"/>
      <c r="J6237" s="140" t="s">
        <v>40066</v>
      </c>
      <c r="K6237" s="140" t="s">
        <v>40067</v>
      </c>
      <c r="L6237" s="140"/>
      <c r="M6237" s="154" t="s">
        <v>40068</v>
      </c>
      <c r="N6237" s="12"/>
      <c r="O6237" s="12"/>
      <c r="P6237" s="13">
        <f>IFERROR(__xludf.DUMMYFUNCTION("VALUE(SUBSTITUTE((INDEX(SPLIT(A6237,"",""),1)),""."","","",1))"),50.263325)</f>
        <v>50.263325</v>
      </c>
      <c r="Q6237" s="13">
        <f>IFERROR(__xludf.DUMMYFUNCTION("VALUE(SUBSTITUTE((INDEX(SPLIT(A6237,"",""),2)),""."","","",1))"),130.274976)</f>
        <v>130.274976</v>
      </c>
      <c r="R6237" s="14" t="b">
        <f t="shared" si="1"/>
        <v>0</v>
      </c>
      <c r="S6237" s="14" t="str">
        <f t="shared" si="2"/>
        <v>50.263325,130.274976</v>
      </c>
      <c r="T6237" s="12"/>
    </row>
    <row r="6238">
      <c r="A6238" s="142" t="s">
        <v>40069</v>
      </c>
      <c r="B6238" s="143" t="s">
        <v>40070</v>
      </c>
      <c r="C6238" s="143" t="s">
        <v>40071</v>
      </c>
      <c r="D6238" s="143" t="s">
        <v>33342</v>
      </c>
      <c r="E6238" s="144" t="s">
        <v>40072</v>
      </c>
      <c r="F6238" s="142" t="s">
        <v>14706</v>
      </c>
      <c r="G6238" s="142" t="s">
        <v>33344</v>
      </c>
      <c r="H6238" s="142"/>
      <c r="I6238" s="143"/>
      <c r="J6238" s="143" t="s">
        <v>40073</v>
      </c>
      <c r="K6238" s="143" t="s">
        <v>40074</v>
      </c>
      <c r="L6238" s="145" t="s">
        <v>40075</v>
      </c>
      <c r="M6238" s="143"/>
      <c r="N6238" s="12"/>
      <c r="O6238" s="12"/>
      <c r="P6238" s="13">
        <f>IFERROR(__xludf.DUMMYFUNCTION("VALUE(SUBSTITUTE((INDEX(SPLIT(A6238,"",""),1)),""."","","",1))"),64.480162)</f>
        <v>64.480162</v>
      </c>
      <c r="Q6238" s="13">
        <f>IFERROR(__xludf.DUMMYFUNCTION("VALUE(SUBSTITUTE((INDEX(SPLIT(A6238,"",""),2)),""."","","",1))"),40.732346)</f>
        <v>40.732346</v>
      </c>
      <c r="R6238" s="14" t="b">
        <f t="shared" si="1"/>
        <v>0</v>
      </c>
      <c r="S6238" s="14" t="str">
        <f t="shared" si="2"/>
        <v>64.480162,40.732346</v>
      </c>
      <c r="T6238" s="12"/>
    </row>
    <row r="6239">
      <c r="A6239" s="146" t="s">
        <v>40076</v>
      </c>
      <c r="B6239" s="147" t="s">
        <v>40077</v>
      </c>
      <c r="C6239" s="147" t="s">
        <v>40078</v>
      </c>
      <c r="D6239" s="147" t="s">
        <v>33342</v>
      </c>
      <c r="E6239" s="148" t="s">
        <v>40079</v>
      </c>
      <c r="F6239" s="146" t="s">
        <v>14706</v>
      </c>
      <c r="G6239" s="146" t="s">
        <v>33344</v>
      </c>
      <c r="H6239" s="146"/>
      <c r="I6239" s="147"/>
      <c r="J6239" s="147" t="s">
        <v>40080</v>
      </c>
      <c r="K6239" s="147" t="s">
        <v>40081</v>
      </c>
      <c r="L6239" s="149" t="s">
        <v>40082</v>
      </c>
      <c r="M6239" s="147"/>
      <c r="N6239" s="12"/>
      <c r="O6239" s="12"/>
      <c r="P6239" s="13">
        <f>IFERROR(__xludf.DUMMYFUNCTION("VALUE(SUBSTITUTE((INDEX(SPLIT(A6239,"",""),1)),""."","","",1))"),64.556451)</f>
        <v>64.556451</v>
      </c>
      <c r="Q6239" s="13">
        <f>IFERROR(__xludf.DUMMYFUNCTION("VALUE(SUBSTITUTE((INDEX(SPLIT(A6239,"",""),2)),""."","","",1))"),39.813432)</f>
        <v>39.813432</v>
      </c>
      <c r="R6239" s="14" t="b">
        <f t="shared" si="1"/>
        <v>0</v>
      </c>
      <c r="S6239" s="14" t="str">
        <f t="shared" si="2"/>
        <v>64.556451,39.813432</v>
      </c>
      <c r="T6239" s="12"/>
    </row>
    <row r="6240">
      <c r="A6240" s="142" t="s">
        <v>40083</v>
      </c>
      <c r="B6240" s="143" t="s">
        <v>40084</v>
      </c>
      <c r="C6240" s="143" t="s">
        <v>40085</v>
      </c>
      <c r="D6240" s="143" t="s">
        <v>33342</v>
      </c>
      <c r="E6240" s="144" t="s">
        <v>40086</v>
      </c>
      <c r="F6240" s="142" t="s">
        <v>14706</v>
      </c>
      <c r="G6240" s="142" t="s">
        <v>33344</v>
      </c>
      <c r="H6240" s="142"/>
      <c r="I6240" s="143"/>
      <c r="J6240" s="143" t="s">
        <v>40087</v>
      </c>
      <c r="K6240" s="143" t="s">
        <v>40088</v>
      </c>
      <c r="L6240" s="145" t="s">
        <v>40089</v>
      </c>
      <c r="M6240" s="143"/>
      <c r="N6240" s="12"/>
      <c r="O6240" s="12"/>
      <c r="P6240" s="13">
        <f>IFERROR(__xludf.DUMMYFUNCTION("VALUE(SUBSTITUTE((INDEX(SPLIT(A6240,"",""),1)),""."","","",1))"),64.582548)</f>
        <v>64.582548</v>
      </c>
      <c r="Q6240" s="13">
        <f>IFERROR(__xludf.DUMMYFUNCTION("VALUE(SUBSTITUTE((INDEX(SPLIT(A6240,"",""),2)),""."","","",1))"),39.880572)</f>
        <v>39.880572</v>
      </c>
      <c r="R6240" s="14" t="b">
        <f t="shared" si="1"/>
        <v>0</v>
      </c>
      <c r="S6240" s="14" t="str">
        <f t="shared" si="2"/>
        <v>64.582548,39.880572</v>
      </c>
      <c r="T6240" s="12"/>
    </row>
    <row r="6241">
      <c r="A6241" s="146" t="s">
        <v>40090</v>
      </c>
      <c r="B6241" s="147" t="s">
        <v>40091</v>
      </c>
      <c r="C6241" s="147" t="s">
        <v>40092</v>
      </c>
      <c r="D6241" s="147" t="s">
        <v>33342</v>
      </c>
      <c r="E6241" s="148" t="s">
        <v>40093</v>
      </c>
      <c r="F6241" s="146" t="s">
        <v>14706</v>
      </c>
      <c r="G6241" s="146" t="s">
        <v>33344</v>
      </c>
      <c r="H6241" s="146"/>
      <c r="I6241" s="147"/>
      <c r="J6241" s="147" t="s">
        <v>40094</v>
      </c>
      <c r="K6241" s="147" t="s">
        <v>40095</v>
      </c>
      <c r="L6241" s="149" t="s">
        <v>40096</v>
      </c>
      <c r="M6241" s="149" t="s">
        <v>40097</v>
      </c>
      <c r="N6241" s="12"/>
      <c r="O6241" s="12"/>
      <c r="P6241" s="13">
        <f>IFERROR(__xludf.DUMMYFUNCTION("VALUE(SUBSTITUTE((INDEX(SPLIT(A6241,"",""),1)),""."","","",1))"),61.319809)</f>
        <v>61.319809</v>
      </c>
      <c r="Q6241" s="13">
        <f>IFERROR(__xludf.DUMMYFUNCTION("VALUE(SUBSTITUTE((INDEX(SPLIT(A6241,"",""),2)),""."","","",1))"),47.146488)</f>
        <v>47.146488</v>
      </c>
      <c r="R6241" s="14" t="b">
        <f t="shared" si="1"/>
        <v>0</v>
      </c>
      <c r="S6241" s="14" t="str">
        <f t="shared" si="2"/>
        <v>61.319809,47.146488</v>
      </c>
      <c r="T6241" s="12"/>
    </row>
    <row r="6242">
      <c r="A6242" s="142" t="s">
        <v>40098</v>
      </c>
      <c r="B6242" s="143" t="s">
        <v>40099</v>
      </c>
      <c r="C6242" s="143" t="s">
        <v>40100</v>
      </c>
      <c r="D6242" s="143" t="s">
        <v>33342</v>
      </c>
      <c r="E6242" s="144" t="s">
        <v>40101</v>
      </c>
      <c r="F6242" s="142" t="s">
        <v>14706</v>
      </c>
      <c r="G6242" s="142" t="s">
        <v>33344</v>
      </c>
      <c r="H6242" s="142"/>
      <c r="I6242" s="143"/>
      <c r="J6242" s="143" t="s">
        <v>40102</v>
      </c>
      <c r="K6242" s="143" t="s">
        <v>40103</v>
      </c>
      <c r="L6242" s="145" t="s">
        <v>40104</v>
      </c>
      <c r="M6242" s="145" t="s">
        <v>40105</v>
      </c>
      <c r="N6242" s="12"/>
      <c r="O6242" s="12"/>
      <c r="P6242" s="13">
        <f>IFERROR(__xludf.DUMMYFUNCTION("VALUE(SUBSTITUTE((INDEX(SPLIT(A6242,"",""),1)),""."","","",1))"),59.897361)</f>
        <v>59.897361</v>
      </c>
      <c r="Q6242" s="13">
        <f>IFERROR(__xludf.DUMMYFUNCTION("VALUE(SUBSTITUTE((INDEX(SPLIT(A6242,"",""),2)),""."","","",1))"),30.433233)</f>
        <v>30.433233</v>
      </c>
      <c r="R6242" s="14" t="b">
        <f t="shared" si="1"/>
        <v>0</v>
      </c>
      <c r="S6242" s="14" t="str">
        <f t="shared" si="2"/>
        <v>59.897361,30.433233</v>
      </c>
      <c r="T6242" s="12"/>
    </row>
    <row r="6243">
      <c r="A6243" s="146" t="s">
        <v>40106</v>
      </c>
      <c r="B6243" s="147" t="s">
        <v>40107</v>
      </c>
      <c r="C6243" s="147" t="s">
        <v>40108</v>
      </c>
      <c r="D6243" s="147" t="s">
        <v>33342</v>
      </c>
      <c r="E6243" s="148" t="s">
        <v>40109</v>
      </c>
      <c r="F6243" s="146" t="s">
        <v>14706</v>
      </c>
      <c r="G6243" s="146" t="s">
        <v>33344</v>
      </c>
      <c r="H6243" s="146"/>
      <c r="I6243" s="147"/>
      <c r="J6243" s="147" t="s">
        <v>40110</v>
      </c>
      <c r="K6243" s="147" t="s">
        <v>40111</v>
      </c>
      <c r="L6243" s="149" t="s">
        <v>40112</v>
      </c>
      <c r="M6243" s="147"/>
      <c r="N6243" s="12"/>
      <c r="O6243" s="12"/>
      <c r="P6243" s="13">
        <f>IFERROR(__xludf.DUMMYFUNCTION("VALUE(SUBSTITUTE((INDEX(SPLIT(A6243,"",""),1)),""."","","",1))"),62.70874)</f>
        <v>62.70874</v>
      </c>
      <c r="Q6243" s="13">
        <f>IFERROR(__xludf.DUMMYFUNCTION("VALUE(SUBSTITUTE((INDEX(SPLIT(A6243,"",""),2)),""."","","",1))"),40.280484)</f>
        <v>40.280484</v>
      </c>
      <c r="R6243" s="14" t="b">
        <f t="shared" si="1"/>
        <v>0</v>
      </c>
      <c r="S6243" s="14" t="str">
        <f t="shared" si="2"/>
        <v>62.70874,40.280484</v>
      </c>
      <c r="T6243" s="12"/>
    </row>
    <row r="6244">
      <c r="A6244" s="136" t="s">
        <v>40113</v>
      </c>
      <c r="B6244" s="137" t="s">
        <v>33638</v>
      </c>
      <c r="C6244" s="137" t="s">
        <v>33639</v>
      </c>
      <c r="D6244" s="137" t="s">
        <v>33342</v>
      </c>
      <c r="E6244" s="138" t="s">
        <v>40114</v>
      </c>
      <c r="F6244" s="136" t="s">
        <v>19927</v>
      </c>
      <c r="G6244" s="136" t="s">
        <v>33344</v>
      </c>
      <c r="H6244" s="136"/>
      <c r="I6244" s="137"/>
      <c r="J6244" s="137" t="s">
        <v>40115</v>
      </c>
      <c r="K6244" s="137" t="s">
        <v>40116</v>
      </c>
      <c r="L6244" s="137"/>
      <c r="M6244" s="137"/>
      <c r="N6244" s="12"/>
      <c r="O6244" s="12"/>
      <c r="P6244" s="13">
        <f>IFERROR(__xludf.DUMMYFUNCTION("VALUE(SUBSTITUTE((INDEX(SPLIT(A6244,"",""),1)),""."","","",1))"),48.275848)</f>
        <v>48.275848</v>
      </c>
      <c r="Q6244" s="13">
        <f>IFERROR(__xludf.DUMMYFUNCTION("VALUE(SUBSTITUTE((INDEX(SPLIT(A6244,"",""),2)),""."","","",1))"),46.168168)</f>
        <v>46.168168</v>
      </c>
      <c r="R6244" s="14" t="b">
        <f t="shared" si="1"/>
        <v>0</v>
      </c>
      <c r="S6244" s="14" t="str">
        <f t="shared" si="2"/>
        <v>48.275848,46.168168</v>
      </c>
      <c r="T6244" s="12"/>
    </row>
    <row r="6245">
      <c r="A6245" s="146" t="s">
        <v>40117</v>
      </c>
      <c r="B6245" s="147" t="s">
        <v>40118</v>
      </c>
      <c r="C6245" s="147" t="s">
        <v>40119</v>
      </c>
      <c r="D6245" s="147" t="s">
        <v>33342</v>
      </c>
      <c r="E6245" s="148" t="s">
        <v>40120</v>
      </c>
      <c r="F6245" s="146" t="s">
        <v>19927</v>
      </c>
      <c r="G6245" s="146" t="s">
        <v>33344</v>
      </c>
      <c r="H6245" s="146"/>
      <c r="I6245" s="147"/>
      <c r="J6245" s="147" t="s">
        <v>40121</v>
      </c>
      <c r="K6245" s="147" t="s">
        <v>40122</v>
      </c>
      <c r="L6245" s="150" t="s">
        <v>40123</v>
      </c>
      <c r="M6245" s="147"/>
      <c r="N6245" s="12"/>
      <c r="O6245" s="12"/>
      <c r="P6245" s="13">
        <f>IFERROR(__xludf.DUMMYFUNCTION("VALUE(SUBSTITUTE((INDEX(SPLIT(A6245,"",""),1)),""."","","",1))"),46.325501)</f>
        <v>46.325501</v>
      </c>
      <c r="Q6245" s="13">
        <f>IFERROR(__xludf.DUMMYFUNCTION("VALUE(SUBSTITUTE((INDEX(SPLIT(A6245,"",""),2)),""."","","",1))"),48.054262)</f>
        <v>48.054262</v>
      </c>
      <c r="R6245" s="14" t="b">
        <f t="shared" si="1"/>
        <v>0</v>
      </c>
      <c r="S6245" s="14" t="str">
        <f t="shared" si="2"/>
        <v>46.325501,48.054262</v>
      </c>
      <c r="T6245" s="12"/>
    </row>
    <row r="6246">
      <c r="A6246" s="142" t="s">
        <v>40124</v>
      </c>
      <c r="B6246" s="143" t="s">
        <v>40125</v>
      </c>
      <c r="C6246" s="143" t="s">
        <v>40126</v>
      </c>
      <c r="D6246" s="143" t="s">
        <v>33342</v>
      </c>
      <c r="E6246" s="144" t="s">
        <v>40127</v>
      </c>
      <c r="F6246" s="142" t="s">
        <v>4327</v>
      </c>
      <c r="G6246" s="142" t="s">
        <v>33344</v>
      </c>
      <c r="H6246" s="142"/>
      <c r="I6246" s="143"/>
      <c r="J6246" s="143" t="s">
        <v>40128</v>
      </c>
      <c r="K6246" s="143" t="s">
        <v>40129</v>
      </c>
      <c r="L6246" s="145" t="s">
        <v>40130</v>
      </c>
      <c r="M6246" s="143"/>
      <c r="N6246" s="12"/>
      <c r="O6246" s="12"/>
      <c r="P6246" s="13">
        <f>IFERROR(__xludf.DUMMYFUNCTION("VALUE(SUBSTITUTE((INDEX(SPLIT(A6246,"",""),1)),""."","","",1))"),50.585378)</f>
        <v>50.585378</v>
      </c>
      <c r="Q6246" s="13">
        <f>IFERROR(__xludf.DUMMYFUNCTION("VALUE(SUBSTITUTE((INDEX(SPLIT(A6246,"",""),2)),""."","","",1))"),36.740969)</f>
        <v>36.740969</v>
      </c>
      <c r="R6246" s="14" t="b">
        <f t="shared" si="1"/>
        <v>0</v>
      </c>
      <c r="S6246" s="14" t="str">
        <f t="shared" si="2"/>
        <v>50.585378,36.740969</v>
      </c>
      <c r="T6246" s="12"/>
    </row>
    <row r="6247">
      <c r="A6247" s="139" t="s">
        <v>40131</v>
      </c>
      <c r="B6247" s="140" t="s">
        <v>40132</v>
      </c>
      <c r="C6247" s="140" t="s">
        <v>40133</v>
      </c>
      <c r="D6247" s="140" t="s">
        <v>33342</v>
      </c>
      <c r="E6247" s="141" t="s">
        <v>40134</v>
      </c>
      <c r="F6247" s="139" t="s">
        <v>4327</v>
      </c>
      <c r="G6247" s="139" t="s">
        <v>33344</v>
      </c>
      <c r="H6247" s="139"/>
      <c r="I6247" s="140"/>
      <c r="J6247" s="140" t="s">
        <v>40135</v>
      </c>
      <c r="K6247" s="140" t="s">
        <v>40136</v>
      </c>
      <c r="L6247" s="140"/>
      <c r="M6247" s="140"/>
      <c r="N6247" s="12"/>
      <c r="O6247" s="12"/>
      <c r="P6247" s="13">
        <f>IFERROR(__xludf.DUMMYFUNCTION("VALUE(SUBSTITUTE((INDEX(SPLIT(A6247,"",""),1)),""."","","",1))"),50.577994)</f>
        <v>50.577994</v>
      </c>
      <c r="Q6247" s="13">
        <f>IFERROR(__xludf.DUMMYFUNCTION("VALUE(SUBSTITUTE((INDEX(SPLIT(A6247,"",""),2)),""."","","",1))"),36.758307)</f>
        <v>36.758307</v>
      </c>
      <c r="R6247" s="14" t="b">
        <f t="shared" si="1"/>
        <v>0</v>
      </c>
      <c r="S6247" s="14" t="str">
        <f t="shared" si="2"/>
        <v>50.577994,36.758307</v>
      </c>
      <c r="T6247" s="12"/>
    </row>
    <row r="6248">
      <c r="A6248" s="136" t="s">
        <v>40137</v>
      </c>
      <c r="B6248" s="137" t="s">
        <v>40138</v>
      </c>
      <c r="C6248" s="137" t="s">
        <v>40139</v>
      </c>
      <c r="D6248" s="137" t="s">
        <v>33342</v>
      </c>
      <c r="E6248" s="138" t="s">
        <v>40140</v>
      </c>
      <c r="F6248" s="136" t="s">
        <v>4327</v>
      </c>
      <c r="G6248" s="136" t="s">
        <v>33344</v>
      </c>
      <c r="H6248" s="136"/>
      <c r="I6248" s="137"/>
      <c r="J6248" s="137" t="s">
        <v>40141</v>
      </c>
      <c r="K6248" s="137" t="s">
        <v>40142</v>
      </c>
      <c r="L6248" s="137"/>
      <c r="M6248" s="137"/>
      <c r="N6248" s="12"/>
      <c r="O6248" s="12"/>
      <c r="P6248" s="13">
        <f>IFERROR(__xludf.DUMMYFUNCTION("VALUE(SUBSTITUTE((INDEX(SPLIT(A6248,"",""),1)),""."","","",1))"),50.551274)</f>
        <v>50.551274</v>
      </c>
      <c r="Q6248" s="13">
        <f>IFERROR(__xludf.DUMMYFUNCTION("VALUE(SUBSTITUTE((INDEX(SPLIT(A6248,"",""),2)),""."","","",1))"),36.740942)</f>
        <v>36.740942</v>
      </c>
      <c r="R6248" s="14" t="b">
        <f t="shared" si="1"/>
        <v>0</v>
      </c>
      <c r="S6248" s="14" t="str">
        <f t="shared" si="2"/>
        <v>50.551274,36.740942</v>
      </c>
      <c r="T6248" s="12"/>
    </row>
    <row r="6249">
      <c r="A6249" s="139" t="s">
        <v>40143</v>
      </c>
      <c r="B6249" s="140" t="s">
        <v>40144</v>
      </c>
      <c r="C6249" s="140" t="s">
        <v>40145</v>
      </c>
      <c r="D6249" s="140" t="s">
        <v>33342</v>
      </c>
      <c r="E6249" s="141" t="s">
        <v>40146</v>
      </c>
      <c r="F6249" s="139" t="s">
        <v>4327</v>
      </c>
      <c r="G6249" s="139" t="s">
        <v>33344</v>
      </c>
      <c r="H6249" s="139"/>
      <c r="I6249" s="157" t="s">
        <v>40147</v>
      </c>
      <c r="J6249" s="140" t="s">
        <v>40148</v>
      </c>
      <c r="K6249" s="140" t="s">
        <v>40149</v>
      </c>
      <c r="L6249" s="140"/>
      <c r="M6249" s="140"/>
      <c r="N6249" s="12"/>
      <c r="O6249" s="12"/>
      <c r="P6249" s="13">
        <f>IFERROR(__xludf.DUMMYFUNCTION("VALUE(SUBSTITUTE((INDEX(SPLIT(A6249,"",""),1)),""."","","",1))"),50.494917)</f>
        <v>50.494917</v>
      </c>
      <c r="Q6249" s="13">
        <f>IFERROR(__xludf.DUMMYFUNCTION("VALUE(SUBSTITUTE((INDEX(SPLIT(A6249,"",""),2)),""."","","",1))"),38.370873)</f>
        <v>38.370873</v>
      </c>
      <c r="R6249" s="14" t="b">
        <f t="shared" si="1"/>
        <v>0</v>
      </c>
      <c r="S6249" s="14" t="str">
        <f t="shared" si="2"/>
        <v>50.494917,38.370873</v>
      </c>
      <c r="T6249" s="12"/>
    </row>
    <row r="6250">
      <c r="A6250" s="136" t="s">
        <v>40150</v>
      </c>
      <c r="B6250" s="137" t="s">
        <v>40151</v>
      </c>
      <c r="C6250" s="137" t="s">
        <v>40152</v>
      </c>
      <c r="D6250" s="137" t="s">
        <v>33342</v>
      </c>
      <c r="E6250" s="138" t="s">
        <v>40153</v>
      </c>
      <c r="F6250" s="136" t="s">
        <v>4327</v>
      </c>
      <c r="G6250" s="136" t="s">
        <v>33344</v>
      </c>
      <c r="H6250" s="136"/>
      <c r="I6250" s="137"/>
      <c r="J6250" s="137" t="s">
        <v>40154</v>
      </c>
      <c r="K6250" s="137" t="s">
        <v>40155</v>
      </c>
      <c r="L6250" s="137"/>
      <c r="M6250" s="137"/>
      <c r="N6250" s="12"/>
      <c r="O6250" s="12"/>
      <c r="P6250" s="13">
        <f>IFERROR(__xludf.DUMMYFUNCTION("VALUE(SUBSTITUTE((INDEX(SPLIT(A6250,"",""),1)),""."","","",1))"),50.600892)</f>
        <v>50.600892</v>
      </c>
      <c r="Q6250" s="13">
        <f>IFERROR(__xludf.DUMMYFUNCTION("VALUE(SUBSTITUTE((INDEX(SPLIT(A6250,"",""),2)),""."","","",1))"),36.59343)</f>
        <v>36.59343</v>
      </c>
      <c r="R6250" s="14" t="b">
        <f t="shared" si="1"/>
        <v>0</v>
      </c>
      <c r="S6250" s="14" t="str">
        <f t="shared" si="2"/>
        <v>50.600892,36.59343</v>
      </c>
      <c r="T6250" s="12"/>
    </row>
    <row r="6251">
      <c r="A6251" s="139" t="s">
        <v>40156</v>
      </c>
      <c r="B6251" s="140" t="s">
        <v>40157</v>
      </c>
      <c r="C6251" s="140" t="s">
        <v>40158</v>
      </c>
      <c r="D6251" s="140" t="s">
        <v>33342</v>
      </c>
      <c r="E6251" s="141" t="s">
        <v>40159</v>
      </c>
      <c r="F6251" s="139" t="s">
        <v>4327</v>
      </c>
      <c r="G6251" s="139" t="s">
        <v>33344</v>
      </c>
      <c r="H6251" s="139"/>
      <c r="I6251" s="140"/>
      <c r="J6251" s="140" t="s">
        <v>40160</v>
      </c>
      <c r="K6251" s="140" t="s">
        <v>40161</v>
      </c>
      <c r="L6251" s="140"/>
      <c r="M6251" s="140"/>
      <c r="N6251" s="12"/>
      <c r="O6251" s="12"/>
      <c r="P6251" s="13">
        <f>IFERROR(__xludf.DUMMYFUNCTION("VALUE(SUBSTITUTE((INDEX(SPLIT(A6251,"",""),1)),""."","","",1))"),50.409018)</f>
        <v>50.409018</v>
      </c>
      <c r="Q6251" s="13">
        <f>IFERROR(__xludf.DUMMYFUNCTION("VALUE(SUBSTITUTE((INDEX(SPLIT(A6251,"",""),2)),""."","","",1))"),36.912745)</f>
        <v>36.912745</v>
      </c>
      <c r="R6251" s="14" t="b">
        <f t="shared" si="1"/>
        <v>0</v>
      </c>
      <c r="S6251" s="14" t="str">
        <f t="shared" si="2"/>
        <v>50.409018,36.912745</v>
      </c>
      <c r="T6251" s="12"/>
    </row>
    <row r="6252">
      <c r="A6252" s="142" t="s">
        <v>40162</v>
      </c>
      <c r="B6252" s="143" t="s">
        <v>40163</v>
      </c>
      <c r="C6252" s="143" t="s">
        <v>40164</v>
      </c>
      <c r="D6252" s="143" t="s">
        <v>33342</v>
      </c>
      <c r="E6252" s="144" t="s">
        <v>40165</v>
      </c>
      <c r="F6252" s="142" t="s">
        <v>4327</v>
      </c>
      <c r="G6252" s="142" t="s">
        <v>33344</v>
      </c>
      <c r="H6252" s="142"/>
      <c r="I6252" s="143"/>
      <c r="J6252" s="143" t="s">
        <v>40166</v>
      </c>
      <c r="K6252" s="143" t="s">
        <v>40167</v>
      </c>
      <c r="L6252" s="145" t="s">
        <v>40168</v>
      </c>
      <c r="M6252" s="145" t="s">
        <v>40169</v>
      </c>
      <c r="N6252" s="12"/>
      <c r="O6252" s="12"/>
      <c r="P6252" s="13">
        <f>IFERROR(__xludf.DUMMYFUNCTION("VALUE(SUBSTITUTE((INDEX(SPLIT(A6252,"",""),1)),""."","","",1))"),50.623784)</f>
        <v>50.623784</v>
      </c>
      <c r="Q6252" s="13">
        <f>IFERROR(__xludf.DUMMYFUNCTION("VALUE(SUBSTITUTE((INDEX(SPLIT(A6252,"",""),2)),""."","","",1))"),36.559159)</f>
        <v>36.559159</v>
      </c>
      <c r="R6252" s="14" t="b">
        <f t="shared" si="1"/>
        <v>0</v>
      </c>
      <c r="S6252" s="14" t="str">
        <f t="shared" si="2"/>
        <v>50.623784,36.559159</v>
      </c>
      <c r="T6252" s="12"/>
    </row>
    <row r="6253">
      <c r="A6253" s="146" t="s">
        <v>40170</v>
      </c>
      <c r="B6253" s="147" t="s">
        <v>40171</v>
      </c>
      <c r="C6253" s="147" t="s">
        <v>40172</v>
      </c>
      <c r="D6253" s="147" t="s">
        <v>33342</v>
      </c>
      <c r="E6253" s="148" t="s">
        <v>40173</v>
      </c>
      <c r="F6253" s="146" t="s">
        <v>4327</v>
      </c>
      <c r="G6253" s="146" t="s">
        <v>33344</v>
      </c>
      <c r="H6253" s="146"/>
      <c r="I6253" s="147"/>
      <c r="J6253" s="147" t="s">
        <v>40174</v>
      </c>
      <c r="K6253" s="147" t="s">
        <v>40175</v>
      </c>
      <c r="L6253" s="149" t="s">
        <v>40176</v>
      </c>
      <c r="M6253" s="149" t="s">
        <v>40177</v>
      </c>
      <c r="N6253" s="12"/>
      <c r="O6253" s="12"/>
      <c r="P6253" s="13">
        <f>IFERROR(__xludf.DUMMYFUNCTION("VALUE(SUBSTITUTE((INDEX(SPLIT(A6253,"",""),1)),""."","","",1))"),50.621109)</f>
        <v>50.621109</v>
      </c>
      <c r="Q6253" s="13">
        <f>IFERROR(__xludf.DUMMYFUNCTION("VALUE(SUBSTITUTE((INDEX(SPLIT(A6253,"",""),2)),""."","","",1))"),38.682354)</f>
        <v>38.682354</v>
      </c>
      <c r="R6253" s="14" t="b">
        <f t="shared" si="1"/>
        <v>0</v>
      </c>
      <c r="S6253" s="14" t="str">
        <f t="shared" si="2"/>
        <v>50.621109,38.682354</v>
      </c>
      <c r="T6253" s="12"/>
    </row>
    <row r="6254">
      <c r="A6254" s="136" t="s">
        <v>40178</v>
      </c>
      <c r="B6254" s="137" t="s">
        <v>40179</v>
      </c>
      <c r="C6254" s="137" t="s">
        <v>40180</v>
      </c>
      <c r="D6254" s="137" t="s">
        <v>33342</v>
      </c>
      <c r="E6254" s="138" t="s">
        <v>40181</v>
      </c>
      <c r="F6254" s="136" t="s">
        <v>4327</v>
      </c>
      <c r="G6254" s="136" t="s">
        <v>33344</v>
      </c>
      <c r="H6254" s="136"/>
      <c r="I6254" s="137"/>
      <c r="J6254" s="137" t="s">
        <v>40182</v>
      </c>
      <c r="K6254" s="137" t="s">
        <v>40183</v>
      </c>
      <c r="L6254" s="137"/>
      <c r="M6254" s="137"/>
      <c r="N6254" s="12"/>
      <c r="O6254" s="12"/>
      <c r="P6254" s="13">
        <f>IFERROR(__xludf.DUMMYFUNCTION("VALUE(SUBSTITUTE((INDEX(SPLIT(A6254,"",""),1)),""."","","",1))"),50.620869)</f>
        <v>50.620869</v>
      </c>
      <c r="Q6254" s="13">
        <f>IFERROR(__xludf.DUMMYFUNCTION("VALUE(SUBSTITUTE((INDEX(SPLIT(A6254,"",""),2)),""."","","",1))"),38.641283)</f>
        <v>38.641283</v>
      </c>
      <c r="R6254" s="14" t="b">
        <f t="shared" si="1"/>
        <v>0</v>
      </c>
      <c r="S6254" s="14" t="str">
        <f t="shared" si="2"/>
        <v>50.620869,38.641283</v>
      </c>
      <c r="T6254" s="12"/>
    </row>
    <row r="6255">
      <c r="A6255" s="139" t="s">
        <v>40184</v>
      </c>
      <c r="B6255" s="140" t="s">
        <v>40185</v>
      </c>
      <c r="C6255" s="140" t="s">
        <v>40186</v>
      </c>
      <c r="D6255" s="140" t="s">
        <v>33342</v>
      </c>
      <c r="E6255" s="141" t="s">
        <v>40187</v>
      </c>
      <c r="F6255" s="139" t="s">
        <v>4327</v>
      </c>
      <c r="G6255" s="139" t="s">
        <v>33344</v>
      </c>
      <c r="H6255" s="139"/>
      <c r="I6255" s="140"/>
      <c r="J6255" s="140" t="s">
        <v>40188</v>
      </c>
      <c r="K6255" s="140" t="s">
        <v>40189</v>
      </c>
      <c r="L6255" s="140"/>
      <c r="M6255" s="140"/>
      <c r="N6255" s="12"/>
      <c r="O6255" s="12"/>
      <c r="P6255" s="13">
        <f>IFERROR(__xludf.DUMMYFUNCTION("VALUE(SUBSTITUTE((INDEX(SPLIT(A6255,"",""),1)),""."","","",1))"),50.61744)</f>
        <v>50.61744</v>
      </c>
      <c r="Q6255" s="13">
        <f>IFERROR(__xludf.DUMMYFUNCTION("VALUE(SUBSTITUTE((INDEX(SPLIT(A6255,"",""),2)),""."","","",1))"),36.568583)</f>
        <v>36.568583</v>
      </c>
      <c r="R6255" s="14" t="b">
        <f t="shared" si="1"/>
        <v>0</v>
      </c>
      <c r="S6255" s="14" t="str">
        <f t="shared" si="2"/>
        <v>50.61744,36.568583</v>
      </c>
      <c r="T6255" s="12"/>
    </row>
    <row r="6256">
      <c r="A6256" s="136" t="s">
        <v>40190</v>
      </c>
      <c r="B6256" s="137" t="s">
        <v>40191</v>
      </c>
      <c r="C6256" s="137" t="s">
        <v>40192</v>
      </c>
      <c r="D6256" s="137" t="s">
        <v>33342</v>
      </c>
      <c r="E6256" s="138" t="s">
        <v>40193</v>
      </c>
      <c r="F6256" s="136" t="s">
        <v>4327</v>
      </c>
      <c r="G6256" s="136" t="s">
        <v>33344</v>
      </c>
      <c r="H6256" s="136"/>
      <c r="I6256" s="137"/>
      <c r="J6256" s="137" t="s">
        <v>40194</v>
      </c>
      <c r="K6256" s="137" t="s">
        <v>40195</v>
      </c>
      <c r="L6256" s="137"/>
      <c r="M6256" s="137"/>
      <c r="N6256" s="12"/>
      <c r="O6256" s="12"/>
      <c r="P6256" s="13">
        <f>IFERROR(__xludf.DUMMYFUNCTION("VALUE(SUBSTITUTE((INDEX(SPLIT(A6256,"",""),1)),""."","","",1))"),50.612799)</f>
        <v>50.612799</v>
      </c>
      <c r="Q6256" s="13">
        <f>IFERROR(__xludf.DUMMYFUNCTION("VALUE(SUBSTITUTE((INDEX(SPLIT(A6256,"",""),2)),""."","","",1))"),36.567981)</f>
        <v>36.567981</v>
      </c>
      <c r="R6256" s="14" t="b">
        <f t="shared" si="1"/>
        <v>0</v>
      </c>
      <c r="S6256" s="14" t="str">
        <f t="shared" si="2"/>
        <v>50.612799,36.567981</v>
      </c>
      <c r="T6256" s="12"/>
    </row>
    <row r="6257">
      <c r="A6257" s="139" t="s">
        <v>40196</v>
      </c>
      <c r="B6257" s="140" t="s">
        <v>40197</v>
      </c>
      <c r="C6257" s="140" t="s">
        <v>40198</v>
      </c>
      <c r="D6257" s="140" t="s">
        <v>33342</v>
      </c>
      <c r="E6257" s="141" t="s">
        <v>40199</v>
      </c>
      <c r="F6257" s="139" t="s">
        <v>4327</v>
      </c>
      <c r="G6257" s="139" t="s">
        <v>33344</v>
      </c>
      <c r="H6257" s="139"/>
      <c r="I6257" s="140"/>
      <c r="J6257" s="140" t="s">
        <v>40200</v>
      </c>
      <c r="K6257" s="140" t="s">
        <v>40201</v>
      </c>
      <c r="L6257" s="140"/>
      <c r="M6257" s="140"/>
      <c r="N6257" s="12"/>
      <c r="O6257" s="12"/>
      <c r="P6257" s="13">
        <f>IFERROR(__xludf.DUMMYFUNCTION("VALUE(SUBSTITUTE((INDEX(SPLIT(A6257,"",""),1)),""."","","",1))"),50.598953)</f>
        <v>50.598953</v>
      </c>
      <c r="Q6257" s="13">
        <f>IFERROR(__xludf.DUMMYFUNCTION("VALUE(SUBSTITUTE((INDEX(SPLIT(A6257,"",""),2)),""."","","",1))"),36.606015)</f>
        <v>36.606015</v>
      </c>
      <c r="R6257" s="14" t="b">
        <f t="shared" si="1"/>
        <v>0</v>
      </c>
      <c r="S6257" s="14" t="str">
        <f t="shared" si="2"/>
        <v>50.598953,36.606015</v>
      </c>
      <c r="T6257" s="12"/>
    </row>
    <row r="6258">
      <c r="A6258" s="142" t="s">
        <v>40202</v>
      </c>
      <c r="B6258" s="143" t="s">
        <v>40203</v>
      </c>
      <c r="C6258" s="143" t="s">
        <v>40204</v>
      </c>
      <c r="D6258" s="143" t="s">
        <v>33342</v>
      </c>
      <c r="E6258" s="144" t="s">
        <v>40205</v>
      </c>
      <c r="F6258" s="142" t="s">
        <v>4327</v>
      </c>
      <c r="G6258" s="142" t="s">
        <v>33344</v>
      </c>
      <c r="H6258" s="142"/>
      <c r="I6258" s="143"/>
      <c r="J6258" s="143" t="s">
        <v>40206</v>
      </c>
      <c r="K6258" s="143" t="s">
        <v>25683</v>
      </c>
      <c r="L6258" s="145" t="s">
        <v>40207</v>
      </c>
      <c r="M6258" s="145" t="s">
        <v>40208</v>
      </c>
      <c r="N6258" s="12"/>
      <c r="O6258" s="12"/>
      <c r="P6258" s="13">
        <f>IFERROR(__xludf.DUMMYFUNCTION("VALUE(SUBSTITUTE((INDEX(SPLIT(A6258,"",""),1)),""."","","",1))"),50.571044)</f>
        <v>50.571044</v>
      </c>
      <c r="Q6258" s="13">
        <f>IFERROR(__xludf.DUMMYFUNCTION("VALUE(SUBSTITUTE((INDEX(SPLIT(A6258,"",""),2)),""."","","",1))"),36.581186)</f>
        <v>36.581186</v>
      </c>
      <c r="R6258" s="14" t="b">
        <f t="shared" si="1"/>
        <v>0</v>
      </c>
      <c r="S6258" s="14" t="str">
        <f t="shared" si="2"/>
        <v>50.571044,36.581186</v>
      </c>
      <c r="T6258" s="12"/>
    </row>
    <row r="6259">
      <c r="A6259" s="146" t="s">
        <v>7971</v>
      </c>
      <c r="B6259" s="147" t="s">
        <v>18718</v>
      </c>
      <c r="C6259" s="147" t="s">
        <v>40209</v>
      </c>
      <c r="D6259" s="147" t="s">
        <v>33342</v>
      </c>
      <c r="E6259" s="148" t="s">
        <v>40210</v>
      </c>
      <c r="F6259" s="146" t="s">
        <v>4327</v>
      </c>
      <c r="G6259" s="146" t="s">
        <v>33344</v>
      </c>
      <c r="H6259" s="146"/>
      <c r="I6259" s="147"/>
      <c r="J6259" s="147" t="s">
        <v>40211</v>
      </c>
      <c r="K6259" s="147" t="s">
        <v>40212</v>
      </c>
      <c r="L6259" s="149" t="s">
        <v>18723</v>
      </c>
      <c r="M6259" s="147"/>
      <c r="N6259" s="12"/>
      <c r="O6259" s="12"/>
      <c r="P6259" s="13">
        <f>IFERROR(__xludf.DUMMYFUNCTION("VALUE(SUBSTITUTE((INDEX(SPLIT(A6259,"",""),1)),""."","","",1))"),50.607472)</f>
        <v>50.607472</v>
      </c>
      <c r="Q6259" s="13">
        <f>IFERROR(__xludf.DUMMYFUNCTION("VALUE(SUBSTITUTE((INDEX(SPLIT(A6259,"",""),2)),""."","","",1))"),36.550553)</f>
        <v>36.550553</v>
      </c>
      <c r="R6259" s="14" t="b">
        <f t="shared" si="1"/>
        <v>0</v>
      </c>
      <c r="S6259" s="14" t="str">
        <f t="shared" si="2"/>
        <v>50.607472,36.550553</v>
      </c>
      <c r="T6259" s="12"/>
    </row>
    <row r="6260">
      <c r="A6260" s="142" t="s">
        <v>40213</v>
      </c>
      <c r="B6260" s="143" t="s">
        <v>40214</v>
      </c>
      <c r="C6260" s="143" t="s">
        <v>40215</v>
      </c>
      <c r="D6260" s="143" t="s">
        <v>33342</v>
      </c>
      <c r="E6260" s="144" t="s">
        <v>40216</v>
      </c>
      <c r="F6260" s="142" t="s">
        <v>4327</v>
      </c>
      <c r="G6260" s="142" t="s">
        <v>33344</v>
      </c>
      <c r="H6260" s="142"/>
      <c r="I6260" s="143"/>
      <c r="J6260" s="143" t="s">
        <v>40217</v>
      </c>
      <c r="K6260" s="143" t="s">
        <v>40218</v>
      </c>
      <c r="L6260" s="145" t="s">
        <v>40219</v>
      </c>
      <c r="M6260" s="143"/>
      <c r="N6260" s="12"/>
      <c r="O6260" s="12"/>
      <c r="P6260" s="13">
        <f>IFERROR(__xludf.DUMMYFUNCTION("VALUE(SUBSTITUTE((INDEX(SPLIT(A6260,"",""),1)),""."","","",1))"),50.597467)</f>
        <v>50.597467</v>
      </c>
      <c r="Q6260" s="13">
        <f>IFERROR(__xludf.DUMMYFUNCTION("VALUE(SUBSTITUTE((INDEX(SPLIT(A6260,"",""),2)),""."","","",1))"),36.679614)</f>
        <v>36.679614</v>
      </c>
      <c r="R6260" s="14" t="b">
        <f t="shared" si="1"/>
        <v>0</v>
      </c>
      <c r="S6260" s="14" t="str">
        <f t="shared" si="2"/>
        <v>50.597467,36.679614</v>
      </c>
      <c r="T6260" s="12"/>
    </row>
    <row r="6261">
      <c r="A6261" s="146" t="s">
        <v>40220</v>
      </c>
      <c r="B6261" s="147" t="s">
        <v>40221</v>
      </c>
      <c r="C6261" s="147" t="s">
        <v>40222</v>
      </c>
      <c r="D6261" s="147" t="s">
        <v>33342</v>
      </c>
      <c r="E6261" s="148" t="s">
        <v>40223</v>
      </c>
      <c r="F6261" s="146" t="s">
        <v>4327</v>
      </c>
      <c r="G6261" s="146" t="s">
        <v>33344</v>
      </c>
      <c r="H6261" s="146"/>
      <c r="I6261" s="147"/>
      <c r="J6261" s="147" t="s">
        <v>40224</v>
      </c>
      <c r="K6261" s="147" t="s">
        <v>40225</v>
      </c>
      <c r="L6261" s="149" t="s">
        <v>40226</v>
      </c>
      <c r="M6261" s="147"/>
      <c r="N6261" s="12"/>
      <c r="O6261" s="12"/>
      <c r="P6261" s="13">
        <f>IFERROR(__xludf.DUMMYFUNCTION("VALUE(SUBSTITUTE((INDEX(SPLIT(A6261,"",""),1)),""."","","",1))"),50.585184)</f>
        <v>50.585184</v>
      </c>
      <c r="Q6261" s="13">
        <f>IFERROR(__xludf.DUMMYFUNCTION("VALUE(SUBSTITUTE((INDEX(SPLIT(A6261,"",""),2)),""."","","",1))"),36.573586)</f>
        <v>36.573586</v>
      </c>
      <c r="R6261" s="14" t="b">
        <f t="shared" si="1"/>
        <v>0</v>
      </c>
      <c r="S6261" s="14" t="str">
        <f t="shared" si="2"/>
        <v>50.585184,36.573586</v>
      </c>
      <c r="T6261" s="12"/>
    </row>
    <row r="6262">
      <c r="A6262" s="142" t="s">
        <v>40227</v>
      </c>
      <c r="B6262" s="143" t="s">
        <v>40228</v>
      </c>
      <c r="C6262" s="143" t="s">
        <v>40229</v>
      </c>
      <c r="D6262" s="143" t="s">
        <v>33342</v>
      </c>
      <c r="E6262" s="144" t="s">
        <v>40230</v>
      </c>
      <c r="F6262" s="142" t="s">
        <v>4327</v>
      </c>
      <c r="G6262" s="142" t="s">
        <v>33344</v>
      </c>
      <c r="H6262" s="142"/>
      <c r="I6262" s="143"/>
      <c r="J6262" s="143" t="s">
        <v>40231</v>
      </c>
      <c r="K6262" s="143" t="s">
        <v>40232</v>
      </c>
      <c r="L6262" s="145" t="s">
        <v>40233</v>
      </c>
      <c r="M6262" s="143"/>
      <c r="N6262" s="12"/>
      <c r="O6262" s="12"/>
      <c r="P6262" s="13">
        <f>IFERROR(__xludf.DUMMYFUNCTION("VALUE(SUBSTITUTE((INDEX(SPLIT(A6262,"",""),1)),""."","","",1))"),50.611022)</f>
        <v>50.611022</v>
      </c>
      <c r="Q6262" s="13">
        <f>IFERROR(__xludf.DUMMYFUNCTION("VALUE(SUBSTITUTE((INDEX(SPLIT(A6262,"",""),2)),""."","","",1))"),36.582938)</f>
        <v>36.582938</v>
      </c>
      <c r="R6262" s="14" t="b">
        <f t="shared" si="1"/>
        <v>0</v>
      </c>
      <c r="S6262" s="14" t="str">
        <f t="shared" si="2"/>
        <v>50.611022,36.582938</v>
      </c>
      <c r="T6262" s="12"/>
    </row>
    <row r="6263">
      <c r="A6263" s="139" t="s">
        <v>40234</v>
      </c>
      <c r="B6263" s="140" t="s">
        <v>40235</v>
      </c>
      <c r="C6263" s="140" t="s">
        <v>40236</v>
      </c>
      <c r="D6263" s="140" t="s">
        <v>33342</v>
      </c>
      <c r="E6263" s="141" t="s">
        <v>40237</v>
      </c>
      <c r="F6263" s="139" t="s">
        <v>4327</v>
      </c>
      <c r="G6263" s="139" t="s">
        <v>33344</v>
      </c>
      <c r="H6263" s="139"/>
      <c r="I6263" s="140"/>
      <c r="J6263" s="140" t="s">
        <v>40238</v>
      </c>
      <c r="K6263" s="140" t="s">
        <v>40239</v>
      </c>
      <c r="L6263" s="140"/>
      <c r="M6263" s="154" t="s">
        <v>40240</v>
      </c>
      <c r="N6263" s="12"/>
      <c r="O6263" s="12"/>
      <c r="P6263" s="13">
        <f>IFERROR(__xludf.DUMMYFUNCTION("VALUE(SUBSTITUTE((INDEX(SPLIT(A6263,"",""),1)),""."","","",1))"),50.620275)</f>
        <v>50.620275</v>
      </c>
      <c r="Q6263" s="13">
        <f>IFERROR(__xludf.DUMMYFUNCTION("VALUE(SUBSTITUTE((INDEX(SPLIT(A6263,"",""),2)),""."","","",1))"),36.594993)</f>
        <v>36.594993</v>
      </c>
      <c r="R6263" s="14" t="b">
        <f t="shared" si="1"/>
        <v>0</v>
      </c>
      <c r="S6263" s="14" t="str">
        <f t="shared" si="2"/>
        <v>50.620275,36.594993</v>
      </c>
      <c r="T6263" s="12"/>
    </row>
    <row r="6264">
      <c r="A6264" s="136" t="s">
        <v>40241</v>
      </c>
      <c r="B6264" s="137" t="s">
        <v>40242</v>
      </c>
      <c r="C6264" s="137" t="s">
        <v>40243</v>
      </c>
      <c r="D6264" s="137" t="s">
        <v>33342</v>
      </c>
      <c r="E6264" s="138" t="s">
        <v>40244</v>
      </c>
      <c r="F6264" s="136" t="s">
        <v>4327</v>
      </c>
      <c r="G6264" s="136" t="s">
        <v>33344</v>
      </c>
      <c r="H6264" s="136"/>
      <c r="I6264" s="137"/>
      <c r="J6264" s="137" t="s">
        <v>40245</v>
      </c>
      <c r="K6264" s="137" t="s">
        <v>40246</v>
      </c>
      <c r="L6264" s="137"/>
      <c r="M6264" s="153" t="s">
        <v>40247</v>
      </c>
      <c r="N6264" s="12"/>
      <c r="O6264" s="12"/>
      <c r="P6264" s="13">
        <f>IFERROR(__xludf.DUMMYFUNCTION("VALUE(SUBSTITUTE((INDEX(SPLIT(A6264,"",""),1)),""."","","",1))"),50.565843)</f>
        <v>50.565843</v>
      </c>
      <c r="Q6264" s="13">
        <f>IFERROR(__xludf.DUMMYFUNCTION("VALUE(SUBSTITUTE((INDEX(SPLIT(A6264,"",""),2)),""."","","",1))"),36.552521)</f>
        <v>36.552521</v>
      </c>
      <c r="R6264" s="14" t="b">
        <f t="shared" si="1"/>
        <v>0</v>
      </c>
      <c r="S6264" s="14" t="str">
        <f t="shared" si="2"/>
        <v>50.565843,36.552521</v>
      </c>
      <c r="T6264" s="12"/>
    </row>
    <row r="6265">
      <c r="A6265" s="139" t="s">
        <v>40248</v>
      </c>
      <c r="B6265" s="140" t="s">
        <v>40249</v>
      </c>
      <c r="C6265" s="140" t="s">
        <v>40250</v>
      </c>
      <c r="D6265" s="140" t="s">
        <v>33342</v>
      </c>
      <c r="E6265" s="141" t="s">
        <v>40251</v>
      </c>
      <c r="F6265" s="139" t="s">
        <v>4327</v>
      </c>
      <c r="G6265" s="139" t="s">
        <v>33344</v>
      </c>
      <c r="H6265" s="139"/>
      <c r="I6265" s="140"/>
      <c r="J6265" s="140" t="s">
        <v>40252</v>
      </c>
      <c r="K6265" s="140" t="s">
        <v>40253</v>
      </c>
      <c r="L6265" s="140"/>
      <c r="M6265" s="140"/>
      <c r="N6265" s="12"/>
      <c r="O6265" s="12"/>
      <c r="P6265" s="13">
        <f>IFERROR(__xludf.DUMMYFUNCTION("VALUE(SUBSTITUTE((INDEX(SPLIT(A6265,"",""),1)),""."","","",1))"),50.162405)</f>
        <v>50.162405</v>
      </c>
      <c r="Q6265" s="13">
        <f>IFERROR(__xludf.DUMMYFUNCTION("VALUE(SUBSTITUTE((INDEX(SPLIT(A6265,"",""),2)),""."","","",1))"),38.131517)</f>
        <v>38.131517</v>
      </c>
      <c r="R6265" s="14" t="b">
        <f t="shared" si="1"/>
        <v>0</v>
      </c>
      <c r="S6265" s="14" t="str">
        <f t="shared" si="2"/>
        <v>50.162405,38.131517</v>
      </c>
      <c r="T6265" s="12"/>
    </row>
    <row r="6266">
      <c r="A6266" s="136" t="s">
        <v>40254</v>
      </c>
      <c r="B6266" s="137" t="s">
        <v>40255</v>
      </c>
      <c r="C6266" s="137" t="s">
        <v>40256</v>
      </c>
      <c r="D6266" s="137" t="s">
        <v>33342</v>
      </c>
      <c r="E6266" s="138" t="s">
        <v>40257</v>
      </c>
      <c r="F6266" s="136" t="s">
        <v>4327</v>
      </c>
      <c r="G6266" s="136" t="s">
        <v>33344</v>
      </c>
      <c r="H6266" s="136"/>
      <c r="I6266" s="137"/>
      <c r="J6266" s="137" t="s">
        <v>40258</v>
      </c>
      <c r="K6266" s="137" t="s">
        <v>40259</v>
      </c>
      <c r="L6266" s="137"/>
      <c r="M6266" s="137"/>
      <c r="N6266" s="12"/>
      <c r="O6266" s="12"/>
      <c r="P6266" s="13">
        <f>IFERROR(__xludf.DUMMYFUNCTION("VALUE(SUBSTITUTE((INDEX(SPLIT(A6266,"",""),1)),""."","","",1))"),50.549116)</f>
        <v>50.549116</v>
      </c>
      <c r="Q6266" s="13">
        <f>IFERROR(__xludf.DUMMYFUNCTION("VALUE(SUBSTITUTE((INDEX(SPLIT(A6266,"",""),2)),""."","","",1))"),38.374771)</f>
        <v>38.374771</v>
      </c>
      <c r="R6266" s="14" t="b">
        <f t="shared" si="1"/>
        <v>0</v>
      </c>
      <c r="S6266" s="14" t="str">
        <f t="shared" si="2"/>
        <v>50.549116,38.374771</v>
      </c>
      <c r="T6266" s="12"/>
    </row>
    <row r="6267">
      <c r="A6267" s="146" t="s">
        <v>40260</v>
      </c>
      <c r="B6267" s="147" t="s">
        <v>40261</v>
      </c>
      <c r="C6267" s="147" t="s">
        <v>40262</v>
      </c>
      <c r="D6267" s="147" t="s">
        <v>33342</v>
      </c>
      <c r="E6267" s="148" t="s">
        <v>40263</v>
      </c>
      <c r="F6267" s="146" t="s">
        <v>4327</v>
      </c>
      <c r="G6267" s="146" t="s">
        <v>33344</v>
      </c>
      <c r="H6267" s="146"/>
      <c r="I6267" s="147"/>
      <c r="J6267" s="147" t="s">
        <v>40264</v>
      </c>
      <c r="K6267" s="147" t="s">
        <v>40265</v>
      </c>
      <c r="L6267" s="149" t="s">
        <v>40266</v>
      </c>
      <c r="M6267" s="149" t="s">
        <v>40267</v>
      </c>
      <c r="N6267" s="12"/>
      <c r="O6267" s="12"/>
      <c r="P6267" s="13">
        <f>IFERROR(__xludf.DUMMYFUNCTION("VALUE(SUBSTITUTE((INDEX(SPLIT(A6267,"",""),1)),""."","","",1))"),51.303892)</f>
        <v>51.303892</v>
      </c>
      <c r="Q6267" s="13">
        <f>IFERROR(__xludf.DUMMYFUNCTION("VALUE(SUBSTITUTE((INDEX(SPLIT(A6267,"",""),2)),""."","","",1))"),37.915346)</f>
        <v>37.915346</v>
      </c>
      <c r="R6267" s="14" t="b">
        <f t="shared" si="1"/>
        <v>0</v>
      </c>
      <c r="S6267" s="14" t="str">
        <f t="shared" si="2"/>
        <v>51.303892,37.915346</v>
      </c>
      <c r="T6267" s="12"/>
    </row>
    <row r="6268">
      <c r="A6268" s="136" t="s">
        <v>40268</v>
      </c>
      <c r="B6268" s="137" t="s">
        <v>40269</v>
      </c>
      <c r="C6268" s="137" t="s">
        <v>40270</v>
      </c>
      <c r="D6268" s="137" t="s">
        <v>33342</v>
      </c>
      <c r="E6268" s="138" t="s">
        <v>40271</v>
      </c>
      <c r="F6268" s="136" t="s">
        <v>4327</v>
      </c>
      <c r="G6268" s="136" t="s">
        <v>33344</v>
      </c>
      <c r="H6268" s="136"/>
      <c r="I6268" s="137"/>
      <c r="J6268" s="137" t="s">
        <v>40272</v>
      </c>
      <c r="K6268" s="137" t="s">
        <v>40259</v>
      </c>
      <c r="L6268" s="137"/>
      <c r="M6268" s="137"/>
      <c r="N6268" s="12"/>
      <c r="O6268" s="12"/>
      <c r="P6268" s="13">
        <f>IFERROR(__xludf.DUMMYFUNCTION("VALUE(SUBSTITUTE((INDEX(SPLIT(A6268,"",""),1)),""."","","",1))"),51.237066)</f>
        <v>51.237066</v>
      </c>
      <c r="Q6268" s="13">
        <f>IFERROR(__xludf.DUMMYFUNCTION("VALUE(SUBSTITUTE((INDEX(SPLIT(A6268,"",""),2)),""."","","",1))"),37.926503)</f>
        <v>37.926503</v>
      </c>
      <c r="R6268" s="14" t="b">
        <f t="shared" si="1"/>
        <v>0</v>
      </c>
      <c r="S6268" s="14" t="str">
        <f t="shared" si="2"/>
        <v>51.237066,37.926503</v>
      </c>
      <c r="T6268" s="12"/>
    </row>
    <row r="6269">
      <c r="A6269" s="139" t="s">
        <v>40273</v>
      </c>
      <c r="B6269" s="140" t="s">
        <v>40274</v>
      </c>
      <c r="C6269" s="140" t="s">
        <v>40275</v>
      </c>
      <c r="D6269" s="140" t="s">
        <v>33342</v>
      </c>
      <c r="E6269" s="141" t="s">
        <v>40276</v>
      </c>
      <c r="F6269" s="139" t="s">
        <v>5142</v>
      </c>
      <c r="G6269" s="139" t="s">
        <v>33344</v>
      </c>
      <c r="H6269" s="139"/>
      <c r="I6269" s="140"/>
      <c r="J6269" s="140" t="s">
        <v>40277</v>
      </c>
      <c r="K6269" s="140" t="s">
        <v>40278</v>
      </c>
      <c r="L6269" s="140"/>
      <c r="M6269" s="140"/>
      <c r="N6269" s="12"/>
      <c r="O6269" s="12"/>
      <c r="P6269" s="13">
        <f>IFERROR(__xludf.DUMMYFUNCTION("VALUE(SUBSTITUTE((INDEX(SPLIT(A6269,"",""),1)),""."","","",1))"),53.241374)</f>
        <v>53.241374</v>
      </c>
      <c r="Q6269" s="13">
        <f>IFERROR(__xludf.DUMMYFUNCTION("VALUE(SUBSTITUTE((INDEX(SPLIT(A6269,"",""),2)),""."","","",1))"),34.375373)</f>
        <v>34.375373</v>
      </c>
      <c r="R6269" s="14" t="b">
        <f t="shared" si="1"/>
        <v>0</v>
      </c>
      <c r="S6269" s="14" t="str">
        <f t="shared" si="2"/>
        <v>53.241374,34.375373</v>
      </c>
      <c r="T6269" s="12"/>
    </row>
    <row r="6270">
      <c r="A6270" s="136" t="s">
        <v>40279</v>
      </c>
      <c r="B6270" s="137" t="s">
        <v>40280</v>
      </c>
      <c r="C6270" s="137" t="s">
        <v>40281</v>
      </c>
      <c r="D6270" s="137" t="s">
        <v>33342</v>
      </c>
      <c r="E6270" s="138" t="s">
        <v>40282</v>
      </c>
      <c r="F6270" s="136" t="s">
        <v>5142</v>
      </c>
      <c r="G6270" s="136" t="s">
        <v>33344</v>
      </c>
      <c r="H6270" s="136"/>
      <c r="I6270" s="137"/>
      <c r="J6270" s="137" t="s">
        <v>40283</v>
      </c>
      <c r="K6270" s="137" t="s">
        <v>40284</v>
      </c>
      <c r="L6270" s="137"/>
      <c r="M6270" s="137"/>
      <c r="N6270" s="12"/>
      <c r="O6270" s="12"/>
      <c r="P6270" s="13">
        <f>IFERROR(__xludf.DUMMYFUNCTION("VALUE(SUBSTITUTE((INDEX(SPLIT(A6270,"",""),1)),""."","","",1))"),53.205107)</f>
        <v>53.205107</v>
      </c>
      <c r="Q6270" s="13">
        <f>IFERROR(__xludf.DUMMYFUNCTION("VALUE(SUBSTITUTE((INDEX(SPLIT(A6270,"",""),2)),""."","","",1))"),34.437572)</f>
        <v>34.437572</v>
      </c>
      <c r="R6270" s="14" t="b">
        <f t="shared" si="1"/>
        <v>0</v>
      </c>
      <c r="S6270" s="14" t="str">
        <f t="shared" si="2"/>
        <v>53.205107,34.437572</v>
      </c>
      <c r="T6270" s="12"/>
    </row>
    <row r="6271">
      <c r="A6271" s="139" t="s">
        <v>40285</v>
      </c>
      <c r="B6271" s="140" t="s">
        <v>40286</v>
      </c>
      <c r="C6271" s="140" t="s">
        <v>40287</v>
      </c>
      <c r="D6271" s="140" t="s">
        <v>33342</v>
      </c>
      <c r="E6271" s="141" t="s">
        <v>40288</v>
      </c>
      <c r="F6271" s="139" t="s">
        <v>5142</v>
      </c>
      <c r="G6271" s="139" t="s">
        <v>33344</v>
      </c>
      <c r="H6271" s="139"/>
      <c r="I6271" s="140"/>
      <c r="J6271" s="140" t="s">
        <v>40289</v>
      </c>
      <c r="K6271" s="140" t="s">
        <v>40290</v>
      </c>
      <c r="L6271" s="140"/>
      <c r="M6271" s="140"/>
      <c r="N6271" s="12"/>
      <c r="O6271" s="12"/>
      <c r="P6271" s="13">
        <f>IFERROR(__xludf.DUMMYFUNCTION("VALUE(SUBSTITUTE((INDEX(SPLIT(A6271,"",""),1)),""."","","",1))"),52.728778)</f>
        <v>52.728778</v>
      </c>
      <c r="Q6271" s="13">
        <f>IFERROR(__xludf.DUMMYFUNCTION("VALUE(SUBSTITUTE((INDEX(SPLIT(A6271,"",""),2)),""."","","",1))"),32.24589)</f>
        <v>32.24589</v>
      </c>
      <c r="R6271" s="14" t="b">
        <f t="shared" si="1"/>
        <v>0</v>
      </c>
      <c r="S6271" s="14" t="str">
        <f t="shared" si="2"/>
        <v>52.728778,32.24589</v>
      </c>
      <c r="T6271" s="12"/>
    </row>
    <row r="6272">
      <c r="A6272" s="136" t="s">
        <v>40291</v>
      </c>
      <c r="B6272" s="137" t="s">
        <v>40292</v>
      </c>
      <c r="C6272" s="137" t="s">
        <v>40293</v>
      </c>
      <c r="D6272" s="137" t="s">
        <v>33342</v>
      </c>
      <c r="E6272" s="138" t="s">
        <v>40294</v>
      </c>
      <c r="F6272" s="136" t="s">
        <v>5142</v>
      </c>
      <c r="G6272" s="136" t="s">
        <v>33344</v>
      </c>
      <c r="H6272" s="136"/>
      <c r="I6272" s="137"/>
      <c r="J6272" s="137" t="s">
        <v>40295</v>
      </c>
      <c r="K6272" s="137" t="s">
        <v>40296</v>
      </c>
      <c r="L6272" s="137"/>
      <c r="M6272" s="137"/>
      <c r="N6272" s="12"/>
      <c r="O6272" s="12"/>
      <c r="P6272" s="13">
        <f>IFERROR(__xludf.DUMMYFUNCTION("VALUE(SUBSTITUTE((INDEX(SPLIT(A6272,"",""),1)),""."","","",1))"),53.10846)</f>
        <v>53.10846</v>
      </c>
      <c r="Q6272" s="13">
        <f>IFERROR(__xludf.DUMMYFUNCTION("VALUE(SUBSTITUTE((INDEX(SPLIT(A6272,"",""),2)),""."","","",1))"),34.08236)</f>
        <v>34.08236</v>
      </c>
      <c r="R6272" s="14" t="b">
        <f t="shared" si="1"/>
        <v>0</v>
      </c>
      <c r="S6272" s="14" t="str">
        <f t="shared" si="2"/>
        <v>53.10846,34.08236</v>
      </c>
      <c r="T6272" s="12"/>
    </row>
    <row r="6273">
      <c r="A6273" s="139" t="s">
        <v>40297</v>
      </c>
      <c r="B6273" s="140" t="s">
        <v>40298</v>
      </c>
      <c r="C6273" s="140" t="s">
        <v>40299</v>
      </c>
      <c r="D6273" s="140" t="s">
        <v>33342</v>
      </c>
      <c r="E6273" s="141" t="s">
        <v>40300</v>
      </c>
      <c r="F6273" s="139" t="s">
        <v>5142</v>
      </c>
      <c r="G6273" s="139" t="s">
        <v>33344</v>
      </c>
      <c r="H6273" s="139"/>
      <c r="I6273" s="140"/>
      <c r="J6273" s="140" t="s">
        <v>40301</v>
      </c>
      <c r="K6273" s="140" t="s">
        <v>40302</v>
      </c>
      <c r="L6273" s="140"/>
      <c r="M6273" s="140"/>
      <c r="N6273" s="12"/>
      <c r="O6273" s="12"/>
      <c r="P6273" s="13">
        <f>IFERROR(__xludf.DUMMYFUNCTION("VALUE(SUBSTITUTE((INDEX(SPLIT(A6273,"",""),1)),""."","","",1))"),53.678682)</f>
        <v>53.678682</v>
      </c>
      <c r="Q6273" s="13">
        <f>IFERROR(__xludf.DUMMYFUNCTION("VALUE(SUBSTITUTE((INDEX(SPLIT(A6273,"",""),2)),""."","","",1))"),33.291466)</f>
        <v>33.291466</v>
      </c>
      <c r="R6273" s="14" t="b">
        <f t="shared" si="1"/>
        <v>0</v>
      </c>
      <c r="S6273" s="14" t="str">
        <f t="shared" si="2"/>
        <v>53.678682,33.291466</v>
      </c>
      <c r="T6273" s="12"/>
    </row>
    <row r="6274">
      <c r="A6274" s="136" t="s">
        <v>40303</v>
      </c>
      <c r="B6274" s="137" t="s">
        <v>40304</v>
      </c>
      <c r="C6274" s="137" t="s">
        <v>40305</v>
      </c>
      <c r="D6274" s="137" t="s">
        <v>33342</v>
      </c>
      <c r="E6274" s="138" t="s">
        <v>40306</v>
      </c>
      <c r="F6274" s="136" t="s">
        <v>5142</v>
      </c>
      <c r="G6274" s="136" t="s">
        <v>33344</v>
      </c>
      <c r="H6274" s="136"/>
      <c r="I6274" s="137"/>
      <c r="J6274" s="137" t="s">
        <v>40307</v>
      </c>
      <c r="K6274" s="137" t="s">
        <v>40308</v>
      </c>
      <c r="L6274" s="137"/>
      <c r="M6274" s="137"/>
      <c r="N6274" s="12"/>
      <c r="O6274" s="12"/>
      <c r="P6274" s="13">
        <f>IFERROR(__xludf.DUMMYFUNCTION("VALUE(SUBSTITUTE((INDEX(SPLIT(A6274,"",""),1)),""."","","",1))"),53.542256)</f>
        <v>53.542256</v>
      </c>
      <c r="Q6274" s="13">
        <f>IFERROR(__xludf.DUMMYFUNCTION("VALUE(SUBSTITUTE((INDEX(SPLIT(A6274,"",""),2)),""."","","",1))"),33.740084)</f>
        <v>33.740084</v>
      </c>
      <c r="R6274" s="14" t="b">
        <f t="shared" si="1"/>
        <v>0</v>
      </c>
      <c r="S6274" s="14" t="str">
        <f t="shared" si="2"/>
        <v>53.542256,33.740084</v>
      </c>
      <c r="T6274" s="12"/>
    </row>
    <row r="6275">
      <c r="A6275" s="146" t="s">
        <v>40309</v>
      </c>
      <c r="B6275" s="147" t="s">
        <v>40310</v>
      </c>
      <c r="C6275" s="147" t="s">
        <v>40311</v>
      </c>
      <c r="D6275" s="147" t="s">
        <v>33342</v>
      </c>
      <c r="E6275" s="148" t="s">
        <v>40312</v>
      </c>
      <c r="F6275" s="146" t="s">
        <v>5142</v>
      </c>
      <c r="G6275" s="146" t="s">
        <v>33344</v>
      </c>
      <c r="H6275" s="146"/>
      <c r="I6275" s="147"/>
      <c r="J6275" s="147" t="s">
        <v>40313</v>
      </c>
      <c r="K6275" s="147" t="s">
        <v>40314</v>
      </c>
      <c r="L6275" s="149" t="s">
        <v>40315</v>
      </c>
      <c r="M6275" s="149" t="s">
        <v>40316</v>
      </c>
      <c r="N6275" s="12"/>
      <c r="O6275" s="12"/>
      <c r="P6275" s="13">
        <f>IFERROR(__xludf.DUMMYFUNCTION("VALUE(SUBSTITUTE((INDEX(SPLIT(A6275,"",""),1)),""."","","",1))"),53.255959)</f>
        <v>53.255959</v>
      </c>
      <c r="Q6275" s="13">
        <f>IFERROR(__xludf.DUMMYFUNCTION("VALUE(SUBSTITUTE((INDEX(SPLIT(A6275,"",""),2)),""."","","",1))"),34.277313)</f>
        <v>34.277313</v>
      </c>
      <c r="R6275" s="14" t="b">
        <f t="shared" si="1"/>
        <v>0</v>
      </c>
      <c r="S6275" s="14" t="str">
        <f t="shared" si="2"/>
        <v>53.255959,34.277313</v>
      </c>
      <c r="T6275" s="12"/>
    </row>
    <row r="6276">
      <c r="A6276" s="142" t="s">
        <v>40317</v>
      </c>
      <c r="B6276" s="143" t="s">
        <v>40318</v>
      </c>
      <c r="C6276" s="143" t="s">
        <v>40319</v>
      </c>
      <c r="D6276" s="143" t="s">
        <v>33342</v>
      </c>
      <c r="E6276" s="144" t="s">
        <v>40320</v>
      </c>
      <c r="F6276" s="142" t="s">
        <v>5142</v>
      </c>
      <c r="G6276" s="142" t="s">
        <v>33344</v>
      </c>
      <c r="H6276" s="142"/>
      <c r="I6276" s="143"/>
      <c r="J6276" s="143" t="s">
        <v>40321</v>
      </c>
      <c r="K6276" s="143" t="s">
        <v>40322</v>
      </c>
      <c r="L6276" s="145" t="s">
        <v>40323</v>
      </c>
      <c r="M6276" s="145" t="s">
        <v>40324</v>
      </c>
      <c r="N6276" s="12"/>
      <c r="O6276" s="12"/>
      <c r="P6276" s="13">
        <f>IFERROR(__xludf.DUMMYFUNCTION("VALUE(SUBSTITUTE((INDEX(SPLIT(A6276,"",""),1)),""."","","",1))"),53.201688)</f>
        <v>53.201688</v>
      </c>
      <c r="Q6276" s="13">
        <f>IFERROR(__xludf.DUMMYFUNCTION("VALUE(SUBSTITUTE((INDEX(SPLIT(A6276,"",""),2)),""."","","",1))"),34.463246)</f>
        <v>34.463246</v>
      </c>
      <c r="R6276" s="14" t="b">
        <f t="shared" si="1"/>
        <v>0</v>
      </c>
      <c r="S6276" s="14" t="str">
        <f t="shared" si="2"/>
        <v>53.201688,34.463246</v>
      </c>
      <c r="T6276" s="12"/>
    </row>
    <row r="6277">
      <c r="A6277" s="139" t="s">
        <v>40325</v>
      </c>
      <c r="B6277" s="140" t="s">
        <v>11445</v>
      </c>
      <c r="C6277" s="140" t="s">
        <v>40326</v>
      </c>
      <c r="D6277" s="140" t="s">
        <v>33342</v>
      </c>
      <c r="E6277" s="141" t="s">
        <v>40327</v>
      </c>
      <c r="F6277" s="139" t="s">
        <v>5142</v>
      </c>
      <c r="G6277" s="139" t="s">
        <v>33344</v>
      </c>
      <c r="H6277" s="139"/>
      <c r="I6277" s="140"/>
      <c r="J6277" s="140" t="s">
        <v>40328</v>
      </c>
      <c r="K6277" s="140" t="s">
        <v>40329</v>
      </c>
      <c r="L6277" s="140"/>
      <c r="M6277" s="154" t="s">
        <v>40330</v>
      </c>
      <c r="N6277" s="12"/>
      <c r="O6277" s="12"/>
      <c r="P6277" s="13">
        <f>IFERROR(__xludf.DUMMYFUNCTION("VALUE(SUBSTITUTE((INDEX(SPLIT(A6277,"",""),1)),""."","","",1))"),52.570868)</f>
        <v>52.570868</v>
      </c>
      <c r="Q6277" s="13">
        <f>IFERROR(__xludf.DUMMYFUNCTION("VALUE(SUBSTITUTE((INDEX(SPLIT(A6277,"",""),2)),""."","","",1))"),33.250799)</f>
        <v>33.250799</v>
      </c>
      <c r="R6277" s="14" t="b">
        <f t="shared" si="1"/>
        <v>0</v>
      </c>
      <c r="S6277" s="14" t="str">
        <f t="shared" si="2"/>
        <v>52.570868,33.250799</v>
      </c>
      <c r="T6277" s="12"/>
    </row>
    <row r="6278">
      <c r="A6278" s="142" t="s">
        <v>40331</v>
      </c>
      <c r="B6278" s="143" t="s">
        <v>40332</v>
      </c>
      <c r="C6278" s="143" t="s">
        <v>40333</v>
      </c>
      <c r="D6278" s="143" t="s">
        <v>33342</v>
      </c>
      <c r="E6278" s="144" t="s">
        <v>40334</v>
      </c>
      <c r="F6278" s="142" t="s">
        <v>5142</v>
      </c>
      <c r="G6278" s="142" t="s">
        <v>33344</v>
      </c>
      <c r="H6278" s="142"/>
      <c r="I6278" s="143"/>
      <c r="J6278" s="143" t="s">
        <v>40335</v>
      </c>
      <c r="K6278" s="143" t="s">
        <v>40336</v>
      </c>
      <c r="L6278" s="145" t="s">
        <v>40337</v>
      </c>
      <c r="M6278" s="145" t="s">
        <v>29897</v>
      </c>
      <c r="N6278" s="12"/>
      <c r="O6278" s="12"/>
      <c r="P6278" s="13">
        <f>IFERROR(__xludf.DUMMYFUNCTION("VALUE(SUBSTITUTE((INDEX(SPLIT(A6278,"",""),1)),""."","","",1))"),53.240867)</f>
        <v>53.240867</v>
      </c>
      <c r="Q6278" s="13">
        <f>IFERROR(__xludf.DUMMYFUNCTION("VALUE(SUBSTITUTE((INDEX(SPLIT(A6278,"",""),2)),""."","","",1))"),34.355933)</f>
        <v>34.355933</v>
      </c>
      <c r="R6278" s="14" t="b">
        <f t="shared" si="1"/>
        <v>0</v>
      </c>
      <c r="S6278" s="14" t="str">
        <f t="shared" si="2"/>
        <v>53.240867,34.355933</v>
      </c>
      <c r="T6278" s="12"/>
    </row>
    <row r="6279">
      <c r="A6279" s="146" t="s">
        <v>40338</v>
      </c>
      <c r="B6279" s="147" t="s">
        <v>40339</v>
      </c>
      <c r="C6279" s="147" t="s">
        <v>40340</v>
      </c>
      <c r="D6279" s="147" t="s">
        <v>33342</v>
      </c>
      <c r="E6279" s="148" t="s">
        <v>40341</v>
      </c>
      <c r="F6279" s="146" t="s">
        <v>5142</v>
      </c>
      <c r="G6279" s="146" t="s">
        <v>33344</v>
      </c>
      <c r="H6279" s="146"/>
      <c r="I6279" s="147"/>
      <c r="J6279" s="147" t="s">
        <v>40342</v>
      </c>
      <c r="K6279" s="147" t="s">
        <v>40343</v>
      </c>
      <c r="L6279" s="149" t="s">
        <v>40344</v>
      </c>
      <c r="M6279" s="149" t="s">
        <v>40345</v>
      </c>
      <c r="N6279" s="12"/>
      <c r="O6279" s="12"/>
      <c r="P6279" s="13">
        <f>IFERROR(__xludf.DUMMYFUNCTION("VALUE(SUBSTITUTE((INDEX(SPLIT(A6279,"",""),1)),""."","","",1))"),53.2493)</f>
        <v>53.2493</v>
      </c>
      <c r="Q6279" s="13">
        <f>IFERROR(__xludf.DUMMYFUNCTION("VALUE(SUBSTITUTE((INDEX(SPLIT(A6279,"",""),2)),""."","","",1))"),34.381383)</f>
        <v>34.381383</v>
      </c>
      <c r="R6279" s="14" t="b">
        <f t="shared" si="1"/>
        <v>0</v>
      </c>
      <c r="S6279" s="14" t="str">
        <f t="shared" si="2"/>
        <v>53.2493,34.381383</v>
      </c>
      <c r="T6279" s="12"/>
    </row>
    <row r="6280">
      <c r="A6280" s="142" t="s">
        <v>40346</v>
      </c>
      <c r="B6280" s="143" t="s">
        <v>29597</v>
      </c>
      <c r="C6280" s="143" t="s">
        <v>40347</v>
      </c>
      <c r="D6280" s="143" t="s">
        <v>33342</v>
      </c>
      <c r="E6280" s="144" t="s">
        <v>40348</v>
      </c>
      <c r="F6280" s="142" t="s">
        <v>5142</v>
      </c>
      <c r="G6280" s="142" t="s">
        <v>33344</v>
      </c>
      <c r="H6280" s="142"/>
      <c r="I6280" s="143"/>
      <c r="J6280" s="143" t="s">
        <v>40349</v>
      </c>
      <c r="K6280" s="143" t="s">
        <v>40350</v>
      </c>
      <c r="L6280" s="152" t="s">
        <v>40351</v>
      </c>
      <c r="M6280" s="143"/>
      <c r="N6280" s="12"/>
      <c r="O6280" s="12"/>
      <c r="P6280" s="13">
        <f>IFERROR(__xludf.DUMMYFUNCTION("VALUE(SUBSTITUTE((INDEX(SPLIT(A6280,"",""),1)),""."","","",1))"),53.214189)</f>
        <v>53.214189</v>
      </c>
      <c r="Q6280" s="13">
        <f>IFERROR(__xludf.DUMMYFUNCTION("VALUE(SUBSTITUTE((INDEX(SPLIT(A6280,"",""),2)),""."","","",1))"),34.644499)</f>
        <v>34.644499</v>
      </c>
      <c r="R6280" s="14" t="b">
        <f t="shared" si="1"/>
        <v>0</v>
      </c>
      <c r="S6280" s="14" t="str">
        <f t="shared" si="2"/>
        <v>53.214189,34.644499</v>
      </c>
      <c r="T6280" s="12"/>
    </row>
    <row r="6281">
      <c r="A6281" s="146" t="s">
        <v>40352</v>
      </c>
      <c r="B6281" s="147" t="s">
        <v>40353</v>
      </c>
      <c r="C6281" s="147" t="s">
        <v>40354</v>
      </c>
      <c r="D6281" s="147" t="s">
        <v>33342</v>
      </c>
      <c r="E6281" s="148" t="s">
        <v>40355</v>
      </c>
      <c r="F6281" s="146" t="s">
        <v>5142</v>
      </c>
      <c r="G6281" s="146" t="s">
        <v>33344</v>
      </c>
      <c r="H6281" s="146"/>
      <c r="I6281" s="147"/>
      <c r="J6281" s="147" t="s">
        <v>40356</v>
      </c>
      <c r="K6281" s="147" t="s">
        <v>40357</v>
      </c>
      <c r="L6281" s="150" t="s">
        <v>40358</v>
      </c>
      <c r="M6281" s="147"/>
      <c r="N6281" s="12"/>
      <c r="O6281" s="12"/>
      <c r="P6281" s="13">
        <f>IFERROR(__xludf.DUMMYFUNCTION("VALUE(SUBSTITUTE((INDEX(SPLIT(A6281,"",""),1)),""."","","",1))"),53.240361)</f>
        <v>53.240361</v>
      </c>
      <c r="Q6281" s="13">
        <f>IFERROR(__xludf.DUMMYFUNCTION("VALUE(SUBSTITUTE((INDEX(SPLIT(A6281,"",""),2)),""."","","",1))"),34.356769)</f>
        <v>34.356769</v>
      </c>
      <c r="R6281" s="14" t="b">
        <f t="shared" si="1"/>
        <v>0</v>
      </c>
      <c r="S6281" s="14" t="str">
        <f t="shared" si="2"/>
        <v>53.240361,34.356769</v>
      </c>
      <c r="T6281" s="12"/>
    </row>
    <row r="6282">
      <c r="A6282" s="142" t="s">
        <v>40359</v>
      </c>
      <c r="B6282" s="143" t="s">
        <v>40360</v>
      </c>
      <c r="C6282" s="143" t="s">
        <v>40361</v>
      </c>
      <c r="D6282" s="143" t="s">
        <v>33342</v>
      </c>
      <c r="E6282" s="144" t="s">
        <v>40362</v>
      </c>
      <c r="F6282" s="142" t="s">
        <v>12717</v>
      </c>
      <c r="G6282" s="142" t="s">
        <v>33344</v>
      </c>
      <c r="H6282" s="142"/>
      <c r="I6282" s="143"/>
      <c r="J6282" s="143" t="s">
        <v>40363</v>
      </c>
      <c r="K6282" s="143" t="s">
        <v>40364</v>
      </c>
      <c r="L6282" s="152" t="s">
        <v>40365</v>
      </c>
      <c r="M6282" s="143"/>
      <c r="N6282" s="12"/>
      <c r="O6282" s="12"/>
      <c r="P6282" s="13">
        <f>IFERROR(__xludf.DUMMYFUNCTION("VALUE(SUBSTITUTE((INDEX(SPLIT(A6282,"",""),1)),""."","","",1))"),56.392303)</f>
        <v>56.392303</v>
      </c>
      <c r="Q6282" s="13">
        <f>IFERROR(__xludf.DUMMYFUNCTION("VALUE(SUBSTITUTE((INDEX(SPLIT(A6282,"",""),2)),""."","","",1))"),38.704705)</f>
        <v>38.704705</v>
      </c>
      <c r="R6282" s="14" t="b">
        <f t="shared" si="1"/>
        <v>0</v>
      </c>
      <c r="S6282" s="14" t="str">
        <f t="shared" si="2"/>
        <v>56.392303,38.704705</v>
      </c>
      <c r="T6282" s="12"/>
    </row>
    <row r="6283">
      <c r="A6283" s="146" t="s">
        <v>40366</v>
      </c>
      <c r="B6283" s="147" t="s">
        <v>40367</v>
      </c>
      <c r="C6283" s="147" t="s">
        <v>40368</v>
      </c>
      <c r="D6283" s="147" t="s">
        <v>33342</v>
      </c>
      <c r="E6283" s="148" t="s">
        <v>40369</v>
      </c>
      <c r="F6283" s="146" t="s">
        <v>12717</v>
      </c>
      <c r="G6283" s="146" t="s">
        <v>33344</v>
      </c>
      <c r="H6283" s="146"/>
      <c r="I6283" s="147"/>
      <c r="J6283" s="147" t="s">
        <v>40370</v>
      </c>
      <c r="K6283" s="147" t="s">
        <v>40371</v>
      </c>
      <c r="L6283" s="149" t="s">
        <v>40372</v>
      </c>
      <c r="M6283" s="149" t="s">
        <v>40373</v>
      </c>
      <c r="N6283" s="12"/>
      <c r="O6283" s="12"/>
      <c r="P6283" s="13">
        <f>IFERROR(__xludf.DUMMYFUNCTION("VALUE(SUBSTITUTE((INDEX(SPLIT(A6283,"",""),1)),""."","","",1))"),56.377612)</f>
        <v>56.377612</v>
      </c>
      <c r="Q6283" s="13">
        <f>IFERROR(__xludf.DUMMYFUNCTION("VALUE(SUBSTITUTE((INDEX(SPLIT(A6283,"",""),2)),""."","","",1))"),38.722617)</f>
        <v>38.722617</v>
      </c>
      <c r="R6283" s="14" t="b">
        <f t="shared" si="1"/>
        <v>0</v>
      </c>
      <c r="S6283" s="14" t="str">
        <f t="shared" si="2"/>
        <v>56.377612,38.722617</v>
      </c>
      <c r="T6283" s="12"/>
    </row>
    <row r="6284">
      <c r="A6284" s="142" t="s">
        <v>40374</v>
      </c>
      <c r="B6284" s="143" t="s">
        <v>40375</v>
      </c>
      <c r="C6284" s="143" t="s">
        <v>40376</v>
      </c>
      <c r="D6284" s="143" t="s">
        <v>33342</v>
      </c>
      <c r="E6284" s="144" t="s">
        <v>40377</v>
      </c>
      <c r="F6284" s="142" t="s">
        <v>12717</v>
      </c>
      <c r="G6284" s="142" t="s">
        <v>33344</v>
      </c>
      <c r="H6284" s="142"/>
      <c r="I6284" s="143"/>
      <c r="J6284" s="143" t="s">
        <v>40378</v>
      </c>
      <c r="K6284" s="143" t="s">
        <v>40379</v>
      </c>
      <c r="L6284" s="145" t="s">
        <v>40380</v>
      </c>
      <c r="M6284" s="143"/>
      <c r="N6284" s="12"/>
      <c r="O6284" s="12"/>
      <c r="P6284" s="13">
        <f>IFERROR(__xludf.DUMMYFUNCTION("VALUE(SUBSTITUTE((INDEX(SPLIT(A6284,"",""),1)),""."","","",1))"),56.241659)</f>
        <v>56.241659</v>
      </c>
      <c r="Q6284" s="13">
        <f>IFERROR(__xludf.DUMMYFUNCTION("VALUE(SUBSTITUTE((INDEX(SPLIT(A6284,"",""),2)),""."","","",1))"),42.114125)</f>
        <v>42.114125</v>
      </c>
      <c r="R6284" s="14" t="b">
        <f t="shared" si="1"/>
        <v>0</v>
      </c>
      <c r="S6284" s="14" t="str">
        <f t="shared" si="2"/>
        <v>56.241659,42.114125</v>
      </c>
      <c r="T6284" s="12"/>
    </row>
    <row r="6285">
      <c r="A6285" s="139" t="s">
        <v>40381</v>
      </c>
      <c r="B6285" s="140" t="s">
        <v>40382</v>
      </c>
      <c r="C6285" s="140" t="s">
        <v>40383</v>
      </c>
      <c r="D6285" s="140" t="s">
        <v>33342</v>
      </c>
      <c r="E6285" s="141" t="s">
        <v>40384</v>
      </c>
      <c r="F6285" s="139" t="s">
        <v>12717</v>
      </c>
      <c r="G6285" s="139" t="s">
        <v>33344</v>
      </c>
      <c r="H6285" s="139"/>
      <c r="I6285" s="140"/>
      <c r="J6285" s="140" t="s">
        <v>40385</v>
      </c>
      <c r="K6285" s="140" t="s">
        <v>40386</v>
      </c>
      <c r="L6285" s="140"/>
      <c r="M6285" s="154" t="s">
        <v>40387</v>
      </c>
      <c r="N6285" s="12"/>
      <c r="O6285" s="12"/>
      <c r="P6285" s="13">
        <f>IFERROR(__xludf.DUMMYFUNCTION("VALUE(SUBSTITUTE((INDEX(SPLIT(A6285,"",""),1)),""."","","",1))"),55.62267)</f>
        <v>55.62267</v>
      </c>
      <c r="Q6285" s="13">
        <f>IFERROR(__xludf.DUMMYFUNCTION("VALUE(SUBSTITUTE((INDEX(SPLIT(A6285,"",""),2)),""."","","",1))"),40.690332)</f>
        <v>40.690332</v>
      </c>
      <c r="R6285" s="14" t="b">
        <f t="shared" si="1"/>
        <v>0</v>
      </c>
      <c r="S6285" s="14" t="str">
        <f t="shared" si="2"/>
        <v>55.62267,40.690332</v>
      </c>
      <c r="T6285" s="12"/>
    </row>
    <row r="6286">
      <c r="A6286" s="136" t="s">
        <v>40388</v>
      </c>
      <c r="B6286" s="137" t="s">
        <v>14007</v>
      </c>
      <c r="C6286" s="137" t="s">
        <v>40389</v>
      </c>
      <c r="D6286" s="137" t="s">
        <v>33342</v>
      </c>
      <c r="E6286" s="138" t="s">
        <v>40390</v>
      </c>
      <c r="F6286" s="136" t="s">
        <v>12717</v>
      </c>
      <c r="G6286" s="136" t="s">
        <v>33344</v>
      </c>
      <c r="H6286" s="136"/>
      <c r="I6286" s="137"/>
      <c r="J6286" s="137" t="s">
        <v>40391</v>
      </c>
      <c r="K6286" s="137" t="s">
        <v>40392</v>
      </c>
      <c r="L6286" s="137"/>
      <c r="M6286" s="137"/>
      <c r="N6286" s="12"/>
      <c r="O6286" s="12"/>
      <c r="P6286" s="13">
        <f>IFERROR(__xludf.DUMMYFUNCTION("VALUE(SUBSTITUTE((INDEX(SPLIT(A6286,"",""),1)),""."","","",1))"),56.370798)</f>
        <v>56.370798</v>
      </c>
      <c r="Q6286" s="13">
        <f>IFERROR(__xludf.DUMMYFUNCTION("VALUE(SUBSTITUTE((INDEX(SPLIT(A6286,"",""),2)),""."","","",1))"),41.313089)</f>
        <v>41.313089</v>
      </c>
      <c r="R6286" s="14" t="b">
        <f t="shared" si="1"/>
        <v>0</v>
      </c>
      <c r="S6286" s="14" t="str">
        <f t="shared" si="2"/>
        <v>56.370798,41.313089</v>
      </c>
      <c r="T6286" s="12"/>
    </row>
    <row r="6287">
      <c r="A6287" s="139" t="s">
        <v>40393</v>
      </c>
      <c r="B6287" s="140" t="s">
        <v>40394</v>
      </c>
      <c r="C6287" s="140" t="s">
        <v>40395</v>
      </c>
      <c r="D6287" s="140" t="s">
        <v>33342</v>
      </c>
      <c r="E6287" s="141" t="s">
        <v>40396</v>
      </c>
      <c r="F6287" s="139" t="s">
        <v>12717</v>
      </c>
      <c r="G6287" s="139" t="s">
        <v>33344</v>
      </c>
      <c r="H6287" s="139"/>
      <c r="I6287" s="140"/>
      <c r="J6287" s="140" t="s">
        <v>40397</v>
      </c>
      <c r="K6287" s="140" t="s">
        <v>40398</v>
      </c>
      <c r="L6287" s="140"/>
      <c r="M6287" s="154" t="s">
        <v>5025</v>
      </c>
      <c r="N6287" s="12"/>
      <c r="O6287" s="12"/>
      <c r="P6287" s="13">
        <f>IFERROR(__xludf.DUMMYFUNCTION("VALUE(SUBSTITUTE((INDEX(SPLIT(A6287,"",""),1)),""."","","",1))"),56.335131)</f>
        <v>56.335131</v>
      </c>
      <c r="Q6287" s="13">
        <f>IFERROR(__xludf.DUMMYFUNCTION("VALUE(SUBSTITUTE((INDEX(SPLIT(A6287,"",""),2)),""."","","",1))"),41.291008)</f>
        <v>41.291008</v>
      </c>
      <c r="R6287" s="14" t="b">
        <f t="shared" si="1"/>
        <v>0</v>
      </c>
      <c r="S6287" s="14" t="str">
        <f t="shared" si="2"/>
        <v>56.335131,41.291008</v>
      </c>
      <c r="T6287" s="12"/>
    </row>
    <row r="6288">
      <c r="A6288" s="142" t="s">
        <v>40399</v>
      </c>
      <c r="B6288" s="143" t="s">
        <v>40400</v>
      </c>
      <c r="C6288" s="143" t="s">
        <v>40401</v>
      </c>
      <c r="D6288" s="143" t="s">
        <v>33342</v>
      </c>
      <c r="E6288" s="144" t="s">
        <v>40402</v>
      </c>
      <c r="F6288" s="142" t="s">
        <v>12717</v>
      </c>
      <c r="G6288" s="142" t="s">
        <v>33344</v>
      </c>
      <c r="H6288" s="142"/>
      <c r="I6288" s="143"/>
      <c r="J6288" s="143" t="s">
        <v>40403</v>
      </c>
      <c r="K6288" s="143" t="s">
        <v>40404</v>
      </c>
      <c r="L6288" s="145" t="s">
        <v>40405</v>
      </c>
      <c r="M6288" s="143"/>
      <c r="N6288" s="12"/>
      <c r="O6288" s="12"/>
      <c r="P6288" s="13">
        <f>IFERROR(__xludf.DUMMYFUNCTION("VALUE(SUBSTITUTE((INDEX(SPLIT(A6288,"",""),1)),""."","","",1))"),55.559226)</f>
        <v>55.559226</v>
      </c>
      <c r="Q6288" s="13">
        <f>IFERROR(__xludf.DUMMYFUNCTION("VALUE(SUBSTITUTE((INDEX(SPLIT(A6288,"",""),2)),""."","","",1))"),42.047749)</f>
        <v>42.047749</v>
      </c>
      <c r="R6288" s="14" t="b">
        <f t="shared" si="1"/>
        <v>0</v>
      </c>
      <c r="S6288" s="14" t="str">
        <f t="shared" si="2"/>
        <v>55.559226,42.047749</v>
      </c>
      <c r="T6288" s="12"/>
    </row>
    <row r="6289">
      <c r="A6289" s="139" t="s">
        <v>40406</v>
      </c>
      <c r="B6289" s="140" t="s">
        <v>40407</v>
      </c>
      <c r="C6289" s="140" t="s">
        <v>40408</v>
      </c>
      <c r="D6289" s="140" t="s">
        <v>33342</v>
      </c>
      <c r="E6289" s="141" t="s">
        <v>40409</v>
      </c>
      <c r="F6289" s="139" t="s">
        <v>12717</v>
      </c>
      <c r="G6289" s="139" t="s">
        <v>33344</v>
      </c>
      <c r="H6289" s="139"/>
      <c r="I6289" s="140"/>
      <c r="J6289" s="140" t="s">
        <v>40410</v>
      </c>
      <c r="K6289" s="140" t="s">
        <v>40411</v>
      </c>
      <c r="L6289" s="140"/>
      <c r="M6289" s="154" t="s">
        <v>40412</v>
      </c>
      <c r="N6289" s="12"/>
      <c r="O6289" s="12"/>
      <c r="P6289" s="13">
        <f>IFERROR(__xludf.DUMMYFUNCTION("VALUE(SUBSTITUTE((INDEX(SPLIT(A6289,"",""),1)),""."","","",1))"),55.583103)</f>
        <v>55.583103</v>
      </c>
      <c r="Q6289" s="13">
        <f>IFERROR(__xludf.DUMMYFUNCTION("VALUE(SUBSTITUTE((INDEX(SPLIT(A6289,"",""),2)),""."","","",1))"),42.020063)</f>
        <v>42.020063</v>
      </c>
      <c r="R6289" s="14" t="b">
        <f t="shared" si="1"/>
        <v>0</v>
      </c>
      <c r="S6289" s="14" t="str">
        <f t="shared" si="2"/>
        <v>55.583103,42.020063</v>
      </c>
      <c r="T6289" s="12"/>
    </row>
    <row r="6290">
      <c r="A6290" s="136" t="s">
        <v>40413</v>
      </c>
      <c r="B6290" s="137" t="s">
        <v>40414</v>
      </c>
      <c r="C6290" s="137" t="s">
        <v>40415</v>
      </c>
      <c r="D6290" s="137" t="s">
        <v>33342</v>
      </c>
      <c r="E6290" s="138" t="s">
        <v>40416</v>
      </c>
      <c r="F6290" s="136" t="s">
        <v>12717</v>
      </c>
      <c r="G6290" s="136" t="s">
        <v>33344</v>
      </c>
      <c r="H6290" s="136"/>
      <c r="I6290" s="137"/>
      <c r="J6290" s="137" t="s">
        <v>40417</v>
      </c>
      <c r="K6290" s="137" t="s">
        <v>40418</v>
      </c>
      <c r="L6290" s="137"/>
      <c r="M6290" s="137"/>
      <c r="N6290" s="12"/>
      <c r="O6290" s="12"/>
      <c r="P6290" s="13">
        <f>IFERROR(__xludf.DUMMYFUNCTION("VALUE(SUBSTITUTE((INDEX(SPLIT(A6290,"",""),1)),""."","","",1))"),55.575098)</f>
        <v>55.575098</v>
      </c>
      <c r="Q6290" s="13">
        <f>IFERROR(__xludf.DUMMYFUNCTION("VALUE(SUBSTITUTE((INDEX(SPLIT(A6290,"",""),2)),""."","","",1))"),42.017494)</f>
        <v>42.017494</v>
      </c>
      <c r="R6290" s="14" t="b">
        <f t="shared" si="1"/>
        <v>0</v>
      </c>
      <c r="S6290" s="14" t="str">
        <f t="shared" si="2"/>
        <v>55.575098,42.017494</v>
      </c>
      <c r="T6290" s="12"/>
    </row>
    <row r="6291">
      <c r="A6291" s="139" t="s">
        <v>40419</v>
      </c>
      <c r="B6291" s="140" t="s">
        <v>40420</v>
      </c>
      <c r="C6291" s="140" t="s">
        <v>40421</v>
      </c>
      <c r="D6291" s="140" t="s">
        <v>33342</v>
      </c>
      <c r="E6291" s="141" t="s">
        <v>40422</v>
      </c>
      <c r="F6291" s="139" t="s">
        <v>12717</v>
      </c>
      <c r="G6291" s="139" t="s">
        <v>33344</v>
      </c>
      <c r="H6291" s="139"/>
      <c r="I6291" s="140"/>
      <c r="J6291" s="140" t="s">
        <v>40423</v>
      </c>
      <c r="K6291" s="140" t="s">
        <v>40424</v>
      </c>
      <c r="L6291" s="140"/>
      <c r="M6291" s="140"/>
      <c r="N6291" s="12"/>
      <c r="O6291" s="12"/>
      <c r="P6291" s="13">
        <f>IFERROR(__xludf.DUMMYFUNCTION("VALUE(SUBSTITUTE((INDEX(SPLIT(A6291,"",""),1)),""."","","",1))"),56.154059)</f>
        <v>56.154059</v>
      </c>
      <c r="Q6291" s="13">
        <f>IFERROR(__xludf.DUMMYFUNCTION("VALUE(SUBSTITUTE((INDEX(SPLIT(A6291,"",""),2)),""."","","",1))"),40.399044)</f>
        <v>40.399044</v>
      </c>
      <c r="R6291" s="14" t="b">
        <f t="shared" si="1"/>
        <v>0</v>
      </c>
      <c r="S6291" s="14" t="str">
        <f t="shared" si="2"/>
        <v>56.154059,40.399044</v>
      </c>
      <c r="T6291" s="12"/>
    </row>
    <row r="6292">
      <c r="A6292" s="136" t="s">
        <v>40425</v>
      </c>
      <c r="B6292" s="137" t="s">
        <v>40426</v>
      </c>
      <c r="C6292" s="137" t="s">
        <v>40427</v>
      </c>
      <c r="D6292" s="137" t="s">
        <v>33342</v>
      </c>
      <c r="E6292" s="138" t="s">
        <v>40428</v>
      </c>
      <c r="F6292" s="136" t="s">
        <v>12717</v>
      </c>
      <c r="G6292" s="136" t="s">
        <v>33344</v>
      </c>
      <c r="H6292" s="136"/>
      <c r="I6292" s="137"/>
      <c r="J6292" s="137" t="s">
        <v>40429</v>
      </c>
      <c r="K6292" s="137" t="s">
        <v>40430</v>
      </c>
      <c r="L6292" s="137"/>
      <c r="M6292" s="153" t="s">
        <v>40431</v>
      </c>
      <c r="N6292" s="12"/>
      <c r="O6292" s="12"/>
      <c r="P6292" s="13">
        <f>IFERROR(__xludf.DUMMYFUNCTION("VALUE(SUBSTITUTE((INDEX(SPLIT(A6292,"",""),1)),""."","","",1))"),56.500785)</f>
        <v>56.500785</v>
      </c>
      <c r="Q6292" s="13">
        <f>IFERROR(__xludf.DUMMYFUNCTION("VALUE(SUBSTITUTE((INDEX(SPLIT(A6292,"",""),2)),""."","","",1))"),38.83585)</f>
        <v>38.83585</v>
      </c>
      <c r="R6292" s="14" t="b">
        <f t="shared" si="1"/>
        <v>0</v>
      </c>
      <c r="S6292" s="14" t="str">
        <f t="shared" si="2"/>
        <v>56.500785,38.83585</v>
      </c>
      <c r="T6292" s="12"/>
    </row>
    <row r="6293">
      <c r="A6293" s="146" t="s">
        <v>40432</v>
      </c>
      <c r="B6293" s="147" t="s">
        <v>40433</v>
      </c>
      <c r="C6293" s="147" t="s">
        <v>40434</v>
      </c>
      <c r="D6293" s="147" t="s">
        <v>33342</v>
      </c>
      <c r="E6293" s="148" t="s">
        <v>40435</v>
      </c>
      <c r="F6293" s="146" t="s">
        <v>12717</v>
      </c>
      <c r="G6293" s="146" t="s">
        <v>33344</v>
      </c>
      <c r="H6293" s="146"/>
      <c r="I6293" s="147"/>
      <c r="J6293" s="147" t="s">
        <v>40436</v>
      </c>
      <c r="K6293" s="147" t="s">
        <v>40437</v>
      </c>
      <c r="L6293" s="149" t="s">
        <v>40438</v>
      </c>
      <c r="M6293" s="147"/>
      <c r="N6293" s="12"/>
      <c r="O6293" s="12"/>
      <c r="P6293" s="13">
        <f>IFERROR(__xludf.DUMMYFUNCTION("VALUE(SUBSTITUTE((INDEX(SPLIT(A6293,"",""),1)),""."","","",1))"),56.160586)</f>
        <v>56.160586</v>
      </c>
      <c r="Q6293" s="13">
        <f>IFERROR(__xludf.DUMMYFUNCTION("VALUE(SUBSTITUTE((INDEX(SPLIT(A6293,"",""),2)),""."","","",1))"),38.873489)</f>
        <v>38.873489</v>
      </c>
      <c r="R6293" s="14" t="b">
        <f t="shared" si="1"/>
        <v>0</v>
      </c>
      <c r="S6293" s="14" t="str">
        <f t="shared" si="2"/>
        <v>56.160586,38.873489</v>
      </c>
      <c r="T6293" s="12"/>
    </row>
    <row r="6294">
      <c r="A6294" s="136" t="s">
        <v>40439</v>
      </c>
      <c r="B6294" s="137" t="s">
        <v>40440</v>
      </c>
      <c r="C6294" s="137" t="s">
        <v>40441</v>
      </c>
      <c r="D6294" s="137" t="s">
        <v>33342</v>
      </c>
      <c r="E6294" s="138" t="s">
        <v>40442</v>
      </c>
      <c r="F6294" s="136" t="s">
        <v>12717</v>
      </c>
      <c r="G6294" s="136" t="s">
        <v>33344</v>
      </c>
      <c r="H6294" s="136"/>
      <c r="I6294" s="137"/>
      <c r="J6294" s="137" t="s">
        <v>40443</v>
      </c>
      <c r="K6294" s="137" t="s">
        <v>40444</v>
      </c>
      <c r="L6294" s="137"/>
      <c r="M6294" s="153" t="s">
        <v>40445</v>
      </c>
      <c r="N6294" s="12"/>
      <c r="O6294" s="12"/>
      <c r="P6294" s="13">
        <f>IFERROR(__xludf.DUMMYFUNCTION("VALUE(SUBSTITUTE((INDEX(SPLIT(A6294,"",""),1)),""."","","",1))"),56.134686)</f>
        <v>56.134686</v>
      </c>
      <c r="Q6294" s="13">
        <f>IFERROR(__xludf.DUMMYFUNCTION("VALUE(SUBSTITUTE((INDEX(SPLIT(A6294,"",""),2)),""."","","",1))"),38.847932)</f>
        <v>38.847932</v>
      </c>
      <c r="R6294" s="14" t="b">
        <f t="shared" si="1"/>
        <v>0</v>
      </c>
      <c r="S6294" s="14" t="str">
        <f t="shared" si="2"/>
        <v>56.134686,38.847932</v>
      </c>
      <c r="T6294" s="12"/>
    </row>
    <row r="6295">
      <c r="A6295" s="139" t="s">
        <v>40446</v>
      </c>
      <c r="B6295" s="140" t="s">
        <v>18622</v>
      </c>
      <c r="C6295" s="140" t="s">
        <v>40447</v>
      </c>
      <c r="D6295" s="140" t="s">
        <v>33342</v>
      </c>
      <c r="E6295" s="141" t="s">
        <v>40448</v>
      </c>
      <c r="F6295" s="139" t="s">
        <v>12717</v>
      </c>
      <c r="G6295" s="139" t="s">
        <v>33344</v>
      </c>
      <c r="H6295" s="139"/>
      <c r="I6295" s="140"/>
      <c r="J6295" s="140" t="s">
        <v>40449</v>
      </c>
      <c r="K6295" s="140" t="s">
        <v>40450</v>
      </c>
      <c r="L6295" s="140"/>
      <c r="M6295" s="140"/>
      <c r="N6295" s="12"/>
      <c r="O6295" s="12"/>
      <c r="P6295" s="13">
        <f>IFERROR(__xludf.DUMMYFUNCTION("VALUE(SUBSTITUTE((INDEX(SPLIT(A6295,"",""),1)),""."","","",1))"),56.139045)</f>
        <v>56.139045</v>
      </c>
      <c r="Q6295" s="13">
        <f>IFERROR(__xludf.DUMMYFUNCTION("VALUE(SUBSTITUTE((INDEX(SPLIT(A6295,"",""),2)),""."","","",1))"),38.850025)</f>
        <v>38.850025</v>
      </c>
      <c r="R6295" s="14" t="b">
        <f t="shared" si="1"/>
        <v>0</v>
      </c>
      <c r="S6295" s="14" t="str">
        <f t="shared" si="2"/>
        <v>56.139045,38.850025</v>
      </c>
      <c r="T6295" s="12"/>
    </row>
    <row r="6296">
      <c r="A6296" s="136" t="s">
        <v>40451</v>
      </c>
      <c r="B6296" s="137" t="s">
        <v>40452</v>
      </c>
      <c r="C6296" s="137" t="s">
        <v>40453</v>
      </c>
      <c r="D6296" s="137" t="s">
        <v>33342</v>
      </c>
      <c r="E6296" s="138" t="s">
        <v>40454</v>
      </c>
      <c r="F6296" s="136" t="s">
        <v>12717</v>
      </c>
      <c r="G6296" s="136" t="s">
        <v>33344</v>
      </c>
      <c r="H6296" s="136"/>
      <c r="I6296" s="137"/>
      <c r="J6296" s="137" t="s">
        <v>40455</v>
      </c>
      <c r="K6296" s="137" t="s">
        <v>40456</v>
      </c>
      <c r="L6296" s="137"/>
      <c r="M6296" s="153" t="s">
        <v>40457</v>
      </c>
      <c r="N6296" s="12"/>
      <c r="O6296" s="12"/>
      <c r="P6296" s="13">
        <f>IFERROR(__xludf.DUMMYFUNCTION("VALUE(SUBSTITUTE((INDEX(SPLIT(A6296,"",""),1)),""."","","",1))"),56.10044)</f>
        <v>56.10044</v>
      </c>
      <c r="Q6296" s="13">
        <f>IFERROR(__xludf.DUMMYFUNCTION("VALUE(SUBSTITUTE((INDEX(SPLIT(A6296,"",""),2)),""."","","",1))"),40.075992)</f>
        <v>40.075992</v>
      </c>
      <c r="R6296" s="14" t="b">
        <f t="shared" si="1"/>
        <v>0</v>
      </c>
      <c r="S6296" s="14" t="str">
        <f t="shared" si="2"/>
        <v>56.10044,40.075992</v>
      </c>
      <c r="T6296" s="12"/>
    </row>
    <row r="6297">
      <c r="A6297" s="146" t="s">
        <v>40458</v>
      </c>
      <c r="B6297" s="147" t="s">
        <v>40459</v>
      </c>
      <c r="C6297" s="147" t="s">
        <v>40460</v>
      </c>
      <c r="D6297" s="147" t="s">
        <v>33342</v>
      </c>
      <c r="E6297" s="148" t="s">
        <v>40461</v>
      </c>
      <c r="F6297" s="146" t="s">
        <v>12717</v>
      </c>
      <c r="G6297" s="146" t="s">
        <v>33344</v>
      </c>
      <c r="H6297" s="146"/>
      <c r="I6297" s="147"/>
      <c r="J6297" s="147" t="s">
        <v>40462</v>
      </c>
      <c r="K6297" s="147" t="s">
        <v>40463</v>
      </c>
      <c r="L6297" s="149" t="s">
        <v>40464</v>
      </c>
      <c r="M6297" s="147"/>
      <c r="N6297" s="12"/>
      <c r="O6297" s="12"/>
      <c r="P6297" s="13">
        <f>IFERROR(__xludf.DUMMYFUNCTION("VALUE(SUBSTITUTE((INDEX(SPLIT(A6297,"",""),1)),""."","","",1))"),56.086545)</f>
        <v>56.086545</v>
      </c>
      <c r="Q6297" s="13">
        <f>IFERROR(__xludf.DUMMYFUNCTION("VALUE(SUBSTITUTE((INDEX(SPLIT(A6297,"",""),2)),""."","","",1))"),40.234589)</f>
        <v>40.234589</v>
      </c>
      <c r="R6297" s="14" t="b">
        <f t="shared" si="1"/>
        <v>0</v>
      </c>
      <c r="S6297" s="14" t="str">
        <f t="shared" si="2"/>
        <v>56.086545,40.234589</v>
      </c>
      <c r="T6297" s="12"/>
    </row>
    <row r="6298">
      <c r="A6298" s="136" t="s">
        <v>40465</v>
      </c>
      <c r="B6298" s="137" t="s">
        <v>40466</v>
      </c>
      <c r="C6298" s="137" t="s">
        <v>40467</v>
      </c>
      <c r="D6298" s="137" t="s">
        <v>33342</v>
      </c>
      <c r="E6298" s="138" t="s">
        <v>40468</v>
      </c>
      <c r="F6298" s="136" t="s">
        <v>12717</v>
      </c>
      <c r="G6298" s="136" t="s">
        <v>33344</v>
      </c>
      <c r="H6298" s="136"/>
      <c r="I6298" s="156" t="s">
        <v>40469</v>
      </c>
      <c r="J6298" s="137" t="s">
        <v>40470</v>
      </c>
      <c r="K6298" s="137" t="s">
        <v>40471</v>
      </c>
      <c r="L6298" s="137"/>
      <c r="M6298" s="137"/>
      <c r="N6298" s="12"/>
      <c r="O6298" s="12"/>
      <c r="P6298" s="13">
        <f>IFERROR(__xludf.DUMMYFUNCTION("VALUE(SUBSTITUTE((INDEX(SPLIT(A6298,"",""),1)),""."","","",1))"),56.192811)</f>
        <v>56.192811</v>
      </c>
      <c r="Q6298" s="13">
        <f>IFERROR(__xludf.DUMMYFUNCTION("VALUE(SUBSTITUTE((INDEX(SPLIT(A6298,"",""),2)),""."","","",1))"),40.49502)</f>
        <v>40.49502</v>
      </c>
      <c r="R6298" s="14" t="b">
        <f t="shared" si="1"/>
        <v>0</v>
      </c>
      <c r="S6298" s="14" t="str">
        <f t="shared" si="2"/>
        <v>56.192811,40.49502</v>
      </c>
      <c r="T6298" s="12"/>
    </row>
    <row r="6299">
      <c r="A6299" s="146" t="s">
        <v>15441</v>
      </c>
      <c r="B6299" s="147" t="s">
        <v>40472</v>
      </c>
      <c r="C6299" s="147" t="s">
        <v>40473</v>
      </c>
      <c r="D6299" s="147" t="s">
        <v>33342</v>
      </c>
      <c r="E6299" s="148" t="s">
        <v>40474</v>
      </c>
      <c r="F6299" s="146" t="s">
        <v>12717</v>
      </c>
      <c r="G6299" s="146" t="s">
        <v>33344</v>
      </c>
      <c r="H6299" s="146"/>
      <c r="I6299" s="147"/>
      <c r="J6299" s="147" t="s">
        <v>40475</v>
      </c>
      <c r="K6299" s="147" t="s">
        <v>40476</v>
      </c>
      <c r="L6299" s="149" t="s">
        <v>40477</v>
      </c>
      <c r="M6299" s="149" t="s">
        <v>40478</v>
      </c>
      <c r="N6299" s="12"/>
      <c r="O6299" s="12"/>
      <c r="P6299" s="13">
        <f>IFERROR(__xludf.DUMMYFUNCTION("VALUE(SUBSTITUTE((INDEX(SPLIT(A6299,"",""),1)),""."","","",1))"),56.129057)</f>
        <v>56.129057</v>
      </c>
      <c r="Q6299" s="13">
        <f>IFERROR(__xludf.DUMMYFUNCTION("VALUE(SUBSTITUTE((INDEX(SPLIT(A6299,"",""),2)),""."","","",1))"),40.406635)</f>
        <v>40.406635</v>
      </c>
      <c r="R6299" s="14" t="b">
        <f t="shared" si="1"/>
        <v>0</v>
      </c>
      <c r="S6299" s="14" t="str">
        <f t="shared" si="2"/>
        <v>56.129057,40.406635</v>
      </c>
      <c r="T6299" s="12"/>
    </row>
    <row r="6300">
      <c r="A6300" s="142" t="s">
        <v>40479</v>
      </c>
      <c r="B6300" s="143" t="s">
        <v>40480</v>
      </c>
      <c r="C6300" s="143" t="s">
        <v>40481</v>
      </c>
      <c r="D6300" s="143" t="s">
        <v>33342</v>
      </c>
      <c r="E6300" s="144" t="s">
        <v>40482</v>
      </c>
      <c r="F6300" s="142" t="s">
        <v>12717</v>
      </c>
      <c r="G6300" s="142" t="s">
        <v>33344</v>
      </c>
      <c r="H6300" s="142"/>
      <c r="I6300" s="143"/>
      <c r="J6300" s="143" t="s">
        <v>40483</v>
      </c>
      <c r="K6300" s="143" t="s">
        <v>40484</v>
      </c>
      <c r="L6300" s="152" t="s">
        <v>40485</v>
      </c>
      <c r="M6300" s="143"/>
      <c r="N6300" s="12"/>
      <c r="O6300" s="12"/>
      <c r="P6300" s="13">
        <f>IFERROR(__xludf.DUMMYFUNCTION("VALUE(SUBSTITUTE((INDEX(SPLIT(A6300,"",""),1)),""."","","",1))"),56.146357)</f>
        <v>56.146357</v>
      </c>
      <c r="Q6300" s="13">
        <f>IFERROR(__xludf.DUMMYFUNCTION("VALUE(SUBSTITUTE((INDEX(SPLIT(A6300,"",""),2)),""."","","",1))"),40.452458)</f>
        <v>40.452458</v>
      </c>
      <c r="R6300" s="14" t="b">
        <f t="shared" si="1"/>
        <v>0</v>
      </c>
      <c r="S6300" s="14" t="str">
        <f t="shared" si="2"/>
        <v>56.146357,40.452458</v>
      </c>
      <c r="T6300" s="12"/>
    </row>
    <row r="6301">
      <c r="A6301" s="146" t="s">
        <v>40486</v>
      </c>
      <c r="B6301" s="147" t="s">
        <v>40487</v>
      </c>
      <c r="C6301" s="147" t="s">
        <v>40488</v>
      </c>
      <c r="D6301" s="147" t="s">
        <v>33342</v>
      </c>
      <c r="E6301" s="148" t="s">
        <v>40489</v>
      </c>
      <c r="F6301" s="146" t="s">
        <v>13111</v>
      </c>
      <c r="G6301" s="146" t="s">
        <v>33344</v>
      </c>
      <c r="H6301" s="146"/>
      <c r="I6301" s="147"/>
      <c r="J6301" s="147" t="s">
        <v>40490</v>
      </c>
      <c r="K6301" s="147" t="s">
        <v>40491</v>
      </c>
      <c r="L6301" s="149" t="s">
        <v>40492</v>
      </c>
      <c r="M6301" s="147"/>
      <c r="N6301" s="12"/>
      <c r="O6301" s="12"/>
      <c r="P6301" s="13">
        <f>IFERROR(__xludf.DUMMYFUNCTION("VALUE(SUBSTITUTE((INDEX(SPLIT(A6301,"",""),1)),""."","","",1))"),48.824512)</f>
        <v>48.824512</v>
      </c>
      <c r="Q6301" s="13">
        <f>IFERROR(__xludf.DUMMYFUNCTION("VALUE(SUBSTITUTE((INDEX(SPLIT(A6301,"",""),2)),""."","","",1))"),44.850439)</f>
        <v>44.850439</v>
      </c>
      <c r="R6301" s="14" t="b">
        <f t="shared" si="1"/>
        <v>0</v>
      </c>
      <c r="S6301" s="14" t="str">
        <f t="shared" si="2"/>
        <v>48.824512,44.850439</v>
      </c>
      <c r="T6301" s="12"/>
    </row>
    <row r="6302">
      <c r="A6302" s="136" t="s">
        <v>40493</v>
      </c>
      <c r="B6302" s="137" t="s">
        <v>40494</v>
      </c>
      <c r="C6302" s="137" t="s">
        <v>40495</v>
      </c>
      <c r="D6302" s="137" t="s">
        <v>33342</v>
      </c>
      <c r="E6302" s="138" t="s">
        <v>40496</v>
      </c>
      <c r="F6302" s="136" t="s">
        <v>13111</v>
      </c>
      <c r="G6302" s="136" t="s">
        <v>33344</v>
      </c>
      <c r="H6302" s="136"/>
      <c r="I6302" s="137"/>
      <c r="J6302" s="137" t="s">
        <v>40497</v>
      </c>
      <c r="K6302" s="137" t="s">
        <v>40498</v>
      </c>
      <c r="L6302" s="137"/>
      <c r="M6302" s="153" t="s">
        <v>40499</v>
      </c>
      <c r="N6302" s="12"/>
      <c r="O6302" s="12"/>
      <c r="P6302" s="13">
        <f>IFERROR(__xludf.DUMMYFUNCTION("VALUE(SUBSTITUTE((INDEX(SPLIT(A6302,"",""),1)),""."","","",1))"),48.779478)</f>
        <v>48.779478</v>
      </c>
      <c r="Q6302" s="13">
        <f>IFERROR(__xludf.DUMMYFUNCTION("VALUE(SUBSTITUTE((INDEX(SPLIT(A6302,"",""),2)),""."","","",1))"),44.767165)</f>
        <v>44.767165</v>
      </c>
      <c r="R6302" s="14" t="b">
        <f t="shared" si="1"/>
        <v>0</v>
      </c>
      <c r="S6302" s="14" t="str">
        <f t="shared" si="2"/>
        <v>48.779478,44.767165</v>
      </c>
      <c r="T6302" s="12"/>
    </row>
    <row r="6303">
      <c r="A6303" s="139" t="s">
        <v>40500</v>
      </c>
      <c r="B6303" s="140" t="s">
        <v>40501</v>
      </c>
      <c r="C6303" s="140" t="s">
        <v>40502</v>
      </c>
      <c r="D6303" s="140" t="s">
        <v>33342</v>
      </c>
      <c r="E6303" s="141" t="s">
        <v>40503</v>
      </c>
      <c r="F6303" s="139" t="s">
        <v>13111</v>
      </c>
      <c r="G6303" s="139" t="s">
        <v>33344</v>
      </c>
      <c r="H6303" s="139"/>
      <c r="I6303" s="140"/>
      <c r="J6303" s="140" t="s">
        <v>40504</v>
      </c>
      <c r="K6303" s="140" t="s">
        <v>40505</v>
      </c>
      <c r="L6303" s="140"/>
      <c r="M6303" s="140"/>
      <c r="N6303" s="12"/>
      <c r="O6303" s="12"/>
      <c r="P6303" s="13">
        <f>IFERROR(__xludf.DUMMYFUNCTION("VALUE(SUBSTITUTE((INDEX(SPLIT(A6303,"",""),1)),""."","","",1))"),48.797748)</f>
        <v>48.797748</v>
      </c>
      <c r="Q6303" s="13">
        <f>IFERROR(__xludf.DUMMYFUNCTION("VALUE(SUBSTITUTE((INDEX(SPLIT(A6303,"",""),2)),""."","","",1))"),44.782912)</f>
        <v>44.782912</v>
      </c>
      <c r="R6303" s="14" t="b">
        <f t="shared" si="1"/>
        <v>0</v>
      </c>
      <c r="S6303" s="14" t="str">
        <f t="shared" si="2"/>
        <v>48.797748,44.782912</v>
      </c>
      <c r="T6303" s="12"/>
    </row>
    <row r="6304">
      <c r="A6304" s="142" t="s">
        <v>40506</v>
      </c>
      <c r="B6304" s="143" t="s">
        <v>40507</v>
      </c>
      <c r="C6304" s="143" t="s">
        <v>40508</v>
      </c>
      <c r="D6304" s="143" t="s">
        <v>33342</v>
      </c>
      <c r="E6304" s="144" t="s">
        <v>40509</v>
      </c>
      <c r="F6304" s="142" t="s">
        <v>13111</v>
      </c>
      <c r="G6304" s="142" t="s">
        <v>33344</v>
      </c>
      <c r="H6304" s="142"/>
      <c r="I6304" s="143"/>
      <c r="J6304" s="143" t="s">
        <v>40510</v>
      </c>
      <c r="K6304" s="143" t="s">
        <v>40491</v>
      </c>
      <c r="L6304" s="145" t="s">
        <v>40492</v>
      </c>
      <c r="M6304" s="145" t="s">
        <v>40511</v>
      </c>
      <c r="N6304" s="12"/>
      <c r="O6304" s="12"/>
      <c r="P6304" s="13">
        <f>IFERROR(__xludf.DUMMYFUNCTION("VALUE(SUBSTITUTE((INDEX(SPLIT(A6304,"",""),1)),""."","","",1))"),48.794591)</f>
        <v>48.794591</v>
      </c>
      <c r="Q6304" s="13">
        <f>IFERROR(__xludf.DUMMYFUNCTION("VALUE(SUBSTITUTE((INDEX(SPLIT(A6304,"",""),2)),""."","","",1))"),44.846073)</f>
        <v>44.846073</v>
      </c>
      <c r="R6304" s="14" t="b">
        <f t="shared" si="1"/>
        <v>0</v>
      </c>
      <c r="S6304" s="14" t="str">
        <f t="shared" si="2"/>
        <v>48.794591,44.846073</v>
      </c>
      <c r="T6304" s="12"/>
    </row>
    <row r="6305">
      <c r="A6305" s="146" t="s">
        <v>40512</v>
      </c>
      <c r="B6305" s="147" t="s">
        <v>40513</v>
      </c>
      <c r="C6305" s="147" t="s">
        <v>40514</v>
      </c>
      <c r="D6305" s="147" t="s">
        <v>33342</v>
      </c>
      <c r="E6305" s="148" t="s">
        <v>40515</v>
      </c>
      <c r="F6305" s="146" t="s">
        <v>13111</v>
      </c>
      <c r="G6305" s="146" t="s">
        <v>33344</v>
      </c>
      <c r="H6305" s="146"/>
      <c r="I6305" s="147"/>
      <c r="J6305" s="147" t="s">
        <v>40516</v>
      </c>
      <c r="K6305" s="147" t="s">
        <v>40517</v>
      </c>
      <c r="L6305" s="149" t="s">
        <v>40518</v>
      </c>
      <c r="M6305" s="149" t="s">
        <v>40519</v>
      </c>
      <c r="N6305" s="12"/>
      <c r="O6305" s="12"/>
      <c r="P6305" s="13">
        <f>IFERROR(__xludf.DUMMYFUNCTION("VALUE(SUBSTITUTE((INDEX(SPLIT(A6305,"",""),1)),""."","","",1))"),48.756194)</f>
        <v>48.756194</v>
      </c>
      <c r="Q6305" s="13">
        <f>IFERROR(__xludf.DUMMYFUNCTION("VALUE(SUBSTITUTE((INDEX(SPLIT(A6305,"",""),2)),""."","","",1))"),44.463355)</f>
        <v>44.463355</v>
      </c>
      <c r="R6305" s="14" t="b">
        <f t="shared" si="1"/>
        <v>0</v>
      </c>
      <c r="S6305" s="14" t="str">
        <f t="shared" si="2"/>
        <v>48.756194,44.463355</v>
      </c>
      <c r="T6305" s="12"/>
    </row>
    <row r="6306">
      <c r="A6306" s="136" t="s">
        <v>40520</v>
      </c>
      <c r="B6306" s="137" t="s">
        <v>40521</v>
      </c>
      <c r="C6306" s="137" t="s">
        <v>40522</v>
      </c>
      <c r="D6306" s="137" t="s">
        <v>33342</v>
      </c>
      <c r="E6306" s="138" t="s">
        <v>40523</v>
      </c>
      <c r="F6306" s="136" t="s">
        <v>13111</v>
      </c>
      <c r="G6306" s="136" t="s">
        <v>33344</v>
      </c>
      <c r="H6306" s="136"/>
      <c r="I6306" s="137"/>
      <c r="J6306" s="137" t="s">
        <v>40524</v>
      </c>
      <c r="K6306" s="137" t="s">
        <v>40525</v>
      </c>
      <c r="L6306" s="137"/>
      <c r="M6306" s="153" t="s">
        <v>18872</v>
      </c>
      <c r="N6306" s="12"/>
      <c r="O6306" s="12"/>
      <c r="P6306" s="13">
        <f>IFERROR(__xludf.DUMMYFUNCTION("VALUE(SUBSTITUTE((INDEX(SPLIT(A6306,"",""),1)),""."","","",1))"),48.748128)</f>
        <v>48.748128</v>
      </c>
      <c r="Q6306" s="13">
        <f>IFERROR(__xludf.DUMMYFUNCTION("VALUE(SUBSTITUTE((INDEX(SPLIT(A6306,"",""),2)),""."","","",1))"),44.495119)</f>
        <v>44.495119</v>
      </c>
      <c r="R6306" s="14" t="b">
        <f t="shared" si="1"/>
        <v>0</v>
      </c>
      <c r="S6306" s="14" t="str">
        <f t="shared" si="2"/>
        <v>48.748128,44.495119</v>
      </c>
      <c r="T6306" s="12"/>
    </row>
    <row r="6307">
      <c r="A6307" s="139" t="s">
        <v>40526</v>
      </c>
      <c r="B6307" s="140" t="s">
        <v>40527</v>
      </c>
      <c r="C6307" s="140" t="s">
        <v>40528</v>
      </c>
      <c r="D6307" s="140" t="s">
        <v>33342</v>
      </c>
      <c r="E6307" s="141" t="s">
        <v>40529</v>
      </c>
      <c r="F6307" s="139" t="s">
        <v>13111</v>
      </c>
      <c r="G6307" s="139" t="s">
        <v>33344</v>
      </c>
      <c r="H6307" s="139"/>
      <c r="I6307" s="140"/>
      <c r="J6307" s="140" t="s">
        <v>40530</v>
      </c>
      <c r="K6307" s="140" t="s">
        <v>40531</v>
      </c>
      <c r="L6307" s="140"/>
      <c r="M6307" s="140"/>
      <c r="N6307" s="12"/>
      <c r="O6307" s="12"/>
      <c r="P6307" s="13">
        <f>IFERROR(__xludf.DUMMYFUNCTION("VALUE(SUBSTITUTE((INDEX(SPLIT(A6307,"",""),1)),""."","","",1))"),48.767383)</f>
        <v>48.767383</v>
      </c>
      <c r="Q6307" s="13">
        <f>IFERROR(__xludf.DUMMYFUNCTION("VALUE(SUBSTITUTE((INDEX(SPLIT(A6307,"",""),2)),""."","","",1))"),44.45986)</f>
        <v>44.45986</v>
      </c>
      <c r="R6307" s="14" t="b">
        <f t="shared" si="1"/>
        <v>0</v>
      </c>
      <c r="S6307" s="14" t="str">
        <f t="shared" si="2"/>
        <v>48.767383,44.45986</v>
      </c>
      <c r="T6307" s="12"/>
    </row>
    <row r="6308">
      <c r="A6308" s="136" t="s">
        <v>40532</v>
      </c>
      <c r="B6308" s="137" t="s">
        <v>40533</v>
      </c>
      <c r="C6308" s="137" t="s">
        <v>40534</v>
      </c>
      <c r="D6308" s="137" t="s">
        <v>33342</v>
      </c>
      <c r="E6308" s="138" t="s">
        <v>40535</v>
      </c>
      <c r="F6308" s="136" t="s">
        <v>13111</v>
      </c>
      <c r="G6308" s="136" t="s">
        <v>33344</v>
      </c>
      <c r="H6308" s="136"/>
      <c r="I6308" s="137"/>
      <c r="J6308" s="137" t="s">
        <v>40536</v>
      </c>
      <c r="K6308" s="137" t="s">
        <v>40537</v>
      </c>
      <c r="L6308" s="137"/>
      <c r="M6308" s="137"/>
      <c r="N6308" s="12"/>
      <c r="O6308" s="12"/>
      <c r="P6308" s="13">
        <f>IFERROR(__xludf.DUMMYFUNCTION("VALUE(SUBSTITUTE((INDEX(SPLIT(A6308,"",""),1)),""."","","",1))"),48.765471)</f>
        <v>48.765471</v>
      </c>
      <c r="Q6308" s="13">
        <f>IFERROR(__xludf.DUMMYFUNCTION("VALUE(SUBSTITUTE((INDEX(SPLIT(A6308,"",""),2)),""."","","",1))"),44.457327)</f>
        <v>44.457327</v>
      </c>
      <c r="R6308" s="14" t="b">
        <f t="shared" si="1"/>
        <v>0</v>
      </c>
      <c r="S6308" s="14" t="str">
        <f t="shared" si="2"/>
        <v>48.765471,44.457327</v>
      </c>
      <c r="T6308" s="12"/>
    </row>
    <row r="6309">
      <c r="A6309" s="139" t="s">
        <v>40538</v>
      </c>
      <c r="B6309" s="140" t="s">
        <v>40539</v>
      </c>
      <c r="C6309" s="140" t="s">
        <v>40540</v>
      </c>
      <c r="D6309" s="140" t="s">
        <v>33342</v>
      </c>
      <c r="E6309" s="141" t="s">
        <v>40541</v>
      </c>
      <c r="F6309" s="139" t="s">
        <v>13111</v>
      </c>
      <c r="G6309" s="139" t="s">
        <v>33344</v>
      </c>
      <c r="H6309" s="139"/>
      <c r="I6309" s="140"/>
      <c r="J6309" s="140" t="s">
        <v>40542</v>
      </c>
      <c r="K6309" s="140" t="s">
        <v>40543</v>
      </c>
      <c r="L6309" s="140"/>
      <c r="M6309" s="154" t="s">
        <v>40544</v>
      </c>
      <c r="N6309" s="12"/>
      <c r="O6309" s="12"/>
      <c r="P6309" s="13">
        <f>IFERROR(__xludf.DUMMYFUNCTION("VALUE(SUBSTITUTE((INDEX(SPLIT(A6309,"",""),1)),""."","","",1))"),48.786768)</f>
        <v>48.786768</v>
      </c>
      <c r="Q6309" s="13">
        <f>IFERROR(__xludf.DUMMYFUNCTION("VALUE(SUBSTITUTE((INDEX(SPLIT(A6309,"",""),2)),""."","","",1))"),44.488741)</f>
        <v>44.488741</v>
      </c>
      <c r="R6309" s="14" t="b">
        <f t="shared" si="1"/>
        <v>0</v>
      </c>
      <c r="S6309" s="14" t="str">
        <f t="shared" si="2"/>
        <v>48.786768,44.488741</v>
      </c>
      <c r="T6309" s="12"/>
    </row>
    <row r="6310">
      <c r="A6310" s="136" t="s">
        <v>40545</v>
      </c>
      <c r="B6310" s="137" t="s">
        <v>40546</v>
      </c>
      <c r="C6310" s="137" t="s">
        <v>40547</v>
      </c>
      <c r="D6310" s="137" t="s">
        <v>33342</v>
      </c>
      <c r="E6310" s="138" t="s">
        <v>40548</v>
      </c>
      <c r="F6310" s="136" t="s">
        <v>13111</v>
      </c>
      <c r="G6310" s="136" t="s">
        <v>33344</v>
      </c>
      <c r="H6310" s="136"/>
      <c r="I6310" s="137"/>
      <c r="J6310" s="137" t="s">
        <v>40549</v>
      </c>
      <c r="K6310" s="137" t="s">
        <v>40550</v>
      </c>
      <c r="L6310" s="137"/>
      <c r="M6310" s="137"/>
      <c r="N6310" s="12"/>
      <c r="O6310" s="12"/>
      <c r="P6310" s="13">
        <f>IFERROR(__xludf.DUMMYFUNCTION("VALUE(SUBSTITUTE((INDEX(SPLIT(A6310,"",""),1)),""."","","",1))"),48.684487)</f>
        <v>48.684487</v>
      </c>
      <c r="Q6310" s="13">
        <f>IFERROR(__xludf.DUMMYFUNCTION("VALUE(SUBSTITUTE((INDEX(SPLIT(A6310,"",""),2)),""."","","",1))"),44.410534)</f>
        <v>44.410534</v>
      </c>
      <c r="R6310" s="14" t="b">
        <f t="shared" si="1"/>
        <v>0</v>
      </c>
      <c r="S6310" s="14" t="str">
        <f t="shared" si="2"/>
        <v>48.684487,44.410534</v>
      </c>
      <c r="T6310" s="12"/>
    </row>
    <row r="6311">
      <c r="A6311" s="146" t="s">
        <v>40551</v>
      </c>
      <c r="B6311" s="147" t="s">
        <v>40552</v>
      </c>
      <c r="C6311" s="147" t="s">
        <v>40553</v>
      </c>
      <c r="D6311" s="147" t="s">
        <v>33342</v>
      </c>
      <c r="E6311" s="148" t="s">
        <v>40554</v>
      </c>
      <c r="F6311" s="146" t="s">
        <v>13111</v>
      </c>
      <c r="G6311" s="146" t="s">
        <v>33344</v>
      </c>
      <c r="H6311" s="146"/>
      <c r="I6311" s="147"/>
      <c r="J6311" s="147" t="s">
        <v>40555</v>
      </c>
      <c r="K6311" s="147" t="s">
        <v>40556</v>
      </c>
      <c r="L6311" s="149" t="s">
        <v>40557</v>
      </c>
      <c r="M6311" s="147"/>
      <c r="N6311" s="12"/>
      <c r="O6311" s="12"/>
      <c r="P6311" s="13">
        <f>IFERROR(__xludf.DUMMYFUNCTION("VALUE(SUBSTITUTE((INDEX(SPLIT(A6311,"",""),1)),""."","","",1))"),48.787326)</f>
        <v>48.787326</v>
      </c>
      <c r="Q6311" s="13">
        <f>IFERROR(__xludf.DUMMYFUNCTION("VALUE(SUBSTITUTE((INDEX(SPLIT(A6311,"",""),2)),""."","","",1))"),44.497598)</f>
        <v>44.497598</v>
      </c>
      <c r="R6311" s="14" t="b">
        <f t="shared" si="1"/>
        <v>0</v>
      </c>
      <c r="S6311" s="14" t="str">
        <f t="shared" si="2"/>
        <v>48.787326,44.497598</v>
      </c>
      <c r="T6311" s="12"/>
    </row>
    <row r="6312">
      <c r="A6312" s="136" t="s">
        <v>17997</v>
      </c>
      <c r="B6312" s="137" t="s">
        <v>40558</v>
      </c>
      <c r="C6312" s="137" t="s">
        <v>40559</v>
      </c>
      <c r="D6312" s="137" t="s">
        <v>33342</v>
      </c>
      <c r="E6312" s="138" t="s">
        <v>40560</v>
      </c>
      <c r="F6312" s="136" t="s">
        <v>13111</v>
      </c>
      <c r="G6312" s="136" t="s">
        <v>33344</v>
      </c>
      <c r="H6312" s="136"/>
      <c r="I6312" s="137"/>
      <c r="J6312" s="137" t="s">
        <v>18458</v>
      </c>
      <c r="K6312" s="137" t="s">
        <v>40561</v>
      </c>
      <c r="L6312" s="137"/>
      <c r="M6312" s="153" t="s">
        <v>40562</v>
      </c>
      <c r="N6312" s="12"/>
      <c r="O6312" s="12"/>
      <c r="P6312" s="13">
        <f>IFERROR(__xludf.DUMMYFUNCTION("VALUE(SUBSTITUTE((INDEX(SPLIT(A6312,"",""),1)),""."","","",1))"),48.782268)</f>
        <v>48.782268</v>
      </c>
      <c r="Q6312" s="13">
        <f>IFERROR(__xludf.DUMMYFUNCTION("VALUE(SUBSTITUTE((INDEX(SPLIT(A6312,"",""),2)),""."","","",1))"),44.596036)</f>
        <v>44.596036</v>
      </c>
      <c r="R6312" s="14" t="b">
        <f t="shared" si="1"/>
        <v>0</v>
      </c>
      <c r="S6312" s="14" t="str">
        <f t="shared" si="2"/>
        <v>48.782268,44.596036</v>
      </c>
      <c r="T6312" s="12"/>
    </row>
    <row r="6313">
      <c r="A6313" s="139" t="s">
        <v>40563</v>
      </c>
      <c r="B6313" s="140" t="s">
        <v>40564</v>
      </c>
      <c r="C6313" s="140" t="s">
        <v>40565</v>
      </c>
      <c r="D6313" s="140" t="s">
        <v>33342</v>
      </c>
      <c r="E6313" s="141" t="s">
        <v>40566</v>
      </c>
      <c r="F6313" s="139" t="s">
        <v>13111</v>
      </c>
      <c r="G6313" s="139" t="s">
        <v>33344</v>
      </c>
      <c r="H6313" s="139"/>
      <c r="I6313" s="140"/>
      <c r="J6313" s="140" t="s">
        <v>40567</v>
      </c>
      <c r="K6313" s="140" t="s">
        <v>33803</v>
      </c>
      <c r="L6313" s="140"/>
      <c r="M6313" s="140"/>
      <c r="N6313" s="12"/>
      <c r="O6313" s="12"/>
      <c r="P6313" s="13">
        <f>IFERROR(__xludf.DUMMYFUNCTION("VALUE(SUBSTITUTE((INDEX(SPLIT(A6313,"",""),1)),""."","","",1))"),48.841136)</f>
        <v>48.841136</v>
      </c>
      <c r="Q6313" s="13">
        <f>IFERROR(__xludf.DUMMYFUNCTION("VALUE(SUBSTITUTE((INDEX(SPLIT(A6313,"",""),2)),""."","","",1))"),44.551866)</f>
        <v>44.551866</v>
      </c>
      <c r="R6313" s="14" t="b">
        <f t="shared" si="1"/>
        <v>0</v>
      </c>
      <c r="S6313" s="14" t="str">
        <f t="shared" si="2"/>
        <v>48.841136,44.551866</v>
      </c>
      <c r="T6313" s="12"/>
    </row>
    <row r="6314">
      <c r="A6314" s="136" t="s">
        <v>40568</v>
      </c>
      <c r="B6314" s="137" t="s">
        <v>40569</v>
      </c>
      <c r="C6314" s="137" t="s">
        <v>40570</v>
      </c>
      <c r="D6314" s="137" t="s">
        <v>33342</v>
      </c>
      <c r="E6314" s="138" t="s">
        <v>40571</v>
      </c>
      <c r="F6314" s="136" t="s">
        <v>13111</v>
      </c>
      <c r="G6314" s="136" t="s">
        <v>33344</v>
      </c>
      <c r="H6314" s="136"/>
      <c r="I6314" s="137"/>
      <c r="J6314" s="137" t="s">
        <v>40572</v>
      </c>
      <c r="K6314" s="137" t="s">
        <v>40573</v>
      </c>
      <c r="L6314" s="137"/>
      <c r="M6314" s="137"/>
      <c r="N6314" s="12"/>
      <c r="O6314" s="12"/>
      <c r="P6314" s="13">
        <f>IFERROR(__xludf.DUMMYFUNCTION("VALUE(SUBSTITUTE((INDEX(SPLIT(A6314,"",""),1)),""."","","",1))"),48.699855)</f>
        <v>48.699855</v>
      </c>
      <c r="Q6314" s="13">
        <f>IFERROR(__xludf.DUMMYFUNCTION("VALUE(SUBSTITUTE((INDEX(SPLIT(A6314,"",""),2)),""."","","",1))"),44.494041)</f>
        <v>44.494041</v>
      </c>
      <c r="R6314" s="14" t="b">
        <f t="shared" si="1"/>
        <v>0</v>
      </c>
      <c r="S6314" s="14" t="str">
        <f t="shared" si="2"/>
        <v>48.699855,44.494041</v>
      </c>
      <c r="T6314" s="12"/>
    </row>
    <row r="6315">
      <c r="A6315" s="146" t="s">
        <v>40574</v>
      </c>
      <c r="B6315" s="147" t="s">
        <v>40575</v>
      </c>
      <c r="C6315" s="147" t="s">
        <v>40576</v>
      </c>
      <c r="D6315" s="147" t="s">
        <v>33342</v>
      </c>
      <c r="E6315" s="148" t="s">
        <v>40577</v>
      </c>
      <c r="F6315" s="146" t="s">
        <v>11562</v>
      </c>
      <c r="G6315" s="146" t="s">
        <v>33344</v>
      </c>
      <c r="H6315" s="146"/>
      <c r="I6315" s="147"/>
      <c r="J6315" s="147" t="s">
        <v>40578</v>
      </c>
      <c r="K6315" s="147" t="s">
        <v>40579</v>
      </c>
      <c r="L6315" s="149" t="s">
        <v>40580</v>
      </c>
      <c r="M6315" s="149" t="s">
        <v>40581</v>
      </c>
      <c r="N6315" s="12"/>
      <c r="O6315" s="12"/>
      <c r="P6315" s="13">
        <f>IFERROR(__xludf.DUMMYFUNCTION("VALUE(SUBSTITUTE((INDEX(SPLIT(A6315,"",""),1)),""."","","",1))"),59.238953)</f>
        <v>59.238953</v>
      </c>
      <c r="Q6315" s="13">
        <f>IFERROR(__xludf.DUMMYFUNCTION("VALUE(SUBSTITUTE((INDEX(SPLIT(A6315,"",""),2)),""."","","",1))"),38.510183)</f>
        <v>38.510183</v>
      </c>
      <c r="R6315" s="14" t="b">
        <f t="shared" si="1"/>
        <v>0</v>
      </c>
      <c r="S6315" s="14" t="str">
        <f t="shared" si="2"/>
        <v>59.238953,38.510183</v>
      </c>
      <c r="T6315" s="12"/>
    </row>
    <row r="6316">
      <c r="A6316" s="142" t="s">
        <v>40582</v>
      </c>
      <c r="B6316" s="143" t="s">
        <v>40583</v>
      </c>
      <c r="C6316" s="143" t="s">
        <v>40584</v>
      </c>
      <c r="D6316" s="143" t="s">
        <v>33342</v>
      </c>
      <c r="E6316" s="144" t="s">
        <v>40585</v>
      </c>
      <c r="F6316" s="142" t="s">
        <v>11562</v>
      </c>
      <c r="G6316" s="142" t="s">
        <v>33344</v>
      </c>
      <c r="H6316" s="142"/>
      <c r="I6316" s="143"/>
      <c r="J6316" s="143" t="s">
        <v>40586</v>
      </c>
      <c r="K6316" s="143" t="s">
        <v>15214</v>
      </c>
      <c r="L6316" s="145" t="s">
        <v>40587</v>
      </c>
      <c r="M6316" s="145" t="s">
        <v>40588</v>
      </c>
      <c r="N6316" s="12"/>
      <c r="O6316" s="12"/>
      <c r="P6316" s="13">
        <f>IFERROR(__xludf.DUMMYFUNCTION("VALUE(SUBSTITUTE((INDEX(SPLIT(A6316,"",""),1)),""."","","",1))"),59.194928)</f>
        <v>59.194928</v>
      </c>
      <c r="Q6316" s="13">
        <f>IFERROR(__xludf.DUMMYFUNCTION("VALUE(SUBSTITUTE((INDEX(SPLIT(A6316,"",""),2)),""."","","",1))"),39.900587)</f>
        <v>39.900587</v>
      </c>
      <c r="R6316" s="14" t="b">
        <f t="shared" si="1"/>
        <v>0</v>
      </c>
      <c r="S6316" s="14" t="str">
        <f t="shared" si="2"/>
        <v>59.194928,39.900587</v>
      </c>
      <c r="T6316" s="12"/>
    </row>
    <row r="6317">
      <c r="A6317" s="146" t="s">
        <v>40589</v>
      </c>
      <c r="B6317" s="147" t="s">
        <v>40590</v>
      </c>
      <c r="C6317" s="147" t="s">
        <v>40591</v>
      </c>
      <c r="D6317" s="147" t="s">
        <v>33342</v>
      </c>
      <c r="E6317" s="148" t="s">
        <v>40592</v>
      </c>
      <c r="F6317" s="146" t="s">
        <v>11562</v>
      </c>
      <c r="G6317" s="146" t="s">
        <v>33344</v>
      </c>
      <c r="H6317" s="146"/>
      <c r="I6317" s="147"/>
      <c r="J6317" s="147" t="s">
        <v>40593</v>
      </c>
      <c r="K6317" s="147" t="s">
        <v>40594</v>
      </c>
      <c r="L6317" s="149" t="s">
        <v>40595</v>
      </c>
      <c r="M6317" s="149" t="s">
        <v>40596</v>
      </c>
      <c r="N6317" s="12"/>
      <c r="O6317" s="12"/>
      <c r="P6317" s="13">
        <f>IFERROR(__xludf.DUMMYFUNCTION("VALUE(SUBSTITUTE((INDEX(SPLIT(A6317,"",""),1)),""."","","",1))"),59.22552)</f>
        <v>59.22552</v>
      </c>
      <c r="Q6317" s="13">
        <f>IFERROR(__xludf.DUMMYFUNCTION("VALUE(SUBSTITUTE((INDEX(SPLIT(A6317,"",""),2)),""."","","",1))"),39.864043)</f>
        <v>39.864043</v>
      </c>
      <c r="R6317" s="14" t="b">
        <f t="shared" si="1"/>
        <v>0</v>
      </c>
      <c r="S6317" s="14" t="str">
        <f t="shared" si="2"/>
        <v>59.22552,39.864043</v>
      </c>
      <c r="T6317" s="12"/>
    </row>
    <row r="6318">
      <c r="A6318" s="136" t="s">
        <v>40597</v>
      </c>
      <c r="B6318" s="137" t="s">
        <v>40598</v>
      </c>
      <c r="C6318" s="137" t="s">
        <v>40599</v>
      </c>
      <c r="D6318" s="137" t="s">
        <v>33342</v>
      </c>
      <c r="E6318" s="138" t="s">
        <v>40600</v>
      </c>
      <c r="F6318" s="136" t="s">
        <v>11562</v>
      </c>
      <c r="G6318" s="136" t="s">
        <v>33344</v>
      </c>
      <c r="H6318" s="136"/>
      <c r="I6318" s="137"/>
      <c r="J6318" s="137" t="s">
        <v>40601</v>
      </c>
      <c r="K6318" s="137" t="s">
        <v>40602</v>
      </c>
      <c r="L6318" s="137"/>
      <c r="M6318" s="153" t="s">
        <v>40603</v>
      </c>
      <c r="N6318" s="12"/>
      <c r="O6318" s="12"/>
      <c r="P6318" s="13">
        <f>IFERROR(__xludf.DUMMYFUNCTION("VALUE(SUBSTITUTE((INDEX(SPLIT(A6318,"",""),1)),""."","","",1))"),59.223623)</f>
        <v>59.223623</v>
      </c>
      <c r="Q6318" s="13">
        <f>IFERROR(__xludf.DUMMYFUNCTION("VALUE(SUBSTITUTE((INDEX(SPLIT(A6318,"",""),2)),""."","","",1))"),39.850074)</f>
        <v>39.850074</v>
      </c>
      <c r="R6318" s="14" t="b">
        <f t="shared" si="1"/>
        <v>0</v>
      </c>
      <c r="S6318" s="14" t="str">
        <f t="shared" si="2"/>
        <v>59.223623,39.850074</v>
      </c>
      <c r="T6318" s="12"/>
    </row>
    <row r="6319">
      <c r="A6319" s="146" t="s">
        <v>40604</v>
      </c>
      <c r="B6319" s="147" t="s">
        <v>40605</v>
      </c>
      <c r="C6319" s="147" t="s">
        <v>40606</v>
      </c>
      <c r="D6319" s="147" t="s">
        <v>33342</v>
      </c>
      <c r="E6319" s="148" t="s">
        <v>40607</v>
      </c>
      <c r="F6319" s="146" t="s">
        <v>11562</v>
      </c>
      <c r="G6319" s="146" t="s">
        <v>33344</v>
      </c>
      <c r="H6319" s="146"/>
      <c r="I6319" s="147"/>
      <c r="J6319" s="147" t="s">
        <v>40608</v>
      </c>
      <c r="K6319" s="147" t="s">
        <v>40609</v>
      </c>
      <c r="L6319" s="149" t="s">
        <v>40610</v>
      </c>
      <c r="M6319" s="147"/>
      <c r="N6319" s="12"/>
      <c r="O6319" s="12"/>
      <c r="P6319" s="13">
        <f>IFERROR(__xludf.DUMMYFUNCTION("VALUE(SUBSTITUTE((INDEX(SPLIT(A6319,"",""),1)),""."","","",1))"),59.220022)</f>
        <v>59.220022</v>
      </c>
      <c r="Q6319" s="13">
        <f>IFERROR(__xludf.DUMMYFUNCTION("VALUE(SUBSTITUTE((INDEX(SPLIT(A6319,"",""),2)),""."","","",1))"),39.811492)</f>
        <v>39.811492</v>
      </c>
      <c r="R6319" s="14" t="b">
        <f t="shared" si="1"/>
        <v>0</v>
      </c>
      <c r="S6319" s="14" t="str">
        <f t="shared" si="2"/>
        <v>59.220022,39.811492</v>
      </c>
      <c r="T6319" s="12"/>
    </row>
    <row r="6320">
      <c r="A6320" s="136" t="s">
        <v>40611</v>
      </c>
      <c r="B6320" s="137" t="s">
        <v>40612</v>
      </c>
      <c r="C6320" s="137" t="s">
        <v>40613</v>
      </c>
      <c r="D6320" s="137" t="s">
        <v>33342</v>
      </c>
      <c r="E6320" s="138" t="s">
        <v>40614</v>
      </c>
      <c r="F6320" s="136" t="s">
        <v>11562</v>
      </c>
      <c r="G6320" s="136" t="s">
        <v>33344</v>
      </c>
      <c r="H6320" s="136"/>
      <c r="I6320" s="137"/>
      <c r="J6320" s="137" t="s">
        <v>40615</v>
      </c>
      <c r="K6320" s="137" t="s">
        <v>40616</v>
      </c>
      <c r="L6320" s="137"/>
      <c r="M6320" s="137"/>
      <c r="N6320" s="12"/>
      <c r="O6320" s="12"/>
      <c r="P6320" s="13">
        <f>IFERROR(__xludf.DUMMYFUNCTION("VALUE(SUBSTITUTE((INDEX(SPLIT(A6320,"",""),1)),""."","","",1))"),59.214454)</f>
        <v>59.214454</v>
      </c>
      <c r="Q6320" s="13">
        <f>IFERROR(__xludf.DUMMYFUNCTION("VALUE(SUBSTITUTE((INDEX(SPLIT(A6320,"",""),2)),""."","","",1))"),39.844882)</f>
        <v>39.844882</v>
      </c>
      <c r="R6320" s="14" t="b">
        <f t="shared" si="1"/>
        <v>0</v>
      </c>
      <c r="S6320" s="14" t="str">
        <f t="shared" si="2"/>
        <v>59.214454,39.844882</v>
      </c>
      <c r="T6320" s="12"/>
    </row>
    <row r="6321">
      <c r="A6321" s="146" t="s">
        <v>40617</v>
      </c>
      <c r="B6321" s="147" t="s">
        <v>40618</v>
      </c>
      <c r="C6321" s="147" t="s">
        <v>40619</v>
      </c>
      <c r="D6321" s="147" t="s">
        <v>33342</v>
      </c>
      <c r="E6321" s="148" t="s">
        <v>40620</v>
      </c>
      <c r="F6321" s="146" t="s">
        <v>11562</v>
      </c>
      <c r="G6321" s="146" t="s">
        <v>33344</v>
      </c>
      <c r="H6321" s="146"/>
      <c r="I6321" s="147"/>
      <c r="J6321" s="147" t="s">
        <v>40621</v>
      </c>
      <c r="K6321" s="147" t="s">
        <v>40622</v>
      </c>
      <c r="L6321" s="149" t="s">
        <v>40623</v>
      </c>
      <c r="M6321" s="147"/>
      <c r="N6321" s="12"/>
      <c r="O6321" s="12"/>
      <c r="P6321" s="13">
        <f>IFERROR(__xludf.DUMMYFUNCTION("VALUE(SUBSTITUTE((INDEX(SPLIT(A6321,"",""),1)),""."","","",1))"),59.215043)</f>
        <v>59.215043</v>
      </c>
      <c r="Q6321" s="13">
        <f>IFERROR(__xludf.DUMMYFUNCTION("VALUE(SUBSTITUTE((INDEX(SPLIT(A6321,"",""),2)),""."","","",1))"),39.874536)</f>
        <v>39.874536</v>
      </c>
      <c r="R6321" s="14" t="b">
        <f t="shared" si="1"/>
        <v>0</v>
      </c>
      <c r="S6321" s="14" t="str">
        <f t="shared" si="2"/>
        <v>59.215043,39.874536</v>
      </c>
      <c r="T6321" s="12"/>
    </row>
    <row r="6322">
      <c r="A6322" s="136" t="s">
        <v>40624</v>
      </c>
      <c r="B6322" s="137" t="s">
        <v>40625</v>
      </c>
      <c r="C6322" s="137" t="s">
        <v>40626</v>
      </c>
      <c r="D6322" s="137" t="s">
        <v>33342</v>
      </c>
      <c r="E6322" s="138" t="s">
        <v>40627</v>
      </c>
      <c r="F6322" s="136" t="s">
        <v>11562</v>
      </c>
      <c r="G6322" s="136" t="s">
        <v>33344</v>
      </c>
      <c r="H6322" s="136"/>
      <c r="I6322" s="137"/>
      <c r="J6322" s="137" t="s">
        <v>40628</v>
      </c>
      <c r="K6322" s="137" t="s">
        <v>40629</v>
      </c>
      <c r="L6322" s="137"/>
      <c r="M6322" s="153" t="s">
        <v>40630</v>
      </c>
      <c r="N6322" s="12"/>
      <c r="O6322" s="12"/>
      <c r="P6322" s="13">
        <f>IFERROR(__xludf.DUMMYFUNCTION("VALUE(SUBSTITUTE((INDEX(SPLIT(A6322,"",""),1)),""."","","",1))"),59.224613)</f>
        <v>59.224613</v>
      </c>
      <c r="Q6322" s="13">
        <f>IFERROR(__xludf.DUMMYFUNCTION("VALUE(SUBSTITUTE((INDEX(SPLIT(A6322,"",""),2)),""."","","",1))"),39.873098)</f>
        <v>39.873098</v>
      </c>
      <c r="R6322" s="14" t="b">
        <f t="shared" si="1"/>
        <v>0</v>
      </c>
      <c r="S6322" s="14" t="str">
        <f t="shared" si="2"/>
        <v>59.224613,39.873098</v>
      </c>
      <c r="T6322" s="12"/>
    </row>
    <row r="6323">
      <c r="A6323" s="146" t="s">
        <v>40631</v>
      </c>
      <c r="B6323" s="147" t="s">
        <v>40632</v>
      </c>
      <c r="C6323" s="147" t="s">
        <v>40633</v>
      </c>
      <c r="D6323" s="147" t="s">
        <v>33342</v>
      </c>
      <c r="E6323" s="148" t="s">
        <v>40634</v>
      </c>
      <c r="F6323" s="146" t="s">
        <v>11562</v>
      </c>
      <c r="G6323" s="146" t="s">
        <v>33344</v>
      </c>
      <c r="H6323" s="146"/>
      <c r="I6323" s="147"/>
      <c r="J6323" s="147" t="s">
        <v>40635</v>
      </c>
      <c r="K6323" s="147" t="s">
        <v>40636</v>
      </c>
      <c r="L6323" s="149" t="s">
        <v>40637</v>
      </c>
      <c r="M6323" s="149" t="s">
        <v>40638</v>
      </c>
      <c r="N6323" s="12"/>
      <c r="O6323" s="12"/>
      <c r="P6323" s="13">
        <f>IFERROR(__xludf.DUMMYFUNCTION("VALUE(SUBSTITUTE((INDEX(SPLIT(A6323,"",""),1)),""."","","",1))"),59.094373)</f>
        <v>59.094373</v>
      </c>
      <c r="Q6323" s="13">
        <f>IFERROR(__xludf.DUMMYFUNCTION("VALUE(SUBSTITUTE((INDEX(SPLIT(A6323,"",""),2)),""."","","",1))"),37.907602)</f>
        <v>37.907602</v>
      </c>
      <c r="R6323" s="14" t="b">
        <f t="shared" si="1"/>
        <v>0</v>
      </c>
      <c r="S6323" s="14" t="str">
        <f t="shared" si="2"/>
        <v>59.094373,37.907602</v>
      </c>
      <c r="T6323" s="12"/>
    </row>
    <row r="6324">
      <c r="A6324" s="142" t="s">
        <v>11558</v>
      </c>
      <c r="B6324" s="143" t="s">
        <v>17998</v>
      </c>
      <c r="C6324" s="143" t="s">
        <v>40639</v>
      </c>
      <c r="D6324" s="143" t="s">
        <v>33342</v>
      </c>
      <c r="E6324" s="144" t="s">
        <v>40640</v>
      </c>
      <c r="F6324" s="142" t="s">
        <v>11562</v>
      </c>
      <c r="G6324" s="142" t="s">
        <v>33344</v>
      </c>
      <c r="H6324" s="142"/>
      <c r="I6324" s="143"/>
      <c r="J6324" s="143" t="s">
        <v>40641</v>
      </c>
      <c r="K6324" s="143" t="s">
        <v>40642</v>
      </c>
      <c r="L6324" s="145" t="s">
        <v>11565</v>
      </c>
      <c r="M6324" s="145" t="s">
        <v>40643</v>
      </c>
      <c r="N6324" s="12"/>
      <c r="O6324" s="12"/>
      <c r="P6324" s="13">
        <f>IFERROR(__xludf.DUMMYFUNCTION("VALUE(SUBSTITUTE((INDEX(SPLIT(A6324,"",""),1)),""."","","",1))"),59.16555)</f>
        <v>59.16555</v>
      </c>
      <c r="Q6324" s="13">
        <f>IFERROR(__xludf.DUMMYFUNCTION("VALUE(SUBSTITUTE((INDEX(SPLIT(A6324,"",""),2)),""."","","",1))"),37.800173)</f>
        <v>37.800173</v>
      </c>
      <c r="R6324" s="14" t="b">
        <f t="shared" si="1"/>
        <v>0</v>
      </c>
      <c r="S6324" s="14" t="str">
        <f t="shared" si="2"/>
        <v>59.16555,37.800173</v>
      </c>
      <c r="T6324" s="12"/>
    </row>
    <row r="6325">
      <c r="A6325" s="146" t="s">
        <v>40644</v>
      </c>
      <c r="B6325" s="147" t="s">
        <v>40645</v>
      </c>
      <c r="C6325" s="147" t="s">
        <v>40646</v>
      </c>
      <c r="D6325" s="147" t="s">
        <v>33342</v>
      </c>
      <c r="E6325" s="148" t="s">
        <v>40647</v>
      </c>
      <c r="F6325" s="146" t="s">
        <v>11562</v>
      </c>
      <c r="G6325" s="146" t="s">
        <v>33344</v>
      </c>
      <c r="H6325" s="146"/>
      <c r="I6325" s="147"/>
      <c r="J6325" s="147" t="s">
        <v>40648</v>
      </c>
      <c r="K6325" s="147" t="s">
        <v>40649</v>
      </c>
      <c r="L6325" s="149" t="s">
        <v>40637</v>
      </c>
      <c r="M6325" s="147"/>
      <c r="N6325" s="12"/>
      <c r="O6325" s="12"/>
      <c r="P6325" s="13">
        <f>IFERROR(__xludf.DUMMYFUNCTION("VALUE(SUBSTITUTE((INDEX(SPLIT(A6325,"",""),1)),""."","","",1))"),55.774289)</f>
        <v>55.774289</v>
      </c>
      <c r="Q6325" s="13">
        <f>IFERROR(__xludf.DUMMYFUNCTION("VALUE(SUBSTITUTE((INDEX(SPLIT(A6325,"",""),2)),""."","","",1))"),37.669145)</f>
        <v>37.669145</v>
      </c>
      <c r="R6325" s="14" t="b">
        <f t="shared" si="1"/>
        <v>0</v>
      </c>
      <c r="S6325" s="14" t="str">
        <f t="shared" si="2"/>
        <v>55.774289,37.669145</v>
      </c>
      <c r="T6325" s="12"/>
    </row>
    <row r="6326">
      <c r="A6326" s="142" t="s">
        <v>11936</v>
      </c>
      <c r="B6326" s="143" t="s">
        <v>40650</v>
      </c>
      <c r="C6326" s="143" t="s">
        <v>40651</v>
      </c>
      <c r="D6326" s="143" t="s">
        <v>33342</v>
      </c>
      <c r="E6326" s="144" t="s">
        <v>40652</v>
      </c>
      <c r="F6326" s="142" t="s">
        <v>11562</v>
      </c>
      <c r="G6326" s="142" t="s">
        <v>33344</v>
      </c>
      <c r="H6326" s="142"/>
      <c r="I6326" s="143"/>
      <c r="J6326" s="143" t="s">
        <v>11940</v>
      </c>
      <c r="K6326" s="143" t="s">
        <v>40653</v>
      </c>
      <c r="L6326" s="145" t="s">
        <v>40654</v>
      </c>
      <c r="M6326" s="143"/>
      <c r="N6326" s="12"/>
      <c r="O6326" s="12"/>
      <c r="P6326" s="13">
        <f>IFERROR(__xludf.DUMMYFUNCTION("VALUE(SUBSTITUTE((INDEX(SPLIT(A6326,"",""),1)),""."","","",1))"),59.090176)</f>
        <v>59.090176</v>
      </c>
      <c r="Q6326" s="13">
        <f>IFERROR(__xludf.DUMMYFUNCTION("VALUE(SUBSTITUTE((INDEX(SPLIT(A6326,"",""),2)),""."","","",1))"),37.905644)</f>
        <v>37.905644</v>
      </c>
      <c r="R6326" s="14" t="b">
        <f t="shared" si="1"/>
        <v>0</v>
      </c>
      <c r="S6326" s="14" t="str">
        <f t="shared" si="2"/>
        <v>59.090176,37.905644</v>
      </c>
      <c r="T6326" s="12"/>
    </row>
    <row r="6327">
      <c r="A6327" s="146" t="s">
        <v>40655</v>
      </c>
      <c r="B6327" s="147" t="s">
        <v>40656</v>
      </c>
      <c r="C6327" s="147" t="s">
        <v>40657</v>
      </c>
      <c r="D6327" s="147" t="s">
        <v>33342</v>
      </c>
      <c r="E6327" s="148" t="s">
        <v>40658</v>
      </c>
      <c r="F6327" s="146" t="s">
        <v>9563</v>
      </c>
      <c r="G6327" s="146" t="s">
        <v>33344</v>
      </c>
      <c r="H6327" s="146"/>
      <c r="I6327" s="147"/>
      <c r="J6327" s="147" t="s">
        <v>40659</v>
      </c>
      <c r="K6327" s="147" t="s">
        <v>40660</v>
      </c>
      <c r="L6327" s="149" t="s">
        <v>40661</v>
      </c>
      <c r="M6327" s="149" t="s">
        <v>40662</v>
      </c>
      <c r="N6327" s="12"/>
      <c r="O6327" s="12"/>
      <c r="P6327" s="13">
        <f>IFERROR(__xludf.DUMMYFUNCTION("VALUE(SUBSTITUTE((INDEX(SPLIT(A6327,"",""),1)),""."","","",1))"),51.69602)</f>
        <v>51.69602</v>
      </c>
      <c r="Q6327" s="13">
        <f>IFERROR(__xludf.DUMMYFUNCTION("VALUE(SUBSTITUTE((INDEX(SPLIT(A6327,"",""),2)),""."","","",1))"),39.375027)</f>
        <v>39.375027</v>
      </c>
      <c r="R6327" s="14" t="b">
        <f t="shared" si="1"/>
        <v>0</v>
      </c>
      <c r="S6327" s="14" t="str">
        <f t="shared" si="2"/>
        <v>51.69602,39.375027</v>
      </c>
      <c r="T6327" s="12"/>
    </row>
    <row r="6328">
      <c r="A6328" s="142" t="s">
        <v>40663</v>
      </c>
      <c r="B6328" s="143" t="s">
        <v>40664</v>
      </c>
      <c r="C6328" s="143" t="s">
        <v>40665</v>
      </c>
      <c r="D6328" s="143" t="s">
        <v>33342</v>
      </c>
      <c r="E6328" s="144" t="s">
        <v>40666</v>
      </c>
      <c r="F6328" s="142" t="s">
        <v>9563</v>
      </c>
      <c r="G6328" s="142" t="s">
        <v>33344</v>
      </c>
      <c r="H6328" s="142"/>
      <c r="I6328" s="143"/>
      <c r="J6328" s="143" t="s">
        <v>40667</v>
      </c>
      <c r="K6328" s="143" t="s">
        <v>40668</v>
      </c>
      <c r="L6328" s="145" t="s">
        <v>40669</v>
      </c>
      <c r="M6328" s="143"/>
      <c r="N6328" s="12"/>
      <c r="O6328" s="12"/>
      <c r="P6328" s="13">
        <f>IFERROR(__xludf.DUMMYFUNCTION("VALUE(SUBSTITUTE((INDEX(SPLIT(A6328,"",""),1)),""."","","",1))"),51.905676)</f>
        <v>51.905676</v>
      </c>
      <c r="Q6328" s="13">
        <f>IFERROR(__xludf.DUMMYFUNCTION("VALUE(SUBSTITUTE((INDEX(SPLIT(A6328,"",""),2)),""."","","",1))"),39.326824)</f>
        <v>39.326824</v>
      </c>
      <c r="R6328" s="14" t="b">
        <f t="shared" si="1"/>
        <v>0</v>
      </c>
      <c r="S6328" s="14" t="str">
        <f t="shared" si="2"/>
        <v>51.905676,39.326824</v>
      </c>
      <c r="T6328" s="12"/>
    </row>
    <row r="6329">
      <c r="A6329" s="146" t="s">
        <v>40670</v>
      </c>
      <c r="B6329" s="147" t="s">
        <v>969</v>
      </c>
      <c r="C6329" s="147" t="s">
        <v>34081</v>
      </c>
      <c r="D6329" s="147" t="s">
        <v>33342</v>
      </c>
      <c r="E6329" s="148" t="s">
        <v>40671</v>
      </c>
      <c r="F6329" s="146" t="s">
        <v>9563</v>
      </c>
      <c r="G6329" s="146" t="s">
        <v>33344</v>
      </c>
      <c r="H6329" s="146"/>
      <c r="I6329" s="147"/>
      <c r="J6329" s="147" t="s">
        <v>40672</v>
      </c>
      <c r="K6329" s="147" t="s">
        <v>40673</v>
      </c>
      <c r="L6329" s="149" t="s">
        <v>40674</v>
      </c>
      <c r="M6329" s="149" t="s">
        <v>40675</v>
      </c>
      <c r="N6329" s="12"/>
      <c r="O6329" s="12"/>
      <c r="P6329" s="13">
        <f>IFERROR(__xludf.DUMMYFUNCTION("VALUE(SUBSTITUTE((INDEX(SPLIT(A6329,"",""),1)),""."","","",1))"),51.920821)</f>
        <v>51.920821</v>
      </c>
      <c r="Q6329" s="13">
        <f>IFERROR(__xludf.DUMMYFUNCTION("VALUE(SUBSTITUTE((INDEX(SPLIT(A6329,"",""),2)),""."","","",1))"),39.323572)</f>
        <v>39.323572</v>
      </c>
      <c r="R6329" s="14" t="b">
        <f t="shared" si="1"/>
        <v>0</v>
      </c>
      <c r="S6329" s="14" t="str">
        <f t="shared" si="2"/>
        <v>51.920821,39.323572</v>
      </c>
      <c r="T6329" s="12"/>
    </row>
    <row r="6330">
      <c r="A6330" s="136" t="s">
        <v>13810</v>
      </c>
      <c r="B6330" s="137" t="s">
        <v>40676</v>
      </c>
      <c r="C6330" s="137" t="s">
        <v>40677</v>
      </c>
      <c r="D6330" s="137" t="s">
        <v>33342</v>
      </c>
      <c r="E6330" s="138" t="s">
        <v>40678</v>
      </c>
      <c r="F6330" s="136" t="s">
        <v>9563</v>
      </c>
      <c r="G6330" s="136" t="s">
        <v>33344</v>
      </c>
      <c r="H6330" s="136"/>
      <c r="I6330" s="137"/>
      <c r="J6330" s="137" t="s">
        <v>40679</v>
      </c>
      <c r="K6330" s="137" t="s">
        <v>40680</v>
      </c>
      <c r="L6330" s="137"/>
      <c r="M6330" s="153" t="s">
        <v>40681</v>
      </c>
      <c r="N6330" s="12"/>
      <c r="O6330" s="12"/>
      <c r="P6330" s="13">
        <f>IFERROR(__xludf.DUMMYFUNCTION("VALUE(SUBSTITUTE((INDEX(SPLIT(A6330,"",""),1)),""."","","",1))"),51.693234)</f>
        <v>51.693234</v>
      </c>
      <c r="Q6330" s="13">
        <f>IFERROR(__xludf.DUMMYFUNCTION("VALUE(SUBSTITUTE((INDEX(SPLIT(A6330,"",""),2)),""."","","",1))"),39.269987)</f>
        <v>39.269987</v>
      </c>
      <c r="R6330" s="14" t="b">
        <f t="shared" si="1"/>
        <v>0</v>
      </c>
      <c r="S6330" s="14" t="str">
        <f t="shared" si="2"/>
        <v>51.693234,39.269987</v>
      </c>
      <c r="T6330" s="12"/>
    </row>
    <row r="6331">
      <c r="A6331" s="146" t="s">
        <v>40682</v>
      </c>
      <c r="B6331" s="147" t="s">
        <v>40683</v>
      </c>
      <c r="C6331" s="147" t="s">
        <v>40684</v>
      </c>
      <c r="D6331" s="147" t="s">
        <v>33342</v>
      </c>
      <c r="E6331" s="148" t="s">
        <v>40685</v>
      </c>
      <c r="F6331" s="146" t="s">
        <v>9563</v>
      </c>
      <c r="G6331" s="146" t="s">
        <v>33344</v>
      </c>
      <c r="H6331" s="146"/>
      <c r="I6331" s="147"/>
      <c r="J6331" s="147" t="s">
        <v>40686</v>
      </c>
      <c r="K6331" s="147" t="s">
        <v>40687</v>
      </c>
      <c r="L6331" s="149" t="s">
        <v>40688</v>
      </c>
      <c r="M6331" s="147"/>
      <c r="N6331" s="12"/>
      <c r="O6331" s="12"/>
      <c r="P6331" s="13">
        <f>IFERROR(__xludf.DUMMYFUNCTION("VALUE(SUBSTITUTE((INDEX(SPLIT(A6331,"",""),1)),""."","","",1))"),51.704928)</f>
        <v>51.704928</v>
      </c>
      <c r="Q6331" s="13">
        <f>IFERROR(__xludf.DUMMYFUNCTION("VALUE(SUBSTITUTE((INDEX(SPLIT(A6331,"",""),2)),""."","","",1))"),39.168864)</f>
        <v>39.168864</v>
      </c>
      <c r="R6331" s="14" t="b">
        <f t="shared" si="1"/>
        <v>0</v>
      </c>
      <c r="S6331" s="14" t="str">
        <f t="shared" si="2"/>
        <v>51.704928,39.168864</v>
      </c>
      <c r="T6331" s="12"/>
    </row>
    <row r="6332">
      <c r="A6332" s="142" t="s">
        <v>40689</v>
      </c>
      <c r="B6332" s="143" t="s">
        <v>40690</v>
      </c>
      <c r="C6332" s="143" t="s">
        <v>40691</v>
      </c>
      <c r="D6332" s="143" t="s">
        <v>33342</v>
      </c>
      <c r="E6332" s="144" t="s">
        <v>40692</v>
      </c>
      <c r="F6332" s="142" t="s">
        <v>9563</v>
      </c>
      <c r="G6332" s="142" t="s">
        <v>33344</v>
      </c>
      <c r="H6332" s="142"/>
      <c r="I6332" s="143"/>
      <c r="J6332" s="143" t="s">
        <v>40693</v>
      </c>
      <c r="K6332" s="143" t="s">
        <v>40694</v>
      </c>
      <c r="L6332" s="145" t="s">
        <v>40695</v>
      </c>
      <c r="M6332" s="143"/>
      <c r="N6332" s="12"/>
      <c r="O6332" s="12"/>
      <c r="P6332" s="13">
        <f>IFERROR(__xludf.DUMMYFUNCTION("VALUE(SUBSTITUTE((INDEX(SPLIT(A6332,"",""),1)),""."","","",1))"),51.660289)</f>
        <v>51.660289</v>
      </c>
      <c r="Q6332" s="13">
        <f>IFERROR(__xludf.DUMMYFUNCTION("VALUE(SUBSTITUTE((INDEX(SPLIT(A6332,"",""),2)),""."","","",1))"),39.209315)</f>
        <v>39.209315</v>
      </c>
      <c r="R6332" s="14" t="b">
        <f t="shared" si="1"/>
        <v>0</v>
      </c>
      <c r="S6332" s="14" t="str">
        <f t="shared" si="2"/>
        <v>51.660289,39.209315</v>
      </c>
      <c r="T6332" s="12"/>
    </row>
    <row r="6333">
      <c r="A6333" s="146" t="s">
        <v>40696</v>
      </c>
      <c r="B6333" s="147" t="s">
        <v>40697</v>
      </c>
      <c r="C6333" s="147" t="s">
        <v>40698</v>
      </c>
      <c r="D6333" s="147" t="s">
        <v>33342</v>
      </c>
      <c r="E6333" s="148" t="s">
        <v>40699</v>
      </c>
      <c r="F6333" s="146" t="s">
        <v>9563</v>
      </c>
      <c r="G6333" s="146" t="s">
        <v>33344</v>
      </c>
      <c r="H6333" s="146"/>
      <c r="I6333" s="147"/>
      <c r="J6333" s="147" t="s">
        <v>40700</v>
      </c>
      <c r="K6333" s="147" t="s">
        <v>33882</v>
      </c>
      <c r="L6333" s="149" t="s">
        <v>40701</v>
      </c>
      <c r="M6333" s="147"/>
      <c r="N6333" s="12"/>
      <c r="O6333" s="12"/>
      <c r="P6333" s="13">
        <f>IFERROR(__xludf.DUMMYFUNCTION("VALUE(SUBSTITUTE((INDEX(SPLIT(A6333,"",""),1)),""."","","",1))"),51.673517)</f>
        <v>51.673517</v>
      </c>
      <c r="Q6333" s="13">
        <f>IFERROR(__xludf.DUMMYFUNCTION("VALUE(SUBSTITUTE((INDEX(SPLIT(A6333,"",""),2)),""."","","",1))"),39.168604)</f>
        <v>39.168604</v>
      </c>
      <c r="R6333" s="14" t="b">
        <f t="shared" si="1"/>
        <v>0</v>
      </c>
      <c r="S6333" s="14" t="str">
        <f t="shared" si="2"/>
        <v>51.673517,39.168604</v>
      </c>
      <c r="T6333" s="12"/>
    </row>
    <row r="6334">
      <c r="A6334" s="142" t="s">
        <v>40702</v>
      </c>
      <c r="B6334" s="143" t="s">
        <v>40703</v>
      </c>
      <c r="C6334" s="143" t="s">
        <v>40704</v>
      </c>
      <c r="D6334" s="143" t="s">
        <v>33342</v>
      </c>
      <c r="E6334" s="144" t="s">
        <v>40705</v>
      </c>
      <c r="F6334" s="142" t="s">
        <v>9563</v>
      </c>
      <c r="G6334" s="142" t="s">
        <v>33344</v>
      </c>
      <c r="H6334" s="142"/>
      <c r="I6334" s="143"/>
      <c r="J6334" s="143" t="s">
        <v>40706</v>
      </c>
      <c r="K6334" s="143" t="s">
        <v>40707</v>
      </c>
      <c r="L6334" s="145" t="s">
        <v>40708</v>
      </c>
      <c r="M6334" s="143"/>
      <c r="N6334" s="12"/>
      <c r="O6334" s="12"/>
      <c r="P6334" s="13">
        <f>IFERROR(__xludf.DUMMYFUNCTION("VALUE(SUBSTITUTE((INDEX(SPLIT(A6334,"",""),1)),""."","","",1))"),51.84724)</f>
        <v>51.84724</v>
      </c>
      <c r="Q6334" s="13">
        <f>IFERROR(__xludf.DUMMYFUNCTION("VALUE(SUBSTITUTE((INDEX(SPLIT(A6334,"",""),2)),""."","","",1))"),39.221694)</f>
        <v>39.221694</v>
      </c>
      <c r="R6334" s="14" t="b">
        <f t="shared" si="1"/>
        <v>0</v>
      </c>
      <c r="S6334" s="14" t="str">
        <f t="shared" si="2"/>
        <v>51.84724,39.221694</v>
      </c>
      <c r="T6334" s="12"/>
    </row>
    <row r="6335">
      <c r="A6335" s="146" t="s">
        <v>40709</v>
      </c>
      <c r="B6335" s="147" t="s">
        <v>40710</v>
      </c>
      <c r="C6335" s="147" t="s">
        <v>40711</v>
      </c>
      <c r="D6335" s="147" t="s">
        <v>33342</v>
      </c>
      <c r="E6335" s="148" t="s">
        <v>40712</v>
      </c>
      <c r="F6335" s="146" t="s">
        <v>9563</v>
      </c>
      <c r="G6335" s="146" t="s">
        <v>33344</v>
      </c>
      <c r="H6335" s="146"/>
      <c r="I6335" s="147"/>
      <c r="J6335" s="147" t="s">
        <v>40713</v>
      </c>
      <c r="K6335" s="147" t="s">
        <v>40714</v>
      </c>
      <c r="L6335" s="149" t="s">
        <v>40715</v>
      </c>
      <c r="M6335" s="147"/>
      <c r="N6335" s="12"/>
      <c r="O6335" s="12"/>
      <c r="P6335" s="13">
        <f>IFERROR(__xludf.DUMMYFUNCTION("VALUE(SUBSTITUTE((INDEX(SPLIT(A6335,"",""),1)),""."","","",1))"),51.623339)</f>
        <v>51.623339</v>
      </c>
      <c r="Q6335" s="13">
        <f>IFERROR(__xludf.DUMMYFUNCTION("VALUE(SUBSTITUTE((INDEX(SPLIT(A6335,"",""),2)),""."","","",1))"),39.227874)</f>
        <v>39.227874</v>
      </c>
      <c r="R6335" s="14" t="b">
        <f t="shared" si="1"/>
        <v>0</v>
      </c>
      <c r="S6335" s="14" t="str">
        <f t="shared" si="2"/>
        <v>51.623339,39.227874</v>
      </c>
      <c r="T6335" s="12"/>
    </row>
    <row r="6336">
      <c r="A6336" s="136" t="s">
        <v>40716</v>
      </c>
      <c r="B6336" s="137" t="s">
        <v>40717</v>
      </c>
      <c r="C6336" s="137" t="s">
        <v>40718</v>
      </c>
      <c r="D6336" s="137" t="s">
        <v>33342</v>
      </c>
      <c r="E6336" s="138" t="s">
        <v>40719</v>
      </c>
      <c r="F6336" s="136" t="s">
        <v>9563</v>
      </c>
      <c r="G6336" s="136" t="s">
        <v>33344</v>
      </c>
      <c r="H6336" s="136"/>
      <c r="I6336" s="137"/>
      <c r="J6336" s="137" t="s">
        <v>40720</v>
      </c>
      <c r="K6336" s="137" t="s">
        <v>40721</v>
      </c>
      <c r="L6336" s="137"/>
      <c r="M6336" s="153" t="s">
        <v>40722</v>
      </c>
      <c r="N6336" s="12"/>
      <c r="O6336" s="12"/>
      <c r="P6336" s="13">
        <f>IFERROR(__xludf.DUMMYFUNCTION("VALUE(SUBSTITUTE((INDEX(SPLIT(A6336,"",""),1)),""."","","",1))"),51.685283)</f>
        <v>51.685283</v>
      </c>
      <c r="Q6336" s="13">
        <f>IFERROR(__xludf.DUMMYFUNCTION("VALUE(SUBSTITUTE((INDEX(SPLIT(A6336,"",""),2)),""."","","",1))"),39.147565)</f>
        <v>39.147565</v>
      </c>
      <c r="R6336" s="14" t="b">
        <f t="shared" si="1"/>
        <v>0</v>
      </c>
      <c r="S6336" s="14" t="str">
        <f t="shared" si="2"/>
        <v>51.685283,39.147565</v>
      </c>
      <c r="T6336" s="12"/>
    </row>
    <row r="6337">
      <c r="A6337" s="146" t="s">
        <v>40723</v>
      </c>
      <c r="B6337" s="147" t="s">
        <v>40724</v>
      </c>
      <c r="C6337" s="147" t="s">
        <v>40725</v>
      </c>
      <c r="D6337" s="147" t="s">
        <v>33342</v>
      </c>
      <c r="E6337" s="148" t="s">
        <v>40726</v>
      </c>
      <c r="F6337" s="146" t="s">
        <v>9563</v>
      </c>
      <c r="G6337" s="146" t="s">
        <v>33344</v>
      </c>
      <c r="H6337" s="146"/>
      <c r="I6337" s="147"/>
      <c r="J6337" s="147" t="s">
        <v>40727</v>
      </c>
      <c r="K6337" s="147" t="s">
        <v>40728</v>
      </c>
      <c r="L6337" s="149" t="s">
        <v>40729</v>
      </c>
      <c r="M6337" s="147"/>
      <c r="N6337" s="12"/>
      <c r="O6337" s="12"/>
      <c r="P6337" s="13">
        <f>IFERROR(__xludf.DUMMYFUNCTION("VALUE(SUBSTITUTE((INDEX(SPLIT(A6337,"",""),1)),""."","","",1))"),51.6033)</f>
        <v>51.6033</v>
      </c>
      <c r="Q6337" s="13">
        <f>IFERROR(__xludf.DUMMYFUNCTION("VALUE(SUBSTITUTE((INDEX(SPLIT(A6337,"",""),2)),""."","","",1))"),39.26396)</f>
        <v>39.26396</v>
      </c>
      <c r="R6337" s="14" t="b">
        <f t="shared" si="1"/>
        <v>0</v>
      </c>
      <c r="S6337" s="14" t="str">
        <f t="shared" si="2"/>
        <v>51.6033,39.26396</v>
      </c>
      <c r="T6337" s="12"/>
    </row>
    <row r="6338">
      <c r="A6338" s="142" t="s">
        <v>40730</v>
      </c>
      <c r="B6338" s="143" t="s">
        <v>40731</v>
      </c>
      <c r="C6338" s="143" t="s">
        <v>40732</v>
      </c>
      <c r="D6338" s="143" t="s">
        <v>33342</v>
      </c>
      <c r="E6338" s="144" t="s">
        <v>40733</v>
      </c>
      <c r="F6338" s="142" t="s">
        <v>9563</v>
      </c>
      <c r="G6338" s="142" t="s">
        <v>33344</v>
      </c>
      <c r="H6338" s="142"/>
      <c r="I6338" s="143"/>
      <c r="J6338" s="143" t="s">
        <v>40734</v>
      </c>
      <c r="K6338" s="143" t="s">
        <v>40735</v>
      </c>
      <c r="L6338" s="152" t="s">
        <v>40736</v>
      </c>
      <c r="M6338" s="143"/>
      <c r="N6338" s="12"/>
      <c r="O6338" s="12"/>
      <c r="P6338" s="13">
        <f>IFERROR(__xludf.DUMMYFUNCTION("VALUE(SUBSTITUTE((INDEX(SPLIT(A6338,"",""),1)),""."","","",1))"),51.656607)</f>
        <v>51.656607</v>
      </c>
      <c r="Q6338" s="13">
        <f>IFERROR(__xludf.DUMMYFUNCTION("VALUE(SUBSTITUTE((INDEX(SPLIT(A6338,"",""),2)),""."","","",1))"),39.237244)</f>
        <v>39.237244</v>
      </c>
      <c r="R6338" s="14" t="b">
        <f t="shared" si="1"/>
        <v>0</v>
      </c>
      <c r="S6338" s="14" t="str">
        <f t="shared" si="2"/>
        <v>51.656607,39.237244</v>
      </c>
      <c r="T6338" s="12"/>
    </row>
    <row r="6339">
      <c r="A6339" s="139" t="s">
        <v>40737</v>
      </c>
      <c r="B6339" s="140" t="s">
        <v>40738</v>
      </c>
      <c r="C6339" s="140" t="s">
        <v>40739</v>
      </c>
      <c r="D6339" s="140" t="s">
        <v>33342</v>
      </c>
      <c r="E6339" s="141" t="s">
        <v>40740</v>
      </c>
      <c r="F6339" s="139" t="s">
        <v>9563</v>
      </c>
      <c r="G6339" s="139" t="s">
        <v>33344</v>
      </c>
      <c r="H6339" s="139"/>
      <c r="I6339" s="140"/>
      <c r="J6339" s="140" t="s">
        <v>40741</v>
      </c>
      <c r="K6339" s="140" t="s">
        <v>40742</v>
      </c>
      <c r="L6339" s="140"/>
      <c r="M6339" s="140"/>
      <c r="N6339" s="12"/>
      <c r="O6339" s="12"/>
      <c r="P6339" s="13">
        <f>IFERROR(__xludf.DUMMYFUNCTION("VALUE(SUBSTITUTE((INDEX(SPLIT(A6339,"",""),1)),""."","","",1))"),51.645543)</f>
        <v>51.645543</v>
      </c>
      <c r="Q6339" s="13">
        <f>IFERROR(__xludf.DUMMYFUNCTION("VALUE(SUBSTITUTE((INDEX(SPLIT(A6339,"",""),2)),""."","","",1))"),39.241304)</f>
        <v>39.241304</v>
      </c>
      <c r="R6339" s="14" t="b">
        <f t="shared" si="1"/>
        <v>0</v>
      </c>
      <c r="S6339" s="14" t="str">
        <f t="shared" si="2"/>
        <v>51.645543,39.241304</v>
      </c>
      <c r="T6339" s="12"/>
    </row>
    <row r="6340">
      <c r="A6340" s="136" t="s">
        <v>40743</v>
      </c>
      <c r="B6340" s="137" t="s">
        <v>40744</v>
      </c>
      <c r="C6340" s="137" t="s">
        <v>40745</v>
      </c>
      <c r="D6340" s="137" t="s">
        <v>33342</v>
      </c>
      <c r="E6340" s="138" t="s">
        <v>40746</v>
      </c>
      <c r="F6340" s="136" t="s">
        <v>9563</v>
      </c>
      <c r="G6340" s="136" t="s">
        <v>33344</v>
      </c>
      <c r="H6340" s="136"/>
      <c r="I6340" s="137"/>
      <c r="J6340" s="137" t="s">
        <v>40747</v>
      </c>
      <c r="K6340" s="137" t="s">
        <v>40748</v>
      </c>
      <c r="L6340" s="137"/>
      <c r="M6340" s="137"/>
      <c r="N6340" s="12"/>
      <c r="O6340" s="12"/>
      <c r="P6340" s="13">
        <f>IFERROR(__xludf.DUMMYFUNCTION("VALUE(SUBSTITUTE((INDEX(SPLIT(A6340,"",""),1)),""."","","",1))"),51.636689)</f>
        <v>51.636689</v>
      </c>
      <c r="Q6340" s="13">
        <f>IFERROR(__xludf.DUMMYFUNCTION("VALUE(SUBSTITUTE((INDEX(SPLIT(A6340,"",""),2)),""."","","",1))"),39.287091)</f>
        <v>39.287091</v>
      </c>
      <c r="R6340" s="14" t="b">
        <f t="shared" si="1"/>
        <v>0</v>
      </c>
      <c r="S6340" s="14" t="str">
        <f t="shared" si="2"/>
        <v>51.636689,39.287091</v>
      </c>
      <c r="T6340" s="12"/>
    </row>
    <row r="6341">
      <c r="A6341" s="139" t="s">
        <v>40749</v>
      </c>
      <c r="B6341" s="140" t="s">
        <v>40750</v>
      </c>
      <c r="C6341" s="140" t="s">
        <v>40751</v>
      </c>
      <c r="D6341" s="140" t="s">
        <v>33342</v>
      </c>
      <c r="E6341" s="141" t="s">
        <v>40752</v>
      </c>
      <c r="F6341" s="139" t="s">
        <v>9563</v>
      </c>
      <c r="G6341" s="139" t="s">
        <v>33344</v>
      </c>
      <c r="H6341" s="139"/>
      <c r="I6341" s="140"/>
      <c r="J6341" s="140" t="s">
        <v>40753</v>
      </c>
      <c r="K6341" s="140" t="s">
        <v>40754</v>
      </c>
      <c r="L6341" s="140"/>
      <c r="M6341" s="140"/>
      <c r="N6341" s="12"/>
      <c r="O6341" s="12"/>
      <c r="P6341" s="13">
        <f>IFERROR(__xludf.DUMMYFUNCTION("VALUE(SUBSTITUTE((INDEX(SPLIT(A6341,"",""),1)),""."","","",1))"),51.602763)</f>
        <v>51.602763</v>
      </c>
      <c r="Q6341" s="13">
        <f>IFERROR(__xludf.DUMMYFUNCTION("VALUE(SUBSTITUTE((INDEX(SPLIT(A6341,"",""),2)),""."","","",1))"),39.251329)</f>
        <v>39.251329</v>
      </c>
      <c r="R6341" s="14" t="b">
        <f t="shared" si="1"/>
        <v>0</v>
      </c>
      <c r="S6341" s="14" t="str">
        <f t="shared" si="2"/>
        <v>51.602763,39.251329</v>
      </c>
      <c r="T6341" s="12"/>
    </row>
    <row r="6342">
      <c r="A6342" s="136" t="s">
        <v>40755</v>
      </c>
      <c r="B6342" s="137" t="s">
        <v>40756</v>
      </c>
      <c r="C6342" s="137" t="s">
        <v>40757</v>
      </c>
      <c r="D6342" s="137" t="s">
        <v>33342</v>
      </c>
      <c r="E6342" s="138" t="s">
        <v>40758</v>
      </c>
      <c r="F6342" s="136" t="s">
        <v>9563</v>
      </c>
      <c r="G6342" s="136" t="s">
        <v>33344</v>
      </c>
      <c r="H6342" s="136"/>
      <c r="I6342" s="137"/>
      <c r="J6342" s="137" t="s">
        <v>40759</v>
      </c>
      <c r="K6342" s="137" t="s">
        <v>40760</v>
      </c>
      <c r="L6342" s="137"/>
      <c r="M6342" s="137"/>
      <c r="N6342" s="12"/>
      <c r="O6342" s="12"/>
      <c r="P6342" s="13">
        <f>IFERROR(__xludf.DUMMYFUNCTION("VALUE(SUBSTITUTE((INDEX(SPLIT(A6342,"",""),1)),""."","","",1))"),51.603636)</f>
        <v>51.603636</v>
      </c>
      <c r="Q6342" s="13">
        <f>IFERROR(__xludf.DUMMYFUNCTION("VALUE(SUBSTITUTE((INDEX(SPLIT(A6342,"",""),2)),""."","","",1))"),39.258902)</f>
        <v>39.258902</v>
      </c>
      <c r="R6342" s="14" t="b">
        <f t="shared" si="1"/>
        <v>0</v>
      </c>
      <c r="S6342" s="14" t="str">
        <f t="shared" si="2"/>
        <v>51.603636,39.258902</v>
      </c>
      <c r="T6342" s="12"/>
    </row>
    <row r="6343">
      <c r="A6343" s="146" t="s">
        <v>40761</v>
      </c>
      <c r="B6343" s="147" t="s">
        <v>1987</v>
      </c>
      <c r="C6343" s="147" t="s">
        <v>40762</v>
      </c>
      <c r="D6343" s="147" t="s">
        <v>33342</v>
      </c>
      <c r="E6343" s="148" t="s">
        <v>40763</v>
      </c>
      <c r="F6343" s="146" t="s">
        <v>9563</v>
      </c>
      <c r="G6343" s="146" t="s">
        <v>33344</v>
      </c>
      <c r="H6343" s="146"/>
      <c r="I6343" s="147"/>
      <c r="J6343" s="147" t="s">
        <v>40764</v>
      </c>
      <c r="K6343" s="147" t="s">
        <v>40765</v>
      </c>
      <c r="L6343" s="149" t="s">
        <v>40766</v>
      </c>
      <c r="M6343" s="147"/>
      <c r="N6343" s="12"/>
      <c r="O6343" s="12"/>
      <c r="P6343" s="13">
        <f>IFERROR(__xludf.DUMMYFUNCTION("VALUE(SUBSTITUTE((INDEX(SPLIT(A6343,"",""),1)),""."","","",1))"),51.663462)</f>
        <v>51.663462</v>
      </c>
      <c r="Q6343" s="13">
        <f>IFERROR(__xludf.DUMMYFUNCTION("VALUE(SUBSTITUTE((INDEX(SPLIT(A6343,"",""),2)),""."","","",1))"),39.182869)</f>
        <v>39.182869</v>
      </c>
      <c r="R6343" s="14" t="b">
        <f t="shared" si="1"/>
        <v>0</v>
      </c>
      <c r="S6343" s="14" t="str">
        <f t="shared" si="2"/>
        <v>51.663462,39.182869</v>
      </c>
      <c r="T6343" s="12"/>
    </row>
    <row r="6344">
      <c r="A6344" s="136" t="s">
        <v>40767</v>
      </c>
      <c r="B6344" s="137" t="s">
        <v>40768</v>
      </c>
      <c r="C6344" s="137" t="s">
        <v>40769</v>
      </c>
      <c r="D6344" s="137" t="s">
        <v>33342</v>
      </c>
      <c r="E6344" s="138" t="s">
        <v>40770</v>
      </c>
      <c r="F6344" s="136" t="s">
        <v>9563</v>
      </c>
      <c r="G6344" s="136" t="s">
        <v>33344</v>
      </c>
      <c r="H6344" s="136"/>
      <c r="I6344" s="137"/>
      <c r="J6344" s="137" t="s">
        <v>40771</v>
      </c>
      <c r="K6344" s="137" t="s">
        <v>40772</v>
      </c>
      <c r="L6344" s="137"/>
      <c r="M6344" s="137"/>
      <c r="N6344" s="12"/>
      <c r="O6344" s="12"/>
      <c r="P6344" s="13">
        <f>IFERROR(__xludf.DUMMYFUNCTION("VALUE(SUBSTITUTE((INDEX(SPLIT(A6344,"",""),1)),""."","","",1))"),51.662021)</f>
        <v>51.662021</v>
      </c>
      <c r="Q6344" s="13">
        <f>IFERROR(__xludf.DUMMYFUNCTION("VALUE(SUBSTITUTE((INDEX(SPLIT(A6344,"",""),2)),""."","","",1))"),39.134252)</f>
        <v>39.134252</v>
      </c>
      <c r="R6344" s="14" t="b">
        <f t="shared" si="1"/>
        <v>0</v>
      </c>
      <c r="S6344" s="14" t="str">
        <f t="shared" si="2"/>
        <v>51.662021,39.134252</v>
      </c>
      <c r="T6344" s="12"/>
    </row>
    <row r="6345">
      <c r="A6345" s="146" t="s">
        <v>13498</v>
      </c>
      <c r="B6345" s="147" t="s">
        <v>40773</v>
      </c>
      <c r="C6345" s="147" t="s">
        <v>40774</v>
      </c>
      <c r="D6345" s="147" t="s">
        <v>33342</v>
      </c>
      <c r="E6345" s="148" t="s">
        <v>40775</v>
      </c>
      <c r="F6345" s="146" t="s">
        <v>9563</v>
      </c>
      <c r="G6345" s="146" t="s">
        <v>33344</v>
      </c>
      <c r="H6345" s="146"/>
      <c r="I6345" s="147"/>
      <c r="J6345" s="147" t="s">
        <v>40776</v>
      </c>
      <c r="K6345" s="147" t="s">
        <v>40777</v>
      </c>
      <c r="L6345" s="149" t="s">
        <v>40778</v>
      </c>
      <c r="M6345" s="147"/>
      <c r="N6345" s="12"/>
      <c r="O6345" s="12"/>
      <c r="P6345" s="13">
        <f>IFERROR(__xludf.DUMMYFUNCTION("VALUE(SUBSTITUTE((INDEX(SPLIT(A6345,"",""),1)),""."","","",1))"),51.660764)</f>
        <v>51.660764</v>
      </c>
      <c r="Q6345" s="13">
        <f>IFERROR(__xludf.DUMMYFUNCTION("VALUE(SUBSTITUTE((INDEX(SPLIT(A6345,"",""),2)),""."","","",1))"),39.143927)</f>
        <v>39.143927</v>
      </c>
      <c r="R6345" s="14" t="b">
        <f t="shared" si="1"/>
        <v>0</v>
      </c>
      <c r="S6345" s="14" t="str">
        <f t="shared" si="2"/>
        <v>51.660764,39.143927</v>
      </c>
      <c r="T6345" s="12"/>
    </row>
    <row r="6346">
      <c r="A6346" s="136" t="s">
        <v>40779</v>
      </c>
      <c r="B6346" s="137" t="s">
        <v>40780</v>
      </c>
      <c r="C6346" s="137" t="s">
        <v>40781</v>
      </c>
      <c r="D6346" s="137" t="s">
        <v>33342</v>
      </c>
      <c r="E6346" s="138" t="s">
        <v>40782</v>
      </c>
      <c r="F6346" s="136" t="s">
        <v>9563</v>
      </c>
      <c r="G6346" s="136" t="s">
        <v>33344</v>
      </c>
      <c r="H6346" s="136"/>
      <c r="I6346" s="137"/>
      <c r="J6346" s="137" t="s">
        <v>40783</v>
      </c>
      <c r="K6346" s="137" t="s">
        <v>40784</v>
      </c>
      <c r="L6346" s="137"/>
      <c r="M6346" s="137"/>
      <c r="N6346" s="12"/>
      <c r="O6346" s="12"/>
      <c r="P6346" s="13">
        <f>IFERROR(__xludf.DUMMYFUNCTION("VALUE(SUBSTITUTE((INDEX(SPLIT(A6346,"",""),1)),""."","","",1))"),51.65773)</f>
        <v>51.65773</v>
      </c>
      <c r="Q6346" s="13">
        <f>IFERROR(__xludf.DUMMYFUNCTION("VALUE(SUBSTITUTE((INDEX(SPLIT(A6346,"",""),2)),""."","","",1))"),39.108749)</f>
        <v>39.108749</v>
      </c>
      <c r="R6346" s="14" t="b">
        <f t="shared" si="1"/>
        <v>0</v>
      </c>
      <c r="S6346" s="14" t="str">
        <f t="shared" si="2"/>
        <v>51.65773,39.108749</v>
      </c>
      <c r="T6346" s="12"/>
    </row>
    <row r="6347">
      <c r="A6347" s="146" t="s">
        <v>40785</v>
      </c>
      <c r="B6347" s="147" t="s">
        <v>11716</v>
      </c>
      <c r="C6347" s="147" t="s">
        <v>40786</v>
      </c>
      <c r="D6347" s="147" t="s">
        <v>33342</v>
      </c>
      <c r="E6347" s="148" t="s">
        <v>40787</v>
      </c>
      <c r="F6347" s="146" t="s">
        <v>9563</v>
      </c>
      <c r="G6347" s="146" t="s">
        <v>33344</v>
      </c>
      <c r="H6347" s="146"/>
      <c r="I6347" s="147"/>
      <c r="J6347" s="147" t="s">
        <v>40788</v>
      </c>
      <c r="K6347" s="147" t="s">
        <v>40789</v>
      </c>
      <c r="L6347" s="149" t="s">
        <v>40790</v>
      </c>
      <c r="M6347" s="149" t="s">
        <v>40791</v>
      </c>
      <c r="N6347" s="12"/>
      <c r="O6347" s="12"/>
      <c r="P6347" s="13">
        <f>IFERROR(__xludf.DUMMYFUNCTION("VALUE(SUBSTITUTE((INDEX(SPLIT(A6347,"",""),1)),""."","","",1))"),51.688416)</f>
        <v>51.688416</v>
      </c>
      <c r="Q6347" s="13">
        <f>IFERROR(__xludf.DUMMYFUNCTION("VALUE(SUBSTITUTE((INDEX(SPLIT(A6347,"",""),2)),""."","","",1))"),39.22014)</f>
        <v>39.22014</v>
      </c>
      <c r="R6347" s="14" t="b">
        <f t="shared" si="1"/>
        <v>0</v>
      </c>
      <c r="S6347" s="14" t="str">
        <f t="shared" si="2"/>
        <v>51.688416,39.22014</v>
      </c>
      <c r="T6347" s="12"/>
    </row>
    <row r="6348">
      <c r="A6348" s="142" t="s">
        <v>40792</v>
      </c>
      <c r="B6348" s="143" t="s">
        <v>40793</v>
      </c>
      <c r="C6348" s="143" t="s">
        <v>40794</v>
      </c>
      <c r="D6348" s="143" t="s">
        <v>33342</v>
      </c>
      <c r="E6348" s="144" t="s">
        <v>40795</v>
      </c>
      <c r="F6348" s="142" t="s">
        <v>9563</v>
      </c>
      <c r="G6348" s="142" t="s">
        <v>33344</v>
      </c>
      <c r="H6348" s="142"/>
      <c r="I6348" s="143"/>
      <c r="J6348" s="143" t="s">
        <v>40796</v>
      </c>
      <c r="K6348" s="143" t="s">
        <v>40797</v>
      </c>
      <c r="L6348" s="145" t="s">
        <v>40798</v>
      </c>
      <c r="M6348" s="143"/>
      <c r="N6348" s="12"/>
      <c r="O6348" s="12"/>
      <c r="P6348" s="13">
        <f>IFERROR(__xludf.DUMMYFUNCTION("VALUE(SUBSTITUTE((INDEX(SPLIT(A6348,"",""),1)),""."","","",1))"),51.670043)</f>
        <v>51.670043</v>
      </c>
      <c r="Q6348" s="13">
        <f>IFERROR(__xludf.DUMMYFUNCTION("VALUE(SUBSTITUTE((INDEX(SPLIT(A6348,"",""),2)),""."","","",1))"),39.192975)</f>
        <v>39.192975</v>
      </c>
      <c r="R6348" s="14" t="b">
        <f t="shared" si="1"/>
        <v>0</v>
      </c>
      <c r="S6348" s="14" t="str">
        <f t="shared" si="2"/>
        <v>51.670043,39.192975</v>
      </c>
      <c r="T6348" s="12"/>
    </row>
    <row r="6349">
      <c r="A6349" s="139" t="s">
        <v>40799</v>
      </c>
      <c r="B6349" s="140" t="s">
        <v>40800</v>
      </c>
      <c r="C6349" s="140" t="s">
        <v>40801</v>
      </c>
      <c r="D6349" s="140" t="s">
        <v>33342</v>
      </c>
      <c r="E6349" s="141" t="s">
        <v>40802</v>
      </c>
      <c r="F6349" s="139" t="s">
        <v>10789</v>
      </c>
      <c r="G6349" s="139" t="s">
        <v>33344</v>
      </c>
      <c r="H6349" s="139"/>
      <c r="I6349" s="140"/>
      <c r="J6349" s="140" t="s">
        <v>40803</v>
      </c>
      <c r="K6349" s="140" t="s">
        <v>40804</v>
      </c>
      <c r="L6349" s="140"/>
      <c r="M6349" s="154" t="s">
        <v>40805</v>
      </c>
      <c r="N6349" s="12"/>
      <c r="O6349" s="12"/>
      <c r="P6349" s="13">
        <f>IFERROR(__xludf.DUMMYFUNCTION("VALUE(SUBSTITUTE((INDEX(SPLIT(A6349,"",""),1)),""."","","",1))"),56.986732)</f>
        <v>56.986732</v>
      </c>
      <c r="Q6349" s="13">
        <f>IFERROR(__xludf.DUMMYFUNCTION("VALUE(SUBSTITUTE((INDEX(SPLIT(A6349,"",""),2)),""."","","",1))"),40.962422)</f>
        <v>40.962422</v>
      </c>
      <c r="R6349" s="14" t="b">
        <f t="shared" si="1"/>
        <v>0</v>
      </c>
      <c r="S6349" s="14" t="str">
        <f t="shared" si="2"/>
        <v>56.986732,40.962422</v>
      </c>
      <c r="T6349" s="12"/>
    </row>
    <row r="6350">
      <c r="A6350" s="136" t="s">
        <v>40806</v>
      </c>
      <c r="B6350" s="137" t="s">
        <v>15759</v>
      </c>
      <c r="C6350" s="137" t="s">
        <v>40807</v>
      </c>
      <c r="D6350" s="137" t="s">
        <v>33342</v>
      </c>
      <c r="E6350" s="138" t="s">
        <v>40808</v>
      </c>
      <c r="F6350" s="136" t="s">
        <v>10789</v>
      </c>
      <c r="G6350" s="136" t="s">
        <v>33344</v>
      </c>
      <c r="H6350" s="136"/>
      <c r="I6350" s="137"/>
      <c r="J6350" s="137" t="s">
        <v>40809</v>
      </c>
      <c r="K6350" s="137" t="s">
        <v>40810</v>
      </c>
      <c r="L6350" s="137"/>
      <c r="M6350" s="153" t="s">
        <v>40811</v>
      </c>
      <c r="N6350" s="12"/>
      <c r="O6350" s="12"/>
      <c r="P6350" s="13">
        <f>IFERROR(__xludf.DUMMYFUNCTION("VALUE(SUBSTITUTE((INDEX(SPLIT(A6350,"",""),1)),""."","","",1))"),56.972468)</f>
        <v>56.972468</v>
      </c>
      <c r="Q6350" s="13">
        <f>IFERROR(__xludf.DUMMYFUNCTION("VALUE(SUBSTITUTE((INDEX(SPLIT(A6350,"",""),2)),""."","","",1))"),40.95114)</f>
        <v>40.95114</v>
      </c>
      <c r="R6350" s="14" t="b">
        <f t="shared" si="1"/>
        <v>0</v>
      </c>
      <c r="S6350" s="14" t="str">
        <f t="shared" si="2"/>
        <v>56.972468,40.95114</v>
      </c>
      <c r="T6350" s="12"/>
    </row>
    <row r="6351">
      <c r="A6351" s="146" t="s">
        <v>40812</v>
      </c>
      <c r="B6351" s="147" t="s">
        <v>35116</v>
      </c>
      <c r="C6351" s="147" t="s">
        <v>35117</v>
      </c>
      <c r="D6351" s="147" t="s">
        <v>33342</v>
      </c>
      <c r="E6351" s="148" t="s">
        <v>40813</v>
      </c>
      <c r="F6351" s="146" t="s">
        <v>10789</v>
      </c>
      <c r="G6351" s="146" t="s">
        <v>33344</v>
      </c>
      <c r="H6351" s="146"/>
      <c r="I6351" s="147"/>
      <c r="J6351" s="147" t="s">
        <v>40814</v>
      </c>
      <c r="K6351" s="147" t="s">
        <v>35120</v>
      </c>
      <c r="L6351" s="149" t="s">
        <v>35121</v>
      </c>
      <c r="M6351" s="149" t="s">
        <v>40815</v>
      </c>
      <c r="N6351" s="12"/>
      <c r="O6351" s="12"/>
      <c r="P6351" s="13">
        <f>IFERROR(__xludf.DUMMYFUNCTION("VALUE(SUBSTITUTE((INDEX(SPLIT(A6351,"",""),1)),""."","","",1))"),57.024435)</f>
        <v>57.024435</v>
      </c>
      <c r="Q6351" s="13">
        <f>IFERROR(__xludf.DUMMYFUNCTION("VALUE(SUBSTITUTE((INDEX(SPLIT(A6351,"",""),2)),""."","","",1))"),40.960635)</f>
        <v>40.960635</v>
      </c>
      <c r="R6351" s="14" t="b">
        <f t="shared" si="1"/>
        <v>0</v>
      </c>
      <c r="S6351" s="14" t="str">
        <f t="shared" si="2"/>
        <v>57.024435,40.960635</v>
      </c>
      <c r="T6351" s="12"/>
    </row>
    <row r="6352">
      <c r="A6352" s="136" t="s">
        <v>40816</v>
      </c>
      <c r="B6352" s="137" t="s">
        <v>40817</v>
      </c>
      <c r="C6352" s="137" t="s">
        <v>40818</v>
      </c>
      <c r="D6352" s="137" t="s">
        <v>33342</v>
      </c>
      <c r="E6352" s="138" t="s">
        <v>40819</v>
      </c>
      <c r="F6352" s="136" t="s">
        <v>10789</v>
      </c>
      <c r="G6352" s="136" t="s">
        <v>33344</v>
      </c>
      <c r="H6352" s="136"/>
      <c r="I6352" s="137"/>
      <c r="J6352" s="137" t="s">
        <v>40820</v>
      </c>
      <c r="K6352" s="137" t="s">
        <v>15763</v>
      </c>
      <c r="L6352" s="137"/>
      <c r="M6352" s="137"/>
      <c r="N6352" s="12"/>
      <c r="O6352" s="12"/>
      <c r="P6352" s="13">
        <f>IFERROR(__xludf.DUMMYFUNCTION("VALUE(SUBSTITUTE((INDEX(SPLIT(A6352,"",""),1)),""."","","",1))"),56.963342)</f>
        <v>56.963342</v>
      </c>
      <c r="Q6352" s="13">
        <f>IFERROR(__xludf.DUMMYFUNCTION("VALUE(SUBSTITUTE((INDEX(SPLIT(A6352,"",""),2)),""."","","",1))"),41.015064)</f>
        <v>41.015064</v>
      </c>
      <c r="R6352" s="14" t="b">
        <f t="shared" si="1"/>
        <v>0</v>
      </c>
      <c r="S6352" s="14" t="str">
        <f t="shared" si="2"/>
        <v>56.963342,41.015064</v>
      </c>
      <c r="T6352" s="12"/>
    </row>
    <row r="6353">
      <c r="A6353" s="139" t="s">
        <v>40821</v>
      </c>
      <c r="B6353" s="140" t="s">
        <v>40822</v>
      </c>
      <c r="C6353" s="140" t="s">
        <v>40823</v>
      </c>
      <c r="D6353" s="140" t="s">
        <v>33342</v>
      </c>
      <c r="E6353" s="141" t="s">
        <v>40824</v>
      </c>
      <c r="F6353" s="139" t="s">
        <v>10789</v>
      </c>
      <c r="G6353" s="139" t="s">
        <v>33344</v>
      </c>
      <c r="H6353" s="139"/>
      <c r="I6353" s="140"/>
      <c r="J6353" s="140" t="s">
        <v>40825</v>
      </c>
      <c r="K6353" s="140" t="s">
        <v>40826</v>
      </c>
      <c r="L6353" s="140"/>
      <c r="M6353" s="140"/>
      <c r="N6353" s="12"/>
      <c r="O6353" s="12"/>
      <c r="P6353" s="13">
        <f>IFERROR(__xludf.DUMMYFUNCTION("VALUE(SUBSTITUTE((INDEX(SPLIT(A6353,"",""),1)),""."","","",1))"),56.997691)</f>
        <v>56.997691</v>
      </c>
      <c r="Q6353" s="13">
        <f>IFERROR(__xludf.DUMMYFUNCTION("VALUE(SUBSTITUTE((INDEX(SPLIT(A6353,"",""),2)),""."","","",1))"),40.951759)</f>
        <v>40.951759</v>
      </c>
      <c r="R6353" s="14" t="b">
        <f t="shared" si="1"/>
        <v>0</v>
      </c>
      <c r="S6353" s="14" t="str">
        <f t="shared" si="2"/>
        <v>56.997691,40.951759</v>
      </c>
      <c r="T6353" s="12"/>
    </row>
    <row r="6354">
      <c r="A6354" s="136" t="s">
        <v>40827</v>
      </c>
      <c r="B6354" s="137" t="s">
        <v>40828</v>
      </c>
      <c r="C6354" s="137" t="s">
        <v>40829</v>
      </c>
      <c r="D6354" s="137" t="s">
        <v>33342</v>
      </c>
      <c r="E6354" s="138" t="s">
        <v>40830</v>
      </c>
      <c r="F6354" s="136" t="s">
        <v>10789</v>
      </c>
      <c r="G6354" s="136" t="s">
        <v>33344</v>
      </c>
      <c r="H6354" s="136"/>
      <c r="I6354" s="137"/>
      <c r="J6354" s="137" t="s">
        <v>40831</v>
      </c>
      <c r="K6354" s="137" t="s">
        <v>40832</v>
      </c>
      <c r="L6354" s="137"/>
      <c r="M6354" s="137"/>
      <c r="N6354" s="12"/>
      <c r="O6354" s="12"/>
      <c r="P6354" s="13">
        <f>IFERROR(__xludf.DUMMYFUNCTION("VALUE(SUBSTITUTE((INDEX(SPLIT(A6354,"",""),1)),""."","","",1))"),56.991552)</f>
        <v>56.991552</v>
      </c>
      <c r="Q6354" s="13">
        <f>IFERROR(__xludf.DUMMYFUNCTION("VALUE(SUBSTITUTE((INDEX(SPLIT(A6354,"",""),2)),""."","","",1))"),40.908353)</f>
        <v>40.908353</v>
      </c>
      <c r="R6354" s="14" t="b">
        <f t="shared" si="1"/>
        <v>0</v>
      </c>
      <c r="S6354" s="14" t="str">
        <f t="shared" si="2"/>
        <v>56.991552,40.908353</v>
      </c>
      <c r="T6354" s="12"/>
    </row>
    <row r="6355">
      <c r="A6355" s="139" t="s">
        <v>40833</v>
      </c>
      <c r="B6355" s="140" t="s">
        <v>40834</v>
      </c>
      <c r="C6355" s="140" t="s">
        <v>40835</v>
      </c>
      <c r="D6355" s="140" t="s">
        <v>33342</v>
      </c>
      <c r="E6355" s="141" t="s">
        <v>40836</v>
      </c>
      <c r="F6355" s="139" t="s">
        <v>10789</v>
      </c>
      <c r="G6355" s="139" t="s">
        <v>33344</v>
      </c>
      <c r="H6355" s="139"/>
      <c r="I6355" s="140"/>
      <c r="J6355" s="140" t="s">
        <v>40837</v>
      </c>
      <c r="K6355" s="140" t="s">
        <v>40838</v>
      </c>
      <c r="L6355" s="140"/>
      <c r="M6355" s="154" t="s">
        <v>40839</v>
      </c>
      <c r="N6355" s="12"/>
      <c r="O6355" s="12"/>
      <c r="P6355" s="13">
        <f>IFERROR(__xludf.DUMMYFUNCTION("VALUE(SUBSTITUTE((INDEX(SPLIT(A6355,"",""),1)),""."","","",1))"),57.015346)</f>
        <v>57.015346</v>
      </c>
      <c r="Q6355" s="13">
        <f>IFERROR(__xludf.DUMMYFUNCTION("VALUE(SUBSTITUTE((INDEX(SPLIT(A6355,"",""),2)),""."","","",1))"),41.015109)</f>
        <v>41.015109</v>
      </c>
      <c r="R6355" s="14" t="b">
        <f t="shared" si="1"/>
        <v>0</v>
      </c>
      <c r="S6355" s="14" t="str">
        <f t="shared" si="2"/>
        <v>57.015346,41.015109</v>
      </c>
      <c r="T6355" s="12"/>
    </row>
    <row r="6356">
      <c r="A6356" s="136" t="s">
        <v>40840</v>
      </c>
      <c r="B6356" s="137" t="s">
        <v>40841</v>
      </c>
      <c r="C6356" s="137" t="s">
        <v>40842</v>
      </c>
      <c r="D6356" s="137" t="s">
        <v>33342</v>
      </c>
      <c r="E6356" s="138" t="s">
        <v>40843</v>
      </c>
      <c r="F6356" s="136" t="s">
        <v>10789</v>
      </c>
      <c r="G6356" s="136" t="s">
        <v>33344</v>
      </c>
      <c r="H6356" s="136"/>
      <c r="I6356" s="137"/>
      <c r="J6356" s="137" t="s">
        <v>40844</v>
      </c>
      <c r="K6356" s="137" t="s">
        <v>40845</v>
      </c>
      <c r="L6356" s="137"/>
      <c r="M6356" s="137"/>
      <c r="N6356" s="12"/>
      <c r="O6356" s="12"/>
      <c r="P6356" s="13">
        <f>IFERROR(__xludf.DUMMYFUNCTION("VALUE(SUBSTITUTE((INDEX(SPLIT(A6356,"",""),1)),""."","","",1))"),56.566726)</f>
        <v>56.566726</v>
      </c>
      <c r="Q6356" s="13">
        <f>IFERROR(__xludf.DUMMYFUNCTION("VALUE(SUBSTITUTE((INDEX(SPLIT(A6356,"",""),2)),""."","","",1))"),40.104055)</f>
        <v>40.104055</v>
      </c>
      <c r="R6356" s="14" t="b">
        <f t="shared" si="1"/>
        <v>0</v>
      </c>
      <c r="S6356" s="14" t="str">
        <f t="shared" si="2"/>
        <v>56.566726,40.104055</v>
      </c>
      <c r="T6356" s="12"/>
    </row>
    <row r="6357">
      <c r="A6357" s="139" t="s">
        <v>40846</v>
      </c>
      <c r="B6357" s="140" t="s">
        <v>40847</v>
      </c>
      <c r="C6357" s="140" t="s">
        <v>40848</v>
      </c>
      <c r="D6357" s="140" t="s">
        <v>33342</v>
      </c>
      <c r="E6357" s="141" t="s">
        <v>40849</v>
      </c>
      <c r="F6357" s="139" t="s">
        <v>10789</v>
      </c>
      <c r="G6357" s="139" t="s">
        <v>33344</v>
      </c>
      <c r="H6357" s="139"/>
      <c r="I6357" s="140"/>
      <c r="J6357" s="140" t="s">
        <v>40850</v>
      </c>
      <c r="K6357" s="140" t="s">
        <v>40851</v>
      </c>
      <c r="L6357" s="140"/>
      <c r="M6357" s="140"/>
      <c r="N6357" s="12"/>
      <c r="O6357" s="12"/>
      <c r="P6357" s="13">
        <f>IFERROR(__xludf.DUMMYFUNCTION("VALUE(SUBSTITUTE((INDEX(SPLIT(A6357,"",""),1)),""."","","",1))"),56.969529)</f>
        <v>56.969529</v>
      </c>
      <c r="Q6357" s="13">
        <f>IFERROR(__xludf.DUMMYFUNCTION("VALUE(SUBSTITUTE((INDEX(SPLIT(A6357,"",""),2)),""."","","",1))"),40.968863)</f>
        <v>40.968863</v>
      </c>
      <c r="R6357" s="14" t="b">
        <f t="shared" si="1"/>
        <v>0</v>
      </c>
      <c r="S6357" s="14" t="str">
        <f t="shared" si="2"/>
        <v>56.969529,40.968863</v>
      </c>
      <c r="T6357" s="12"/>
    </row>
    <row r="6358">
      <c r="A6358" s="136" t="s">
        <v>40852</v>
      </c>
      <c r="B6358" s="137" t="s">
        <v>40853</v>
      </c>
      <c r="C6358" s="137" t="s">
        <v>40854</v>
      </c>
      <c r="D6358" s="137" t="s">
        <v>33342</v>
      </c>
      <c r="E6358" s="138" t="s">
        <v>40855</v>
      </c>
      <c r="F6358" s="136" t="s">
        <v>10789</v>
      </c>
      <c r="G6358" s="136" t="s">
        <v>33344</v>
      </c>
      <c r="H6358" s="136"/>
      <c r="I6358" s="137"/>
      <c r="J6358" s="137" t="s">
        <v>40856</v>
      </c>
      <c r="K6358" s="137" t="s">
        <v>40857</v>
      </c>
      <c r="L6358" s="137"/>
      <c r="M6358" s="137"/>
      <c r="N6358" s="12"/>
      <c r="O6358" s="12"/>
      <c r="P6358" s="13">
        <f>IFERROR(__xludf.DUMMYFUNCTION("VALUE(SUBSTITUTE((INDEX(SPLIT(A6358,"",""),1)),""."","","",1))"),57.006284)</f>
        <v>57.006284</v>
      </c>
      <c r="Q6358" s="13">
        <f>IFERROR(__xludf.DUMMYFUNCTION("VALUE(SUBSTITUTE((INDEX(SPLIT(A6358,"",""),2)),""."","","",1))"),40.851633)</f>
        <v>40.851633</v>
      </c>
      <c r="R6358" s="14" t="b">
        <f t="shared" si="1"/>
        <v>0</v>
      </c>
      <c r="S6358" s="14" t="str">
        <f t="shared" si="2"/>
        <v>57.006284,40.851633</v>
      </c>
      <c r="T6358" s="12"/>
    </row>
    <row r="6359">
      <c r="A6359" s="146" t="s">
        <v>40858</v>
      </c>
      <c r="B6359" s="147" t="s">
        <v>40859</v>
      </c>
      <c r="C6359" s="147" t="s">
        <v>40860</v>
      </c>
      <c r="D6359" s="147" t="s">
        <v>33342</v>
      </c>
      <c r="E6359" s="148" t="s">
        <v>40861</v>
      </c>
      <c r="F6359" s="146" t="s">
        <v>18</v>
      </c>
      <c r="G6359" s="146" t="s">
        <v>33344</v>
      </c>
      <c r="H6359" s="146"/>
      <c r="I6359" s="147"/>
      <c r="J6359" s="147" t="s">
        <v>40862</v>
      </c>
      <c r="K6359" s="147" t="s">
        <v>40863</v>
      </c>
      <c r="L6359" s="149" t="s">
        <v>40864</v>
      </c>
      <c r="M6359" s="147"/>
      <c r="N6359" s="12"/>
      <c r="O6359" s="12"/>
      <c r="P6359" s="13">
        <f>IFERROR(__xludf.DUMMYFUNCTION("VALUE(SUBSTITUTE((INDEX(SPLIT(A6359,"",""),1)),""."","","",1))"),52.554029)</f>
        <v>52.554029</v>
      </c>
      <c r="Q6359" s="13">
        <f>IFERROR(__xludf.DUMMYFUNCTION("VALUE(SUBSTITUTE((INDEX(SPLIT(A6359,"",""),2)),""."","","",1))"),103.883973)</f>
        <v>103.883973</v>
      </c>
      <c r="R6359" s="14" t="b">
        <f t="shared" si="1"/>
        <v>0</v>
      </c>
      <c r="S6359" s="14" t="str">
        <f t="shared" si="2"/>
        <v>52.554029,103.883973</v>
      </c>
      <c r="T6359" s="12"/>
    </row>
    <row r="6360">
      <c r="A6360" s="142" t="s">
        <v>40865</v>
      </c>
      <c r="B6360" s="143" t="s">
        <v>40866</v>
      </c>
      <c r="C6360" s="143" t="s">
        <v>40867</v>
      </c>
      <c r="D6360" s="143" t="s">
        <v>33342</v>
      </c>
      <c r="E6360" s="144" t="s">
        <v>40868</v>
      </c>
      <c r="F6360" s="142" t="s">
        <v>18</v>
      </c>
      <c r="G6360" s="142" t="s">
        <v>33344</v>
      </c>
      <c r="H6360" s="142"/>
      <c r="I6360" s="143"/>
      <c r="J6360" s="143" t="s">
        <v>40869</v>
      </c>
      <c r="K6360" s="143" t="s">
        <v>37248</v>
      </c>
      <c r="L6360" s="145" t="s">
        <v>40870</v>
      </c>
      <c r="M6360" s="145" t="s">
        <v>40871</v>
      </c>
      <c r="N6360" s="12"/>
      <c r="O6360" s="12"/>
      <c r="P6360" s="13">
        <f>IFERROR(__xludf.DUMMYFUNCTION("VALUE(SUBSTITUTE((INDEX(SPLIT(A6360,"",""),1)),""."","","",1))"),52.614611)</f>
        <v>52.614611</v>
      </c>
      <c r="Q6360" s="13">
        <f>IFERROR(__xludf.DUMMYFUNCTION("VALUE(SUBSTITUTE((INDEX(SPLIT(A6360,"",""),2)),""."","","",1))"),103.909414)</f>
        <v>103.909414</v>
      </c>
      <c r="R6360" s="14" t="b">
        <f t="shared" si="1"/>
        <v>0</v>
      </c>
      <c r="S6360" s="14" t="str">
        <f t="shared" si="2"/>
        <v>52.614611,103.909414</v>
      </c>
      <c r="T6360" s="12"/>
    </row>
    <row r="6361">
      <c r="A6361" s="146" t="s">
        <v>40872</v>
      </c>
      <c r="B6361" s="147" t="s">
        <v>14179</v>
      </c>
      <c r="C6361" s="147" t="s">
        <v>40873</v>
      </c>
      <c r="D6361" s="147" t="s">
        <v>33342</v>
      </c>
      <c r="E6361" s="148" t="s">
        <v>40874</v>
      </c>
      <c r="F6361" s="146" t="s">
        <v>18</v>
      </c>
      <c r="G6361" s="146" t="s">
        <v>33344</v>
      </c>
      <c r="H6361" s="146"/>
      <c r="I6361" s="147"/>
      <c r="J6361" s="147" t="s">
        <v>40875</v>
      </c>
      <c r="K6361" s="147" t="s">
        <v>40876</v>
      </c>
      <c r="L6361" s="149" t="s">
        <v>40877</v>
      </c>
      <c r="M6361" s="147"/>
      <c r="N6361" s="12"/>
      <c r="O6361" s="12"/>
      <c r="P6361" s="13">
        <f>IFERROR(__xludf.DUMMYFUNCTION("VALUE(SUBSTITUTE((INDEX(SPLIT(A6361,"",""),1)),""."","","",1))"),52.502074)</f>
        <v>52.502074</v>
      </c>
      <c r="Q6361" s="13">
        <f>IFERROR(__xludf.DUMMYFUNCTION("VALUE(SUBSTITUTE((INDEX(SPLIT(A6361,"",""),2)),""."","","",1))"),103.848292)</f>
        <v>103.848292</v>
      </c>
      <c r="R6361" s="14" t="b">
        <f t="shared" si="1"/>
        <v>0</v>
      </c>
      <c r="S6361" s="14" t="str">
        <f t="shared" si="2"/>
        <v>52.502074,103.848292</v>
      </c>
      <c r="T6361" s="12"/>
    </row>
    <row r="6362">
      <c r="A6362" s="136" t="s">
        <v>40878</v>
      </c>
      <c r="B6362" s="137" t="s">
        <v>40879</v>
      </c>
      <c r="C6362" s="137" t="s">
        <v>40880</v>
      </c>
      <c r="D6362" s="137" t="s">
        <v>33342</v>
      </c>
      <c r="E6362" s="138" t="s">
        <v>40881</v>
      </c>
      <c r="F6362" s="136" t="s">
        <v>18</v>
      </c>
      <c r="G6362" s="136" t="s">
        <v>33344</v>
      </c>
      <c r="H6362" s="136"/>
      <c r="I6362" s="137"/>
      <c r="J6362" s="137" t="s">
        <v>40882</v>
      </c>
      <c r="K6362" s="137" t="s">
        <v>40883</v>
      </c>
      <c r="L6362" s="137"/>
      <c r="M6362" s="153" t="s">
        <v>40884</v>
      </c>
      <c r="N6362" s="12"/>
      <c r="O6362" s="12"/>
      <c r="P6362" s="13">
        <f>IFERROR(__xludf.DUMMYFUNCTION("VALUE(SUBSTITUTE((INDEX(SPLIT(A6362,"",""),1)),""."","","",1))"),52.221372)</f>
        <v>52.221372</v>
      </c>
      <c r="Q6362" s="13">
        <f>IFERROR(__xludf.DUMMYFUNCTION("VALUE(SUBSTITUTE((INDEX(SPLIT(A6362,"",""),2)),""."","","",1))"),104.243398)</f>
        <v>104.243398</v>
      </c>
      <c r="R6362" s="14" t="b">
        <f t="shared" si="1"/>
        <v>0</v>
      </c>
      <c r="S6362" s="14" t="str">
        <f t="shared" si="2"/>
        <v>52.221372,104.243398</v>
      </c>
      <c r="T6362" s="12"/>
    </row>
    <row r="6363">
      <c r="A6363" s="139" t="s">
        <v>40885</v>
      </c>
      <c r="B6363" s="140" t="s">
        <v>827</v>
      </c>
      <c r="C6363" s="140" t="s">
        <v>34462</v>
      </c>
      <c r="D6363" s="140" t="s">
        <v>33342</v>
      </c>
      <c r="E6363" s="141" t="s">
        <v>40886</v>
      </c>
      <c r="F6363" s="139" t="s">
        <v>18</v>
      </c>
      <c r="G6363" s="139" t="s">
        <v>33344</v>
      </c>
      <c r="H6363" s="139"/>
      <c r="I6363" s="140"/>
      <c r="J6363" s="140" t="s">
        <v>40887</v>
      </c>
      <c r="K6363" s="140" t="s">
        <v>40888</v>
      </c>
      <c r="L6363" s="140"/>
      <c r="M6363" s="154" t="s">
        <v>40889</v>
      </c>
      <c r="N6363" s="12"/>
      <c r="O6363" s="12"/>
      <c r="P6363" s="13">
        <f>IFERROR(__xludf.DUMMYFUNCTION("VALUE(SUBSTITUTE((INDEX(SPLIT(A6363,"",""),1)),""."","","",1))"),52.753721)</f>
        <v>52.753721</v>
      </c>
      <c r="Q6363" s="13">
        <f>IFERROR(__xludf.DUMMYFUNCTION("VALUE(SUBSTITUTE((INDEX(SPLIT(A6363,"",""),2)),""."","","",1))"),103.635373)</f>
        <v>103.635373</v>
      </c>
      <c r="R6363" s="14" t="b">
        <f t="shared" si="1"/>
        <v>0</v>
      </c>
      <c r="S6363" s="14" t="str">
        <f t="shared" si="2"/>
        <v>52.753721,103.635373</v>
      </c>
      <c r="T6363" s="12"/>
    </row>
    <row r="6364">
      <c r="A6364" s="136" t="s">
        <v>40890</v>
      </c>
      <c r="B6364" s="137" t="s">
        <v>40891</v>
      </c>
      <c r="C6364" s="137" t="s">
        <v>40892</v>
      </c>
      <c r="D6364" s="137" t="s">
        <v>33342</v>
      </c>
      <c r="E6364" s="138" t="s">
        <v>40893</v>
      </c>
      <c r="F6364" s="136" t="s">
        <v>18</v>
      </c>
      <c r="G6364" s="136" t="s">
        <v>33344</v>
      </c>
      <c r="H6364" s="136"/>
      <c r="I6364" s="137"/>
      <c r="J6364" s="137" t="s">
        <v>40894</v>
      </c>
      <c r="K6364" s="137" t="s">
        <v>40895</v>
      </c>
      <c r="L6364" s="137"/>
      <c r="M6364" s="137"/>
      <c r="N6364" s="12"/>
      <c r="O6364" s="12"/>
      <c r="P6364" s="13">
        <f>IFERROR(__xludf.DUMMYFUNCTION("VALUE(SUBSTITUTE((INDEX(SPLIT(A6364,"",""),1)),""."","","",1))"),52.331136)</f>
        <v>52.331136</v>
      </c>
      <c r="Q6364" s="13">
        <f>IFERROR(__xludf.DUMMYFUNCTION("VALUE(SUBSTITUTE((INDEX(SPLIT(A6364,"",""),2)),""."","","",1))"),104.352202)</f>
        <v>104.352202</v>
      </c>
      <c r="R6364" s="14" t="b">
        <f t="shared" si="1"/>
        <v>0</v>
      </c>
      <c r="S6364" s="14" t="str">
        <f t="shared" si="2"/>
        <v>52.331136,104.352202</v>
      </c>
      <c r="T6364" s="12"/>
    </row>
    <row r="6365">
      <c r="A6365" s="139" t="s">
        <v>40896</v>
      </c>
      <c r="B6365" s="140" t="s">
        <v>40897</v>
      </c>
      <c r="C6365" s="140" t="s">
        <v>40898</v>
      </c>
      <c r="D6365" s="140" t="s">
        <v>33342</v>
      </c>
      <c r="E6365" s="141" t="s">
        <v>40899</v>
      </c>
      <c r="F6365" s="139" t="s">
        <v>18</v>
      </c>
      <c r="G6365" s="139" t="s">
        <v>33344</v>
      </c>
      <c r="H6365" s="139"/>
      <c r="I6365" s="140"/>
      <c r="J6365" s="140" t="s">
        <v>40900</v>
      </c>
      <c r="K6365" s="140" t="s">
        <v>40901</v>
      </c>
      <c r="L6365" s="140"/>
      <c r="M6365" s="140"/>
      <c r="N6365" s="12"/>
      <c r="O6365" s="12"/>
      <c r="P6365" s="13">
        <f>IFERROR(__xludf.DUMMYFUNCTION("VALUE(SUBSTITUTE((INDEX(SPLIT(A6365,"",""),1)),""."","","",1))"),56.79653)</f>
        <v>56.79653</v>
      </c>
      <c r="Q6365" s="13">
        <f>IFERROR(__xludf.DUMMYFUNCTION("VALUE(SUBSTITUTE((INDEX(SPLIT(A6365,"",""),2)),""."","","",1))"),105.791573)</f>
        <v>105.791573</v>
      </c>
      <c r="R6365" s="14" t="b">
        <f t="shared" si="1"/>
        <v>0</v>
      </c>
      <c r="S6365" s="14" t="str">
        <f t="shared" si="2"/>
        <v>56.79653,105.791573</v>
      </c>
      <c r="T6365" s="12"/>
    </row>
    <row r="6366">
      <c r="A6366" s="136" t="s">
        <v>40902</v>
      </c>
      <c r="B6366" s="137" t="s">
        <v>40903</v>
      </c>
      <c r="C6366" s="137" t="s">
        <v>40904</v>
      </c>
      <c r="D6366" s="137" t="s">
        <v>33342</v>
      </c>
      <c r="E6366" s="138" t="s">
        <v>40905</v>
      </c>
      <c r="F6366" s="136" t="s">
        <v>18</v>
      </c>
      <c r="G6366" s="136" t="s">
        <v>33344</v>
      </c>
      <c r="H6366" s="136"/>
      <c r="I6366" s="137"/>
      <c r="J6366" s="137" t="s">
        <v>40906</v>
      </c>
      <c r="K6366" s="137" t="s">
        <v>40907</v>
      </c>
      <c r="L6366" s="137"/>
      <c r="M6366" s="153" t="s">
        <v>40908</v>
      </c>
      <c r="N6366" s="12"/>
      <c r="O6366" s="12"/>
      <c r="P6366" s="13">
        <f>IFERROR(__xludf.DUMMYFUNCTION("VALUE(SUBSTITUTE((INDEX(SPLIT(A6366,"",""),1)),""."","","",1))"),52.288503)</f>
        <v>52.288503</v>
      </c>
      <c r="Q6366" s="13">
        <f>IFERROR(__xludf.DUMMYFUNCTION("VALUE(SUBSTITUTE((INDEX(SPLIT(A6366,"",""),2)),""."","","",1))"),104.289536)</f>
        <v>104.289536</v>
      </c>
      <c r="R6366" s="14" t="b">
        <f t="shared" si="1"/>
        <v>0</v>
      </c>
      <c r="S6366" s="14" t="str">
        <f t="shared" si="2"/>
        <v>52.288503,104.289536</v>
      </c>
      <c r="T6366" s="12"/>
    </row>
    <row r="6367">
      <c r="A6367" s="139" t="s">
        <v>40909</v>
      </c>
      <c r="B6367" s="140" t="s">
        <v>40910</v>
      </c>
      <c r="C6367" s="140" t="s">
        <v>40911</v>
      </c>
      <c r="D6367" s="140" t="s">
        <v>33342</v>
      </c>
      <c r="E6367" s="141" t="s">
        <v>40912</v>
      </c>
      <c r="F6367" s="139" t="s">
        <v>18</v>
      </c>
      <c r="G6367" s="139" t="s">
        <v>33344</v>
      </c>
      <c r="H6367" s="139"/>
      <c r="I6367" s="140"/>
      <c r="J6367" s="140" t="s">
        <v>40913</v>
      </c>
      <c r="K6367" s="140" t="s">
        <v>40914</v>
      </c>
      <c r="L6367" s="140"/>
      <c r="M6367" s="154" t="s">
        <v>40915</v>
      </c>
      <c r="N6367" s="12"/>
      <c r="O6367" s="12"/>
      <c r="P6367" s="13">
        <f>IFERROR(__xludf.DUMMYFUNCTION("VALUE(SUBSTITUTE((INDEX(SPLIT(A6367,"",""),1)),""."","","",1))"),56.796348)</f>
        <v>56.796348</v>
      </c>
      <c r="Q6367" s="13">
        <f>IFERROR(__xludf.DUMMYFUNCTION("VALUE(SUBSTITUTE((INDEX(SPLIT(A6367,"",""),2)),""."","","",1))"),105.797034)</f>
        <v>105.797034</v>
      </c>
      <c r="R6367" s="14" t="b">
        <f t="shared" si="1"/>
        <v>0</v>
      </c>
      <c r="S6367" s="14" t="str">
        <f t="shared" si="2"/>
        <v>56.796348,105.797034</v>
      </c>
      <c r="T6367" s="12"/>
    </row>
    <row r="6368">
      <c r="A6368" s="142" t="s">
        <v>40916</v>
      </c>
      <c r="B6368" s="143" t="s">
        <v>40917</v>
      </c>
      <c r="C6368" s="143" t="s">
        <v>40918</v>
      </c>
      <c r="D6368" s="143" t="s">
        <v>33342</v>
      </c>
      <c r="E6368" s="144" t="s">
        <v>40919</v>
      </c>
      <c r="F6368" s="142" t="s">
        <v>18</v>
      </c>
      <c r="G6368" s="142" t="s">
        <v>33344</v>
      </c>
      <c r="H6368" s="142"/>
      <c r="I6368" s="143"/>
      <c r="J6368" s="143" t="s">
        <v>40920</v>
      </c>
      <c r="K6368" s="143" t="s">
        <v>40921</v>
      </c>
      <c r="L6368" s="145" t="s">
        <v>40922</v>
      </c>
      <c r="M6368" s="143"/>
      <c r="N6368" s="12"/>
      <c r="O6368" s="12"/>
      <c r="P6368" s="13">
        <f>IFERROR(__xludf.DUMMYFUNCTION("VALUE(SUBSTITUTE((INDEX(SPLIT(A6368,"",""),1)),""."","","",1))"),52.325027)</f>
        <v>52.325027</v>
      </c>
      <c r="Q6368" s="13">
        <f>IFERROR(__xludf.DUMMYFUNCTION("VALUE(SUBSTITUTE((INDEX(SPLIT(A6368,"",""),2)),""."","","",1))"),104.241359)</f>
        <v>104.241359</v>
      </c>
      <c r="R6368" s="14" t="b">
        <f t="shared" si="1"/>
        <v>0</v>
      </c>
      <c r="S6368" s="14" t="str">
        <f t="shared" si="2"/>
        <v>52.325027,104.241359</v>
      </c>
      <c r="T6368" s="12"/>
    </row>
    <row r="6369">
      <c r="A6369" s="139" t="s">
        <v>40923</v>
      </c>
      <c r="B6369" s="140" t="s">
        <v>40924</v>
      </c>
      <c r="C6369" s="140" t="s">
        <v>40925</v>
      </c>
      <c r="D6369" s="140" t="s">
        <v>33342</v>
      </c>
      <c r="E6369" s="141" t="s">
        <v>40926</v>
      </c>
      <c r="F6369" s="139" t="s">
        <v>18</v>
      </c>
      <c r="G6369" s="139" t="s">
        <v>33344</v>
      </c>
      <c r="H6369" s="139"/>
      <c r="I6369" s="140"/>
      <c r="J6369" s="140" t="s">
        <v>40927</v>
      </c>
      <c r="K6369" s="140" t="s">
        <v>40928</v>
      </c>
      <c r="L6369" s="140"/>
      <c r="M6369" s="140"/>
      <c r="N6369" s="12"/>
      <c r="O6369" s="12"/>
      <c r="P6369" s="13">
        <f>IFERROR(__xludf.DUMMYFUNCTION("VALUE(SUBSTITUTE((INDEX(SPLIT(A6369,"",""),1)),""."","","",1))"),52.342081)</f>
        <v>52.342081</v>
      </c>
      <c r="Q6369" s="13">
        <f>IFERROR(__xludf.DUMMYFUNCTION("VALUE(SUBSTITUTE((INDEX(SPLIT(A6369,"",""),2)),""."","","",1))"),104.148105)</f>
        <v>104.148105</v>
      </c>
      <c r="R6369" s="14" t="b">
        <f t="shared" si="1"/>
        <v>0</v>
      </c>
      <c r="S6369" s="14" t="str">
        <f t="shared" si="2"/>
        <v>52.342081,104.148105</v>
      </c>
      <c r="T6369" s="12"/>
    </row>
    <row r="6370">
      <c r="A6370" s="136" t="s">
        <v>40929</v>
      </c>
      <c r="B6370" s="137" t="s">
        <v>40930</v>
      </c>
      <c r="C6370" s="137" t="s">
        <v>40931</v>
      </c>
      <c r="D6370" s="137" t="s">
        <v>33342</v>
      </c>
      <c r="E6370" s="138" t="s">
        <v>40932</v>
      </c>
      <c r="F6370" s="136" t="s">
        <v>18</v>
      </c>
      <c r="G6370" s="136" t="s">
        <v>33344</v>
      </c>
      <c r="H6370" s="136"/>
      <c r="I6370" s="137"/>
      <c r="J6370" s="137" t="s">
        <v>40933</v>
      </c>
      <c r="K6370" s="137" t="s">
        <v>40934</v>
      </c>
      <c r="L6370" s="137"/>
      <c r="M6370" s="137"/>
      <c r="N6370" s="12"/>
      <c r="O6370" s="12"/>
      <c r="P6370" s="13">
        <f>IFERROR(__xludf.DUMMYFUNCTION("VALUE(SUBSTITUTE((INDEX(SPLIT(A6370,"",""),1)),""."","","",1))"),52.209448)</f>
        <v>52.209448</v>
      </c>
      <c r="Q6370" s="13">
        <f>IFERROR(__xludf.DUMMYFUNCTION("VALUE(SUBSTITUTE((INDEX(SPLIT(A6370,"",""),2)),""."","","",1))"),104.062325)</f>
        <v>104.062325</v>
      </c>
      <c r="R6370" s="14" t="b">
        <f t="shared" si="1"/>
        <v>0</v>
      </c>
      <c r="S6370" s="14" t="str">
        <f t="shared" si="2"/>
        <v>52.209448,104.062325</v>
      </c>
      <c r="T6370" s="12"/>
    </row>
    <row r="6371">
      <c r="A6371" s="139" t="s">
        <v>40935</v>
      </c>
      <c r="B6371" s="140" t="s">
        <v>40936</v>
      </c>
      <c r="C6371" s="140" t="s">
        <v>40937</v>
      </c>
      <c r="D6371" s="140" t="s">
        <v>33342</v>
      </c>
      <c r="E6371" s="141" t="s">
        <v>40938</v>
      </c>
      <c r="F6371" s="139" t="s">
        <v>18</v>
      </c>
      <c r="G6371" s="139" t="s">
        <v>33344</v>
      </c>
      <c r="H6371" s="139"/>
      <c r="I6371" s="140"/>
      <c r="J6371" s="140" t="s">
        <v>40939</v>
      </c>
      <c r="K6371" s="140" t="s">
        <v>40940</v>
      </c>
      <c r="L6371" s="140"/>
      <c r="M6371" s="154" t="s">
        <v>40941</v>
      </c>
      <c r="N6371" s="12"/>
      <c r="O6371" s="12"/>
      <c r="P6371" s="13">
        <f>IFERROR(__xludf.DUMMYFUNCTION("VALUE(SUBSTITUTE((INDEX(SPLIT(A6371,"",""),1)),""."","","",1))"),52.069175)</f>
        <v>52.069175</v>
      </c>
      <c r="Q6371" s="13">
        <f>IFERROR(__xludf.DUMMYFUNCTION("VALUE(SUBSTITUTE((INDEX(SPLIT(A6371,"",""),2)),""."","","",1))"),103.82181)</f>
        <v>103.82181</v>
      </c>
      <c r="R6371" s="14" t="b">
        <f t="shared" si="1"/>
        <v>0</v>
      </c>
      <c r="S6371" s="14" t="str">
        <f t="shared" si="2"/>
        <v>52.069175,103.82181</v>
      </c>
      <c r="T6371" s="12"/>
    </row>
    <row r="6372">
      <c r="A6372" s="136" t="s">
        <v>40942</v>
      </c>
      <c r="B6372" s="137" t="s">
        <v>40943</v>
      </c>
      <c r="C6372" s="137" t="s">
        <v>40944</v>
      </c>
      <c r="D6372" s="137" t="s">
        <v>33342</v>
      </c>
      <c r="E6372" s="138" t="s">
        <v>40945</v>
      </c>
      <c r="F6372" s="136" t="s">
        <v>18</v>
      </c>
      <c r="G6372" s="136" t="s">
        <v>33344</v>
      </c>
      <c r="H6372" s="136"/>
      <c r="I6372" s="137"/>
      <c r="J6372" s="137" t="s">
        <v>40946</v>
      </c>
      <c r="K6372" s="137" t="s">
        <v>40947</v>
      </c>
      <c r="L6372" s="137"/>
      <c r="M6372" s="137"/>
      <c r="N6372" s="12"/>
      <c r="O6372" s="12"/>
      <c r="P6372" s="13">
        <f>IFERROR(__xludf.DUMMYFUNCTION("VALUE(SUBSTITUTE((INDEX(SPLIT(A6372,"",""),1)),""."","","",1))"),52.277947)</f>
        <v>52.277947</v>
      </c>
      <c r="Q6372" s="13">
        <f>IFERROR(__xludf.DUMMYFUNCTION("VALUE(SUBSTITUTE((INDEX(SPLIT(A6372,"",""),2)),""."","","",1))"),104.204429)</f>
        <v>104.204429</v>
      </c>
      <c r="R6372" s="14" t="b">
        <f t="shared" si="1"/>
        <v>0</v>
      </c>
      <c r="S6372" s="14" t="str">
        <f t="shared" si="2"/>
        <v>52.277947,104.204429</v>
      </c>
      <c r="T6372" s="12"/>
    </row>
    <row r="6373">
      <c r="A6373" s="139" t="s">
        <v>40948</v>
      </c>
      <c r="B6373" s="140" t="s">
        <v>40949</v>
      </c>
      <c r="C6373" s="140" t="s">
        <v>40950</v>
      </c>
      <c r="D6373" s="140" t="s">
        <v>33342</v>
      </c>
      <c r="E6373" s="141" t="s">
        <v>40951</v>
      </c>
      <c r="F6373" s="139" t="s">
        <v>18</v>
      </c>
      <c r="G6373" s="139" t="s">
        <v>33344</v>
      </c>
      <c r="H6373" s="139"/>
      <c r="I6373" s="140"/>
      <c r="J6373" s="140" t="s">
        <v>40952</v>
      </c>
      <c r="K6373" s="140" t="s">
        <v>40953</v>
      </c>
      <c r="L6373" s="140"/>
      <c r="M6373" s="154" t="s">
        <v>40954</v>
      </c>
      <c r="N6373" s="12"/>
      <c r="O6373" s="12"/>
      <c r="P6373" s="13">
        <f>IFERROR(__xludf.DUMMYFUNCTION("VALUE(SUBSTITUTE((INDEX(SPLIT(A6373,"",""),1)),""."","","",1))"),52.279319)</f>
        <v>52.279319</v>
      </c>
      <c r="Q6373" s="13">
        <f>IFERROR(__xludf.DUMMYFUNCTION("VALUE(SUBSTITUTE((INDEX(SPLIT(A6373,"",""),2)),""."","","",1))"),104.332304)</f>
        <v>104.332304</v>
      </c>
      <c r="R6373" s="14" t="b">
        <f t="shared" si="1"/>
        <v>0</v>
      </c>
      <c r="S6373" s="14" t="str">
        <f t="shared" si="2"/>
        <v>52.279319,104.332304</v>
      </c>
      <c r="T6373" s="12"/>
    </row>
    <row r="6374">
      <c r="A6374" s="136" t="s">
        <v>40955</v>
      </c>
      <c r="B6374" s="137" t="s">
        <v>40956</v>
      </c>
      <c r="C6374" s="137" t="s">
        <v>40957</v>
      </c>
      <c r="D6374" s="137" t="s">
        <v>33342</v>
      </c>
      <c r="E6374" s="138" t="s">
        <v>40958</v>
      </c>
      <c r="F6374" s="136" t="s">
        <v>18</v>
      </c>
      <c r="G6374" s="136" t="s">
        <v>33344</v>
      </c>
      <c r="H6374" s="136"/>
      <c r="I6374" s="137"/>
      <c r="J6374" s="137" t="s">
        <v>40959</v>
      </c>
      <c r="K6374" s="137" t="s">
        <v>40960</v>
      </c>
      <c r="L6374" s="137"/>
      <c r="M6374" s="137"/>
      <c r="N6374" s="12"/>
      <c r="O6374" s="12"/>
      <c r="P6374" s="13">
        <f>IFERROR(__xludf.DUMMYFUNCTION("VALUE(SUBSTITUTE((INDEX(SPLIT(A6374,"",""),1)),""."","","",1))"),52.275076)</f>
        <v>52.275076</v>
      </c>
      <c r="Q6374" s="13">
        <f>IFERROR(__xludf.DUMMYFUNCTION("VALUE(SUBSTITUTE((INDEX(SPLIT(A6374,"",""),2)),""."","","",1))"),104.217904)</f>
        <v>104.217904</v>
      </c>
      <c r="R6374" s="14" t="b">
        <f t="shared" si="1"/>
        <v>0</v>
      </c>
      <c r="S6374" s="14" t="str">
        <f t="shared" si="2"/>
        <v>52.275076,104.217904</v>
      </c>
      <c r="T6374" s="12"/>
    </row>
    <row r="6375">
      <c r="A6375" s="139" t="s">
        <v>40961</v>
      </c>
      <c r="B6375" s="140" t="s">
        <v>40962</v>
      </c>
      <c r="C6375" s="140" t="s">
        <v>40963</v>
      </c>
      <c r="D6375" s="140" t="s">
        <v>33342</v>
      </c>
      <c r="E6375" s="141" t="s">
        <v>40964</v>
      </c>
      <c r="F6375" s="139" t="s">
        <v>18</v>
      </c>
      <c r="G6375" s="139" t="s">
        <v>33344</v>
      </c>
      <c r="H6375" s="139"/>
      <c r="I6375" s="140"/>
      <c r="J6375" s="140" t="s">
        <v>40965</v>
      </c>
      <c r="K6375" s="140" t="s">
        <v>40966</v>
      </c>
      <c r="L6375" s="140"/>
      <c r="M6375" s="140"/>
      <c r="N6375" s="12"/>
      <c r="O6375" s="12"/>
      <c r="P6375" s="13">
        <f>IFERROR(__xludf.DUMMYFUNCTION("VALUE(SUBSTITUTE((INDEX(SPLIT(A6375,"",""),1)),""."","","",1))"),52.267217)</f>
        <v>52.267217</v>
      </c>
      <c r="Q6375" s="13">
        <f>IFERROR(__xludf.DUMMYFUNCTION("VALUE(SUBSTITUTE((INDEX(SPLIT(A6375,"",""),2)),""."","","",1))"),104.33985)</f>
        <v>104.33985</v>
      </c>
      <c r="R6375" s="14" t="b">
        <f t="shared" si="1"/>
        <v>0</v>
      </c>
      <c r="S6375" s="14" t="str">
        <f t="shared" si="2"/>
        <v>52.267217,104.33985</v>
      </c>
      <c r="T6375" s="12"/>
    </row>
    <row r="6376">
      <c r="A6376" s="136" t="s">
        <v>40967</v>
      </c>
      <c r="B6376" s="137" t="s">
        <v>40968</v>
      </c>
      <c r="C6376" s="137" t="s">
        <v>40969</v>
      </c>
      <c r="D6376" s="137" t="s">
        <v>33342</v>
      </c>
      <c r="E6376" s="138" t="s">
        <v>40970</v>
      </c>
      <c r="F6376" s="136" t="s">
        <v>18</v>
      </c>
      <c r="G6376" s="136" t="s">
        <v>33344</v>
      </c>
      <c r="H6376" s="136"/>
      <c r="I6376" s="137"/>
      <c r="J6376" s="137" t="s">
        <v>40971</v>
      </c>
      <c r="K6376" s="137" t="s">
        <v>40972</v>
      </c>
      <c r="L6376" s="137"/>
      <c r="M6376" s="153" t="s">
        <v>40973</v>
      </c>
      <c r="N6376" s="12"/>
      <c r="O6376" s="12"/>
      <c r="P6376" s="13">
        <f>IFERROR(__xludf.DUMMYFUNCTION("VALUE(SUBSTITUTE((INDEX(SPLIT(A6376,"",""),1)),""."","","",1))"),52.258845)</f>
        <v>52.258845</v>
      </c>
      <c r="Q6376" s="13">
        <f>IFERROR(__xludf.DUMMYFUNCTION("VALUE(SUBSTITUTE((INDEX(SPLIT(A6376,"",""),2)),""."","","",1))"),104.35593)</f>
        <v>104.35593</v>
      </c>
      <c r="R6376" s="14" t="b">
        <f t="shared" si="1"/>
        <v>0</v>
      </c>
      <c r="S6376" s="14" t="str">
        <f t="shared" si="2"/>
        <v>52.258845,104.35593</v>
      </c>
      <c r="T6376" s="12"/>
    </row>
    <row r="6377">
      <c r="A6377" s="139" t="s">
        <v>40974</v>
      </c>
      <c r="B6377" s="140" t="s">
        <v>40975</v>
      </c>
      <c r="C6377" s="140" t="s">
        <v>40976</v>
      </c>
      <c r="D6377" s="140" t="s">
        <v>33342</v>
      </c>
      <c r="E6377" s="141" t="s">
        <v>40977</v>
      </c>
      <c r="F6377" s="139" t="s">
        <v>18</v>
      </c>
      <c r="G6377" s="139" t="s">
        <v>33344</v>
      </c>
      <c r="H6377" s="139"/>
      <c r="I6377" s="140"/>
      <c r="J6377" s="140" t="s">
        <v>40978</v>
      </c>
      <c r="K6377" s="140" t="s">
        <v>40979</v>
      </c>
      <c r="L6377" s="140"/>
      <c r="M6377" s="154" t="s">
        <v>40980</v>
      </c>
      <c r="N6377" s="12"/>
      <c r="O6377" s="12"/>
      <c r="P6377" s="13">
        <f>IFERROR(__xludf.DUMMYFUNCTION("VALUE(SUBSTITUTE((INDEX(SPLIT(A6377,"",""),1)),""."","","",1))"),52.252169)</f>
        <v>52.252169</v>
      </c>
      <c r="Q6377" s="13">
        <f>IFERROR(__xludf.DUMMYFUNCTION("VALUE(SUBSTITUTE((INDEX(SPLIT(A6377,"",""),2)),""."","","",1))"),104.326097)</f>
        <v>104.326097</v>
      </c>
      <c r="R6377" s="14" t="b">
        <f t="shared" si="1"/>
        <v>0</v>
      </c>
      <c r="S6377" s="14" t="str">
        <f t="shared" si="2"/>
        <v>52.252169,104.326097</v>
      </c>
      <c r="T6377" s="12"/>
    </row>
    <row r="6378">
      <c r="A6378" s="136" t="s">
        <v>40981</v>
      </c>
      <c r="B6378" s="137" t="s">
        <v>40982</v>
      </c>
      <c r="C6378" s="137" t="s">
        <v>40983</v>
      </c>
      <c r="D6378" s="137" t="s">
        <v>33342</v>
      </c>
      <c r="E6378" s="138" t="s">
        <v>40984</v>
      </c>
      <c r="F6378" s="136" t="s">
        <v>18</v>
      </c>
      <c r="G6378" s="136" t="s">
        <v>33344</v>
      </c>
      <c r="H6378" s="136"/>
      <c r="I6378" s="156" t="s">
        <v>40985</v>
      </c>
      <c r="J6378" s="137" t="s">
        <v>40986</v>
      </c>
      <c r="K6378" s="137" t="s">
        <v>40987</v>
      </c>
      <c r="L6378" s="137"/>
      <c r="M6378" s="137"/>
      <c r="N6378" s="12"/>
      <c r="O6378" s="12"/>
      <c r="P6378" s="13">
        <f>IFERROR(__xludf.DUMMYFUNCTION("VALUE(SUBSTITUTE((INDEX(SPLIT(A6378,"",""),1)),""."","","",1))"),52.237738)</f>
        <v>52.237738</v>
      </c>
      <c r="Q6378" s="13">
        <f>IFERROR(__xludf.DUMMYFUNCTION("VALUE(SUBSTITUTE((INDEX(SPLIT(A6378,"",""),2)),""."","","",1))"),104.2023)</f>
        <v>104.2023</v>
      </c>
      <c r="R6378" s="14" t="b">
        <f t="shared" si="1"/>
        <v>0</v>
      </c>
      <c r="S6378" s="14" t="str">
        <f t="shared" si="2"/>
        <v>52.237738,104.2023</v>
      </c>
      <c r="T6378" s="12"/>
    </row>
    <row r="6379">
      <c r="A6379" s="139" t="s">
        <v>40988</v>
      </c>
      <c r="B6379" s="140" t="s">
        <v>40989</v>
      </c>
      <c r="C6379" s="140" t="s">
        <v>40990</v>
      </c>
      <c r="D6379" s="140" t="s">
        <v>33342</v>
      </c>
      <c r="E6379" s="141" t="s">
        <v>40991</v>
      </c>
      <c r="F6379" s="139" t="s">
        <v>18</v>
      </c>
      <c r="G6379" s="139" t="s">
        <v>33344</v>
      </c>
      <c r="H6379" s="139"/>
      <c r="I6379" s="140"/>
      <c r="J6379" s="140" t="s">
        <v>40992</v>
      </c>
      <c r="K6379" s="140" t="s">
        <v>17249</v>
      </c>
      <c r="L6379" s="140"/>
      <c r="M6379" s="140"/>
      <c r="N6379" s="12"/>
      <c r="O6379" s="12"/>
      <c r="P6379" s="13">
        <f>IFERROR(__xludf.DUMMYFUNCTION("VALUE(SUBSTITUTE((INDEX(SPLIT(A6379,"",""),1)),""."","","",1))"),52.273108)</f>
        <v>52.273108</v>
      </c>
      <c r="Q6379" s="13">
        <f>IFERROR(__xludf.DUMMYFUNCTION("VALUE(SUBSTITUTE((INDEX(SPLIT(A6379,"",""),2)),""."","","",1))"),104.20336)</f>
        <v>104.20336</v>
      </c>
      <c r="R6379" s="14" t="b">
        <f t="shared" si="1"/>
        <v>0</v>
      </c>
      <c r="S6379" s="14" t="str">
        <f t="shared" si="2"/>
        <v>52.273108,104.20336</v>
      </c>
      <c r="T6379" s="12"/>
    </row>
    <row r="6380">
      <c r="A6380" s="136" t="s">
        <v>40993</v>
      </c>
      <c r="B6380" s="137" t="s">
        <v>40994</v>
      </c>
      <c r="C6380" s="137" t="s">
        <v>40995</v>
      </c>
      <c r="D6380" s="137" t="s">
        <v>33342</v>
      </c>
      <c r="E6380" s="138" t="s">
        <v>40996</v>
      </c>
      <c r="F6380" s="136" t="s">
        <v>18</v>
      </c>
      <c r="G6380" s="136" t="s">
        <v>33344</v>
      </c>
      <c r="H6380" s="136"/>
      <c r="I6380" s="137"/>
      <c r="J6380" s="137" t="s">
        <v>40997</v>
      </c>
      <c r="K6380" s="137" t="s">
        <v>40998</v>
      </c>
      <c r="L6380" s="137"/>
      <c r="M6380" s="137"/>
      <c r="N6380" s="12"/>
      <c r="O6380" s="12"/>
      <c r="P6380" s="13">
        <f>IFERROR(__xludf.DUMMYFUNCTION("VALUE(SUBSTITUTE((INDEX(SPLIT(A6380,"",""),1)),""."","","",1))"),52.234616)</f>
        <v>52.234616</v>
      </c>
      <c r="Q6380" s="13">
        <f>IFERROR(__xludf.DUMMYFUNCTION("VALUE(SUBSTITUTE((INDEX(SPLIT(A6380,"",""),2)),""."","","",1))"),104.295168)</f>
        <v>104.295168</v>
      </c>
      <c r="R6380" s="14" t="b">
        <f t="shared" si="1"/>
        <v>0</v>
      </c>
      <c r="S6380" s="14" t="str">
        <f t="shared" si="2"/>
        <v>52.234616,104.295168</v>
      </c>
      <c r="T6380" s="12"/>
    </row>
    <row r="6381">
      <c r="A6381" s="139" t="s">
        <v>40999</v>
      </c>
      <c r="B6381" s="140" t="s">
        <v>41000</v>
      </c>
      <c r="C6381" s="140" t="s">
        <v>41001</v>
      </c>
      <c r="D6381" s="140" t="s">
        <v>33342</v>
      </c>
      <c r="E6381" s="141" t="s">
        <v>41002</v>
      </c>
      <c r="F6381" s="139" t="s">
        <v>18</v>
      </c>
      <c r="G6381" s="139" t="s">
        <v>33344</v>
      </c>
      <c r="H6381" s="139"/>
      <c r="I6381" s="140"/>
      <c r="J6381" s="140" t="s">
        <v>41003</v>
      </c>
      <c r="K6381" s="140" t="s">
        <v>41004</v>
      </c>
      <c r="L6381" s="140"/>
      <c r="M6381" s="140"/>
      <c r="N6381" s="12"/>
      <c r="O6381" s="12"/>
      <c r="P6381" s="13">
        <f>IFERROR(__xludf.DUMMYFUNCTION("VALUE(SUBSTITUTE((INDEX(SPLIT(A6381,"",""),1)),""."","","",1))"),52.230761)</f>
        <v>52.230761</v>
      </c>
      <c r="Q6381" s="13">
        <f>IFERROR(__xludf.DUMMYFUNCTION("VALUE(SUBSTITUTE((INDEX(SPLIT(A6381,"",""),2)),""."","","",1))"),104.276681)</f>
        <v>104.276681</v>
      </c>
      <c r="R6381" s="14" t="b">
        <f t="shared" si="1"/>
        <v>0</v>
      </c>
      <c r="S6381" s="14" t="str">
        <f t="shared" si="2"/>
        <v>52.230761,104.276681</v>
      </c>
      <c r="T6381" s="12"/>
    </row>
    <row r="6382">
      <c r="A6382" s="136" t="s">
        <v>41005</v>
      </c>
      <c r="B6382" s="137" t="s">
        <v>41006</v>
      </c>
      <c r="C6382" s="137" t="s">
        <v>35377</v>
      </c>
      <c r="D6382" s="137" t="s">
        <v>33342</v>
      </c>
      <c r="E6382" s="138" t="s">
        <v>41007</v>
      </c>
      <c r="F6382" s="136" t="s">
        <v>18</v>
      </c>
      <c r="G6382" s="136" t="s">
        <v>33344</v>
      </c>
      <c r="H6382" s="136"/>
      <c r="I6382" s="137"/>
      <c r="J6382" s="137" t="s">
        <v>41008</v>
      </c>
      <c r="K6382" s="137" t="s">
        <v>41009</v>
      </c>
      <c r="L6382" s="137"/>
      <c r="M6382" s="137"/>
      <c r="N6382" s="12"/>
      <c r="O6382" s="12"/>
      <c r="P6382" s="13">
        <f>IFERROR(__xludf.DUMMYFUNCTION("VALUE(SUBSTITUTE((INDEX(SPLIT(A6382,"",""),1)),""."","","",1))"),54.11081)</f>
        <v>54.11081</v>
      </c>
      <c r="Q6382" s="13">
        <f>IFERROR(__xludf.DUMMYFUNCTION("VALUE(SUBSTITUTE((INDEX(SPLIT(A6382,"",""),2)),""."","","",1))"),102.180139)</f>
        <v>102.180139</v>
      </c>
      <c r="R6382" s="14" t="b">
        <f t="shared" si="1"/>
        <v>0</v>
      </c>
      <c r="S6382" s="14" t="str">
        <f t="shared" si="2"/>
        <v>54.11081,102.180139</v>
      </c>
      <c r="T6382" s="12"/>
    </row>
    <row r="6383">
      <c r="A6383" s="146" t="s">
        <v>41010</v>
      </c>
      <c r="B6383" s="147" t="s">
        <v>26134</v>
      </c>
      <c r="C6383" s="147" t="s">
        <v>41011</v>
      </c>
      <c r="D6383" s="147" t="s">
        <v>33342</v>
      </c>
      <c r="E6383" s="148" t="s">
        <v>41012</v>
      </c>
      <c r="F6383" s="146" t="s">
        <v>18</v>
      </c>
      <c r="G6383" s="146" t="s">
        <v>33344</v>
      </c>
      <c r="H6383" s="146"/>
      <c r="I6383" s="147"/>
      <c r="J6383" s="147" t="s">
        <v>41013</v>
      </c>
      <c r="K6383" s="147" t="s">
        <v>41014</v>
      </c>
      <c r="L6383" s="149" t="s">
        <v>41015</v>
      </c>
      <c r="M6383" s="147"/>
      <c r="N6383" s="12"/>
      <c r="O6383" s="12"/>
      <c r="P6383" s="13">
        <f>IFERROR(__xludf.DUMMYFUNCTION("VALUE(SUBSTITUTE((INDEX(SPLIT(A6383,"",""),1)),""."","","",1))"),54.91883)</f>
        <v>54.91883</v>
      </c>
      <c r="Q6383" s="13">
        <f>IFERROR(__xludf.DUMMYFUNCTION("VALUE(SUBSTITUTE((INDEX(SPLIT(A6383,"",""),2)),""."","","",1))"),99.056274)</f>
        <v>99.056274</v>
      </c>
      <c r="R6383" s="14" t="b">
        <f t="shared" si="1"/>
        <v>0</v>
      </c>
      <c r="S6383" s="14" t="str">
        <f t="shared" si="2"/>
        <v>54.91883,99.056274</v>
      </c>
      <c r="T6383" s="12"/>
    </row>
    <row r="6384">
      <c r="A6384" s="136" t="s">
        <v>41016</v>
      </c>
      <c r="B6384" s="137" t="s">
        <v>41017</v>
      </c>
      <c r="C6384" s="137" t="s">
        <v>41018</v>
      </c>
      <c r="D6384" s="137" t="s">
        <v>33342</v>
      </c>
      <c r="E6384" s="138" t="s">
        <v>41019</v>
      </c>
      <c r="F6384" s="136" t="s">
        <v>18</v>
      </c>
      <c r="G6384" s="136" t="s">
        <v>33344</v>
      </c>
      <c r="H6384" s="136"/>
      <c r="I6384" s="137"/>
      <c r="J6384" s="137" t="s">
        <v>41020</v>
      </c>
      <c r="K6384" s="137" t="s">
        <v>41021</v>
      </c>
      <c r="L6384" s="137"/>
      <c r="M6384" s="137"/>
      <c r="N6384" s="12"/>
      <c r="O6384" s="12"/>
      <c r="P6384" s="13">
        <f>IFERROR(__xludf.DUMMYFUNCTION("VALUE(SUBSTITUTE((INDEX(SPLIT(A6384,"",""),1)),""."","","",1))"),55.926736)</f>
        <v>55.926736</v>
      </c>
      <c r="Q6384" s="13">
        <f>IFERROR(__xludf.DUMMYFUNCTION("VALUE(SUBSTITUTE((INDEX(SPLIT(A6384,"",""),2)),""."","","",1))"),98.007976)</f>
        <v>98.007976</v>
      </c>
      <c r="R6384" s="14" t="b">
        <f t="shared" si="1"/>
        <v>0</v>
      </c>
      <c r="S6384" s="14" t="str">
        <f t="shared" si="2"/>
        <v>55.926736,98.007976</v>
      </c>
      <c r="T6384" s="12"/>
    </row>
    <row r="6385">
      <c r="A6385" s="146" t="s">
        <v>41022</v>
      </c>
      <c r="B6385" s="147" t="s">
        <v>41023</v>
      </c>
      <c r="C6385" s="147" t="s">
        <v>41024</v>
      </c>
      <c r="D6385" s="147" t="s">
        <v>33342</v>
      </c>
      <c r="E6385" s="148" t="s">
        <v>41025</v>
      </c>
      <c r="F6385" s="146" t="s">
        <v>18</v>
      </c>
      <c r="G6385" s="146" t="s">
        <v>33344</v>
      </c>
      <c r="H6385" s="146"/>
      <c r="I6385" s="147"/>
      <c r="J6385" s="147" t="s">
        <v>41026</v>
      </c>
      <c r="K6385" s="147" t="s">
        <v>41027</v>
      </c>
      <c r="L6385" s="149" t="s">
        <v>41028</v>
      </c>
      <c r="M6385" s="147"/>
      <c r="N6385" s="12"/>
      <c r="O6385" s="12"/>
      <c r="P6385" s="13">
        <f>IFERROR(__xludf.DUMMYFUNCTION("VALUE(SUBSTITUTE((INDEX(SPLIT(A6385,"",""),1)),""."","","",1))"),56.800478)</f>
        <v>56.800478</v>
      </c>
      <c r="Q6385" s="13">
        <f>IFERROR(__xludf.DUMMYFUNCTION("VALUE(SUBSTITUTE((INDEX(SPLIT(A6385,"",""),2)),""."","","",1))"),105.810186)</f>
        <v>105.810186</v>
      </c>
      <c r="R6385" s="14" t="b">
        <f t="shared" si="1"/>
        <v>0</v>
      </c>
      <c r="S6385" s="14" t="str">
        <f t="shared" si="2"/>
        <v>56.800478,105.810186</v>
      </c>
      <c r="T6385" s="12"/>
    </row>
    <row r="6386">
      <c r="A6386" s="136" t="s">
        <v>41029</v>
      </c>
      <c r="B6386" s="137" t="s">
        <v>41030</v>
      </c>
      <c r="C6386" s="137" t="s">
        <v>41031</v>
      </c>
      <c r="D6386" s="137" t="s">
        <v>33342</v>
      </c>
      <c r="E6386" s="138" t="s">
        <v>41032</v>
      </c>
      <c r="F6386" s="136" t="s">
        <v>18</v>
      </c>
      <c r="G6386" s="136" t="s">
        <v>33344</v>
      </c>
      <c r="H6386" s="136"/>
      <c r="I6386" s="137"/>
      <c r="J6386" s="137" t="s">
        <v>41033</v>
      </c>
      <c r="K6386" s="137" t="s">
        <v>41034</v>
      </c>
      <c r="L6386" s="137"/>
      <c r="M6386" s="137"/>
      <c r="N6386" s="12"/>
      <c r="O6386" s="12"/>
      <c r="P6386" s="13">
        <f>IFERROR(__xludf.DUMMYFUNCTION("VALUE(SUBSTITUTE((INDEX(SPLIT(A6386,"",""),1)),""."","","",1))"),52.768729)</f>
        <v>52.768729</v>
      </c>
      <c r="Q6386" s="13">
        <f>IFERROR(__xludf.DUMMYFUNCTION("VALUE(SUBSTITUTE((INDEX(SPLIT(A6386,"",""),2)),""."","","",1))"),103.624737)</f>
        <v>103.624737</v>
      </c>
      <c r="R6386" s="14" t="b">
        <f t="shared" si="1"/>
        <v>0</v>
      </c>
      <c r="S6386" s="14" t="str">
        <f t="shared" si="2"/>
        <v>52.768729,103.624737</v>
      </c>
      <c r="T6386" s="12"/>
    </row>
    <row r="6387">
      <c r="A6387" s="139" t="s">
        <v>41035</v>
      </c>
      <c r="B6387" s="140" t="s">
        <v>41036</v>
      </c>
      <c r="C6387" s="140" t="s">
        <v>41037</v>
      </c>
      <c r="D6387" s="140" t="s">
        <v>33342</v>
      </c>
      <c r="E6387" s="141" t="s">
        <v>41038</v>
      </c>
      <c r="F6387" s="139" t="s">
        <v>18</v>
      </c>
      <c r="G6387" s="139" t="s">
        <v>33344</v>
      </c>
      <c r="H6387" s="139"/>
      <c r="I6387" s="140"/>
      <c r="J6387" s="140" t="s">
        <v>41039</v>
      </c>
      <c r="K6387" s="140" t="s">
        <v>41040</v>
      </c>
      <c r="L6387" s="140"/>
      <c r="M6387" s="140"/>
      <c r="N6387" s="12"/>
      <c r="O6387" s="12"/>
      <c r="P6387" s="13">
        <f>IFERROR(__xludf.DUMMYFUNCTION("VALUE(SUBSTITUTE((INDEX(SPLIT(A6387,"",""),1)),""."","","",1))"),52.180311)</f>
        <v>52.180311</v>
      </c>
      <c r="Q6387" s="13">
        <f>IFERROR(__xludf.DUMMYFUNCTION("VALUE(SUBSTITUTE((INDEX(SPLIT(A6387,"",""),2)),""."","","",1))"),104.494316)</f>
        <v>104.494316</v>
      </c>
      <c r="R6387" s="14" t="b">
        <f t="shared" si="1"/>
        <v>0</v>
      </c>
      <c r="S6387" s="14" t="str">
        <f t="shared" si="2"/>
        <v>52.180311,104.494316</v>
      </c>
      <c r="T6387" s="12"/>
    </row>
    <row r="6388">
      <c r="A6388" s="136" t="s">
        <v>41041</v>
      </c>
      <c r="B6388" s="137" t="s">
        <v>24730</v>
      </c>
      <c r="C6388" s="137" t="s">
        <v>41042</v>
      </c>
      <c r="D6388" s="137" t="s">
        <v>33342</v>
      </c>
      <c r="E6388" s="138" t="s">
        <v>41043</v>
      </c>
      <c r="F6388" s="136" t="s">
        <v>18</v>
      </c>
      <c r="G6388" s="136" t="s">
        <v>33344</v>
      </c>
      <c r="H6388" s="136"/>
      <c r="I6388" s="137"/>
      <c r="J6388" s="137" t="s">
        <v>41044</v>
      </c>
      <c r="K6388" s="137" t="s">
        <v>41045</v>
      </c>
      <c r="L6388" s="137"/>
      <c r="M6388" s="137"/>
      <c r="N6388" s="12"/>
      <c r="O6388" s="12"/>
      <c r="P6388" s="13">
        <f>IFERROR(__xludf.DUMMYFUNCTION("VALUE(SUBSTITUTE((INDEX(SPLIT(A6388,"",""),1)),""."","","",1))"),52.465291)</f>
        <v>52.465291</v>
      </c>
      <c r="Q6388" s="13">
        <f>IFERROR(__xludf.DUMMYFUNCTION("VALUE(SUBSTITUTE((INDEX(SPLIT(A6388,"",""),2)),""."","","",1))"),104.361976)</f>
        <v>104.361976</v>
      </c>
      <c r="R6388" s="14" t="b">
        <f t="shared" si="1"/>
        <v>0</v>
      </c>
      <c r="S6388" s="14" t="str">
        <f t="shared" si="2"/>
        <v>52.465291,104.361976</v>
      </c>
      <c r="T6388" s="12"/>
    </row>
    <row r="6389">
      <c r="A6389" s="146" t="s">
        <v>41046</v>
      </c>
      <c r="B6389" s="147" t="s">
        <v>41047</v>
      </c>
      <c r="C6389" s="147" t="s">
        <v>41048</v>
      </c>
      <c r="D6389" s="147" t="s">
        <v>33342</v>
      </c>
      <c r="E6389" s="148" t="s">
        <v>41049</v>
      </c>
      <c r="F6389" s="146" t="s">
        <v>18</v>
      </c>
      <c r="G6389" s="146" t="s">
        <v>33344</v>
      </c>
      <c r="H6389" s="146"/>
      <c r="I6389" s="147"/>
      <c r="J6389" s="147" t="s">
        <v>41050</v>
      </c>
      <c r="K6389" s="147" t="s">
        <v>40987</v>
      </c>
      <c r="L6389" s="150" t="s">
        <v>41051</v>
      </c>
      <c r="M6389" s="147"/>
      <c r="N6389" s="12"/>
      <c r="O6389" s="12"/>
      <c r="P6389" s="13">
        <f>IFERROR(__xludf.DUMMYFUNCTION("VALUE(SUBSTITUTE((INDEX(SPLIT(A6389,"",""),1)),""."","","",1))"),52.257274)</f>
        <v>52.257274</v>
      </c>
      <c r="Q6389" s="13">
        <f>IFERROR(__xludf.DUMMYFUNCTION("VALUE(SUBSTITUTE((INDEX(SPLIT(A6389,"",""),2)),""."","","",1))"),104.185565)</f>
        <v>104.185565</v>
      </c>
      <c r="R6389" s="14" t="b">
        <f t="shared" si="1"/>
        <v>0</v>
      </c>
      <c r="S6389" s="14" t="str">
        <f t="shared" si="2"/>
        <v>52.257274,104.185565</v>
      </c>
      <c r="T6389" s="12"/>
    </row>
    <row r="6390">
      <c r="A6390" s="136" t="s">
        <v>41052</v>
      </c>
      <c r="B6390" s="137" t="s">
        <v>2623</v>
      </c>
      <c r="C6390" s="137" t="s">
        <v>41053</v>
      </c>
      <c r="D6390" s="137" t="s">
        <v>33342</v>
      </c>
      <c r="E6390" s="138" t="s">
        <v>41054</v>
      </c>
      <c r="F6390" s="136" t="s">
        <v>18</v>
      </c>
      <c r="G6390" s="136" t="s">
        <v>33344</v>
      </c>
      <c r="H6390" s="136"/>
      <c r="I6390" s="137"/>
      <c r="J6390" s="137" t="s">
        <v>41055</v>
      </c>
      <c r="K6390" s="137" t="s">
        <v>41056</v>
      </c>
      <c r="L6390" s="137"/>
      <c r="M6390" s="137"/>
      <c r="N6390" s="12"/>
      <c r="O6390" s="12"/>
      <c r="P6390" s="13">
        <f>IFERROR(__xludf.DUMMYFUNCTION("VALUE(SUBSTITUTE((INDEX(SPLIT(A6390,"",""),1)),""."","","",1))"),52.478292)</f>
        <v>52.478292</v>
      </c>
      <c r="Q6390" s="13">
        <f>IFERROR(__xludf.DUMMYFUNCTION("VALUE(SUBSTITUTE((INDEX(SPLIT(A6390,"",""),2)),""."","","",1))"),104.40558)</f>
        <v>104.40558</v>
      </c>
      <c r="R6390" s="14" t="b">
        <f t="shared" si="1"/>
        <v>0</v>
      </c>
      <c r="S6390" s="14" t="str">
        <f t="shared" si="2"/>
        <v>52.478292,104.40558</v>
      </c>
      <c r="T6390" s="12"/>
    </row>
    <row r="6391">
      <c r="A6391" s="146" t="s">
        <v>41057</v>
      </c>
      <c r="B6391" s="147" t="s">
        <v>41058</v>
      </c>
      <c r="C6391" s="147" t="s">
        <v>41059</v>
      </c>
      <c r="D6391" s="147" t="s">
        <v>33342</v>
      </c>
      <c r="E6391" s="148" t="s">
        <v>41060</v>
      </c>
      <c r="F6391" s="146" t="s">
        <v>18</v>
      </c>
      <c r="G6391" s="146" t="s">
        <v>33344</v>
      </c>
      <c r="H6391" s="146"/>
      <c r="I6391" s="147"/>
      <c r="J6391" s="147" t="s">
        <v>41061</v>
      </c>
      <c r="K6391" s="147" t="s">
        <v>41062</v>
      </c>
      <c r="L6391" s="149" t="s">
        <v>41063</v>
      </c>
      <c r="M6391" s="147"/>
      <c r="N6391" s="12"/>
      <c r="O6391" s="12"/>
      <c r="P6391" s="13">
        <f>IFERROR(__xludf.DUMMYFUNCTION("VALUE(SUBSTITUTE((INDEX(SPLIT(A6391,"",""),1)),""."","","",1))"),52.283864)</f>
        <v>52.283864</v>
      </c>
      <c r="Q6391" s="13">
        <f>IFERROR(__xludf.DUMMYFUNCTION("VALUE(SUBSTITUTE((INDEX(SPLIT(A6391,"",""),2)),""."","","",1))"),104.285969)</f>
        <v>104.285969</v>
      </c>
      <c r="R6391" s="14" t="b">
        <f t="shared" si="1"/>
        <v>0</v>
      </c>
      <c r="S6391" s="14" t="str">
        <f t="shared" si="2"/>
        <v>52.283864,104.285969</v>
      </c>
      <c r="T6391" s="12"/>
    </row>
    <row r="6392">
      <c r="A6392" s="136" t="s">
        <v>41064</v>
      </c>
      <c r="B6392" s="137" t="s">
        <v>41065</v>
      </c>
      <c r="C6392" s="137" t="s">
        <v>41066</v>
      </c>
      <c r="D6392" s="137" t="s">
        <v>33342</v>
      </c>
      <c r="E6392" s="138" t="s">
        <v>41067</v>
      </c>
      <c r="F6392" s="136" t="s">
        <v>18</v>
      </c>
      <c r="G6392" s="136" t="s">
        <v>33344</v>
      </c>
      <c r="H6392" s="136"/>
      <c r="I6392" s="137"/>
      <c r="J6392" s="137" t="s">
        <v>41068</v>
      </c>
      <c r="K6392" s="137" t="s">
        <v>41069</v>
      </c>
      <c r="L6392" s="137"/>
      <c r="M6392" s="137"/>
      <c r="N6392" s="12"/>
      <c r="O6392" s="12"/>
      <c r="P6392" s="13">
        <f>IFERROR(__xludf.DUMMYFUNCTION("VALUE(SUBSTITUTE((INDEX(SPLIT(A6392,"",""),1)),""."","","",1))"),52.292336)</f>
        <v>52.292336</v>
      </c>
      <c r="Q6392" s="13">
        <f>IFERROR(__xludf.DUMMYFUNCTION("VALUE(SUBSTITUTE((INDEX(SPLIT(A6392,"",""),2)),""."","","",1))"),104.368309)</f>
        <v>104.368309</v>
      </c>
      <c r="R6392" s="14" t="b">
        <f t="shared" si="1"/>
        <v>0</v>
      </c>
      <c r="S6392" s="14" t="str">
        <f t="shared" si="2"/>
        <v>52.292336,104.368309</v>
      </c>
      <c r="T6392" s="12"/>
    </row>
    <row r="6393">
      <c r="A6393" s="139" t="s">
        <v>41070</v>
      </c>
      <c r="B6393" s="140" t="s">
        <v>41071</v>
      </c>
      <c r="C6393" s="140" t="s">
        <v>41072</v>
      </c>
      <c r="D6393" s="140" t="s">
        <v>33342</v>
      </c>
      <c r="E6393" s="141" t="s">
        <v>41073</v>
      </c>
      <c r="F6393" s="139" t="s">
        <v>18</v>
      </c>
      <c r="G6393" s="139" t="s">
        <v>33344</v>
      </c>
      <c r="H6393" s="139"/>
      <c r="I6393" s="140"/>
      <c r="J6393" s="140" t="s">
        <v>41074</v>
      </c>
      <c r="K6393" s="140" t="s">
        <v>41075</v>
      </c>
      <c r="L6393" s="140"/>
      <c r="M6393" s="154" t="s">
        <v>41076</v>
      </c>
      <c r="N6393" s="12"/>
      <c r="O6393" s="12"/>
      <c r="P6393" s="13">
        <f>IFERROR(__xludf.DUMMYFUNCTION("VALUE(SUBSTITUTE((INDEX(SPLIT(A6393,"",""),1)),""."","","",1))"),52.291191)</f>
        <v>52.291191</v>
      </c>
      <c r="Q6393" s="13">
        <f>IFERROR(__xludf.DUMMYFUNCTION("VALUE(SUBSTITUTE((INDEX(SPLIT(A6393,"",""),2)),""."","","",1))"),104.369827)</f>
        <v>104.369827</v>
      </c>
      <c r="R6393" s="14" t="b">
        <f t="shared" si="1"/>
        <v>0</v>
      </c>
      <c r="S6393" s="14" t="str">
        <f t="shared" si="2"/>
        <v>52.291191,104.369827</v>
      </c>
      <c r="T6393" s="12"/>
    </row>
    <row r="6394">
      <c r="A6394" s="136" t="s">
        <v>41077</v>
      </c>
      <c r="B6394" s="137" t="s">
        <v>41078</v>
      </c>
      <c r="C6394" s="137" t="s">
        <v>41079</v>
      </c>
      <c r="D6394" s="137" t="s">
        <v>33342</v>
      </c>
      <c r="E6394" s="138" t="s">
        <v>41080</v>
      </c>
      <c r="F6394" s="136" t="s">
        <v>18</v>
      </c>
      <c r="G6394" s="136" t="s">
        <v>33344</v>
      </c>
      <c r="H6394" s="136"/>
      <c r="I6394" s="137"/>
      <c r="J6394" s="137" t="s">
        <v>41081</v>
      </c>
      <c r="K6394" s="137" t="s">
        <v>41082</v>
      </c>
      <c r="L6394" s="137"/>
      <c r="M6394" s="137"/>
      <c r="N6394" s="12"/>
      <c r="O6394" s="12"/>
      <c r="P6394" s="13">
        <f>IFERROR(__xludf.DUMMYFUNCTION("VALUE(SUBSTITUTE((INDEX(SPLIT(A6394,"",""),1)),""."","","",1))"),52.276079)</f>
        <v>52.276079</v>
      </c>
      <c r="Q6394" s="13">
        <f>IFERROR(__xludf.DUMMYFUNCTION("VALUE(SUBSTITUTE((INDEX(SPLIT(A6394,"",""),2)),""."","","",1))"),104.289958)</f>
        <v>104.289958</v>
      </c>
      <c r="R6394" s="14" t="b">
        <f t="shared" si="1"/>
        <v>0</v>
      </c>
      <c r="S6394" s="14" t="str">
        <f t="shared" si="2"/>
        <v>52.276079,104.289958</v>
      </c>
      <c r="T6394" s="12"/>
    </row>
    <row r="6395">
      <c r="A6395" s="139" t="s">
        <v>41083</v>
      </c>
      <c r="B6395" s="140" t="s">
        <v>41084</v>
      </c>
      <c r="C6395" s="140" t="s">
        <v>41085</v>
      </c>
      <c r="D6395" s="140" t="s">
        <v>33342</v>
      </c>
      <c r="E6395" s="141" t="s">
        <v>41086</v>
      </c>
      <c r="F6395" s="139" t="s">
        <v>18</v>
      </c>
      <c r="G6395" s="139" t="s">
        <v>33344</v>
      </c>
      <c r="H6395" s="139"/>
      <c r="I6395" s="140"/>
      <c r="J6395" s="140" t="s">
        <v>41087</v>
      </c>
      <c r="K6395" s="140" t="s">
        <v>41088</v>
      </c>
      <c r="L6395" s="140"/>
      <c r="M6395" s="154" t="s">
        <v>41089</v>
      </c>
      <c r="N6395" s="12"/>
      <c r="O6395" s="12"/>
      <c r="P6395" s="13">
        <f>IFERROR(__xludf.DUMMYFUNCTION("VALUE(SUBSTITUTE((INDEX(SPLIT(A6395,"",""),1)),""."","","",1))"),52.763705)</f>
        <v>52.763705</v>
      </c>
      <c r="Q6395" s="13">
        <f>IFERROR(__xludf.DUMMYFUNCTION("VALUE(SUBSTITUTE((INDEX(SPLIT(A6395,"",""),2)),""."","","",1))"),103.646315)</f>
        <v>103.646315</v>
      </c>
      <c r="R6395" s="14" t="b">
        <f t="shared" si="1"/>
        <v>0</v>
      </c>
      <c r="S6395" s="14" t="str">
        <f t="shared" si="2"/>
        <v>52.763705,103.646315</v>
      </c>
      <c r="T6395" s="12"/>
    </row>
    <row r="6396">
      <c r="A6396" s="136" t="s">
        <v>41090</v>
      </c>
      <c r="B6396" s="137" t="s">
        <v>41091</v>
      </c>
      <c r="C6396" s="137" t="s">
        <v>41092</v>
      </c>
      <c r="D6396" s="137" t="s">
        <v>33342</v>
      </c>
      <c r="E6396" s="138" t="s">
        <v>41093</v>
      </c>
      <c r="F6396" s="136" t="s">
        <v>18</v>
      </c>
      <c r="G6396" s="136" t="s">
        <v>33344</v>
      </c>
      <c r="H6396" s="136"/>
      <c r="I6396" s="137"/>
      <c r="J6396" s="137" t="s">
        <v>41094</v>
      </c>
      <c r="K6396" s="137" t="s">
        <v>41095</v>
      </c>
      <c r="L6396" s="137"/>
      <c r="M6396" s="137"/>
      <c r="N6396" s="12"/>
      <c r="O6396" s="12"/>
      <c r="P6396" s="13">
        <f>IFERROR(__xludf.DUMMYFUNCTION("VALUE(SUBSTITUTE((INDEX(SPLIT(A6396,"",""),1)),""."","","",1))"),53.150744)</f>
        <v>53.150744</v>
      </c>
      <c r="Q6396" s="13">
        <f>IFERROR(__xludf.DUMMYFUNCTION("VALUE(SUBSTITUTE((INDEX(SPLIT(A6396,"",""),2)),""."","","",1))"),103.074016)</f>
        <v>103.074016</v>
      </c>
      <c r="R6396" s="14" t="b">
        <f t="shared" si="1"/>
        <v>0</v>
      </c>
      <c r="S6396" s="14" t="str">
        <f t="shared" si="2"/>
        <v>53.150744,103.074016</v>
      </c>
      <c r="T6396" s="12"/>
    </row>
    <row r="6397">
      <c r="A6397" s="139" t="s">
        <v>41096</v>
      </c>
      <c r="B6397" s="140" t="s">
        <v>41097</v>
      </c>
      <c r="C6397" s="140" t="s">
        <v>41098</v>
      </c>
      <c r="D6397" s="140" t="s">
        <v>33342</v>
      </c>
      <c r="E6397" s="141" t="s">
        <v>41099</v>
      </c>
      <c r="F6397" s="139" t="s">
        <v>2640</v>
      </c>
      <c r="G6397" s="139" t="s">
        <v>33344</v>
      </c>
      <c r="H6397" s="139"/>
      <c r="I6397" s="140"/>
      <c r="J6397" s="140" t="s">
        <v>41100</v>
      </c>
      <c r="K6397" s="140" t="s">
        <v>34248</v>
      </c>
      <c r="L6397" s="140"/>
      <c r="M6397" s="140"/>
      <c r="N6397" s="12"/>
      <c r="O6397" s="12"/>
      <c r="P6397" s="13">
        <f>IFERROR(__xludf.DUMMYFUNCTION("VALUE(SUBSTITUTE((INDEX(SPLIT(A6397,"",""),1)),""."","","",1))"),54.577137)</f>
        <v>54.577137</v>
      </c>
      <c r="Q6397" s="13">
        <f>IFERROR(__xludf.DUMMYFUNCTION("VALUE(SUBSTITUTE((INDEX(SPLIT(A6397,"",""),2)),""."","","",1))"),22.189744)</f>
        <v>22.189744</v>
      </c>
      <c r="R6397" s="14" t="b">
        <f t="shared" si="1"/>
        <v>0</v>
      </c>
      <c r="S6397" s="14" t="str">
        <f t="shared" si="2"/>
        <v>54.577137,22.189744</v>
      </c>
      <c r="T6397" s="12"/>
    </row>
    <row r="6398">
      <c r="A6398" s="142" t="s">
        <v>41101</v>
      </c>
      <c r="B6398" s="143" t="s">
        <v>41102</v>
      </c>
      <c r="C6398" s="143" t="s">
        <v>41103</v>
      </c>
      <c r="D6398" s="143" t="s">
        <v>33342</v>
      </c>
      <c r="E6398" s="144" t="s">
        <v>41104</v>
      </c>
      <c r="F6398" s="142" t="s">
        <v>2640</v>
      </c>
      <c r="G6398" s="142" t="s">
        <v>33344</v>
      </c>
      <c r="H6398" s="142"/>
      <c r="I6398" s="143"/>
      <c r="J6398" s="143" t="s">
        <v>41105</v>
      </c>
      <c r="K6398" s="143" t="s">
        <v>41106</v>
      </c>
      <c r="L6398" s="152" t="s">
        <v>41107</v>
      </c>
      <c r="M6398" s="143"/>
      <c r="N6398" s="12"/>
      <c r="O6398" s="12"/>
      <c r="P6398" s="13">
        <f>IFERROR(__xludf.DUMMYFUNCTION("VALUE(SUBSTITUTE((INDEX(SPLIT(A6398,"",""),1)),""."","","",1))"),54.596003)</f>
        <v>54.596003</v>
      </c>
      <c r="Q6398" s="13">
        <f>IFERROR(__xludf.DUMMYFUNCTION("VALUE(SUBSTITUTE((INDEX(SPLIT(A6398,"",""),2)),""."","","",1))"),22.188828)</f>
        <v>22.188828</v>
      </c>
      <c r="R6398" s="14" t="b">
        <f t="shared" si="1"/>
        <v>0</v>
      </c>
      <c r="S6398" s="14" t="str">
        <f t="shared" si="2"/>
        <v>54.596003,22.188828</v>
      </c>
      <c r="T6398" s="12"/>
    </row>
    <row r="6399">
      <c r="A6399" s="146" t="s">
        <v>41108</v>
      </c>
      <c r="B6399" s="147" t="s">
        <v>41109</v>
      </c>
      <c r="C6399" s="147" t="s">
        <v>41110</v>
      </c>
      <c r="D6399" s="147" t="s">
        <v>33342</v>
      </c>
      <c r="E6399" s="148" t="s">
        <v>41111</v>
      </c>
      <c r="F6399" s="146" t="s">
        <v>2640</v>
      </c>
      <c r="G6399" s="146" t="s">
        <v>33344</v>
      </c>
      <c r="H6399" s="146"/>
      <c r="I6399" s="147"/>
      <c r="J6399" s="147" t="s">
        <v>41112</v>
      </c>
      <c r="K6399" s="147" t="s">
        <v>41113</v>
      </c>
      <c r="L6399" s="149" t="s">
        <v>41114</v>
      </c>
      <c r="M6399" s="147"/>
      <c r="N6399" s="12"/>
      <c r="O6399" s="12"/>
      <c r="P6399" s="13">
        <f>IFERROR(__xludf.DUMMYFUNCTION("VALUE(SUBSTITUTE((INDEX(SPLIT(A6399,"",""),1)),""."","","",1))"),54.709325)</f>
        <v>54.709325</v>
      </c>
      <c r="Q6399" s="13">
        <f>IFERROR(__xludf.DUMMYFUNCTION("VALUE(SUBSTITUTE((INDEX(SPLIT(A6399,"",""),2)),""."","","",1))"),20.502618)</f>
        <v>20.502618</v>
      </c>
      <c r="R6399" s="14" t="b">
        <f t="shared" si="1"/>
        <v>0</v>
      </c>
      <c r="S6399" s="14" t="str">
        <f t="shared" si="2"/>
        <v>54.709325,20.502618</v>
      </c>
      <c r="T6399" s="12"/>
    </row>
    <row r="6400">
      <c r="A6400" s="136" t="s">
        <v>41115</v>
      </c>
      <c r="B6400" s="137" t="s">
        <v>41116</v>
      </c>
      <c r="C6400" s="137" t="s">
        <v>41117</v>
      </c>
      <c r="D6400" s="137" t="s">
        <v>33342</v>
      </c>
      <c r="E6400" s="138" t="s">
        <v>41118</v>
      </c>
      <c r="F6400" s="136" t="s">
        <v>2640</v>
      </c>
      <c r="G6400" s="136" t="s">
        <v>33344</v>
      </c>
      <c r="H6400" s="136"/>
      <c r="I6400" s="137"/>
      <c r="J6400" s="137" t="s">
        <v>41119</v>
      </c>
      <c r="K6400" s="137" t="s">
        <v>41120</v>
      </c>
      <c r="L6400" s="137"/>
      <c r="M6400" s="137"/>
      <c r="N6400" s="12"/>
      <c r="O6400" s="12"/>
      <c r="P6400" s="13">
        <f>IFERROR(__xludf.DUMMYFUNCTION("VALUE(SUBSTITUTE((INDEX(SPLIT(A6400,"",""),1)),""."","","",1))"),54.721864)</f>
        <v>54.721864</v>
      </c>
      <c r="Q6400" s="13">
        <f>IFERROR(__xludf.DUMMYFUNCTION("VALUE(SUBSTITUTE((INDEX(SPLIT(A6400,"",""),2)),""."","","",1))"),20.449483)</f>
        <v>20.449483</v>
      </c>
      <c r="R6400" s="14" t="b">
        <f t="shared" si="1"/>
        <v>0</v>
      </c>
      <c r="S6400" s="14" t="str">
        <f t="shared" si="2"/>
        <v>54.721864,20.449483</v>
      </c>
      <c r="T6400" s="12"/>
    </row>
    <row r="6401">
      <c r="A6401" s="139" t="s">
        <v>2992</v>
      </c>
      <c r="B6401" s="140" t="s">
        <v>41121</v>
      </c>
      <c r="C6401" s="140" t="s">
        <v>41121</v>
      </c>
      <c r="D6401" s="140" t="s">
        <v>33342</v>
      </c>
      <c r="E6401" s="141" t="s">
        <v>41122</v>
      </c>
      <c r="F6401" s="139" t="s">
        <v>2640</v>
      </c>
      <c r="G6401" s="139" t="s">
        <v>33344</v>
      </c>
      <c r="H6401" s="139"/>
      <c r="I6401" s="140"/>
      <c r="J6401" s="140" t="s">
        <v>41123</v>
      </c>
      <c r="K6401" s="140" t="s">
        <v>41124</v>
      </c>
      <c r="L6401" s="140"/>
      <c r="M6401" s="140"/>
      <c r="N6401" s="12"/>
      <c r="O6401" s="12"/>
      <c r="P6401" s="13">
        <f>IFERROR(__xludf.DUMMYFUNCTION("VALUE(SUBSTITUTE((INDEX(SPLIT(A6401,"",""),1)),""."","","",1))"),54.755155)</f>
        <v>54.755155</v>
      </c>
      <c r="Q6401" s="13">
        <f>IFERROR(__xludf.DUMMYFUNCTION("VALUE(SUBSTITUTE((INDEX(SPLIT(A6401,"",""),2)),""."","","",1))"),20.555628)</f>
        <v>20.555628</v>
      </c>
      <c r="R6401" s="14" t="b">
        <f t="shared" si="1"/>
        <v>0</v>
      </c>
      <c r="S6401" s="14" t="str">
        <f t="shared" si="2"/>
        <v>54.755155,20.555628</v>
      </c>
      <c r="T6401" s="12"/>
    </row>
    <row r="6402">
      <c r="A6402" s="142" t="s">
        <v>41125</v>
      </c>
      <c r="B6402" s="143" t="s">
        <v>41126</v>
      </c>
      <c r="C6402" s="143" t="s">
        <v>41127</v>
      </c>
      <c r="D6402" s="143" t="s">
        <v>33342</v>
      </c>
      <c r="E6402" s="144" t="s">
        <v>41128</v>
      </c>
      <c r="F6402" s="142" t="s">
        <v>2640</v>
      </c>
      <c r="G6402" s="142" t="s">
        <v>33344</v>
      </c>
      <c r="H6402" s="142"/>
      <c r="I6402" s="143"/>
      <c r="J6402" s="143" t="s">
        <v>41129</v>
      </c>
      <c r="K6402" s="143" t="s">
        <v>41130</v>
      </c>
      <c r="L6402" s="145" t="s">
        <v>41131</v>
      </c>
      <c r="M6402" s="145" t="s">
        <v>41132</v>
      </c>
      <c r="N6402" s="12"/>
      <c r="O6402" s="12"/>
      <c r="P6402" s="13">
        <f>IFERROR(__xludf.DUMMYFUNCTION("VALUE(SUBSTITUTE((INDEX(SPLIT(A6402,"",""),1)),""."","","",1))"),54.710537)</f>
        <v>54.710537</v>
      </c>
      <c r="Q6402" s="13">
        <f>IFERROR(__xludf.DUMMYFUNCTION("VALUE(SUBSTITUTE((INDEX(SPLIT(A6402,"",""),2)),""."","","",1))"),20.537841)</f>
        <v>20.537841</v>
      </c>
      <c r="R6402" s="14" t="b">
        <f t="shared" si="1"/>
        <v>0</v>
      </c>
      <c r="S6402" s="14" t="str">
        <f t="shared" si="2"/>
        <v>54.710537,20.537841</v>
      </c>
      <c r="T6402" s="12"/>
    </row>
    <row r="6403">
      <c r="A6403" s="146" t="s">
        <v>41133</v>
      </c>
      <c r="B6403" s="147" t="s">
        <v>41134</v>
      </c>
      <c r="C6403" s="147" t="s">
        <v>41135</v>
      </c>
      <c r="D6403" s="147" t="s">
        <v>33342</v>
      </c>
      <c r="E6403" s="148" t="s">
        <v>41136</v>
      </c>
      <c r="F6403" s="146" t="s">
        <v>2640</v>
      </c>
      <c r="G6403" s="146" t="s">
        <v>33344</v>
      </c>
      <c r="H6403" s="146"/>
      <c r="I6403" s="147"/>
      <c r="J6403" s="147" t="s">
        <v>41137</v>
      </c>
      <c r="K6403" s="147" t="s">
        <v>41138</v>
      </c>
      <c r="L6403" s="149" t="s">
        <v>41139</v>
      </c>
      <c r="M6403" s="149" t="s">
        <v>41140</v>
      </c>
      <c r="N6403" s="12"/>
      <c r="O6403" s="12"/>
      <c r="P6403" s="13">
        <f>IFERROR(__xludf.DUMMYFUNCTION("VALUE(SUBSTITUTE((INDEX(SPLIT(A6403,"",""),1)),""."","","",1))"),54.756677)</f>
        <v>54.756677</v>
      </c>
      <c r="Q6403" s="13">
        <f>IFERROR(__xludf.DUMMYFUNCTION("VALUE(SUBSTITUTE((INDEX(SPLIT(A6403,"",""),2)),""."","","",1))"),20.559805)</f>
        <v>20.559805</v>
      </c>
      <c r="R6403" s="14" t="b">
        <f t="shared" si="1"/>
        <v>0</v>
      </c>
      <c r="S6403" s="14" t="str">
        <f t="shared" si="2"/>
        <v>54.756677,20.559805</v>
      </c>
      <c r="T6403" s="12"/>
    </row>
    <row r="6404">
      <c r="A6404" s="142" t="s">
        <v>41141</v>
      </c>
      <c r="B6404" s="143" t="s">
        <v>41142</v>
      </c>
      <c r="C6404" s="143" t="s">
        <v>41143</v>
      </c>
      <c r="D6404" s="143" t="s">
        <v>33342</v>
      </c>
      <c r="E6404" s="144" t="s">
        <v>41144</v>
      </c>
      <c r="F6404" s="142" t="s">
        <v>2640</v>
      </c>
      <c r="G6404" s="142" t="s">
        <v>33344</v>
      </c>
      <c r="H6404" s="142"/>
      <c r="I6404" s="143"/>
      <c r="J6404" s="143" t="s">
        <v>41145</v>
      </c>
      <c r="K6404" s="143" t="s">
        <v>41146</v>
      </c>
      <c r="L6404" s="145" t="s">
        <v>41147</v>
      </c>
      <c r="M6404" s="145" t="s">
        <v>41148</v>
      </c>
      <c r="N6404" s="12"/>
      <c r="O6404" s="12"/>
      <c r="P6404" s="13">
        <f>IFERROR(__xludf.DUMMYFUNCTION("VALUE(SUBSTITUTE((INDEX(SPLIT(A6404,"",""),1)),""."","","",1))"),54.682336)</f>
        <v>54.682336</v>
      </c>
      <c r="Q6404" s="13">
        <f>IFERROR(__xludf.DUMMYFUNCTION("VALUE(SUBSTITUTE((INDEX(SPLIT(A6404,"",""),2)),""."","","",1))"),20.466578)</f>
        <v>20.466578</v>
      </c>
      <c r="R6404" s="14" t="b">
        <f t="shared" si="1"/>
        <v>0</v>
      </c>
      <c r="S6404" s="14" t="str">
        <f t="shared" si="2"/>
        <v>54.682336,20.466578</v>
      </c>
      <c r="T6404" s="12"/>
    </row>
    <row r="6405">
      <c r="A6405" s="146" t="s">
        <v>41149</v>
      </c>
      <c r="B6405" s="147" t="s">
        <v>41150</v>
      </c>
      <c r="C6405" s="147" t="s">
        <v>41151</v>
      </c>
      <c r="D6405" s="147" t="s">
        <v>33342</v>
      </c>
      <c r="E6405" s="148" t="s">
        <v>41152</v>
      </c>
      <c r="F6405" s="146" t="s">
        <v>2640</v>
      </c>
      <c r="G6405" s="146" t="s">
        <v>33344</v>
      </c>
      <c r="H6405" s="146"/>
      <c r="I6405" s="147"/>
      <c r="J6405" s="147" t="s">
        <v>41153</v>
      </c>
      <c r="K6405" s="147" t="s">
        <v>41154</v>
      </c>
      <c r="L6405" s="149" t="s">
        <v>41155</v>
      </c>
      <c r="M6405" s="149" t="s">
        <v>41156</v>
      </c>
      <c r="N6405" s="12"/>
      <c r="O6405" s="12"/>
      <c r="P6405" s="13">
        <f>IFERROR(__xludf.DUMMYFUNCTION("VALUE(SUBSTITUTE((INDEX(SPLIT(A6405,"",""),1)),""."","","",1))"),54.673268)</f>
        <v>54.673268</v>
      </c>
      <c r="Q6405" s="13">
        <f>IFERROR(__xludf.DUMMYFUNCTION("VALUE(SUBSTITUTE((INDEX(SPLIT(A6405,"",""),2)),""."","","",1))"),20.131093)</f>
        <v>20.131093</v>
      </c>
      <c r="R6405" s="14" t="b">
        <f t="shared" si="1"/>
        <v>0</v>
      </c>
      <c r="S6405" s="14" t="str">
        <f t="shared" si="2"/>
        <v>54.673268,20.131093</v>
      </c>
      <c r="T6405" s="12"/>
    </row>
    <row r="6406">
      <c r="A6406" s="142" t="s">
        <v>2764</v>
      </c>
      <c r="B6406" s="143" t="s">
        <v>41157</v>
      </c>
      <c r="C6406" s="143" t="s">
        <v>41158</v>
      </c>
      <c r="D6406" s="143" t="s">
        <v>33342</v>
      </c>
      <c r="E6406" s="144" t="s">
        <v>41159</v>
      </c>
      <c r="F6406" s="142" t="s">
        <v>2640</v>
      </c>
      <c r="G6406" s="142" t="s">
        <v>33344</v>
      </c>
      <c r="H6406" s="142"/>
      <c r="I6406" s="143"/>
      <c r="J6406" s="143" t="s">
        <v>41160</v>
      </c>
      <c r="K6406" s="143" t="s">
        <v>41161</v>
      </c>
      <c r="L6406" s="145" t="s">
        <v>41162</v>
      </c>
      <c r="M6406" s="143"/>
      <c r="N6406" s="12"/>
      <c r="O6406" s="12"/>
      <c r="P6406" s="13">
        <f>IFERROR(__xludf.DUMMYFUNCTION("VALUE(SUBSTITUTE((INDEX(SPLIT(A6406,"",""),1)),""."","","",1))"),54.670587)</f>
        <v>54.670587</v>
      </c>
      <c r="Q6406" s="13">
        <f>IFERROR(__xludf.DUMMYFUNCTION("VALUE(SUBSTITUTE((INDEX(SPLIT(A6406,"",""),2)),""."","","",1))"),20.466389)</f>
        <v>20.466389</v>
      </c>
      <c r="R6406" s="14" t="b">
        <f t="shared" si="1"/>
        <v>0</v>
      </c>
      <c r="S6406" s="14" t="str">
        <f t="shared" si="2"/>
        <v>54.670587,20.466389</v>
      </c>
      <c r="T6406" s="12"/>
    </row>
    <row r="6407">
      <c r="A6407" s="139" t="s">
        <v>41163</v>
      </c>
      <c r="B6407" s="140" t="s">
        <v>41164</v>
      </c>
      <c r="C6407" s="140" t="s">
        <v>41165</v>
      </c>
      <c r="D6407" s="140" t="s">
        <v>33342</v>
      </c>
      <c r="E6407" s="141" t="s">
        <v>41166</v>
      </c>
      <c r="F6407" s="139" t="s">
        <v>2640</v>
      </c>
      <c r="G6407" s="139" t="s">
        <v>33344</v>
      </c>
      <c r="H6407" s="139"/>
      <c r="I6407" s="140"/>
      <c r="J6407" s="140" t="s">
        <v>41167</v>
      </c>
      <c r="K6407" s="140" t="s">
        <v>41168</v>
      </c>
      <c r="L6407" s="140"/>
      <c r="M6407" s="140"/>
      <c r="N6407" s="12"/>
      <c r="O6407" s="12"/>
      <c r="P6407" s="13">
        <f>IFERROR(__xludf.DUMMYFUNCTION("VALUE(SUBSTITUTE((INDEX(SPLIT(A6407,"",""),1)),""."","","",1))"),54.688659)</f>
        <v>54.688659</v>
      </c>
      <c r="Q6407" s="13">
        <f>IFERROR(__xludf.DUMMYFUNCTION("VALUE(SUBSTITUTE((INDEX(SPLIT(A6407,"",""),2)),""."","","",1))"),20.507864)</f>
        <v>20.507864</v>
      </c>
      <c r="R6407" s="14" t="b">
        <f t="shared" si="1"/>
        <v>0</v>
      </c>
      <c r="S6407" s="14" t="str">
        <f t="shared" si="2"/>
        <v>54.688659,20.507864</v>
      </c>
      <c r="T6407" s="12"/>
    </row>
    <row r="6408">
      <c r="A6408" s="136" t="s">
        <v>41169</v>
      </c>
      <c r="B6408" s="137" t="s">
        <v>41170</v>
      </c>
      <c r="C6408" s="137" t="s">
        <v>41171</v>
      </c>
      <c r="D6408" s="137" t="s">
        <v>33342</v>
      </c>
      <c r="E6408" s="138" t="s">
        <v>41172</v>
      </c>
      <c r="F6408" s="136" t="s">
        <v>2640</v>
      </c>
      <c r="G6408" s="136" t="s">
        <v>33344</v>
      </c>
      <c r="H6408" s="136"/>
      <c r="I6408" s="137"/>
      <c r="J6408" s="137" t="s">
        <v>41173</v>
      </c>
      <c r="K6408" s="137" t="s">
        <v>41174</v>
      </c>
      <c r="L6408" s="137"/>
      <c r="M6408" s="137"/>
      <c r="N6408" s="12"/>
      <c r="O6408" s="12"/>
      <c r="P6408" s="13">
        <f>IFERROR(__xludf.DUMMYFUNCTION("VALUE(SUBSTITUTE((INDEX(SPLIT(A6408,"",""),1)),""."","","",1))"),54.703442)</f>
        <v>54.703442</v>
      </c>
      <c r="Q6408" s="13">
        <f>IFERROR(__xludf.DUMMYFUNCTION("VALUE(SUBSTITUTE((INDEX(SPLIT(A6408,"",""),2)),""."","","",1))"),20.447138)</f>
        <v>20.447138</v>
      </c>
      <c r="R6408" s="14" t="b">
        <f t="shared" si="1"/>
        <v>0</v>
      </c>
      <c r="S6408" s="14" t="str">
        <f t="shared" si="2"/>
        <v>54.703442,20.447138</v>
      </c>
      <c r="T6408" s="12"/>
    </row>
    <row r="6409">
      <c r="A6409" s="139" t="s">
        <v>2875</v>
      </c>
      <c r="B6409" s="140" t="s">
        <v>41175</v>
      </c>
      <c r="C6409" s="140" t="s">
        <v>41176</v>
      </c>
      <c r="D6409" s="140" t="s">
        <v>33342</v>
      </c>
      <c r="E6409" s="141" t="s">
        <v>41177</v>
      </c>
      <c r="F6409" s="139" t="s">
        <v>2640</v>
      </c>
      <c r="G6409" s="139" t="s">
        <v>33344</v>
      </c>
      <c r="H6409" s="139"/>
      <c r="I6409" s="140"/>
      <c r="J6409" s="140" t="s">
        <v>41178</v>
      </c>
      <c r="K6409" s="140" t="s">
        <v>41179</v>
      </c>
      <c r="L6409" s="140"/>
      <c r="M6409" s="154" t="s">
        <v>41180</v>
      </c>
      <c r="N6409" s="12"/>
      <c r="O6409" s="12"/>
      <c r="P6409" s="13">
        <f>IFERROR(__xludf.DUMMYFUNCTION("VALUE(SUBSTITUTE((INDEX(SPLIT(A6409,"",""),1)),""."","","",1))"),54.710162)</f>
        <v>54.710162</v>
      </c>
      <c r="Q6409" s="13">
        <f>IFERROR(__xludf.DUMMYFUNCTION("VALUE(SUBSTITUTE((INDEX(SPLIT(A6409,"",""),2)),""."","","",1))"),20.510137)</f>
        <v>20.510137</v>
      </c>
      <c r="R6409" s="14" t="b">
        <f t="shared" si="1"/>
        <v>0</v>
      </c>
      <c r="S6409" s="14" t="str">
        <f t="shared" si="2"/>
        <v>54.710162,20.510137</v>
      </c>
      <c r="T6409" s="12"/>
    </row>
    <row r="6410">
      <c r="A6410" s="136" t="s">
        <v>41181</v>
      </c>
      <c r="B6410" s="137" t="s">
        <v>2803</v>
      </c>
      <c r="C6410" s="137" t="s">
        <v>41182</v>
      </c>
      <c r="D6410" s="137" t="s">
        <v>33342</v>
      </c>
      <c r="E6410" s="138" t="s">
        <v>41183</v>
      </c>
      <c r="F6410" s="136" t="s">
        <v>2640</v>
      </c>
      <c r="G6410" s="136" t="s">
        <v>33344</v>
      </c>
      <c r="H6410" s="136"/>
      <c r="I6410" s="137"/>
      <c r="J6410" s="137" t="s">
        <v>41184</v>
      </c>
      <c r="K6410" s="137" t="s">
        <v>41185</v>
      </c>
      <c r="L6410" s="137"/>
      <c r="M6410" s="137"/>
      <c r="N6410" s="12"/>
      <c r="O6410" s="12"/>
      <c r="P6410" s="13">
        <f>IFERROR(__xludf.DUMMYFUNCTION("VALUE(SUBSTITUTE((INDEX(SPLIT(A6410,"",""),1)),""."","","",1))"),54.658256)</f>
        <v>54.658256</v>
      </c>
      <c r="Q6410" s="13">
        <f>IFERROR(__xludf.DUMMYFUNCTION("VALUE(SUBSTITUTE((INDEX(SPLIT(A6410,"",""),2)),""."","","",1))"),20.530942)</f>
        <v>20.530942</v>
      </c>
      <c r="R6410" s="14" t="b">
        <f t="shared" si="1"/>
        <v>0</v>
      </c>
      <c r="S6410" s="14" t="str">
        <f t="shared" si="2"/>
        <v>54.658256,20.530942</v>
      </c>
      <c r="T6410" s="12"/>
    </row>
    <row r="6411">
      <c r="A6411" s="146" t="s">
        <v>2684</v>
      </c>
      <c r="B6411" s="147" t="s">
        <v>41186</v>
      </c>
      <c r="C6411" s="147" t="s">
        <v>41187</v>
      </c>
      <c r="D6411" s="147" t="s">
        <v>33342</v>
      </c>
      <c r="E6411" s="148" t="s">
        <v>41188</v>
      </c>
      <c r="F6411" s="146" t="s">
        <v>2640</v>
      </c>
      <c r="G6411" s="146" t="s">
        <v>33344</v>
      </c>
      <c r="H6411" s="146"/>
      <c r="I6411" s="147"/>
      <c r="J6411" s="147" t="s">
        <v>41189</v>
      </c>
      <c r="K6411" s="147" t="s">
        <v>2689</v>
      </c>
      <c r="L6411" s="149" t="s">
        <v>41190</v>
      </c>
      <c r="M6411" s="147"/>
      <c r="N6411" s="12"/>
      <c r="O6411" s="12"/>
      <c r="P6411" s="13">
        <f>IFERROR(__xludf.DUMMYFUNCTION("VALUE(SUBSTITUTE((INDEX(SPLIT(A6411,"",""),1)),""."","","",1))"),54.724271)</f>
        <v>54.724271</v>
      </c>
      <c r="Q6411" s="13">
        <f>IFERROR(__xludf.DUMMYFUNCTION("VALUE(SUBSTITUTE((INDEX(SPLIT(A6411,"",""),2)),""."","","",1))"),20.332306)</f>
        <v>20.332306</v>
      </c>
      <c r="R6411" s="14" t="b">
        <f t="shared" si="1"/>
        <v>0</v>
      </c>
      <c r="S6411" s="14" t="str">
        <f t="shared" si="2"/>
        <v>54.724271,20.332306</v>
      </c>
      <c r="T6411" s="12"/>
    </row>
    <row r="6412">
      <c r="A6412" s="136" t="s">
        <v>41191</v>
      </c>
      <c r="B6412" s="137" t="s">
        <v>41192</v>
      </c>
      <c r="C6412" s="137" t="s">
        <v>41193</v>
      </c>
      <c r="D6412" s="137" t="s">
        <v>33342</v>
      </c>
      <c r="E6412" s="138" t="s">
        <v>41194</v>
      </c>
      <c r="F6412" s="136" t="s">
        <v>2640</v>
      </c>
      <c r="G6412" s="136" t="s">
        <v>33344</v>
      </c>
      <c r="H6412" s="136"/>
      <c r="I6412" s="137"/>
      <c r="J6412" s="137" t="s">
        <v>41195</v>
      </c>
      <c r="K6412" s="137" t="s">
        <v>41196</v>
      </c>
      <c r="L6412" s="137"/>
      <c r="M6412" s="137"/>
      <c r="N6412" s="12"/>
      <c r="O6412" s="12"/>
      <c r="P6412" s="13">
        <f>IFERROR(__xludf.DUMMYFUNCTION("VALUE(SUBSTITUTE((INDEX(SPLIT(A6412,"",""),1)),""."","","",1))"),54.683705)</f>
        <v>54.683705</v>
      </c>
      <c r="Q6412" s="13">
        <f>IFERROR(__xludf.DUMMYFUNCTION("VALUE(SUBSTITUTE((INDEX(SPLIT(A6412,"",""),2)),""."","","",1))"),20.490841)</f>
        <v>20.490841</v>
      </c>
      <c r="R6412" s="14" t="b">
        <f t="shared" si="1"/>
        <v>0</v>
      </c>
      <c r="S6412" s="14" t="str">
        <f t="shared" si="2"/>
        <v>54.683705,20.490841</v>
      </c>
      <c r="T6412" s="12"/>
    </row>
    <row r="6413">
      <c r="A6413" s="139" t="s">
        <v>41197</v>
      </c>
      <c r="B6413" s="140" t="s">
        <v>41198</v>
      </c>
      <c r="C6413" s="140" t="s">
        <v>41199</v>
      </c>
      <c r="D6413" s="140" t="s">
        <v>33342</v>
      </c>
      <c r="E6413" s="141" t="s">
        <v>41200</v>
      </c>
      <c r="F6413" s="139" t="s">
        <v>2640</v>
      </c>
      <c r="G6413" s="139" t="s">
        <v>33344</v>
      </c>
      <c r="H6413" s="139"/>
      <c r="I6413" s="140"/>
      <c r="J6413" s="140" t="s">
        <v>41201</v>
      </c>
      <c r="K6413" s="140" t="s">
        <v>41113</v>
      </c>
      <c r="L6413" s="140"/>
      <c r="M6413" s="140"/>
      <c r="N6413" s="12"/>
      <c r="O6413" s="12"/>
      <c r="P6413" s="13">
        <f>IFERROR(__xludf.DUMMYFUNCTION("VALUE(SUBSTITUTE((INDEX(SPLIT(A6413,"",""),1)),""."","","",1))"),54.702375)</f>
        <v>54.702375</v>
      </c>
      <c r="Q6413" s="13">
        <f>IFERROR(__xludf.DUMMYFUNCTION("VALUE(SUBSTITUTE((INDEX(SPLIT(A6413,"",""),2)),""."","","",1))"),20.487931)</f>
        <v>20.487931</v>
      </c>
      <c r="R6413" s="14" t="b">
        <f t="shared" si="1"/>
        <v>0</v>
      </c>
      <c r="S6413" s="14" t="str">
        <f t="shared" si="2"/>
        <v>54.702375,20.487931</v>
      </c>
      <c r="T6413" s="12"/>
    </row>
    <row r="6414">
      <c r="A6414" s="136" t="s">
        <v>41202</v>
      </c>
      <c r="B6414" s="137" t="s">
        <v>41203</v>
      </c>
      <c r="C6414" s="137" t="s">
        <v>41204</v>
      </c>
      <c r="D6414" s="137" t="s">
        <v>33342</v>
      </c>
      <c r="E6414" s="138" t="s">
        <v>41205</v>
      </c>
      <c r="F6414" s="136" t="s">
        <v>2640</v>
      </c>
      <c r="G6414" s="136" t="s">
        <v>33344</v>
      </c>
      <c r="H6414" s="136"/>
      <c r="I6414" s="137"/>
      <c r="J6414" s="137" t="s">
        <v>41206</v>
      </c>
      <c r="K6414" s="137" t="s">
        <v>41207</v>
      </c>
      <c r="L6414" s="137"/>
      <c r="M6414" s="137"/>
      <c r="N6414" s="12"/>
      <c r="O6414" s="12"/>
      <c r="P6414" s="13">
        <f>IFERROR(__xludf.DUMMYFUNCTION("VALUE(SUBSTITUTE((INDEX(SPLIT(A6414,"",""),1)),""."","","",1))"),54.95324)</f>
        <v>54.95324</v>
      </c>
      <c r="Q6414" s="13">
        <f>IFERROR(__xludf.DUMMYFUNCTION("VALUE(SUBSTITUTE((INDEX(SPLIT(A6414,"",""),2)),""."","","",1))"),20.235172)</f>
        <v>20.235172</v>
      </c>
      <c r="R6414" s="14" t="b">
        <f t="shared" si="1"/>
        <v>0</v>
      </c>
      <c r="S6414" s="14" t="str">
        <f t="shared" si="2"/>
        <v>54.95324,20.235172</v>
      </c>
      <c r="T6414" s="12"/>
    </row>
    <row r="6415">
      <c r="A6415" s="146" t="s">
        <v>41208</v>
      </c>
      <c r="B6415" s="147" t="s">
        <v>41209</v>
      </c>
      <c r="C6415" s="147" t="s">
        <v>41210</v>
      </c>
      <c r="D6415" s="147" t="s">
        <v>33342</v>
      </c>
      <c r="E6415" s="148" t="s">
        <v>41211</v>
      </c>
      <c r="F6415" s="146" t="s">
        <v>2640</v>
      </c>
      <c r="G6415" s="146" t="s">
        <v>33344</v>
      </c>
      <c r="H6415" s="146"/>
      <c r="I6415" s="147"/>
      <c r="J6415" s="147" t="s">
        <v>41212</v>
      </c>
      <c r="K6415" s="147" t="s">
        <v>41213</v>
      </c>
      <c r="L6415" s="149" t="s">
        <v>41214</v>
      </c>
      <c r="M6415" s="147"/>
      <c r="N6415" s="12"/>
      <c r="O6415" s="12"/>
      <c r="P6415" s="13">
        <f>IFERROR(__xludf.DUMMYFUNCTION("VALUE(SUBSTITUTE((INDEX(SPLIT(A6415,"",""),1)),""."","","",1))"),54.866632)</f>
        <v>54.866632</v>
      </c>
      <c r="Q6415" s="13">
        <f>IFERROR(__xludf.DUMMYFUNCTION("VALUE(SUBSTITUTE((INDEX(SPLIT(A6415,"",""),2)),""."","","",1))"),19.943803)</f>
        <v>19.943803</v>
      </c>
      <c r="R6415" s="14" t="b">
        <f t="shared" si="1"/>
        <v>0</v>
      </c>
      <c r="S6415" s="14" t="str">
        <f t="shared" si="2"/>
        <v>54.866632,19.943803</v>
      </c>
      <c r="T6415" s="12"/>
    </row>
    <row r="6416">
      <c r="A6416" s="136" t="s">
        <v>41215</v>
      </c>
      <c r="B6416" s="137" t="s">
        <v>41216</v>
      </c>
      <c r="C6416" s="137" t="s">
        <v>41217</v>
      </c>
      <c r="D6416" s="137" t="s">
        <v>33342</v>
      </c>
      <c r="E6416" s="138" t="s">
        <v>41218</v>
      </c>
      <c r="F6416" s="136" t="s">
        <v>2640</v>
      </c>
      <c r="G6416" s="136" t="s">
        <v>33344</v>
      </c>
      <c r="H6416" s="136"/>
      <c r="I6416" s="137"/>
      <c r="J6416" s="137" t="s">
        <v>41219</v>
      </c>
      <c r="K6416" s="137" t="s">
        <v>41220</v>
      </c>
      <c r="L6416" s="137"/>
      <c r="M6416" s="137"/>
      <c r="N6416" s="12"/>
      <c r="O6416" s="12"/>
      <c r="P6416" s="13">
        <f>IFERROR(__xludf.DUMMYFUNCTION("VALUE(SUBSTITUTE((INDEX(SPLIT(A6416,"",""),1)),""."","","",1))"),54.679405)</f>
        <v>54.679405</v>
      </c>
      <c r="Q6416" s="13">
        <f>IFERROR(__xludf.DUMMYFUNCTION("VALUE(SUBSTITUTE((INDEX(SPLIT(A6416,"",""),2)),""."","","",1))"),20.138648)</f>
        <v>20.138648</v>
      </c>
      <c r="R6416" s="14" t="b">
        <f t="shared" si="1"/>
        <v>0</v>
      </c>
      <c r="S6416" s="14" t="str">
        <f t="shared" si="2"/>
        <v>54.679405,20.138648</v>
      </c>
      <c r="T6416" s="12"/>
    </row>
    <row r="6417">
      <c r="A6417" s="139" t="s">
        <v>41221</v>
      </c>
      <c r="B6417" s="140" t="s">
        <v>41222</v>
      </c>
      <c r="C6417" s="140" t="s">
        <v>41223</v>
      </c>
      <c r="D6417" s="140" t="s">
        <v>33342</v>
      </c>
      <c r="E6417" s="141" t="s">
        <v>41224</v>
      </c>
      <c r="F6417" s="139" t="s">
        <v>2640</v>
      </c>
      <c r="G6417" s="139" t="s">
        <v>33344</v>
      </c>
      <c r="H6417" s="139"/>
      <c r="I6417" s="140"/>
      <c r="J6417" s="140" t="s">
        <v>41225</v>
      </c>
      <c r="K6417" s="140" t="s">
        <v>41226</v>
      </c>
      <c r="L6417" s="140"/>
      <c r="M6417" s="140"/>
      <c r="N6417" s="12"/>
      <c r="O6417" s="12"/>
      <c r="P6417" s="13">
        <f>IFERROR(__xludf.DUMMYFUNCTION("VALUE(SUBSTITUTE((INDEX(SPLIT(A6417,"",""),1)),""."","","",1))"),54.947077)</f>
        <v>54.947077</v>
      </c>
      <c r="Q6417" s="13">
        <f>IFERROR(__xludf.DUMMYFUNCTION("VALUE(SUBSTITUTE((INDEX(SPLIT(A6417,"",""),2)),""."","","",1))"),20.227105)</f>
        <v>20.227105</v>
      </c>
      <c r="R6417" s="14" t="b">
        <f t="shared" si="1"/>
        <v>0</v>
      </c>
      <c r="S6417" s="14" t="str">
        <f t="shared" si="2"/>
        <v>54.947077,20.227105</v>
      </c>
      <c r="T6417" s="12"/>
    </row>
    <row r="6418">
      <c r="A6418" s="136" t="s">
        <v>41227</v>
      </c>
      <c r="B6418" s="137" t="s">
        <v>41228</v>
      </c>
      <c r="C6418" s="137" t="s">
        <v>41229</v>
      </c>
      <c r="D6418" s="137" t="s">
        <v>33342</v>
      </c>
      <c r="E6418" s="138" t="s">
        <v>41230</v>
      </c>
      <c r="F6418" s="136" t="s">
        <v>2640</v>
      </c>
      <c r="G6418" s="136" t="s">
        <v>33344</v>
      </c>
      <c r="H6418" s="136"/>
      <c r="I6418" s="156" t="s">
        <v>41231</v>
      </c>
      <c r="J6418" s="137" t="s">
        <v>41232</v>
      </c>
      <c r="K6418" s="137" t="s">
        <v>41233</v>
      </c>
      <c r="L6418" s="137"/>
      <c r="M6418" s="137"/>
      <c r="N6418" s="12"/>
      <c r="O6418" s="12"/>
      <c r="P6418" s="13">
        <f>IFERROR(__xludf.DUMMYFUNCTION("VALUE(SUBSTITUTE((INDEX(SPLIT(A6418,"",""),1)),""."","","",1))"),54.873507)</f>
        <v>54.873507</v>
      </c>
      <c r="Q6418" s="13">
        <f>IFERROR(__xludf.DUMMYFUNCTION("VALUE(SUBSTITUTE((INDEX(SPLIT(A6418,"",""),2)),""."","","",1))"),20.472273)</f>
        <v>20.472273</v>
      </c>
      <c r="R6418" s="14" t="b">
        <f t="shared" si="1"/>
        <v>0</v>
      </c>
      <c r="S6418" s="14" t="str">
        <f t="shared" si="2"/>
        <v>54.873507,20.472273</v>
      </c>
      <c r="T6418" s="12"/>
    </row>
    <row r="6419">
      <c r="A6419" s="139" t="s">
        <v>41234</v>
      </c>
      <c r="B6419" s="140" t="s">
        <v>41235</v>
      </c>
      <c r="C6419" s="140" t="s">
        <v>41236</v>
      </c>
      <c r="D6419" s="140" t="s">
        <v>33342</v>
      </c>
      <c r="E6419" s="141" t="s">
        <v>41237</v>
      </c>
      <c r="F6419" s="139" t="s">
        <v>2640</v>
      </c>
      <c r="G6419" s="139" t="s">
        <v>33344</v>
      </c>
      <c r="H6419" s="139"/>
      <c r="I6419" s="140"/>
      <c r="J6419" s="140" t="s">
        <v>41238</v>
      </c>
      <c r="K6419" s="140" t="s">
        <v>41239</v>
      </c>
      <c r="L6419" s="140"/>
      <c r="M6419" s="140"/>
      <c r="N6419" s="12"/>
      <c r="O6419" s="12"/>
      <c r="P6419" s="13">
        <f>IFERROR(__xludf.DUMMYFUNCTION("VALUE(SUBSTITUTE((INDEX(SPLIT(A6419,"",""),1)),""."","","",1))"),54.746041)</f>
        <v>54.746041</v>
      </c>
      <c r="Q6419" s="13">
        <f>IFERROR(__xludf.DUMMYFUNCTION("VALUE(SUBSTITUTE((INDEX(SPLIT(A6419,"",""),2)),""."","","",1))"),20.565545)</f>
        <v>20.565545</v>
      </c>
      <c r="R6419" s="14" t="b">
        <f t="shared" si="1"/>
        <v>0</v>
      </c>
      <c r="S6419" s="14" t="str">
        <f t="shared" si="2"/>
        <v>54.746041,20.565545</v>
      </c>
      <c r="T6419" s="12"/>
    </row>
    <row r="6420">
      <c r="A6420" s="142" t="s">
        <v>41240</v>
      </c>
      <c r="B6420" s="143" t="s">
        <v>41241</v>
      </c>
      <c r="C6420" s="143" t="s">
        <v>41242</v>
      </c>
      <c r="D6420" s="143" t="s">
        <v>33342</v>
      </c>
      <c r="E6420" s="144" t="s">
        <v>41243</v>
      </c>
      <c r="F6420" s="142" t="s">
        <v>2640</v>
      </c>
      <c r="G6420" s="142" t="s">
        <v>33344</v>
      </c>
      <c r="H6420" s="142"/>
      <c r="I6420" s="143"/>
      <c r="J6420" s="143" t="s">
        <v>41244</v>
      </c>
      <c r="K6420" s="143" t="s">
        <v>41245</v>
      </c>
      <c r="L6420" s="145" t="s">
        <v>41246</v>
      </c>
      <c r="M6420" s="143"/>
      <c r="N6420" s="12"/>
      <c r="O6420" s="12"/>
      <c r="P6420" s="13">
        <f>IFERROR(__xludf.DUMMYFUNCTION("VALUE(SUBSTITUTE((INDEX(SPLIT(A6420,"",""),1)),""."","","",1))"),54.716123)</f>
        <v>54.716123</v>
      </c>
      <c r="Q6420" s="13">
        <f>IFERROR(__xludf.DUMMYFUNCTION("VALUE(SUBSTITUTE((INDEX(SPLIT(A6420,"",""),2)),""."","","",1))"),20.607532)</f>
        <v>20.607532</v>
      </c>
      <c r="R6420" s="14" t="b">
        <f t="shared" si="1"/>
        <v>0</v>
      </c>
      <c r="S6420" s="14" t="str">
        <f t="shared" si="2"/>
        <v>54.716123,20.607532</v>
      </c>
      <c r="T6420" s="12"/>
    </row>
    <row r="6421">
      <c r="A6421" s="146" t="s">
        <v>41247</v>
      </c>
      <c r="B6421" s="147" t="s">
        <v>41248</v>
      </c>
      <c r="C6421" s="147" t="s">
        <v>41249</v>
      </c>
      <c r="D6421" s="147" t="s">
        <v>33342</v>
      </c>
      <c r="E6421" s="148" t="s">
        <v>41250</v>
      </c>
      <c r="F6421" s="146" t="s">
        <v>2640</v>
      </c>
      <c r="G6421" s="146" t="s">
        <v>33344</v>
      </c>
      <c r="H6421" s="146"/>
      <c r="I6421" s="151" t="s">
        <v>41251</v>
      </c>
      <c r="J6421" s="147" t="s">
        <v>41252</v>
      </c>
      <c r="K6421" s="147" t="s">
        <v>41253</v>
      </c>
      <c r="L6421" s="149" t="s">
        <v>41254</v>
      </c>
      <c r="M6421" s="149" t="s">
        <v>41255</v>
      </c>
      <c r="N6421" s="12"/>
      <c r="O6421" s="12"/>
      <c r="P6421" s="13">
        <f>IFERROR(__xludf.DUMMYFUNCTION("VALUE(SUBSTITUTE((INDEX(SPLIT(A6421,"",""),1)),""."","","",1))"),54.776275)</f>
        <v>54.776275</v>
      </c>
      <c r="Q6421" s="13">
        <f>IFERROR(__xludf.DUMMYFUNCTION("VALUE(SUBSTITUTE((INDEX(SPLIT(A6421,"",""),2)),""."","","",1))"),20.591345)</f>
        <v>20.591345</v>
      </c>
      <c r="R6421" s="14" t="b">
        <f t="shared" si="1"/>
        <v>0</v>
      </c>
      <c r="S6421" s="14" t="str">
        <f t="shared" si="2"/>
        <v>54.776275,20.591345</v>
      </c>
      <c r="T6421" s="12"/>
    </row>
    <row r="6422">
      <c r="A6422" s="136" t="s">
        <v>41256</v>
      </c>
      <c r="B6422" s="137" t="s">
        <v>41257</v>
      </c>
      <c r="C6422" s="137" t="s">
        <v>41258</v>
      </c>
      <c r="D6422" s="137" t="s">
        <v>33342</v>
      </c>
      <c r="E6422" s="138" t="s">
        <v>41259</v>
      </c>
      <c r="F6422" s="136" t="s">
        <v>2640</v>
      </c>
      <c r="G6422" s="136" t="s">
        <v>33344</v>
      </c>
      <c r="H6422" s="136"/>
      <c r="I6422" s="137"/>
      <c r="J6422" s="137" t="s">
        <v>41260</v>
      </c>
      <c r="K6422" s="137" t="s">
        <v>41261</v>
      </c>
      <c r="L6422" s="137"/>
      <c r="M6422" s="153" t="s">
        <v>41262</v>
      </c>
      <c r="N6422" s="12"/>
      <c r="O6422" s="12"/>
      <c r="P6422" s="13">
        <f>IFERROR(__xludf.DUMMYFUNCTION("VALUE(SUBSTITUTE((INDEX(SPLIT(A6422,"",""),1)),""."","","",1))"),54.600739)</f>
        <v>54.600739</v>
      </c>
      <c r="Q6422" s="13">
        <f>IFERROR(__xludf.DUMMYFUNCTION("VALUE(SUBSTITUTE((INDEX(SPLIT(A6422,"",""),2)),""."","","",1))"),20.43475)</f>
        <v>20.43475</v>
      </c>
      <c r="R6422" s="14" t="b">
        <f t="shared" si="1"/>
        <v>0</v>
      </c>
      <c r="S6422" s="14" t="str">
        <f t="shared" si="2"/>
        <v>54.600739,20.43475</v>
      </c>
      <c r="T6422" s="12"/>
    </row>
    <row r="6423">
      <c r="A6423" s="146" t="s">
        <v>41263</v>
      </c>
      <c r="B6423" s="147" t="s">
        <v>728</v>
      </c>
      <c r="C6423" s="147" t="s">
        <v>41264</v>
      </c>
      <c r="D6423" s="147" t="s">
        <v>33342</v>
      </c>
      <c r="E6423" s="148" t="s">
        <v>41265</v>
      </c>
      <c r="F6423" s="146" t="s">
        <v>6724</v>
      </c>
      <c r="G6423" s="146" t="s">
        <v>33344</v>
      </c>
      <c r="H6423" s="146"/>
      <c r="I6423" s="147"/>
      <c r="J6423" s="147" t="s">
        <v>41266</v>
      </c>
      <c r="K6423" s="147" t="s">
        <v>41267</v>
      </c>
      <c r="L6423" s="149" t="s">
        <v>41268</v>
      </c>
      <c r="M6423" s="147"/>
      <c r="N6423" s="12"/>
      <c r="O6423" s="12"/>
      <c r="P6423" s="13">
        <f>IFERROR(__xludf.DUMMYFUNCTION("VALUE(SUBSTITUTE((INDEX(SPLIT(A6423,"",""),1)),""."","","",1))"),55.126725)</f>
        <v>55.126725</v>
      </c>
      <c r="Q6423" s="13">
        <f>IFERROR(__xludf.DUMMYFUNCTION("VALUE(SUBSTITUTE((INDEX(SPLIT(A6423,"",""),2)),""."","","",1))"),36.599979)</f>
        <v>36.599979</v>
      </c>
      <c r="R6423" s="14" t="b">
        <f t="shared" si="1"/>
        <v>0</v>
      </c>
      <c r="S6423" s="14" t="str">
        <f t="shared" si="2"/>
        <v>55.126725,36.599979</v>
      </c>
      <c r="T6423" s="12"/>
    </row>
    <row r="6424">
      <c r="A6424" s="142" t="s">
        <v>41269</v>
      </c>
      <c r="B6424" s="143" t="s">
        <v>41270</v>
      </c>
      <c r="C6424" s="143" t="s">
        <v>41271</v>
      </c>
      <c r="D6424" s="143" t="s">
        <v>33342</v>
      </c>
      <c r="E6424" s="144" t="s">
        <v>41272</v>
      </c>
      <c r="F6424" s="142" t="s">
        <v>6724</v>
      </c>
      <c r="G6424" s="142" t="s">
        <v>33344</v>
      </c>
      <c r="H6424" s="142"/>
      <c r="I6424" s="143"/>
      <c r="J6424" s="143" t="s">
        <v>41273</v>
      </c>
      <c r="K6424" s="143" t="s">
        <v>41274</v>
      </c>
      <c r="L6424" s="145" t="s">
        <v>41275</v>
      </c>
      <c r="M6424" s="145" t="s">
        <v>41276</v>
      </c>
      <c r="N6424" s="12"/>
      <c r="O6424" s="12"/>
      <c r="P6424" s="13">
        <f>IFERROR(__xludf.DUMMYFUNCTION("VALUE(SUBSTITUTE((INDEX(SPLIT(A6424,"",""),1)),""."","","",1))"),55.215025)</f>
        <v>55.215025</v>
      </c>
      <c r="Q6424" s="13">
        <f>IFERROR(__xludf.DUMMYFUNCTION("VALUE(SUBSTITUTE((INDEX(SPLIT(A6424,"",""),2)),""."","","",1))"),36.667415)</f>
        <v>36.667415</v>
      </c>
      <c r="R6424" s="14" t="b">
        <f t="shared" si="1"/>
        <v>0</v>
      </c>
      <c r="S6424" s="14" t="str">
        <f t="shared" si="2"/>
        <v>55.215025,36.667415</v>
      </c>
      <c r="T6424" s="12"/>
    </row>
    <row r="6425">
      <c r="A6425" s="146" t="s">
        <v>41277</v>
      </c>
      <c r="B6425" s="147" t="s">
        <v>41278</v>
      </c>
      <c r="C6425" s="147" t="s">
        <v>41279</v>
      </c>
      <c r="D6425" s="147" t="s">
        <v>33342</v>
      </c>
      <c r="E6425" s="148" t="s">
        <v>41280</v>
      </c>
      <c r="F6425" s="146" t="s">
        <v>6724</v>
      </c>
      <c r="G6425" s="146" t="s">
        <v>33344</v>
      </c>
      <c r="H6425" s="146"/>
      <c r="I6425" s="147"/>
      <c r="J6425" s="147" t="s">
        <v>41281</v>
      </c>
      <c r="K6425" s="147" t="s">
        <v>41282</v>
      </c>
      <c r="L6425" s="149" t="s">
        <v>41283</v>
      </c>
      <c r="M6425" s="147"/>
      <c r="N6425" s="12"/>
      <c r="O6425" s="12"/>
      <c r="P6425" s="13">
        <f>IFERROR(__xludf.DUMMYFUNCTION("VALUE(SUBSTITUTE((INDEX(SPLIT(A6425,"",""),1)),""."","","",1))"),55.172907)</f>
        <v>55.172907</v>
      </c>
      <c r="Q6425" s="13">
        <f>IFERROR(__xludf.DUMMYFUNCTION("VALUE(SUBSTITUTE((INDEX(SPLIT(A6425,"",""),2)),""."","","",1))"),36.658486)</f>
        <v>36.658486</v>
      </c>
      <c r="R6425" s="14" t="b">
        <f t="shared" si="1"/>
        <v>0</v>
      </c>
      <c r="S6425" s="14" t="str">
        <f t="shared" si="2"/>
        <v>55.172907,36.658486</v>
      </c>
      <c r="T6425" s="12"/>
    </row>
    <row r="6426">
      <c r="A6426" s="142" t="s">
        <v>41284</v>
      </c>
      <c r="B6426" s="143" t="s">
        <v>41285</v>
      </c>
      <c r="C6426" s="143" t="s">
        <v>41286</v>
      </c>
      <c r="D6426" s="143" t="s">
        <v>33342</v>
      </c>
      <c r="E6426" s="144" t="s">
        <v>41287</v>
      </c>
      <c r="F6426" s="142" t="s">
        <v>6724</v>
      </c>
      <c r="G6426" s="142" t="s">
        <v>33344</v>
      </c>
      <c r="H6426" s="142"/>
      <c r="I6426" s="143"/>
      <c r="J6426" s="143" t="s">
        <v>41288</v>
      </c>
      <c r="K6426" s="143" t="s">
        <v>41289</v>
      </c>
      <c r="L6426" s="145" t="s">
        <v>41290</v>
      </c>
      <c r="M6426" s="143"/>
      <c r="N6426" s="12"/>
      <c r="O6426" s="12"/>
      <c r="P6426" s="13">
        <f>IFERROR(__xludf.DUMMYFUNCTION("VALUE(SUBSTITUTE((INDEX(SPLIT(A6426,"",""),1)),""."","","",1))"),54.721515)</f>
        <v>54.721515</v>
      </c>
      <c r="Q6426" s="13">
        <f>IFERROR(__xludf.DUMMYFUNCTION("VALUE(SUBSTITUTE((INDEX(SPLIT(A6426,"",""),2)),""."","","",1))"),35.966783)</f>
        <v>35.966783</v>
      </c>
      <c r="R6426" s="14" t="b">
        <f t="shared" si="1"/>
        <v>0</v>
      </c>
      <c r="S6426" s="14" t="str">
        <f t="shared" si="2"/>
        <v>54.721515,35.966783</v>
      </c>
      <c r="T6426" s="12"/>
    </row>
    <row r="6427">
      <c r="A6427" s="139" t="s">
        <v>41291</v>
      </c>
      <c r="B6427" s="140" t="s">
        <v>41292</v>
      </c>
      <c r="C6427" s="140" t="s">
        <v>41293</v>
      </c>
      <c r="D6427" s="140" t="s">
        <v>33342</v>
      </c>
      <c r="E6427" s="141" t="s">
        <v>41294</v>
      </c>
      <c r="F6427" s="139" t="s">
        <v>6724</v>
      </c>
      <c r="G6427" s="139" t="s">
        <v>33344</v>
      </c>
      <c r="H6427" s="139"/>
      <c r="I6427" s="140"/>
      <c r="J6427" s="140" t="s">
        <v>41295</v>
      </c>
      <c r="K6427" s="140" t="s">
        <v>41296</v>
      </c>
      <c r="L6427" s="140"/>
      <c r="M6427" s="140"/>
      <c r="N6427" s="12"/>
      <c r="O6427" s="12"/>
      <c r="P6427" s="13">
        <f>IFERROR(__xludf.DUMMYFUNCTION("VALUE(SUBSTITUTE((INDEX(SPLIT(A6427,"",""),1)),""."","","",1))"),54.987647)</f>
        <v>54.987647</v>
      </c>
      <c r="Q6427" s="13">
        <f>IFERROR(__xludf.DUMMYFUNCTION("VALUE(SUBSTITUTE((INDEX(SPLIT(A6427,"",""),2)),""."","","",1))"),36.24633)</f>
        <v>36.24633</v>
      </c>
      <c r="R6427" s="14" t="b">
        <f t="shared" si="1"/>
        <v>0</v>
      </c>
      <c r="S6427" s="14" t="str">
        <f t="shared" si="2"/>
        <v>54.987647,36.24633</v>
      </c>
      <c r="T6427" s="12"/>
    </row>
    <row r="6428">
      <c r="A6428" s="142" t="s">
        <v>41297</v>
      </c>
      <c r="B6428" s="143" t="s">
        <v>41298</v>
      </c>
      <c r="C6428" s="143" t="s">
        <v>41299</v>
      </c>
      <c r="D6428" s="143" t="s">
        <v>33342</v>
      </c>
      <c r="E6428" s="144" t="s">
        <v>41300</v>
      </c>
      <c r="F6428" s="142" t="s">
        <v>6724</v>
      </c>
      <c r="G6428" s="142" t="s">
        <v>33344</v>
      </c>
      <c r="H6428" s="142"/>
      <c r="I6428" s="143"/>
      <c r="J6428" s="143" t="s">
        <v>41301</v>
      </c>
      <c r="K6428" s="143" t="s">
        <v>41302</v>
      </c>
      <c r="L6428" s="145" t="s">
        <v>41303</v>
      </c>
      <c r="M6428" s="143"/>
      <c r="N6428" s="12"/>
      <c r="O6428" s="12"/>
      <c r="P6428" s="13">
        <f>IFERROR(__xludf.DUMMYFUNCTION("VALUE(SUBSTITUTE((INDEX(SPLIT(A6428,"",""),1)),""."","","",1))"),55.014241)</f>
        <v>55.014241</v>
      </c>
      <c r="Q6428" s="13">
        <f>IFERROR(__xludf.DUMMYFUNCTION("VALUE(SUBSTITUTE((INDEX(SPLIT(A6428,"",""),2)),""."","","",1))"),36.479416)</f>
        <v>36.479416</v>
      </c>
      <c r="R6428" s="14" t="b">
        <f t="shared" si="1"/>
        <v>0</v>
      </c>
      <c r="S6428" s="14" t="str">
        <f t="shared" si="2"/>
        <v>55.014241,36.479416</v>
      </c>
      <c r="T6428" s="12"/>
    </row>
    <row r="6429">
      <c r="A6429" s="146" t="s">
        <v>41304</v>
      </c>
      <c r="B6429" s="147" t="s">
        <v>41305</v>
      </c>
      <c r="C6429" s="147" t="s">
        <v>41306</v>
      </c>
      <c r="D6429" s="147" t="s">
        <v>33342</v>
      </c>
      <c r="E6429" s="148" t="s">
        <v>41307</v>
      </c>
      <c r="F6429" s="146" t="s">
        <v>6724</v>
      </c>
      <c r="G6429" s="146" t="s">
        <v>33344</v>
      </c>
      <c r="H6429" s="146"/>
      <c r="I6429" s="147"/>
      <c r="J6429" s="147" t="s">
        <v>41308</v>
      </c>
      <c r="K6429" s="147" t="s">
        <v>41309</v>
      </c>
      <c r="L6429" s="149" t="s">
        <v>41310</v>
      </c>
      <c r="M6429" s="147"/>
      <c r="N6429" s="12"/>
      <c r="O6429" s="12"/>
      <c r="P6429" s="13">
        <f>IFERROR(__xludf.DUMMYFUNCTION("VALUE(SUBSTITUTE((INDEX(SPLIT(A6429,"",""),1)),""."","","",1))"),55.047672)</f>
        <v>55.047672</v>
      </c>
      <c r="Q6429" s="13">
        <f>IFERROR(__xludf.DUMMYFUNCTION("VALUE(SUBSTITUTE((INDEX(SPLIT(A6429,"",""),2)),""."","","",1))"),36.547041)</f>
        <v>36.547041</v>
      </c>
      <c r="R6429" s="14" t="b">
        <f t="shared" si="1"/>
        <v>0</v>
      </c>
      <c r="S6429" s="14" t="str">
        <f t="shared" si="2"/>
        <v>55.047672,36.547041</v>
      </c>
      <c r="T6429" s="12"/>
    </row>
    <row r="6430">
      <c r="A6430" s="136" t="s">
        <v>41311</v>
      </c>
      <c r="B6430" s="137" t="s">
        <v>41312</v>
      </c>
      <c r="C6430" s="137" t="s">
        <v>41313</v>
      </c>
      <c r="D6430" s="137" t="s">
        <v>33342</v>
      </c>
      <c r="E6430" s="138" t="s">
        <v>41314</v>
      </c>
      <c r="F6430" s="136" t="s">
        <v>6724</v>
      </c>
      <c r="G6430" s="136" t="s">
        <v>33344</v>
      </c>
      <c r="H6430" s="136"/>
      <c r="I6430" s="137"/>
      <c r="J6430" s="137" t="s">
        <v>41315</v>
      </c>
      <c r="K6430" s="137" t="s">
        <v>41316</v>
      </c>
      <c r="L6430" s="137"/>
      <c r="M6430" s="137"/>
      <c r="N6430" s="12"/>
      <c r="O6430" s="12"/>
      <c r="P6430" s="13">
        <f>IFERROR(__xludf.DUMMYFUNCTION("VALUE(SUBSTITUTE((INDEX(SPLIT(A6430,"",""),1)),""."","","",1))"),55.031923)</f>
        <v>55.031923</v>
      </c>
      <c r="Q6430" s="13">
        <f>IFERROR(__xludf.DUMMYFUNCTION("VALUE(SUBSTITUTE((INDEX(SPLIT(A6430,"",""),2)),""."","","",1))"),36.531186)</f>
        <v>36.531186</v>
      </c>
      <c r="R6430" s="14" t="b">
        <f t="shared" si="1"/>
        <v>0</v>
      </c>
      <c r="S6430" s="14" t="str">
        <f t="shared" si="2"/>
        <v>55.031923,36.531186</v>
      </c>
      <c r="T6430" s="12"/>
    </row>
    <row r="6431">
      <c r="A6431" s="139" t="s">
        <v>41317</v>
      </c>
      <c r="B6431" s="140" t="s">
        <v>41318</v>
      </c>
      <c r="C6431" s="140" t="s">
        <v>41319</v>
      </c>
      <c r="D6431" s="140" t="s">
        <v>33342</v>
      </c>
      <c r="E6431" s="141" t="s">
        <v>41320</v>
      </c>
      <c r="F6431" s="139" t="s">
        <v>6724</v>
      </c>
      <c r="G6431" s="139" t="s">
        <v>33344</v>
      </c>
      <c r="H6431" s="139"/>
      <c r="I6431" s="140"/>
      <c r="J6431" s="140" t="s">
        <v>41321</v>
      </c>
      <c r="K6431" s="140" t="s">
        <v>41322</v>
      </c>
      <c r="L6431" s="140"/>
      <c r="M6431" s="140"/>
      <c r="N6431" s="12"/>
      <c r="O6431" s="12"/>
      <c r="P6431" s="13">
        <f>IFERROR(__xludf.DUMMYFUNCTION("VALUE(SUBSTITUTE((INDEX(SPLIT(A6431,"",""),1)),""."","","",1))"),54.530212)</f>
        <v>54.530212</v>
      </c>
      <c r="Q6431" s="13">
        <f>IFERROR(__xludf.DUMMYFUNCTION("VALUE(SUBSTITUTE((INDEX(SPLIT(A6431,"",""),2)),""."","","",1))"),34.929687)</f>
        <v>34.929687</v>
      </c>
      <c r="R6431" s="14" t="b">
        <f t="shared" si="1"/>
        <v>0</v>
      </c>
      <c r="S6431" s="14" t="str">
        <f t="shared" si="2"/>
        <v>54.530212,34.929687</v>
      </c>
      <c r="T6431" s="12"/>
    </row>
    <row r="6432">
      <c r="A6432" s="142" t="s">
        <v>41323</v>
      </c>
      <c r="B6432" s="143" t="s">
        <v>41324</v>
      </c>
      <c r="C6432" s="143" t="s">
        <v>41325</v>
      </c>
      <c r="D6432" s="143" t="s">
        <v>33342</v>
      </c>
      <c r="E6432" s="144" t="s">
        <v>41326</v>
      </c>
      <c r="F6432" s="142" t="s">
        <v>6724</v>
      </c>
      <c r="G6432" s="142" t="s">
        <v>33344</v>
      </c>
      <c r="H6432" s="142"/>
      <c r="I6432" s="143"/>
      <c r="J6432" s="143" t="s">
        <v>41327</v>
      </c>
      <c r="K6432" s="143" t="s">
        <v>41328</v>
      </c>
      <c r="L6432" s="145" t="s">
        <v>41329</v>
      </c>
      <c r="M6432" s="143"/>
      <c r="N6432" s="12"/>
      <c r="O6432" s="12"/>
      <c r="P6432" s="13">
        <f>IFERROR(__xludf.DUMMYFUNCTION("VALUE(SUBSTITUTE((INDEX(SPLIT(A6432,"",""),1)),""."","","",1))"),54.727474)</f>
        <v>54.727474</v>
      </c>
      <c r="Q6432" s="13">
        <f>IFERROR(__xludf.DUMMYFUNCTION("VALUE(SUBSTITUTE((INDEX(SPLIT(A6432,"",""),2)),""."","","",1))"),37.176814)</f>
        <v>37.176814</v>
      </c>
      <c r="R6432" s="14" t="b">
        <f t="shared" si="1"/>
        <v>0</v>
      </c>
      <c r="S6432" s="14" t="str">
        <f t="shared" si="2"/>
        <v>54.727474,37.176814</v>
      </c>
      <c r="T6432" s="12"/>
    </row>
    <row r="6433">
      <c r="A6433" s="146" t="s">
        <v>41330</v>
      </c>
      <c r="B6433" s="147" t="s">
        <v>41331</v>
      </c>
      <c r="C6433" s="147" t="s">
        <v>41332</v>
      </c>
      <c r="D6433" s="147" t="s">
        <v>33342</v>
      </c>
      <c r="E6433" s="148" t="s">
        <v>41333</v>
      </c>
      <c r="F6433" s="146" t="s">
        <v>6724</v>
      </c>
      <c r="G6433" s="146" t="s">
        <v>33344</v>
      </c>
      <c r="H6433" s="146"/>
      <c r="I6433" s="147"/>
      <c r="J6433" s="147" t="s">
        <v>41334</v>
      </c>
      <c r="K6433" s="147" t="s">
        <v>41335</v>
      </c>
      <c r="L6433" s="149" t="s">
        <v>41336</v>
      </c>
      <c r="M6433" s="147"/>
      <c r="N6433" s="12"/>
      <c r="O6433" s="12"/>
      <c r="P6433" s="13">
        <f>IFERROR(__xludf.DUMMYFUNCTION("VALUE(SUBSTITUTE((INDEX(SPLIT(A6433,"",""),1)),""."","","",1))"),54.829414)</f>
        <v>54.829414</v>
      </c>
      <c r="Q6433" s="13">
        <f>IFERROR(__xludf.DUMMYFUNCTION("VALUE(SUBSTITUTE((INDEX(SPLIT(A6433,"",""),2)),""."","","",1))"),37.133623)</f>
        <v>37.133623</v>
      </c>
      <c r="R6433" s="14" t="b">
        <f t="shared" si="1"/>
        <v>0</v>
      </c>
      <c r="S6433" s="14" t="str">
        <f t="shared" si="2"/>
        <v>54.829414,37.133623</v>
      </c>
      <c r="T6433" s="12"/>
    </row>
    <row r="6434">
      <c r="A6434" s="136" t="s">
        <v>41337</v>
      </c>
      <c r="B6434" s="137" t="s">
        <v>41338</v>
      </c>
      <c r="C6434" s="137" t="s">
        <v>41339</v>
      </c>
      <c r="D6434" s="137" t="s">
        <v>33342</v>
      </c>
      <c r="E6434" s="138" t="s">
        <v>41340</v>
      </c>
      <c r="F6434" s="136" t="s">
        <v>6724</v>
      </c>
      <c r="G6434" s="136" t="s">
        <v>33344</v>
      </c>
      <c r="H6434" s="136"/>
      <c r="I6434" s="137"/>
      <c r="J6434" s="137" t="s">
        <v>41341</v>
      </c>
      <c r="K6434" s="137" t="s">
        <v>41342</v>
      </c>
      <c r="L6434" s="137"/>
      <c r="M6434" s="137"/>
      <c r="N6434" s="12"/>
      <c r="O6434" s="12"/>
      <c r="P6434" s="13">
        <f>IFERROR(__xludf.DUMMYFUNCTION("VALUE(SUBSTITUTE((INDEX(SPLIT(A6434,"",""),1)),""."","","",1))"),53.859074)</f>
        <v>53.859074</v>
      </c>
      <c r="Q6434" s="13">
        <f>IFERROR(__xludf.DUMMYFUNCTION("VALUE(SUBSTITUTE((INDEX(SPLIT(A6434,"",""),2)),""."","","",1))"),34.441103)</f>
        <v>34.441103</v>
      </c>
      <c r="R6434" s="14" t="b">
        <f t="shared" si="1"/>
        <v>0</v>
      </c>
      <c r="S6434" s="14" t="str">
        <f t="shared" si="2"/>
        <v>53.859074,34.441103</v>
      </c>
      <c r="T6434" s="12"/>
    </row>
    <row r="6435">
      <c r="A6435" s="139" t="s">
        <v>41343</v>
      </c>
      <c r="B6435" s="140" t="s">
        <v>41344</v>
      </c>
      <c r="C6435" s="140" t="s">
        <v>41345</v>
      </c>
      <c r="D6435" s="140" t="s">
        <v>33342</v>
      </c>
      <c r="E6435" s="141" t="s">
        <v>41346</v>
      </c>
      <c r="F6435" s="139" t="s">
        <v>6724</v>
      </c>
      <c r="G6435" s="139" t="s">
        <v>33344</v>
      </c>
      <c r="H6435" s="139"/>
      <c r="I6435" s="140"/>
      <c r="J6435" s="140" t="s">
        <v>41347</v>
      </c>
      <c r="K6435" s="140" t="s">
        <v>41342</v>
      </c>
      <c r="L6435" s="140"/>
      <c r="M6435" s="140"/>
      <c r="N6435" s="12"/>
      <c r="O6435" s="12"/>
      <c r="P6435" s="13">
        <f>IFERROR(__xludf.DUMMYFUNCTION("VALUE(SUBSTITUTE((INDEX(SPLIT(A6435,"",""),1)),""."","","",1))"),53.811954)</f>
        <v>53.811954</v>
      </c>
      <c r="Q6435" s="13">
        <f>IFERROR(__xludf.DUMMYFUNCTION("VALUE(SUBSTITUTE((INDEX(SPLIT(A6435,"",""),2)),""."","","",1))"),34.537276)</f>
        <v>34.537276</v>
      </c>
      <c r="R6435" s="14" t="b">
        <f t="shared" si="1"/>
        <v>0</v>
      </c>
      <c r="S6435" s="14" t="str">
        <f t="shared" si="2"/>
        <v>53.811954,34.537276</v>
      </c>
      <c r="T6435" s="12"/>
    </row>
    <row r="6436">
      <c r="A6436" s="142" t="s">
        <v>41348</v>
      </c>
      <c r="B6436" s="143" t="s">
        <v>14888</v>
      </c>
      <c r="C6436" s="143" t="s">
        <v>41349</v>
      </c>
      <c r="D6436" s="143" t="s">
        <v>33342</v>
      </c>
      <c r="E6436" s="144" t="s">
        <v>41350</v>
      </c>
      <c r="F6436" s="142" t="s">
        <v>6724</v>
      </c>
      <c r="G6436" s="142" t="s">
        <v>33344</v>
      </c>
      <c r="H6436" s="142"/>
      <c r="I6436" s="143"/>
      <c r="J6436" s="143" t="s">
        <v>41351</v>
      </c>
      <c r="K6436" s="143" t="s">
        <v>41352</v>
      </c>
      <c r="L6436" s="145" t="s">
        <v>41353</v>
      </c>
      <c r="M6436" s="143"/>
      <c r="N6436" s="12"/>
      <c r="O6436" s="12"/>
      <c r="P6436" s="13">
        <f>IFERROR(__xludf.DUMMYFUNCTION("VALUE(SUBSTITUTE((INDEX(SPLIT(A6436,"",""),1)),""."","","",1))"),55.177545)</f>
        <v>55.177545</v>
      </c>
      <c r="Q6436" s="13">
        <f>IFERROR(__xludf.DUMMYFUNCTION("VALUE(SUBSTITUTE((INDEX(SPLIT(A6436,"",""),2)),""."","","",1))"),36.636145)</f>
        <v>36.636145</v>
      </c>
      <c r="R6436" s="14" t="b">
        <f t="shared" si="1"/>
        <v>0</v>
      </c>
      <c r="S6436" s="14" t="str">
        <f t="shared" si="2"/>
        <v>55.177545,36.636145</v>
      </c>
      <c r="T6436" s="12"/>
    </row>
    <row r="6437">
      <c r="A6437" s="139" t="s">
        <v>41354</v>
      </c>
      <c r="B6437" s="140" t="s">
        <v>41355</v>
      </c>
      <c r="C6437" s="140" t="s">
        <v>41356</v>
      </c>
      <c r="D6437" s="140" t="s">
        <v>33342</v>
      </c>
      <c r="E6437" s="141" t="s">
        <v>41357</v>
      </c>
      <c r="F6437" s="139" t="s">
        <v>6724</v>
      </c>
      <c r="G6437" s="139" t="s">
        <v>33344</v>
      </c>
      <c r="H6437" s="139"/>
      <c r="I6437" s="140"/>
      <c r="J6437" s="140" t="s">
        <v>41358</v>
      </c>
      <c r="K6437" s="140" t="s">
        <v>41359</v>
      </c>
      <c r="L6437" s="140"/>
      <c r="M6437" s="154" t="s">
        <v>41360</v>
      </c>
      <c r="N6437" s="12"/>
      <c r="O6437" s="12"/>
      <c r="P6437" s="13">
        <f>IFERROR(__xludf.DUMMYFUNCTION("VALUE(SUBSTITUTE((INDEX(SPLIT(A6437,"",""),1)),""."","","",1))"),55.111042)</f>
        <v>55.111042</v>
      </c>
      <c r="Q6437" s="13">
        <f>IFERROR(__xludf.DUMMYFUNCTION("VALUE(SUBSTITUTE((INDEX(SPLIT(A6437,"",""),2)),""."","","",1))"),36.640205)</f>
        <v>36.640205</v>
      </c>
      <c r="R6437" s="14" t="b">
        <f t="shared" si="1"/>
        <v>0</v>
      </c>
      <c r="S6437" s="14" t="str">
        <f t="shared" si="2"/>
        <v>55.111042,36.640205</v>
      </c>
      <c r="T6437" s="12"/>
    </row>
    <row r="6438">
      <c r="A6438" s="136" t="s">
        <v>41361</v>
      </c>
      <c r="B6438" s="137" t="s">
        <v>41362</v>
      </c>
      <c r="C6438" s="137" t="s">
        <v>41363</v>
      </c>
      <c r="D6438" s="137" t="s">
        <v>33342</v>
      </c>
      <c r="E6438" s="138" t="s">
        <v>41364</v>
      </c>
      <c r="F6438" s="136" t="s">
        <v>6724</v>
      </c>
      <c r="G6438" s="136" t="s">
        <v>33344</v>
      </c>
      <c r="H6438" s="136"/>
      <c r="I6438" s="156" t="s">
        <v>41365</v>
      </c>
      <c r="J6438" s="137" t="s">
        <v>41366</v>
      </c>
      <c r="K6438" s="137" t="s">
        <v>34132</v>
      </c>
      <c r="L6438" s="137"/>
      <c r="M6438" s="137"/>
      <c r="N6438" s="12"/>
      <c r="O6438" s="12"/>
      <c r="P6438" s="13">
        <f>IFERROR(__xludf.DUMMYFUNCTION("VALUE(SUBSTITUTE((INDEX(SPLIT(A6438,"",""),1)),""."","","",1))"),54.499454)</f>
        <v>54.499454</v>
      </c>
      <c r="Q6438" s="13">
        <f>IFERROR(__xludf.DUMMYFUNCTION("VALUE(SUBSTITUTE((INDEX(SPLIT(A6438,"",""),2)),""."","","",1))"),36.289548)</f>
        <v>36.289548</v>
      </c>
      <c r="R6438" s="14" t="b">
        <f t="shared" si="1"/>
        <v>0</v>
      </c>
      <c r="S6438" s="14" t="str">
        <f t="shared" si="2"/>
        <v>54.499454,36.289548</v>
      </c>
      <c r="T6438" s="12"/>
    </row>
    <row r="6439">
      <c r="A6439" s="139" t="s">
        <v>7667</v>
      </c>
      <c r="B6439" s="140" t="s">
        <v>41367</v>
      </c>
      <c r="C6439" s="140" t="s">
        <v>41368</v>
      </c>
      <c r="D6439" s="140" t="s">
        <v>33342</v>
      </c>
      <c r="E6439" s="141" t="s">
        <v>41369</v>
      </c>
      <c r="F6439" s="139" t="s">
        <v>6724</v>
      </c>
      <c r="G6439" s="139" t="s">
        <v>33344</v>
      </c>
      <c r="H6439" s="139"/>
      <c r="I6439" s="157" t="s">
        <v>41370</v>
      </c>
      <c r="J6439" s="140" t="s">
        <v>41371</v>
      </c>
      <c r="K6439" s="140" t="s">
        <v>7937</v>
      </c>
      <c r="L6439" s="140"/>
      <c r="M6439" s="140"/>
      <c r="N6439" s="12"/>
      <c r="O6439" s="12"/>
      <c r="P6439" s="13">
        <f>IFERROR(__xludf.DUMMYFUNCTION("VALUE(SUBSTITUTE((INDEX(SPLIT(A6439,"",""),1)),""."","","",1))"),54.515732)</f>
        <v>54.515732</v>
      </c>
      <c r="Q6439" s="13">
        <f>IFERROR(__xludf.DUMMYFUNCTION("VALUE(SUBSTITUTE((INDEX(SPLIT(A6439,"",""),2)),""."","","",1))"),36.242368)</f>
        <v>36.242368</v>
      </c>
      <c r="R6439" s="14" t="b">
        <f t="shared" si="1"/>
        <v>0</v>
      </c>
      <c r="S6439" s="14" t="str">
        <f t="shared" si="2"/>
        <v>54.515732,36.242368</v>
      </c>
      <c r="T6439" s="12"/>
    </row>
    <row r="6440">
      <c r="A6440" s="136" t="s">
        <v>41372</v>
      </c>
      <c r="B6440" s="137" t="s">
        <v>41373</v>
      </c>
      <c r="C6440" s="137" t="s">
        <v>41374</v>
      </c>
      <c r="D6440" s="137" t="s">
        <v>33342</v>
      </c>
      <c r="E6440" s="138" t="s">
        <v>41375</v>
      </c>
      <c r="F6440" s="136" t="s">
        <v>6724</v>
      </c>
      <c r="G6440" s="136" t="s">
        <v>33344</v>
      </c>
      <c r="H6440" s="136"/>
      <c r="I6440" s="137"/>
      <c r="J6440" s="137" t="s">
        <v>41376</v>
      </c>
      <c r="K6440" s="137" t="s">
        <v>41377</v>
      </c>
      <c r="L6440" s="137"/>
      <c r="M6440" s="137"/>
      <c r="N6440" s="12"/>
      <c r="O6440" s="12"/>
      <c r="P6440" s="13">
        <f>IFERROR(__xludf.DUMMYFUNCTION("VALUE(SUBSTITUTE((INDEX(SPLIT(A6440,"",""),1)),""."","","",1))"),54.549084)</f>
        <v>54.549084</v>
      </c>
      <c r="Q6440" s="13">
        <f>IFERROR(__xludf.DUMMYFUNCTION("VALUE(SUBSTITUTE((INDEX(SPLIT(A6440,"",""),2)),""."","","",1))"),36.24978)</f>
        <v>36.24978</v>
      </c>
      <c r="R6440" s="14" t="b">
        <f t="shared" si="1"/>
        <v>0</v>
      </c>
      <c r="S6440" s="14" t="str">
        <f t="shared" si="2"/>
        <v>54.549084,36.24978</v>
      </c>
      <c r="T6440" s="12"/>
    </row>
    <row r="6441">
      <c r="A6441" s="146" t="s">
        <v>41378</v>
      </c>
      <c r="B6441" s="147" t="s">
        <v>41379</v>
      </c>
      <c r="C6441" s="147" t="s">
        <v>41380</v>
      </c>
      <c r="D6441" s="147" t="s">
        <v>33342</v>
      </c>
      <c r="E6441" s="148" t="s">
        <v>41381</v>
      </c>
      <c r="F6441" s="146" t="s">
        <v>6724</v>
      </c>
      <c r="G6441" s="146" t="s">
        <v>33344</v>
      </c>
      <c r="H6441" s="146"/>
      <c r="I6441" s="147"/>
      <c r="J6441" s="147" t="s">
        <v>41382</v>
      </c>
      <c r="K6441" s="147" t="s">
        <v>41383</v>
      </c>
      <c r="L6441" s="150" t="s">
        <v>41384</v>
      </c>
      <c r="M6441" s="147"/>
      <c r="N6441" s="12"/>
      <c r="O6441" s="12"/>
      <c r="P6441" s="13">
        <f>IFERROR(__xludf.DUMMYFUNCTION("VALUE(SUBSTITUTE((INDEX(SPLIT(A6441,"",""),1)),""."","","",1))"),54.513579)</f>
        <v>54.513579</v>
      </c>
      <c r="Q6441" s="13">
        <f>IFERROR(__xludf.DUMMYFUNCTION("VALUE(SUBSTITUTE((INDEX(SPLIT(A6441,"",""),2)),""."","","",1))"),36.300957)</f>
        <v>36.300957</v>
      </c>
      <c r="R6441" s="14" t="b">
        <f t="shared" si="1"/>
        <v>0</v>
      </c>
      <c r="S6441" s="14" t="str">
        <f t="shared" si="2"/>
        <v>54.513579,36.300957</v>
      </c>
      <c r="T6441" s="12"/>
    </row>
    <row r="6442">
      <c r="A6442" s="136" t="s">
        <v>41385</v>
      </c>
      <c r="B6442" s="137" t="s">
        <v>41386</v>
      </c>
      <c r="C6442" s="137" t="s">
        <v>41387</v>
      </c>
      <c r="D6442" s="137" t="s">
        <v>33342</v>
      </c>
      <c r="E6442" s="138" t="s">
        <v>41388</v>
      </c>
      <c r="F6442" s="136" t="s">
        <v>6724</v>
      </c>
      <c r="G6442" s="136" t="s">
        <v>33344</v>
      </c>
      <c r="H6442" s="136"/>
      <c r="I6442" s="156" t="s">
        <v>41389</v>
      </c>
      <c r="J6442" s="137" t="s">
        <v>41390</v>
      </c>
      <c r="K6442" s="137" t="s">
        <v>41391</v>
      </c>
      <c r="L6442" s="137"/>
      <c r="M6442" s="137"/>
      <c r="N6442" s="12"/>
      <c r="O6442" s="12"/>
      <c r="P6442" s="13">
        <f>IFERROR(__xludf.DUMMYFUNCTION("VALUE(SUBSTITUTE((INDEX(SPLIT(A6442,"",""),1)),""."","","",1))"),54.554269)</f>
        <v>54.554269</v>
      </c>
      <c r="Q6442" s="13">
        <f>IFERROR(__xludf.DUMMYFUNCTION("VALUE(SUBSTITUTE((INDEX(SPLIT(A6442,"",""),2)),""."","","",1))"),36.265132)</f>
        <v>36.265132</v>
      </c>
      <c r="R6442" s="14" t="b">
        <f t="shared" si="1"/>
        <v>0</v>
      </c>
      <c r="S6442" s="14" t="str">
        <f t="shared" si="2"/>
        <v>54.554269,36.265132</v>
      </c>
      <c r="T6442" s="12"/>
    </row>
    <row r="6443">
      <c r="A6443" s="139" t="s">
        <v>41392</v>
      </c>
      <c r="B6443" s="140" t="s">
        <v>16328</v>
      </c>
      <c r="C6443" s="140" t="s">
        <v>41393</v>
      </c>
      <c r="D6443" s="140" t="s">
        <v>33342</v>
      </c>
      <c r="E6443" s="141" t="s">
        <v>41394</v>
      </c>
      <c r="F6443" s="139" t="s">
        <v>6724</v>
      </c>
      <c r="G6443" s="139" t="s">
        <v>33344</v>
      </c>
      <c r="H6443" s="139"/>
      <c r="I6443" s="140"/>
      <c r="J6443" s="140" t="s">
        <v>41395</v>
      </c>
      <c r="K6443" s="140" t="s">
        <v>41396</v>
      </c>
      <c r="L6443" s="140"/>
      <c r="M6443" s="140"/>
      <c r="N6443" s="12"/>
      <c r="O6443" s="12"/>
      <c r="P6443" s="13">
        <f>IFERROR(__xludf.DUMMYFUNCTION("VALUE(SUBSTITUTE((INDEX(SPLIT(A6443,"",""),1)),""."","","",1))"),54.562095)</f>
        <v>54.562095</v>
      </c>
      <c r="Q6443" s="13">
        <f>IFERROR(__xludf.DUMMYFUNCTION("VALUE(SUBSTITUTE((INDEX(SPLIT(A6443,"",""),2)),""."","","",1))"),36.272282)</f>
        <v>36.272282</v>
      </c>
      <c r="R6443" s="14" t="b">
        <f t="shared" si="1"/>
        <v>0</v>
      </c>
      <c r="S6443" s="14" t="str">
        <f t="shared" si="2"/>
        <v>54.562095,36.272282</v>
      </c>
      <c r="T6443" s="12"/>
    </row>
    <row r="6444">
      <c r="A6444" s="142" t="s">
        <v>41397</v>
      </c>
      <c r="B6444" s="143" t="s">
        <v>14000</v>
      </c>
      <c r="C6444" s="143" t="s">
        <v>41398</v>
      </c>
      <c r="D6444" s="143" t="s">
        <v>33342</v>
      </c>
      <c r="E6444" s="144" t="s">
        <v>41399</v>
      </c>
      <c r="F6444" s="142" t="s">
        <v>2558</v>
      </c>
      <c r="G6444" s="142" t="s">
        <v>33344</v>
      </c>
      <c r="H6444" s="142"/>
      <c r="I6444" s="143"/>
      <c r="J6444" s="143" t="s">
        <v>41400</v>
      </c>
      <c r="K6444" s="143" t="s">
        <v>41401</v>
      </c>
      <c r="L6444" s="152" t="s">
        <v>41402</v>
      </c>
      <c r="M6444" s="143"/>
      <c r="N6444" s="12"/>
      <c r="O6444" s="12"/>
      <c r="P6444" s="13">
        <f>IFERROR(__xludf.DUMMYFUNCTION("VALUE(SUBSTITUTE((INDEX(SPLIT(A6444,"",""),1)),""."","","",1))"),53.082975)</f>
        <v>53.082975</v>
      </c>
      <c r="Q6444" s="13">
        <f>IFERROR(__xludf.DUMMYFUNCTION("VALUE(SUBSTITUTE((INDEX(SPLIT(A6444,"",""),2)),""."","","",1))"),158.570524)</f>
        <v>158.570524</v>
      </c>
      <c r="R6444" s="14" t="b">
        <f t="shared" si="1"/>
        <v>0</v>
      </c>
      <c r="S6444" s="14" t="str">
        <f t="shared" si="2"/>
        <v>53.082975,158.570524</v>
      </c>
      <c r="T6444" s="12"/>
    </row>
    <row r="6445">
      <c r="A6445" s="139" t="s">
        <v>41403</v>
      </c>
      <c r="B6445" s="140" t="s">
        <v>41404</v>
      </c>
      <c r="C6445" s="140" t="s">
        <v>41405</v>
      </c>
      <c r="D6445" s="140" t="s">
        <v>33342</v>
      </c>
      <c r="E6445" s="141" t="s">
        <v>41406</v>
      </c>
      <c r="F6445" s="139" t="s">
        <v>2558</v>
      </c>
      <c r="G6445" s="139" t="s">
        <v>33344</v>
      </c>
      <c r="H6445" s="139"/>
      <c r="I6445" s="140"/>
      <c r="J6445" s="140" t="s">
        <v>41407</v>
      </c>
      <c r="K6445" s="140" t="s">
        <v>41408</v>
      </c>
      <c r="L6445" s="140"/>
      <c r="M6445" s="154" t="s">
        <v>41409</v>
      </c>
      <c r="N6445" s="12"/>
      <c r="O6445" s="12"/>
      <c r="P6445" s="13">
        <f>IFERROR(__xludf.DUMMYFUNCTION("VALUE(SUBSTITUTE((INDEX(SPLIT(A6445,"",""),1)),""."","","",1))"),52.933548)</f>
        <v>52.933548</v>
      </c>
      <c r="Q6445" s="13">
        <f>IFERROR(__xludf.DUMMYFUNCTION("VALUE(SUBSTITUTE((INDEX(SPLIT(A6445,"",""),2)),""."","","",1))"),158.409384)</f>
        <v>158.409384</v>
      </c>
      <c r="R6445" s="14" t="b">
        <f t="shared" si="1"/>
        <v>0</v>
      </c>
      <c r="S6445" s="14" t="str">
        <f t="shared" si="2"/>
        <v>52.933548,158.409384</v>
      </c>
      <c r="T6445" s="12"/>
    </row>
    <row r="6446">
      <c r="A6446" s="142" t="s">
        <v>41410</v>
      </c>
      <c r="B6446" s="143" t="s">
        <v>41411</v>
      </c>
      <c r="C6446" s="143" t="s">
        <v>41412</v>
      </c>
      <c r="D6446" s="143" t="s">
        <v>33342</v>
      </c>
      <c r="E6446" s="144" t="s">
        <v>41413</v>
      </c>
      <c r="F6446" s="142" t="s">
        <v>2558</v>
      </c>
      <c r="G6446" s="142" t="s">
        <v>33344</v>
      </c>
      <c r="H6446" s="142"/>
      <c r="I6446" s="143"/>
      <c r="J6446" s="143" t="s">
        <v>41414</v>
      </c>
      <c r="K6446" s="143" t="s">
        <v>41415</v>
      </c>
      <c r="L6446" s="145" t="s">
        <v>41416</v>
      </c>
      <c r="M6446" s="143"/>
      <c r="N6446" s="12"/>
      <c r="O6446" s="12"/>
      <c r="P6446" s="13">
        <f>IFERROR(__xludf.DUMMYFUNCTION("VALUE(SUBSTITUTE((INDEX(SPLIT(A6446,"",""),1)),""."","","",1))"),53.045042)</f>
        <v>53.045042</v>
      </c>
      <c r="Q6446" s="13">
        <f>IFERROR(__xludf.DUMMYFUNCTION("VALUE(SUBSTITUTE((INDEX(SPLIT(A6446,"",""),2)),""."","","",1))"),158.657939)</f>
        <v>158.657939</v>
      </c>
      <c r="R6446" s="14" t="b">
        <f t="shared" si="1"/>
        <v>0</v>
      </c>
      <c r="S6446" s="14" t="str">
        <f t="shared" si="2"/>
        <v>53.045042,158.657939</v>
      </c>
      <c r="T6446" s="12"/>
    </row>
    <row r="6447">
      <c r="A6447" s="146" t="s">
        <v>41417</v>
      </c>
      <c r="B6447" s="147" t="s">
        <v>41418</v>
      </c>
      <c r="C6447" s="147" t="s">
        <v>41419</v>
      </c>
      <c r="D6447" s="147" t="s">
        <v>33342</v>
      </c>
      <c r="E6447" s="148" t="s">
        <v>41420</v>
      </c>
      <c r="F6447" s="146" t="s">
        <v>2558</v>
      </c>
      <c r="G6447" s="146" t="s">
        <v>33344</v>
      </c>
      <c r="H6447" s="146"/>
      <c r="I6447" s="147"/>
      <c r="J6447" s="147" t="s">
        <v>41421</v>
      </c>
      <c r="K6447" s="147" t="s">
        <v>41422</v>
      </c>
      <c r="L6447" s="149" t="s">
        <v>41423</v>
      </c>
      <c r="M6447" s="147"/>
      <c r="N6447" s="12"/>
      <c r="O6447" s="12"/>
      <c r="P6447" s="13">
        <f>IFERROR(__xludf.DUMMYFUNCTION("VALUE(SUBSTITUTE((INDEX(SPLIT(A6447,"",""),1)),""."","","",1))"),53.026528)</f>
        <v>53.026528</v>
      </c>
      <c r="Q6447" s="13">
        <f>IFERROR(__xludf.DUMMYFUNCTION("VALUE(SUBSTITUTE((INDEX(SPLIT(A6447,"",""),2)),""."","","",1))"),158.679993)</f>
        <v>158.679993</v>
      </c>
      <c r="R6447" s="14" t="b">
        <f t="shared" si="1"/>
        <v>0</v>
      </c>
      <c r="S6447" s="14" t="str">
        <f t="shared" si="2"/>
        <v>53.026528,158.679993</v>
      </c>
      <c r="T6447" s="12"/>
    </row>
    <row r="6448">
      <c r="A6448" s="136" t="s">
        <v>41424</v>
      </c>
      <c r="B6448" s="137" t="s">
        <v>1560</v>
      </c>
      <c r="C6448" s="137" t="s">
        <v>41425</v>
      </c>
      <c r="D6448" s="137" t="s">
        <v>33342</v>
      </c>
      <c r="E6448" s="138" t="s">
        <v>41426</v>
      </c>
      <c r="F6448" s="136" t="s">
        <v>2558</v>
      </c>
      <c r="G6448" s="136" t="s">
        <v>33344</v>
      </c>
      <c r="H6448" s="136"/>
      <c r="I6448" s="137"/>
      <c r="J6448" s="137" t="s">
        <v>41427</v>
      </c>
      <c r="K6448" s="137" t="s">
        <v>41428</v>
      </c>
      <c r="L6448" s="137"/>
      <c r="M6448" s="153" t="s">
        <v>41429</v>
      </c>
      <c r="N6448" s="12"/>
      <c r="O6448" s="12"/>
      <c r="P6448" s="13">
        <f>IFERROR(__xludf.DUMMYFUNCTION("VALUE(SUBSTITUTE((INDEX(SPLIT(A6448,"",""),1)),""."","","",1))"),53.058201)</f>
        <v>53.058201</v>
      </c>
      <c r="Q6448" s="13">
        <f>IFERROR(__xludf.DUMMYFUNCTION("VALUE(SUBSTITUTE((INDEX(SPLIT(A6448,"",""),2)),""."","","",1))"),158.668953)</f>
        <v>158.668953</v>
      </c>
      <c r="R6448" s="14" t="b">
        <f t="shared" si="1"/>
        <v>0</v>
      </c>
      <c r="S6448" s="14" t="str">
        <f t="shared" si="2"/>
        <v>53.058201,158.668953</v>
      </c>
      <c r="T6448" s="12"/>
    </row>
    <row r="6449">
      <c r="A6449" s="139" t="s">
        <v>41430</v>
      </c>
      <c r="B6449" s="140" t="s">
        <v>41431</v>
      </c>
      <c r="C6449" s="140" t="s">
        <v>41432</v>
      </c>
      <c r="D6449" s="140" t="s">
        <v>33342</v>
      </c>
      <c r="E6449" s="141" t="s">
        <v>41433</v>
      </c>
      <c r="F6449" s="139" t="s">
        <v>2558</v>
      </c>
      <c r="G6449" s="139" t="s">
        <v>33344</v>
      </c>
      <c r="H6449" s="139"/>
      <c r="I6449" s="140"/>
      <c r="J6449" s="140" t="s">
        <v>41434</v>
      </c>
      <c r="K6449" s="140" t="s">
        <v>41435</v>
      </c>
      <c r="L6449" s="140"/>
      <c r="M6449" s="140"/>
      <c r="N6449" s="12"/>
      <c r="O6449" s="12"/>
      <c r="P6449" s="13">
        <f>IFERROR(__xludf.DUMMYFUNCTION("VALUE(SUBSTITUTE((INDEX(SPLIT(A6449,"",""),1)),""."","","",1))"),53.05189)</f>
        <v>53.05189</v>
      </c>
      <c r="Q6449" s="13">
        <f>IFERROR(__xludf.DUMMYFUNCTION("VALUE(SUBSTITUTE((INDEX(SPLIT(A6449,"",""),2)),""."","","",1))"),158.681978)</f>
        <v>158.681978</v>
      </c>
      <c r="R6449" s="14" t="b">
        <f t="shared" si="1"/>
        <v>0</v>
      </c>
      <c r="S6449" s="14" t="str">
        <f t="shared" si="2"/>
        <v>53.05189,158.681978</v>
      </c>
      <c r="T6449" s="12"/>
    </row>
    <row r="6450">
      <c r="A6450" s="142" t="s">
        <v>41436</v>
      </c>
      <c r="B6450" s="143" t="s">
        <v>41437</v>
      </c>
      <c r="C6450" s="143" t="s">
        <v>41438</v>
      </c>
      <c r="D6450" s="143" t="s">
        <v>33342</v>
      </c>
      <c r="E6450" s="144" t="s">
        <v>41439</v>
      </c>
      <c r="F6450" s="142" t="s">
        <v>2558</v>
      </c>
      <c r="G6450" s="142" t="s">
        <v>33344</v>
      </c>
      <c r="H6450" s="142"/>
      <c r="I6450" s="143"/>
      <c r="J6450" s="143" t="s">
        <v>41440</v>
      </c>
      <c r="K6450" s="143" t="s">
        <v>41441</v>
      </c>
      <c r="L6450" s="145" t="s">
        <v>41442</v>
      </c>
      <c r="M6450" s="145" t="s">
        <v>41443</v>
      </c>
      <c r="N6450" s="12"/>
      <c r="O6450" s="12"/>
      <c r="P6450" s="13">
        <f>IFERROR(__xludf.DUMMYFUNCTION("VALUE(SUBSTITUTE((INDEX(SPLIT(A6450,"",""),1)),""."","","",1))"),53.180387)</f>
        <v>53.180387</v>
      </c>
      <c r="Q6450" s="13">
        <f>IFERROR(__xludf.DUMMYFUNCTION("VALUE(SUBSTITUTE((INDEX(SPLIT(A6450,"",""),2)),""."","","",1))"),158.380512)</f>
        <v>158.380512</v>
      </c>
      <c r="R6450" s="14" t="b">
        <f t="shared" si="1"/>
        <v>0</v>
      </c>
      <c r="S6450" s="14" t="str">
        <f t="shared" si="2"/>
        <v>53.180387,158.380512</v>
      </c>
      <c r="T6450" s="12"/>
    </row>
    <row r="6451">
      <c r="A6451" s="139" t="s">
        <v>41444</v>
      </c>
      <c r="B6451" s="140" t="s">
        <v>41445</v>
      </c>
      <c r="C6451" s="140" t="s">
        <v>41446</v>
      </c>
      <c r="D6451" s="140" t="s">
        <v>33342</v>
      </c>
      <c r="E6451" s="141" t="s">
        <v>41447</v>
      </c>
      <c r="F6451" s="139" t="s">
        <v>2558</v>
      </c>
      <c r="G6451" s="139" t="s">
        <v>33344</v>
      </c>
      <c r="H6451" s="139"/>
      <c r="I6451" s="140"/>
      <c r="J6451" s="140" t="s">
        <v>41448</v>
      </c>
      <c r="K6451" s="140" t="s">
        <v>41449</v>
      </c>
      <c r="L6451" s="140"/>
      <c r="M6451" s="140"/>
      <c r="N6451" s="12"/>
      <c r="O6451" s="12"/>
      <c r="P6451" s="13">
        <f>IFERROR(__xludf.DUMMYFUNCTION("VALUE(SUBSTITUTE((INDEX(SPLIT(A6451,"",""),1)),""."","","",1))"),53.114071)</f>
        <v>53.114071</v>
      </c>
      <c r="Q6451" s="13">
        <f>IFERROR(__xludf.DUMMYFUNCTION("VALUE(SUBSTITUTE((INDEX(SPLIT(A6451,"",""),2)),""."","","",1))"),158.518512)</f>
        <v>158.518512</v>
      </c>
      <c r="R6451" s="14" t="b">
        <f t="shared" si="1"/>
        <v>0</v>
      </c>
      <c r="S6451" s="14" t="str">
        <f t="shared" si="2"/>
        <v>53.114071,158.518512</v>
      </c>
      <c r="T6451" s="12"/>
    </row>
    <row r="6452">
      <c r="A6452" s="136" t="s">
        <v>2575</v>
      </c>
      <c r="B6452" s="137" t="s">
        <v>41450</v>
      </c>
      <c r="C6452" s="137" t="s">
        <v>41451</v>
      </c>
      <c r="D6452" s="137" t="s">
        <v>33342</v>
      </c>
      <c r="E6452" s="138" t="s">
        <v>41452</v>
      </c>
      <c r="F6452" s="136" t="s">
        <v>2558</v>
      </c>
      <c r="G6452" s="136" t="s">
        <v>33344</v>
      </c>
      <c r="H6452" s="136"/>
      <c r="I6452" s="137"/>
      <c r="J6452" s="137" t="s">
        <v>41453</v>
      </c>
      <c r="K6452" s="137" t="s">
        <v>41454</v>
      </c>
      <c r="L6452" s="137"/>
      <c r="M6452" s="137"/>
      <c r="N6452" s="12"/>
      <c r="O6452" s="12"/>
      <c r="P6452" s="13">
        <f>IFERROR(__xludf.DUMMYFUNCTION("VALUE(SUBSTITUTE((INDEX(SPLIT(A6452,"",""),1)),""."","","",1))"),53.123301)</f>
        <v>53.123301</v>
      </c>
      <c r="Q6452" s="13">
        <f>IFERROR(__xludf.DUMMYFUNCTION("VALUE(SUBSTITUTE((INDEX(SPLIT(A6452,"",""),2)),""."","","",1))"),158.512349)</f>
        <v>158.512349</v>
      </c>
      <c r="R6452" s="14" t="b">
        <f t="shared" si="1"/>
        <v>0</v>
      </c>
      <c r="S6452" s="14" t="str">
        <f t="shared" si="2"/>
        <v>53.123301,158.512349</v>
      </c>
      <c r="T6452" s="12"/>
    </row>
    <row r="6453">
      <c r="A6453" s="139" t="s">
        <v>41455</v>
      </c>
      <c r="B6453" s="140" t="s">
        <v>41456</v>
      </c>
      <c r="C6453" s="140" t="s">
        <v>41457</v>
      </c>
      <c r="D6453" s="140" t="s">
        <v>33342</v>
      </c>
      <c r="E6453" s="141" t="s">
        <v>41458</v>
      </c>
      <c r="F6453" s="139" t="s">
        <v>24698</v>
      </c>
      <c r="G6453" s="139" t="s">
        <v>33344</v>
      </c>
      <c r="H6453" s="139"/>
      <c r="I6453" s="140"/>
      <c r="J6453" s="140" t="s">
        <v>41459</v>
      </c>
      <c r="K6453" s="140" t="s">
        <v>41460</v>
      </c>
      <c r="L6453" s="140"/>
      <c r="M6453" s="140"/>
      <c r="N6453" s="12"/>
      <c r="O6453" s="12"/>
      <c r="P6453" s="13">
        <f>IFERROR(__xludf.DUMMYFUNCTION("VALUE(SUBSTITUTE((INDEX(SPLIT(A6453,"",""),1)),""."","","",1))"),55.388926)</f>
        <v>55.388926</v>
      </c>
      <c r="Q6453" s="13">
        <f>IFERROR(__xludf.DUMMYFUNCTION("VALUE(SUBSTITUTE((INDEX(SPLIT(A6453,"",""),2)),""."","","",1))"),86.104912)</f>
        <v>86.104912</v>
      </c>
      <c r="R6453" s="14" t="b">
        <f t="shared" si="1"/>
        <v>0</v>
      </c>
      <c r="S6453" s="14" t="str">
        <f t="shared" si="2"/>
        <v>55.388926,86.104912</v>
      </c>
      <c r="T6453" s="12"/>
    </row>
    <row r="6454">
      <c r="A6454" s="142" t="s">
        <v>41461</v>
      </c>
      <c r="B6454" s="143" t="s">
        <v>41462</v>
      </c>
      <c r="C6454" s="143" t="s">
        <v>41463</v>
      </c>
      <c r="D6454" s="143" t="s">
        <v>33342</v>
      </c>
      <c r="E6454" s="144" t="s">
        <v>41464</v>
      </c>
      <c r="F6454" s="142" t="s">
        <v>24698</v>
      </c>
      <c r="G6454" s="142" t="s">
        <v>33344</v>
      </c>
      <c r="H6454" s="142"/>
      <c r="I6454" s="143"/>
      <c r="J6454" s="143" t="s">
        <v>41465</v>
      </c>
      <c r="K6454" s="143" t="s">
        <v>41466</v>
      </c>
      <c r="L6454" s="145" t="s">
        <v>41467</v>
      </c>
      <c r="M6454" s="143"/>
      <c r="N6454" s="12"/>
      <c r="O6454" s="12"/>
      <c r="P6454" s="13">
        <f>IFERROR(__xludf.DUMMYFUNCTION("VALUE(SUBSTITUTE((INDEX(SPLIT(A6454,"",""),1)),""."","","",1))"),55.441647)</f>
        <v>55.441647</v>
      </c>
      <c r="Q6454" s="13">
        <f>IFERROR(__xludf.DUMMYFUNCTION("VALUE(SUBSTITUTE((INDEX(SPLIT(A6454,"",""),2)),""."","","",1))"),86.190055)</f>
        <v>86.190055</v>
      </c>
      <c r="R6454" s="14" t="b">
        <f t="shared" si="1"/>
        <v>0</v>
      </c>
      <c r="S6454" s="14" t="str">
        <f t="shared" si="2"/>
        <v>55.441647,86.190055</v>
      </c>
      <c r="T6454" s="12"/>
    </row>
    <row r="6455">
      <c r="A6455" s="146" t="s">
        <v>41468</v>
      </c>
      <c r="B6455" s="147" t="s">
        <v>497</v>
      </c>
      <c r="C6455" s="147" t="s">
        <v>35097</v>
      </c>
      <c r="D6455" s="147" t="s">
        <v>33342</v>
      </c>
      <c r="E6455" s="148" t="s">
        <v>41469</v>
      </c>
      <c r="F6455" s="146" t="s">
        <v>24698</v>
      </c>
      <c r="G6455" s="146" t="s">
        <v>33344</v>
      </c>
      <c r="H6455" s="146"/>
      <c r="I6455" s="147"/>
      <c r="J6455" s="147" t="s">
        <v>41470</v>
      </c>
      <c r="K6455" s="147" t="s">
        <v>41471</v>
      </c>
      <c r="L6455" s="149" t="s">
        <v>41472</v>
      </c>
      <c r="M6455" s="149" t="s">
        <v>41473</v>
      </c>
      <c r="N6455" s="12"/>
      <c r="O6455" s="12"/>
      <c r="P6455" s="13">
        <f>IFERROR(__xludf.DUMMYFUNCTION("VALUE(SUBSTITUTE((INDEX(SPLIT(A6455,"",""),1)),""."","","",1))"),55.36534)</f>
        <v>55.36534</v>
      </c>
      <c r="Q6455" s="13">
        <f>IFERROR(__xludf.DUMMYFUNCTION("VALUE(SUBSTITUTE((INDEX(SPLIT(A6455,"",""),2)),""."","","",1))"),86.058955)</f>
        <v>86.058955</v>
      </c>
      <c r="R6455" s="14" t="b">
        <f t="shared" si="1"/>
        <v>0</v>
      </c>
      <c r="S6455" s="14" t="str">
        <f t="shared" si="2"/>
        <v>55.36534,86.058955</v>
      </c>
      <c r="T6455" s="12"/>
    </row>
    <row r="6456">
      <c r="A6456" s="136" t="s">
        <v>41474</v>
      </c>
      <c r="B6456" s="137" t="s">
        <v>41475</v>
      </c>
      <c r="C6456" s="137" t="s">
        <v>41476</v>
      </c>
      <c r="D6456" s="137" t="s">
        <v>33342</v>
      </c>
      <c r="E6456" s="138" t="s">
        <v>41477</v>
      </c>
      <c r="F6456" s="136" t="s">
        <v>24698</v>
      </c>
      <c r="G6456" s="136" t="s">
        <v>33344</v>
      </c>
      <c r="H6456" s="136"/>
      <c r="I6456" s="137"/>
      <c r="J6456" s="137" t="s">
        <v>41478</v>
      </c>
      <c r="K6456" s="137" t="s">
        <v>41479</v>
      </c>
      <c r="L6456" s="137"/>
      <c r="M6456" s="153" t="s">
        <v>41480</v>
      </c>
      <c r="N6456" s="12"/>
      <c r="O6456" s="12"/>
      <c r="P6456" s="13">
        <f>IFERROR(__xludf.DUMMYFUNCTION("VALUE(SUBSTITUTE((INDEX(SPLIT(A6456,"",""),1)),""."","","",1))"),55.384999)</f>
        <v>55.384999</v>
      </c>
      <c r="Q6456" s="13">
        <f>IFERROR(__xludf.DUMMYFUNCTION("VALUE(SUBSTITUTE((INDEX(SPLIT(A6456,"",""),2)),""."","","",1))"),86.082769)</f>
        <v>86.082769</v>
      </c>
      <c r="R6456" s="14" t="b">
        <f t="shared" si="1"/>
        <v>0</v>
      </c>
      <c r="S6456" s="14" t="str">
        <f t="shared" si="2"/>
        <v>55.384999,86.082769</v>
      </c>
      <c r="T6456" s="12"/>
    </row>
    <row r="6457">
      <c r="A6457" s="139" t="s">
        <v>41481</v>
      </c>
      <c r="B6457" s="140" t="s">
        <v>17486</v>
      </c>
      <c r="C6457" s="140" t="s">
        <v>41482</v>
      </c>
      <c r="D6457" s="140" t="s">
        <v>33342</v>
      </c>
      <c r="E6457" s="141" t="s">
        <v>41483</v>
      </c>
      <c r="F6457" s="139" t="s">
        <v>24698</v>
      </c>
      <c r="G6457" s="139" t="s">
        <v>33344</v>
      </c>
      <c r="H6457" s="139"/>
      <c r="I6457" s="140"/>
      <c r="J6457" s="140" t="s">
        <v>41484</v>
      </c>
      <c r="K6457" s="140" t="s">
        <v>41485</v>
      </c>
      <c r="L6457" s="140"/>
      <c r="M6457" s="140"/>
      <c r="N6457" s="12"/>
      <c r="O6457" s="12"/>
      <c r="P6457" s="13">
        <f>IFERROR(__xludf.DUMMYFUNCTION("VALUE(SUBSTITUTE((INDEX(SPLIT(A6457,"",""),1)),""."","","",1))"),55.323259)</f>
        <v>55.323259</v>
      </c>
      <c r="Q6457" s="13">
        <f>IFERROR(__xludf.DUMMYFUNCTION("VALUE(SUBSTITUTE((INDEX(SPLIT(A6457,"",""),2)),""."","","",1))"),86.158362)</f>
        <v>86.158362</v>
      </c>
      <c r="R6457" s="14" t="b">
        <f t="shared" si="1"/>
        <v>0</v>
      </c>
      <c r="S6457" s="14" t="str">
        <f t="shared" si="2"/>
        <v>55.323259,86.158362</v>
      </c>
      <c r="T6457" s="12"/>
    </row>
    <row r="6458">
      <c r="A6458" s="136" t="s">
        <v>41486</v>
      </c>
      <c r="B6458" s="137" t="s">
        <v>41487</v>
      </c>
      <c r="C6458" s="137" t="s">
        <v>41488</v>
      </c>
      <c r="D6458" s="137" t="s">
        <v>33342</v>
      </c>
      <c r="E6458" s="138" t="s">
        <v>41489</v>
      </c>
      <c r="F6458" s="136" t="s">
        <v>24698</v>
      </c>
      <c r="G6458" s="136" t="s">
        <v>33344</v>
      </c>
      <c r="H6458" s="136"/>
      <c r="I6458" s="137"/>
      <c r="J6458" s="137" t="s">
        <v>41490</v>
      </c>
      <c r="K6458" s="137" t="s">
        <v>41491</v>
      </c>
      <c r="L6458" s="137"/>
      <c r="M6458" s="153" t="s">
        <v>41492</v>
      </c>
      <c r="N6458" s="12"/>
      <c r="O6458" s="12"/>
      <c r="P6458" s="13">
        <f>IFERROR(__xludf.DUMMYFUNCTION("VALUE(SUBSTITUTE((INDEX(SPLIT(A6458,"",""),1)),""."","","",1))"),55.336902)</f>
        <v>55.336902</v>
      </c>
      <c r="Q6458" s="13">
        <f>IFERROR(__xludf.DUMMYFUNCTION("VALUE(SUBSTITUTE((INDEX(SPLIT(A6458,"",""),2)),""."","","",1))"),85.988329)</f>
        <v>85.988329</v>
      </c>
      <c r="R6458" s="14" t="b">
        <f t="shared" si="1"/>
        <v>0</v>
      </c>
      <c r="S6458" s="14" t="str">
        <f t="shared" si="2"/>
        <v>55.336902,85.988329</v>
      </c>
      <c r="T6458" s="12"/>
    </row>
    <row r="6459">
      <c r="A6459" s="139" t="s">
        <v>41493</v>
      </c>
      <c r="B6459" s="140" t="s">
        <v>41494</v>
      </c>
      <c r="C6459" s="140" t="s">
        <v>41495</v>
      </c>
      <c r="D6459" s="140" t="s">
        <v>33342</v>
      </c>
      <c r="E6459" s="141" t="s">
        <v>41496</v>
      </c>
      <c r="F6459" s="139" t="s">
        <v>24698</v>
      </c>
      <c r="G6459" s="139" t="s">
        <v>33344</v>
      </c>
      <c r="H6459" s="139"/>
      <c r="I6459" s="140"/>
      <c r="J6459" s="140" t="s">
        <v>41497</v>
      </c>
      <c r="K6459" s="140" t="s">
        <v>41498</v>
      </c>
      <c r="L6459" s="140"/>
      <c r="M6459" s="140"/>
      <c r="N6459" s="12"/>
      <c r="O6459" s="12"/>
      <c r="P6459" s="13">
        <f>IFERROR(__xludf.DUMMYFUNCTION("VALUE(SUBSTITUTE((INDEX(SPLIT(A6459,"",""),1)),""."","","",1))"),55.346655)</f>
        <v>55.346655</v>
      </c>
      <c r="Q6459" s="13">
        <f>IFERROR(__xludf.DUMMYFUNCTION("VALUE(SUBSTITUTE((INDEX(SPLIT(A6459,"",""),2)),""."","","",1))"),86.150951)</f>
        <v>86.150951</v>
      </c>
      <c r="R6459" s="14" t="b">
        <f t="shared" si="1"/>
        <v>0</v>
      </c>
      <c r="S6459" s="14" t="str">
        <f t="shared" si="2"/>
        <v>55.346655,86.150951</v>
      </c>
      <c r="T6459" s="12"/>
    </row>
    <row r="6460">
      <c r="A6460" s="142" t="s">
        <v>41499</v>
      </c>
      <c r="B6460" s="143" t="s">
        <v>41500</v>
      </c>
      <c r="C6460" s="143" t="s">
        <v>41501</v>
      </c>
      <c r="D6460" s="143" t="s">
        <v>33342</v>
      </c>
      <c r="E6460" s="144" t="s">
        <v>41502</v>
      </c>
      <c r="F6460" s="142" t="s">
        <v>24698</v>
      </c>
      <c r="G6460" s="142" t="s">
        <v>33344</v>
      </c>
      <c r="H6460" s="142"/>
      <c r="I6460" s="143"/>
      <c r="J6460" s="143" t="s">
        <v>41503</v>
      </c>
      <c r="K6460" s="143" t="s">
        <v>41504</v>
      </c>
      <c r="L6460" s="145" t="s">
        <v>41505</v>
      </c>
      <c r="M6460" s="143"/>
      <c r="N6460" s="12"/>
      <c r="O6460" s="12"/>
      <c r="P6460" s="13">
        <f>IFERROR(__xludf.DUMMYFUNCTION("VALUE(SUBSTITUTE((INDEX(SPLIT(A6460,"",""),1)),""."","","",1))"),55.117283)</f>
        <v>55.117283</v>
      </c>
      <c r="Q6460" s="13">
        <f>IFERROR(__xludf.DUMMYFUNCTION("VALUE(SUBSTITUTE((INDEX(SPLIT(A6460,"",""),2)),""."","","",1))"),86.511193)</f>
        <v>86.511193</v>
      </c>
      <c r="R6460" s="14" t="b">
        <f t="shared" si="1"/>
        <v>0</v>
      </c>
      <c r="S6460" s="14" t="str">
        <f t="shared" si="2"/>
        <v>55.117283,86.511193</v>
      </c>
      <c r="T6460" s="12"/>
    </row>
    <row r="6461">
      <c r="A6461" s="146" t="s">
        <v>41506</v>
      </c>
      <c r="B6461" s="147" t="s">
        <v>41507</v>
      </c>
      <c r="C6461" s="147" t="s">
        <v>41508</v>
      </c>
      <c r="D6461" s="147" t="s">
        <v>33342</v>
      </c>
      <c r="E6461" s="148" t="s">
        <v>41509</v>
      </c>
      <c r="F6461" s="146" t="s">
        <v>24698</v>
      </c>
      <c r="G6461" s="146" t="s">
        <v>33344</v>
      </c>
      <c r="H6461" s="146"/>
      <c r="I6461" s="147"/>
      <c r="J6461" s="147" t="s">
        <v>41510</v>
      </c>
      <c r="K6461" s="147" t="s">
        <v>41511</v>
      </c>
      <c r="L6461" s="149" t="s">
        <v>41512</v>
      </c>
      <c r="M6461" s="147"/>
      <c r="N6461" s="12"/>
      <c r="O6461" s="12"/>
      <c r="P6461" s="13">
        <f>IFERROR(__xludf.DUMMYFUNCTION("VALUE(SUBSTITUTE((INDEX(SPLIT(A6461,"",""),1)),""."","","",1))"),56.200698)</f>
        <v>56.200698</v>
      </c>
      <c r="Q6461" s="13">
        <f>IFERROR(__xludf.DUMMYFUNCTION("VALUE(SUBSTITUTE((INDEX(SPLIT(A6461,"",""),2)),""."","","",1))"),87.717864)</f>
        <v>87.717864</v>
      </c>
      <c r="R6461" s="14" t="b">
        <f t="shared" si="1"/>
        <v>0</v>
      </c>
      <c r="S6461" s="14" t="str">
        <f t="shared" si="2"/>
        <v>56.200698,87.717864</v>
      </c>
      <c r="T6461" s="12"/>
    </row>
    <row r="6462">
      <c r="A6462" s="136" t="s">
        <v>41513</v>
      </c>
      <c r="B6462" s="137" t="s">
        <v>41514</v>
      </c>
      <c r="C6462" s="137" t="s">
        <v>41515</v>
      </c>
      <c r="D6462" s="137" t="s">
        <v>33342</v>
      </c>
      <c r="E6462" s="138" t="s">
        <v>41516</v>
      </c>
      <c r="F6462" s="136" t="s">
        <v>24698</v>
      </c>
      <c r="G6462" s="136" t="s">
        <v>33344</v>
      </c>
      <c r="H6462" s="136"/>
      <c r="I6462" s="137"/>
      <c r="J6462" s="137" t="s">
        <v>41517</v>
      </c>
      <c r="K6462" s="137" t="s">
        <v>41518</v>
      </c>
      <c r="L6462" s="137"/>
      <c r="M6462" s="137"/>
      <c r="N6462" s="12"/>
      <c r="O6462" s="12"/>
      <c r="P6462" s="13">
        <f>IFERROR(__xludf.DUMMYFUNCTION("VALUE(SUBSTITUTE((INDEX(SPLIT(A6462,"",""),1)),""."","","",1))"),53.758011)</f>
        <v>53.758011</v>
      </c>
      <c r="Q6462" s="13">
        <f>IFERROR(__xludf.DUMMYFUNCTION("VALUE(SUBSTITUTE((INDEX(SPLIT(A6462,"",""),2)),""."","","",1))"),87.085882)</f>
        <v>87.085882</v>
      </c>
      <c r="R6462" s="14" t="b">
        <f t="shared" si="1"/>
        <v>0</v>
      </c>
      <c r="S6462" s="14" t="str">
        <f t="shared" si="2"/>
        <v>53.758011,87.085882</v>
      </c>
      <c r="T6462" s="12"/>
    </row>
    <row r="6463">
      <c r="A6463" s="146" t="s">
        <v>41519</v>
      </c>
      <c r="B6463" s="147" t="s">
        <v>41520</v>
      </c>
      <c r="C6463" s="147" t="s">
        <v>41521</v>
      </c>
      <c r="D6463" s="147" t="s">
        <v>33342</v>
      </c>
      <c r="E6463" s="148" t="s">
        <v>41522</v>
      </c>
      <c r="F6463" s="146" t="s">
        <v>24698</v>
      </c>
      <c r="G6463" s="146" t="s">
        <v>33344</v>
      </c>
      <c r="H6463" s="146"/>
      <c r="I6463" s="147"/>
      <c r="J6463" s="147" t="s">
        <v>41523</v>
      </c>
      <c r="K6463" s="147" t="s">
        <v>41524</v>
      </c>
      <c r="L6463" s="149" t="s">
        <v>41525</v>
      </c>
      <c r="M6463" s="147"/>
      <c r="N6463" s="12"/>
      <c r="O6463" s="12"/>
      <c r="P6463" s="13">
        <f>IFERROR(__xludf.DUMMYFUNCTION("VALUE(SUBSTITUTE((INDEX(SPLIT(A6463,"",""),1)),""."","","",1))"),53.784002)</f>
        <v>53.784002</v>
      </c>
      <c r="Q6463" s="13">
        <f>IFERROR(__xludf.DUMMYFUNCTION("VALUE(SUBSTITUTE((INDEX(SPLIT(A6463,"",""),2)),""."","","",1))"),87.120655)</f>
        <v>87.120655</v>
      </c>
      <c r="R6463" s="14" t="b">
        <f t="shared" si="1"/>
        <v>0</v>
      </c>
      <c r="S6463" s="14" t="str">
        <f t="shared" si="2"/>
        <v>53.784002,87.120655</v>
      </c>
      <c r="T6463" s="12"/>
    </row>
    <row r="6464">
      <c r="A6464" s="136" t="s">
        <v>41526</v>
      </c>
      <c r="B6464" s="137" t="s">
        <v>41527</v>
      </c>
      <c r="C6464" s="137" t="s">
        <v>41528</v>
      </c>
      <c r="D6464" s="137" t="s">
        <v>33342</v>
      </c>
      <c r="E6464" s="138" t="s">
        <v>41529</v>
      </c>
      <c r="F6464" s="136" t="s">
        <v>24698</v>
      </c>
      <c r="G6464" s="136" t="s">
        <v>33344</v>
      </c>
      <c r="H6464" s="136"/>
      <c r="I6464" s="137"/>
      <c r="J6464" s="137" t="s">
        <v>41530</v>
      </c>
      <c r="K6464" s="137" t="s">
        <v>41531</v>
      </c>
      <c r="L6464" s="137"/>
      <c r="M6464" s="137"/>
      <c r="N6464" s="12"/>
      <c r="O6464" s="12"/>
      <c r="P6464" s="13">
        <f>IFERROR(__xludf.DUMMYFUNCTION("VALUE(SUBSTITUTE((INDEX(SPLIT(A6464,"",""),1)),""."","","",1))"),53.772418)</f>
        <v>53.772418</v>
      </c>
      <c r="Q6464" s="13">
        <f>IFERROR(__xludf.DUMMYFUNCTION("VALUE(SUBSTITUTE((INDEX(SPLIT(A6464,"",""),2)),""."","","",1))"),87.123243)</f>
        <v>87.123243</v>
      </c>
      <c r="R6464" s="14" t="b">
        <f t="shared" si="1"/>
        <v>0</v>
      </c>
      <c r="S6464" s="14" t="str">
        <f t="shared" si="2"/>
        <v>53.772418,87.123243</v>
      </c>
      <c r="T6464" s="12"/>
    </row>
    <row r="6465">
      <c r="A6465" s="146" t="s">
        <v>41532</v>
      </c>
      <c r="B6465" s="147" t="s">
        <v>41533</v>
      </c>
      <c r="C6465" s="147" t="s">
        <v>41534</v>
      </c>
      <c r="D6465" s="147" t="s">
        <v>33342</v>
      </c>
      <c r="E6465" s="148" t="s">
        <v>41535</v>
      </c>
      <c r="F6465" s="146" t="s">
        <v>24698</v>
      </c>
      <c r="G6465" s="146" t="s">
        <v>33344</v>
      </c>
      <c r="H6465" s="146"/>
      <c r="I6465" s="147"/>
      <c r="J6465" s="147" t="s">
        <v>41536</v>
      </c>
      <c r="K6465" s="147" t="s">
        <v>41537</v>
      </c>
      <c r="L6465" s="149" t="s">
        <v>41538</v>
      </c>
      <c r="M6465" s="147"/>
      <c r="N6465" s="12"/>
      <c r="O6465" s="12"/>
      <c r="P6465" s="13">
        <f>IFERROR(__xludf.DUMMYFUNCTION("VALUE(SUBSTITUTE((INDEX(SPLIT(A6465,"",""),1)),""."","","",1))"),52.915258)</f>
        <v>52.915258</v>
      </c>
      <c r="Q6465" s="13">
        <f>IFERROR(__xludf.DUMMYFUNCTION("VALUE(SUBSTITUTE((INDEX(SPLIT(A6465,"",""),2)),""."","","",1))"),87.972797)</f>
        <v>87.972797</v>
      </c>
      <c r="R6465" s="14" t="b">
        <f t="shared" si="1"/>
        <v>0</v>
      </c>
      <c r="S6465" s="14" t="str">
        <f t="shared" si="2"/>
        <v>52.915258,87.972797</v>
      </c>
      <c r="T6465" s="12"/>
    </row>
    <row r="6466">
      <c r="A6466" s="136" t="s">
        <v>41539</v>
      </c>
      <c r="B6466" s="137" t="s">
        <v>41540</v>
      </c>
      <c r="C6466" s="137" t="s">
        <v>41541</v>
      </c>
      <c r="D6466" s="137" t="s">
        <v>33342</v>
      </c>
      <c r="E6466" s="138" t="s">
        <v>41542</v>
      </c>
      <c r="F6466" s="136" t="s">
        <v>24698</v>
      </c>
      <c r="G6466" s="136" t="s">
        <v>33344</v>
      </c>
      <c r="H6466" s="136"/>
      <c r="I6466" s="137"/>
      <c r="J6466" s="137" t="s">
        <v>41543</v>
      </c>
      <c r="K6466" s="137" t="s">
        <v>41544</v>
      </c>
      <c r="L6466" s="137"/>
      <c r="M6466" s="153" t="s">
        <v>41545</v>
      </c>
      <c r="N6466" s="12"/>
      <c r="O6466" s="12"/>
      <c r="P6466" s="13">
        <f>IFERROR(__xludf.DUMMYFUNCTION("VALUE(SUBSTITUTE((INDEX(SPLIT(A6466,"",""),1)),""."","","",1))"),53.899233)</f>
        <v>53.899233</v>
      </c>
      <c r="Q6466" s="13">
        <f>IFERROR(__xludf.DUMMYFUNCTION("VALUE(SUBSTITUTE((INDEX(SPLIT(A6466,"",""),2)),""."","","",1))"),87.613884)</f>
        <v>87.613884</v>
      </c>
      <c r="R6466" s="14" t="b">
        <f t="shared" si="1"/>
        <v>0</v>
      </c>
      <c r="S6466" s="14" t="str">
        <f t="shared" si="2"/>
        <v>53.899233,87.613884</v>
      </c>
      <c r="T6466" s="12"/>
    </row>
    <row r="6467">
      <c r="A6467" s="139" t="s">
        <v>41546</v>
      </c>
      <c r="B6467" s="140" t="s">
        <v>11646</v>
      </c>
      <c r="C6467" s="140" t="s">
        <v>41547</v>
      </c>
      <c r="D6467" s="140" t="s">
        <v>33342</v>
      </c>
      <c r="E6467" s="141" t="s">
        <v>41548</v>
      </c>
      <c r="F6467" s="139" t="s">
        <v>24698</v>
      </c>
      <c r="G6467" s="139" t="s">
        <v>33344</v>
      </c>
      <c r="H6467" s="139"/>
      <c r="I6467" s="140"/>
      <c r="J6467" s="140" t="s">
        <v>41549</v>
      </c>
      <c r="K6467" s="140" t="s">
        <v>41550</v>
      </c>
      <c r="L6467" s="140"/>
      <c r="M6467" s="154" t="s">
        <v>41551</v>
      </c>
      <c r="N6467" s="12"/>
      <c r="O6467" s="12"/>
      <c r="P6467" s="13">
        <f>IFERROR(__xludf.DUMMYFUNCTION("VALUE(SUBSTITUTE((INDEX(SPLIT(A6467,"",""),1)),""."","","",1))"),53.751675)</f>
        <v>53.751675</v>
      </c>
      <c r="Q6467" s="13">
        <f>IFERROR(__xludf.DUMMYFUNCTION("VALUE(SUBSTITUTE((INDEX(SPLIT(A6467,"",""),2)),""."","","",1))"),87.057189)</f>
        <v>87.057189</v>
      </c>
      <c r="R6467" s="14" t="b">
        <f t="shared" si="1"/>
        <v>0</v>
      </c>
      <c r="S6467" s="14" t="str">
        <f t="shared" si="2"/>
        <v>53.751675,87.057189</v>
      </c>
      <c r="T6467" s="12"/>
    </row>
    <row r="6468">
      <c r="A6468" s="136" t="s">
        <v>41552</v>
      </c>
      <c r="B6468" s="137" t="s">
        <v>41553</v>
      </c>
      <c r="C6468" s="137" t="s">
        <v>41554</v>
      </c>
      <c r="D6468" s="137" t="s">
        <v>33342</v>
      </c>
      <c r="E6468" s="138" t="s">
        <v>41555</v>
      </c>
      <c r="F6468" s="136" t="s">
        <v>24698</v>
      </c>
      <c r="G6468" s="136" t="s">
        <v>33344</v>
      </c>
      <c r="H6468" s="136"/>
      <c r="I6468" s="137"/>
      <c r="J6468" s="137" t="s">
        <v>41556</v>
      </c>
      <c r="K6468" s="137" t="s">
        <v>41557</v>
      </c>
      <c r="L6468" s="137"/>
      <c r="M6468" s="137"/>
      <c r="N6468" s="12"/>
      <c r="O6468" s="12"/>
      <c r="P6468" s="13">
        <f>IFERROR(__xludf.DUMMYFUNCTION("VALUE(SUBSTITUTE((INDEX(SPLIT(A6468,"",""),1)),""."","","",1))"),53.782432)</f>
        <v>53.782432</v>
      </c>
      <c r="Q6468" s="13">
        <f>IFERROR(__xludf.DUMMYFUNCTION("VALUE(SUBSTITUTE((INDEX(SPLIT(A6468,"",""),2)),""."","","",1))"),87.22804)</f>
        <v>87.22804</v>
      </c>
      <c r="R6468" s="14" t="b">
        <f t="shared" si="1"/>
        <v>0</v>
      </c>
      <c r="S6468" s="14" t="str">
        <f t="shared" si="2"/>
        <v>53.782432,87.22804</v>
      </c>
      <c r="T6468" s="12"/>
    </row>
    <row r="6469">
      <c r="A6469" s="139" t="s">
        <v>41558</v>
      </c>
      <c r="B6469" s="140" t="s">
        <v>41559</v>
      </c>
      <c r="C6469" s="140" t="s">
        <v>41560</v>
      </c>
      <c r="D6469" s="140" t="s">
        <v>33342</v>
      </c>
      <c r="E6469" s="141" t="s">
        <v>41561</v>
      </c>
      <c r="F6469" s="139" t="s">
        <v>24698</v>
      </c>
      <c r="G6469" s="139" t="s">
        <v>33344</v>
      </c>
      <c r="H6469" s="139"/>
      <c r="I6469" s="140"/>
      <c r="J6469" s="140" t="s">
        <v>41562</v>
      </c>
      <c r="K6469" s="140" t="s">
        <v>41563</v>
      </c>
      <c r="L6469" s="140"/>
      <c r="M6469" s="140"/>
      <c r="N6469" s="12"/>
      <c r="O6469" s="12"/>
      <c r="P6469" s="13">
        <f>IFERROR(__xludf.DUMMYFUNCTION("VALUE(SUBSTITUTE((INDEX(SPLIT(A6469,"",""),1)),""."","","",1))"),53.780192)</f>
        <v>53.780192</v>
      </c>
      <c r="Q6469" s="13">
        <f>IFERROR(__xludf.DUMMYFUNCTION("VALUE(SUBSTITUTE((INDEX(SPLIT(A6469,"",""),2)),""."","","",1))"),87.202151)</f>
        <v>87.202151</v>
      </c>
      <c r="R6469" s="14" t="b">
        <f t="shared" si="1"/>
        <v>0</v>
      </c>
      <c r="S6469" s="14" t="str">
        <f t="shared" si="2"/>
        <v>53.780192,87.202151</v>
      </c>
      <c r="T6469" s="12"/>
    </row>
    <row r="6470">
      <c r="A6470" s="136" t="s">
        <v>41564</v>
      </c>
      <c r="B6470" s="137" t="s">
        <v>41565</v>
      </c>
      <c r="C6470" s="137" t="s">
        <v>41566</v>
      </c>
      <c r="D6470" s="137" t="s">
        <v>33342</v>
      </c>
      <c r="E6470" s="138" t="s">
        <v>41567</v>
      </c>
      <c r="F6470" s="136" t="s">
        <v>24698</v>
      </c>
      <c r="G6470" s="136" t="s">
        <v>33344</v>
      </c>
      <c r="H6470" s="136"/>
      <c r="I6470" s="137"/>
      <c r="J6470" s="137" t="s">
        <v>41568</v>
      </c>
      <c r="K6470" s="137" t="s">
        <v>41569</v>
      </c>
      <c r="L6470" s="137"/>
      <c r="M6470" s="153" t="s">
        <v>41570</v>
      </c>
      <c r="N6470" s="12"/>
      <c r="O6470" s="12"/>
      <c r="P6470" s="13">
        <f>IFERROR(__xludf.DUMMYFUNCTION("VALUE(SUBSTITUTE((INDEX(SPLIT(A6470,"",""),1)),""."","","",1))"),53.890436)</f>
        <v>53.890436</v>
      </c>
      <c r="Q6470" s="13">
        <f>IFERROR(__xludf.DUMMYFUNCTION("VALUE(SUBSTITUTE((INDEX(SPLIT(A6470,"",""),2)),""."","","",1))"),87.303795)</f>
        <v>87.303795</v>
      </c>
      <c r="R6470" s="14" t="b">
        <f t="shared" si="1"/>
        <v>0</v>
      </c>
      <c r="S6470" s="14" t="str">
        <f t="shared" si="2"/>
        <v>53.890436,87.303795</v>
      </c>
      <c r="T6470" s="12"/>
    </row>
    <row r="6471">
      <c r="A6471" s="139" t="s">
        <v>41571</v>
      </c>
      <c r="B6471" s="140" t="s">
        <v>41572</v>
      </c>
      <c r="C6471" s="140" t="s">
        <v>41573</v>
      </c>
      <c r="D6471" s="140" t="s">
        <v>33342</v>
      </c>
      <c r="E6471" s="141" t="s">
        <v>41574</v>
      </c>
      <c r="F6471" s="139" t="s">
        <v>24698</v>
      </c>
      <c r="G6471" s="139" t="s">
        <v>33344</v>
      </c>
      <c r="H6471" s="139"/>
      <c r="I6471" s="140"/>
      <c r="J6471" s="140" t="s">
        <v>41575</v>
      </c>
      <c r="K6471" s="140" t="s">
        <v>41576</v>
      </c>
      <c r="L6471" s="140"/>
      <c r="M6471" s="154" t="s">
        <v>41577</v>
      </c>
      <c r="N6471" s="12"/>
      <c r="O6471" s="12"/>
      <c r="P6471" s="13">
        <f>IFERROR(__xludf.DUMMYFUNCTION("VALUE(SUBSTITUTE((INDEX(SPLIT(A6471,"",""),1)),""."","","",1))"),53.859886)</f>
        <v>53.859886</v>
      </c>
      <c r="Q6471" s="13">
        <f>IFERROR(__xludf.DUMMYFUNCTION("VALUE(SUBSTITUTE((INDEX(SPLIT(A6471,"",""),2)),""."","","",1))"),87.220018)</f>
        <v>87.220018</v>
      </c>
      <c r="R6471" s="14" t="b">
        <f t="shared" si="1"/>
        <v>0</v>
      </c>
      <c r="S6471" s="14" t="str">
        <f t="shared" si="2"/>
        <v>53.859886,87.220018</v>
      </c>
      <c r="T6471" s="12"/>
    </row>
    <row r="6472">
      <c r="A6472" s="142" t="s">
        <v>41578</v>
      </c>
      <c r="B6472" s="143" t="s">
        <v>41579</v>
      </c>
      <c r="C6472" s="143" t="s">
        <v>41580</v>
      </c>
      <c r="D6472" s="143" t="s">
        <v>33342</v>
      </c>
      <c r="E6472" s="144" t="s">
        <v>41581</v>
      </c>
      <c r="F6472" s="142" t="s">
        <v>20146</v>
      </c>
      <c r="G6472" s="142" t="s">
        <v>33344</v>
      </c>
      <c r="H6472" s="142"/>
      <c r="I6472" s="143"/>
      <c r="J6472" s="143" t="s">
        <v>41582</v>
      </c>
      <c r="K6472" s="143" t="s">
        <v>41583</v>
      </c>
      <c r="L6472" s="145" t="s">
        <v>41584</v>
      </c>
      <c r="M6472" s="143"/>
      <c r="N6472" s="12"/>
      <c r="O6472" s="12"/>
      <c r="P6472" s="13">
        <f>IFERROR(__xludf.DUMMYFUNCTION("VALUE(SUBSTITUTE((INDEX(SPLIT(A6472,"",""),1)),""."","","",1))"),56.215353)</f>
        <v>56.215353</v>
      </c>
      <c r="Q6472" s="13">
        <f>IFERROR(__xludf.DUMMYFUNCTION("VALUE(SUBSTITUTE((INDEX(SPLIT(A6472,"",""),2)),""."","","",1))"),51.030614)</f>
        <v>51.030614</v>
      </c>
      <c r="R6472" s="14" t="b">
        <f t="shared" si="1"/>
        <v>0</v>
      </c>
      <c r="S6472" s="14" t="str">
        <f t="shared" si="2"/>
        <v>56.215353,51.030614</v>
      </c>
      <c r="T6472" s="12"/>
    </row>
    <row r="6473">
      <c r="A6473" s="139" t="s">
        <v>41585</v>
      </c>
      <c r="B6473" s="140" t="s">
        <v>41586</v>
      </c>
      <c r="C6473" s="140" t="s">
        <v>41587</v>
      </c>
      <c r="D6473" s="140" t="s">
        <v>33342</v>
      </c>
      <c r="E6473" s="141" t="s">
        <v>41588</v>
      </c>
      <c r="F6473" s="139" t="s">
        <v>20146</v>
      </c>
      <c r="G6473" s="139" t="s">
        <v>33344</v>
      </c>
      <c r="H6473" s="139"/>
      <c r="I6473" s="140"/>
      <c r="J6473" s="140" t="s">
        <v>41589</v>
      </c>
      <c r="K6473" s="140" t="s">
        <v>41590</v>
      </c>
      <c r="L6473" s="140"/>
      <c r="M6473" s="140"/>
      <c r="N6473" s="12"/>
      <c r="O6473" s="12"/>
      <c r="P6473" s="13">
        <f>IFERROR(__xludf.DUMMYFUNCTION("VALUE(SUBSTITUTE((INDEX(SPLIT(A6473,"",""),1)),""."","","",1))"),58.516456)</f>
        <v>58.516456</v>
      </c>
      <c r="Q6473" s="13">
        <f>IFERROR(__xludf.DUMMYFUNCTION("VALUE(SUBSTITUTE((INDEX(SPLIT(A6473,"",""),2)),""."","","",1))"),50.004002)</f>
        <v>50.004002</v>
      </c>
      <c r="R6473" s="14" t="b">
        <f t="shared" si="1"/>
        <v>0</v>
      </c>
      <c r="S6473" s="14" t="str">
        <f t="shared" si="2"/>
        <v>58.516456,50.004002</v>
      </c>
      <c r="T6473" s="12"/>
    </row>
    <row r="6474">
      <c r="A6474" s="136" t="s">
        <v>41591</v>
      </c>
      <c r="B6474" s="137" t="s">
        <v>41592</v>
      </c>
      <c r="C6474" s="137" t="s">
        <v>41593</v>
      </c>
      <c r="D6474" s="137" t="s">
        <v>33342</v>
      </c>
      <c r="E6474" s="138" t="s">
        <v>41594</v>
      </c>
      <c r="F6474" s="136" t="s">
        <v>20146</v>
      </c>
      <c r="G6474" s="136" t="s">
        <v>33344</v>
      </c>
      <c r="H6474" s="136"/>
      <c r="I6474" s="137"/>
      <c r="J6474" s="137" t="s">
        <v>41595</v>
      </c>
      <c r="K6474" s="137" t="s">
        <v>41596</v>
      </c>
      <c r="L6474" s="137"/>
      <c r="M6474" s="137"/>
      <c r="N6474" s="12"/>
      <c r="O6474" s="12"/>
      <c r="P6474" s="13">
        <f>IFERROR(__xludf.DUMMYFUNCTION("VALUE(SUBSTITUTE((INDEX(SPLIT(A6474,"",""),1)),""."","","",1))"),58.558248)</f>
        <v>58.558248</v>
      </c>
      <c r="Q6474" s="13">
        <f>IFERROR(__xludf.DUMMYFUNCTION("VALUE(SUBSTITUTE((INDEX(SPLIT(A6474,"",""),2)),""."","","",1))"),49.998225)</f>
        <v>49.998225</v>
      </c>
      <c r="R6474" s="14" t="b">
        <f t="shared" si="1"/>
        <v>0</v>
      </c>
      <c r="S6474" s="14" t="str">
        <f t="shared" si="2"/>
        <v>58.558248,49.998225</v>
      </c>
      <c r="T6474" s="12"/>
    </row>
    <row r="6475">
      <c r="A6475" s="146" t="s">
        <v>41597</v>
      </c>
      <c r="B6475" s="147" t="s">
        <v>41598</v>
      </c>
      <c r="C6475" s="147" t="s">
        <v>41599</v>
      </c>
      <c r="D6475" s="147" t="s">
        <v>33342</v>
      </c>
      <c r="E6475" s="148" t="s">
        <v>41600</v>
      </c>
      <c r="F6475" s="146" t="s">
        <v>20146</v>
      </c>
      <c r="G6475" s="146" t="s">
        <v>33344</v>
      </c>
      <c r="H6475" s="146"/>
      <c r="I6475" s="147"/>
      <c r="J6475" s="147" t="s">
        <v>41601</v>
      </c>
      <c r="K6475" s="147" t="s">
        <v>41602</v>
      </c>
      <c r="L6475" s="149" t="s">
        <v>41603</v>
      </c>
      <c r="M6475" s="147"/>
      <c r="N6475" s="12"/>
      <c r="O6475" s="12"/>
      <c r="P6475" s="13">
        <f>IFERROR(__xludf.DUMMYFUNCTION("VALUE(SUBSTITUTE((INDEX(SPLIT(A6475,"",""),1)),""."","","",1))"),58.320119)</f>
        <v>58.320119</v>
      </c>
      <c r="Q6475" s="13">
        <f>IFERROR(__xludf.DUMMYFUNCTION("VALUE(SUBSTITUTE((INDEX(SPLIT(A6475,"",""),2)),""."","","",1))"),48.280063)</f>
        <v>48.280063</v>
      </c>
      <c r="R6475" s="14" t="b">
        <f t="shared" si="1"/>
        <v>0</v>
      </c>
      <c r="S6475" s="14" t="str">
        <f t="shared" si="2"/>
        <v>58.320119,48.280063</v>
      </c>
      <c r="T6475" s="12"/>
    </row>
    <row r="6476">
      <c r="A6476" s="142" t="s">
        <v>41604</v>
      </c>
      <c r="B6476" s="143" t="s">
        <v>41605</v>
      </c>
      <c r="C6476" s="143" t="s">
        <v>41606</v>
      </c>
      <c r="D6476" s="143" t="s">
        <v>33342</v>
      </c>
      <c r="E6476" s="144" t="s">
        <v>41607</v>
      </c>
      <c r="F6476" s="142" t="s">
        <v>20146</v>
      </c>
      <c r="G6476" s="142" t="s">
        <v>33344</v>
      </c>
      <c r="H6476" s="142"/>
      <c r="I6476" s="143"/>
      <c r="J6476" s="143" t="s">
        <v>41608</v>
      </c>
      <c r="K6476" s="143" t="s">
        <v>41609</v>
      </c>
      <c r="L6476" s="145" t="s">
        <v>41610</v>
      </c>
      <c r="M6476" s="143"/>
      <c r="N6476" s="12"/>
      <c r="O6476" s="12"/>
      <c r="P6476" s="13">
        <f>IFERROR(__xludf.DUMMYFUNCTION("VALUE(SUBSTITUTE((INDEX(SPLIT(A6476,"",""),1)),""."","","",1))"),58.594644)</f>
        <v>58.594644</v>
      </c>
      <c r="Q6476" s="13">
        <f>IFERROR(__xludf.DUMMYFUNCTION("VALUE(SUBSTITUTE((INDEX(SPLIT(A6476,"",""),2)),""."","","",1))"),49.662732)</f>
        <v>49.662732</v>
      </c>
      <c r="R6476" s="14" t="b">
        <f t="shared" si="1"/>
        <v>0</v>
      </c>
      <c r="S6476" s="14" t="str">
        <f t="shared" si="2"/>
        <v>58.594644,49.662732</v>
      </c>
      <c r="T6476" s="12"/>
    </row>
    <row r="6477">
      <c r="A6477" s="146" t="s">
        <v>41611</v>
      </c>
      <c r="B6477" s="147" t="s">
        <v>41612</v>
      </c>
      <c r="C6477" s="147" t="s">
        <v>41613</v>
      </c>
      <c r="D6477" s="147" t="s">
        <v>33342</v>
      </c>
      <c r="E6477" s="148" t="s">
        <v>41614</v>
      </c>
      <c r="F6477" s="146" t="s">
        <v>20146</v>
      </c>
      <c r="G6477" s="146" t="s">
        <v>33344</v>
      </c>
      <c r="H6477" s="146"/>
      <c r="I6477" s="151" t="s">
        <v>41615</v>
      </c>
      <c r="J6477" s="147" t="s">
        <v>41616</v>
      </c>
      <c r="K6477" s="147" t="s">
        <v>41617</v>
      </c>
      <c r="L6477" s="149" t="s">
        <v>41618</v>
      </c>
      <c r="M6477" s="149" t="s">
        <v>41619</v>
      </c>
      <c r="N6477" s="12"/>
      <c r="O6477" s="12"/>
      <c r="P6477" s="13">
        <f>IFERROR(__xludf.DUMMYFUNCTION("VALUE(SUBSTITUTE((INDEX(SPLIT(A6477,"",""),1)),""."","","",1))"),58.599136)</f>
        <v>58.599136</v>
      </c>
      <c r="Q6477" s="13">
        <f>IFERROR(__xludf.DUMMYFUNCTION("VALUE(SUBSTITUTE((INDEX(SPLIT(A6477,"",""),2)),""."","","",1))"),49.680932)</f>
        <v>49.680932</v>
      </c>
      <c r="R6477" s="14" t="b">
        <f t="shared" si="1"/>
        <v>0</v>
      </c>
      <c r="S6477" s="14" t="str">
        <f t="shared" si="2"/>
        <v>58.599136,49.680932</v>
      </c>
      <c r="T6477" s="12"/>
    </row>
    <row r="6478">
      <c r="A6478" s="142" t="s">
        <v>41620</v>
      </c>
      <c r="B6478" s="143" t="s">
        <v>41621</v>
      </c>
      <c r="C6478" s="143" t="s">
        <v>41622</v>
      </c>
      <c r="D6478" s="143" t="s">
        <v>33342</v>
      </c>
      <c r="E6478" s="144" t="s">
        <v>41623</v>
      </c>
      <c r="F6478" s="142" t="s">
        <v>20146</v>
      </c>
      <c r="G6478" s="142" t="s">
        <v>33344</v>
      </c>
      <c r="H6478" s="142"/>
      <c r="I6478" s="143"/>
      <c r="J6478" s="143" t="s">
        <v>41624</v>
      </c>
      <c r="K6478" s="143" t="s">
        <v>41625</v>
      </c>
      <c r="L6478" s="145" t="s">
        <v>41626</v>
      </c>
      <c r="M6478" s="145" t="s">
        <v>41627</v>
      </c>
      <c r="N6478" s="12"/>
      <c r="O6478" s="12"/>
      <c r="P6478" s="13">
        <f>IFERROR(__xludf.DUMMYFUNCTION("VALUE(SUBSTITUTE((INDEX(SPLIT(A6478,"",""),1)),""."","","",1))"),58.612858)</f>
        <v>58.612858</v>
      </c>
      <c r="Q6478" s="13">
        <f>IFERROR(__xludf.DUMMYFUNCTION("VALUE(SUBSTITUTE((INDEX(SPLIT(A6478,"",""),2)),""."","","",1))"),49.624562)</f>
        <v>49.624562</v>
      </c>
      <c r="R6478" s="14" t="b">
        <f t="shared" si="1"/>
        <v>0</v>
      </c>
      <c r="S6478" s="14" t="str">
        <f t="shared" si="2"/>
        <v>58.612858,49.624562</v>
      </c>
      <c r="T6478" s="12"/>
    </row>
    <row r="6479">
      <c r="A6479" s="139" t="s">
        <v>41628</v>
      </c>
      <c r="B6479" s="140" t="s">
        <v>41629</v>
      </c>
      <c r="C6479" s="140" t="s">
        <v>41630</v>
      </c>
      <c r="D6479" s="140" t="s">
        <v>33342</v>
      </c>
      <c r="E6479" s="141" t="s">
        <v>41631</v>
      </c>
      <c r="F6479" s="139" t="s">
        <v>20146</v>
      </c>
      <c r="G6479" s="139" t="s">
        <v>33344</v>
      </c>
      <c r="H6479" s="139"/>
      <c r="I6479" s="140"/>
      <c r="J6479" s="140" t="s">
        <v>41632</v>
      </c>
      <c r="K6479" s="140" t="s">
        <v>41633</v>
      </c>
      <c r="L6479" s="140"/>
      <c r="M6479" s="154" t="s">
        <v>41634</v>
      </c>
      <c r="N6479" s="12"/>
      <c r="O6479" s="12"/>
      <c r="P6479" s="13">
        <f>IFERROR(__xludf.DUMMYFUNCTION("VALUE(SUBSTITUTE((INDEX(SPLIT(A6479,"",""),1)),""."","","",1))"),58.606441)</f>
        <v>58.606441</v>
      </c>
      <c r="Q6479" s="13">
        <f>IFERROR(__xludf.DUMMYFUNCTION("VALUE(SUBSTITUTE((INDEX(SPLIT(A6479,"",""),2)),""."","","",1))"),49.60674)</f>
        <v>49.60674</v>
      </c>
      <c r="R6479" s="14" t="b">
        <f t="shared" si="1"/>
        <v>0</v>
      </c>
      <c r="S6479" s="14" t="str">
        <f t="shared" si="2"/>
        <v>58.606441,49.60674</v>
      </c>
      <c r="T6479" s="12"/>
    </row>
    <row r="6480">
      <c r="A6480" s="142" t="s">
        <v>41635</v>
      </c>
      <c r="B6480" s="143" t="s">
        <v>41636</v>
      </c>
      <c r="C6480" s="143" t="s">
        <v>41637</v>
      </c>
      <c r="D6480" s="143" t="s">
        <v>33342</v>
      </c>
      <c r="E6480" s="144" t="s">
        <v>41638</v>
      </c>
      <c r="F6480" s="142" t="s">
        <v>20146</v>
      </c>
      <c r="G6480" s="142" t="s">
        <v>33344</v>
      </c>
      <c r="H6480" s="142"/>
      <c r="I6480" s="143"/>
      <c r="J6480" s="143" t="s">
        <v>41639</v>
      </c>
      <c r="K6480" s="143" t="s">
        <v>41640</v>
      </c>
      <c r="L6480" s="145" t="s">
        <v>41641</v>
      </c>
      <c r="M6480" s="145" t="s">
        <v>41642</v>
      </c>
      <c r="N6480" s="12"/>
      <c r="O6480" s="12"/>
      <c r="P6480" s="13">
        <f>IFERROR(__xludf.DUMMYFUNCTION("VALUE(SUBSTITUTE((INDEX(SPLIT(A6480,"",""),1)),""."","","",1))"),58.589471)</f>
        <v>58.589471</v>
      </c>
      <c r="Q6480" s="13">
        <f>IFERROR(__xludf.DUMMYFUNCTION("VALUE(SUBSTITUTE((INDEX(SPLIT(A6480,"",""),2)),""."","","",1))"),49.684498)</f>
        <v>49.684498</v>
      </c>
      <c r="R6480" s="14" t="b">
        <f t="shared" si="1"/>
        <v>0</v>
      </c>
      <c r="S6480" s="14" t="str">
        <f t="shared" si="2"/>
        <v>58.589471,49.684498</v>
      </c>
      <c r="T6480" s="12"/>
    </row>
    <row r="6481">
      <c r="A6481" s="139" t="s">
        <v>41643</v>
      </c>
      <c r="B6481" s="140" t="s">
        <v>41644</v>
      </c>
      <c r="C6481" s="140" t="s">
        <v>41645</v>
      </c>
      <c r="D6481" s="140" t="s">
        <v>33342</v>
      </c>
      <c r="E6481" s="141" t="s">
        <v>41646</v>
      </c>
      <c r="F6481" s="139" t="s">
        <v>20146</v>
      </c>
      <c r="G6481" s="139" t="s">
        <v>33344</v>
      </c>
      <c r="H6481" s="139"/>
      <c r="I6481" s="140"/>
      <c r="J6481" s="140" t="s">
        <v>41647</v>
      </c>
      <c r="K6481" s="140" t="s">
        <v>41648</v>
      </c>
      <c r="L6481" s="140"/>
      <c r="M6481" s="140"/>
      <c r="N6481" s="12"/>
      <c r="O6481" s="12"/>
      <c r="P6481" s="13">
        <f>IFERROR(__xludf.DUMMYFUNCTION("VALUE(SUBSTITUTE((INDEX(SPLIT(A6481,"",""),1)),""."","","",1))"),58.609933)</f>
        <v>58.609933</v>
      </c>
      <c r="Q6481" s="13">
        <f>IFERROR(__xludf.DUMMYFUNCTION("VALUE(SUBSTITUTE((INDEX(SPLIT(A6481,"",""),2)),""."","","",1))"),49.679773)</f>
        <v>49.679773</v>
      </c>
      <c r="R6481" s="14" t="b">
        <f t="shared" si="1"/>
        <v>0</v>
      </c>
      <c r="S6481" s="14" t="str">
        <f t="shared" si="2"/>
        <v>58.609933,49.679773</v>
      </c>
      <c r="T6481" s="12"/>
    </row>
    <row r="6482">
      <c r="A6482" s="136" t="s">
        <v>41649</v>
      </c>
      <c r="B6482" s="137" t="s">
        <v>41650</v>
      </c>
      <c r="C6482" s="137" t="s">
        <v>41651</v>
      </c>
      <c r="D6482" s="137" t="s">
        <v>33342</v>
      </c>
      <c r="E6482" s="138" t="s">
        <v>41652</v>
      </c>
      <c r="F6482" s="136" t="s">
        <v>20146</v>
      </c>
      <c r="G6482" s="136" t="s">
        <v>33344</v>
      </c>
      <c r="H6482" s="136"/>
      <c r="I6482" s="137"/>
      <c r="J6482" s="137" t="s">
        <v>41653</v>
      </c>
      <c r="K6482" s="137" t="s">
        <v>41654</v>
      </c>
      <c r="L6482" s="137"/>
      <c r="M6482" s="153" t="s">
        <v>41655</v>
      </c>
      <c r="N6482" s="12"/>
      <c r="O6482" s="12"/>
      <c r="P6482" s="13">
        <f>IFERROR(__xludf.DUMMYFUNCTION("VALUE(SUBSTITUTE((INDEX(SPLIT(A6482,"",""),1)),""."","","",1))"),58.605953)</f>
        <v>58.605953</v>
      </c>
      <c r="Q6482" s="13">
        <f>IFERROR(__xludf.DUMMYFUNCTION("VALUE(SUBSTITUTE((INDEX(SPLIT(A6482,"",""),2)),""."","","",1))"),49.67308)</f>
        <v>49.67308</v>
      </c>
      <c r="R6482" s="14" t="b">
        <f t="shared" si="1"/>
        <v>0</v>
      </c>
      <c r="S6482" s="14" t="str">
        <f t="shared" si="2"/>
        <v>58.605953,49.67308</v>
      </c>
      <c r="T6482" s="12"/>
    </row>
    <row r="6483">
      <c r="A6483" s="139" t="s">
        <v>41656</v>
      </c>
      <c r="B6483" s="140" t="s">
        <v>41657</v>
      </c>
      <c r="C6483" s="140" t="s">
        <v>41658</v>
      </c>
      <c r="D6483" s="140" t="s">
        <v>33342</v>
      </c>
      <c r="E6483" s="141" t="s">
        <v>41659</v>
      </c>
      <c r="F6483" s="139" t="s">
        <v>20146</v>
      </c>
      <c r="G6483" s="139" t="s">
        <v>33344</v>
      </c>
      <c r="H6483" s="139"/>
      <c r="I6483" s="140"/>
      <c r="J6483" s="140" t="s">
        <v>41660</v>
      </c>
      <c r="K6483" s="140" t="s">
        <v>41661</v>
      </c>
      <c r="L6483" s="140"/>
      <c r="M6483" s="140"/>
      <c r="N6483" s="12"/>
      <c r="O6483" s="12"/>
      <c r="P6483" s="13">
        <f>IFERROR(__xludf.DUMMYFUNCTION("VALUE(SUBSTITUTE((INDEX(SPLIT(A6483,"",""),1)),""."","","",1))"),58.56649)</f>
        <v>58.56649</v>
      </c>
      <c r="Q6483" s="13">
        <f>IFERROR(__xludf.DUMMYFUNCTION("VALUE(SUBSTITUTE((INDEX(SPLIT(A6483,"",""),2)),""."","","",1))"),49.644532)</f>
        <v>49.644532</v>
      </c>
      <c r="R6483" s="14" t="b">
        <f t="shared" si="1"/>
        <v>0</v>
      </c>
      <c r="S6483" s="14" t="str">
        <f t="shared" si="2"/>
        <v>58.56649,49.644532</v>
      </c>
      <c r="T6483" s="12"/>
    </row>
    <row r="6484">
      <c r="A6484" s="136" t="s">
        <v>41662</v>
      </c>
      <c r="B6484" s="137" t="s">
        <v>41663</v>
      </c>
      <c r="C6484" s="137" t="s">
        <v>41664</v>
      </c>
      <c r="D6484" s="137" t="s">
        <v>33342</v>
      </c>
      <c r="E6484" s="138" t="s">
        <v>41665</v>
      </c>
      <c r="F6484" s="136" t="s">
        <v>20146</v>
      </c>
      <c r="G6484" s="136" t="s">
        <v>33344</v>
      </c>
      <c r="H6484" s="136"/>
      <c r="I6484" s="137"/>
      <c r="J6484" s="137" t="s">
        <v>41666</v>
      </c>
      <c r="K6484" s="137" t="s">
        <v>41667</v>
      </c>
      <c r="L6484" s="137"/>
      <c r="M6484" s="153" t="s">
        <v>41668</v>
      </c>
      <c r="N6484" s="12"/>
      <c r="O6484" s="12"/>
      <c r="P6484" s="13">
        <f>IFERROR(__xludf.DUMMYFUNCTION("VALUE(SUBSTITUTE((INDEX(SPLIT(A6484,"",""),1)),""."","","",1))"),58.58372)</f>
        <v>58.58372</v>
      </c>
      <c r="Q6484" s="13">
        <f>IFERROR(__xludf.DUMMYFUNCTION("VALUE(SUBSTITUTE((INDEX(SPLIT(A6484,"",""),2)),""."","","",1))"),49.613935)</f>
        <v>49.613935</v>
      </c>
      <c r="R6484" s="14" t="b">
        <f t="shared" si="1"/>
        <v>0</v>
      </c>
      <c r="S6484" s="14" t="str">
        <f t="shared" si="2"/>
        <v>58.58372,49.613935</v>
      </c>
      <c r="T6484" s="12"/>
    </row>
    <row r="6485">
      <c r="A6485" s="146" t="s">
        <v>41669</v>
      </c>
      <c r="B6485" s="147" t="s">
        <v>41670</v>
      </c>
      <c r="C6485" s="147" t="s">
        <v>41671</v>
      </c>
      <c r="D6485" s="147" t="s">
        <v>33342</v>
      </c>
      <c r="E6485" s="148" t="s">
        <v>41672</v>
      </c>
      <c r="F6485" s="146" t="s">
        <v>20146</v>
      </c>
      <c r="G6485" s="146" t="s">
        <v>33344</v>
      </c>
      <c r="H6485" s="146"/>
      <c r="I6485" s="147"/>
      <c r="J6485" s="147" t="s">
        <v>41673</v>
      </c>
      <c r="K6485" s="147" t="s">
        <v>41674</v>
      </c>
      <c r="L6485" s="149" t="s">
        <v>41675</v>
      </c>
      <c r="M6485" s="147"/>
      <c r="N6485" s="12"/>
      <c r="O6485" s="12"/>
      <c r="P6485" s="13">
        <f>IFERROR(__xludf.DUMMYFUNCTION("VALUE(SUBSTITUTE((INDEX(SPLIT(A6485,"",""),1)),""."","","",1))"),58.58251)</f>
        <v>58.58251</v>
      </c>
      <c r="Q6485" s="13">
        <f>IFERROR(__xludf.DUMMYFUNCTION("VALUE(SUBSTITUTE((INDEX(SPLIT(A6485,"",""),2)),""."","","",1))"),49.613764)</f>
        <v>49.613764</v>
      </c>
      <c r="R6485" s="14" t="b">
        <f t="shared" si="1"/>
        <v>0</v>
      </c>
      <c r="S6485" s="14" t="str">
        <f t="shared" si="2"/>
        <v>58.58251,49.613764</v>
      </c>
      <c r="T6485" s="12"/>
    </row>
    <row r="6486">
      <c r="A6486" s="136" t="s">
        <v>14942</v>
      </c>
      <c r="B6486" s="137" t="s">
        <v>41676</v>
      </c>
      <c r="C6486" s="137" t="s">
        <v>41677</v>
      </c>
      <c r="D6486" s="137" t="s">
        <v>33342</v>
      </c>
      <c r="E6486" s="138" t="s">
        <v>41678</v>
      </c>
      <c r="F6486" s="136" t="s">
        <v>15565</v>
      </c>
      <c r="G6486" s="136" t="s">
        <v>33344</v>
      </c>
      <c r="H6486" s="136"/>
      <c r="I6486" s="137"/>
      <c r="J6486" s="137" t="s">
        <v>41679</v>
      </c>
      <c r="K6486" s="137" t="s">
        <v>41680</v>
      </c>
      <c r="L6486" s="137"/>
      <c r="M6486" s="137"/>
      <c r="N6486" s="12"/>
      <c r="O6486" s="12"/>
      <c r="P6486" s="13">
        <f>IFERROR(__xludf.DUMMYFUNCTION("VALUE(SUBSTITUTE((INDEX(SPLIT(A6486,"",""),1)),""."","","",1))"),57.626559)</f>
        <v>57.626559</v>
      </c>
      <c r="Q6486" s="13">
        <f>IFERROR(__xludf.DUMMYFUNCTION("VALUE(SUBSTITUTE((INDEX(SPLIT(A6486,"",""),2)),""."","","",1))"),39.893813)</f>
        <v>39.893813</v>
      </c>
      <c r="R6486" s="14" t="b">
        <f t="shared" si="1"/>
        <v>0</v>
      </c>
      <c r="S6486" s="14" t="str">
        <f t="shared" si="2"/>
        <v>57.626559,39.893813</v>
      </c>
      <c r="T6486" s="12"/>
    </row>
    <row r="6487">
      <c r="A6487" s="139" t="s">
        <v>41681</v>
      </c>
      <c r="B6487" s="140" t="s">
        <v>41682</v>
      </c>
      <c r="C6487" s="140" t="s">
        <v>41683</v>
      </c>
      <c r="D6487" s="140" t="s">
        <v>33342</v>
      </c>
      <c r="E6487" s="141" t="s">
        <v>41684</v>
      </c>
      <c r="F6487" s="139" t="s">
        <v>15565</v>
      </c>
      <c r="G6487" s="139" t="s">
        <v>33344</v>
      </c>
      <c r="H6487" s="139"/>
      <c r="I6487" s="140"/>
      <c r="J6487" s="140" t="s">
        <v>41685</v>
      </c>
      <c r="K6487" s="140" t="s">
        <v>41686</v>
      </c>
      <c r="L6487" s="140"/>
      <c r="M6487" s="140"/>
      <c r="N6487" s="12"/>
      <c r="O6487" s="12"/>
      <c r="P6487" s="13">
        <f>IFERROR(__xludf.DUMMYFUNCTION("VALUE(SUBSTITUTE((INDEX(SPLIT(A6487,"",""),1)),""."","","",1))"),57.80396)</f>
        <v>57.80396</v>
      </c>
      <c r="Q6487" s="13">
        <f>IFERROR(__xludf.DUMMYFUNCTION("VALUE(SUBSTITUTE((INDEX(SPLIT(A6487,"",""),2)),""."","","",1))"),40.999909)</f>
        <v>40.999909</v>
      </c>
      <c r="R6487" s="14" t="b">
        <f t="shared" si="1"/>
        <v>0</v>
      </c>
      <c r="S6487" s="14" t="str">
        <f t="shared" si="2"/>
        <v>57.80396,40.999909</v>
      </c>
      <c r="T6487" s="12"/>
    </row>
    <row r="6488">
      <c r="A6488" s="142" t="s">
        <v>41687</v>
      </c>
      <c r="B6488" s="143" t="s">
        <v>41688</v>
      </c>
      <c r="C6488" s="143" t="s">
        <v>41689</v>
      </c>
      <c r="D6488" s="143" t="s">
        <v>33342</v>
      </c>
      <c r="E6488" s="144" t="s">
        <v>41690</v>
      </c>
      <c r="F6488" s="142" t="s">
        <v>15565</v>
      </c>
      <c r="G6488" s="142" t="s">
        <v>33344</v>
      </c>
      <c r="H6488" s="142"/>
      <c r="I6488" s="143"/>
      <c r="J6488" s="143" t="s">
        <v>41691</v>
      </c>
      <c r="K6488" s="143" t="s">
        <v>41692</v>
      </c>
      <c r="L6488" s="145" t="s">
        <v>41693</v>
      </c>
      <c r="M6488" s="143"/>
      <c r="N6488" s="12"/>
      <c r="O6488" s="12"/>
      <c r="P6488" s="13">
        <f>IFERROR(__xludf.DUMMYFUNCTION("VALUE(SUBSTITUTE((INDEX(SPLIT(A6488,"",""),1)),""."","","",1))"),57.77436)</f>
        <v>57.77436</v>
      </c>
      <c r="Q6488" s="13">
        <f>IFERROR(__xludf.DUMMYFUNCTION("VALUE(SUBSTITUTE((INDEX(SPLIT(A6488,"",""),2)),""."","","",1))"),40.968154)</f>
        <v>40.968154</v>
      </c>
      <c r="R6488" s="14" t="b">
        <f t="shared" si="1"/>
        <v>0</v>
      </c>
      <c r="S6488" s="14" t="str">
        <f t="shared" si="2"/>
        <v>57.77436,40.968154</v>
      </c>
      <c r="T6488" s="12"/>
    </row>
    <row r="6489">
      <c r="A6489" s="146" t="s">
        <v>41694</v>
      </c>
      <c r="B6489" s="147" t="s">
        <v>41695</v>
      </c>
      <c r="C6489" s="147" t="s">
        <v>41696</v>
      </c>
      <c r="D6489" s="147" t="s">
        <v>33342</v>
      </c>
      <c r="E6489" s="148" t="s">
        <v>41697</v>
      </c>
      <c r="F6489" s="146" t="s">
        <v>15565</v>
      </c>
      <c r="G6489" s="146" t="s">
        <v>33344</v>
      </c>
      <c r="H6489" s="146"/>
      <c r="I6489" s="147"/>
      <c r="J6489" s="147" t="s">
        <v>41698</v>
      </c>
      <c r="K6489" s="147" t="s">
        <v>41699</v>
      </c>
      <c r="L6489" s="149" t="s">
        <v>41700</v>
      </c>
      <c r="M6489" s="147"/>
      <c r="N6489" s="12"/>
      <c r="O6489" s="12"/>
      <c r="P6489" s="13">
        <f>IFERROR(__xludf.DUMMYFUNCTION("VALUE(SUBSTITUTE((INDEX(SPLIT(A6489,"",""),1)),""."","","",1))"),57.732858)</f>
        <v>57.732858</v>
      </c>
      <c r="Q6489" s="13">
        <f>IFERROR(__xludf.DUMMYFUNCTION("VALUE(SUBSTITUTE((INDEX(SPLIT(A6489,"",""),2)),""."","","",1))"),40.97755)</f>
        <v>40.97755</v>
      </c>
      <c r="R6489" s="14" t="b">
        <f t="shared" si="1"/>
        <v>0</v>
      </c>
      <c r="S6489" s="14" t="str">
        <f t="shared" si="2"/>
        <v>57.732858,40.97755</v>
      </c>
      <c r="T6489" s="12"/>
    </row>
    <row r="6490">
      <c r="A6490" s="142" t="s">
        <v>41701</v>
      </c>
      <c r="B6490" s="143" t="s">
        <v>41702</v>
      </c>
      <c r="C6490" s="143" t="s">
        <v>41703</v>
      </c>
      <c r="D6490" s="143" t="s">
        <v>33342</v>
      </c>
      <c r="E6490" s="144" t="s">
        <v>41704</v>
      </c>
      <c r="F6490" s="142" t="s">
        <v>15565</v>
      </c>
      <c r="G6490" s="142" t="s">
        <v>33344</v>
      </c>
      <c r="H6490" s="142"/>
      <c r="I6490" s="143"/>
      <c r="J6490" s="143" t="s">
        <v>41705</v>
      </c>
      <c r="K6490" s="143" t="s">
        <v>35213</v>
      </c>
      <c r="L6490" s="152" t="s">
        <v>41706</v>
      </c>
      <c r="M6490" s="143"/>
      <c r="N6490" s="12"/>
      <c r="O6490" s="12"/>
      <c r="P6490" s="13">
        <f>IFERROR(__xludf.DUMMYFUNCTION("VALUE(SUBSTITUTE((INDEX(SPLIT(A6490,"",""),1)),""."","","",1))"),57.769574)</f>
        <v>57.769574</v>
      </c>
      <c r="Q6490" s="13">
        <f>IFERROR(__xludf.DUMMYFUNCTION("VALUE(SUBSTITUTE((INDEX(SPLIT(A6490,"",""),2)),""."","","",1))"),40.946522)</f>
        <v>40.946522</v>
      </c>
      <c r="R6490" s="14" t="b">
        <f t="shared" si="1"/>
        <v>0</v>
      </c>
      <c r="S6490" s="14" t="str">
        <f t="shared" si="2"/>
        <v>57.769574,40.946522</v>
      </c>
      <c r="T6490" s="12"/>
    </row>
    <row r="6491">
      <c r="A6491" s="139" t="s">
        <v>41707</v>
      </c>
      <c r="B6491" s="140" t="s">
        <v>41708</v>
      </c>
      <c r="C6491" s="140" t="s">
        <v>41709</v>
      </c>
      <c r="D6491" s="140" t="s">
        <v>33342</v>
      </c>
      <c r="E6491" s="141" t="s">
        <v>41710</v>
      </c>
      <c r="F6491" s="139" t="s">
        <v>15565</v>
      </c>
      <c r="G6491" s="139" t="s">
        <v>33344</v>
      </c>
      <c r="H6491" s="139"/>
      <c r="I6491" s="140"/>
      <c r="J6491" s="140" t="s">
        <v>41711</v>
      </c>
      <c r="K6491" s="140" t="s">
        <v>41712</v>
      </c>
      <c r="L6491" s="140"/>
      <c r="M6491" s="140"/>
      <c r="N6491" s="12"/>
      <c r="O6491" s="12"/>
      <c r="P6491" s="13">
        <f>IFERROR(__xludf.DUMMYFUNCTION("VALUE(SUBSTITUTE((INDEX(SPLIT(A6491,"",""),1)),""."","","",1))"),57.737836)</f>
        <v>57.737836</v>
      </c>
      <c r="Q6491" s="13">
        <f>IFERROR(__xludf.DUMMYFUNCTION("VALUE(SUBSTITUTE((INDEX(SPLIT(A6491,"",""),2)),""."","","",1))"),40.850483)</f>
        <v>40.850483</v>
      </c>
      <c r="R6491" s="14" t="b">
        <f t="shared" si="1"/>
        <v>0</v>
      </c>
      <c r="S6491" s="14" t="str">
        <f t="shared" si="2"/>
        <v>57.737836,40.850483</v>
      </c>
      <c r="T6491" s="12"/>
    </row>
    <row r="6492">
      <c r="A6492" s="136" t="s">
        <v>41713</v>
      </c>
      <c r="B6492" s="137" t="s">
        <v>41714</v>
      </c>
      <c r="C6492" s="137" t="s">
        <v>41715</v>
      </c>
      <c r="D6492" s="137" t="s">
        <v>33342</v>
      </c>
      <c r="E6492" s="138" t="s">
        <v>41716</v>
      </c>
      <c r="F6492" s="136" t="s">
        <v>15565</v>
      </c>
      <c r="G6492" s="136" t="s">
        <v>33344</v>
      </c>
      <c r="H6492" s="136"/>
      <c r="I6492" s="137"/>
      <c r="J6492" s="137" t="s">
        <v>41717</v>
      </c>
      <c r="K6492" s="137" t="s">
        <v>35220</v>
      </c>
      <c r="L6492" s="137"/>
      <c r="M6492" s="137"/>
      <c r="N6492" s="12"/>
      <c r="O6492" s="12"/>
      <c r="P6492" s="13">
        <f>IFERROR(__xludf.DUMMYFUNCTION("VALUE(SUBSTITUTE((INDEX(SPLIT(A6492,"",""),1)),""."","","",1))"),57.44702)</f>
        <v>57.44702</v>
      </c>
      <c r="Q6492" s="13">
        <f>IFERROR(__xludf.DUMMYFUNCTION("VALUE(SUBSTITUTE((INDEX(SPLIT(A6492,"",""),2)),""."","","",1))"),41.1636)</f>
        <v>41.1636</v>
      </c>
      <c r="R6492" s="14" t="b">
        <f t="shared" si="1"/>
        <v>0</v>
      </c>
      <c r="S6492" s="14" t="str">
        <f t="shared" si="2"/>
        <v>57.44702,41.1636</v>
      </c>
      <c r="T6492" s="12"/>
    </row>
    <row r="6493">
      <c r="A6493" s="139" t="s">
        <v>41718</v>
      </c>
      <c r="B6493" s="140" t="s">
        <v>41719</v>
      </c>
      <c r="C6493" s="140" t="s">
        <v>41720</v>
      </c>
      <c r="D6493" s="140" t="s">
        <v>33342</v>
      </c>
      <c r="E6493" s="141" t="s">
        <v>41721</v>
      </c>
      <c r="F6493" s="139" t="s">
        <v>31293</v>
      </c>
      <c r="G6493" s="139" t="s">
        <v>33344</v>
      </c>
      <c r="H6493" s="139"/>
      <c r="I6493" s="140"/>
      <c r="J6493" s="140" t="s">
        <v>41722</v>
      </c>
      <c r="K6493" s="140" t="s">
        <v>41723</v>
      </c>
      <c r="L6493" s="140"/>
      <c r="M6493" s="140"/>
      <c r="N6493" s="12"/>
      <c r="O6493" s="12"/>
      <c r="P6493" s="13">
        <f>IFERROR(__xludf.DUMMYFUNCTION("VALUE(SUBSTITUTE((INDEX(SPLIT(A6493,"",""),1)),""."","","",1))"),55.471393)</f>
        <v>55.471393</v>
      </c>
      <c r="Q6493" s="13">
        <f>IFERROR(__xludf.DUMMYFUNCTION("VALUE(SUBSTITUTE((INDEX(SPLIT(A6493,"",""),2)),""."","","",1))"),65.326098)</f>
        <v>65.326098</v>
      </c>
      <c r="R6493" s="14" t="b">
        <f t="shared" si="1"/>
        <v>0</v>
      </c>
      <c r="S6493" s="14" t="str">
        <f t="shared" si="2"/>
        <v>55.471393,65.326098</v>
      </c>
      <c r="T6493" s="12"/>
    </row>
    <row r="6494">
      <c r="A6494" s="136" t="s">
        <v>41724</v>
      </c>
      <c r="B6494" s="137" t="s">
        <v>41725</v>
      </c>
      <c r="C6494" s="137" t="s">
        <v>41726</v>
      </c>
      <c r="D6494" s="137" t="s">
        <v>33342</v>
      </c>
      <c r="E6494" s="138" t="s">
        <v>41727</v>
      </c>
      <c r="F6494" s="136" t="s">
        <v>31293</v>
      </c>
      <c r="G6494" s="136" t="s">
        <v>33344</v>
      </c>
      <c r="H6494" s="136"/>
      <c r="I6494" s="137"/>
      <c r="J6494" s="137" t="s">
        <v>41728</v>
      </c>
      <c r="K6494" s="137" t="s">
        <v>41729</v>
      </c>
      <c r="L6494" s="137"/>
      <c r="M6494" s="153" t="s">
        <v>41730</v>
      </c>
      <c r="N6494" s="12"/>
      <c r="O6494" s="12"/>
      <c r="P6494" s="13">
        <f>IFERROR(__xludf.DUMMYFUNCTION("VALUE(SUBSTITUTE((INDEX(SPLIT(A6494,"",""),1)),""."","","",1))"),55.463335)</f>
        <v>55.463335</v>
      </c>
      <c r="Q6494" s="13">
        <f>IFERROR(__xludf.DUMMYFUNCTION("VALUE(SUBSTITUTE((INDEX(SPLIT(A6494,"",""),2)),""."","","",1))"),65.260216)</f>
        <v>65.260216</v>
      </c>
      <c r="R6494" s="14" t="b">
        <f t="shared" si="1"/>
        <v>0</v>
      </c>
      <c r="S6494" s="14" t="str">
        <f t="shared" si="2"/>
        <v>55.463335,65.260216</v>
      </c>
      <c r="T6494" s="12"/>
    </row>
    <row r="6495">
      <c r="A6495" s="146" t="s">
        <v>41731</v>
      </c>
      <c r="B6495" s="147" t="s">
        <v>41732</v>
      </c>
      <c r="C6495" s="147" t="s">
        <v>41733</v>
      </c>
      <c r="D6495" s="147" t="s">
        <v>33342</v>
      </c>
      <c r="E6495" s="148" t="s">
        <v>41734</v>
      </c>
      <c r="F6495" s="146" t="s">
        <v>31293</v>
      </c>
      <c r="G6495" s="146" t="s">
        <v>33344</v>
      </c>
      <c r="H6495" s="146"/>
      <c r="I6495" s="147"/>
      <c r="J6495" s="147" t="s">
        <v>41735</v>
      </c>
      <c r="K6495" s="147" t="s">
        <v>41736</v>
      </c>
      <c r="L6495" s="149" t="s">
        <v>41737</v>
      </c>
      <c r="M6495" s="147"/>
      <c r="N6495" s="12"/>
      <c r="O6495" s="12"/>
      <c r="P6495" s="13">
        <f>IFERROR(__xludf.DUMMYFUNCTION("VALUE(SUBSTITUTE((INDEX(SPLIT(A6495,"",""),1)),""."","","",1))"),55.425788)</f>
        <v>55.425788</v>
      </c>
      <c r="Q6495" s="13">
        <f>IFERROR(__xludf.DUMMYFUNCTION("VALUE(SUBSTITUTE((INDEX(SPLIT(A6495,"",""),2)),""."","","",1))"),65.283132)</f>
        <v>65.283132</v>
      </c>
      <c r="R6495" s="14" t="b">
        <f t="shared" si="1"/>
        <v>0</v>
      </c>
      <c r="S6495" s="14" t="str">
        <f t="shared" si="2"/>
        <v>55.425788,65.283132</v>
      </c>
      <c r="T6495" s="12"/>
    </row>
    <row r="6496">
      <c r="A6496" s="142" t="s">
        <v>41738</v>
      </c>
      <c r="B6496" s="143" t="s">
        <v>41739</v>
      </c>
      <c r="C6496" s="143" t="s">
        <v>41740</v>
      </c>
      <c r="D6496" s="143" t="s">
        <v>33342</v>
      </c>
      <c r="E6496" s="144" t="s">
        <v>41741</v>
      </c>
      <c r="F6496" s="142" t="s">
        <v>31293</v>
      </c>
      <c r="G6496" s="142" t="s">
        <v>33344</v>
      </c>
      <c r="H6496" s="142"/>
      <c r="I6496" s="143"/>
      <c r="J6496" s="143" t="s">
        <v>41742</v>
      </c>
      <c r="K6496" s="143" t="s">
        <v>41743</v>
      </c>
      <c r="L6496" s="145" t="s">
        <v>41744</v>
      </c>
      <c r="M6496" s="143"/>
      <c r="N6496" s="12"/>
      <c r="O6496" s="12"/>
      <c r="P6496" s="13">
        <f>IFERROR(__xludf.DUMMYFUNCTION("VALUE(SUBSTITUTE((INDEX(SPLIT(A6496,"",""),1)),""."","","",1))"),55.431622)</f>
        <v>55.431622</v>
      </c>
      <c r="Q6496" s="13">
        <f>IFERROR(__xludf.DUMMYFUNCTION("VALUE(SUBSTITUTE((INDEX(SPLIT(A6496,"",""),2)),""."","","",1))"),65.293615)</f>
        <v>65.293615</v>
      </c>
      <c r="R6496" s="14" t="b">
        <f t="shared" si="1"/>
        <v>0</v>
      </c>
      <c r="S6496" s="14" t="str">
        <f t="shared" si="2"/>
        <v>55.431622,65.293615</v>
      </c>
      <c r="T6496" s="12"/>
    </row>
    <row r="6497">
      <c r="A6497" s="146" t="s">
        <v>41745</v>
      </c>
      <c r="B6497" s="147" t="s">
        <v>3744</v>
      </c>
      <c r="C6497" s="147" t="s">
        <v>33717</v>
      </c>
      <c r="D6497" s="147" t="s">
        <v>33342</v>
      </c>
      <c r="E6497" s="148" t="s">
        <v>41746</v>
      </c>
      <c r="F6497" s="146" t="s">
        <v>31293</v>
      </c>
      <c r="G6497" s="146" t="s">
        <v>33344</v>
      </c>
      <c r="H6497" s="146"/>
      <c r="I6497" s="147"/>
      <c r="J6497" s="147" t="s">
        <v>41747</v>
      </c>
      <c r="K6497" s="147" t="s">
        <v>41748</v>
      </c>
      <c r="L6497" s="149" t="s">
        <v>41749</v>
      </c>
      <c r="M6497" s="147"/>
      <c r="N6497" s="12"/>
      <c r="O6497" s="12"/>
      <c r="P6497" s="13">
        <f>IFERROR(__xludf.DUMMYFUNCTION("VALUE(SUBSTITUTE((INDEX(SPLIT(A6497,"",""),1)),""."","","",1))"),55.449061)</f>
        <v>55.449061</v>
      </c>
      <c r="Q6497" s="13">
        <f>IFERROR(__xludf.DUMMYFUNCTION("VALUE(SUBSTITUTE((INDEX(SPLIT(A6497,"",""),2)),""."","","",1))"),65.309965)</f>
        <v>65.309965</v>
      </c>
      <c r="R6497" s="14" t="b">
        <f t="shared" si="1"/>
        <v>0</v>
      </c>
      <c r="S6497" s="14" t="str">
        <f t="shared" si="2"/>
        <v>55.449061,65.309965</v>
      </c>
      <c r="T6497" s="12"/>
    </row>
    <row r="6498">
      <c r="A6498" s="136" t="s">
        <v>41750</v>
      </c>
      <c r="B6498" s="137" t="s">
        <v>15204</v>
      </c>
      <c r="C6498" s="137" t="s">
        <v>41751</v>
      </c>
      <c r="D6498" s="137" t="s">
        <v>33342</v>
      </c>
      <c r="E6498" s="138" t="s">
        <v>41752</v>
      </c>
      <c r="F6498" s="136" t="s">
        <v>31293</v>
      </c>
      <c r="G6498" s="136" t="s">
        <v>33344</v>
      </c>
      <c r="H6498" s="136"/>
      <c r="I6498" s="137"/>
      <c r="J6498" s="137" t="s">
        <v>41753</v>
      </c>
      <c r="K6498" s="137" t="s">
        <v>41754</v>
      </c>
      <c r="L6498" s="137"/>
      <c r="M6498" s="153" t="s">
        <v>41755</v>
      </c>
      <c r="N6498" s="12"/>
      <c r="O6498" s="12"/>
      <c r="P6498" s="13">
        <f>IFERROR(__xludf.DUMMYFUNCTION("VALUE(SUBSTITUTE((INDEX(SPLIT(A6498,"",""),1)),""."","","",1))"),55.422119)</f>
        <v>55.422119</v>
      </c>
      <c r="Q6498" s="13">
        <f>IFERROR(__xludf.DUMMYFUNCTION("VALUE(SUBSTITUTE((INDEX(SPLIT(A6498,"",""),2)),""."","","",1))"),65.288701)</f>
        <v>65.288701</v>
      </c>
      <c r="R6498" s="14" t="b">
        <f t="shared" si="1"/>
        <v>0</v>
      </c>
      <c r="S6498" s="14" t="str">
        <f t="shared" si="2"/>
        <v>55.422119,65.288701</v>
      </c>
      <c r="T6498" s="12"/>
    </row>
    <row r="6499">
      <c r="A6499" s="139" t="s">
        <v>41756</v>
      </c>
      <c r="B6499" s="140" t="s">
        <v>41757</v>
      </c>
      <c r="C6499" s="140" t="s">
        <v>41758</v>
      </c>
      <c r="D6499" s="140" t="s">
        <v>33342</v>
      </c>
      <c r="E6499" s="141" t="s">
        <v>41759</v>
      </c>
      <c r="F6499" s="139" t="s">
        <v>31293</v>
      </c>
      <c r="G6499" s="139" t="s">
        <v>33344</v>
      </c>
      <c r="H6499" s="139"/>
      <c r="I6499" s="140"/>
      <c r="J6499" s="140" t="s">
        <v>41760</v>
      </c>
      <c r="K6499" s="140" t="s">
        <v>41761</v>
      </c>
      <c r="L6499" s="140"/>
      <c r="M6499" s="140"/>
      <c r="N6499" s="12"/>
      <c r="O6499" s="12"/>
      <c r="P6499" s="13">
        <f>IFERROR(__xludf.DUMMYFUNCTION("VALUE(SUBSTITUTE((INDEX(SPLIT(A6499,"",""),1)),""."","","",1))"),55.428357)</f>
        <v>55.428357</v>
      </c>
      <c r="Q6499" s="13">
        <f>IFERROR(__xludf.DUMMYFUNCTION("VALUE(SUBSTITUTE((INDEX(SPLIT(A6499,"",""),2)),""."","","",1))"),65.284228)</f>
        <v>65.284228</v>
      </c>
      <c r="R6499" s="14" t="b">
        <f t="shared" si="1"/>
        <v>0</v>
      </c>
      <c r="S6499" s="14" t="str">
        <f t="shared" si="2"/>
        <v>55.428357,65.284228</v>
      </c>
      <c r="T6499" s="12"/>
    </row>
    <row r="6500">
      <c r="A6500" s="136" t="s">
        <v>41762</v>
      </c>
      <c r="B6500" s="137" t="s">
        <v>41763</v>
      </c>
      <c r="C6500" s="137" t="s">
        <v>41764</v>
      </c>
      <c r="D6500" s="137" t="s">
        <v>33342</v>
      </c>
      <c r="E6500" s="138" t="s">
        <v>41765</v>
      </c>
      <c r="F6500" s="136" t="s">
        <v>7052</v>
      </c>
      <c r="G6500" s="136" t="s">
        <v>33344</v>
      </c>
      <c r="H6500" s="136"/>
      <c r="I6500" s="137"/>
      <c r="J6500" s="137" t="s">
        <v>41766</v>
      </c>
      <c r="K6500" s="137" t="s">
        <v>41767</v>
      </c>
      <c r="L6500" s="137"/>
      <c r="M6500" s="137"/>
      <c r="N6500" s="12"/>
      <c r="O6500" s="12"/>
      <c r="P6500" s="13">
        <f>IFERROR(__xludf.DUMMYFUNCTION("VALUE(SUBSTITUTE((INDEX(SPLIT(A6500,"",""),1)),""."","","",1))"),52.121239)</f>
        <v>52.121239</v>
      </c>
      <c r="Q6500" s="13">
        <f>IFERROR(__xludf.DUMMYFUNCTION("VALUE(SUBSTITUTE((INDEX(SPLIT(A6500,"",""),2)),""."","","",1))"),35.06403)</f>
        <v>35.06403</v>
      </c>
      <c r="R6500" s="14" t="b">
        <f t="shared" si="1"/>
        <v>0</v>
      </c>
      <c r="S6500" s="14" t="str">
        <f t="shared" si="2"/>
        <v>52.121239,35.06403</v>
      </c>
      <c r="T6500" s="12"/>
    </row>
    <row r="6501">
      <c r="A6501" s="139" t="s">
        <v>41768</v>
      </c>
      <c r="B6501" s="140" t="s">
        <v>41769</v>
      </c>
      <c r="C6501" s="140" t="s">
        <v>41770</v>
      </c>
      <c r="D6501" s="140" t="s">
        <v>33342</v>
      </c>
      <c r="E6501" s="141" t="s">
        <v>41771</v>
      </c>
      <c r="F6501" s="139" t="s">
        <v>7052</v>
      </c>
      <c r="G6501" s="139" t="s">
        <v>33344</v>
      </c>
      <c r="H6501" s="139"/>
      <c r="I6501" s="140"/>
      <c r="J6501" s="140" t="s">
        <v>41772</v>
      </c>
      <c r="K6501" s="140" t="s">
        <v>41773</v>
      </c>
      <c r="L6501" s="140"/>
      <c r="M6501" s="154" t="s">
        <v>41774</v>
      </c>
      <c r="N6501" s="12"/>
      <c r="O6501" s="12"/>
      <c r="P6501" s="13">
        <f>IFERROR(__xludf.DUMMYFUNCTION("VALUE(SUBSTITUTE((INDEX(SPLIT(A6501,"",""),1)),""."","","",1))"),51.775533)</f>
        <v>51.775533</v>
      </c>
      <c r="Q6501" s="13">
        <f>IFERROR(__xludf.DUMMYFUNCTION("VALUE(SUBSTITUTE((INDEX(SPLIT(A6501,"",""),2)),""."","","",1))"),38.15684)</f>
        <v>38.15684</v>
      </c>
      <c r="R6501" s="14" t="b">
        <f t="shared" si="1"/>
        <v>0</v>
      </c>
      <c r="S6501" s="14" t="str">
        <f t="shared" si="2"/>
        <v>51.775533,38.15684</v>
      </c>
      <c r="T6501" s="12"/>
    </row>
    <row r="6502">
      <c r="A6502" s="142" t="s">
        <v>41775</v>
      </c>
      <c r="B6502" s="143" t="s">
        <v>41776</v>
      </c>
      <c r="C6502" s="143" t="s">
        <v>41777</v>
      </c>
      <c r="D6502" s="143" t="s">
        <v>33342</v>
      </c>
      <c r="E6502" s="144" t="s">
        <v>41778</v>
      </c>
      <c r="F6502" s="142" t="s">
        <v>7052</v>
      </c>
      <c r="G6502" s="142" t="s">
        <v>33344</v>
      </c>
      <c r="H6502" s="142"/>
      <c r="I6502" s="143"/>
      <c r="J6502" s="143" t="s">
        <v>41779</v>
      </c>
      <c r="K6502" s="143" t="s">
        <v>41780</v>
      </c>
      <c r="L6502" s="145" t="s">
        <v>41781</v>
      </c>
      <c r="M6502" s="145" t="s">
        <v>41782</v>
      </c>
      <c r="N6502" s="12"/>
      <c r="O6502" s="12"/>
      <c r="P6502" s="13">
        <f>IFERROR(__xludf.DUMMYFUNCTION("VALUE(SUBSTITUTE((INDEX(SPLIT(A6502,"",""),1)),""."","","",1))"),51.652997)</f>
        <v>51.652997</v>
      </c>
      <c r="Q6502" s="13">
        <f>IFERROR(__xludf.DUMMYFUNCTION("VALUE(SUBSTITUTE((INDEX(SPLIT(A6502,"",""),2)),""."","","",1))"),36.091317)</f>
        <v>36.091317</v>
      </c>
      <c r="R6502" s="14" t="b">
        <f t="shared" si="1"/>
        <v>0</v>
      </c>
      <c r="S6502" s="14" t="str">
        <f t="shared" si="2"/>
        <v>51.652997,36.091317</v>
      </c>
      <c r="T6502" s="12"/>
    </row>
    <row r="6503">
      <c r="A6503" s="139" t="s">
        <v>41783</v>
      </c>
      <c r="B6503" s="140" t="s">
        <v>41784</v>
      </c>
      <c r="C6503" s="140" t="s">
        <v>41785</v>
      </c>
      <c r="D6503" s="140" t="s">
        <v>33342</v>
      </c>
      <c r="E6503" s="141" t="s">
        <v>41786</v>
      </c>
      <c r="F6503" s="139" t="s">
        <v>7052</v>
      </c>
      <c r="G6503" s="139" t="s">
        <v>33344</v>
      </c>
      <c r="H6503" s="139"/>
      <c r="I6503" s="140"/>
      <c r="J6503" s="140" t="s">
        <v>41787</v>
      </c>
      <c r="K6503" s="140" t="s">
        <v>41788</v>
      </c>
      <c r="L6503" s="140"/>
      <c r="M6503" s="140"/>
      <c r="N6503" s="12"/>
      <c r="O6503" s="12"/>
      <c r="P6503" s="13">
        <f>IFERROR(__xludf.DUMMYFUNCTION("VALUE(SUBSTITUTE((INDEX(SPLIT(A6503,"",""),1)),""."","","",1))"),51.657462)</f>
        <v>51.657462</v>
      </c>
      <c r="Q6503" s="13">
        <f>IFERROR(__xludf.DUMMYFUNCTION("VALUE(SUBSTITUTE((INDEX(SPLIT(A6503,"",""),2)),""."","","",1))"),36.056687)</f>
        <v>36.056687</v>
      </c>
      <c r="R6503" s="14" t="b">
        <f t="shared" si="1"/>
        <v>0</v>
      </c>
      <c r="S6503" s="14" t="str">
        <f t="shared" si="2"/>
        <v>51.657462,36.056687</v>
      </c>
      <c r="T6503" s="12"/>
    </row>
    <row r="6504">
      <c r="A6504" s="142" t="s">
        <v>41789</v>
      </c>
      <c r="B6504" s="143" t="s">
        <v>41790</v>
      </c>
      <c r="C6504" s="143" t="s">
        <v>41791</v>
      </c>
      <c r="D6504" s="143" t="s">
        <v>33342</v>
      </c>
      <c r="E6504" s="144" t="s">
        <v>41792</v>
      </c>
      <c r="F6504" s="142" t="s">
        <v>7052</v>
      </c>
      <c r="G6504" s="142" t="s">
        <v>33344</v>
      </c>
      <c r="H6504" s="142"/>
      <c r="I6504" s="155" t="s">
        <v>41793</v>
      </c>
      <c r="J6504" s="143" t="s">
        <v>41794</v>
      </c>
      <c r="K6504" s="143" t="s">
        <v>41795</v>
      </c>
      <c r="L6504" s="145" t="s">
        <v>41796</v>
      </c>
      <c r="M6504" s="143"/>
      <c r="N6504" s="12"/>
      <c r="O6504" s="12"/>
      <c r="P6504" s="13">
        <f>IFERROR(__xludf.DUMMYFUNCTION("VALUE(SUBSTITUTE((INDEX(SPLIT(A6504,"",""),1)),""."","","",1))"),51.658624)</f>
        <v>51.658624</v>
      </c>
      <c r="Q6504" s="13">
        <f>IFERROR(__xludf.DUMMYFUNCTION("VALUE(SUBSTITUTE((INDEX(SPLIT(A6504,"",""),2)),""."","","",1))"),36.153579)</f>
        <v>36.153579</v>
      </c>
      <c r="R6504" s="14" t="b">
        <f t="shared" si="1"/>
        <v>0</v>
      </c>
      <c r="S6504" s="14" t="str">
        <f t="shared" si="2"/>
        <v>51.658624,36.153579</v>
      </c>
      <c r="T6504" s="12"/>
    </row>
    <row r="6505">
      <c r="A6505" s="146" t="s">
        <v>7660</v>
      </c>
      <c r="B6505" s="147" t="s">
        <v>41797</v>
      </c>
      <c r="C6505" s="147" t="s">
        <v>41798</v>
      </c>
      <c r="D6505" s="147" t="s">
        <v>33342</v>
      </c>
      <c r="E6505" s="148" t="s">
        <v>41799</v>
      </c>
      <c r="F6505" s="146" t="s">
        <v>7052</v>
      </c>
      <c r="G6505" s="146" t="s">
        <v>33344</v>
      </c>
      <c r="H6505" s="146"/>
      <c r="I6505" s="147"/>
      <c r="J6505" s="147" t="s">
        <v>41800</v>
      </c>
      <c r="K6505" s="147" t="s">
        <v>41801</v>
      </c>
      <c r="L6505" s="149" t="s">
        <v>41802</v>
      </c>
      <c r="M6505" s="147"/>
      <c r="N6505" s="12"/>
      <c r="O6505" s="12"/>
      <c r="P6505" s="13">
        <f>IFERROR(__xludf.DUMMYFUNCTION("VALUE(SUBSTITUTE((INDEX(SPLIT(A6505,"",""),1)),""."","","",1))"),51.749541)</f>
        <v>51.749541</v>
      </c>
      <c r="Q6505" s="13">
        <f>IFERROR(__xludf.DUMMYFUNCTION("VALUE(SUBSTITUTE((INDEX(SPLIT(A6505,"",""),2)),""."","","",1))"),36.24023)</f>
        <v>36.24023</v>
      </c>
      <c r="R6505" s="14" t="b">
        <f t="shared" si="1"/>
        <v>0</v>
      </c>
      <c r="S6505" s="14" t="str">
        <f t="shared" si="2"/>
        <v>51.749541,36.24023</v>
      </c>
      <c r="T6505" s="12"/>
    </row>
    <row r="6506">
      <c r="A6506" s="142" t="s">
        <v>41803</v>
      </c>
      <c r="B6506" s="143" t="s">
        <v>41804</v>
      </c>
      <c r="C6506" s="143" t="s">
        <v>41805</v>
      </c>
      <c r="D6506" s="143" t="s">
        <v>33342</v>
      </c>
      <c r="E6506" s="144" t="s">
        <v>41806</v>
      </c>
      <c r="F6506" s="142" t="s">
        <v>7052</v>
      </c>
      <c r="G6506" s="142" t="s">
        <v>33344</v>
      </c>
      <c r="H6506" s="142"/>
      <c r="I6506" s="143"/>
      <c r="J6506" s="143" t="s">
        <v>41807</v>
      </c>
      <c r="K6506" s="143" t="s">
        <v>41808</v>
      </c>
      <c r="L6506" s="145" t="s">
        <v>41809</v>
      </c>
      <c r="M6506" s="145" t="s">
        <v>41810</v>
      </c>
      <c r="N6506" s="12"/>
      <c r="O6506" s="12"/>
      <c r="P6506" s="13">
        <f>IFERROR(__xludf.DUMMYFUNCTION("VALUE(SUBSTITUTE((INDEX(SPLIT(A6506,"",""),1)),""."","","",1))"),51.712039)</f>
        <v>51.712039</v>
      </c>
      <c r="Q6506" s="13">
        <f>IFERROR(__xludf.DUMMYFUNCTION("VALUE(SUBSTITUTE((INDEX(SPLIT(A6506,"",""),2)),""."","","",1))"),36.157936)</f>
        <v>36.157936</v>
      </c>
      <c r="R6506" s="14" t="b">
        <f t="shared" si="1"/>
        <v>0</v>
      </c>
      <c r="S6506" s="14" t="str">
        <f t="shared" si="2"/>
        <v>51.712039,36.157936</v>
      </c>
      <c r="T6506" s="12"/>
    </row>
    <row r="6507">
      <c r="A6507" s="139" t="s">
        <v>41811</v>
      </c>
      <c r="B6507" s="140" t="s">
        <v>6129</v>
      </c>
      <c r="C6507" s="140" t="s">
        <v>41812</v>
      </c>
      <c r="D6507" s="140" t="s">
        <v>33342</v>
      </c>
      <c r="E6507" s="141" t="s">
        <v>41813</v>
      </c>
      <c r="F6507" s="139" t="s">
        <v>7052</v>
      </c>
      <c r="G6507" s="139" t="s">
        <v>33344</v>
      </c>
      <c r="H6507" s="139"/>
      <c r="I6507" s="140"/>
      <c r="J6507" s="140" t="s">
        <v>41814</v>
      </c>
      <c r="K6507" s="140" t="s">
        <v>41815</v>
      </c>
      <c r="L6507" s="140"/>
      <c r="M6507" s="140"/>
      <c r="N6507" s="12"/>
      <c r="O6507" s="12"/>
      <c r="P6507" s="13">
        <f>IFERROR(__xludf.DUMMYFUNCTION("VALUE(SUBSTITUTE((INDEX(SPLIT(A6507,"",""),1)),""."","","",1))"),51.75894)</f>
        <v>51.75894</v>
      </c>
      <c r="Q6507" s="13">
        <f>IFERROR(__xludf.DUMMYFUNCTION("VALUE(SUBSTITUTE((INDEX(SPLIT(A6507,"",""),2)),""."","","",1))"),36.12247)</f>
        <v>36.12247</v>
      </c>
      <c r="R6507" s="14" t="b">
        <f t="shared" si="1"/>
        <v>0</v>
      </c>
      <c r="S6507" s="14" t="str">
        <f t="shared" si="2"/>
        <v>51.75894,36.12247</v>
      </c>
      <c r="T6507" s="12"/>
    </row>
    <row r="6508">
      <c r="A6508" s="136" t="s">
        <v>41816</v>
      </c>
      <c r="B6508" s="137" t="s">
        <v>41817</v>
      </c>
      <c r="C6508" s="137" t="s">
        <v>41818</v>
      </c>
      <c r="D6508" s="137" t="s">
        <v>33342</v>
      </c>
      <c r="E6508" s="138" t="s">
        <v>41819</v>
      </c>
      <c r="F6508" s="136" t="s">
        <v>7052</v>
      </c>
      <c r="G6508" s="136" t="s">
        <v>33344</v>
      </c>
      <c r="H6508" s="136"/>
      <c r="I6508" s="137"/>
      <c r="J6508" s="137" t="s">
        <v>41820</v>
      </c>
      <c r="K6508" s="137" t="s">
        <v>41821</v>
      </c>
      <c r="L6508" s="137"/>
      <c r="M6508" s="153" t="s">
        <v>41822</v>
      </c>
      <c r="N6508" s="12"/>
      <c r="O6508" s="12"/>
      <c r="P6508" s="13">
        <f>IFERROR(__xludf.DUMMYFUNCTION("VALUE(SUBSTITUTE((INDEX(SPLIT(A6508,"",""),1)),""."","","",1))"),51.694043)</f>
        <v>51.694043</v>
      </c>
      <c r="Q6508" s="13">
        <f>IFERROR(__xludf.DUMMYFUNCTION("VALUE(SUBSTITUTE((INDEX(SPLIT(A6508,"",""),2)),""."","","",1))"),36.14915)</f>
        <v>36.14915</v>
      </c>
      <c r="R6508" s="14" t="b">
        <f t="shared" si="1"/>
        <v>0</v>
      </c>
      <c r="S6508" s="14" t="str">
        <f t="shared" si="2"/>
        <v>51.694043,36.14915</v>
      </c>
      <c r="T6508" s="12"/>
    </row>
    <row r="6509">
      <c r="A6509" s="139" t="s">
        <v>7580</v>
      </c>
      <c r="B6509" s="140" t="s">
        <v>41823</v>
      </c>
      <c r="C6509" s="140" t="s">
        <v>41824</v>
      </c>
      <c r="D6509" s="140" t="s">
        <v>33342</v>
      </c>
      <c r="E6509" s="141" t="s">
        <v>41825</v>
      </c>
      <c r="F6509" s="139" t="s">
        <v>7052</v>
      </c>
      <c r="G6509" s="139" t="s">
        <v>33344</v>
      </c>
      <c r="H6509" s="139"/>
      <c r="I6509" s="140"/>
      <c r="J6509" s="140" t="s">
        <v>41826</v>
      </c>
      <c r="K6509" s="140" t="s">
        <v>41827</v>
      </c>
      <c r="L6509" s="140"/>
      <c r="M6509" s="140"/>
      <c r="N6509" s="12"/>
      <c r="O6509" s="12"/>
      <c r="P6509" s="13">
        <f>IFERROR(__xludf.DUMMYFUNCTION("VALUE(SUBSTITUTE((INDEX(SPLIT(A6509,"",""),1)),""."","","",1))"),51.658417)</f>
        <v>51.658417</v>
      </c>
      <c r="Q6509" s="13">
        <f>IFERROR(__xludf.DUMMYFUNCTION("VALUE(SUBSTITUTE((INDEX(SPLIT(A6509,"",""),2)),""."","","",1))"),36.150237)</f>
        <v>36.150237</v>
      </c>
      <c r="R6509" s="14" t="b">
        <f t="shared" si="1"/>
        <v>0</v>
      </c>
      <c r="S6509" s="14" t="str">
        <f t="shared" si="2"/>
        <v>51.658417,36.150237</v>
      </c>
      <c r="T6509" s="12"/>
    </row>
    <row r="6510">
      <c r="A6510" s="136" t="s">
        <v>41828</v>
      </c>
      <c r="B6510" s="137" t="s">
        <v>41829</v>
      </c>
      <c r="C6510" s="137" t="s">
        <v>41830</v>
      </c>
      <c r="D6510" s="137" t="s">
        <v>33342</v>
      </c>
      <c r="E6510" s="138" t="s">
        <v>41831</v>
      </c>
      <c r="F6510" s="136" t="s">
        <v>7052</v>
      </c>
      <c r="G6510" s="136" t="s">
        <v>33344</v>
      </c>
      <c r="H6510" s="136"/>
      <c r="I6510" s="137"/>
      <c r="J6510" s="137" t="s">
        <v>41832</v>
      </c>
      <c r="K6510" s="137" t="s">
        <v>41833</v>
      </c>
      <c r="L6510" s="137"/>
      <c r="M6510" s="137"/>
      <c r="N6510" s="12"/>
      <c r="O6510" s="12"/>
      <c r="P6510" s="13">
        <f>IFERROR(__xludf.DUMMYFUNCTION("VALUE(SUBSTITUTE((INDEX(SPLIT(A6510,"",""),1)),""."","","",1))"),51.656607)</f>
        <v>51.656607</v>
      </c>
      <c r="Q6510" s="13">
        <f>IFERROR(__xludf.DUMMYFUNCTION("VALUE(SUBSTITUTE((INDEX(SPLIT(A6510,"",""),2)),""."","","",1))"),36.135658)</f>
        <v>36.135658</v>
      </c>
      <c r="R6510" s="14" t="b">
        <f t="shared" si="1"/>
        <v>0</v>
      </c>
      <c r="S6510" s="14" t="str">
        <f t="shared" si="2"/>
        <v>51.656607,36.135658</v>
      </c>
      <c r="T6510" s="12"/>
    </row>
    <row r="6511">
      <c r="A6511" s="139" t="s">
        <v>41834</v>
      </c>
      <c r="B6511" s="140" t="s">
        <v>41835</v>
      </c>
      <c r="C6511" s="140" t="s">
        <v>41836</v>
      </c>
      <c r="D6511" s="140" t="s">
        <v>33342</v>
      </c>
      <c r="E6511" s="141" t="s">
        <v>41837</v>
      </c>
      <c r="F6511" s="139" t="s">
        <v>7052</v>
      </c>
      <c r="G6511" s="139" t="s">
        <v>33344</v>
      </c>
      <c r="H6511" s="139"/>
      <c r="I6511" s="140"/>
      <c r="J6511" s="140" t="s">
        <v>41838</v>
      </c>
      <c r="K6511" s="140" t="s">
        <v>41839</v>
      </c>
      <c r="L6511" s="140"/>
      <c r="M6511" s="154" t="s">
        <v>41840</v>
      </c>
      <c r="N6511" s="12"/>
      <c r="O6511" s="12"/>
      <c r="P6511" s="13">
        <f>IFERROR(__xludf.DUMMYFUNCTION("VALUE(SUBSTITUTE((INDEX(SPLIT(A6511,"",""),1)),""."","","",1))"),51.719254)</f>
        <v>51.719254</v>
      </c>
      <c r="Q6511" s="13">
        <f>IFERROR(__xludf.DUMMYFUNCTION("VALUE(SUBSTITUTE((INDEX(SPLIT(A6511,"",""),2)),""."","","",1))"),36.141568)</f>
        <v>36.141568</v>
      </c>
      <c r="R6511" s="14" t="b">
        <f t="shared" si="1"/>
        <v>0</v>
      </c>
      <c r="S6511" s="14" t="str">
        <f t="shared" si="2"/>
        <v>51.719254,36.141568</v>
      </c>
      <c r="T6511" s="12"/>
    </row>
    <row r="6512">
      <c r="A6512" s="142" t="s">
        <v>41841</v>
      </c>
      <c r="B6512" s="143" t="s">
        <v>41842</v>
      </c>
      <c r="C6512" s="143" t="s">
        <v>41843</v>
      </c>
      <c r="D6512" s="143" t="s">
        <v>33342</v>
      </c>
      <c r="E6512" s="144" t="s">
        <v>41844</v>
      </c>
      <c r="F6512" s="142" t="s">
        <v>7052</v>
      </c>
      <c r="G6512" s="142" t="s">
        <v>33344</v>
      </c>
      <c r="H6512" s="142"/>
      <c r="I6512" s="143"/>
      <c r="J6512" s="143" t="s">
        <v>41845</v>
      </c>
      <c r="K6512" s="143" t="s">
        <v>41846</v>
      </c>
      <c r="L6512" s="145" t="s">
        <v>41847</v>
      </c>
      <c r="M6512" s="143"/>
      <c r="N6512" s="12"/>
      <c r="O6512" s="12"/>
      <c r="P6512" s="13">
        <f>IFERROR(__xludf.DUMMYFUNCTION("VALUE(SUBSTITUTE((INDEX(SPLIT(A6512,"",""),1)),""."","","",1))"),51.721563)</f>
        <v>51.721563</v>
      </c>
      <c r="Q6512" s="13">
        <f>IFERROR(__xludf.DUMMYFUNCTION("VALUE(SUBSTITUTE((INDEX(SPLIT(A6512,"",""),2)),""."","","",1))"),36.132963)</f>
        <v>36.132963</v>
      </c>
      <c r="R6512" s="14" t="b">
        <f t="shared" si="1"/>
        <v>0</v>
      </c>
      <c r="S6512" s="14" t="str">
        <f t="shared" si="2"/>
        <v>51.721563,36.132963</v>
      </c>
      <c r="T6512" s="12"/>
    </row>
    <row r="6513">
      <c r="A6513" s="139" t="s">
        <v>41848</v>
      </c>
      <c r="B6513" s="140" t="s">
        <v>41849</v>
      </c>
      <c r="C6513" s="140" t="s">
        <v>41850</v>
      </c>
      <c r="D6513" s="140" t="s">
        <v>33342</v>
      </c>
      <c r="E6513" s="141" t="s">
        <v>41851</v>
      </c>
      <c r="F6513" s="139" t="s">
        <v>7052</v>
      </c>
      <c r="G6513" s="139" t="s">
        <v>33344</v>
      </c>
      <c r="H6513" s="139"/>
      <c r="I6513" s="140"/>
      <c r="J6513" s="140" t="s">
        <v>41852</v>
      </c>
      <c r="K6513" s="140" t="s">
        <v>41853</v>
      </c>
      <c r="L6513" s="140"/>
      <c r="M6513" s="140"/>
      <c r="N6513" s="12"/>
      <c r="O6513" s="12"/>
      <c r="P6513" s="13">
        <f>IFERROR(__xludf.DUMMYFUNCTION("VALUE(SUBSTITUTE((INDEX(SPLIT(A6513,"",""),1)),""."","","",1))"),51.675902)</f>
        <v>51.675902</v>
      </c>
      <c r="Q6513" s="13">
        <f>IFERROR(__xludf.DUMMYFUNCTION("VALUE(SUBSTITUTE((INDEX(SPLIT(A6513,"",""),2)),""."","","",1))"),35.595519)</f>
        <v>35.595519</v>
      </c>
      <c r="R6513" s="14" t="b">
        <f t="shared" si="1"/>
        <v>0</v>
      </c>
      <c r="S6513" s="14" t="str">
        <f t="shared" si="2"/>
        <v>51.675902,35.595519</v>
      </c>
      <c r="T6513" s="12"/>
    </row>
    <row r="6514">
      <c r="A6514" s="136" t="s">
        <v>41854</v>
      </c>
      <c r="B6514" s="137" t="s">
        <v>41855</v>
      </c>
      <c r="C6514" s="137" t="s">
        <v>41856</v>
      </c>
      <c r="D6514" s="137" t="s">
        <v>33342</v>
      </c>
      <c r="E6514" s="138" t="s">
        <v>41857</v>
      </c>
      <c r="F6514" s="136" t="s">
        <v>3162</v>
      </c>
      <c r="G6514" s="136" t="s">
        <v>33344</v>
      </c>
      <c r="H6514" s="136"/>
      <c r="I6514" s="137"/>
      <c r="J6514" s="137" t="s">
        <v>41858</v>
      </c>
      <c r="K6514" s="137" t="s">
        <v>41859</v>
      </c>
      <c r="L6514" s="137"/>
      <c r="M6514" s="137"/>
      <c r="N6514" s="12"/>
      <c r="O6514" s="12"/>
      <c r="P6514" s="13">
        <f>IFERROR(__xludf.DUMMYFUNCTION("VALUE(SUBSTITUTE((INDEX(SPLIT(A6514,"",""),1)),""."","","",1))"),59.911543)</f>
        <v>59.911543</v>
      </c>
      <c r="Q6514" s="13">
        <f>IFERROR(__xludf.DUMMYFUNCTION("VALUE(SUBSTITUTE((INDEX(SPLIT(A6514,"",""),2)),""."","","",1))"),32.346707)</f>
        <v>32.346707</v>
      </c>
      <c r="R6514" s="14" t="b">
        <f t="shared" si="1"/>
        <v>0</v>
      </c>
      <c r="S6514" s="14" t="str">
        <f t="shared" si="2"/>
        <v>59.911543,32.346707</v>
      </c>
      <c r="T6514" s="12"/>
    </row>
    <row r="6515">
      <c r="A6515" s="146" t="s">
        <v>41860</v>
      </c>
      <c r="B6515" s="147" t="s">
        <v>41861</v>
      </c>
      <c r="C6515" s="147" t="s">
        <v>41862</v>
      </c>
      <c r="D6515" s="147" t="s">
        <v>33342</v>
      </c>
      <c r="E6515" s="148" t="s">
        <v>41863</v>
      </c>
      <c r="F6515" s="146" t="s">
        <v>3162</v>
      </c>
      <c r="G6515" s="146" t="s">
        <v>33344</v>
      </c>
      <c r="H6515" s="146"/>
      <c r="I6515" s="147"/>
      <c r="J6515" s="147" t="s">
        <v>41864</v>
      </c>
      <c r="K6515" s="147" t="s">
        <v>41865</v>
      </c>
      <c r="L6515" s="149" t="s">
        <v>41866</v>
      </c>
      <c r="M6515" s="147"/>
      <c r="N6515" s="12"/>
      <c r="O6515" s="12"/>
      <c r="P6515" s="13">
        <f>IFERROR(__xludf.DUMMYFUNCTION("VALUE(SUBSTITUTE((INDEX(SPLIT(A6515,"",""),1)),""."","","",1))"),59.921024)</f>
        <v>59.921024</v>
      </c>
      <c r="Q6515" s="13">
        <f>IFERROR(__xludf.DUMMYFUNCTION("VALUE(SUBSTITUTE((INDEX(SPLIT(A6515,"",""),2)),""."","","",1))"),32.314458)</f>
        <v>32.314458</v>
      </c>
      <c r="R6515" s="14" t="b">
        <f t="shared" si="1"/>
        <v>0</v>
      </c>
      <c r="S6515" s="14" t="str">
        <f t="shared" si="2"/>
        <v>59.921024,32.314458</v>
      </c>
      <c r="T6515" s="12"/>
    </row>
    <row r="6516">
      <c r="A6516" s="142" t="s">
        <v>41867</v>
      </c>
      <c r="B6516" s="143" t="s">
        <v>41868</v>
      </c>
      <c r="C6516" s="143" t="s">
        <v>41869</v>
      </c>
      <c r="D6516" s="143" t="s">
        <v>33342</v>
      </c>
      <c r="E6516" s="144" t="s">
        <v>41870</v>
      </c>
      <c r="F6516" s="142" t="s">
        <v>3162</v>
      </c>
      <c r="G6516" s="142" t="s">
        <v>33344</v>
      </c>
      <c r="H6516" s="142"/>
      <c r="I6516" s="143"/>
      <c r="J6516" s="143" t="s">
        <v>41871</v>
      </c>
      <c r="K6516" s="143" t="s">
        <v>41872</v>
      </c>
      <c r="L6516" s="145" t="s">
        <v>41873</v>
      </c>
      <c r="M6516" s="145" t="s">
        <v>41874</v>
      </c>
      <c r="N6516" s="12"/>
      <c r="O6516" s="12"/>
      <c r="P6516" s="13">
        <f>IFERROR(__xludf.DUMMYFUNCTION("VALUE(SUBSTITUTE((INDEX(SPLIT(A6516,"",""),1)),""."","","",1))"),59.94814)</f>
        <v>59.94814</v>
      </c>
      <c r="Q6516" s="13">
        <f>IFERROR(__xludf.DUMMYFUNCTION("VALUE(SUBSTITUTE((INDEX(SPLIT(A6516,"",""),2)),""."","","",1))"),30.560524)</f>
        <v>30.560524</v>
      </c>
      <c r="R6516" s="14" t="b">
        <f t="shared" si="1"/>
        <v>0</v>
      </c>
      <c r="S6516" s="14" t="str">
        <f t="shared" si="2"/>
        <v>59.94814,30.560524</v>
      </c>
      <c r="T6516" s="12"/>
    </row>
    <row r="6517">
      <c r="A6517" s="139" t="s">
        <v>41875</v>
      </c>
      <c r="B6517" s="140" t="s">
        <v>41876</v>
      </c>
      <c r="C6517" s="140" t="s">
        <v>41877</v>
      </c>
      <c r="D6517" s="140" t="s">
        <v>33342</v>
      </c>
      <c r="E6517" s="141" t="s">
        <v>41878</v>
      </c>
      <c r="F6517" s="139" t="s">
        <v>3162</v>
      </c>
      <c r="G6517" s="139" t="s">
        <v>33344</v>
      </c>
      <c r="H6517" s="139"/>
      <c r="I6517" s="140"/>
      <c r="J6517" s="140" t="s">
        <v>41879</v>
      </c>
      <c r="K6517" s="140" t="s">
        <v>41880</v>
      </c>
      <c r="L6517" s="140"/>
      <c r="M6517" s="154" t="s">
        <v>41881</v>
      </c>
      <c r="N6517" s="12"/>
      <c r="O6517" s="12"/>
      <c r="P6517" s="13">
        <f>IFERROR(__xludf.DUMMYFUNCTION("VALUE(SUBSTITUTE((INDEX(SPLIT(A6517,"",""),1)),""."","","",1))"),59.903733)</f>
        <v>59.903733</v>
      </c>
      <c r="Q6517" s="13">
        <f>IFERROR(__xludf.DUMMYFUNCTION("VALUE(SUBSTITUTE((INDEX(SPLIT(A6517,"",""),2)),""."","","",1))"),30.56498)</f>
        <v>30.56498</v>
      </c>
      <c r="R6517" s="14" t="b">
        <f t="shared" si="1"/>
        <v>0</v>
      </c>
      <c r="S6517" s="14" t="str">
        <f t="shared" si="2"/>
        <v>59.903733,30.56498</v>
      </c>
      <c r="T6517" s="12"/>
    </row>
    <row r="6518">
      <c r="A6518" s="136" t="s">
        <v>41882</v>
      </c>
      <c r="B6518" s="137" t="s">
        <v>41883</v>
      </c>
      <c r="C6518" s="137" t="s">
        <v>41884</v>
      </c>
      <c r="D6518" s="137" t="s">
        <v>33342</v>
      </c>
      <c r="E6518" s="138" t="s">
        <v>41885</v>
      </c>
      <c r="F6518" s="136" t="s">
        <v>3162</v>
      </c>
      <c r="G6518" s="136" t="s">
        <v>33344</v>
      </c>
      <c r="H6518" s="136"/>
      <c r="I6518" s="137"/>
      <c r="J6518" s="137" t="s">
        <v>41886</v>
      </c>
      <c r="K6518" s="137" t="s">
        <v>41887</v>
      </c>
      <c r="L6518" s="137"/>
      <c r="M6518" s="137"/>
      <c r="N6518" s="12"/>
      <c r="O6518" s="12"/>
      <c r="P6518" s="13">
        <f>IFERROR(__xludf.DUMMYFUNCTION("VALUE(SUBSTITUTE((INDEX(SPLIT(A6518,"",""),1)),""."","","",1))"),60.014207)</f>
        <v>60.014207</v>
      </c>
      <c r="Q6518" s="13">
        <f>IFERROR(__xludf.DUMMYFUNCTION("VALUE(SUBSTITUTE((INDEX(SPLIT(A6518,"",""),2)),""."","","",1))"),30.666921)</f>
        <v>30.666921</v>
      </c>
      <c r="R6518" s="14" t="b">
        <f t="shared" si="1"/>
        <v>0</v>
      </c>
      <c r="S6518" s="14" t="str">
        <f t="shared" si="2"/>
        <v>60.014207,30.666921</v>
      </c>
      <c r="T6518" s="12"/>
    </row>
    <row r="6519">
      <c r="A6519" s="139" t="s">
        <v>41888</v>
      </c>
      <c r="B6519" s="140" t="s">
        <v>41889</v>
      </c>
      <c r="C6519" s="140" t="s">
        <v>41890</v>
      </c>
      <c r="D6519" s="140" t="s">
        <v>33342</v>
      </c>
      <c r="E6519" s="141" t="s">
        <v>41891</v>
      </c>
      <c r="F6519" s="139" t="s">
        <v>3162</v>
      </c>
      <c r="G6519" s="139" t="s">
        <v>33344</v>
      </c>
      <c r="H6519" s="139"/>
      <c r="I6519" s="140"/>
      <c r="J6519" s="140" t="s">
        <v>41892</v>
      </c>
      <c r="K6519" s="140" t="s">
        <v>41893</v>
      </c>
      <c r="L6519" s="140"/>
      <c r="M6519" s="140"/>
      <c r="N6519" s="12"/>
      <c r="O6519" s="12"/>
      <c r="P6519" s="13">
        <f>IFERROR(__xludf.DUMMYFUNCTION("VALUE(SUBSTITUTE((INDEX(SPLIT(A6519,"",""),1)),""."","","",1))"),60.107599)</f>
        <v>60.107599</v>
      </c>
      <c r="Q6519" s="13">
        <f>IFERROR(__xludf.DUMMYFUNCTION("VALUE(SUBSTITUTE((INDEX(SPLIT(A6519,"",""),2)),""."","","",1))"),30.489845)</f>
        <v>30.489845</v>
      </c>
      <c r="R6519" s="14" t="b">
        <f t="shared" si="1"/>
        <v>0</v>
      </c>
      <c r="S6519" s="14" t="str">
        <f t="shared" si="2"/>
        <v>60.107599,30.489845</v>
      </c>
      <c r="T6519" s="12"/>
    </row>
    <row r="6520">
      <c r="A6520" s="136" t="s">
        <v>41894</v>
      </c>
      <c r="B6520" s="137" t="s">
        <v>41895</v>
      </c>
      <c r="C6520" s="137" t="s">
        <v>41896</v>
      </c>
      <c r="D6520" s="137" t="s">
        <v>33342</v>
      </c>
      <c r="E6520" s="138" t="s">
        <v>41897</v>
      </c>
      <c r="F6520" s="136" t="s">
        <v>3162</v>
      </c>
      <c r="G6520" s="136" t="s">
        <v>33344</v>
      </c>
      <c r="H6520" s="136"/>
      <c r="I6520" s="137"/>
      <c r="J6520" s="137" t="s">
        <v>41898</v>
      </c>
      <c r="K6520" s="137" t="s">
        <v>35373</v>
      </c>
      <c r="L6520" s="137"/>
      <c r="M6520" s="153" t="s">
        <v>41899</v>
      </c>
      <c r="N6520" s="12"/>
      <c r="O6520" s="12"/>
      <c r="P6520" s="13">
        <f>IFERROR(__xludf.DUMMYFUNCTION("VALUE(SUBSTITUTE((INDEX(SPLIT(A6520,"",""),1)),""."","","",1))"),59.91425)</f>
        <v>59.91425</v>
      </c>
      <c r="Q6520" s="13">
        <f>IFERROR(__xludf.DUMMYFUNCTION("VALUE(SUBSTITUTE((INDEX(SPLIT(A6520,"",""),2)),""."","","",1))"),30.511539)</f>
        <v>30.511539</v>
      </c>
      <c r="R6520" s="14" t="b">
        <f t="shared" si="1"/>
        <v>0</v>
      </c>
      <c r="S6520" s="14" t="str">
        <f t="shared" si="2"/>
        <v>59.91425,30.511539</v>
      </c>
      <c r="T6520" s="12"/>
    </row>
    <row r="6521">
      <c r="A6521" s="139" t="s">
        <v>41900</v>
      </c>
      <c r="B6521" s="140" t="s">
        <v>41901</v>
      </c>
      <c r="C6521" s="140" t="s">
        <v>41902</v>
      </c>
      <c r="D6521" s="140" t="s">
        <v>33342</v>
      </c>
      <c r="E6521" s="141" t="s">
        <v>41903</v>
      </c>
      <c r="F6521" s="139" t="s">
        <v>3162</v>
      </c>
      <c r="G6521" s="139" t="s">
        <v>33344</v>
      </c>
      <c r="H6521" s="139"/>
      <c r="I6521" s="140"/>
      <c r="J6521" s="140" t="s">
        <v>41904</v>
      </c>
      <c r="K6521" s="140" t="s">
        <v>41905</v>
      </c>
      <c r="L6521" s="140"/>
      <c r="M6521" s="140"/>
      <c r="N6521" s="12"/>
      <c r="O6521" s="12"/>
      <c r="P6521" s="13">
        <f>IFERROR(__xludf.DUMMYFUNCTION("VALUE(SUBSTITUTE((INDEX(SPLIT(A6521,"",""),1)),""."","","",1))"),60.017737)</f>
        <v>60.017737</v>
      </c>
      <c r="Q6521" s="13">
        <f>IFERROR(__xludf.DUMMYFUNCTION("VALUE(SUBSTITUTE((INDEX(SPLIT(A6521,"",""),2)),""."","","",1))"),30.646888)</f>
        <v>30.646888</v>
      </c>
      <c r="R6521" s="14" t="b">
        <f t="shared" si="1"/>
        <v>0</v>
      </c>
      <c r="S6521" s="14" t="str">
        <f t="shared" si="2"/>
        <v>60.017737,30.646888</v>
      </c>
      <c r="T6521" s="12"/>
    </row>
    <row r="6522">
      <c r="A6522" s="136" t="s">
        <v>41906</v>
      </c>
      <c r="B6522" s="137" t="s">
        <v>41907</v>
      </c>
      <c r="C6522" s="137" t="s">
        <v>41908</v>
      </c>
      <c r="D6522" s="137" t="s">
        <v>33342</v>
      </c>
      <c r="E6522" s="138" t="s">
        <v>41909</v>
      </c>
      <c r="F6522" s="136" t="s">
        <v>3162</v>
      </c>
      <c r="G6522" s="136" t="s">
        <v>33344</v>
      </c>
      <c r="H6522" s="136"/>
      <c r="I6522" s="137"/>
      <c r="J6522" s="137" t="s">
        <v>41910</v>
      </c>
      <c r="K6522" s="137" t="s">
        <v>41911</v>
      </c>
      <c r="L6522" s="137"/>
      <c r="M6522" s="137"/>
      <c r="N6522" s="12"/>
      <c r="O6522" s="12"/>
      <c r="P6522" s="13">
        <f>IFERROR(__xludf.DUMMYFUNCTION("VALUE(SUBSTITUTE((INDEX(SPLIT(A6522,"",""),1)),""."","","",1))"),60.050242)</f>
        <v>60.050242</v>
      </c>
      <c r="Q6522" s="13">
        <f>IFERROR(__xludf.DUMMYFUNCTION("VALUE(SUBSTITUTE((INDEX(SPLIT(A6522,"",""),2)),""."","","",1))"),30.445252)</f>
        <v>30.445252</v>
      </c>
      <c r="R6522" s="14" t="b">
        <f t="shared" si="1"/>
        <v>0</v>
      </c>
      <c r="S6522" s="14" t="str">
        <f t="shared" si="2"/>
        <v>60.050242,30.445252</v>
      </c>
      <c r="T6522" s="12"/>
    </row>
    <row r="6523">
      <c r="A6523" s="139" t="s">
        <v>41912</v>
      </c>
      <c r="B6523" s="140" t="s">
        <v>41913</v>
      </c>
      <c r="C6523" s="140" t="s">
        <v>41914</v>
      </c>
      <c r="D6523" s="140" t="s">
        <v>33342</v>
      </c>
      <c r="E6523" s="141" t="s">
        <v>41915</v>
      </c>
      <c r="F6523" s="139" t="s">
        <v>3162</v>
      </c>
      <c r="G6523" s="139" t="s">
        <v>33344</v>
      </c>
      <c r="H6523" s="139"/>
      <c r="I6523" s="140"/>
      <c r="J6523" s="140" t="s">
        <v>41916</v>
      </c>
      <c r="K6523" s="140" t="s">
        <v>41917</v>
      </c>
      <c r="L6523" s="140"/>
      <c r="M6523" s="140"/>
      <c r="N6523" s="12"/>
      <c r="O6523" s="12"/>
      <c r="P6523" s="13">
        <f>IFERROR(__xludf.DUMMYFUNCTION("VALUE(SUBSTITUTE((INDEX(SPLIT(A6523,"",""),1)),""."","","",1))"),60.022809)</f>
        <v>60.022809</v>
      </c>
      <c r="Q6523" s="13">
        <f>IFERROR(__xludf.DUMMYFUNCTION("VALUE(SUBSTITUTE((INDEX(SPLIT(A6523,"",""),2)),""."","","",1))"),30.645226)</f>
        <v>30.645226</v>
      </c>
      <c r="R6523" s="14" t="b">
        <f t="shared" si="1"/>
        <v>0</v>
      </c>
      <c r="S6523" s="14" t="str">
        <f t="shared" si="2"/>
        <v>60.022809,30.645226</v>
      </c>
      <c r="T6523" s="12"/>
    </row>
    <row r="6524">
      <c r="A6524" s="136" t="s">
        <v>41918</v>
      </c>
      <c r="B6524" s="137" t="s">
        <v>41919</v>
      </c>
      <c r="C6524" s="137" t="s">
        <v>41920</v>
      </c>
      <c r="D6524" s="137" t="s">
        <v>33342</v>
      </c>
      <c r="E6524" s="138" t="s">
        <v>41921</v>
      </c>
      <c r="F6524" s="136" t="s">
        <v>3162</v>
      </c>
      <c r="G6524" s="136" t="s">
        <v>33344</v>
      </c>
      <c r="H6524" s="136"/>
      <c r="I6524" s="137"/>
      <c r="J6524" s="137" t="s">
        <v>41922</v>
      </c>
      <c r="K6524" s="137" t="s">
        <v>41923</v>
      </c>
      <c r="L6524" s="137"/>
      <c r="M6524" s="137"/>
      <c r="N6524" s="12"/>
      <c r="O6524" s="12"/>
      <c r="P6524" s="13">
        <f>IFERROR(__xludf.DUMMYFUNCTION("VALUE(SUBSTITUTE((INDEX(SPLIT(A6524,"",""),1)),""."","","",1))"),60.034708)</f>
        <v>60.034708</v>
      </c>
      <c r="Q6524" s="13">
        <f>IFERROR(__xludf.DUMMYFUNCTION("VALUE(SUBSTITUTE((INDEX(SPLIT(A6524,"",""),2)),""."","","",1))"),30.737564)</f>
        <v>30.737564</v>
      </c>
      <c r="R6524" s="14" t="b">
        <f t="shared" si="1"/>
        <v>0</v>
      </c>
      <c r="S6524" s="14" t="str">
        <f t="shared" si="2"/>
        <v>60.034708,30.737564</v>
      </c>
      <c r="T6524" s="12"/>
    </row>
    <row r="6525">
      <c r="A6525" s="139" t="s">
        <v>41924</v>
      </c>
      <c r="B6525" s="140" t="s">
        <v>41925</v>
      </c>
      <c r="C6525" s="140" t="s">
        <v>41926</v>
      </c>
      <c r="D6525" s="140" t="s">
        <v>33342</v>
      </c>
      <c r="E6525" s="141" t="s">
        <v>41927</v>
      </c>
      <c r="F6525" s="139" t="s">
        <v>3162</v>
      </c>
      <c r="G6525" s="139" t="s">
        <v>33344</v>
      </c>
      <c r="H6525" s="139"/>
      <c r="I6525" s="140"/>
      <c r="J6525" s="140" t="s">
        <v>41928</v>
      </c>
      <c r="K6525" s="140" t="s">
        <v>41929</v>
      </c>
      <c r="L6525" s="140"/>
      <c r="M6525" s="140"/>
      <c r="N6525" s="12"/>
      <c r="O6525" s="12"/>
      <c r="P6525" s="13">
        <f>IFERROR(__xludf.DUMMYFUNCTION("VALUE(SUBSTITUTE((INDEX(SPLIT(A6525,"",""),1)),""."","","",1))"),60.13699)</f>
        <v>60.13699</v>
      </c>
      <c r="Q6525" s="13">
        <f>IFERROR(__xludf.DUMMYFUNCTION("VALUE(SUBSTITUTE((INDEX(SPLIT(A6525,"",""),2)),""."","","",1))"),30.205223)</f>
        <v>30.205223</v>
      </c>
      <c r="R6525" s="14" t="b">
        <f t="shared" si="1"/>
        <v>0</v>
      </c>
      <c r="S6525" s="14" t="str">
        <f t="shared" si="2"/>
        <v>60.13699,30.205223</v>
      </c>
      <c r="T6525" s="12"/>
    </row>
    <row r="6526">
      <c r="A6526" s="136" t="s">
        <v>4939</v>
      </c>
      <c r="B6526" s="137" t="s">
        <v>41930</v>
      </c>
      <c r="C6526" s="137" t="s">
        <v>41931</v>
      </c>
      <c r="D6526" s="137" t="s">
        <v>33342</v>
      </c>
      <c r="E6526" s="138" t="s">
        <v>41932</v>
      </c>
      <c r="F6526" s="136" t="s">
        <v>3162</v>
      </c>
      <c r="G6526" s="136" t="s">
        <v>33344</v>
      </c>
      <c r="H6526" s="136"/>
      <c r="I6526" s="137"/>
      <c r="J6526" s="137" t="s">
        <v>41933</v>
      </c>
      <c r="K6526" s="137" t="s">
        <v>41934</v>
      </c>
      <c r="L6526" s="137"/>
      <c r="M6526" s="137"/>
      <c r="N6526" s="12"/>
      <c r="O6526" s="12"/>
      <c r="P6526" s="13">
        <f>IFERROR(__xludf.DUMMYFUNCTION("VALUE(SUBSTITUTE((INDEX(SPLIT(A6526,"",""),1)),""."","","",1))"),60.024626)</f>
        <v>60.024626</v>
      </c>
      <c r="Q6526" s="13">
        <f>IFERROR(__xludf.DUMMYFUNCTION("VALUE(SUBSTITUTE((INDEX(SPLIT(A6526,"",""),2)),""."","","",1))"),30.645873)</f>
        <v>30.645873</v>
      </c>
      <c r="R6526" s="14" t="b">
        <f t="shared" si="1"/>
        <v>0</v>
      </c>
      <c r="S6526" s="14" t="str">
        <f t="shared" si="2"/>
        <v>60.024626,30.645873</v>
      </c>
      <c r="T6526" s="12"/>
    </row>
    <row r="6527">
      <c r="A6527" s="139" t="s">
        <v>41935</v>
      </c>
      <c r="B6527" s="140" t="s">
        <v>41936</v>
      </c>
      <c r="C6527" s="140" t="s">
        <v>41937</v>
      </c>
      <c r="D6527" s="140" t="s">
        <v>33342</v>
      </c>
      <c r="E6527" s="141" t="s">
        <v>41938</v>
      </c>
      <c r="F6527" s="139" t="s">
        <v>3162</v>
      </c>
      <c r="G6527" s="139" t="s">
        <v>33344</v>
      </c>
      <c r="H6527" s="139"/>
      <c r="I6527" s="140"/>
      <c r="J6527" s="140" t="s">
        <v>41939</v>
      </c>
      <c r="K6527" s="140" t="s">
        <v>41940</v>
      </c>
      <c r="L6527" s="140"/>
      <c r="M6527" s="140"/>
      <c r="N6527" s="12"/>
      <c r="O6527" s="12"/>
      <c r="P6527" s="13">
        <f>IFERROR(__xludf.DUMMYFUNCTION("VALUE(SUBSTITUTE((INDEX(SPLIT(A6527,"",""),1)),""."","","",1))"),60.709329)</f>
        <v>60.709329</v>
      </c>
      <c r="Q6527" s="13">
        <f>IFERROR(__xludf.DUMMYFUNCTION("VALUE(SUBSTITUTE((INDEX(SPLIT(A6527,"",""),2)),""."","","",1))"),28.77205)</f>
        <v>28.77205</v>
      </c>
      <c r="R6527" s="14" t="b">
        <f t="shared" si="1"/>
        <v>0</v>
      </c>
      <c r="S6527" s="14" t="str">
        <f t="shared" si="2"/>
        <v>60.709329,28.77205</v>
      </c>
      <c r="T6527" s="12"/>
    </row>
    <row r="6528">
      <c r="A6528" s="142" t="s">
        <v>41941</v>
      </c>
      <c r="B6528" s="143" t="s">
        <v>41942</v>
      </c>
      <c r="C6528" s="143" t="s">
        <v>41943</v>
      </c>
      <c r="D6528" s="143" t="s">
        <v>33342</v>
      </c>
      <c r="E6528" s="144" t="s">
        <v>41944</v>
      </c>
      <c r="F6528" s="142" t="s">
        <v>3162</v>
      </c>
      <c r="G6528" s="142" t="s">
        <v>33344</v>
      </c>
      <c r="H6528" s="142"/>
      <c r="I6528" s="143"/>
      <c r="J6528" s="143" t="s">
        <v>41945</v>
      </c>
      <c r="K6528" s="143" t="s">
        <v>41946</v>
      </c>
      <c r="L6528" s="145" t="s">
        <v>41947</v>
      </c>
      <c r="M6528" s="143"/>
      <c r="N6528" s="12"/>
      <c r="O6528" s="12"/>
      <c r="P6528" s="13">
        <f>IFERROR(__xludf.DUMMYFUNCTION("VALUE(SUBSTITUTE((INDEX(SPLIT(A6528,"",""),1)),""."","","",1))"),59.890762)</f>
        <v>59.890762</v>
      </c>
      <c r="Q6528" s="13">
        <f>IFERROR(__xludf.DUMMYFUNCTION("VALUE(SUBSTITUTE((INDEX(SPLIT(A6528,"",""),2)),""."","","",1))"),32.358269)</f>
        <v>32.358269</v>
      </c>
      <c r="R6528" s="14" t="b">
        <f t="shared" si="1"/>
        <v>0</v>
      </c>
      <c r="S6528" s="14" t="str">
        <f t="shared" si="2"/>
        <v>59.890762,32.358269</v>
      </c>
      <c r="T6528" s="12"/>
    </row>
    <row r="6529">
      <c r="A6529" s="146" t="s">
        <v>41948</v>
      </c>
      <c r="B6529" s="147" t="s">
        <v>41949</v>
      </c>
      <c r="C6529" s="147" t="s">
        <v>41950</v>
      </c>
      <c r="D6529" s="147" t="s">
        <v>33342</v>
      </c>
      <c r="E6529" s="148" t="s">
        <v>41951</v>
      </c>
      <c r="F6529" s="146" t="s">
        <v>3162</v>
      </c>
      <c r="G6529" s="146" t="s">
        <v>33344</v>
      </c>
      <c r="H6529" s="146"/>
      <c r="I6529" s="147"/>
      <c r="J6529" s="147" t="s">
        <v>41952</v>
      </c>
      <c r="K6529" s="147" t="s">
        <v>41953</v>
      </c>
      <c r="L6529" s="149" t="s">
        <v>41954</v>
      </c>
      <c r="M6529" s="147"/>
      <c r="N6529" s="12"/>
      <c r="O6529" s="12"/>
      <c r="P6529" s="13">
        <f>IFERROR(__xludf.DUMMYFUNCTION("VALUE(SUBSTITUTE((INDEX(SPLIT(A6529,"",""),1)),""."","","",1))"),60.65431)</f>
        <v>60.65431</v>
      </c>
      <c r="Q6529" s="13">
        <f>IFERROR(__xludf.DUMMYFUNCTION("VALUE(SUBSTITUTE((INDEX(SPLIT(A6529,"",""),2)),""."","","",1))"),28.740744)</f>
        <v>28.740744</v>
      </c>
      <c r="R6529" s="14" t="b">
        <f t="shared" si="1"/>
        <v>0</v>
      </c>
      <c r="S6529" s="14" t="str">
        <f t="shared" si="2"/>
        <v>60.65431,28.740744</v>
      </c>
      <c r="T6529" s="12"/>
    </row>
    <row r="6530">
      <c r="A6530" s="142" t="s">
        <v>41955</v>
      </c>
      <c r="B6530" s="143" t="s">
        <v>41956</v>
      </c>
      <c r="C6530" s="143" t="s">
        <v>41957</v>
      </c>
      <c r="D6530" s="143" t="s">
        <v>33342</v>
      </c>
      <c r="E6530" s="144" t="s">
        <v>41958</v>
      </c>
      <c r="F6530" s="142" t="s">
        <v>3162</v>
      </c>
      <c r="G6530" s="142" t="s">
        <v>33344</v>
      </c>
      <c r="H6530" s="142"/>
      <c r="I6530" s="143"/>
      <c r="J6530" s="143" t="s">
        <v>41959</v>
      </c>
      <c r="K6530" s="143" t="s">
        <v>41960</v>
      </c>
      <c r="L6530" s="145" t="s">
        <v>41961</v>
      </c>
      <c r="M6530" s="143"/>
      <c r="N6530" s="12"/>
      <c r="O6530" s="12"/>
      <c r="P6530" s="13">
        <f>IFERROR(__xludf.DUMMYFUNCTION("VALUE(SUBSTITUTE((INDEX(SPLIT(A6530,"",""),1)),""."","","",1))"),60.689514)</f>
        <v>60.689514</v>
      </c>
      <c r="Q6530" s="13">
        <f>IFERROR(__xludf.DUMMYFUNCTION("VALUE(SUBSTITUTE((INDEX(SPLIT(A6530,"",""),2)),""."","","",1))"),28.81631)</f>
        <v>28.81631</v>
      </c>
      <c r="R6530" s="14" t="b">
        <f t="shared" si="1"/>
        <v>0</v>
      </c>
      <c r="S6530" s="14" t="str">
        <f t="shared" si="2"/>
        <v>60.689514,28.81631</v>
      </c>
      <c r="T6530" s="12"/>
    </row>
    <row r="6531">
      <c r="A6531" s="146" t="s">
        <v>41962</v>
      </c>
      <c r="B6531" s="147" t="s">
        <v>41963</v>
      </c>
      <c r="C6531" s="147" t="s">
        <v>41964</v>
      </c>
      <c r="D6531" s="147" t="s">
        <v>33342</v>
      </c>
      <c r="E6531" s="148" t="s">
        <v>41965</v>
      </c>
      <c r="F6531" s="146" t="s">
        <v>3162</v>
      </c>
      <c r="G6531" s="146" t="s">
        <v>33344</v>
      </c>
      <c r="H6531" s="146"/>
      <c r="I6531" s="151" t="s">
        <v>41966</v>
      </c>
      <c r="J6531" s="147" t="s">
        <v>41967</v>
      </c>
      <c r="K6531" s="147" t="s">
        <v>41968</v>
      </c>
      <c r="L6531" s="150" t="s">
        <v>41969</v>
      </c>
      <c r="M6531" s="147"/>
      <c r="N6531" s="12"/>
      <c r="O6531" s="12"/>
      <c r="P6531" s="13">
        <f>IFERROR(__xludf.DUMMYFUNCTION("VALUE(SUBSTITUTE((INDEX(SPLIT(A6531,"",""),1)),""."","","",1))"),59.355815)</f>
        <v>59.355815</v>
      </c>
      <c r="Q6531" s="13">
        <f>IFERROR(__xludf.DUMMYFUNCTION("VALUE(SUBSTITUTE((INDEX(SPLIT(A6531,"",""),2)),""."","","",1))"),30.060288)</f>
        <v>30.060288</v>
      </c>
      <c r="R6531" s="14" t="b">
        <f t="shared" si="1"/>
        <v>0</v>
      </c>
      <c r="S6531" s="14" t="str">
        <f t="shared" si="2"/>
        <v>59.355815,30.060288</v>
      </c>
      <c r="T6531" s="12"/>
    </row>
    <row r="6532">
      <c r="A6532" s="142" t="s">
        <v>41970</v>
      </c>
      <c r="B6532" s="143" t="s">
        <v>41971</v>
      </c>
      <c r="C6532" s="143" t="s">
        <v>41972</v>
      </c>
      <c r="D6532" s="143" t="s">
        <v>33342</v>
      </c>
      <c r="E6532" s="144" t="s">
        <v>41973</v>
      </c>
      <c r="F6532" s="142" t="s">
        <v>3162</v>
      </c>
      <c r="G6532" s="142" t="s">
        <v>33344</v>
      </c>
      <c r="H6532" s="142"/>
      <c r="I6532" s="143"/>
      <c r="J6532" s="143" t="s">
        <v>41974</v>
      </c>
      <c r="K6532" s="143" t="s">
        <v>41975</v>
      </c>
      <c r="L6532" s="145" t="s">
        <v>41976</v>
      </c>
      <c r="M6532" s="143"/>
      <c r="N6532" s="12"/>
      <c r="O6532" s="12"/>
      <c r="P6532" s="13">
        <f>IFERROR(__xludf.DUMMYFUNCTION("VALUE(SUBSTITUTE((INDEX(SPLIT(A6532,"",""),1)),""."","","",1))"),59.559717)</f>
        <v>59.559717</v>
      </c>
      <c r="Q6532" s="13">
        <f>IFERROR(__xludf.DUMMYFUNCTION("VALUE(SUBSTITUTE((INDEX(SPLIT(A6532,"",""),2)),""."","","",1))"),30.108223)</f>
        <v>30.108223</v>
      </c>
      <c r="R6532" s="14" t="b">
        <f t="shared" si="1"/>
        <v>0</v>
      </c>
      <c r="S6532" s="14" t="str">
        <f t="shared" si="2"/>
        <v>59.559717,30.108223</v>
      </c>
      <c r="T6532" s="12"/>
    </row>
    <row r="6533">
      <c r="A6533" s="146" t="s">
        <v>41977</v>
      </c>
      <c r="B6533" s="147" t="s">
        <v>41978</v>
      </c>
      <c r="C6533" s="147" t="s">
        <v>41979</v>
      </c>
      <c r="D6533" s="147" t="s">
        <v>33342</v>
      </c>
      <c r="E6533" s="148" t="s">
        <v>41980</v>
      </c>
      <c r="F6533" s="146" t="s">
        <v>3162</v>
      </c>
      <c r="G6533" s="146" t="s">
        <v>33344</v>
      </c>
      <c r="H6533" s="146"/>
      <c r="I6533" s="147"/>
      <c r="J6533" s="147" t="s">
        <v>41981</v>
      </c>
      <c r="K6533" s="147" t="s">
        <v>41982</v>
      </c>
      <c r="L6533" s="149" t="s">
        <v>41983</v>
      </c>
      <c r="M6533" s="149" t="s">
        <v>41984</v>
      </c>
      <c r="N6533" s="12"/>
      <c r="O6533" s="12"/>
      <c r="P6533" s="13">
        <f>IFERROR(__xludf.DUMMYFUNCTION("VALUE(SUBSTITUTE((INDEX(SPLIT(A6533,"",""),1)),""."","","",1))"),59.541681)</f>
        <v>59.541681</v>
      </c>
      <c r="Q6533" s="13">
        <f>IFERROR(__xludf.DUMMYFUNCTION("VALUE(SUBSTITUTE((INDEX(SPLIT(A6533,"",""),2)),""."","","",1))"),30.143625)</f>
        <v>30.143625</v>
      </c>
      <c r="R6533" s="14" t="b">
        <f t="shared" si="1"/>
        <v>0</v>
      </c>
      <c r="S6533" s="14" t="str">
        <f t="shared" si="2"/>
        <v>59.541681,30.143625</v>
      </c>
      <c r="T6533" s="12"/>
    </row>
    <row r="6534">
      <c r="A6534" s="136" t="s">
        <v>41985</v>
      </c>
      <c r="B6534" s="137" t="s">
        <v>41986</v>
      </c>
      <c r="C6534" s="137" t="s">
        <v>41987</v>
      </c>
      <c r="D6534" s="137" t="s">
        <v>33342</v>
      </c>
      <c r="E6534" s="138" t="s">
        <v>41988</v>
      </c>
      <c r="F6534" s="136" t="s">
        <v>3162</v>
      </c>
      <c r="G6534" s="136" t="s">
        <v>33344</v>
      </c>
      <c r="H6534" s="136"/>
      <c r="I6534" s="137"/>
      <c r="J6534" s="137" t="s">
        <v>41989</v>
      </c>
      <c r="K6534" s="137" t="s">
        <v>41990</v>
      </c>
      <c r="L6534" s="137"/>
      <c r="M6534" s="137"/>
      <c r="N6534" s="12"/>
      <c r="O6534" s="12"/>
      <c r="P6534" s="13">
        <f>IFERROR(__xludf.DUMMYFUNCTION("VALUE(SUBSTITUTE((INDEX(SPLIT(A6534,"",""),1)),""."","","",1))"),59.568907)</f>
        <v>59.568907</v>
      </c>
      <c r="Q6534" s="13">
        <f>IFERROR(__xludf.DUMMYFUNCTION("VALUE(SUBSTITUTE((INDEX(SPLIT(A6534,"",""),2)),""."","","",1))"),30.124248)</f>
        <v>30.124248</v>
      </c>
      <c r="R6534" s="14" t="b">
        <f t="shared" si="1"/>
        <v>0</v>
      </c>
      <c r="S6534" s="14" t="str">
        <f t="shared" si="2"/>
        <v>59.568907,30.124248</v>
      </c>
      <c r="T6534" s="12"/>
    </row>
    <row r="6535">
      <c r="A6535" s="139" t="s">
        <v>41991</v>
      </c>
      <c r="B6535" s="140" t="s">
        <v>41992</v>
      </c>
      <c r="C6535" s="140" t="s">
        <v>41993</v>
      </c>
      <c r="D6535" s="140" t="s">
        <v>33342</v>
      </c>
      <c r="E6535" s="141" t="s">
        <v>41994</v>
      </c>
      <c r="F6535" s="139" t="s">
        <v>3162</v>
      </c>
      <c r="G6535" s="139" t="s">
        <v>33344</v>
      </c>
      <c r="H6535" s="139"/>
      <c r="I6535" s="140"/>
      <c r="J6535" s="140" t="s">
        <v>41995</v>
      </c>
      <c r="K6535" s="140" t="s">
        <v>41996</v>
      </c>
      <c r="L6535" s="140"/>
      <c r="M6535" s="140"/>
      <c r="N6535" s="12"/>
      <c r="O6535" s="12"/>
      <c r="P6535" s="13">
        <f>IFERROR(__xludf.DUMMYFUNCTION("VALUE(SUBSTITUTE((INDEX(SPLIT(A6535,"",""),1)),""."","","",1))"),59.757683)</f>
        <v>59.757683</v>
      </c>
      <c r="Q6535" s="13">
        <f>IFERROR(__xludf.DUMMYFUNCTION("VALUE(SUBSTITUTE((INDEX(SPLIT(A6535,"",""),2)),""."","","",1))"),31.05952)</f>
        <v>31.05952</v>
      </c>
      <c r="R6535" s="14" t="b">
        <f t="shared" si="1"/>
        <v>0</v>
      </c>
      <c r="S6535" s="14" t="str">
        <f t="shared" si="2"/>
        <v>59.757683,31.05952</v>
      </c>
      <c r="T6535" s="12"/>
    </row>
    <row r="6536">
      <c r="A6536" s="142" t="s">
        <v>41997</v>
      </c>
      <c r="B6536" s="143" t="s">
        <v>41998</v>
      </c>
      <c r="C6536" s="143" t="s">
        <v>41999</v>
      </c>
      <c r="D6536" s="143" t="s">
        <v>33342</v>
      </c>
      <c r="E6536" s="144" t="s">
        <v>42000</v>
      </c>
      <c r="F6536" s="142" t="s">
        <v>3162</v>
      </c>
      <c r="G6536" s="142" t="s">
        <v>33344</v>
      </c>
      <c r="H6536" s="142"/>
      <c r="I6536" s="143"/>
      <c r="J6536" s="143" t="s">
        <v>42001</v>
      </c>
      <c r="K6536" s="143" t="s">
        <v>42002</v>
      </c>
      <c r="L6536" s="145" t="s">
        <v>42003</v>
      </c>
      <c r="M6536" s="145" t="s">
        <v>42004</v>
      </c>
      <c r="N6536" s="12"/>
      <c r="O6536" s="12"/>
      <c r="P6536" s="13">
        <f>IFERROR(__xludf.DUMMYFUNCTION("VALUE(SUBSTITUTE((INDEX(SPLIT(A6536,"",""),1)),""."","","",1))"),59.866707)</f>
        <v>59.866707</v>
      </c>
      <c r="Q6536" s="13">
        <f>IFERROR(__xludf.DUMMYFUNCTION("VALUE(SUBSTITUTE((INDEX(SPLIT(A6536,"",""),2)),""."","","",1))"),30.98337)</f>
        <v>30.98337</v>
      </c>
      <c r="R6536" s="14" t="b">
        <f t="shared" si="1"/>
        <v>0</v>
      </c>
      <c r="S6536" s="14" t="str">
        <f t="shared" si="2"/>
        <v>59.866707,30.98337</v>
      </c>
      <c r="T6536" s="12"/>
    </row>
    <row r="6537">
      <c r="A6537" s="146" t="s">
        <v>42005</v>
      </c>
      <c r="B6537" s="147" t="s">
        <v>31082</v>
      </c>
      <c r="C6537" s="147" t="s">
        <v>42006</v>
      </c>
      <c r="D6537" s="147" t="s">
        <v>33342</v>
      </c>
      <c r="E6537" s="148" t="s">
        <v>42007</v>
      </c>
      <c r="F6537" s="146" t="s">
        <v>3162</v>
      </c>
      <c r="G6537" s="146" t="s">
        <v>33344</v>
      </c>
      <c r="H6537" s="146"/>
      <c r="I6537" s="147"/>
      <c r="J6537" s="147" t="s">
        <v>42008</v>
      </c>
      <c r="K6537" s="147" t="s">
        <v>42009</v>
      </c>
      <c r="L6537" s="149" t="s">
        <v>42010</v>
      </c>
      <c r="M6537" s="147"/>
      <c r="N6537" s="12"/>
      <c r="O6537" s="12"/>
      <c r="P6537" s="13">
        <f>IFERROR(__xludf.DUMMYFUNCTION("VALUE(SUBSTITUTE((INDEX(SPLIT(A6537,"",""),1)),""."","","",1))"),59.37957)</f>
        <v>59.37957</v>
      </c>
      <c r="Q6537" s="13">
        <f>IFERROR(__xludf.DUMMYFUNCTION("VALUE(SUBSTITUTE((INDEX(SPLIT(A6537,"",""),2)),""."","","",1))"),28.617549)</f>
        <v>28.617549</v>
      </c>
      <c r="R6537" s="14" t="b">
        <f t="shared" si="1"/>
        <v>0</v>
      </c>
      <c r="S6537" s="14" t="str">
        <f t="shared" si="2"/>
        <v>59.37957,28.617549</v>
      </c>
      <c r="T6537" s="12"/>
    </row>
    <row r="6538">
      <c r="A6538" s="142" t="s">
        <v>42011</v>
      </c>
      <c r="B6538" s="143" t="s">
        <v>42012</v>
      </c>
      <c r="C6538" s="143" t="s">
        <v>42013</v>
      </c>
      <c r="D6538" s="143" t="s">
        <v>33342</v>
      </c>
      <c r="E6538" s="144" t="s">
        <v>42014</v>
      </c>
      <c r="F6538" s="142" t="s">
        <v>3162</v>
      </c>
      <c r="G6538" s="142" t="s">
        <v>33344</v>
      </c>
      <c r="H6538" s="142"/>
      <c r="I6538" s="143"/>
      <c r="J6538" s="143" t="s">
        <v>42015</v>
      </c>
      <c r="K6538" s="143" t="s">
        <v>42016</v>
      </c>
      <c r="L6538" s="145" t="s">
        <v>42017</v>
      </c>
      <c r="M6538" s="145" t="s">
        <v>42018</v>
      </c>
      <c r="N6538" s="12"/>
      <c r="O6538" s="12"/>
      <c r="P6538" s="13">
        <f>IFERROR(__xludf.DUMMYFUNCTION("VALUE(SUBSTITUTE((INDEX(SPLIT(A6538,"",""),1)),""."","","",1))"),59.776197)</f>
        <v>59.776197</v>
      </c>
      <c r="Q6538" s="13">
        <f>IFERROR(__xludf.DUMMYFUNCTION("VALUE(SUBSTITUTE((INDEX(SPLIT(A6538,"",""),2)),""."","","",1))"),28.47575)</f>
        <v>28.47575</v>
      </c>
      <c r="R6538" s="14" t="b">
        <f t="shared" si="1"/>
        <v>0</v>
      </c>
      <c r="S6538" s="14" t="str">
        <f t="shared" si="2"/>
        <v>59.776197,28.47575</v>
      </c>
      <c r="T6538" s="12"/>
    </row>
    <row r="6539">
      <c r="A6539" s="139" t="s">
        <v>42019</v>
      </c>
      <c r="B6539" s="140" t="s">
        <v>42020</v>
      </c>
      <c r="C6539" s="140" t="s">
        <v>42021</v>
      </c>
      <c r="D6539" s="140" t="s">
        <v>33342</v>
      </c>
      <c r="E6539" s="141" t="s">
        <v>42022</v>
      </c>
      <c r="F6539" s="139" t="s">
        <v>3162</v>
      </c>
      <c r="G6539" s="139" t="s">
        <v>33344</v>
      </c>
      <c r="H6539" s="139"/>
      <c r="I6539" s="140"/>
      <c r="J6539" s="140" t="s">
        <v>42023</v>
      </c>
      <c r="K6539" s="140" t="s">
        <v>42024</v>
      </c>
      <c r="L6539" s="140"/>
      <c r="M6539" s="140"/>
      <c r="N6539" s="12"/>
      <c r="O6539" s="12"/>
      <c r="P6539" s="13">
        <f>IFERROR(__xludf.DUMMYFUNCTION("VALUE(SUBSTITUTE((INDEX(SPLIT(A6539,"",""),1)),""."","","",1))"),60.922711)</f>
        <v>60.922711</v>
      </c>
      <c r="Q6539" s="13">
        <f>IFERROR(__xludf.DUMMYFUNCTION("VALUE(SUBSTITUTE((INDEX(SPLIT(A6539,"",""),2)),""."","","",1))"),34.114206)</f>
        <v>34.114206</v>
      </c>
      <c r="R6539" s="14" t="b">
        <f t="shared" si="1"/>
        <v>0</v>
      </c>
      <c r="S6539" s="14" t="str">
        <f t="shared" si="2"/>
        <v>60.922711,34.114206</v>
      </c>
      <c r="T6539" s="12"/>
    </row>
    <row r="6540">
      <c r="A6540" s="142" t="s">
        <v>5018</v>
      </c>
      <c r="B6540" s="143" t="s">
        <v>42025</v>
      </c>
      <c r="C6540" s="143" t="s">
        <v>42026</v>
      </c>
      <c r="D6540" s="143" t="s">
        <v>33342</v>
      </c>
      <c r="E6540" s="144" t="s">
        <v>42027</v>
      </c>
      <c r="F6540" s="142" t="s">
        <v>3162</v>
      </c>
      <c r="G6540" s="142" t="s">
        <v>33344</v>
      </c>
      <c r="H6540" s="142"/>
      <c r="I6540" s="143"/>
      <c r="J6540" s="143" t="s">
        <v>42028</v>
      </c>
      <c r="K6540" s="143" t="s">
        <v>42029</v>
      </c>
      <c r="L6540" s="145" t="s">
        <v>42030</v>
      </c>
      <c r="M6540" s="145" t="s">
        <v>42031</v>
      </c>
      <c r="N6540" s="12"/>
      <c r="O6540" s="12"/>
      <c r="P6540" s="13">
        <f>IFERROR(__xludf.DUMMYFUNCTION("VALUE(SUBSTITUTE((INDEX(SPLIT(A6540,"",""),1)),""."","","",1))"),59.534979)</f>
        <v>59.534979</v>
      </c>
      <c r="Q6540" s="13">
        <f>IFERROR(__xludf.DUMMYFUNCTION("VALUE(SUBSTITUTE((INDEX(SPLIT(A6540,"",""),2)),""."","","",1))"),30.855082)</f>
        <v>30.855082</v>
      </c>
      <c r="R6540" s="14" t="b">
        <f t="shared" si="1"/>
        <v>0</v>
      </c>
      <c r="S6540" s="14" t="str">
        <f t="shared" si="2"/>
        <v>59.534979,30.855082</v>
      </c>
      <c r="T6540" s="12"/>
    </row>
    <row r="6541">
      <c r="A6541" s="139" t="s">
        <v>42032</v>
      </c>
      <c r="B6541" s="140" t="s">
        <v>42033</v>
      </c>
      <c r="C6541" s="140" t="s">
        <v>42034</v>
      </c>
      <c r="D6541" s="140" t="s">
        <v>33342</v>
      </c>
      <c r="E6541" s="141" t="s">
        <v>42035</v>
      </c>
      <c r="F6541" s="139" t="s">
        <v>3162</v>
      </c>
      <c r="G6541" s="139" t="s">
        <v>33344</v>
      </c>
      <c r="H6541" s="139"/>
      <c r="I6541" s="140"/>
      <c r="J6541" s="140" t="s">
        <v>42036</v>
      </c>
      <c r="K6541" s="140" t="s">
        <v>42037</v>
      </c>
      <c r="L6541" s="140"/>
      <c r="M6541" s="140"/>
      <c r="N6541" s="12"/>
      <c r="O6541" s="12"/>
      <c r="P6541" s="13">
        <f>IFERROR(__xludf.DUMMYFUNCTION("VALUE(SUBSTITUTE((INDEX(SPLIT(A6541,"",""),1)),""."","","",1))"),59.661181)</f>
        <v>59.661181</v>
      </c>
      <c r="Q6541" s="13">
        <f>IFERROR(__xludf.DUMMYFUNCTION("VALUE(SUBSTITUTE((INDEX(SPLIT(A6541,"",""),2)),""."","","",1))"),30.551254)</f>
        <v>30.551254</v>
      </c>
      <c r="R6541" s="14" t="b">
        <f t="shared" si="1"/>
        <v>0</v>
      </c>
      <c r="S6541" s="14" t="str">
        <f t="shared" si="2"/>
        <v>59.661181,30.551254</v>
      </c>
      <c r="T6541" s="12"/>
    </row>
    <row r="6542">
      <c r="A6542" s="136" t="s">
        <v>42038</v>
      </c>
      <c r="B6542" s="137" t="s">
        <v>42039</v>
      </c>
      <c r="C6542" s="137" t="s">
        <v>42040</v>
      </c>
      <c r="D6542" s="137" t="s">
        <v>33342</v>
      </c>
      <c r="E6542" s="138" t="s">
        <v>42041</v>
      </c>
      <c r="F6542" s="136" t="s">
        <v>3162</v>
      </c>
      <c r="G6542" s="136" t="s">
        <v>33344</v>
      </c>
      <c r="H6542" s="136"/>
      <c r="I6542" s="137"/>
      <c r="J6542" s="137" t="s">
        <v>42042</v>
      </c>
      <c r="K6542" s="137" t="s">
        <v>42043</v>
      </c>
      <c r="L6542" s="137"/>
      <c r="M6542" s="137"/>
      <c r="N6542" s="12"/>
      <c r="O6542" s="12"/>
      <c r="P6542" s="13">
        <f>IFERROR(__xludf.DUMMYFUNCTION("VALUE(SUBSTITUTE((INDEX(SPLIT(A6542,"",""),1)),""."","","",1))"),59.552522)</f>
        <v>59.552522</v>
      </c>
      <c r="Q6542" s="13">
        <f>IFERROR(__xludf.DUMMYFUNCTION("VALUE(SUBSTITUTE((INDEX(SPLIT(A6542,"",""),2)),""."","","",1))"),30.102671)</f>
        <v>30.102671</v>
      </c>
      <c r="R6542" s="14" t="b">
        <f t="shared" si="1"/>
        <v>0</v>
      </c>
      <c r="S6542" s="14" t="str">
        <f t="shared" si="2"/>
        <v>59.552522,30.102671</v>
      </c>
      <c r="T6542" s="12"/>
    </row>
    <row r="6543">
      <c r="A6543" s="139" t="s">
        <v>42044</v>
      </c>
      <c r="B6543" s="140" t="s">
        <v>42045</v>
      </c>
      <c r="C6543" s="140" t="s">
        <v>42046</v>
      </c>
      <c r="D6543" s="140" t="s">
        <v>33342</v>
      </c>
      <c r="E6543" s="141" t="s">
        <v>42047</v>
      </c>
      <c r="F6543" s="139" t="s">
        <v>3162</v>
      </c>
      <c r="G6543" s="139" t="s">
        <v>33344</v>
      </c>
      <c r="H6543" s="139"/>
      <c r="I6543" s="140"/>
      <c r="J6543" s="140" t="s">
        <v>42048</v>
      </c>
      <c r="K6543" s="140" t="s">
        <v>42049</v>
      </c>
      <c r="L6543" s="140"/>
      <c r="M6543" s="140"/>
      <c r="N6543" s="12"/>
      <c r="O6543" s="12"/>
      <c r="P6543" s="13">
        <f>IFERROR(__xludf.DUMMYFUNCTION("VALUE(SUBSTITUTE((INDEX(SPLIT(A6543,"",""),1)),""."","","",1))"),59.901802)</f>
        <v>59.901802</v>
      </c>
      <c r="Q6543" s="13">
        <f>IFERROR(__xludf.DUMMYFUNCTION("VALUE(SUBSTITUTE((INDEX(SPLIT(A6543,"",""),2)),""."","","",1))"),29.098085)</f>
        <v>29.098085</v>
      </c>
      <c r="R6543" s="14" t="b">
        <f t="shared" si="1"/>
        <v>0</v>
      </c>
      <c r="S6543" s="14" t="str">
        <f t="shared" si="2"/>
        <v>59.901802,29.098085</v>
      </c>
      <c r="T6543" s="12"/>
    </row>
    <row r="6544">
      <c r="A6544" s="142" t="s">
        <v>42050</v>
      </c>
      <c r="B6544" s="143" t="s">
        <v>42051</v>
      </c>
      <c r="C6544" s="143" t="s">
        <v>42052</v>
      </c>
      <c r="D6544" s="143" t="s">
        <v>33342</v>
      </c>
      <c r="E6544" s="144" t="s">
        <v>42053</v>
      </c>
      <c r="F6544" s="142" t="s">
        <v>3162</v>
      </c>
      <c r="G6544" s="142" t="s">
        <v>33344</v>
      </c>
      <c r="H6544" s="142"/>
      <c r="I6544" s="143"/>
      <c r="J6544" s="143" t="s">
        <v>42054</v>
      </c>
      <c r="K6544" s="143" t="s">
        <v>42049</v>
      </c>
      <c r="L6544" s="145" t="s">
        <v>42055</v>
      </c>
      <c r="M6544" s="143"/>
      <c r="N6544" s="12"/>
      <c r="O6544" s="12"/>
      <c r="P6544" s="13">
        <f>IFERROR(__xludf.DUMMYFUNCTION("VALUE(SUBSTITUTE((INDEX(SPLIT(A6544,"",""),1)),""."","","",1))"),59.8958)</f>
        <v>59.8958</v>
      </c>
      <c r="Q6544" s="13">
        <f>IFERROR(__xludf.DUMMYFUNCTION("VALUE(SUBSTITUTE((INDEX(SPLIT(A6544,"",""),2)),""."","","",1))"),29.092327)</f>
        <v>29.092327</v>
      </c>
      <c r="R6544" s="14" t="b">
        <f t="shared" si="1"/>
        <v>0</v>
      </c>
      <c r="S6544" s="14" t="str">
        <f t="shared" si="2"/>
        <v>59.8958,29.092327</v>
      </c>
      <c r="T6544" s="12"/>
    </row>
    <row r="6545">
      <c r="A6545" s="139" t="s">
        <v>42056</v>
      </c>
      <c r="B6545" s="140" t="s">
        <v>42057</v>
      </c>
      <c r="C6545" s="140" t="s">
        <v>42058</v>
      </c>
      <c r="D6545" s="140" t="s">
        <v>33342</v>
      </c>
      <c r="E6545" s="141" t="s">
        <v>42059</v>
      </c>
      <c r="F6545" s="139" t="s">
        <v>3162</v>
      </c>
      <c r="G6545" s="139" t="s">
        <v>33344</v>
      </c>
      <c r="H6545" s="139"/>
      <c r="I6545" s="140"/>
      <c r="J6545" s="140" t="s">
        <v>42060</v>
      </c>
      <c r="K6545" s="140" t="s">
        <v>42061</v>
      </c>
      <c r="L6545" s="140"/>
      <c r="M6545" s="140"/>
      <c r="N6545" s="12"/>
      <c r="O6545" s="12"/>
      <c r="P6545" s="13">
        <f>IFERROR(__xludf.DUMMYFUNCTION("VALUE(SUBSTITUTE((INDEX(SPLIT(A6545,"",""),1)),""."","","",1))"),59.437914)</f>
        <v>59.437914</v>
      </c>
      <c r="Q6545" s="13">
        <f>IFERROR(__xludf.DUMMYFUNCTION("VALUE(SUBSTITUTE((INDEX(SPLIT(A6545,"",""),2)),""."","","",1))"),32.062067)</f>
        <v>32.062067</v>
      </c>
      <c r="R6545" s="14" t="b">
        <f t="shared" si="1"/>
        <v>0</v>
      </c>
      <c r="S6545" s="14" t="str">
        <f t="shared" si="2"/>
        <v>59.437914,32.062067</v>
      </c>
      <c r="T6545" s="12"/>
    </row>
    <row r="6546">
      <c r="A6546" s="142" t="s">
        <v>42062</v>
      </c>
      <c r="B6546" s="143" t="s">
        <v>42063</v>
      </c>
      <c r="C6546" s="143" t="s">
        <v>42064</v>
      </c>
      <c r="D6546" s="143" t="s">
        <v>33342</v>
      </c>
      <c r="E6546" s="144" t="s">
        <v>42065</v>
      </c>
      <c r="F6546" s="142" t="s">
        <v>3162</v>
      </c>
      <c r="G6546" s="142" t="s">
        <v>33344</v>
      </c>
      <c r="H6546" s="142"/>
      <c r="I6546" s="143"/>
      <c r="J6546" s="143" t="s">
        <v>42066</v>
      </c>
      <c r="K6546" s="143" t="s">
        <v>42067</v>
      </c>
      <c r="L6546" s="145" t="s">
        <v>42068</v>
      </c>
      <c r="M6546" s="143"/>
      <c r="N6546" s="12"/>
      <c r="O6546" s="12"/>
      <c r="P6546" s="13">
        <f>IFERROR(__xludf.DUMMYFUNCTION("VALUE(SUBSTITUTE((INDEX(SPLIT(A6546,"",""),1)),""."","","",1))"),59.47439)</f>
        <v>59.47439</v>
      </c>
      <c r="Q6546" s="13">
        <f>IFERROR(__xludf.DUMMYFUNCTION("VALUE(SUBSTITUTE((INDEX(SPLIT(A6546,"",""),2)),""."","","",1))"),32.033564)</f>
        <v>32.033564</v>
      </c>
      <c r="R6546" s="14" t="b">
        <f t="shared" si="1"/>
        <v>0</v>
      </c>
      <c r="S6546" s="14" t="str">
        <f t="shared" si="2"/>
        <v>59.47439,32.033564</v>
      </c>
      <c r="T6546" s="12"/>
    </row>
    <row r="6547">
      <c r="A6547" s="146" t="s">
        <v>42069</v>
      </c>
      <c r="B6547" s="147" t="s">
        <v>22103</v>
      </c>
      <c r="C6547" s="147" t="s">
        <v>42070</v>
      </c>
      <c r="D6547" s="147" t="s">
        <v>33342</v>
      </c>
      <c r="E6547" s="148" t="s">
        <v>42071</v>
      </c>
      <c r="F6547" s="146" t="s">
        <v>12524</v>
      </c>
      <c r="G6547" s="146" t="s">
        <v>33344</v>
      </c>
      <c r="H6547" s="146"/>
      <c r="I6547" s="147"/>
      <c r="J6547" s="147" t="s">
        <v>42072</v>
      </c>
      <c r="K6547" s="147" t="s">
        <v>42073</v>
      </c>
      <c r="L6547" s="149" t="s">
        <v>42074</v>
      </c>
      <c r="M6547" s="147"/>
      <c r="N6547" s="12"/>
      <c r="O6547" s="12"/>
      <c r="P6547" s="13">
        <f>IFERROR(__xludf.DUMMYFUNCTION("VALUE(SUBSTITUTE((INDEX(SPLIT(A6547,"",""),1)),""."","","",1))"),53.251202)</f>
        <v>53.251202</v>
      </c>
      <c r="Q6547" s="13">
        <f>IFERROR(__xludf.DUMMYFUNCTION("VALUE(SUBSTITUTE((INDEX(SPLIT(A6547,"",""),2)),""."","","",1))"),39.171056)</f>
        <v>39.171056</v>
      </c>
      <c r="R6547" s="14" t="b">
        <f t="shared" si="1"/>
        <v>0</v>
      </c>
      <c r="S6547" s="14" t="str">
        <f t="shared" si="2"/>
        <v>53.251202,39.171056</v>
      </c>
      <c r="T6547" s="12"/>
    </row>
    <row r="6548">
      <c r="A6548" s="142" t="s">
        <v>42075</v>
      </c>
      <c r="B6548" s="143" t="s">
        <v>42076</v>
      </c>
      <c r="C6548" s="143" t="s">
        <v>42077</v>
      </c>
      <c r="D6548" s="143" t="s">
        <v>33342</v>
      </c>
      <c r="E6548" s="144" t="s">
        <v>42078</v>
      </c>
      <c r="F6548" s="142" t="s">
        <v>12524</v>
      </c>
      <c r="G6548" s="142" t="s">
        <v>33344</v>
      </c>
      <c r="H6548" s="142"/>
      <c r="I6548" s="143"/>
      <c r="J6548" s="143" t="s">
        <v>42079</v>
      </c>
      <c r="K6548" s="143" t="s">
        <v>42080</v>
      </c>
      <c r="L6548" s="145" t="s">
        <v>42081</v>
      </c>
      <c r="M6548" s="145" t="s">
        <v>42082</v>
      </c>
      <c r="N6548" s="12"/>
      <c r="O6548" s="12"/>
      <c r="P6548" s="13">
        <f>IFERROR(__xludf.DUMMYFUNCTION("VALUE(SUBSTITUTE((INDEX(SPLIT(A6548,"",""),1)),""."","","",1))"),52.601224)</f>
        <v>52.601224</v>
      </c>
      <c r="Q6548" s="13">
        <f>IFERROR(__xludf.DUMMYFUNCTION("VALUE(SUBSTITUTE((INDEX(SPLIT(A6548,"",""),2)),""."","","",1))"),38.43936)</f>
        <v>38.43936</v>
      </c>
      <c r="R6548" s="14" t="b">
        <f t="shared" si="1"/>
        <v>0</v>
      </c>
      <c r="S6548" s="14" t="str">
        <f t="shared" si="2"/>
        <v>52.601224,38.43936</v>
      </c>
      <c r="T6548" s="12"/>
    </row>
    <row r="6549">
      <c r="A6549" s="146" t="s">
        <v>42083</v>
      </c>
      <c r="B6549" s="147" t="s">
        <v>42084</v>
      </c>
      <c r="C6549" s="147" t="s">
        <v>42085</v>
      </c>
      <c r="D6549" s="147" t="s">
        <v>33342</v>
      </c>
      <c r="E6549" s="148" t="s">
        <v>42086</v>
      </c>
      <c r="F6549" s="146" t="s">
        <v>12524</v>
      </c>
      <c r="G6549" s="146" t="s">
        <v>33344</v>
      </c>
      <c r="H6549" s="146"/>
      <c r="I6549" s="147"/>
      <c r="J6549" s="147" t="s">
        <v>42087</v>
      </c>
      <c r="K6549" s="147" t="s">
        <v>42088</v>
      </c>
      <c r="L6549" s="149" t="s">
        <v>42089</v>
      </c>
      <c r="M6549" s="147"/>
      <c r="N6549" s="12"/>
      <c r="O6549" s="12"/>
      <c r="P6549" s="13">
        <f>IFERROR(__xludf.DUMMYFUNCTION("VALUE(SUBSTITUTE((INDEX(SPLIT(A6549,"",""),1)),""."","","",1))"),52.613348)</f>
        <v>52.613348</v>
      </c>
      <c r="Q6549" s="13">
        <f>IFERROR(__xludf.DUMMYFUNCTION("VALUE(SUBSTITUTE((INDEX(SPLIT(A6549,"",""),2)),""."","","",1))"),39.598376)</f>
        <v>39.598376</v>
      </c>
      <c r="R6549" s="14" t="b">
        <f t="shared" si="1"/>
        <v>0</v>
      </c>
      <c r="S6549" s="14" t="str">
        <f t="shared" si="2"/>
        <v>52.613348,39.598376</v>
      </c>
      <c r="T6549" s="12"/>
    </row>
    <row r="6550">
      <c r="A6550" s="142" t="s">
        <v>42090</v>
      </c>
      <c r="B6550" s="143" t="s">
        <v>42091</v>
      </c>
      <c r="C6550" s="143" t="s">
        <v>42092</v>
      </c>
      <c r="D6550" s="143" t="s">
        <v>33342</v>
      </c>
      <c r="E6550" s="144" t="s">
        <v>42093</v>
      </c>
      <c r="F6550" s="142" t="s">
        <v>12524</v>
      </c>
      <c r="G6550" s="142" t="s">
        <v>33344</v>
      </c>
      <c r="H6550" s="142"/>
      <c r="I6550" s="143"/>
      <c r="J6550" s="143" t="s">
        <v>42094</v>
      </c>
      <c r="K6550" s="143" t="s">
        <v>42095</v>
      </c>
      <c r="L6550" s="145" t="s">
        <v>42096</v>
      </c>
      <c r="M6550" s="145" t="s">
        <v>42097</v>
      </c>
      <c r="N6550" s="12"/>
      <c r="O6550" s="12"/>
      <c r="P6550" s="13">
        <f>IFERROR(__xludf.DUMMYFUNCTION("VALUE(SUBSTITUTE((INDEX(SPLIT(A6550,"",""),1)),""."","","",1))"),52.618307)</f>
        <v>52.618307</v>
      </c>
      <c r="Q6550" s="13">
        <f>IFERROR(__xludf.DUMMYFUNCTION("VALUE(SUBSTITUTE((INDEX(SPLIT(A6550,"",""),2)),""."","","",1))"),38.540088)</f>
        <v>38.540088</v>
      </c>
      <c r="R6550" s="14" t="b">
        <f t="shared" si="1"/>
        <v>0</v>
      </c>
      <c r="S6550" s="14" t="str">
        <f t="shared" si="2"/>
        <v>52.618307,38.540088</v>
      </c>
      <c r="T6550" s="12"/>
    </row>
    <row r="6551">
      <c r="A6551" s="139" t="s">
        <v>42098</v>
      </c>
      <c r="B6551" s="140" t="s">
        <v>42099</v>
      </c>
      <c r="C6551" s="140" t="s">
        <v>42100</v>
      </c>
      <c r="D6551" s="140" t="s">
        <v>33342</v>
      </c>
      <c r="E6551" s="141" t="s">
        <v>42101</v>
      </c>
      <c r="F6551" s="139" t="s">
        <v>12524</v>
      </c>
      <c r="G6551" s="139" t="s">
        <v>33344</v>
      </c>
      <c r="H6551" s="139"/>
      <c r="I6551" s="140"/>
      <c r="J6551" s="140" t="s">
        <v>42102</v>
      </c>
      <c r="K6551" s="140" t="s">
        <v>42103</v>
      </c>
      <c r="L6551" s="140"/>
      <c r="M6551" s="154" t="s">
        <v>42104</v>
      </c>
      <c r="N6551" s="12"/>
      <c r="O6551" s="12"/>
      <c r="P6551" s="13">
        <f>IFERROR(__xludf.DUMMYFUNCTION("VALUE(SUBSTITUTE((INDEX(SPLIT(A6551,"",""),1)),""."","","",1))"),52.592187)</f>
        <v>52.592187</v>
      </c>
      <c r="Q6551" s="13">
        <f>IFERROR(__xludf.DUMMYFUNCTION("VALUE(SUBSTITUTE((INDEX(SPLIT(A6551,"",""),2)),""."","","",1))"),39.444144)</f>
        <v>39.444144</v>
      </c>
      <c r="R6551" s="14" t="b">
        <f t="shared" si="1"/>
        <v>0</v>
      </c>
      <c r="S6551" s="14" t="str">
        <f t="shared" si="2"/>
        <v>52.592187,39.444144</v>
      </c>
      <c r="T6551" s="12"/>
    </row>
    <row r="6552">
      <c r="A6552" s="142" t="s">
        <v>13940</v>
      </c>
      <c r="B6552" s="143" t="s">
        <v>42105</v>
      </c>
      <c r="C6552" s="143" t="s">
        <v>42106</v>
      </c>
      <c r="D6552" s="143" t="s">
        <v>33342</v>
      </c>
      <c r="E6552" s="144" t="s">
        <v>42107</v>
      </c>
      <c r="F6552" s="142" t="s">
        <v>12524</v>
      </c>
      <c r="G6552" s="142" t="s">
        <v>33344</v>
      </c>
      <c r="H6552" s="142"/>
      <c r="I6552" s="143"/>
      <c r="J6552" s="143" t="s">
        <v>42108</v>
      </c>
      <c r="K6552" s="143" t="s">
        <v>42109</v>
      </c>
      <c r="L6552" s="152" t="s">
        <v>42110</v>
      </c>
      <c r="M6552" s="143"/>
      <c r="N6552" s="12"/>
      <c r="O6552" s="12"/>
      <c r="P6552" s="13">
        <f>IFERROR(__xludf.DUMMYFUNCTION("VALUE(SUBSTITUTE((INDEX(SPLIT(A6552,"",""),1)),""."","","",1))"),52.585004)</f>
        <v>52.585004</v>
      </c>
      <c r="Q6552" s="13">
        <f>IFERROR(__xludf.DUMMYFUNCTION("VALUE(SUBSTITUTE((INDEX(SPLIT(A6552,"",""),2)),""."","","",1))"),39.457843)</f>
        <v>39.457843</v>
      </c>
      <c r="R6552" s="14" t="b">
        <f t="shared" si="1"/>
        <v>0</v>
      </c>
      <c r="S6552" s="14" t="str">
        <f t="shared" si="2"/>
        <v>52.585004,39.457843</v>
      </c>
      <c r="T6552" s="12"/>
    </row>
    <row r="6553">
      <c r="A6553" s="139" t="s">
        <v>42111</v>
      </c>
      <c r="B6553" s="140" t="s">
        <v>42112</v>
      </c>
      <c r="C6553" s="140" t="s">
        <v>42113</v>
      </c>
      <c r="D6553" s="140" t="s">
        <v>33342</v>
      </c>
      <c r="E6553" s="141" t="s">
        <v>42114</v>
      </c>
      <c r="F6553" s="139" t="s">
        <v>12524</v>
      </c>
      <c r="G6553" s="139" t="s">
        <v>33344</v>
      </c>
      <c r="H6553" s="139"/>
      <c r="I6553" s="140"/>
      <c r="J6553" s="140" t="s">
        <v>42115</v>
      </c>
      <c r="K6553" s="140" t="s">
        <v>42116</v>
      </c>
      <c r="L6553" s="140"/>
      <c r="M6553" s="154" t="s">
        <v>42117</v>
      </c>
      <c r="N6553" s="12"/>
      <c r="O6553" s="12"/>
      <c r="P6553" s="13">
        <f>IFERROR(__xludf.DUMMYFUNCTION("VALUE(SUBSTITUTE((INDEX(SPLIT(A6553,"",""),1)),""."","","",1))"),52.625901)</f>
        <v>52.625901</v>
      </c>
      <c r="Q6553" s="13">
        <f>IFERROR(__xludf.DUMMYFUNCTION("VALUE(SUBSTITUTE((INDEX(SPLIT(A6553,"",""),2)),""."","","",1))"),39.537407)</f>
        <v>39.537407</v>
      </c>
      <c r="R6553" s="14" t="b">
        <f t="shared" si="1"/>
        <v>0</v>
      </c>
      <c r="S6553" s="14" t="str">
        <f t="shared" si="2"/>
        <v>52.625901,39.537407</v>
      </c>
      <c r="T6553" s="12"/>
    </row>
    <row r="6554">
      <c r="A6554" s="136" t="s">
        <v>42118</v>
      </c>
      <c r="B6554" s="137" t="s">
        <v>42119</v>
      </c>
      <c r="C6554" s="137" t="s">
        <v>42120</v>
      </c>
      <c r="D6554" s="137" t="s">
        <v>33342</v>
      </c>
      <c r="E6554" s="138" t="s">
        <v>42121</v>
      </c>
      <c r="F6554" s="136" t="s">
        <v>12524</v>
      </c>
      <c r="G6554" s="136" t="s">
        <v>33344</v>
      </c>
      <c r="H6554" s="136"/>
      <c r="I6554" s="137"/>
      <c r="J6554" s="137" t="s">
        <v>42122</v>
      </c>
      <c r="K6554" s="137" t="s">
        <v>42123</v>
      </c>
      <c r="L6554" s="137"/>
      <c r="M6554" s="137"/>
      <c r="N6554" s="12"/>
      <c r="O6554" s="12"/>
      <c r="P6554" s="13">
        <f>IFERROR(__xludf.DUMMYFUNCTION("VALUE(SUBSTITUTE((INDEX(SPLIT(A6554,"",""),1)),""."","","",1))"),52.581721)</f>
        <v>52.581721</v>
      </c>
      <c r="Q6554" s="13">
        <f>IFERROR(__xludf.DUMMYFUNCTION("VALUE(SUBSTITUTE((INDEX(SPLIT(A6554,"",""),2)),""."","","",1))"),39.484828)</f>
        <v>39.484828</v>
      </c>
      <c r="R6554" s="14" t="b">
        <f t="shared" si="1"/>
        <v>0</v>
      </c>
      <c r="S6554" s="14" t="str">
        <f t="shared" si="2"/>
        <v>52.581721,39.484828</v>
      </c>
      <c r="T6554" s="12"/>
    </row>
    <row r="6555">
      <c r="A6555" s="139" t="s">
        <v>42124</v>
      </c>
      <c r="B6555" s="140" t="s">
        <v>42125</v>
      </c>
      <c r="C6555" s="140" t="s">
        <v>42126</v>
      </c>
      <c r="D6555" s="140" t="s">
        <v>33342</v>
      </c>
      <c r="E6555" s="141" t="s">
        <v>42127</v>
      </c>
      <c r="F6555" s="139" t="s">
        <v>12524</v>
      </c>
      <c r="G6555" s="139" t="s">
        <v>33344</v>
      </c>
      <c r="H6555" s="139"/>
      <c r="I6555" s="140"/>
      <c r="J6555" s="140" t="s">
        <v>42128</v>
      </c>
      <c r="K6555" s="140" t="s">
        <v>42129</v>
      </c>
      <c r="L6555" s="140"/>
      <c r="M6555" s="154" t="s">
        <v>42130</v>
      </c>
      <c r="N6555" s="12"/>
      <c r="O6555" s="12"/>
      <c r="P6555" s="13">
        <f>IFERROR(__xludf.DUMMYFUNCTION("VALUE(SUBSTITUTE((INDEX(SPLIT(A6555,"",""),1)),""."","","",1))"),52.5702)</f>
        <v>52.5702</v>
      </c>
      <c r="Q6555" s="13">
        <f>IFERROR(__xludf.DUMMYFUNCTION("VALUE(SUBSTITUTE((INDEX(SPLIT(A6555,"",""),2)),""."","","",1))"),39.606083)</f>
        <v>39.606083</v>
      </c>
      <c r="R6555" s="14" t="b">
        <f t="shared" si="1"/>
        <v>0</v>
      </c>
      <c r="S6555" s="14" t="str">
        <f t="shared" si="2"/>
        <v>52.5702,39.606083</v>
      </c>
      <c r="T6555" s="12"/>
    </row>
    <row r="6556">
      <c r="A6556" s="136" t="s">
        <v>42131</v>
      </c>
      <c r="B6556" s="137" t="s">
        <v>42132</v>
      </c>
      <c r="C6556" s="137" t="s">
        <v>42133</v>
      </c>
      <c r="D6556" s="137" t="s">
        <v>33342</v>
      </c>
      <c r="E6556" s="138" t="s">
        <v>42134</v>
      </c>
      <c r="F6556" s="136" t="s">
        <v>12524</v>
      </c>
      <c r="G6556" s="136" t="s">
        <v>33344</v>
      </c>
      <c r="H6556" s="136"/>
      <c r="I6556" s="137"/>
      <c r="J6556" s="137" t="s">
        <v>42135</v>
      </c>
      <c r="K6556" s="137" t="s">
        <v>42136</v>
      </c>
      <c r="L6556" s="137"/>
      <c r="M6556" s="153" t="s">
        <v>42137</v>
      </c>
      <c r="N6556" s="12"/>
      <c r="O6556" s="12"/>
      <c r="P6556" s="13">
        <f>IFERROR(__xludf.DUMMYFUNCTION("VALUE(SUBSTITUTE((INDEX(SPLIT(A6556,"",""),1)),""."","","",1))"),52.612495)</f>
        <v>52.612495</v>
      </c>
      <c r="Q6556" s="13">
        <f>IFERROR(__xludf.DUMMYFUNCTION("VALUE(SUBSTITUTE((INDEX(SPLIT(A6556,"",""),2)),""."","","",1))"),39.604592)</f>
        <v>39.604592</v>
      </c>
      <c r="R6556" s="14" t="b">
        <f t="shared" si="1"/>
        <v>0</v>
      </c>
      <c r="S6556" s="14" t="str">
        <f t="shared" si="2"/>
        <v>52.612495,39.604592</v>
      </c>
      <c r="T6556" s="12"/>
    </row>
    <row r="6557">
      <c r="A6557" s="146" t="s">
        <v>42138</v>
      </c>
      <c r="B6557" s="147" t="s">
        <v>42139</v>
      </c>
      <c r="C6557" s="147" t="s">
        <v>42140</v>
      </c>
      <c r="D6557" s="147" t="s">
        <v>33342</v>
      </c>
      <c r="E6557" s="148" t="s">
        <v>42141</v>
      </c>
      <c r="F6557" s="146" t="s">
        <v>12524</v>
      </c>
      <c r="G6557" s="146" t="s">
        <v>33344</v>
      </c>
      <c r="H6557" s="146"/>
      <c r="I6557" s="147"/>
      <c r="J6557" s="147" t="s">
        <v>42142</v>
      </c>
      <c r="K6557" s="147" t="s">
        <v>42143</v>
      </c>
      <c r="L6557" s="149" t="s">
        <v>42144</v>
      </c>
      <c r="M6557" s="147"/>
      <c r="N6557" s="12"/>
      <c r="O6557" s="12"/>
      <c r="P6557" s="13">
        <f>IFERROR(__xludf.DUMMYFUNCTION("VALUE(SUBSTITUTE((INDEX(SPLIT(A6557,"",""),1)),""."","","",1))"),52.592959)</f>
        <v>52.592959</v>
      </c>
      <c r="Q6557" s="13">
        <f>IFERROR(__xludf.DUMMYFUNCTION("VALUE(SUBSTITUTE((INDEX(SPLIT(A6557,"",""),2)),""."","","",1))"),39.618013)</f>
        <v>39.618013</v>
      </c>
      <c r="R6557" s="14" t="b">
        <f t="shared" si="1"/>
        <v>0</v>
      </c>
      <c r="S6557" s="14" t="str">
        <f t="shared" si="2"/>
        <v>52.592959,39.618013</v>
      </c>
      <c r="T6557" s="12"/>
    </row>
    <row r="6558">
      <c r="A6558" s="142" t="s">
        <v>42145</v>
      </c>
      <c r="B6558" s="143" t="s">
        <v>42146</v>
      </c>
      <c r="C6558" s="143" t="s">
        <v>42147</v>
      </c>
      <c r="D6558" s="143" t="s">
        <v>33342</v>
      </c>
      <c r="E6558" s="144" t="s">
        <v>42148</v>
      </c>
      <c r="F6558" s="142" t="s">
        <v>12524</v>
      </c>
      <c r="G6558" s="142" t="s">
        <v>33344</v>
      </c>
      <c r="H6558" s="142"/>
      <c r="I6558" s="143"/>
      <c r="J6558" s="143" t="s">
        <v>42149</v>
      </c>
      <c r="K6558" s="143" t="s">
        <v>42150</v>
      </c>
      <c r="L6558" s="145" t="s">
        <v>42151</v>
      </c>
      <c r="M6558" s="143"/>
      <c r="N6558" s="12"/>
      <c r="O6558" s="12"/>
      <c r="P6558" s="13">
        <f>IFERROR(__xludf.DUMMYFUNCTION("VALUE(SUBSTITUTE((INDEX(SPLIT(A6558,"",""),1)),""."","","",1))"),52.589134)</f>
        <v>52.589134</v>
      </c>
      <c r="Q6558" s="13">
        <f>IFERROR(__xludf.DUMMYFUNCTION("VALUE(SUBSTITUTE((INDEX(SPLIT(A6558,"",""),2)),""."","","",1))"),39.45504)</f>
        <v>39.45504</v>
      </c>
      <c r="R6558" s="14" t="b">
        <f t="shared" si="1"/>
        <v>0</v>
      </c>
      <c r="S6558" s="14" t="str">
        <f t="shared" si="2"/>
        <v>52.589134,39.45504</v>
      </c>
      <c r="T6558" s="12"/>
    </row>
    <row r="6559">
      <c r="A6559" s="146" t="s">
        <v>42152</v>
      </c>
      <c r="B6559" s="147" t="s">
        <v>42153</v>
      </c>
      <c r="C6559" s="147" t="s">
        <v>42154</v>
      </c>
      <c r="D6559" s="147" t="s">
        <v>33342</v>
      </c>
      <c r="E6559" s="148" t="s">
        <v>42155</v>
      </c>
      <c r="F6559" s="146" t="s">
        <v>12524</v>
      </c>
      <c r="G6559" s="146" t="s">
        <v>33344</v>
      </c>
      <c r="H6559" s="146"/>
      <c r="I6559" s="147"/>
      <c r="J6559" s="147" t="s">
        <v>42156</v>
      </c>
      <c r="K6559" s="147" t="s">
        <v>42136</v>
      </c>
      <c r="L6559" s="149" t="s">
        <v>42157</v>
      </c>
      <c r="M6559" s="147"/>
      <c r="N6559" s="12"/>
      <c r="O6559" s="12"/>
      <c r="P6559" s="13">
        <f>IFERROR(__xludf.DUMMYFUNCTION("VALUE(SUBSTITUTE((INDEX(SPLIT(A6559,"",""),1)),""."","","",1))"),52.577819)</f>
        <v>52.577819</v>
      </c>
      <c r="Q6559" s="13">
        <f>IFERROR(__xludf.DUMMYFUNCTION("VALUE(SUBSTITUTE((INDEX(SPLIT(A6559,"",""),2)),""."","","",1))"),39.486194)</f>
        <v>39.486194</v>
      </c>
      <c r="R6559" s="14" t="b">
        <f t="shared" si="1"/>
        <v>0</v>
      </c>
      <c r="S6559" s="14" t="str">
        <f t="shared" si="2"/>
        <v>52.577819,39.486194</v>
      </c>
      <c r="T6559" s="12"/>
    </row>
    <row r="6560">
      <c r="A6560" s="136" t="s">
        <v>42158</v>
      </c>
      <c r="B6560" s="137" t="s">
        <v>42159</v>
      </c>
      <c r="C6560" s="137" t="s">
        <v>42160</v>
      </c>
      <c r="D6560" s="137" t="s">
        <v>33342</v>
      </c>
      <c r="E6560" s="138" t="s">
        <v>42161</v>
      </c>
      <c r="F6560" s="136" t="s">
        <v>29276</v>
      </c>
      <c r="G6560" s="136" t="s">
        <v>33344</v>
      </c>
      <c r="H6560" s="136"/>
      <c r="I6560" s="137"/>
      <c r="J6560" s="137" t="s">
        <v>42162</v>
      </c>
      <c r="K6560" s="137" t="s">
        <v>42163</v>
      </c>
      <c r="L6560" s="137"/>
      <c r="M6560" s="153" t="s">
        <v>42164</v>
      </c>
      <c r="N6560" s="12"/>
      <c r="O6560" s="12"/>
      <c r="P6560" s="13">
        <f>IFERROR(__xludf.DUMMYFUNCTION("VALUE(SUBSTITUTE((INDEX(SPLIT(A6560,"",""),1)),""."","","",1))"),59.583548)</f>
        <v>59.583548</v>
      </c>
      <c r="Q6560" s="13">
        <f>IFERROR(__xludf.DUMMYFUNCTION("VALUE(SUBSTITUTE((INDEX(SPLIT(A6560,"",""),2)),""."","","",1))"),150.787763)</f>
        <v>150.787763</v>
      </c>
      <c r="R6560" s="14" t="b">
        <f t="shared" si="1"/>
        <v>0</v>
      </c>
      <c r="S6560" s="14" t="str">
        <f t="shared" si="2"/>
        <v>59.583548,150.787763</v>
      </c>
      <c r="T6560" s="12"/>
    </row>
    <row r="6561">
      <c r="A6561" s="139" t="s">
        <v>42165</v>
      </c>
      <c r="B6561" s="140" t="s">
        <v>42166</v>
      </c>
      <c r="C6561" s="140" t="s">
        <v>42167</v>
      </c>
      <c r="D6561" s="140" t="s">
        <v>33342</v>
      </c>
      <c r="E6561" s="141" t="s">
        <v>42168</v>
      </c>
      <c r="F6561" s="139" t="s">
        <v>29276</v>
      </c>
      <c r="G6561" s="139" t="s">
        <v>33344</v>
      </c>
      <c r="H6561" s="139"/>
      <c r="I6561" s="140"/>
      <c r="J6561" s="140" t="s">
        <v>42169</v>
      </c>
      <c r="K6561" s="140" t="s">
        <v>42170</v>
      </c>
      <c r="L6561" s="140"/>
      <c r="M6561" s="154" t="s">
        <v>42171</v>
      </c>
      <c r="N6561" s="12"/>
      <c r="O6561" s="12"/>
      <c r="P6561" s="13">
        <f>IFERROR(__xludf.DUMMYFUNCTION("VALUE(SUBSTITUTE((INDEX(SPLIT(A6561,"",""),1)),""."","","",1))"),59.57793)</f>
        <v>59.57793</v>
      </c>
      <c r="Q6561" s="13">
        <f>IFERROR(__xludf.DUMMYFUNCTION("VALUE(SUBSTITUTE((INDEX(SPLIT(A6561,"",""),2)),""."","","",1))"),150.817623)</f>
        <v>150.817623</v>
      </c>
      <c r="R6561" s="14" t="b">
        <f t="shared" si="1"/>
        <v>0</v>
      </c>
      <c r="S6561" s="14" t="str">
        <f t="shared" si="2"/>
        <v>59.57793,150.817623</v>
      </c>
      <c r="T6561" s="12"/>
    </row>
    <row r="6562">
      <c r="A6562" s="142" t="s">
        <v>42172</v>
      </c>
      <c r="B6562" s="143" t="s">
        <v>42173</v>
      </c>
      <c r="C6562" s="143" t="s">
        <v>42174</v>
      </c>
      <c r="D6562" s="143" t="s">
        <v>33342</v>
      </c>
      <c r="E6562" s="144" t="s">
        <v>42175</v>
      </c>
      <c r="F6562" s="142" t="s">
        <v>3760</v>
      </c>
      <c r="G6562" s="142" t="s">
        <v>33344</v>
      </c>
      <c r="H6562" s="142"/>
      <c r="I6562" s="143"/>
      <c r="J6562" s="143" t="s">
        <v>42176</v>
      </c>
      <c r="K6562" s="143" t="s">
        <v>42177</v>
      </c>
      <c r="L6562" s="145" t="s">
        <v>42178</v>
      </c>
      <c r="M6562" s="143"/>
      <c r="N6562" s="12"/>
      <c r="O6562" s="12"/>
      <c r="P6562" s="13">
        <f>IFERROR(__xludf.DUMMYFUNCTION("VALUE(SUBSTITUTE((INDEX(SPLIT(A6562,"",""),1)),""."","","",1))"),55.8253)</f>
        <v>55.8253</v>
      </c>
      <c r="Q6562" s="13">
        <f>IFERROR(__xludf.DUMMYFUNCTION("VALUE(SUBSTITUTE((INDEX(SPLIT(A6562,"",""),2)),""."","","",1))"),37.95392)</f>
        <v>37.95392</v>
      </c>
      <c r="R6562" s="14" t="b">
        <f t="shared" si="1"/>
        <v>0</v>
      </c>
      <c r="S6562" s="14" t="str">
        <f t="shared" si="2"/>
        <v>55.8253,37.95392</v>
      </c>
      <c r="T6562" s="12"/>
    </row>
    <row r="6563">
      <c r="A6563" s="139" t="s">
        <v>42179</v>
      </c>
      <c r="B6563" s="140" t="s">
        <v>42180</v>
      </c>
      <c r="C6563" s="140" t="s">
        <v>42181</v>
      </c>
      <c r="D6563" s="140" t="s">
        <v>33342</v>
      </c>
      <c r="E6563" s="141" t="s">
        <v>42182</v>
      </c>
      <c r="F6563" s="139" t="s">
        <v>3760</v>
      </c>
      <c r="G6563" s="139" t="s">
        <v>33344</v>
      </c>
      <c r="H6563" s="139"/>
      <c r="I6563" s="140"/>
      <c r="J6563" s="140" t="s">
        <v>42183</v>
      </c>
      <c r="K6563" s="140" t="s">
        <v>42184</v>
      </c>
      <c r="L6563" s="140"/>
      <c r="M6563" s="140"/>
      <c r="N6563" s="12"/>
      <c r="O6563" s="12"/>
      <c r="P6563" s="13">
        <f>IFERROR(__xludf.DUMMYFUNCTION("VALUE(SUBSTITUTE((INDEX(SPLIT(A6563,"",""),1)),""."","","",1))"),55.824916)</f>
        <v>55.824916</v>
      </c>
      <c r="Q6563" s="13">
        <f>IFERROR(__xludf.DUMMYFUNCTION("VALUE(SUBSTITUTE((INDEX(SPLIT(A6563,"",""),2)),""."","","",1))"),37.926341)</f>
        <v>37.926341</v>
      </c>
      <c r="R6563" s="14" t="b">
        <f t="shared" si="1"/>
        <v>0</v>
      </c>
      <c r="S6563" s="14" t="str">
        <f t="shared" si="2"/>
        <v>55.824916,37.926341</v>
      </c>
      <c r="T6563" s="12"/>
    </row>
    <row r="6564">
      <c r="A6564" s="142" t="s">
        <v>42185</v>
      </c>
      <c r="B6564" s="143" t="s">
        <v>42186</v>
      </c>
      <c r="C6564" s="143" t="s">
        <v>42187</v>
      </c>
      <c r="D6564" s="143" t="s">
        <v>33342</v>
      </c>
      <c r="E6564" s="144" t="s">
        <v>42188</v>
      </c>
      <c r="F6564" s="142" t="s">
        <v>3760</v>
      </c>
      <c r="G6564" s="142" t="s">
        <v>33344</v>
      </c>
      <c r="H6564" s="142"/>
      <c r="I6564" s="143"/>
      <c r="J6564" s="143" t="s">
        <v>42189</v>
      </c>
      <c r="K6564" s="143" t="s">
        <v>42190</v>
      </c>
      <c r="L6564" s="145" t="s">
        <v>42191</v>
      </c>
      <c r="M6564" s="143"/>
      <c r="N6564" s="12"/>
      <c r="O6564" s="12"/>
      <c r="P6564" s="13">
        <f>IFERROR(__xludf.DUMMYFUNCTION("VALUE(SUBSTITUTE((INDEX(SPLIT(A6564,"",""),1)),""."","","",1))"),55.425522)</f>
        <v>55.425522</v>
      </c>
      <c r="Q6564" s="13">
        <f>IFERROR(__xludf.DUMMYFUNCTION("VALUE(SUBSTITUTE((INDEX(SPLIT(A6564,"",""),2)),""."","","",1))"),38.272525)</f>
        <v>38.272525</v>
      </c>
      <c r="R6564" s="14" t="b">
        <f t="shared" si="1"/>
        <v>0</v>
      </c>
      <c r="S6564" s="14" t="str">
        <f t="shared" si="2"/>
        <v>55.425522,38.272525</v>
      </c>
      <c r="T6564" s="12"/>
    </row>
    <row r="6565">
      <c r="A6565" s="139" t="s">
        <v>42192</v>
      </c>
      <c r="B6565" s="140" t="s">
        <v>42193</v>
      </c>
      <c r="C6565" s="140" t="s">
        <v>42194</v>
      </c>
      <c r="D6565" s="140" t="s">
        <v>33342</v>
      </c>
      <c r="E6565" s="141" t="s">
        <v>42195</v>
      </c>
      <c r="F6565" s="139" t="s">
        <v>3760</v>
      </c>
      <c r="G6565" s="139" t="s">
        <v>33344</v>
      </c>
      <c r="H6565" s="139"/>
      <c r="I6565" s="140"/>
      <c r="J6565" s="140" t="s">
        <v>42196</v>
      </c>
      <c r="K6565" s="140" t="s">
        <v>42197</v>
      </c>
      <c r="L6565" s="140"/>
      <c r="M6565" s="140"/>
      <c r="N6565" s="12"/>
      <c r="O6565" s="12"/>
      <c r="P6565" s="13">
        <f>IFERROR(__xludf.DUMMYFUNCTION("VALUE(SUBSTITUTE((INDEX(SPLIT(A6565,"",""),1)),""."","","",1))"),55.551247)</f>
        <v>55.551247</v>
      </c>
      <c r="Q6565" s="13">
        <f>IFERROR(__xludf.DUMMYFUNCTION("VALUE(SUBSTITUTE((INDEX(SPLIT(A6565,"",""),2)),""."","","",1))"),37.685395)</f>
        <v>37.685395</v>
      </c>
      <c r="R6565" s="14" t="b">
        <f t="shared" si="1"/>
        <v>0</v>
      </c>
      <c r="S6565" s="14" t="str">
        <f t="shared" si="2"/>
        <v>55.551247,37.685395</v>
      </c>
      <c r="T6565" s="12"/>
    </row>
    <row r="6566">
      <c r="A6566" s="142" t="s">
        <v>42198</v>
      </c>
      <c r="B6566" s="143" t="s">
        <v>42199</v>
      </c>
      <c r="C6566" s="143" t="s">
        <v>42200</v>
      </c>
      <c r="D6566" s="143" t="s">
        <v>33342</v>
      </c>
      <c r="E6566" s="144" t="s">
        <v>42201</v>
      </c>
      <c r="F6566" s="142" t="s">
        <v>3760</v>
      </c>
      <c r="G6566" s="142" t="s">
        <v>33344</v>
      </c>
      <c r="H6566" s="142"/>
      <c r="I6566" s="155" t="s">
        <v>42202</v>
      </c>
      <c r="J6566" s="143" t="s">
        <v>42203</v>
      </c>
      <c r="K6566" s="143" t="s">
        <v>42204</v>
      </c>
      <c r="L6566" s="145" t="s">
        <v>42205</v>
      </c>
      <c r="M6566" s="143"/>
      <c r="N6566" s="12"/>
      <c r="O6566" s="12"/>
      <c r="P6566" s="13">
        <f>IFERROR(__xludf.DUMMYFUNCTION("VALUE(SUBSTITUTE((INDEX(SPLIT(A6566,"",""),1)),""."","","",1))"),55.538748)</f>
        <v>55.538748</v>
      </c>
      <c r="Q6566" s="13">
        <f>IFERROR(__xludf.DUMMYFUNCTION("VALUE(SUBSTITUTE((INDEX(SPLIT(A6566,"",""),2)),""."","","",1))"),37.720762)</f>
        <v>37.720762</v>
      </c>
      <c r="R6566" s="14" t="b">
        <f t="shared" si="1"/>
        <v>0</v>
      </c>
      <c r="S6566" s="14" t="str">
        <f t="shared" si="2"/>
        <v>55.538748,37.720762</v>
      </c>
      <c r="T6566" s="12"/>
    </row>
    <row r="6567">
      <c r="A6567" s="139" t="s">
        <v>42206</v>
      </c>
      <c r="B6567" s="140" t="s">
        <v>42207</v>
      </c>
      <c r="C6567" s="140" t="s">
        <v>42208</v>
      </c>
      <c r="D6567" s="140" t="s">
        <v>33342</v>
      </c>
      <c r="E6567" s="141" t="s">
        <v>42209</v>
      </c>
      <c r="F6567" s="139" t="s">
        <v>3760</v>
      </c>
      <c r="G6567" s="139" t="s">
        <v>33344</v>
      </c>
      <c r="H6567" s="139"/>
      <c r="I6567" s="140"/>
      <c r="J6567" s="140" t="s">
        <v>42210</v>
      </c>
      <c r="K6567" s="140" t="s">
        <v>42211</v>
      </c>
      <c r="L6567" s="140"/>
      <c r="M6567" s="140"/>
      <c r="N6567" s="12"/>
      <c r="O6567" s="12"/>
      <c r="P6567" s="13">
        <f>IFERROR(__xludf.DUMMYFUNCTION("VALUE(SUBSTITUTE((INDEX(SPLIT(A6567,"",""),1)),""."","","",1))"),55.252912)</f>
        <v>55.252912</v>
      </c>
      <c r="Q6567" s="13">
        <f>IFERROR(__xludf.DUMMYFUNCTION("VALUE(SUBSTITUTE((INDEX(SPLIT(A6567,"",""),2)),""."","","",1))"),38.743054)</f>
        <v>38.743054</v>
      </c>
      <c r="R6567" s="14" t="b">
        <f t="shared" si="1"/>
        <v>0</v>
      </c>
      <c r="S6567" s="14" t="str">
        <f t="shared" si="2"/>
        <v>55.252912,38.743054</v>
      </c>
      <c r="T6567" s="12"/>
    </row>
    <row r="6568">
      <c r="A6568" s="142" t="s">
        <v>42212</v>
      </c>
      <c r="B6568" s="143" t="s">
        <v>42213</v>
      </c>
      <c r="C6568" s="143" t="s">
        <v>42214</v>
      </c>
      <c r="D6568" s="143" t="s">
        <v>33342</v>
      </c>
      <c r="E6568" s="144" t="s">
        <v>42215</v>
      </c>
      <c r="F6568" s="142" t="s">
        <v>3760</v>
      </c>
      <c r="G6568" s="142" t="s">
        <v>33344</v>
      </c>
      <c r="H6568" s="142"/>
      <c r="I6568" s="143"/>
      <c r="J6568" s="143" t="s">
        <v>42216</v>
      </c>
      <c r="K6568" s="143" t="s">
        <v>42217</v>
      </c>
      <c r="L6568" s="145" t="s">
        <v>42218</v>
      </c>
      <c r="M6568" s="145" t="s">
        <v>42219</v>
      </c>
      <c r="N6568" s="12"/>
      <c r="O6568" s="12"/>
      <c r="P6568" s="13">
        <f>IFERROR(__xludf.DUMMYFUNCTION("VALUE(SUBSTITUTE((INDEX(SPLIT(A6568,"",""),1)),""."","","",1))"),55.311134)</f>
        <v>55.311134</v>
      </c>
      <c r="Q6568" s="13">
        <f>IFERROR(__xludf.DUMMYFUNCTION("VALUE(SUBSTITUTE((INDEX(SPLIT(A6568,"",""),2)),""."","","",1))"),38.689775)</f>
        <v>38.689775</v>
      </c>
      <c r="R6568" s="14" t="b">
        <f t="shared" si="1"/>
        <v>0</v>
      </c>
      <c r="S6568" s="14" t="str">
        <f t="shared" si="2"/>
        <v>55.311134,38.689775</v>
      </c>
      <c r="T6568" s="12"/>
    </row>
    <row r="6569">
      <c r="A6569" s="146" t="s">
        <v>42220</v>
      </c>
      <c r="B6569" s="147" t="s">
        <v>42221</v>
      </c>
      <c r="C6569" s="147" t="s">
        <v>42222</v>
      </c>
      <c r="D6569" s="147" t="s">
        <v>33342</v>
      </c>
      <c r="E6569" s="148" t="s">
        <v>42223</v>
      </c>
      <c r="F6569" s="146" t="s">
        <v>3760</v>
      </c>
      <c r="G6569" s="146" t="s">
        <v>33344</v>
      </c>
      <c r="H6569" s="146"/>
      <c r="I6569" s="147"/>
      <c r="J6569" s="147" t="s">
        <v>42224</v>
      </c>
      <c r="K6569" s="147" t="s">
        <v>42225</v>
      </c>
      <c r="L6569" s="149" t="s">
        <v>42226</v>
      </c>
      <c r="M6569" s="147"/>
      <c r="N6569" s="12"/>
      <c r="O6569" s="12"/>
      <c r="P6569" s="13">
        <f>IFERROR(__xludf.DUMMYFUNCTION("VALUE(SUBSTITUTE((INDEX(SPLIT(A6569,"",""),1)),""."","","",1))"),56.373235)</f>
        <v>56.373235</v>
      </c>
      <c r="Q6569" s="13">
        <f>IFERROR(__xludf.DUMMYFUNCTION("VALUE(SUBSTITUTE((INDEX(SPLIT(A6569,"",""),2)),""."","","",1))"),37.528172)</f>
        <v>37.528172</v>
      </c>
      <c r="R6569" s="14" t="b">
        <f t="shared" si="1"/>
        <v>0</v>
      </c>
      <c r="S6569" s="14" t="str">
        <f t="shared" si="2"/>
        <v>56.373235,37.528172</v>
      </c>
      <c r="T6569" s="12"/>
    </row>
    <row r="6570">
      <c r="A6570" s="142" t="s">
        <v>42227</v>
      </c>
      <c r="B6570" s="143" t="s">
        <v>42228</v>
      </c>
      <c r="C6570" s="143" t="s">
        <v>42229</v>
      </c>
      <c r="D6570" s="143" t="s">
        <v>33342</v>
      </c>
      <c r="E6570" s="144" t="s">
        <v>42230</v>
      </c>
      <c r="F6570" s="142" t="s">
        <v>3760</v>
      </c>
      <c r="G6570" s="142" t="s">
        <v>33344</v>
      </c>
      <c r="H6570" s="142"/>
      <c r="I6570" s="143"/>
      <c r="J6570" s="143" t="s">
        <v>42231</v>
      </c>
      <c r="K6570" s="143" t="s">
        <v>42232</v>
      </c>
      <c r="L6570" s="145" t="s">
        <v>42233</v>
      </c>
      <c r="M6570" s="143"/>
      <c r="N6570" s="12"/>
      <c r="O6570" s="12"/>
      <c r="P6570" s="13">
        <f>IFERROR(__xludf.DUMMYFUNCTION("VALUE(SUBSTITUTE((INDEX(SPLIT(A6570,"",""),1)),""."","","",1))"),56.347664)</f>
        <v>56.347664</v>
      </c>
      <c r="Q6570" s="13">
        <f>IFERROR(__xludf.DUMMYFUNCTION("VALUE(SUBSTITUTE((INDEX(SPLIT(A6570,"",""),2)),""."","","",1))"),37.543902)</f>
        <v>37.543902</v>
      </c>
      <c r="R6570" s="14" t="b">
        <f t="shared" si="1"/>
        <v>0</v>
      </c>
      <c r="S6570" s="14" t="str">
        <f t="shared" si="2"/>
        <v>56.347664,37.543902</v>
      </c>
      <c r="T6570" s="12"/>
    </row>
    <row r="6571">
      <c r="A6571" s="146" t="s">
        <v>42234</v>
      </c>
      <c r="B6571" s="147" t="s">
        <v>42235</v>
      </c>
      <c r="C6571" s="147" t="s">
        <v>42236</v>
      </c>
      <c r="D6571" s="147" t="s">
        <v>33342</v>
      </c>
      <c r="E6571" s="148" t="s">
        <v>42237</v>
      </c>
      <c r="F6571" s="146" t="s">
        <v>3760</v>
      </c>
      <c r="G6571" s="146" t="s">
        <v>33344</v>
      </c>
      <c r="H6571" s="146"/>
      <c r="I6571" s="147"/>
      <c r="J6571" s="147" t="s">
        <v>42238</v>
      </c>
      <c r="K6571" s="147" t="s">
        <v>42239</v>
      </c>
      <c r="L6571" s="149" t="s">
        <v>42240</v>
      </c>
      <c r="M6571" s="147"/>
      <c r="N6571" s="12"/>
      <c r="O6571" s="12"/>
      <c r="P6571" s="13">
        <f>IFERROR(__xludf.DUMMYFUNCTION("VALUE(SUBSTITUTE((INDEX(SPLIT(A6571,"",""),1)),""."","","",1))"),56.326248)</f>
        <v>56.326248</v>
      </c>
      <c r="Q6571" s="13">
        <f>IFERROR(__xludf.DUMMYFUNCTION("VALUE(SUBSTITUTE((INDEX(SPLIT(A6571,"",""),2)),""."","","",1))"),37.50116)</f>
        <v>37.50116</v>
      </c>
      <c r="R6571" s="14" t="b">
        <f t="shared" si="1"/>
        <v>0</v>
      </c>
      <c r="S6571" s="14" t="str">
        <f t="shared" si="2"/>
        <v>56.326248,37.50116</v>
      </c>
      <c r="T6571" s="12"/>
    </row>
    <row r="6572">
      <c r="A6572" s="136" t="s">
        <v>42241</v>
      </c>
      <c r="B6572" s="137" t="s">
        <v>42242</v>
      </c>
      <c r="C6572" s="137" t="s">
        <v>42243</v>
      </c>
      <c r="D6572" s="137" t="s">
        <v>33342</v>
      </c>
      <c r="E6572" s="138" t="s">
        <v>42244</v>
      </c>
      <c r="F6572" s="136" t="s">
        <v>3760</v>
      </c>
      <c r="G6572" s="136" t="s">
        <v>33344</v>
      </c>
      <c r="H6572" s="136"/>
      <c r="I6572" s="137"/>
      <c r="J6572" s="137" t="s">
        <v>42245</v>
      </c>
      <c r="K6572" s="137" t="s">
        <v>42246</v>
      </c>
      <c r="L6572" s="137"/>
      <c r="M6572" s="137"/>
      <c r="N6572" s="12"/>
      <c r="O6572" s="12"/>
      <c r="P6572" s="13">
        <f>IFERROR(__xludf.DUMMYFUNCTION("VALUE(SUBSTITUTE((INDEX(SPLIT(A6572,"",""),1)),""."","","",1))"),56.091602)</f>
        <v>56.091602</v>
      </c>
      <c r="Q6572" s="13">
        <f>IFERROR(__xludf.DUMMYFUNCTION("VALUE(SUBSTITUTE((INDEX(SPLIT(A6572,"",""),2)),""."","","",1))"),37.353189)</f>
        <v>37.353189</v>
      </c>
      <c r="R6572" s="14" t="b">
        <f t="shared" si="1"/>
        <v>0</v>
      </c>
      <c r="S6572" s="14" t="str">
        <f t="shared" si="2"/>
        <v>56.091602,37.353189</v>
      </c>
      <c r="T6572" s="12"/>
    </row>
    <row r="6573">
      <c r="A6573" s="146" t="s">
        <v>42247</v>
      </c>
      <c r="B6573" s="147" t="s">
        <v>5689</v>
      </c>
      <c r="C6573" s="147" t="s">
        <v>42248</v>
      </c>
      <c r="D6573" s="147" t="s">
        <v>33342</v>
      </c>
      <c r="E6573" s="148" t="s">
        <v>42249</v>
      </c>
      <c r="F6573" s="146" t="s">
        <v>3760</v>
      </c>
      <c r="G6573" s="146" t="s">
        <v>33344</v>
      </c>
      <c r="H6573" s="146"/>
      <c r="I6573" s="147"/>
      <c r="J6573" s="147" t="s">
        <v>42250</v>
      </c>
      <c r="K6573" s="147" t="s">
        <v>42251</v>
      </c>
      <c r="L6573" s="149" t="s">
        <v>42252</v>
      </c>
      <c r="M6573" s="147"/>
      <c r="N6573" s="12"/>
      <c r="O6573" s="12"/>
      <c r="P6573" s="13">
        <f>IFERROR(__xludf.DUMMYFUNCTION("VALUE(SUBSTITUTE((INDEX(SPLIT(A6573,"",""),1)),""."","","",1))"),55.425548)</f>
        <v>55.425548</v>
      </c>
      <c r="Q6573" s="13">
        <f>IFERROR(__xludf.DUMMYFUNCTION("VALUE(SUBSTITUTE((INDEX(SPLIT(A6573,"",""),2)),""."","","",1))"),37.768795)</f>
        <v>37.768795</v>
      </c>
      <c r="R6573" s="14" t="b">
        <f t="shared" si="1"/>
        <v>0</v>
      </c>
      <c r="S6573" s="14" t="str">
        <f t="shared" si="2"/>
        <v>55.425548,37.768795</v>
      </c>
      <c r="T6573" s="12"/>
    </row>
    <row r="6574">
      <c r="A6574" s="142" t="s">
        <v>42253</v>
      </c>
      <c r="B6574" s="143" t="s">
        <v>42254</v>
      </c>
      <c r="C6574" s="143" t="s">
        <v>42255</v>
      </c>
      <c r="D6574" s="143" t="s">
        <v>33342</v>
      </c>
      <c r="E6574" s="144" t="s">
        <v>42256</v>
      </c>
      <c r="F6574" s="142" t="s">
        <v>3760</v>
      </c>
      <c r="G6574" s="142" t="s">
        <v>33344</v>
      </c>
      <c r="H6574" s="142"/>
      <c r="I6574" s="143"/>
      <c r="J6574" s="143" t="s">
        <v>42257</v>
      </c>
      <c r="K6574" s="143" t="s">
        <v>42258</v>
      </c>
      <c r="L6574" s="145" t="s">
        <v>42259</v>
      </c>
      <c r="M6574" s="143"/>
      <c r="N6574" s="12"/>
      <c r="O6574" s="12"/>
      <c r="P6574" s="13">
        <f>IFERROR(__xludf.DUMMYFUNCTION("VALUE(SUBSTITUTE((INDEX(SPLIT(A6574,"",""),1)),""."","","",1))"),55.46261)</f>
        <v>55.46261</v>
      </c>
      <c r="Q6574" s="13">
        <f>IFERROR(__xludf.DUMMYFUNCTION("VALUE(SUBSTITUTE((INDEX(SPLIT(A6574,"",""),2)),""."","","",1))"),37.747774)</f>
        <v>37.747774</v>
      </c>
      <c r="R6574" s="14" t="b">
        <f t="shared" si="1"/>
        <v>0</v>
      </c>
      <c r="S6574" s="14" t="str">
        <f t="shared" si="2"/>
        <v>55.46261,37.747774</v>
      </c>
      <c r="T6574" s="12"/>
    </row>
    <row r="6575">
      <c r="A6575" s="139" t="s">
        <v>11435</v>
      </c>
      <c r="B6575" s="140" t="s">
        <v>42260</v>
      </c>
      <c r="C6575" s="140" t="s">
        <v>42261</v>
      </c>
      <c r="D6575" s="140" t="s">
        <v>33342</v>
      </c>
      <c r="E6575" s="141" t="s">
        <v>42262</v>
      </c>
      <c r="F6575" s="139" t="s">
        <v>3760</v>
      </c>
      <c r="G6575" s="139" t="s">
        <v>33344</v>
      </c>
      <c r="H6575" s="139"/>
      <c r="I6575" s="140"/>
      <c r="J6575" s="140" t="s">
        <v>42263</v>
      </c>
      <c r="K6575" s="140" t="s">
        <v>42264</v>
      </c>
      <c r="L6575" s="140"/>
      <c r="M6575" s="140"/>
      <c r="N6575" s="12"/>
      <c r="O6575" s="12"/>
      <c r="P6575" s="13">
        <f>IFERROR(__xludf.DUMMYFUNCTION("VALUE(SUBSTITUTE((INDEX(SPLIT(A6575,"",""),1)),""."","","",1))"),55.437174)</f>
        <v>55.437174</v>
      </c>
      <c r="Q6575" s="13">
        <f>IFERROR(__xludf.DUMMYFUNCTION("VALUE(SUBSTITUTE((INDEX(SPLIT(A6575,"",""),2)),""."","","",1))"),37.768004)</f>
        <v>37.768004</v>
      </c>
      <c r="R6575" s="14" t="b">
        <f t="shared" si="1"/>
        <v>0</v>
      </c>
      <c r="S6575" s="14" t="str">
        <f t="shared" si="2"/>
        <v>55.437174,37.768004</v>
      </c>
      <c r="T6575" s="12"/>
    </row>
    <row r="6576">
      <c r="A6576" s="136" t="s">
        <v>42265</v>
      </c>
      <c r="B6576" s="137" t="s">
        <v>42266</v>
      </c>
      <c r="C6576" s="137" t="s">
        <v>42267</v>
      </c>
      <c r="D6576" s="137" t="s">
        <v>33342</v>
      </c>
      <c r="E6576" s="138" t="s">
        <v>42268</v>
      </c>
      <c r="F6576" s="136" t="s">
        <v>3760</v>
      </c>
      <c r="G6576" s="136" t="s">
        <v>33344</v>
      </c>
      <c r="H6576" s="136"/>
      <c r="I6576" s="137"/>
      <c r="J6576" s="137" t="s">
        <v>42269</v>
      </c>
      <c r="K6576" s="137" t="s">
        <v>42270</v>
      </c>
      <c r="L6576" s="137"/>
      <c r="M6576" s="137"/>
      <c r="N6576" s="12"/>
      <c r="O6576" s="12"/>
      <c r="P6576" s="13">
        <f>IFERROR(__xludf.DUMMYFUNCTION("VALUE(SUBSTITUTE((INDEX(SPLIT(A6576,"",""),1)),""."","","",1))"),55.450997)</f>
        <v>55.450997</v>
      </c>
      <c r="Q6576" s="13">
        <f>IFERROR(__xludf.DUMMYFUNCTION("VALUE(SUBSTITUTE((INDEX(SPLIT(A6576,"",""),2)),""."","","",1))"),37.743319)</f>
        <v>37.743319</v>
      </c>
      <c r="R6576" s="14" t="b">
        <f t="shared" si="1"/>
        <v>0</v>
      </c>
      <c r="S6576" s="14" t="str">
        <f t="shared" si="2"/>
        <v>55.450997,37.743319</v>
      </c>
      <c r="T6576" s="12"/>
    </row>
    <row r="6577">
      <c r="A6577" s="146" t="s">
        <v>42271</v>
      </c>
      <c r="B6577" s="147" t="s">
        <v>42272</v>
      </c>
      <c r="C6577" s="147" t="s">
        <v>42273</v>
      </c>
      <c r="D6577" s="147" t="s">
        <v>33342</v>
      </c>
      <c r="E6577" s="148" t="s">
        <v>42274</v>
      </c>
      <c r="F6577" s="146" t="s">
        <v>3760</v>
      </c>
      <c r="G6577" s="146" t="s">
        <v>33344</v>
      </c>
      <c r="H6577" s="146"/>
      <c r="I6577" s="147"/>
      <c r="J6577" s="147" t="s">
        <v>42275</v>
      </c>
      <c r="K6577" s="147" t="s">
        <v>42276</v>
      </c>
      <c r="L6577" s="149" t="s">
        <v>42277</v>
      </c>
      <c r="M6577" s="149" t="s">
        <v>42278</v>
      </c>
      <c r="N6577" s="12"/>
      <c r="O6577" s="12"/>
      <c r="P6577" s="13">
        <f>IFERROR(__xludf.DUMMYFUNCTION("VALUE(SUBSTITUTE((INDEX(SPLIT(A6577,"",""),1)),""."","","",1))"),55.471724)</f>
        <v>55.471724</v>
      </c>
      <c r="Q6577" s="13">
        <f>IFERROR(__xludf.DUMMYFUNCTION("VALUE(SUBSTITUTE((INDEX(SPLIT(A6577,"",""),2)),""."","","",1))"),37.750577)</f>
        <v>37.750577</v>
      </c>
      <c r="R6577" s="14" t="b">
        <f t="shared" si="1"/>
        <v>0</v>
      </c>
      <c r="S6577" s="14" t="str">
        <f t="shared" si="2"/>
        <v>55.471724,37.750577</v>
      </c>
      <c r="T6577" s="12"/>
    </row>
    <row r="6578">
      <c r="A6578" s="136" t="s">
        <v>42279</v>
      </c>
      <c r="B6578" s="137" t="s">
        <v>42280</v>
      </c>
      <c r="C6578" s="137" t="s">
        <v>42281</v>
      </c>
      <c r="D6578" s="137" t="s">
        <v>33342</v>
      </c>
      <c r="E6578" s="138" t="s">
        <v>42282</v>
      </c>
      <c r="F6578" s="136" t="s">
        <v>3760</v>
      </c>
      <c r="G6578" s="136" t="s">
        <v>33344</v>
      </c>
      <c r="H6578" s="136"/>
      <c r="I6578" s="137"/>
      <c r="J6578" s="137" t="s">
        <v>42283</v>
      </c>
      <c r="K6578" s="137" t="s">
        <v>42284</v>
      </c>
      <c r="L6578" s="137"/>
      <c r="M6578" s="137"/>
      <c r="N6578" s="12"/>
      <c r="O6578" s="12"/>
      <c r="P6578" s="13">
        <f>IFERROR(__xludf.DUMMYFUNCTION("VALUE(SUBSTITUTE((INDEX(SPLIT(A6578,"",""),1)),""."","","",1))"),55.453544)</f>
        <v>55.453544</v>
      </c>
      <c r="Q6578" s="13">
        <f>IFERROR(__xludf.DUMMYFUNCTION("VALUE(SUBSTITUTE((INDEX(SPLIT(A6578,"",""),2)),""."","","",1))"),37.73694)</f>
        <v>37.73694</v>
      </c>
      <c r="R6578" s="14" t="b">
        <f t="shared" si="1"/>
        <v>0</v>
      </c>
      <c r="S6578" s="14" t="str">
        <f t="shared" si="2"/>
        <v>55.453544,37.73694</v>
      </c>
      <c r="T6578" s="12"/>
    </row>
    <row r="6579">
      <c r="A6579" s="139" t="s">
        <v>42285</v>
      </c>
      <c r="B6579" s="140" t="s">
        <v>42286</v>
      </c>
      <c r="C6579" s="140" t="s">
        <v>42287</v>
      </c>
      <c r="D6579" s="140" t="s">
        <v>33342</v>
      </c>
      <c r="E6579" s="141" t="s">
        <v>42288</v>
      </c>
      <c r="F6579" s="139" t="s">
        <v>3760</v>
      </c>
      <c r="G6579" s="139" t="s">
        <v>33344</v>
      </c>
      <c r="H6579" s="139"/>
      <c r="I6579" s="140"/>
      <c r="J6579" s="140" t="s">
        <v>42289</v>
      </c>
      <c r="K6579" s="140" t="s">
        <v>42290</v>
      </c>
      <c r="L6579" s="140"/>
      <c r="M6579" s="140"/>
      <c r="N6579" s="12"/>
      <c r="O6579" s="12"/>
      <c r="P6579" s="13">
        <f>IFERROR(__xludf.DUMMYFUNCTION("VALUE(SUBSTITUTE((INDEX(SPLIT(A6579,"",""),1)),""."","","",1))"),55.25206)</f>
        <v>55.25206</v>
      </c>
      <c r="Q6579" s="13">
        <f>IFERROR(__xludf.DUMMYFUNCTION("VALUE(SUBSTITUTE((INDEX(SPLIT(A6579,"",""),2)),""."","","",1))"),37.911977)</f>
        <v>37.911977</v>
      </c>
      <c r="R6579" s="14" t="b">
        <f t="shared" si="1"/>
        <v>0</v>
      </c>
      <c r="S6579" s="14" t="str">
        <f t="shared" si="2"/>
        <v>55.25206,37.911977</v>
      </c>
      <c r="T6579" s="12"/>
    </row>
    <row r="6580">
      <c r="A6580" s="136" t="s">
        <v>42291</v>
      </c>
      <c r="B6580" s="137" t="s">
        <v>42292</v>
      </c>
      <c r="C6580" s="137" t="s">
        <v>42293</v>
      </c>
      <c r="D6580" s="137" t="s">
        <v>33342</v>
      </c>
      <c r="E6580" s="138" t="s">
        <v>42294</v>
      </c>
      <c r="F6580" s="136" t="s">
        <v>3760</v>
      </c>
      <c r="G6580" s="136" t="s">
        <v>33344</v>
      </c>
      <c r="H6580" s="136"/>
      <c r="I6580" s="137"/>
      <c r="J6580" s="137" t="s">
        <v>42295</v>
      </c>
      <c r="K6580" s="137" t="s">
        <v>42296</v>
      </c>
      <c r="L6580" s="137"/>
      <c r="M6580" s="153" t="s">
        <v>42297</v>
      </c>
      <c r="N6580" s="12"/>
      <c r="O6580" s="12"/>
      <c r="P6580" s="13">
        <f>IFERROR(__xludf.DUMMYFUNCTION("VALUE(SUBSTITUTE((INDEX(SPLIT(A6580,"",""),1)),""."","","",1))"),56.745113)</f>
        <v>56.745113</v>
      </c>
      <c r="Q6580" s="13">
        <f>IFERROR(__xludf.DUMMYFUNCTION("VALUE(SUBSTITUTE((INDEX(SPLIT(A6580,"",""),2)),""."","","",1))"),37.222969)</f>
        <v>37.222969</v>
      </c>
      <c r="R6580" s="14" t="b">
        <f t="shared" si="1"/>
        <v>0</v>
      </c>
      <c r="S6580" s="14" t="str">
        <f t="shared" si="2"/>
        <v>56.745113,37.222969</v>
      </c>
      <c r="T6580" s="12"/>
    </row>
    <row r="6581">
      <c r="A6581" s="139" t="s">
        <v>42298</v>
      </c>
      <c r="B6581" s="140" t="s">
        <v>42299</v>
      </c>
      <c r="C6581" s="140" t="s">
        <v>42300</v>
      </c>
      <c r="D6581" s="140" t="s">
        <v>33342</v>
      </c>
      <c r="E6581" s="141" t="s">
        <v>42301</v>
      </c>
      <c r="F6581" s="139" t="s">
        <v>3760</v>
      </c>
      <c r="G6581" s="139" t="s">
        <v>33344</v>
      </c>
      <c r="H6581" s="139"/>
      <c r="I6581" s="140"/>
      <c r="J6581" s="140" t="s">
        <v>42302</v>
      </c>
      <c r="K6581" s="140" t="s">
        <v>42303</v>
      </c>
      <c r="L6581" s="140"/>
      <c r="M6581" s="140"/>
      <c r="N6581" s="12"/>
      <c r="O6581" s="12"/>
      <c r="P6581" s="13">
        <f>IFERROR(__xludf.DUMMYFUNCTION("VALUE(SUBSTITUTE((INDEX(SPLIT(A6581,"",""),1)),""."","","",1))"),56.73006)</f>
        <v>56.73006</v>
      </c>
      <c r="Q6581" s="13">
        <f>IFERROR(__xludf.DUMMYFUNCTION("VALUE(SUBSTITUTE((INDEX(SPLIT(A6581,"",""),2)),""."","","",1))"),37.14946)</f>
        <v>37.14946</v>
      </c>
      <c r="R6581" s="14" t="b">
        <f t="shared" si="1"/>
        <v>0</v>
      </c>
      <c r="S6581" s="14" t="str">
        <f t="shared" si="2"/>
        <v>56.73006,37.14946</v>
      </c>
      <c r="T6581" s="12"/>
    </row>
    <row r="6582">
      <c r="A6582" s="136" t="s">
        <v>42304</v>
      </c>
      <c r="B6582" s="137" t="s">
        <v>42305</v>
      </c>
      <c r="C6582" s="137" t="s">
        <v>42306</v>
      </c>
      <c r="D6582" s="137" t="s">
        <v>33342</v>
      </c>
      <c r="E6582" s="138" t="s">
        <v>42307</v>
      </c>
      <c r="F6582" s="136" t="s">
        <v>3760</v>
      </c>
      <c r="G6582" s="136" t="s">
        <v>33344</v>
      </c>
      <c r="H6582" s="136"/>
      <c r="I6582" s="137"/>
      <c r="J6582" s="137" t="s">
        <v>42308</v>
      </c>
      <c r="K6582" s="137" t="s">
        <v>42309</v>
      </c>
      <c r="L6582" s="137"/>
      <c r="M6582" s="137"/>
      <c r="N6582" s="12"/>
      <c r="O6582" s="12"/>
      <c r="P6582" s="13">
        <f>IFERROR(__xludf.DUMMYFUNCTION("VALUE(SUBSTITUTE((INDEX(SPLIT(A6582,"",""),1)),""."","","",1))"),56.742042)</f>
        <v>56.742042</v>
      </c>
      <c r="Q6582" s="13">
        <f>IFERROR(__xludf.DUMMYFUNCTION("VALUE(SUBSTITUTE((INDEX(SPLIT(A6582,"",""),2)),""."","","",1))"),37.182419)</f>
        <v>37.182419</v>
      </c>
      <c r="R6582" s="14" t="b">
        <f t="shared" si="1"/>
        <v>0</v>
      </c>
      <c r="S6582" s="14" t="str">
        <f t="shared" si="2"/>
        <v>56.742042,37.182419</v>
      </c>
      <c r="T6582" s="12"/>
    </row>
    <row r="6583">
      <c r="A6583" s="146" t="s">
        <v>42310</v>
      </c>
      <c r="B6583" s="147" t="s">
        <v>42311</v>
      </c>
      <c r="C6583" s="147" t="s">
        <v>42312</v>
      </c>
      <c r="D6583" s="147" t="s">
        <v>33342</v>
      </c>
      <c r="E6583" s="148" t="s">
        <v>42313</v>
      </c>
      <c r="F6583" s="146" t="s">
        <v>3760</v>
      </c>
      <c r="G6583" s="146" t="s">
        <v>33344</v>
      </c>
      <c r="H6583" s="146"/>
      <c r="I6583" s="147"/>
      <c r="J6583" s="147" t="s">
        <v>42314</v>
      </c>
      <c r="K6583" s="147" t="s">
        <v>42315</v>
      </c>
      <c r="L6583" s="150" t="s">
        <v>42316</v>
      </c>
      <c r="M6583" s="147"/>
      <c r="N6583" s="12"/>
      <c r="O6583" s="12"/>
      <c r="P6583" s="13">
        <f>IFERROR(__xludf.DUMMYFUNCTION("VALUE(SUBSTITUTE((INDEX(SPLIT(A6583,"",""),1)),""."","","",1))"),55.726249)</f>
        <v>55.726249</v>
      </c>
      <c r="Q6583" s="13">
        <f>IFERROR(__xludf.DUMMYFUNCTION("VALUE(SUBSTITUTE((INDEX(SPLIT(A6583,"",""),2)),""."","","",1))"),37.467536)</f>
        <v>37.467536</v>
      </c>
      <c r="R6583" s="14" t="b">
        <f t="shared" si="1"/>
        <v>0</v>
      </c>
      <c r="S6583" s="14" t="str">
        <f t="shared" si="2"/>
        <v>55.726249,37.467536</v>
      </c>
      <c r="T6583" s="12"/>
    </row>
    <row r="6584">
      <c r="A6584" s="136" t="s">
        <v>42317</v>
      </c>
      <c r="B6584" s="137" t="s">
        <v>42318</v>
      </c>
      <c r="C6584" s="137" t="s">
        <v>42319</v>
      </c>
      <c r="D6584" s="137" t="s">
        <v>33342</v>
      </c>
      <c r="E6584" s="138" t="s">
        <v>42320</v>
      </c>
      <c r="F6584" s="136" t="s">
        <v>3760</v>
      </c>
      <c r="G6584" s="136" t="s">
        <v>33344</v>
      </c>
      <c r="H6584" s="136"/>
      <c r="I6584" s="137"/>
      <c r="J6584" s="137" t="s">
        <v>42321</v>
      </c>
      <c r="K6584" s="137" t="s">
        <v>42322</v>
      </c>
      <c r="L6584" s="137"/>
      <c r="M6584" s="137"/>
      <c r="N6584" s="12"/>
      <c r="O6584" s="12"/>
      <c r="P6584" s="13">
        <f>IFERROR(__xludf.DUMMYFUNCTION("VALUE(SUBSTITUTE((INDEX(SPLIT(A6584,"",""),1)),""."","","",1))"),55.729731)</f>
        <v>55.729731</v>
      </c>
      <c r="Q6584" s="13">
        <f>IFERROR(__xludf.DUMMYFUNCTION("VALUE(SUBSTITUTE((INDEX(SPLIT(A6584,"",""),2)),""."","","",1))"),38.029755)</f>
        <v>38.029755</v>
      </c>
      <c r="R6584" s="14" t="b">
        <f t="shared" si="1"/>
        <v>0</v>
      </c>
      <c r="S6584" s="14" t="str">
        <f t="shared" si="2"/>
        <v>55.729731,38.029755</v>
      </c>
      <c r="T6584" s="12"/>
    </row>
    <row r="6585">
      <c r="A6585" s="139" t="s">
        <v>8291</v>
      </c>
      <c r="B6585" s="140" t="s">
        <v>42323</v>
      </c>
      <c r="C6585" s="140" t="s">
        <v>42324</v>
      </c>
      <c r="D6585" s="140" t="s">
        <v>33342</v>
      </c>
      <c r="E6585" s="141" t="s">
        <v>42325</v>
      </c>
      <c r="F6585" s="139" t="s">
        <v>3760</v>
      </c>
      <c r="G6585" s="139" t="s">
        <v>33344</v>
      </c>
      <c r="H6585" s="139"/>
      <c r="I6585" s="140"/>
      <c r="J6585" s="140" t="s">
        <v>42326</v>
      </c>
      <c r="K6585" s="140" t="s">
        <v>42327</v>
      </c>
      <c r="L6585" s="140"/>
      <c r="M6585" s="140"/>
      <c r="N6585" s="12"/>
      <c r="O6585" s="12"/>
      <c r="P6585" s="13">
        <f>IFERROR(__xludf.DUMMYFUNCTION("VALUE(SUBSTITUTE((INDEX(SPLIT(A6585,"",""),1)),""."","","",1))"),55.701268)</f>
        <v>55.701268</v>
      </c>
      <c r="Q6585" s="13">
        <f>IFERROR(__xludf.DUMMYFUNCTION("VALUE(SUBSTITUTE((INDEX(SPLIT(A6585,"",""),2)),""."","","",1))"),36.877477)</f>
        <v>36.877477</v>
      </c>
      <c r="R6585" s="14" t="b">
        <f t="shared" si="1"/>
        <v>0</v>
      </c>
      <c r="S6585" s="14" t="str">
        <f t="shared" si="2"/>
        <v>55.701268,36.877477</v>
      </c>
      <c r="T6585" s="12"/>
    </row>
    <row r="6586">
      <c r="A6586" s="136" t="s">
        <v>42328</v>
      </c>
      <c r="B6586" s="137" t="s">
        <v>42329</v>
      </c>
      <c r="C6586" s="137" t="s">
        <v>42330</v>
      </c>
      <c r="D6586" s="137" t="s">
        <v>33342</v>
      </c>
      <c r="E6586" s="138" t="s">
        <v>42331</v>
      </c>
      <c r="F6586" s="136" t="s">
        <v>3760</v>
      </c>
      <c r="G6586" s="136" t="s">
        <v>33344</v>
      </c>
      <c r="H6586" s="136"/>
      <c r="I6586" s="137"/>
      <c r="J6586" s="137" t="s">
        <v>42332</v>
      </c>
      <c r="K6586" s="137" t="s">
        <v>42333</v>
      </c>
      <c r="L6586" s="137"/>
      <c r="M6586" s="137"/>
      <c r="N6586" s="12"/>
      <c r="O6586" s="12"/>
      <c r="P6586" s="13">
        <f>IFERROR(__xludf.DUMMYFUNCTION("VALUE(SUBSTITUTE((INDEX(SPLIT(A6586,"",""),1)),""."","","",1))"),55.741896)</f>
        <v>55.741896</v>
      </c>
      <c r="Q6586" s="13">
        <f>IFERROR(__xludf.DUMMYFUNCTION("VALUE(SUBSTITUTE((INDEX(SPLIT(A6586,"",""),2)),""."","","",1))"),36.856367)</f>
        <v>36.856367</v>
      </c>
      <c r="R6586" s="14" t="b">
        <f t="shared" si="1"/>
        <v>0</v>
      </c>
      <c r="S6586" s="14" t="str">
        <f t="shared" si="2"/>
        <v>55.741896,36.856367</v>
      </c>
      <c r="T6586" s="12"/>
    </row>
    <row r="6587">
      <c r="A6587" s="139" t="s">
        <v>42334</v>
      </c>
      <c r="B6587" s="140" t="s">
        <v>42335</v>
      </c>
      <c r="C6587" s="140" t="s">
        <v>42336</v>
      </c>
      <c r="D6587" s="140" t="s">
        <v>33342</v>
      </c>
      <c r="E6587" s="141" t="s">
        <v>42337</v>
      </c>
      <c r="F6587" s="139" t="s">
        <v>3760</v>
      </c>
      <c r="G6587" s="139" t="s">
        <v>33344</v>
      </c>
      <c r="H6587" s="139"/>
      <c r="I6587" s="140"/>
      <c r="J6587" s="140" t="s">
        <v>42338</v>
      </c>
      <c r="K6587" s="140" t="s">
        <v>42339</v>
      </c>
      <c r="L6587" s="140"/>
      <c r="M6587" s="154" t="s">
        <v>42340</v>
      </c>
      <c r="N6587" s="12"/>
      <c r="O6587" s="12"/>
      <c r="P6587" s="13">
        <f>IFERROR(__xludf.DUMMYFUNCTION("VALUE(SUBSTITUTE((INDEX(SPLIT(A6587,"",""),1)),""."","","",1))"),55.62976)</f>
        <v>55.62976</v>
      </c>
      <c r="Q6587" s="13">
        <f>IFERROR(__xludf.DUMMYFUNCTION("VALUE(SUBSTITUTE((INDEX(SPLIT(A6587,"",""),2)),""."","","",1))"),36.966653)</f>
        <v>36.966653</v>
      </c>
      <c r="R6587" s="14" t="b">
        <f t="shared" si="1"/>
        <v>0</v>
      </c>
      <c r="S6587" s="14" t="str">
        <f t="shared" si="2"/>
        <v>55.62976,36.966653</v>
      </c>
      <c r="T6587" s="12"/>
    </row>
    <row r="6588">
      <c r="A6588" s="136" t="s">
        <v>42341</v>
      </c>
      <c r="B6588" s="137" t="s">
        <v>42342</v>
      </c>
      <c r="C6588" s="137" t="s">
        <v>42343</v>
      </c>
      <c r="D6588" s="137" t="s">
        <v>33342</v>
      </c>
      <c r="E6588" s="138" t="s">
        <v>42344</v>
      </c>
      <c r="F6588" s="136" t="s">
        <v>3760</v>
      </c>
      <c r="G6588" s="136" t="s">
        <v>33344</v>
      </c>
      <c r="H6588" s="136"/>
      <c r="I6588" s="137"/>
      <c r="J6588" s="137" t="s">
        <v>42345</v>
      </c>
      <c r="K6588" s="137" t="s">
        <v>42346</v>
      </c>
      <c r="L6588" s="137"/>
      <c r="M6588" s="153" t="s">
        <v>42347</v>
      </c>
      <c r="N6588" s="12"/>
      <c r="O6588" s="12"/>
      <c r="P6588" s="13">
        <f>IFERROR(__xludf.DUMMYFUNCTION("VALUE(SUBSTITUTE((INDEX(SPLIT(A6588,"",""),1)),""."","","",1))"),55.74148)</f>
        <v>55.74148</v>
      </c>
      <c r="Q6588" s="13">
        <f>IFERROR(__xludf.DUMMYFUNCTION("VALUE(SUBSTITUTE((INDEX(SPLIT(A6588,"",""),2)),""."","","",1))"),36.854642)</f>
        <v>36.854642</v>
      </c>
      <c r="R6588" s="14" t="b">
        <f t="shared" si="1"/>
        <v>0</v>
      </c>
      <c r="S6588" s="14" t="str">
        <f t="shared" si="2"/>
        <v>55.74148,36.854642</v>
      </c>
      <c r="T6588" s="12"/>
    </row>
    <row r="6589">
      <c r="A6589" s="146" t="s">
        <v>42348</v>
      </c>
      <c r="B6589" s="147" t="s">
        <v>42349</v>
      </c>
      <c r="C6589" s="147" t="s">
        <v>42350</v>
      </c>
      <c r="D6589" s="147" t="s">
        <v>33342</v>
      </c>
      <c r="E6589" s="148" t="s">
        <v>42351</v>
      </c>
      <c r="F6589" s="146" t="s">
        <v>3760</v>
      </c>
      <c r="G6589" s="146" t="s">
        <v>33344</v>
      </c>
      <c r="H6589" s="146"/>
      <c r="I6589" s="147"/>
      <c r="J6589" s="147" t="s">
        <v>42352</v>
      </c>
      <c r="K6589" s="147" t="s">
        <v>42353</v>
      </c>
      <c r="L6589" s="149" t="s">
        <v>42354</v>
      </c>
      <c r="M6589" s="147"/>
      <c r="N6589" s="12"/>
      <c r="O6589" s="12"/>
      <c r="P6589" s="13">
        <f>IFERROR(__xludf.DUMMYFUNCTION("VALUE(SUBSTITUTE((INDEX(SPLIT(A6589,"",""),1)),""."","","",1))"),55.964776)</f>
        <v>55.964776</v>
      </c>
      <c r="Q6589" s="13">
        <f>IFERROR(__xludf.DUMMYFUNCTION("VALUE(SUBSTITUTE((INDEX(SPLIT(A6589,"",""),2)),""."","","",1))"),37.890651)</f>
        <v>37.890651</v>
      </c>
      <c r="R6589" s="14" t="b">
        <f t="shared" si="1"/>
        <v>0</v>
      </c>
      <c r="S6589" s="14" t="str">
        <f t="shared" si="2"/>
        <v>55.964776,37.890651</v>
      </c>
      <c r="T6589" s="12"/>
    </row>
    <row r="6590">
      <c r="A6590" s="142" t="s">
        <v>42355</v>
      </c>
      <c r="B6590" s="143" t="s">
        <v>42356</v>
      </c>
      <c r="C6590" s="143" t="s">
        <v>42357</v>
      </c>
      <c r="D6590" s="143" t="s">
        <v>33342</v>
      </c>
      <c r="E6590" s="144" t="s">
        <v>42358</v>
      </c>
      <c r="F6590" s="142" t="s">
        <v>3760</v>
      </c>
      <c r="G6590" s="142" t="s">
        <v>33344</v>
      </c>
      <c r="H6590" s="142"/>
      <c r="I6590" s="143"/>
      <c r="J6590" s="143" t="s">
        <v>42359</v>
      </c>
      <c r="K6590" s="143" t="s">
        <v>42360</v>
      </c>
      <c r="L6590" s="152" t="s">
        <v>42361</v>
      </c>
      <c r="M6590" s="143"/>
      <c r="N6590" s="12"/>
      <c r="O6590" s="12"/>
      <c r="P6590" s="13">
        <f>IFERROR(__xludf.DUMMYFUNCTION("VALUE(SUBSTITUTE((INDEX(SPLIT(A6590,"",""),1)),""."","","",1))"),55.981772)</f>
        <v>55.981772</v>
      </c>
      <c r="Q6590" s="13">
        <f>IFERROR(__xludf.DUMMYFUNCTION("VALUE(SUBSTITUTE((INDEX(SPLIT(A6590,"",""),2)),""."","","",1))"),37.903856)</f>
        <v>37.903856</v>
      </c>
      <c r="R6590" s="14" t="b">
        <f t="shared" si="1"/>
        <v>0</v>
      </c>
      <c r="S6590" s="14" t="str">
        <f t="shared" si="2"/>
        <v>55.981772,37.903856</v>
      </c>
      <c r="T6590" s="12"/>
    </row>
    <row r="6591">
      <c r="A6591" s="139" t="s">
        <v>42362</v>
      </c>
      <c r="B6591" s="140" t="s">
        <v>42363</v>
      </c>
      <c r="C6591" s="140" t="s">
        <v>42364</v>
      </c>
      <c r="D6591" s="140" t="s">
        <v>33342</v>
      </c>
      <c r="E6591" s="141" t="s">
        <v>42365</v>
      </c>
      <c r="F6591" s="139" t="s">
        <v>3760</v>
      </c>
      <c r="G6591" s="139" t="s">
        <v>33344</v>
      </c>
      <c r="H6591" s="139"/>
      <c r="I6591" s="140"/>
      <c r="J6591" s="140" t="s">
        <v>42366</v>
      </c>
      <c r="K6591" s="140" t="s">
        <v>42367</v>
      </c>
      <c r="L6591" s="140"/>
      <c r="M6591" s="154" t="s">
        <v>42368</v>
      </c>
      <c r="N6591" s="12"/>
      <c r="O6591" s="12"/>
      <c r="P6591" s="13">
        <f>IFERROR(__xludf.DUMMYFUNCTION("VALUE(SUBSTITUTE((INDEX(SPLIT(A6591,"",""),1)),""."","","",1))"),55.966897)</f>
        <v>55.966897</v>
      </c>
      <c r="Q6591" s="13">
        <f>IFERROR(__xludf.DUMMYFUNCTION("VALUE(SUBSTITUTE((INDEX(SPLIT(A6591,"",""),2)),""."","","",1))"),36.554299)</f>
        <v>36.554299</v>
      </c>
      <c r="R6591" s="14" t="b">
        <f t="shared" si="1"/>
        <v>0</v>
      </c>
      <c r="S6591" s="14" t="str">
        <f t="shared" si="2"/>
        <v>55.966897,36.554299</v>
      </c>
      <c r="T6591" s="12"/>
    </row>
    <row r="6592">
      <c r="A6592" s="142" t="s">
        <v>42369</v>
      </c>
      <c r="B6592" s="143" t="s">
        <v>9080</v>
      </c>
      <c r="C6592" s="143" t="s">
        <v>42370</v>
      </c>
      <c r="D6592" s="143" t="s">
        <v>33342</v>
      </c>
      <c r="E6592" s="144" t="s">
        <v>42371</v>
      </c>
      <c r="F6592" s="142" t="s">
        <v>3760</v>
      </c>
      <c r="G6592" s="142" t="s">
        <v>33344</v>
      </c>
      <c r="H6592" s="142"/>
      <c r="I6592" s="143"/>
      <c r="J6592" s="143" t="s">
        <v>42372</v>
      </c>
      <c r="K6592" s="143" t="s">
        <v>42373</v>
      </c>
      <c r="L6592" s="152" t="s">
        <v>42374</v>
      </c>
      <c r="M6592" s="143"/>
      <c r="N6592" s="12"/>
      <c r="O6592" s="12"/>
      <c r="P6592" s="13">
        <f>IFERROR(__xludf.DUMMYFUNCTION("VALUE(SUBSTITUTE((INDEX(SPLIT(A6592,"",""),1)),""."","","",1))"),55.865051)</f>
        <v>55.865051</v>
      </c>
      <c r="Q6592" s="13">
        <f>IFERROR(__xludf.DUMMYFUNCTION("VALUE(SUBSTITUTE((INDEX(SPLIT(A6592,"",""),2)),""."","","",1))"),36.600958)</f>
        <v>36.600958</v>
      </c>
      <c r="R6592" s="14" t="b">
        <f t="shared" si="1"/>
        <v>0</v>
      </c>
      <c r="S6592" s="14" t="str">
        <f t="shared" si="2"/>
        <v>55.865051,36.600958</v>
      </c>
      <c r="T6592" s="12"/>
    </row>
    <row r="6593">
      <c r="A6593" s="146" t="s">
        <v>42375</v>
      </c>
      <c r="B6593" s="147" t="s">
        <v>42376</v>
      </c>
      <c r="C6593" s="147" t="s">
        <v>42377</v>
      </c>
      <c r="D6593" s="147" t="s">
        <v>33342</v>
      </c>
      <c r="E6593" s="148" t="s">
        <v>42378</v>
      </c>
      <c r="F6593" s="146" t="s">
        <v>3760</v>
      </c>
      <c r="G6593" s="146" t="s">
        <v>33344</v>
      </c>
      <c r="H6593" s="146"/>
      <c r="I6593" s="147"/>
      <c r="J6593" s="147" t="s">
        <v>42379</v>
      </c>
      <c r="K6593" s="147" t="s">
        <v>42380</v>
      </c>
      <c r="L6593" s="149" t="s">
        <v>42381</v>
      </c>
      <c r="M6593" s="149" t="s">
        <v>42382</v>
      </c>
      <c r="N6593" s="12"/>
      <c r="O6593" s="12"/>
      <c r="P6593" s="13">
        <f>IFERROR(__xludf.DUMMYFUNCTION("VALUE(SUBSTITUTE((INDEX(SPLIT(A6593,"",""),1)),""."","","",1))"),55.814937)</f>
        <v>55.814937</v>
      </c>
      <c r="Q6593" s="13">
        <f>IFERROR(__xludf.DUMMYFUNCTION("VALUE(SUBSTITUTE((INDEX(SPLIT(A6593,"",""),2)),""."","","",1))"),37.086938)</f>
        <v>37.086938</v>
      </c>
      <c r="R6593" s="14" t="b">
        <f t="shared" si="1"/>
        <v>0</v>
      </c>
      <c r="S6593" s="14" t="str">
        <f t="shared" si="2"/>
        <v>55.814937,37.086938</v>
      </c>
      <c r="T6593" s="12"/>
    </row>
    <row r="6594">
      <c r="A6594" s="142" t="s">
        <v>42383</v>
      </c>
      <c r="B6594" s="143" t="s">
        <v>42384</v>
      </c>
      <c r="C6594" s="143" t="s">
        <v>42385</v>
      </c>
      <c r="D6594" s="143" t="s">
        <v>33342</v>
      </c>
      <c r="E6594" s="144" t="s">
        <v>42386</v>
      </c>
      <c r="F6594" s="142" t="s">
        <v>3760</v>
      </c>
      <c r="G6594" s="142" t="s">
        <v>33344</v>
      </c>
      <c r="H6594" s="142"/>
      <c r="I6594" s="143"/>
      <c r="J6594" s="143" t="s">
        <v>42387</v>
      </c>
      <c r="K6594" s="143" t="s">
        <v>42388</v>
      </c>
      <c r="L6594" s="145" t="s">
        <v>42389</v>
      </c>
      <c r="M6594" s="143"/>
      <c r="N6594" s="12"/>
      <c r="O6594" s="12"/>
      <c r="P6594" s="13">
        <f>IFERROR(__xludf.DUMMYFUNCTION("VALUE(SUBSTITUTE((INDEX(SPLIT(A6594,"",""),1)),""."","","",1))"),55.873188)</f>
        <v>55.873188</v>
      </c>
      <c r="Q6594" s="13">
        <f>IFERROR(__xludf.DUMMYFUNCTION("VALUE(SUBSTITUTE((INDEX(SPLIT(A6594,"",""),2)),""."","","",1))"),36.754965)</f>
        <v>36.754965</v>
      </c>
      <c r="R6594" s="14" t="b">
        <f t="shared" si="1"/>
        <v>0</v>
      </c>
      <c r="S6594" s="14" t="str">
        <f t="shared" si="2"/>
        <v>55.873188,36.754965</v>
      </c>
      <c r="T6594" s="12"/>
    </row>
    <row r="6595">
      <c r="A6595" s="146" t="s">
        <v>23413</v>
      </c>
      <c r="B6595" s="147" t="s">
        <v>42390</v>
      </c>
      <c r="C6595" s="147" t="s">
        <v>42391</v>
      </c>
      <c r="D6595" s="147" t="s">
        <v>33342</v>
      </c>
      <c r="E6595" s="148" t="s">
        <v>42392</v>
      </c>
      <c r="F6595" s="146" t="s">
        <v>3760</v>
      </c>
      <c r="G6595" s="146" t="s">
        <v>33344</v>
      </c>
      <c r="H6595" s="146"/>
      <c r="I6595" s="147"/>
      <c r="J6595" s="147" t="s">
        <v>42393</v>
      </c>
      <c r="K6595" s="147" t="s">
        <v>42394</v>
      </c>
      <c r="L6595" s="149" t="s">
        <v>42395</v>
      </c>
      <c r="M6595" s="149" t="s">
        <v>29897</v>
      </c>
      <c r="N6595" s="12"/>
      <c r="O6595" s="12"/>
      <c r="P6595" s="13">
        <f>IFERROR(__xludf.DUMMYFUNCTION("VALUE(SUBSTITUTE((INDEX(SPLIT(A6595,"",""),1)),""."","","",1))"),55.881187)</f>
        <v>55.881187</v>
      </c>
      <c r="Q6595" s="13">
        <f>IFERROR(__xludf.DUMMYFUNCTION("VALUE(SUBSTITUTE((INDEX(SPLIT(A6595,"",""),2)),""."","","",1))"),36.56755)</f>
        <v>36.56755</v>
      </c>
      <c r="R6595" s="14" t="b">
        <f t="shared" si="1"/>
        <v>0</v>
      </c>
      <c r="S6595" s="14" t="str">
        <f t="shared" si="2"/>
        <v>55.881187,36.56755</v>
      </c>
      <c r="T6595" s="12"/>
    </row>
    <row r="6596">
      <c r="A6596" s="136" t="s">
        <v>42396</v>
      </c>
      <c r="B6596" s="137" t="s">
        <v>42397</v>
      </c>
      <c r="C6596" s="137" t="s">
        <v>42398</v>
      </c>
      <c r="D6596" s="137" t="s">
        <v>33342</v>
      </c>
      <c r="E6596" s="138" t="s">
        <v>42399</v>
      </c>
      <c r="F6596" s="136" t="s">
        <v>3760</v>
      </c>
      <c r="G6596" s="136" t="s">
        <v>33344</v>
      </c>
      <c r="H6596" s="136"/>
      <c r="I6596" s="137"/>
      <c r="J6596" s="137" t="s">
        <v>42400</v>
      </c>
      <c r="K6596" s="137" t="s">
        <v>42401</v>
      </c>
      <c r="L6596" s="137"/>
      <c r="M6596" s="153" t="s">
        <v>42402</v>
      </c>
      <c r="N6596" s="12"/>
      <c r="O6596" s="12"/>
      <c r="P6596" s="13">
        <f>IFERROR(__xludf.DUMMYFUNCTION("VALUE(SUBSTITUTE((INDEX(SPLIT(A6596,"",""),1)),""."","","",1))"),55.862904)</f>
        <v>55.862904</v>
      </c>
      <c r="Q6596" s="13">
        <f>IFERROR(__xludf.DUMMYFUNCTION("VALUE(SUBSTITUTE((INDEX(SPLIT(A6596,"",""),2)),""."","","",1))"),37.042983)</f>
        <v>37.042983</v>
      </c>
      <c r="R6596" s="14" t="b">
        <f t="shared" si="1"/>
        <v>0</v>
      </c>
      <c r="S6596" s="14" t="str">
        <f t="shared" si="2"/>
        <v>55.862904,37.042983</v>
      </c>
      <c r="T6596" s="12"/>
    </row>
    <row r="6597">
      <c r="A6597" s="139" t="s">
        <v>42403</v>
      </c>
      <c r="B6597" s="140" t="s">
        <v>42404</v>
      </c>
      <c r="C6597" s="140" t="s">
        <v>42405</v>
      </c>
      <c r="D6597" s="140" t="s">
        <v>33342</v>
      </c>
      <c r="E6597" s="141" t="s">
        <v>42406</v>
      </c>
      <c r="F6597" s="139" t="s">
        <v>3760</v>
      </c>
      <c r="G6597" s="139" t="s">
        <v>33344</v>
      </c>
      <c r="H6597" s="139"/>
      <c r="I6597" s="140"/>
      <c r="J6597" s="140" t="s">
        <v>42407</v>
      </c>
      <c r="K6597" s="140" t="s">
        <v>42408</v>
      </c>
      <c r="L6597" s="140"/>
      <c r="M6597" s="154" t="s">
        <v>42409</v>
      </c>
      <c r="N6597" s="12"/>
      <c r="O6597" s="12"/>
      <c r="P6597" s="13">
        <f>IFERROR(__xludf.DUMMYFUNCTION("VALUE(SUBSTITUTE((INDEX(SPLIT(A6597,"",""),1)),""."","","",1))"),55.802943)</f>
        <v>55.802943</v>
      </c>
      <c r="Q6597" s="13">
        <f>IFERROR(__xludf.DUMMYFUNCTION("VALUE(SUBSTITUTE((INDEX(SPLIT(A6597,"",""),2)),""."","","",1))"),37.025897)</f>
        <v>37.025897</v>
      </c>
      <c r="R6597" s="14" t="b">
        <f t="shared" si="1"/>
        <v>0</v>
      </c>
      <c r="S6597" s="14" t="str">
        <f t="shared" si="2"/>
        <v>55.802943,37.025897</v>
      </c>
      <c r="T6597" s="12"/>
    </row>
    <row r="6598">
      <c r="A6598" s="142" t="s">
        <v>42410</v>
      </c>
      <c r="B6598" s="143" t="s">
        <v>42411</v>
      </c>
      <c r="C6598" s="143" t="s">
        <v>42412</v>
      </c>
      <c r="D6598" s="143" t="s">
        <v>33342</v>
      </c>
      <c r="E6598" s="144" t="s">
        <v>42413</v>
      </c>
      <c r="F6598" s="142" t="s">
        <v>3760</v>
      </c>
      <c r="G6598" s="142" t="s">
        <v>33344</v>
      </c>
      <c r="H6598" s="142"/>
      <c r="I6598" s="143"/>
      <c r="J6598" s="143" t="s">
        <v>42414</v>
      </c>
      <c r="K6598" s="143" t="s">
        <v>34758</v>
      </c>
      <c r="L6598" s="145" t="s">
        <v>42415</v>
      </c>
      <c r="M6598" s="145" t="s">
        <v>42416</v>
      </c>
      <c r="N6598" s="12"/>
      <c r="O6598" s="12"/>
      <c r="P6598" s="13">
        <f>IFERROR(__xludf.DUMMYFUNCTION("VALUE(SUBSTITUTE((INDEX(SPLIT(A6598,"",""),1)),""."","","",1))"),55.910447)</f>
        <v>55.910447</v>
      </c>
      <c r="Q6598" s="13">
        <f>IFERROR(__xludf.DUMMYFUNCTION("VALUE(SUBSTITUTE((INDEX(SPLIT(A6598,"",""),2)),""."","","",1))"),37.789366)</f>
        <v>37.789366</v>
      </c>
      <c r="R6598" s="14" t="b">
        <f t="shared" si="1"/>
        <v>0</v>
      </c>
      <c r="S6598" s="14" t="str">
        <f t="shared" si="2"/>
        <v>55.910447,37.789366</v>
      </c>
      <c r="T6598" s="12"/>
    </row>
    <row r="6599">
      <c r="A6599" s="146" t="s">
        <v>42417</v>
      </c>
      <c r="B6599" s="147" t="s">
        <v>42418</v>
      </c>
      <c r="C6599" s="147" t="s">
        <v>42419</v>
      </c>
      <c r="D6599" s="147" t="s">
        <v>33342</v>
      </c>
      <c r="E6599" s="148" t="s">
        <v>42420</v>
      </c>
      <c r="F6599" s="146" t="s">
        <v>3760</v>
      </c>
      <c r="G6599" s="146" t="s">
        <v>33344</v>
      </c>
      <c r="H6599" s="146"/>
      <c r="I6599" s="147"/>
      <c r="J6599" s="147" t="s">
        <v>42421</v>
      </c>
      <c r="K6599" s="147" t="s">
        <v>42422</v>
      </c>
      <c r="L6599" s="149" t="s">
        <v>42423</v>
      </c>
      <c r="M6599" s="149" t="s">
        <v>42424</v>
      </c>
      <c r="N6599" s="12"/>
      <c r="O6599" s="12"/>
      <c r="P6599" s="13">
        <f>IFERROR(__xludf.DUMMYFUNCTION("VALUE(SUBSTITUTE((INDEX(SPLIT(A6599,"",""),1)),""."","","",1))"),55.906189)</f>
        <v>55.906189</v>
      </c>
      <c r="Q6599" s="13">
        <f>IFERROR(__xludf.DUMMYFUNCTION("VALUE(SUBSTITUTE((INDEX(SPLIT(A6599,"",""),2)),""."","","",1))"),37.790974)</f>
        <v>37.790974</v>
      </c>
      <c r="R6599" s="14" t="b">
        <f t="shared" si="1"/>
        <v>0</v>
      </c>
      <c r="S6599" s="14" t="str">
        <f t="shared" si="2"/>
        <v>55.906189,37.790974</v>
      </c>
      <c r="T6599" s="12"/>
    </row>
    <row r="6600">
      <c r="A6600" s="142" t="s">
        <v>11538</v>
      </c>
      <c r="B6600" s="143" t="s">
        <v>42425</v>
      </c>
      <c r="C6600" s="143" t="s">
        <v>42426</v>
      </c>
      <c r="D6600" s="143" t="s">
        <v>33342</v>
      </c>
      <c r="E6600" s="144" t="s">
        <v>42427</v>
      </c>
      <c r="F6600" s="142" t="s">
        <v>3760</v>
      </c>
      <c r="G6600" s="142" t="s">
        <v>33344</v>
      </c>
      <c r="H6600" s="142"/>
      <c r="I6600" s="143"/>
      <c r="J6600" s="143" t="s">
        <v>42428</v>
      </c>
      <c r="K6600" s="143" t="s">
        <v>42429</v>
      </c>
      <c r="L6600" s="145" t="s">
        <v>42430</v>
      </c>
      <c r="M6600" s="143"/>
      <c r="N6600" s="12"/>
      <c r="O6600" s="12"/>
      <c r="P6600" s="13">
        <f>IFERROR(__xludf.DUMMYFUNCTION("VALUE(SUBSTITUTE((INDEX(SPLIT(A6600,"",""),1)),""."","","",1))"),55.914665)</f>
        <v>55.914665</v>
      </c>
      <c r="Q6600" s="13">
        <f>IFERROR(__xludf.DUMMYFUNCTION("VALUE(SUBSTITUTE((INDEX(SPLIT(A6600,"",""),2)),""."","","",1))"),37.793777)</f>
        <v>37.793777</v>
      </c>
      <c r="R6600" s="14" t="b">
        <f t="shared" si="1"/>
        <v>0</v>
      </c>
      <c r="S6600" s="14" t="str">
        <f t="shared" si="2"/>
        <v>55.914665,37.793777</v>
      </c>
      <c r="T6600" s="12"/>
    </row>
    <row r="6601">
      <c r="A6601" s="146" t="s">
        <v>42431</v>
      </c>
      <c r="B6601" s="147" t="s">
        <v>29089</v>
      </c>
      <c r="C6601" s="147" t="s">
        <v>42432</v>
      </c>
      <c r="D6601" s="147" t="s">
        <v>33342</v>
      </c>
      <c r="E6601" s="148" t="s">
        <v>42433</v>
      </c>
      <c r="F6601" s="146" t="s">
        <v>3760</v>
      </c>
      <c r="G6601" s="146" t="s">
        <v>33344</v>
      </c>
      <c r="H6601" s="146"/>
      <c r="I6601" s="147"/>
      <c r="J6601" s="147" t="s">
        <v>42434</v>
      </c>
      <c r="K6601" s="147" t="s">
        <v>42435</v>
      </c>
      <c r="L6601" s="149" t="s">
        <v>42436</v>
      </c>
      <c r="M6601" s="147"/>
      <c r="N6601" s="12"/>
      <c r="O6601" s="12"/>
      <c r="P6601" s="13">
        <f>IFERROR(__xludf.DUMMYFUNCTION("VALUE(SUBSTITUTE((INDEX(SPLIT(A6601,"",""),1)),""."","","",1))"),55.92025)</f>
        <v>55.92025</v>
      </c>
      <c r="Q6601" s="13">
        <f>IFERROR(__xludf.DUMMYFUNCTION("VALUE(SUBSTITUTE((INDEX(SPLIT(A6601,"",""),2)),""."","","",1))"),37.814699)</f>
        <v>37.814699</v>
      </c>
      <c r="R6601" s="14" t="b">
        <f t="shared" si="1"/>
        <v>0</v>
      </c>
      <c r="S6601" s="14" t="str">
        <f t="shared" si="2"/>
        <v>55.92025,37.814699</v>
      </c>
      <c r="T6601" s="12"/>
    </row>
    <row r="6602">
      <c r="A6602" s="136" t="s">
        <v>42437</v>
      </c>
      <c r="B6602" s="137" t="s">
        <v>42438</v>
      </c>
      <c r="C6602" s="137" t="s">
        <v>42439</v>
      </c>
      <c r="D6602" s="137" t="s">
        <v>33342</v>
      </c>
      <c r="E6602" s="138" t="s">
        <v>42440</v>
      </c>
      <c r="F6602" s="136" t="s">
        <v>3760</v>
      </c>
      <c r="G6602" s="136" t="s">
        <v>33344</v>
      </c>
      <c r="H6602" s="136"/>
      <c r="I6602" s="137"/>
      <c r="J6602" s="137" t="s">
        <v>42441</v>
      </c>
      <c r="K6602" s="137" t="s">
        <v>42442</v>
      </c>
      <c r="L6602" s="137"/>
      <c r="M6602" s="137"/>
      <c r="N6602" s="12"/>
      <c r="O6602" s="12"/>
      <c r="P6602" s="13">
        <f>IFERROR(__xludf.DUMMYFUNCTION("VALUE(SUBSTITUTE((INDEX(SPLIT(A6602,"",""),1)),""."","","",1))"),55.945241)</f>
        <v>55.945241</v>
      </c>
      <c r="Q6602" s="13">
        <f>IFERROR(__xludf.DUMMYFUNCTION("VALUE(SUBSTITUTE((INDEX(SPLIT(A6602,"",""),2)),""."","","",1))"),37.839843)</f>
        <v>37.839843</v>
      </c>
      <c r="R6602" s="14" t="b">
        <f t="shared" si="1"/>
        <v>0</v>
      </c>
      <c r="S6602" s="14" t="str">
        <f t="shared" si="2"/>
        <v>55.945241,37.839843</v>
      </c>
      <c r="T6602" s="12"/>
    </row>
    <row r="6603">
      <c r="A6603" s="146" t="s">
        <v>42443</v>
      </c>
      <c r="B6603" s="147" t="s">
        <v>42444</v>
      </c>
      <c r="C6603" s="147" t="s">
        <v>42445</v>
      </c>
      <c r="D6603" s="147" t="s">
        <v>33342</v>
      </c>
      <c r="E6603" s="148" t="s">
        <v>42446</v>
      </c>
      <c r="F6603" s="146" t="s">
        <v>3760</v>
      </c>
      <c r="G6603" s="146" t="s">
        <v>33344</v>
      </c>
      <c r="H6603" s="146"/>
      <c r="I6603" s="147"/>
      <c r="J6603" s="147" t="s">
        <v>42447</v>
      </c>
      <c r="K6603" s="147" t="s">
        <v>42448</v>
      </c>
      <c r="L6603" s="150" t="s">
        <v>42449</v>
      </c>
      <c r="M6603" s="147"/>
      <c r="N6603" s="12"/>
      <c r="O6603" s="12"/>
      <c r="P6603" s="13">
        <f>IFERROR(__xludf.DUMMYFUNCTION("VALUE(SUBSTITUTE((INDEX(SPLIT(A6603,"",""),1)),""."","","",1))"),54.833132)</f>
        <v>54.833132</v>
      </c>
      <c r="Q6603" s="13">
        <f>IFERROR(__xludf.DUMMYFUNCTION("VALUE(SUBSTITUTE((INDEX(SPLIT(A6603,"",""),2)),""."","","",1))"),38.16099)</f>
        <v>38.16099</v>
      </c>
      <c r="R6603" s="14" t="b">
        <f t="shared" si="1"/>
        <v>0</v>
      </c>
      <c r="S6603" s="14" t="str">
        <f t="shared" si="2"/>
        <v>54.833132,38.16099</v>
      </c>
      <c r="T6603" s="12"/>
    </row>
    <row r="6604">
      <c r="A6604" s="142" t="s">
        <v>42450</v>
      </c>
      <c r="B6604" s="143" t="s">
        <v>42451</v>
      </c>
      <c r="C6604" s="143" t="s">
        <v>42452</v>
      </c>
      <c r="D6604" s="143" t="s">
        <v>33342</v>
      </c>
      <c r="E6604" s="144" t="s">
        <v>42453</v>
      </c>
      <c r="F6604" s="142" t="s">
        <v>3760</v>
      </c>
      <c r="G6604" s="142" t="s">
        <v>33344</v>
      </c>
      <c r="H6604" s="142"/>
      <c r="I6604" s="143"/>
      <c r="J6604" s="143" t="s">
        <v>42454</v>
      </c>
      <c r="K6604" s="143" t="s">
        <v>42455</v>
      </c>
      <c r="L6604" s="152" t="s">
        <v>42456</v>
      </c>
      <c r="M6604" s="143"/>
      <c r="N6604" s="12"/>
      <c r="O6604" s="12"/>
      <c r="P6604" s="13">
        <f>IFERROR(__xludf.DUMMYFUNCTION("VALUE(SUBSTITUTE((INDEX(SPLIT(A6604,"",""),1)),""."","","",1))"),56.341178)</f>
        <v>56.341178</v>
      </c>
      <c r="Q6604" s="13">
        <f>IFERROR(__xludf.DUMMYFUNCTION("VALUE(SUBSTITUTE((INDEX(SPLIT(A6604,"",""),2)),""."","","",1))"),36.764424)</f>
        <v>36.764424</v>
      </c>
      <c r="R6604" s="14" t="b">
        <f t="shared" si="1"/>
        <v>0</v>
      </c>
      <c r="S6604" s="14" t="str">
        <f t="shared" si="2"/>
        <v>56.341178,36.764424</v>
      </c>
      <c r="T6604" s="12"/>
    </row>
    <row r="6605">
      <c r="A6605" s="139" t="s">
        <v>42457</v>
      </c>
      <c r="B6605" s="140" t="s">
        <v>42458</v>
      </c>
      <c r="C6605" s="140" t="s">
        <v>42459</v>
      </c>
      <c r="D6605" s="140" t="s">
        <v>33342</v>
      </c>
      <c r="E6605" s="141" t="s">
        <v>42460</v>
      </c>
      <c r="F6605" s="139" t="s">
        <v>3760</v>
      </c>
      <c r="G6605" s="139" t="s">
        <v>33344</v>
      </c>
      <c r="H6605" s="139"/>
      <c r="I6605" s="140"/>
      <c r="J6605" s="140" t="s">
        <v>42461</v>
      </c>
      <c r="K6605" s="140" t="s">
        <v>42462</v>
      </c>
      <c r="L6605" s="140"/>
      <c r="M6605" s="154" t="s">
        <v>42463</v>
      </c>
      <c r="N6605" s="12"/>
      <c r="O6605" s="12"/>
      <c r="P6605" s="13">
        <f>IFERROR(__xludf.DUMMYFUNCTION("VALUE(SUBSTITUTE((INDEX(SPLIT(A6605,"",""),1)),""."","","",1))"),56.325968)</f>
        <v>56.325968</v>
      </c>
      <c r="Q6605" s="13">
        <f>IFERROR(__xludf.DUMMYFUNCTION("VALUE(SUBSTITUTE((INDEX(SPLIT(A6605,"",""),2)),""."","","",1))"),36.699)</f>
        <v>36.699</v>
      </c>
      <c r="R6605" s="14" t="b">
        <f t="shared" si="1"/>
        <v>0</v>
      </c>
      <c r="S6605" s="14" t="str">
        <f t="shared" si="2"/>
        <v>56.325968,36.699</v>
      </c>
      <c r="T6605" s="12"/>
    </row>
    <row r="6606">
      <c r="A6606" s="136" t="s">
        <v>42464</v>
      </c>
      <c r="B6606" s="137" t="s">
        <v>42465</v>
      </c>
      <c r="C6606" s="137" t="s">
        <v>42466</v>
      </c>
      <c r="D6606" s="137" t="s">
        <v>33342</v>
      </c>
      <c r="E6606" s="138" t="s">
        <v>42467</v>
      </c>
      <c r="F6606" s="136" t="s">
        <v>3760</v>
      </c>
      <c r="G6606" s="136" t="s">
        <v>33344</v>
      </c>
      <c r="H6606" s="136"/>
      <c r="I6606" s="137"/>
      <c r="J6606" s="137" t="s">
        <v>42468</v>
      </c>
      <c r="K6606" s="137" t="s">
        <v>42469</v>
      </c>
      <c r="L6606" s="137"/>
      <c r="M6606" s="137"/>
      <c r="N6606" s="12"/>
      <c r="O6606" s="12"/>
      <c r="P6606" s="13">
        <f>IFERROR(__xludf.DUMMYFUNCTION("VALUE(SUBSTITUTE((INDEX(SPLIT(A6606,"",""),1)),""."","","",1))"),55.364742)</f>
        <v>55.364742</v>
      </c>
      <c r="Q6606" s="13">
        <f>IFERROR(__xludf.DUMMYFUNCTION("VALUE(SUBSTITUTE((INDEX(SPLIT(A6606,"",""),2)),""."","","",1))"),37.522153)</f>
        <v>37.522153</v>
      </c>
      <c r="R6606" s="14" t="b">
        <f t="shared" si="1"/>
        <v>0</v>
      </c>
      <c r="S6606" s="14" t="str">
        <f t="shared" si="2"/>
        <v>55.364742,37.522153</v>
      </c>
      <c r="T6606" s="12"/>
    </row>
    <row r="6607">
      <c r="A6607" s="146" t="s">
        <v>42470</v>
      </c>
      <c r="B6607" s="147" t="s">
        <v>42471</v>
      </c>
      <c r="C6607" s="147" t="s">
        <v>42472</v>
      </c>
      <c r="D6607" s="147" t="s">
        <v>33342</v>
      </c>
      <c r="E6607" s="148" t="s">
        <v>42473</v>
      </c>
      <c r="F6607" s="146" t="s">
        <v>3760</v>
      </c>
      <c r="G6607" s="146" t="s">
        <v>33344</v>
      </c>
      <c r="H6607" s="146"/>
      <c r="I6607" s="147"/>
      <c r="J6607" s="147" t="s">
        <v>42474</v>
      </c>
      <c r="K6607" s="147" t="s">
        <v>42475</v>
      </c>
      <c r="L6607" s="150" t="s">
        <v>42476</v>
      </c>
      <c r="M6607" s="147"/>
      <c r="N6607" s="12"/>
      <c r="O6607" s="12"/>
      <c r="P6607" s="13">
        <f>IFERROR(__xludf.DUMMYFUNCTION("VALUE(SUBSTITUTE((INDEX(SPLIT(A6607,"",""),1)),""."","","",1))"),54.991671)</f>
        <v>54.991671</v>
      </c>
      <c r="Q6607" s="13">
        <f>IFERROR(__xludf.DUMMYFUNCTION("VALUE(SUBSTITUTE((INDEX(SPLIT(A6607,"",""),2)),""."","","",1))"),38.751085)</f>
        <v>38.751085</v>
      </c>
      <c r="R6607" s="14" t="b">
        <f t="shared" si="1"/>
        <v>0</v>
      </c>
      <c r="S6607" s="14" t="str">
        <f t="shared" si="2"/>
        <v>54.991671,38.751085</v>
      </c>
      <c r="T6607" s="12"/>
    </row>
    <row r="6608">
      <c r="A6608" s="142" t="s">
        <v>42477</v>
      </c>
      <c r="B6608" s="143" t="s">
        <v>42478</v>
      </c>
      <c r="C6608" s="143" t="s">
        <v>42479</v>
      </c>
      <c r="D6608" s="143" t="s">
        <v>33342</v>
      </c>
      <c r="E6608" s="144" t="s">
        <v>42480</v>
      </c>
      <c r="F6608" s="142" t="s">
        <v>3760</v>
      </c>
      <c r="G6608" s="142" t="s">
        <v>33344</v>
      </c>
      <c r="H6608" s="142"/>
      <c r="I6608" s="143"/>
      <c r="J6608" s="143" t="s">
        <v>42481</v>
      </c>
      <c r="K6608" s="143" t="s">
        <v>42482</v>
      </c>
      <c r="L6608" s="145" t="s">
        <v>42483</v>
      </c>
      <c r="M6608" s="143"/>
      <c r="N6608" s="12"/>
      <c r="O6608" s="12"/>
      <c r="P6608" s="13">
        <f>IFERROR(__xludf.DUMMYFUNCTION("VALUE(SUBSTITUTE((INDEX(SPLIT(A6608,"",""),1)),""."","","",1))"),55.091314)</f>
        <v>55.091314</v>
      </c>
      <c r="Q6608" s="13">
        <f>IFERROR(__xludf.DUMMYFUNCTION("VALUE(SUBSTITUTE((INDEX(SPLIT(A6608,"",""),2)),""."","","",1))"),38.749252)</f>
        <v>38.749252</v>
      </c>
      <c r="R6608" s="14" t="b">
        <f t="shared" si="1"/>
        <v>0</v>
      </c>
      <c r="S6608" s="14" t="str">
        <f t="shared" si="2"/>
        <v>55.091314,38.749252</v>
      </c>
      <c r="T6608" s="12"/>
    </row>
    <row r="6609">
      <c r="A6609" s="146" t="s">
        <v>42484</v>
      </c>
      <c r="B6609" s="147" t="s">
        <v>42485</v>
      </c>
      <c r="C6609" s="147" t="s">
        <v>42486</v>
      </c>
      <c r="D6609" s="147" t="s">
        <v>33342</v>
      </c>
      <c r="E6609" s="148" t="s">
        <v>42487</v>
      </c>
      <c r="F6609" s="146" t="s">
        <v>3760</v>
      </c>
      <c r="G6609" s="146" t="s">
        <v>33344</v>
      </c>
      <c r="H6609" s="146"/>
      <c r="I6609" s="147"/>
      <c r="J6609" s="147" t="s">
        <v>42488</v>
      </c>
      <c r="K6609" s="147" t="s">
        <v>42489</v>
      </c>
      <c r="L6609" s="149" t="s">
        <v>42490</v>
      </c>
      <c r="M6609" s="147"/>
      <c r="N6609" s="12"/>
      <c r="O6609" s="12"/>
      <c r="P6609" s="13">
        <f>IFERROR(__xludf.DUMMYFUNCTION("VALUE(SUBSTITUTE((INDEX(SPLIT(A6609,"",""),1)),""."","","",1))"),55.535916)</f>
        <v>55.535916</v>
      </c>
      <c r="Q6609" s="13">
        <f>IFERROR(__xludf.DUMMYFUNCTION("VALUE(SUBSTITUTE((INDEX(SPLIT(A6609,"",""),2)),""."","","",1))"),37.158003)</f>
        <v>37.158003</v>
      </c>
      <c r="R6609" s="14" t="b">
        <f t="shared" si="1"/>
        <v>0</v>
      </c>
      <c r="S6609" s="14" t="str">
        <f t="shared" si="2"/>
        <v>55.535916,37.158003</v>
      </c>
      <c r="T6609" s="12"/>
    </row>
    <row r="6610">
      <c r="A6610" s="142" t="s">
        <v>42491</v>
      </c>
      <c r="B6610" s="143" t="s">
        <v>42492</v>
      </c>
      <c r="C6610" s="143" t="s">
        <v>42493</v>
      </c>
      <c r="D6610" s="143" t="s">
        <v>33342</v>
      </c>
      <c r="E6610" s="144" t="s">
        <v>42494</v>
      </c>
      <c r="F6610" s="142" t="s">
        <v>3760</v>
      </c>
      <c r="G6610" s="142" t="s">
        <v>33344</v>
      </c>
      <c r="H6610" s="142"/>
      <c r="I6610" s="143"/>
      <c r="J6610" s="143" t="s">
        <v>42495</v>
      </c>
      <c r="K6610" s="143" t="s">
        <v>42496</v>
      </c>
      <c r="L6610" s="145" t="s">
        <v>42497</v>
      </c>
      <c r="M6610" s="145" t="s">
        <v>42498</v>
      </c>
      <c r="N6610" s="12"/>
      <c r="O6610" s="12"/>
      <c r="P6610" s="13">
        <f>IFERROR(__xludf.DUMMYFUNCTION("VALUE(SUBSTITUTE((INDEX(SPLIT(A6610,"",""),1)),""."","","",1))"),55.905644)</f>
        <v>55.905644</v>
      </c>
      <c r="Q6610" s="13">
        <f>IFERROR(__xludf.DUMMYFUNCTION("VALUE(SUBSTITUTE((INDEX(SPLIT(A6610,"",""),2)),""."","","",1))"),36.821809)</f>
        <v>36.821809</v>
      </c>
      <c r="R6610" s="14" t="b">
        <f t="shared" si="1"/>
        <v>0</v>
      </c>
      <c r="S6610" s="14" t="str">
        <f t="shared" si="2"/>
        <v>55.905644,36.821809</v>
      </c>
      <c r="T6610" s="12"/>
    </row>
    <row r="6611">
      <c r="A6611" s="146" t="s">
        <v>42499</v>
      </c>
      <c r="B6611" s="147" t="s">
        <v>42500</v>
      </c>
      <c r="C6611" s="147" t="s">
        <v>42501</v>
      </c>
      <c r="D6611" s="147" t="s">
        <v>33342</v>
      </c>
      <c r="E6611" s="148" t="s">
        <v>42502</v>
      </c>
      <c r="F6611" s="146" t="s">
        <v>3760</v>
      </c>
      <c r="G6611" s="146" t="s">
        <v>33344</v>
      </c>
      <c r="H6611" s="146"/>
      <c r="I6611" s="147"/>
      <c r="J6611" s="147" t="s">
        <v>42503</v>
      </c>
      <c r="K6611" s="147" t="s">
        <v>42504</v>
      </c>
      <c r="L6611" s="149" t="s">
        <v>42505</v>
      </c>
      <c r="M6611" s="147"/>
      <c r="N6611" s="12"/>
      <c r="O6611" s="12"/>
      <c r="P6611" s="13">
        <f>IFERROR(__xludf.DUMMYFUNCTION("VALUE(SUBSTITUTE((INDEX(SPLIT(A6611,"",""),1)),""."","","",1))"),55.575577)</f>
        <v>55.575577</v>
      </c>
      <c r="Q6611" s="13">
        <f>IFERROR(__xludf.DUMMYFUNCTION("VALUE(SUBSTITUTE((INDEX(SPLIT(A6611,"",""),2)),""."","","",1))"),36.695182)</f>
        <v>36.695182</v>
      </c>
      <c r="R6611" s="14" t="b">
        <f t="shared" si="1"/>
        <v>0</v>
      </c>
      <c r="S6611" s="14" t="str">
        <f t="shared" si="2"/>
        <v>55.575577,36.695182</v>
      </c>
      <c r="T6611" s="12"/>
    </row>
    <row r="6612">
      <c r="A6612" s="142" t="s">
        <v>42506</v>
      </c>
      <c r="B6612" s="143" t="s">
        <v>42507</v>
      </c>
      <c r="C6612" s="143" t="s">
        <v>42508</v>
      </c>
      <c r="D6612" s="143" t="s">
        <v>33342</v>
      </c>
      <c r="E6612" s="144" t="s">
        <v>42509</v>
      </c>
      <c r="F6612" s="142" t="s">
        <v>3760</v>
      </c>
      <c r="G6612" s="142" t="s">
        <v>33344</v>
      </c>
      <c r="H6612" s="142"/>
      <c r="I6612" s="143"/>
      <c r="J6612" s="143" t="s">
        <v>42510</v>
      </c>
      <c r="K6612" s="143" t="s">
        <v>42511</v>
      </c>
      <c r="L6612" s="145" t="s">
        <v>42512</v>
      </c>
      <c r="M6612" s="143"/>
      <c r="N6612" s="12"/>
      <c r="O6612" s="12"/>
      <c r="P6612" s="13">
        <f>IFERROR(__xludf.DUMMYFUNCTION("VALUE(SUBSTITUTE((INDEX(SPLIT(A6612,"",""),1)),""."","","",1))"),55.82356)</f>
        <v>55.82356</v>
      </c>
      <c r="Q6612" s="13">
        <f>IFERROR(__xludf.DUMMYFUNCTION("VALUE(SUBSTITUTE((INDEX(SPLIT(A6612,"",""),2)),""."","","",1))"),37.332833)</f>
        <v>37.332833</v>
      </c>
      <c r="R6612" s="14" t="b">
        <f t="shared" si="1"/>
        <v>0</v>
      </c>
      <c r="S6612" s="14" t="str">
        <f t="shared" si="2"/>
        <v>55.82356,37.332833</v>
      </c>
      <c r="T6612" s="12"/>
    </row>
    <row r="6613">
      <c r="A6613" s="146" t="s">
        <v>42513</v>
      </c>
      <c r="B6613" s="147" t="s">
        <v>42514</v>
      </c>
      <c r="C6613" s="147" t="s">
        <v>42515</v>
      </c>
      <c r="D6613" s="147" t="s">
        <v>33342</v>
      </c>
      <c r="E6613" s="148" t="s">
        <v>42516</v>
      </c>
      <c r="F6613" s="146" t="s">
        <v>3760</v>
      </c>
      <c r="G6613" s="146" t="s">
        <v>33344</v>
      </c>
      <c r="H6613" s="146"/>
      <c r="I6613" s="147"/>
      <c r="J6613" s="147" t="s">
        <v>42517</v>
      </c>
      <c r="K6613" s="147" t="s">
        <v>42518</v>
      </c>
      <c r="L6613" s="149" t="s">
        <v>42519</v>
      </c>
      <c r="M6613" s="147"/>
      <c r="N6613" s="12"/>
      <c r="O6613" s="12"/>
      <c r="P6613" s="13">
        <f>IFERROR(__xludf.DUMMYFUNCTION("VALUE(SUBSTITUTE((INDEX(SPLIT(A6613,"",""),1)),""."","","",1))"),55.820546)</f>
        <v>55.820546</v>
      </c>
      <c r="Q6613" s="13">
        <f>IFERROR(__xludf.DUMMYFUNCTION("VALUE(SUBSTITUTE((INDEX(SPLIT(A6613,"",""),2)),""."","","",1))"),37.33799)</f>
        <v>37.33799</v>
      </c>
      <c r="R6613" s="14" t="b">
        <f t="shared" si="1"/>
        <v>0</v>
      </c>
      <c r="S6613" s="14" t="str">
        <f t="shared" si="2"/>
        <v>55.820546,37.33799</v>
      </c>
      <c r="T6613" s="12"/>
    </row>
    <row r="6614">
      <c r="A6614" s="136" t="s">
        <v>42520</v>
      </c>
      <c r="B6614" s="137" t="s">
        <v>42521</v>
      </c>
      <c r="C6614" s="137" t="s">
        <v>42522</v>
      </c>
      <c r="D6614" s="137" t="s">
        <v>33342</v>
      </c>
      <c r="E6614" s="138" t="s">
        <v>42523</v>
      </c>
      <c r="F6614" s="136" t="s">
        <v>3760</v>
      </c>
      <c r="G6614" s="136" t="s">
        <v>33344</v>
      </c>
      <c r="H6614" s="136"/>
      <c r="I6614" s="137"/>
      <c r="J6614" s="137" t="s">
        <v>42524</v>
      </c>
      <c r="K6614" s="137" t="s">
        <v>42525</v>
      </c>
      <c r="L6614" s="137"/>
      <c r="M6614" s="137"/>
      <c r="N6614" s="12"/>
      <c r="O6614" s="12"/>
      <c r="P6614" s="13">
        <f>IFERROR(__xludf.DUMMYFUNCTION("VALUE(SUBSTITUTE((INDEX(SPLIT(A6614,"",""),1)),""."","","",1))"),55.812752)</f>
        <v>55.812752</v>
      </c>
      <c r="Q6614" s="13">
        <f>IFERROR(__xludf.DUMMYFUNCTION("VALUE(SUBSTITUTE((INDEX(SPLIT(A6614,"",""),2)),""."","","",1))"),37.316224)</f>
        <v>37.316224</v>
      </c>
      <c r="R6614" s="14" t="b">
        <f t="shared" si="1"/>
        <v>0</v>
      </c>
      <c r="S6614" s="14" t="str">
        <f t="shared" si="2"/>
        <v>55.812752,37.316224</v>
      </c>
      <c r="T6614" s="12"/>
    </row>
    <row r="6615">
      <c r="A6615" s="139" t="s">
        <v>42526</v>
      </c>
      <c r="B6615" s="140" t="s">
        <v>42527</v>
      </c>
      <c r="C6615" s="140" t="s">
        <v>42528</v>
      </c>
      <c r="D6615" s="140" t="s">
        <v>33342</v>
      </c>
      <c r="E6615" s="141" t="s">
        <v>42529</v>
      </c>
      <c r="F6615" s="139" t="s">
        <v>3760</v>
      </c>
      <c r="G6615" s="139" t="s">
        <v>33344</v>
      </c>
      <c r="H6615" s="139"/>
      <c r="I6615" s="140"/>
      <c r="J6615" s="140" t="s">
        <v>42530</v>
      </c>
      <c r="K6615" s="140" t="s">
        <v>42531</v>
      </c>
      <c r="L6615" s="140"/>
      <c r="M6615" s="154" t="s">
        <v>42532</v>
      </c>
      <c r="N6615" s="12"/>
      <c r="O6615" s="12"/>
      <c r="P6615" s="13">
        <f>IFERROR(__xludf.DUMMYFUNCTION("VALUE(SUBSTITUTE((INDEX(SPLIT(A6615,"",""),1)),""."","","",1))"),55.806798)</f>
        <v>55.806798</v>
      </c>
      <c r="Q6615" s="13">
        <f>IFERROR(__xludf.DUMMYFUNCTION("VALUE(SUBSTITUTE((INDEX(SPLIT(A6615,"",""),2)),""."","","",1))"),37.322054)</f>
        <v>37.322054</v>
      </c>
      <c r="R6615" s="14" t="b">
        <f t="shared" si="1"/>
        <v>0</v>
      </c>
      <c r="S6615" s="14" t="str">
        <f t="shared" si="2"/>
        <v>55.806798,37.322054</v>
      </c>
      <c r="T6615" s="12"/>
    </row>
    <row r="6616">
      <c r="A6616" s="136" t="s">
        <v>42533</v>
      </c>
      <c r="B6616" s="137" t="s">
        <v>42534</v>
      </c>
      <c r="C6616" s="137" t="s">
        <v>42535</v>
      </c>
      <c r="D6616" s="137" t="s">
        <v>33342</v>
      </c>
      <c r="E6616" s="138" t="s">
        <v>42536</v>
      </c>
      <c r="F6616" s="136" t="s">
        <v>3760</v>
      </c>
      <c r="G6616" s="136" t="s">
        <v>33344</v>
      </c>
      <c r="H6616" s="136"/>
      <c r="I6616" s="137"/>
      <c r="J6616" s="137" t="s">
        <v>42537</v>
      </c>
      <c r="K6616" s="137" t="s">
        <v>42538</v>
      </c>
      <c r="L6616" s="137"/>
      <c r="M6616" s="137"/>
      <c r="N6616" s="12"/>
      <c r="O6616" s="12"/>
      <c r="P6616" s="13">
        <f>IFERROR(__xludf.DUMMYFUNCTION("VALUE(SUBSTITUTE((INDEX(SPLIT(A6616,"",""),1)),""."","","",1))"),55.820369)</f>
        <v>55.820369</v>
      </c>
      <c r="Q6616" s="13">
        <f>IFERROR(__xludf.DUMMYFUNCTION("VALUE(SUBSTITUTE((INDEX(SPLIT(A6616,"",""),2)),""."","","",1))"),37.319484)</f>
        <v>37.319484</v>
      </c>
      <c r="R6616" s="14" t="b">
        <f t="shared" si="1"/>
        <v>0</v>
      </c>
      <c r="S6616" s="14" t="str">
        <f t="shared" si="2"/>
        <v>55.820369,37.319484</v>
      </c>
      <c r="T6616" s="12"/>
    </row>
    <row r="6617">
      <c r="A6617" s="139" t="s">
        <v>42539</v>
      </c>
      <c r="B6617" s="140" t="s">
        <v>42540</v>
      </c>
      <c r="C6617" s="140" t="s">
        <v>42541</v>
      </c>
      <c r="D6617" s="140" t="s">
        <v>33342</v>
      </c>
      <c r="E6617" s="141" t="s">
        <v>42542</v>
      </c>
      <c r="F6617" s="139" t="s">
        <v>3760</v>
      </c>
      <c r="G6617" s="139" t="s">
        <v>33344</v>
      </c>
      <c r="H6617" s="139"/>
      <c r="I6617" s="140"/>
      <c r="J6617" s="140" t="s">
        <v>42543</v>
      </c>
      <c r="K6617" s="140" t="s">
        <v>42544</v>
      </c>
      <c r="L6617" s="140"/>
      <c r="M6617" s="154" t="s">
        <v>42545</v>
      </c>
      <c r="N6617" s="12"/>
      <c r="O6617" s="12"/>
      <c r="P6617" s="13">
        <f>IFERROR(__xludf.DUMMYFUNCTION("VALUE(SUBSTITUTE((INDEX(SPLIT(A6617,"",""),1)),""."","","",1))"),55.81563)</f>
        <v>55.81563</v>
      </c>
      <c r="Q6617" s="13">
        <f>IFERROR(__xludf.DUMMYFUNCTION("VALUE(SUBSTITUTE((INDEX(SPLIT(A6617,"",""),2)),""."","","",1))"),37.350548)</f>
        <v>37.350548</v>
      </c>
      <c r="R6617" s="14" t="b">
        <f t="shared" si="1"/>
        <v>0</v>
      </c>
      <c r="S6617" s="14" t="str">
        <f t="shared" si="2"/>
        <v>55.81563,37.350548</v>
      </c>
      <c r="T6617" s="12"/>
    </row>
    <row r="6618">
      <c r="A6618" s="136" t="s">
        <v>42546</v>
      </c>
      <c r="B6618" s="137" t="s">
        <v>42547</v>
      </c>
      <c r="C6618" s="137" t="s">
        <v>42548</v>
      </c>
      <c r="D6618" s="137" t="s">
        <v>33342</v>
      </c>
      <c r="E6618" s="138" t="s">
        <v>42549</v>
      </c>
      <c r="F6618" s="136" t="s">
        <v>3760</v>
      </c>
      <c r="G6618" s="136" t="s">
        <v>33344</v>
      </c>
      <c r="H6618" s="136"/>
      <c r="I6618" s="137"/>
      <c r="J6618" s="137" t="s">
        <v>42550</v>
      </c>
      <c r="K6618" s="137" t="s">
        <v>42551</v>
      </c>
      <c r="L6618" s="137"/>
      <c r="M6618" s="137"/>
      <c r="N6618" s="12"/>
      <c r="O6618" s="12"/>
      <c r="P6618" s="13">
        <f>IFERROR(__xludf.DUMMYFUNCTION("VALUE(SUBSTITUTE((INDEX(SPLIT(A6618,"",""),1)),""."","","",1))"),55.827848)</f>
        <v>55.827848</v>
      </c>
      <c r="Q6618" s="13">
        <f>IFERROR(__xludf.DUMMYFUNCTION("VALUE(SUBSTITUTE((INDEX(SPLIT(A6618,"",""),2)),""."","","",1))"),37.195391)</f>
        <v>37.195391</v>
      </c>
      <c r="R6618" s="14" t="b">
        <f t="shared" si="1"/>
        <v>0</v>
      </c>
      <c r="S6618" s="14" t="str">
        <f t="shared" si="2"/>
        <v>55.827848,37.195391</v>
      </c>
      <c r="T6618" s="12"/>
    </row>
    <row r="6619">
      <c r="A6619" s="139" t="s">
        <v>42552</v>
      </c>
      <c r="B6619" s="140" t="s">
        <v>42553</v>
      </c>
      <c r="C6619" s="140" t="s">
        <v>42554</v>
      </c>
      <c r="D6619" s="140" t="s">
        <v>33342</v>
      </c>
      <c r="E6619" s="141" t="s">
        <v>42555</v>
      </c>
      <c r="F6619" s="139" t="s">
        <v>3760</v>
      </c>
      <c r="G6619" s="139" t="s">
        <v>33344</v>
      </c>
      <c r="H6619" s="139"/>
      <c r="I6619" s="140"/>
      <c r="J6619" s="140" t="s">
        <v>42556</v>
      </c>
      <c r="K6619" s="140" t="s">
        <v>42557</v>
      </c>
      <c r="L6619" s="140"/>
      <c r="M6619" s="140"/>
      <c r="N6619" s="12"/>
      <c r="O6619" s="12"/>
      <c r="P6619" s="13">
        <f>IFERROR(__xludf.DUMMYFUNCTION("VALUE(SUBSTITUTE((INDEX(SPLIT(A6619,"",""),1)),""."","","",1))"),55.831413)</f>
        <v>55.831413</v>
      </c>
      <c r="Q6619" s="13">
        <f>IFERROR(__xludf.DUMMYFUNCTION("VALUE(SUBSTITUTE((INDEX(SPLIT(A6619,"",""),2)),""."","","",1))"),37.238959)</f>
        <v>37.238959</v>
      </c>
      <c r="R6619" s="14" t="b">
        <f t="shared" si="1"/>
        <v>0</v>
      </c>
      <c r="S6619" s="14" t="str">
        <f t="shared" si="2"/>
        <v>55.831413,37.238959</v>
      </c>
      <c r="T6619" s="12"/>
    </row>
    <row r="6620">
      <c r="A6620" s="142" t="s">
        <v>42558</v>
      </c>
      <c r="B6620" s="143" t="s">
        <v>42559</v>
      </c>
      <c r="C6620" s="143" t="s">
        <v>42560</v>
      </c>
      <c r="D6620" s="143" t="s">
        <v>33342</v>
      </c>
      <c r="E6620" s="144" t="s">
        <v>42561</v>
      </c>
      <c r="F6620" s="142" t="s">
        <v>3760</v>
      </c>
      <c r="G6620" s="142" t="s">
        <v>33344</v>
      </c>
      <c r="H6620" s="142"/>
      <c r="I6620" s="143"/>
      <c r="J6620" s="143" t="s">
        <v>42562</v>
      </c>
      <c r="K6620" s="143" t="s">
        <v>42563</v>
      </c>
      <c r="L6620" s="145" t="s">
        <v>42564</v>
      </c>
      <c r="M6620" s="143"/>
      <c r="N6620" s="12"/>
      <c r="O6620" s="12"/>
      <c r="P6620" s="13">
        <f>IFERROR(__xludf.DUMMYFUNCTION("VALUE(SUBSTITUTE((INDEX(SPLIT(A6620,"",""),1)),""."","","",1))"),56.018499)</f>
        <v>56.018499</v>
      </c>
      <c r="Q6620" s="13">
        <f>IFERROR(__xludf.DUMMYFUNCTION("VALUE(SUBSTITUTE((INDEX(SPLIT(A6620,"",""),2)),""."","","",1))"),37.434298)</f>
        <v>37.434298</v>
      </c>
      <c r="R6620" s="14" t="b">
        <f t="shared" si="1"/>
        <v>0</v>
      </c>
      <c r="S6620" s="14" t="str">
        <f t="shared" si="2"/>
        <v>56.018499,37.434298</v>
      </c>
      <c r="T6620" s="12"/>
    </row>
    <row r="6621">
      <c r="A6621" s="146" t="s">
        <v>42565</v>
      </c>
      <c r="B6621" s="147" t="s">
        <v>42566</v>
      </c>
      <c r="C6621" s="147" t="s">
        <v>42566</v>
      </c>
      <c r="D6621" s="147" t="s">
        <v>33342</v>
      </c>
      <c r="E6621" s="148" t="s">
        <v>42567</v>
      </c>
      <c r="F6621" s="146" t="s">
        <v>3760</v>
      </c>
      <c r="G6621" s="146" t="s">
        <v>33344</v>
      </c>
      <c r="H6621" s="146"/>
      <c r="I6621" s="147"/>
      <c r="J6621" s="147" t="s">
        <v>42568</v>
      </c>
      <c r="K6621" s="147" t="s">
        <v>42569</v>
      </c>
      <c r="L6621" s="149" t="s">
        <v>42570</v>
      </c>
      <c r="M6621" s="149" t="s">
        <v>42571</v>
      </c>
      <c r="N6621" s="12"/>
      <c r="O6621" s="12"/>
      <c r="P6621" s="13">
        <f>IFERROR(__xludf.DUMMYFUNCTION("VALUE(SUBSTITUTE((INDEX(SPLIT(A6621,"",""),1)),""."","","",1))"),55.57125)</f>
        <v>55.57125</v>
      </c>
      <c r="Q6621" s="13">
        <f>IFERROR(__xludf.DUMMYFUNCTION("VALUE(SUBSTITUTE((INDEX(SPLIT(A6621,"",""),2)),""."","","",1))"),37.947012)</f>
        <v>37.947012</v>
      </c>
      <c r="R6621" s="14" t="b">
        <f t="shared" si="1"/>
        <v>0</v>
      </c>
      <c r="S6621" s="14" t="str">
        <f t="shared" si="2"/>
        <v>55.57125,37.947012</v>
      </c>
      <c r="T6621" s="12"/>
    </row>
    <row r="6622">
      <c r="A6622" s="142" t="s">
        <v>42572</v>
      </c>
      <c r="B6622" s="143" t="s">
        <v>42573</v>
      </c>
      <c r="C6622" s="143" t="s">
        <v>42574</v>
      </c>
      <c r="D6622" s="143" t="s">
        <v>33342</v>
      </c>
      <c r="E6622" s="144" t="s">
        <v>42575</v>
      </c>
      <c r="F6622" s="142" t="s">
        <v>3760</v>
      </c>
      <c r="G6622" s="142" t="s">
        <v>33344</v>
      </c>
      <c r="H6622" s="142"/>
      <c r="I6622" s="143"/>
      <c r="J6622" s="143" t="s">
        <v>42576</v>
      </c>
      <c r="K6622" s="143" t="s">
        <v>42577</v>
      </c>
      <c r="L6622" s="152" t="s">
        <v>42578</v>
      </c>
      <c r="M6622" s="143"/>
      <c r="N6622" s="12"/>
      <c r="O6622" s="12"/>
      <c r="P6622" s="13">
        <f>IFERROR(__xludf.DUMMYFUNCTION("VALUE(SUBSTITUTE((INDEX(SPLIT(A6622,"",""),1)),""."","","",1))"),55.152794)</f>
        <v>55.152794</v>
      </c>
      <c r="Q6622" s="13">
        <f>IFERROR(__xludf.DUMMYFUNCTION("VALUE(SUBSTITUTE((INDEX(SPLIT(A6622,"",""),2)),""."","","",1))"),37.488242)</f>
        <v>37.488242</v>
      </c>
      <c r="R6622" s="14" t="b">
        <f t="shared" si="1"/>
        <v>0</v>
      </c>
      <c r="S6622" s="14" t="str">
        <f t="shared" si="2"/>
        <v>55.152794,37.488242</v>
      </c>
      <c r="T6622" s="12"/>
    </row>
    <row r="6623">
      <c r="A6623" s="146" t="s">
        <v>42579</v>
      </c>
      <c r="B6623" s="147" t="s">
        <v>42580</v>
      </c>
      <c r="C6623" s="147" t="s">
        <v>42581</v>
      </c>
      <c r="D6623" s="147" t="s">
        <v>33342</v>
      </c>
      <c r="E6623" s="148" t="s">
        <v>42582</v>
      </c>
      <c r="F6623" s="146" t="s">
        <v>3760</v>
      </c>
      <c r="G6623" s="146" t="s">
        <v>33344</v>
      </c>
      <c r="H6623" s="146"/>
      <c r="I6623" s="147"/>
      <c r="J6623" s="147" t="s">
        <v>42583</v>
      </c>
      <c r="K6623" s="147" t="s">
        <v>42584</v>
      </c>
      <c r="L6623" s="149" t="s">
        <v>42585</v>
      </c>
      <c r="M6623" s="149" t="s">
        <v>42586</v>
      </c>
      <c r="N6623" s="12"/>
      <c r="O6623" s="12"/>
      <c r="P6623" s="13">
        <f>IFERROR(__xludf.DUMMYFUNCTION("VALUE(SUBSTITUTE((INDEX(SPLIT(A6623,"",""),1)),""."","","",1))"),55.649667)</f>
        <v>55.649667</v>
      </c>
      <c r="Q6623" s="13">
        <f>IFERROR(__xludf.DUMMYFUNCTION("VALUE(SUBSTITUTE((INDEX(SPLIT(A6623,"",""),2)),""."","","",1))"),37.852015)</f>
        <v>37.852015</v>
      </c>
      <c r="R6623" s="14" t="b">
        <f t="shared" si="1"/>
        <v>0</v>
      </c>
      <c r="S6623" s="14" t="str">
        <f t="shared" si="2"/>
        <v>55.649667,37.852015</v>
      </c>
      <c r="T6623" s="12"/>
    </row>
    <row r="6624">
      <c r="A6624" s="142" t="s">
        <v>42587</v>
      </c>
      <c r="B6624" s="143" t="s">
        <v>42588</v>
      </c>
      <c r="C6624" s="143" t="s">
        <v>42589</v>
      </c>
      <c r="D6624" s="143" t="s">
        <v>33342</v>
      </c>
      <c r="E6624" s="144" t="s">
        <v>42590</v>
      </c>
      <c r="F6624" s="142" t="s">
        <v>3760</v>
      </c>
      <c r="G6624" s="142" t="s">
        <v>33344</v>
      </c>
      <c r="H6624" s="142"/>
      <c r="I6624" s="143"/>
      <c r="J6624" s="143" t="s">
        <v>42591</v>
      </c>
      <c r="K6624" s="143" t="s">
        <v>42592</v>
      </c>
      <c r="L6624" s="145" t="s">
        <v>42593</v>
      </c>
      <c r="M6624" s="143"/>
      <c r="N6624" s="12"/>
      <c r="O6624" s="12"/>
      <c r="P6624" s="13">
        <f>IFERROR(__xludf.DUMMYFUNCTION("VALUE(SUBSTITUTE((INDEX(SPLIT(A6624,"",""),1)),""."","","",1))"),55.646629)</f>
        <v>55.646629</v>
      </c>
      <c r="Q6624" s="13">
        <f>IFERROR(__xludf.DUMMYFUNCTION("VALUE(SUBSTITUTE((INDEX(SPLIT(A6624,"",""),2)),""."","","",1))"),37.852751)</f>
        <v>37.852751</v>
      </c>
      <c r="R6624" s="14" t="b">
        <f t="shared" si="1"/>
        <v>0</v>
      </c>
      <c r="S6624" s="14" t="str">
        <f t="shared" si="2"/>
        <v>55.646629,37.852751</v>
      </c>
      <c r="T6624" s="12"/>
    </row>
    <row r="6625">
      <c r="A6625" s="146" t="s">
        <v>42594</v>
      </c>
      <c r="B6625" s="147" t="s">
        <v>42595</v>
      </c>
      <c r="C6625" s="147" t="s">
        <v>42596</v>
      </c>
      <c r="D6625" s="147" t="s">
        <v>33342</v>
      </c>
      <c r="E6625" s="148" t="s">
        <v>42597</v>
      </c>
      <c r="F6625" s="146" t="s">
        <v>3760</v>
      </c>
      <c r="G6625" s="146" t="s">
        <v>33344</v>
      </c>
      <c r="H6625" s="146"/>
      <c r="I6625" s="147"/>
      <c r="J6625" s="147" t="s">
        <v>42598</v>
      </c>
      <c r="K6625" s="147" t="s">
        <v>42599</v>
      </c>
      <c r="L6625" s="149" t="s">
        <v>42600</v>
      </c>
      <c r="M6625" s="147"/>
      <c r="N6625" s="12"/>
      <c r="O6625" s="12"/>
      <c r="P6625" s="13">
        <f>IFERROR(__xludf.DUMMYFUNCTION("VALUE(SUBSTITUTE((INDEX(SPLIT(A6625,"",""),1)),""."","","",1))"),55.6796)</f>
        <v>55.6796</v>
      </c>
      <c r="Q6625" s="13">
        <f>IFERROR(__xludf.DUMMYFUNCTION("VALUE(SUBSTITUTE((INDEX(SPLIT(A6625,"",""),2)),""."","","",1))"),37.884911)</f>
        <v>37.884911</v>
      </c>
      <c r="R6625" s="14" t="b">
        <f t="shared" si="1"/>
        <v>0</v>
      </c>
      <c r="S6625" s="14" t="str">
        <f t="shared" si="2"/>
        <v>55.6796,37.884911</v>
      </c>
      <c r="T6625" s="12"/>
    </row>
    <row r="6626">
      <c r="A6626" s="136" t="s">
        <v>42601</v>
      </c>
      <c r="B6626" s="137" t="s">
        <v>42602</v>
      </c>
      <c r="C6626" s="137" t="s">
        <v>42603</v>
      </c>
      <c r="D6626" s="137" t="s">
        <v>33342</v>
      </c>
      <c r="E6626" s="138" t="s">
        <v>42604</v>
      </c>
      <c r="F6626" s="136" t="s">
        <v>3760</v>
      </c>
      <c r="G6626" s="136" t="s">
        <v>33344</v>
      </c>
      <c r="H6626" s="136"/>
      <c r="I6626" s="137"/>
      <c r="J6626" s="137" t="s">
        <v>42605</v>
      </c>
      <c r="K6626" s="137" t="s">
        <v>42606</v>
      </c>
      <c r="L6626" s="137"/>
      <c r="M6626" s="137"/>
      <c r="N6626" s="12"/>
      <c r="O6626" s="12"/>
      <c r="P6626" s="13">
        <f>IFERROR(__xludf.DUMMYFUNCTION("VALUE(SUBSTITUTE((INDEX(SPLIT(A6626,"",""),1)),""."","","",1))"),55.8846)</f>
        <v>55.8846</v>
      </c>
      <c r="Q6626" s="13">
        <f>IFERROR(__xludf.DUMMYFUNCTION("VALUE(SUBSTITUTE((INDEX(SPLIT(A6626,"",""),2)),""."","","",1))"),37.445141)</f>
        <v>37.445141</v>
      </c>
      <c r="R6626" s="14" t="b">
        <f t="shared" si="1"/>
        <v>0</v>
      </c>
      <c r="S6626" s="14" t="str">
        <f t="shared" si="2"/>
        <v>55.8846,37.445141</v>
      </c>
      <c r="T6626" s="12"/>
    </row>
    <row r="6627">
      <c r="A6627" s="139" t="s">
        <v>42607</v>
      </c>
      <c r="B6627" s="140" t="s">
        <v>42608</v>
      </c>
      <c r="C6627" s="140" t="s">
        <v>42609</v>
      </c>
      <c r="D6627" s="140" t="s">
        <v>33342</v>
      </c>
      <c r="E6627" s="141" t="s">
        <v>42610</v>
      </c>
      <c r="F6627" s="139" t="s">
        <v>3760</v>
      </c>
      <c r="G6627" s="139" t="s">
        <v>33344</v>
      </c>
      <c r="H6627" s="139"/>
      <c r="I6627" s="140"/>
      <c r="J6627" s="140" t="s">
        <v>42611</v>
      </c>
      <c r="K6627" s="140" t="s">
        <v>42612</v>
      </c>
      <c r="L6627" s="140"/>
      <c r="M6627" s="140"/>
      <c r="N6627" s="12"/>
      <c r="O6627" s="12"/>
      <c r="P6627" s="13">
        <f>IFERROR(__xludf.DUMMYFUNCTION("VALUE(SUBSTITUTE((INDEX(SPLIT(A6627,"",""),1)),""."","","",1))"),55.673199)</f>
        <v>55.673199</v>
      </c>
      <c r="Q6627" s="13">
        <f>IFERROR(__xludf.DUMMYFUNCTION("VALUE(SUBSTITUTE((INDEX(SPLIT(A6627,"",""),2)),""."","","",1))"),37.938873)</f>
        <v>37.938873</v>
      </c>
      <c r="R6627" s="14" t="b">
        <f t="shared" si="1"/>
        <v>0</v>
      </c>
      <c r="S6627" s="14" t="str">
        <f t="shared" si="2"/>
        <v>55.673199,37.938873</v>
      </c>
      <c r="T6627" s="12"/>
    </row>
    <row r="6628">
      <c r="A6628" s="136" t="s">
        <v>42613</v>
      </c>
      <c r="B6628" s="137" t="s">
        <v>42614</v>
      </c>
      <c r="C6628" s="137" t="s">
        <v>42615</v>
      </c>
      <c r="D6628" s="137" t="s">
        <v>33342</v>
      </c>
      <c r="E6628" s="138" t="s">
        <v>42616</v>
      </c>
      <c r="F6628" s="136" t="s">
        <v>3760</v>
      </c>
      <c r="G6628" s="136" t="s">
        <v>33344</v>
      </c>
      <c r="H6628" s="136"/>
      <c r="I6628" s="156" t="s">
        <v>42617</v>
      </c>
      <c r="J6628" s="137" t="s">
        <v>42618</v>
      </c>
      <c r="K6628" s="137" t="s">
        <v>42619</v>
      </c>
      <c r="L6628" s="137"/>
      <c r="M6628" s="153" t="s">
        <v>42620</v>
      </c>
      <c r="N6628" s="12"/>
      <c r="O6628" s="12"/>
      <c r="P6628" s="13">
        <f>IFERROR(__xludf.DUMMYFUNCTION("VALUE(SUBSTITUTE((INDEX(SPLIT(A6628,"",""),1)),""."","","",1))"),55.598711)</f>
        <v>55.598711</v>
      </c>
      <c r="Q6628" s="13">
        <f>IFERROR(__xludf.DUMMYFUNCTION("VALUE(SUBSTITUTE((INDEX(SPLIT(A6628,"",""),2)),""."","","",1))"),37.604906)</f>
        <v>37.604906</v>
      </c>
      <c r="R6628" s="14" t="b">
        <f t="shared" si="1"/>
        <v>0</v>
      </c>
      <c r="S6628" s="14" t="str">
        <f t="shared" si="2"/>
        <v>55.598711,37.604906</v>
      </c>
      <c r="T6628" s="12"/>
    </row>
    <row r="6629">
      <c r="A6629" s="146" t="s">
        <v>42621</v>
      </c>
      <c r="B6629" s="147" t="s">
        <v>42622</v>
      </c>
      <c r="C6629" s="147" t="s">
        <v>42623</v>
      </c>
      <c r="D6629" s="147" t="s">
        <v>33342</v>
      </c>
      <c r="E6629" s="148" t="s">
        <v>42624</v>
      </c>
      <c r="F6629" s="146" t="s">
        <v>3760</v>
      </c>
      <c r="G6629" s="146" t="s">
        <v>33344</v>
      </c>
      <c r="H6629" s="146"/>
      <c r="I6629" s="147"/>
      <c r="J6629" s="147" t="s">
        <v>42625</v>
      </c>
      <c r="K6629" s="147" t="s">
        <v>42626</v>
      </c>
      <c r="L6629" s="149" t="s">
        <v>42627</v>
      </c>
      <c r="M6629" s="147"/>
      <c r="N6629" s="12"/>
      <c r="O6629" s="12"/>
      <c r="P6629" s="13">
        <f>IFERROR(__xludf.DUMMYFUNCTION("VALUE(SUBSTITUTE((INDEX(SPLIT(A6629,"",""),1)),""."","","",1))"),55.454514)</f>
        <v>55.454514</v>
      </c>
      <c r="Q6629" s="13">
        <f>IFERROR(__xludf.DUMMYFUNCTION("VALUE(SUBSTITUTE((INDEX(SPLIT(A6629,"",""),2)),""."","","",1))"),36.036223)</f>
        <v>36.036223</v>
      </c>
      <c r="R6629" s="14" t="b">
        <f t="shared" si="1"/>
        <v>0</v>
      </c>
      <c r="S6629" s="14" t="str">
        <f t="shared" si="2"/>
        <v>55.454514,36.036223</v>
      </c>
      <c r="T6629" s="12"/>
    </row>
    <row r="6630">
      <c r="A6630" s="142" t="s">
        <v>42628</v>
      </c>
      <c r="B6630" s="143" t="s">
        <v>42629</v>
      </c>
      <c r="C6630" s="143" t="s">
        <v>42630</v>
      </c>
      <c r="D6630" s="143" t="s">
        <v>33342</v>
      </c>
      <c r="E6630" s="144" t="s">
        <v>42631</v>
      </c>
      <c r="F6630" s="142" t="s">
        <v>3760</v>
      </c>
      <c r="G6630" s="142" t="s">
        <v>33344</v>
      </c>
      <c r="H6630" s="142"/>
      <c r="I6630" s="143"/>
      <c r="J6630" s="143" t="s">
        <v>42632</v>
      </c>
      <c r="K6630" s="143" t="s">
        <v>42626</v>
      </c>
      <c r="L6630" s="145" t="s">
        <v>42633</v>
      </c>
      <c r="M6630" s="143"/>
      <c r="N6630" s="12"/>
      <c r="O6630" s="12"/>
      <c r="P6630" s="13">
        <f>IFERROR(__xludf.DUMMYFUNCTION("VALUE(SUBSTITUTE((INDEX(SPLIT(A6630,"",""),1)),""."","","",1))"),55.489203)</f>
        <v>55.489203</v>
      </c>
      <c r="Q6630" s="13">
        <f>IFERROR(__xludf.DUMMYFUNCTION("VALUE(SUBSTITUTE((INDEX(SPLIT(A6630,"",""),2)),""."","","",1))"),36.032836)</f>
        <v>36.032836</v>
      </c>
      <c r="R6630" s="14" t="b">
        <f t="shared" si="1"/>
        <v>0</v>
      </c>
      <c r="S6630" s="14" t="str">
        <f t="shared" si="2"/>
        <v>55.489203,36.032836</v>
      </c>
      <c r="T6630" s="12"/>
    </row>
    <row r="6631">
      <c r="A6631" s="139" t="s">
        <v>42634</v>
      </c>
      <c r="B6631" s="140" t="s">
        <v>42635</v>
      </c>
      <c r="C6631" s="140" t="s">
        <v>42636</v>
      </c>
      <c r="D6631" s="140" t="s">
        <v>33342</v>
      </c>
      <c r="E6631" s="141" t="s">
        <v>42637</v>
      </c>
      <c r="F6631" s="139" t="s">
        <v>3760</v>
      </c>
      <c r="G6631" s="139" t="s">
        <v>33344</v>
      </c>
      <c r="H6631" s="139"/>
      <c r="I6631" s="140"/>
      <c r="J6631" s="140" t="s">
        <v>42638</v>
      </c>
      <c r="K6631" s="140" t="s">
        <v>42639</v>
      </c>
      <c r="L6631" s="140"/>
      <c r="M6631" s="140"/>
      <c r="N6631" s="12"/>
      <c r="O6631" s="12"/>
      <c r="P6631" s="13">
        <f>IFERROR(__xludf.DUMMYFUNCTION("VALUE(SUBSTITUTE((INDEX(SPLIT(A6631,"",""),1)),""."","","",1))"),55.930428)</f>
        <v>55.930428</v>
      </c>
      <c r="Q6631" s="13">
        <f>IFERROR(__xludf.DUMMYFUNCTION("VALUE(SUBSTITUTE((INDEX(SPLIT(A6631,"",""),2)),""."","","",1))"),37.77511)</f>
        <v>37.77511</v>
      </c>
      <c r="R6631" s="14" t="b">
        <f t="shared" si="1"/>
        <v>0</v>
      </c>
      <c r="S6631" s="14" t="str">
        <f t="shared" si="2"/>
        <v>55.930428,37.77511</v>
      </c>
      <c r="T6631" s="12"/>
    </row>
    <row r="6632">
      <c r="A6632" s="142" t="s">
        <v>42640</v>
      </c>
      <c r="B6632" s="143" t="s">
        <v>42641</v>
      </c>
      <c r="C6632" s="143" t="s">
        <v>42642</v>
      </c>
      <c r="D6632" s="143" t="s">
        <v>33342</v>
      </c>
      <c r="E6632" s="144" t="s">
        <v>42643</v>
      </c>
      <c r="F6632" s="142" t="s">
        <v>3760</v>
      </c>
      <c r="G6632" s="142" t="s">
        <v>33344</v>
      </c>
      <c r="H6632" s="142"/>
      <c r="I6632" s="143"/>
      <c r="J6632" s="143" t="s">
        <v>42644</v>
      </c>
      <c r="K6632" s="143" t="s">
        <v>42645</v>
      </c>
      <c r="L6632" s="145" t="s">
        <v>42646</v>
      </c>
      <c r="M6632" s="145" t="s">
        <v>42647</v>
      </c>
      <c r="N6632" s="12"/>
      <c r="O6632" s="12"/>
      <c r="P6632" s="13">
        <f>IFERROR(__xludf.DUMMYFUNCTION("VALUE(SUBSTITUTE((INDEX(SPLIT(A6632,"",""),1)),""."","","",1))"),55.923246)</f>
        <v>55.923246</v>
      </c>
      <c r="Q6632" s="13">
        <f>IFERROR(__xludf.DUMMYFUNCTION("VALUE(SUBSTITUTE((INDEX(SPLIT(A6632,"",""),2)),""."","","",1))"),37.78306)</f>
        <v>37.78306</v>
      </c>
      <c r="R6632" s="14" t="b">
        <f t="shared" si="1"/>
        <v>0</v>
      </c>
      <c r="S6632" s="14" t="str">
        <f t="shared" si="2"/>
        <v>55.923246,37.78306</v>
      </c>
      <c r="T6632" s="12"/>
    </row>
    <row r="6633">
      <c r="A6633" s="146" t="s">
        <v>42648</v>
      </c>
      <c r="B6633" s="147" t="s">
        <v>42649</v>
      </c>
      <c r="C6633" s="147" t="s">
        <v>42650</v>
      </c>
      <c r="D6633" s="147" t="s">
        <v>33342</v>
      </c>
      <c r="E6633" s="148" t="s">
        <v>42651</v>
      </c>
      <c r="F6633" s="146" t="s">
        <v>3760</v>
      </c>
      <c r="G6633" s="146" t="s">
        <v>33344</v>
      </c>
      <c r="H6633" s="146"/>
      <c r="I6633" s="147"/>
      <c r="J6633" s="147" t="s">
        <v>42652</v>
      </c>
      <c r="K6633" s="147" t="s">
        <v>42653</v>
      </c>
      <c r="L6633" s="149" t="s">
        <v>42654</v>
      </c>
      <c r="M6633" s="147"/>
      <c r="N6633" s="12"/>
      <c r="O6633" s="12"/>
      <c r="P6633" s="13">
        <f>IFERROR(__xludf.DUMMYFUNCTION("VALUE(SUBSTITUTE((INDEX(SPLIT(A6633,"",""),1)),""."","","",1))"),55.940336)</f>
        <v>55.940336</v>
      </c>
      <c r="Q6633" s="13">
        <f>IFERROR(__xludf.DUMMYFUNCTION("VALUE(SUBSTITUTE((INDEX(SPLIT(A6633,"",""),2)),""."","","",1))"),37.566009)</f>
        <v>37.566009</v>
      </c>
      <c r="R6633" s="14" t="b">
        <f t="shared" si="1"/>
        <v>0</v>
      </c>
      <c r="S6633" s="14" t="str">
        <f t="shared" si="2"/>
        <v>55.940336,37.566009</v>
      </c>
      <c r="T6633" s="12"/>
    </row>
    <row r="6634">
      <c r="A6634" s="136" t="s">
        <v>42655</v>
      </c>
      <c r="B6634" s="137" t="s">
        <v>3677</v>
      </c>
      <c r="C6634" s="137" t="s">
        <v>42656</v>
      </c>
      <c r="D6634" s="137" t="s">
        <v>33342</v>
      </c>
      <c r="E6634" s="138" t="s">
        <v>42657</v>
      </c>
      <c r="F6634" s="136" t="s">
        <v>3760</v>
      </c>
      <c r="G6634" s="136" t="s">
        <v>33344</v>
      </c>
      <c r="H6634" s="136"/>
      <c r="I6634" s="137"/>
      <c r="J6634" s="137" t="s">
        <v>42658</v>
      </c>
      <c r="K6634" s="137" t="s">
        <v>42659</v>
      </c>
      <c r="L6634" s="137"/>
      <c r="M6634" s="137"/>
      <c r="N6634" s="12"/>
      <c r="O6634" s="12"/>
      <c r="P6634" s="13">
        <f>IFERROR(__xludf.DUMMYFUNCTION("VALUE(SUBSTITUTE((INDEX(SPLIT(A6634,"",""),1)),""."","","",1))"),55.986561)</f>
        <v>55.986561</v>
      </c>
      <c r="Q6634" s="13">
        <f>IFERROR(__xludf.DUMMYFUNCTION("VALUE(SUBSTITUTE((INDEX(SPLIT(A6634,"",""),2)),""."","","",1))"),37.728496)</f>
        <v>37.728496</v>
      </c>
      <c r="R6634" s="14" t="b">
        <f t="shared" si="1"/>
        <v>0</v>
      </c>
      <c r="S6634" s="14" t="str">
        <f t="shared" si="2"/>
        <v>55.986561,37.728496</v>
      </c>
      <c r="T6634" s="12"/>
    </row>
    <row r="6635">
      <c r="A6635" s="139" t="s">
        <v>42660</v>
      </c>
      <c r="B6635" s="140" t="s">
        <v>42661</v>
      </c>
      <c r="C6635" s="140" t="s">
        <v>42662</v>
      </c>
      <c r="D6635" s="140" t="s">
        <v>33342</v>
      </c>
      <c r="E6635" s="141" t="s">
        <v>42663</v>
      </c>
      <c r="F6635" s="139" t="s">
        <v>3760</v>
      </c>
      <c r="G6635" s="139" t="s">
        <v>33344</v>
      </c>
      <c r="H6635" s="139"/>
      <c r="I6635" s="140"/>
      <c r="J6635" s="140" t="s">
        <v>42664</v>
      </c>
      <c r="K6635" s="140" t="s">
        <v>42665</v>
      </c>
      <c r="L6635" s="140"/>
      <c r="M6635" s="140"/>
      <c r="N6635" s="12"/>
      <c r="O6635" s="12"/>
      <c r="P6635" s="13">
        <f>IFERROR(__xludf.DUMMYFUNCTION("VALUE(SUBSTITUTE((INDEX(SPLIT(A6635,"",""),1)),""."","","",1))"),55.934765)</f>
        <v>55.934765</v>
      </c>
      <c r="Q6635" s="13">
        <f>IFERROR(__xludf.DUMMYFUNCTION("VALUE(SUBSTITUTE((INDEX(SPLIT(A6635,"",""),2)),""."","","",1))"),37.741378)</f>
        <v>37.741378</v>
      </c>
      <c r="R6635" s="14" t="b">
        <f t="shared" si="1"/>
        <v>0</v>
      </c>
      <c r="S6635" s="14" t="str">
        <f t="shared" si="2"/>
        <v>55.934765,37.741378</v>
      </c>
      <c r="T6635" s="12"/>
    </row>
    <row r="6636">
      <c r="A6636" s="136" t="s">
        <v>42666</v>
      </c>
      <c r="B6636" s="137" t="s">
        <v>33786</v>
      </c>
      <c r="C6636" s="137" t="s">
        <v>33787</v>
      </c>
      <c r="D6636" s="137" t="s">
        <v>33342</v>
      </c>
      <c r="E6636" s="138" t="s">
        <v>42667</v>
      </c>
      <c r="F6636" s="136" t="s">
        <v>3760</v>
      </c>
      <c r="G6636" s="136" t="s">
        <v>33344</v>
      </c>
      <c r="H6636" s="136"/>
      <c r="I6636" s="137"/>
      <c r="J6636" s="137" t="s">
        <v>42668</v>
      </c>
      <c r="K6636" s="137" t="s">
        <v>42669</v>
      </c>
      <c r="L6636" s="137"/>
      <c r="M6636" s="137"/>
      <c r="N6636" s="12"/>
      <c r="O6636" s="12"/>
      <c r="P6636" s="13">
        <f>IFERROR(__xludf.DUMMYFUNCTION("VALUE(SUBSTITUTE((INDEX(SPLIT(A6636,"",""),1)),""."","","",1))"),55.974146)</f>
        <v>55.974146</v>
      </c>
      <c r="Q6636" s="13">
        <f>IFERROR(__xludf.DUMMYFUNCTION("VALUE(SUBSTITUTE((INDEX(SPLIT(A6636,"",""),2)),""."","","",1))"),37.723717)</f>
        <v>37.723717</v>
      </c>
      <c r="R6636" s="14" t="b">
        <f t="shared" si="1"/>
        <v>0</v>
      </c>
      <c r="S6636" s="14" t="str">
        <f t="shared" si="2"/>
        <v>55.974146,37.723717</v>
      </c>
      <c r="T6636" s="12"/>
    </row>
    <row r="6637">
      <c r="A6637" s="139" t="s">
        <v>42670</v>
      </c>
      <c r="B6637" s="140" t="s">
        <v>42671</v>
      </c>
      <c r="C6637" s="140" t="s">
        <v>42672</v>
      </c>
      <c r="D6637" s="140" t="s">
        <v>33342</v>
      </c>
      <c r="E6637" s="141" t="s">
        <v>42673</v>
      </c>
      <c r="F6637" s="139" t="s">
        <v>3760</v>
      </c>
      <c r="G6637" s="139" t="s">
        <v>33344</v>
      </c>
      <c r="H6637" s="139"/>
      <c r="I6637" s="140"/>
      <c r="J6637" s="140" t="s">
        <v>42674</v>
      </c>
      <c r="K6637" s="140" t="s">
        <v>42675</v>
      </c>
      <c r="L6637" s="140"/>
      <c r="M6637" s="154" t="s">
        <v>42676</v>
      </c>
      <c r="N6637" s="12"/>
      <c r="O6637" s="12"/>
      <c r="P6637" s="13">
        <f>IFERROR(__xludf.DUMMYFUNCTION("VALUE(SUBSTITUTE((INDEX(SPLIT(A6637,"",""),1)),""."","","",1))"),55.933862)</f>
        <v>55.933862</v>
      </c>
      <c r="Q6637" s="13">
        <f>IFERROR(__xludf.DUMMYFUNCTION("VALUE(SUBSTITUTE((INDEX(SPLIT(A6637,"",""),2)),""."","","",1))"),37.747415)</f>
        <v>37.747415</v>
      </c>
      <c r="R6637" s="14" t="b">
        <f t="shared" si="1"/>
        <v>0</v>
      </c>
      <c r="S6637" s="14" t="str">
        <f t="shared" si="2"/>
        <v>55.933862,37.747415</v>
      </c>
      <c r="T6637" s="12"/>
    </row>
    <row r="6638">
      <c r="A6638" s="142" t="s">
        <v>42677</v>
      </c>
      <c r="B6638" s="143" t="s">
        <v>7730</v>
      </c>
      <c r="C6638" s="143" t="s">
        <v>42678</v>
      </c>
      <c r="D6638" s="143" t="s">
        <v>33342</v>
      </c>
      <c r="E6638" s="144" t="s">
        <v>42679</v>
      </c>
      <c r="F6638" s="142" t="s">
        <v>3760</v>
      </c>
      <c r="G6638" s="142" t="s">
        <v>33344</v>
      </c>
      <c r="H6638" s="142"/>
      <c r="I6638" s="143"/>
      <c r="J6638" s="143" t="s">
        <v>42680</v>
      </c>
      <c r="K6638" s="143" t="s">
        <v>42681</v>
      </c>
      <c r="L6638" s="145" t="s">
        <v>42682</v>
      </c>
      <c r="M6638" s="143"/>
      <c r="N6638" s="12"/>
      <c r="O6638" s="12"/>
      <c r="P6638" s="13">
        <f>IFERROR(__xludf.DUMMYFUNCTION("VALUE(SUBSTITUTE((INDEX(SPLIT(A6638,"",""),1)),""."","","",1))"),55.456449)</f>
        <v>55.456449</v>
      </c>
      <c r="Q6638" s="13">
        <f>IFERROR(__xludf.DUMMYFUNCTION("VALUE(SUBSTITUTE((INDEX(SPLIT(A6638,"",""),2)),""."","","",1))"),36.938257)</f>
        <v>36.938257</v>
      </c>
      <c r="R6638" s="14" t="b">
        <f t="shared" si="1"/>
        <v>0</v>
      </c>
      <c r="S6638" s="14" t="str">
        <f t="shared" si="2"/>
        <v>55.456449,36.938257</v>
      </c>
      <c r="T6638" s="12"/>
    </row>
    <row r="6639">
      <c r="A6639" s="146" t="s">
        <v>42683</v>
      </c>
      <c r="B6639" s="147" t="s">
        <v>42684</v>
      </c>
      <c r="C6639" s="147" t="s">
        <v>42685</v>
      </c>
      <c r="D6639" s="147" t="s">
        <v>33342</v>
      </c>
      <c r="E6639" s="148" t="s">
        <v>42686</v>
      </c>
      <c r="F6639" s="146" t="s">
        <v>3760</v>
      </c>
      <c r="G6639" s="146" t="s">
        <v>33344</v>
      </c>
      <c r="H6639" s="146"/>
      <c r="I6639" s="147"/>
      <c r="J6639" s="147" t="s">
        <v>42687</v>
      </c>
      <c r="K6639" s="147" t="s">
        <v>42688</v>
      </c>
      <c r="L6639" s="150" t="s">
        <v>42689</v>
      </c>
      <c r="M6639" s="147"/>
      <c r="N6639" s="12"/>
      <c r="O6639" s="12"/>
      <c r="P6639" s="13">
        <f>IFERROR(__xludf.DUMMYFUNCTION("VALUE(SUBSTITUTE((INDEX(SPLIT(A6639,"",""),1)),""."","","",1))"),55.394591)</f>
        <v>55.394591</v>
      </c>
      <c r="Q6639" s="13">
        <f>IFERROR(__xludf.DUMMYFUNCTION("VALUE(SUBSTITUTE((INDEX(SPLIT(A6639,"",""),2)),""."","","",1))"),36.763248)</f>
        <v>36.763248</v>
      </c>
      <c r="R6639" s="14" t="b">
        <f t="shared" si="1"/>
        <v>0</v>
      </c>
      <c r="S6639" s="14" t="str">
        <f t="shared" si="2"/>
        <v>55.394591,36.763248</v>
      </c>
      <c r="T6639" s="12"/>
    </row>
    <row r="6640">
      <c r="A6640" s="142" t="s">
        <v>42690</v>
      </c>
      <c r="B6640" s="143" t="s">
        <v>42691</v>
      </c>
      <c r="C6640" s="143" t="s">
        <v>42692</v>
      </c>
      <c r="D6640" s="143" t="s">
        <v>33342</v>
      </c>
      <c r="E6640" s="144" t="s">
        <v>42693</v>
      </c>
      <c r="F6640" s="142" t="s">
        <v>3760</v>
      </c>
      <c r="G6640" s="142" t="s">
        <v>33344</v>
      </c>
      <c r="H6640" s="142"/>
      <c r="I6640" s="143"/>
      <c r="J6640" s="143" t="s">
        <v>42694</v>
      </c>
      <c r="K6640" s="143" t="s">
        <v>42695</v>
      </c>
      <c r="L6640" s="145" t="s">
        <v>42696</v>
      </c>
      <c r="M6640" s="143"/>
      <c r="N6640" s="12"/>
      <c r="O6640" s="12"/>
      <c r="P6640" s="13">
        <f>IFERROR(__xludf.DUMMYFUNCTION("VALUE(SUBSTITUTE((INDEX(SPLIT(A6640,"",""),1)),""."","","",1))"),55.115759)</f>
        <v>55.115759</v>
      </c>
      <c r="Q6640" s="13">
        <f>IFERROR(__xludf.DUMMYFUNCTION("VALUE(SUBSTITUTE((INDEX(SPLIT(A6640,"",""),2)),""."","","",1))"),36.622473)</f>
        <v>36.622473</v>
      </c>
      <c r="R6640" s="14" t="b">
        <f t="shared" si="1"/>
        <v>0</v>
      </c>
      <c r="S6640" s="14" t="str">
        <f t="shared" si="2"/>
        <v>55.115759,36.622473</v>
      </c>
      <c r="T6640" s="12"/>
    </row>
    <row r="6641">
      <c r="A6641" s="139" t="s">
        <v>42697</v>
      </c>
      <c r="B6641" s="140" t="s">
        <v>42698</v>
      </c>
      <c r="C6641" s="140" t="s">
        <v>42699</v>
      </c>
      <c r="D6641" s="140" t="s">
        <v>33342</v>
      </c>
      <c r="E6641" s="141" t="s">
        <v>42700</v>
      </c>
      <c r="F6641" s="139" t="s">
        <v>3760</v>
      </c>
      <c r="G6641" s="139" t="s">
        <v>33344</v>
      </c>
      <c r="H6641" s="139"/>
      <c r="I6641" s="140"/>
      <c r="J6641" s="140" t="s">
        <v>42701</v>
      </c>
      <c r="K6641" s="140" t="s">
        <v>42702</v>
      </c>
      <c r="L6641" s="140"/>
      <c r="M6641" s="140"/>
      <c r="N6641" s="12"/>
      <c r="O6641" s="12"/>
      <c r="P6641" s="13">
        <f>IFERROR(__xludf.DUMMYFUNCTION("VALUE(SUBSTITUTE((INDEX(SPLIT(A6641,"",""),1)),""."","","",1))"),55.388701)</f>
        <v>55.388701</v>
      </c>
      <c r="Q6641" s="13">
        <f>IFERROR(__xludf.DUMMYFUNCTION("VALUE(SUBSTITUTE((INDEX(SPLIT(A6641,"",""),2)),""."","","",1))"),36.725626)</f>
        <v>36.725626</v>
      </c>
      <c r="R6641" s="14" t="b">
        <f t="shared" si="1"/>
        <v>0</v>
      </c>
      <c r="S6641" s="14" t="str">
        <f t="shared" si="2"/>
        <v>55.388701,36.725626</v>
      </c>
      <c r="T6641" s="12"/>
    </row>
    <row r="6642">
      <c r="A6642" s="142" t="s">
        <v>42703</v>
      </c>
      <c r="B6642" s="143" t="s">
        <v>42704</v>
      </c>
      <c r="C6642" s="143" t="s">
        <v>42705</v>
      </c>
      <c r="D6642" s="143" t="s">
        <v>33342</v>
      </c>
      <c r="E6642" s="144" t="s">
        <v>42706</v>
      </c>
      <c r="F6642" s="142" t="s">
        <v>3760</v>
      </c>
      <c r="G6642" s="142" t="s">
        <v>33344</v>
      </c>
      <c r="H6642" s="142"/>
      <c r="I6642" s="143"/>
      <c r="J6642" s="143" t="s">
        <v>42707</v>
      </c>
      <c r="K6642" s="143" t="s">
        <v>42708</v>
      </c>
      <c r="L6642" s="152" t="s">
        <v>42709</v>
      </c>
      <c r="M6642" s="143"/>
      <c r="N6642" s="12"/>
      <c r="O6642" s="12"/>
      <c r="P6642" s="13">
        <f>IFERROR(__xludf.DUMMYFUNCTION("VALUE(SUBSTITUTE((INDEX(SPLIT(A6642,"",""),1)),""."","","",1))"),55.884469)</f>
        <v>55.884469</v>
      </c>
      <c r="Q6642" s="13">
        <f>IFERROR(__xludf.DUMMYFUNCTION("VALUE(SUBSTITUTE((INDEX(SPLIT(A6642,"",""),2)),""."","","",1))"),38.482228)</f>
        <v>38.482228</v>
      </c>
      <c r="R6642" s="14" t="b">
        <f t="shared" si="1"/>
        <v>0</v>
      </c>
      <c r="S6642" s="14" t="str">
        <f t="shared" si="2"/>
        <v>55.884469,38.482228</v>
      </c>
      <c r="T6642" s="12"/>
    </row>
    <row r="6643">
      <c r="A6643" s="146" t="s">
        <v>42710</v>
      </c>
      <c r="B6643" s="147" t="s">
        <v>42711</v>
      </c>
      <c r="C6643" s="147" t="s">
        <v>42712</v>
      </c>
      <c r="D6643" s="147" t="s">
        <v>33342</v>
      </c>
      <c r="E6643" s="148" t="s">
        <v>42713</v>
      </c>
      <c r="F6643" s="146" t="s">
        <v>3760</v>
      </c>
      <c r="G6643" s="146" t="s">
        <v>33344</v>
      </c>
      <c r="H6643" s="146"/>
      <c r="I6643" s="151" t="s">
        <v>42714</v>
      </c>
      <c r="J6643" s="147" t="s">
        <v>42715</v>
      </c>
      <c r="K6643" s="147" t="s">
        <v>42716</v>
      </c>
      <c r="L6643" s="149" t="s">
        <v>42717</v>
      </c>
      <c r="M6643" s="147"/>
      <c r="N6643" s="12"/>
      <c r="O6643" s="12"/>
      <c r="P6643" s="13">
        <f>IFERROR(__xludf.DUMMYFUNCTION("VALUE(SUBSTITUTE((INDEX(SPLIT(A6643,"",""),1)),""."","","",1))"),55.861439)</f>
        <v>55.861439</v>
      </c>
      <c r="Q6643" s="13">
        <f>IFERROR(__xludf.DUMMYFUNCTION("VALUE(SUBSTITUTE((INDEX(SPLIT(A6643,"",""),2)),""."","","",1))"),38.45862)</f>
        <v>38.45862</v>
      </c>
      <c r="R6643" s="14" t="b">
        <f t="shared" si="1"/>
        <v>0</v>
      </c>
      <c r="S6643" s="14" t="str">
        <f t="shared" si="2"/>
        <v>55.861439,38.45862</v>
      </c>
      <c r="T6643" s="12"/>
    </row>
    <row r="6644">
      <c r="A6644" s="142" t="s">
        <v>42718</v>
      </c>
      <c r="B6644" s="143" t="s">
        <v>42719</v>
      </c>
      <c r="C6644" s="143" t="s">
        <v>42720</v>
      </c>
      <c r="D6644" s="143" t="s">
        <v>33342</v>
      </c>
      <c r="E6644" s="144" t="s">
        <v>42721</v>
      </c>
      <c r="F6644" s="142" t="s">
        <v>3760</v>
      </c>
      <c r="G6644" s="142" t="s">
        <v>33344</v>
      </c>
      <c r="H6644" s="142"/>
      <c r="I6644" s="143"/>
      <c r="J6644" s="143" t="s">
        <v>42722</v>
      </c>
      <c r="K6644" s="143" t="s">
        <v>42723</v>
      </c>
      <c r="L6644" s="145" t="s">
        <v>42724</v>
      </c>
      <c r="M6644" s="145" t="s">
        <v>42725</v>
      </c>
      <c r="N6644" s="12"/>
      <c r="O6644" s="12"/>
      <c r="P6644" s="13">
        <f>IFERROR(__xludf.DUMMYFUNCTION("VALUE(SUBSTITUTE((INDEX(SPLIT(A6644,"",""),1)),""."","","",1))"),55.836019)</f>
        <v>55.836019</v>
      </c>
      <c r="Q6644" s="13">
        <f>IFERROR(__xludf.DUMMYFUNCTION("VALUE(SUBSTITUTE((INDEX(SPLIT(A6644,"",""),2)),""."","","",1))"),38.434069)</f>
        <v>38.434069</v>
      </c>
      <c r="R6644" s="14" t="b">
        <f t="shared" si="1"/>
        <v>0</v>
      </c>
      <c r="S6644" s="14" t="str">
        <f t="shared" si="2"/>
        <v>55.836019,38.434069</v>
      </c>
      <c r="T6644" s="12"/>
    </row>
    <row r="6645">
      <c r="A6645" s="139" t="s">
        <v>42726</v>
      </c>
      <c r="B6645" s="140" t="s">
        <v>42727</v>
      </c>
      <c r="C6645" s="140" t="s">
        <v>42728</v>
      </c>
      <c r="D6645" s="140" t="s">
        <v>33342</v>
      </c>
      <c r="E6645" s="141" t="s">
        <v>42729</v>
      </c>
      <c r="F6645" s="139" t="s">
        <v>3760</v>
      </c>
      <c r="G6645" s="139" t="s">
        <v>33344</v>
      </c>
      <c r="H6645" s="139"/>
      <c r="I6645" s="140"/>
      <c r="J6645" s="140" t="s">
        <v>42730</v>
      </c>
      <c r="K6645" s="140" t="s">
        <v>42731</v>
      </c>
      <c r="L6645" s="140"/>
      <c r="M6645" s="140"/>
      <c r="N6645" s="12"/>
      <c r="O6645" s="12"/>
      <c r="P6645" s="13">
        <f>IFERROR(__xludf.DUMMYFUNCTION("VALUE(SUBSTITUTE((INDEX(SPLIT(A6645,"",""),1)),""."","","",1))"),55.854476)</f>
        <v>55.854476</v>
      </c>
      <c r="Q6645" s="13">
        <f>IFERROR(__xludf.DUMMYFUNCTION("VALUE(SUBSTITUTE((INDEX(SPLIT(A6645,"",""),2)),""."","","",1))"),38.441866)</f>
        <v>38.441866</v>
      </c>
      <c r="R6645" s="14" t="b">
        <f t="shared" si="1"/>
        <v>0</v>
      </c>
      <c r="S6645" s="14" t="str">
        <f t="shared" si="2"/>
        <v>55.854476,38.441866</v>
      </c>
      <c r="T6645" s="12"/>
    </row>
    <row r="6646">
      <c r="A6646" s="136" t="s">
        <v>42732</v>
      </c>
      <c r="B6646" s="137" t="s">
        <v>42733</v>
      </c>
      <c r="C6646" s="137" t="s">
        <v>42734</v>
      </c>
      <c r="D6646" s="137" t="s">
        <v>33342</v>
      </c>
      <c r="E6646" s="138" t="s">
        <v>42735</v>
      </c>
      <c r="F6646" s="136" t="s">
        <v>3760</v>
      </c>
      <c r="G6646" s="136" t="s">
        <v>33344</v>
      </c>
      <c r="H6646" s="136"/>
      <c r="I6646" s="137"/>
      <c r="J6646" s="137" t="s">
        <v>42736</v>
      </c>
      <c r="K6646" s="137" t="s">
        <v>42737</v>
      </c>
      <c r="L6646" s="137"/>
      <c r="M6646" s="153" t="s">
        <v>42738</v>
      </c>
      <c r="N6646" s="12"/>
      <c r="O6646" s="12"/>
      <c r="P6646" s="13">
        <f>IFERROR(__xludf.DUMMYFUNCTION("VALUE(SUBSTITUTE((INDEX(SPLIT(A6646,"",""),1)),""."","","",1))"),55.933474)</f>
        <v>55.933474</v>
      </c>
      <c r="Q6646" s="13">
        <f>IFERROR(__xludf.DUMMYFUNCTION("VALUE(SUBSTITUTE((INDEX(SPLIT(A6646,"",""),2)),""."","","",1))"),38.631725)</f>
        <v>38.631725</v>
      </c>
      <c r="R6646" s="14" t="b">
        <f t="shared" si="1"/>
        <v>0</v>
      </c>
      <c r="S6646" s="14" t="str">
        <f t="shared" si="2"/>
        <v>55.933474,38.631725</v>
      </c>
      <c r="T6646" s="12"/>
    </row>
    <row r="6647">
      <c r="A6647" s="146" t="s">
        <v>42739</v>
      </c>
      <c r="B6647" s="147" t="s">
        <v>42740</v>
      </c>
      <c r="C6647" s="147" t="s">
        <v>42741</v>
      </c>
      <c r="D6647" s="147" t="s">
        <v>33342</v>
      </c>
      <c r="E6647" s="148" t="s">
        <v>42742</v>
      </c>
      <c r="F6647" s="146" t="s">
        <v>3760</v>
      </c>
      <c r="G6647" s="146" t="s">
        <v>33344</v>
      </c>
      <c r="H6647" s="146"/>
      <c r="I6647" s="147"/>
      <c r="J6647" s="147" t="s">
        <v>42743</v>
      </c>
      <c r="K6647" s="147" t="s">
        <v>42744</v>
      </c>
      <c r="L6647" s="149" t="s">
        <v>42745</v>
      </c>
      <c r="M6647" s="147"/>
      <c r="N6647" s="12"/>
      <c r="O6647" s="12"/>
      <c r="P6647" s="13">
        <f>IFERROR(__xludf.DUMMYFUNCTION("VALUE(SUBSTITUTE((INDEX(SPLIT(A6647,"",""),1)),""."","","",1))"),55.734962)</f>
        <v>55.734962</v>
      </c>
      <c r="Q6647" s="13">
        <f>IFERROR(__xludf.DUMMYFUNCTION("VALUE(SUBSTITUTE((INDEX(SPLIT(A6647,"",""),2)),""."","","",1))"),36.861541)</f>
        <v>36.861541</v>
      </c>
      <c r="R6647" s="14" t="b">
        <f t="shared" si="1"/>
        <v>0</v>
      </c>
      <c r="S6647" s="14" t="str">
        <f t="shared" si="2"/>
        <v>55.734962,36.861541</v>
      </c>
      <c r="T6647" s="12"/>
    </row>
    <row r="6648">
      <c r="A6648" s="136" t="s">
        <v>42746</v>
      </c>
      <c r="B6648" s="137" t="s">
        <v>5646</v>
      </c>
      <c r="C6648" s="137" t="s">
        <v>42747</v>
      </c>
      <c r="D6648" s="137" t="s">
        <v>33342</v>
      </c>
      <c r="E6648" s="138" t="s">
        <v>42748</v>
      </c>
      <c r="F6648" s="136" t="s">
        <v>3760</v>
      </c>
      <c r="G6648" s="136" t="s">
        <v>33344</v>
      </c>
      <c r="H6648" s="136"/>
      <c r="I6648" s="137"/>
      <c r="J6648" s="137" t="s">
        <v>42749</v>
      </c>
      <c r="K6648" s="137" t="s">
        <v>42750</v>
      </c>
      <c r="L6648" s="137"/>
      <c r="M6648" s="137"/>
      <c r="N6648" s="12"/>
      <c r="O6648" s="12"/>
      <c r="P6648" s="13">
        <f>IFERROR(__xludf.DUMMYFUNCTION("VALUE(SUBSTITUTE((INDEX(SPLIT(A6648,"",""),1)),""."","","",1))"),55.662303)</f>
        <v>55.662303</v>
      </c>
      <c r="Q6648" s="13">
        <f>IFERROR(__xludf.DUMMYFUNCTION("VALUE(SUBSTITUTE((INDEX(SPLIT(A6648,"",""),2)),""."","","",1))"),37.248913)</f>
        <v>37.248913</v>
      </c>
      <c r="R6648" s="14" t="b">
        <f t="shared" si="1"/>
        <v>0</v>
      </c>
      <c r="S6648" s="14" t="str">
        <f t="shared" si="2"/>
        <v>55.662303,37.248913</v>
      </c>
      <c r="T6648" s="12"/>
    </row>
    <row r="6649">
      <c r="A6649" s="146" t="s">
        <v>42751</v>
      </c>
      <c r="B6649" s="147" t="s">
        <v>155</v>
      </c>
      <c r="C6649" s="147" t="s">
        <v>33365</v>
      </c>
      <c r="D6649" s="147" t="s">
        <v>33342</v>
      </c>
      <c r="E6649" s="148" t="s">
        <v>42752</v>
      </c>
      <c r="F6649" s="146" t="s">
        <v>3760</v>
      </c>
      <c r="G6649" s="146" t="s">
        <v>33344</v>
      </c>
      <c r="H6649" s="146"/>
      <c r="I6649" s="147"/>
      <c r="J6649" s="147" t="s">
        <v>42753</v>
      </c>
      <c r="K6649" s="147" t="s">
        <v>42754</v>
      </c>
      <c r="L6649" s="150" t="s">
        <v>42755</v>
      </c>
      <c r="M6649" s="147"/>
      <c r="N6649" s="12"/>
      <c r="O6649" s="12"/>
      <c r="P6649" s="13">
        <f>IFERROR(__xludf.DUMMYFUNCTION("VALUE(SUBSTITUTE((INDEX(SPLIT(A6649,"",""),1)),""."","","",1))"),55.754436)</f>
        <v>55.754436</v>
      </c>
      <c r="Q6649" s="13">
        <f>IFERROR(__xludf.DUMMYFUNCTION("VALUE(SUBSTITUTE((INDEX(SPLIT(A6649,"",""),2)),""."","","",1))"),36.870722)</f>
        <v>36.870722</v>
      </c>
      <c r="R6649" s="14" t="b">
        <f t="shared" si="1"/>
        <v>0</v>
      </c>
      <c r="S6649" s="14" t="str">
        <f t="shared" si="2"/>
        <v>55.754436,36.870722</v>
      </c>
      <c r="T6649" s="12"/>
    </row>
    <row r="6650">
      <c r="A6650" s="142" t="s">
        <v>42756</v>
      </c>
      <c r="B6650" s="143" t="s">
        <v>42757</v>
      </c>
      <c r="C6650" s="143" t="s">
        <v>42758</v>
      </c>
      <c r="D6650" s="143" t="s">
        <v>33342</v>
      </c>
      <c r="E6650" s="144" t="s">
        <v>42759</v>
      </c>
      <c r="F6650" s="142" t="s">
        <v>3760</v>
      </c>
      <c r="G6650" s="142" t="s">
        <v>33344</v>
      </c>
      <c r="H6650" s="142"/>
      <c r="I6650" s="143"/>
      <c r="J6650" s="143" t="s">
        <v>42760</v>
      </c>
      <c r="K6650" s="143" t="s">
        <v>42761</v>
      </c>
      <c r="L6650" s="145" t="s">
        <v>42762</v>
      </c>
      <c r="M6650" s="143"/>
      <c r="N6650" s="12"/>
      <c r="O6650" s="12"/>
      <c r="P6650" s="13">
        <f>IFERROR(__xludf.DUMMYFUNCTION("VALUE(SUBSTITUTE((INDEX(SPLIT(A6650,"",""),1)),""."","","",1))"),55.624535)</f>
        <v>55.624535</v>
      </c>
      <c r="Q6650" s="13">
        <f>IFERROR(__xludf.DUMMYFUNCTION("VALUE(SUBSTITUTE((INDEX(SPLIT(A6650,"",""),2)),""."","","",1))"),37.003448)</f>
        <v>37.003448</v>
      </c>
      <c r="R6650" s="14" t="b">
        <f t="shared" si="1"/>
        <v>0</v>
      </c>
      <c r="S6650" s="14" t="str">
        <f t="shared" si="2"/>
        <v>55.624535,37.003448</v>
      </c>
      <c r="T6650" s="12"/>
    </row>
    <row r="6651">
      <c r="A6651" s="146" t="s">
        <v>42763</v>
      </c>
      <c r="B6651" s="147" t="s">
        <v>42764</v>
      </c>
      <c r="C6651" s="147" t="s">
        <v>42765</v>
      </c>
      <c r="D6651" s="147" t="s">
        <v>33342</v>
      </c>
      <c r="E6651" s="148" t="s">
        <v>42766</v>
      </c>
      <c r="F6651" s="146" t="s">
        <v>3760</v>
      </c>
      <c r="G6651" s="146" t="s">
        <v>33344</v>
      </c>
      <c r="H6651" s="146"/>
      <c r="I6651" s="147"/>
      <c r="J6651" s="147" t="s">
        <v>42767</v>
      </c>
      <c r="K6651" s="147" t="s">
        <v>42768</v>
      </c>
      <c r="L6651" s="149" t="s">
        <v>42769</v>
      </c>
      <c r="M6651" s="147"/>
      <c r="N6651" s="12"/>
      <c r="O6651" s="12"/>
      <c r="P6651" s="13">
        <f>IFERROR(__xludf.DUMMYFUNCTION("VALUE(SUBSTITUTE((INDEX(SPLIT(A6651,"",""),1)),""."","","",1))"),55.723511)</f>
        <v>55.723511</v>
      </c>
      <c r="Q6651" s="13">
        <f>IFERROR(__xludf.DUMMYFUNCTION("VALUE(SUBSTITUTE((INDEX(SPLIT(A6651,"",""),2)),""."","","",1))"),36.76526)</f>
        <v>36.76526</v>
      </c>
      <c r="R6651" s="14" t="b">
        <f t="shared" si="1"/>
        <v>0</v>
      </c>
      <c r="S6651" s="14" t="str">
        <f t="shared" si="2"/>
        <v>55.723511,36.76526</v>
      </c>
      <c r="T6651" s="12"/>
    </row>
    <row r="6652">
      <c r="A6652" s="142" t="s">
        <v>42770</v>
      </c>
      <c r="B6652" s="143" t="s">
        <v>42771</v>
      </c>
      <c r="C6652" s="143" t="s">
        <v>42772</v>
      </c>
      <c r="D6652" s="143" t="s">
        <v>33342</v>
      </c>
      <c r="E6652" s="144" t="s">
        <v>42773</v>
      </c>
      <c r="F6652" s="142" t="s">
        <v>3760</v>
      </c>
      <c r="G6652" s="142" t="s">
        <v>33344</v>
      </c>
      <c r="H6652" s="142"/>
      <c r="I6652" s="143"/>
      <c r="J6652" s="143" t="s">
        <v>42774</v>
      </c>
      <c r="K6652" s="143" t="s">
        <v>42775</v>
      </c>
      <c r="L6652" s="152" t="s">
        <v>42776</v>
      </c>
      <c r="M6652" s="143"/>
      <c r="N6652" s="12"/>
      <c r="O6652" s="12"/>
      <c r="P6652" s="13">
        <f>IFERROR(__xludf.DUMMYFUNCTION("VALUE(SUBSTITUTE((INDEX(SPLIT(A6652,"",""),1)),""."","","",1))"),55.376089)</f>
        <v>55.376089</v>
      </c>
      <c r="Q6652" s="13">
        <f>IFERROR(__xludf.DUMMYFUNCTION("VALUE(SUBSTITUTE((INDEX(SPLIT(A6652,"",""),2)),""."","","",1))"),37.53932)</f>
        <v>37.53932</v>
      </c>
      <c r="R6652" s="14" t="b">
        <f t="shared" si="1"/>
        <v>0</v>
      </c>
      <c r="S6652" s="14" t="str">
        <f t="shared" si="2"/>
        <v>55.376089,37.53932</v>
      </c>
      <c r="T6652" s="12"/>
    </row>
    <row r="6653">
      <c r="A6653" s="139" t="s">
        <v>42777</v>
      </c>
      <c r="B6653" s="140" t="s">
        <v>42778</v>
      </c>
      <c r="C6653" s="140" t="s">
        <v>42779</v>
      </c>
      <c r="D6653" s="140" t="s">
        <v>33342</v>
      </c>
      <c r="E6653" s="141" t="s">
        <v>42780</v>
      </c>
      <c r="F6653" s="139" t="s">
        <v>3760</v>
      </c>
      <c r="G6653" s="139" t="s">
        <v>33344</v>
      </c>
      <c r="H6653" s="139"/>
      <c r="I6653" s="140"/>
      <c r="J6653" s="140" t="s">
        <v>42781</v>
      </c>
      <c r="K6653" s="140" t="s">
        <v>42782</v>
      </c>
      <c r="L6653" s="140"/>
      <c r="M6653" s="154" t="s">
        <v>42783</v>
      </c>
      <c r="N6653" s="12"/>
      <c r="O6653" s="12"/>
      <c r="P6653" s="13">
        <f>IFERROR(__xludf.DUMMYFUNCTION("VALUE(SUBSTITUTE((INDEX(SPLIT(A6653,"",""),1)),""."","","",1))"),55.782532)</f>
        <v>55.782532</v>
      </c>
      <c r="Q6653" s="13">
        <f>IFERROR(__xludf.DUMMYFUNCTION("VALUE(SUBSTITUTE((INDEX(SPLIT(A6653,"",""),2)),""."","","",1))"),36.787529)</f>
        <v>36.787529</v>
      </c>
      <c r="R6653" s="14" t="b">
        <f t="shared" si="1"/>
        <v>0</v>
      </c>
      <c r="S6653" s="14" t="str">
        <f t="shared" si="2"/>
        <v>55.782532,36.787529</v>
      </c>
      <c r="T6653" s="12"/>
    </row>
    <row r="6654">
      <c r="A6654" s="136" t="s">
        <v>42784</v>
      </c>
      <c r="B6654" s="137" t="s">
        <v>42785</v>
      </c>
      <c r="C6654" s="137" t="s">
        <v>42786</v>
      </c>
      <c r="D6654" s="137" t="s">
        <v>33342</v>
      </c>
      <c r="E6654" s="138" t="s">
        <v>42787</v>
      </c>
      <c r="F6654" s="136" t="s">
        <v>3760</v>
      </c>
      <c r="G6654" s="136" t="s">
        <v>33344</v>
      </c>
      <c r="H6654" s="136"/>
      <c r="I6654" s="137"/>
      <c r="J6654" s="137" t="s">
        <v>42788</v>
      </c>
      <c r="K6654" s="137" t="s">
        <v>42789</v>
      </c>
      <c r="L6654" s="137"/>
      <c r="M6654" s="137"/>
      <c r="N6654" s="12"/>
      <c r="O6654" s="12"/>
      <c r="P6654" s="13">
        <f>IFERROR(__xludf.DUMMYFUNCTION("VALUE(SUBSTITUTE((INDEX(SPLIT(A6654,"",""),1)),""."","","",1))"),55.680224)</f>
        <v>55.680224</v>
      </c>
      <c r="Q6654" s="13">
        <f>IFERROR(__xludf.DUMMYFUNCTION("VALUE(SUBSTITUTE((INDEX(SPLIT(A6654,"",""),2)),""."","","",1))"),37.322745)</f>
        <v>37.322745</v>
      </c>
      <c r="R6654" s="14" t="b">
        <f t="shared" si="1"/>
        <v>0</v>
      </c>
      <c r="S6654" s="14" t="str">
        <f t="shared" si="2"/>
        <v>55.680224,37.322745</v>
      </c>
      <c r="T6654" s="12"/>
    </row>
    <row r="6655">
      <c r="A6655" s="139" t="s">
        <v>42790</v>
      </c>
      <c r="B6655" s="140" t="s">
        <v>42791</v>
      </c>
      <c r="C6655" s="140" t="s">
        <v>42792</v>
      </c>
      <c r="D6655" s="140" t="s">
        <v>33342</v>
      </c>
      <c r="E6655" s="141" t="s">
        <v>42793</v>
      </c>
      <c r="F6655" s="139" t="s">
        <v>3760</v>
      </c>
      <c r="G6655" s="139" t="s">
        <v>33344</v>
      </c>
      <c r="H6655" s="139"/>
      <c r="I6655" s="140"/>
      <c r="J6655" s="140" t="s">
        <v>42794</v>
      </c>
      <c r="K6655" s="140" t="s">
        <v>42795</v>
      </c>
      <c r="L6655" s="140"/>
      <c r="M6655" s="140"/>
      <c r="N6655" s="12"/>
      <c r="O6655" s="12"/>
      <c r="P6655" s="13">
        <f>IFERROR(__xludf.DUMMYFUNCTION("VALUE(SUBSTITUTE((INDEX(SPLIT(A6655,"",""),1)),""."","","",1))"),55.626065)</f>
        <v>55.626065</v>
      </c>
      <c r="Q6655" s="13">
        <f>IFERROR(__xludf.DUMMYFUNCTION("VALUE(SUBSTITUTE((INDEX(SPLIT(A6655,"",""),2)),""."","","",1))"),37.023948)</f>
        <v>37.023948</v>
      </c>
      <c r="R6655" s="14" t="b">
        <f t="shared" si="1"/>
        <v>0</v>
      </c>
      <c r="S6655" s="14" t="str">
        <f t="shared" si="2"/>
        <v>55.626065,37.023948</v>
      </c>
      <c r="T6655" s="12"/>
    </row>
    <row r="6656">
      <c r="A6656" s="136" t="s">
        <v>8748</v>
      </c>
      <c r="B6656" s="137" t="s">
        <v>42796</v>
      </c>
      <c r="C6656" s="137" t="s">
        <v>42797</v>
      </c>
      <c r="D6656" s="137" t="s">
        <v>33342</v>
      </c>
      <c r="E6656" s="138" t="s">
        <v>42798</v>
      </c>
      <c r="F6656" s="136" t="s">
        <v>3760</v>
      </c>
      <c r="G6656" s="136" t="s">
        <v>33344</v>
      </c>
      <c r="H6656" s="136"/>
      <c r="I6656" s="137"/>
      <c r="J6656" s="137" t="s">
        <v>42799</v>
      </c>
      <c r="K6656" s="137" t="s">
        <v>42800</v>
      </c>
      <c r="L6656" s="137"/>
      <c r="M6656" s="137"/>
      <c r="N6656" s="12"/>
      <c r="O6656" s="12"/>
      <c r="P6656" s="13">
        <f>IFERROR(__xludf.DUMMYFUNCTION("VALUE(SUBSTITUTE((INDEX(SPLIT(A6656,"",""),1)),""."","","",1))"),55.679138)</f>
        <v>55.679138</v>
      </c>
      <c r="Q6656" s="13">
        <f>IFERROR(__xludf.DUMMYFUNCTION("VALUE(SUBSTITUTE((INDEX(SPLIT(A6656,"",""),2)),""."","","",1))"),37.263663)</f>
        <v>37.263663</v>
      </c>
      <c r="R6656" s="14" t="b">
        <f t="shared" si="1"/>
        <v>0</v>
      </c>
      <c r="S6656" s="14" t="str">
        <f t="shared" si="2"/>
        <v>55.679138,37.263663</v>
      </c>
      <c r="T6656" s="12"/>
    </row>
    <row r="6657">
      <c r="A6657" s="139" t="s">
        <v>42801</v>
      </c>
      <c r="B6657" s="140" t="s">
        <v>42802</v>
      </c>
      <c r="C6657" s="140" t="s">
        <v>42803</v>
      </c>
      <c r="D6657" s="140" t="s">
        <v>33342</v>
      </c>
      <c r="E6657" s="141" t="s">
        <v>42804</v>
      </c>
      <c r="F6657" s="139" t="s">
        <v>3760</v>
      </c>
      <c r="G6657" s="139" t="s">
        <v>33344</v>
      </c>
      <c r="H6657" s="139"/>
      <c r="I6657" s="140"/>
      <c r="J6657" s="140" t="s">
        <v>42805</v>
      </c>
      <c r="K6657" s="140" t="s">
        <v>42806</v>
      </c>
      <c r="L6657" s="140"/>
      <c r="M6657" s="140"/>
      <c r="N6657" s="12"/>
      <c r="O6657" s="12"/>
      <c r="P6657" s="13">
        <f>IFERROR(__xludf.DUMMYFUNCTION("VALUE(SUBSTITUTE((INDEX(SPLIT(A6657,"",""),1)),""."","","",1))"),55.671097)</f>
        <v>55.671097</v>
      </c>
      <c r="Q6657" s="13">
        <f>IFERROR(__xludf.DUMMYFUNCTION("VALUE(SUBSTITUTE((INDEX(SPLIT(A6657,"",""),2)),""."","","",1))"),37.269305)</f>
        <v>37.269305</v>
      </c>
      <c r="R6657" s="14" t="b">
        <f t="shared" si="1"/>
        <v>0</v>
      </c>
      <c r="S6657" s="14" t="str">
        <f t="shared" si="2"/>
        <v>55.671097,37.269305</v>
      </c>
      <c r="T6657" s="12"/>
    </row>
    <row r="6658">
      <c r="A6658" s="136" t="s">
        <v>8893</v>
      </c>
      <c r="B6658" s="137" t="s">
        <v>42807</v>
      </c>
      <c r="C6658" s="137" t="s">
        <v>42808</v>
      </c>
      <c r="D6658" s="137" t="s">
        <v>33342</v>
      </c>
      <c r="E6658" s="138" t="s">
        <v>42809</v>
      </c>
      <c r="F6658" s="136" t="s">
        <v>3760</v>
      </c>
      <c r="G6658" s="136" t="s">
        <v>33344</v>
      </c>
      <c r="H6658" s="136"/>
      <c r="I6658" s="137"/>
      <c r="J6658" s="137" t="s">
        <v>42810</v>
      </c>
      <c r="K6658" s="137" t="s">
        <v>42811</v>
      </c>
      <c r="L6658" s="137"/>
      <c r="M6658" s="153" t="s">
        <v>42812</v>
      </c>
      <c r="N6658" s="12"/>
      <c r="O6658" s="12"/>
      <c r="P6658" s="13">
        <f>IFERROR(__xludf.DUMMYFUNCTION("VALUE(SUBSTITUTE((INDEX(SPLIT(A6658,"",""),1)),""."","","",1))"),55.695768)</f>
        <v>55.695768</v>
      </c>
      <c r="Q6658" s="13">
        <f>IFERROR(__xludf.DUMMYFUNCTION("VALUE(SUBSTITUTE((INDEX(SPLIT(A6658,"",""),2)),""."","","",1))"),37.330956)</f>
        <v>37.330956</v>
      </c>
      <c r="R6658" s="14" t="b">
        <f t="shared" si="1"/>
        <v>0</v>
      </c>
      <c r="S6658" s="14" t="str">
        <f t="shared" si="2"/>
        <v>55.695768,37.330956</v>
      </c>
      <c r="T6658" s="12"/>
    </row>
    <row r="6659">
      <c r="A6659" s="139" t="s">
        <v>42813</v>
      </c>
      <c r="B6659" s="140" t="s">
        <v>42814</v>
      </c>
      <c r="C6659" s="140" t="s">
        <v>42815</v>
      </c>
      <c r="D6659" s="140" t="s">
        <v>33342</v>
      </c>
      <c r="E6659" s="141" t="s">
        <v>42816</v>
      </c>
      <c r="F6659" s="139" t="s">
        <v>3760</v>
      </c>
      <c r="G6659" s="139" t="s">
        <v>33344</v>
      </c>
      <c r="H6659" s="139"/>
      <c r="I6659" s="140"/>
      <c r="J6659" s="140" t="s">
        <v>42817</v>
      </c>
      <c r="K6659" s="140" t="s">
        <v>42818</v>
      </c>
      <c r="L6659" s="140"/>
      <c r="M6659" s="140"/>
      <c r="N6659" s="12"/>
      <c r="O6659" s="12"/>
      <c r="P6659" s="13">
        <f>IFERROR(__xludf.DUMMYFUNCTION("VALUE(SUBSTITUTE((INDEX(SPLIT(A6659,"",""),1)),""."","","",1))"),55.708212)</f>
        <v>55.708212</v>
      </c>
      <c r="Q6659" s="13">
        <f>IFERROR(__xludf.DUMMYFUNCTION("VALUE(SUBSTITUTE((INDEX(SPLIT(A6659,"",""),2)),""."","","",1))"),36.793548)</f>
        <v>36.793548</v>
      </c>
      <c r="R6659" s="14" t="b">
        <f t="shared" si="1"/>
        <v>0</v>
      </c>
      <c r="S6659" s="14" t="str">
        <f t="shared" si="2"/>
        <v>55.708212,36.793548</v>
      </c>
      <c r="T6659" s="12"/>
    </row>
    <row r="6660">
      <c r="A6660" s="142" t="s">
        <v>42819</v>
      </c>
      <c r="B6660" s="143" t="s">
        <v>42820</v>
      </c>
      <c r="C6660" s="143" t="s">
        <v>42821</v>
      </c>
      <c r="D6660" s="143" t="s">
        <v>33342</v>
      </c>
      <c r="E6660" s="144" t="s">
        <v>42822</v>
      </c>
      <c r="F6660" s="142" t="s">
        <v>3760</v>
      </c>
      <c r="G6660" s="142" t="s">
        <v>33344</v>
      </c>
      <c r="H6660" s="142"/>
      <c r="I6660" s="143"/>
      <c r="J6660" s="143" t="s">
        <v>42823</v>
      </c>
      <c r="K6660" s="143" t="s">
        <v>42824</v>
      </c>
      <c r="L6660" s="145" t="s">
        <v>42825</v>
      </c>
      <c r="M6660" s="143"/>
      <c r="N6660" s="12"/>
      <c r="O6660" s="12"/>
      <c r="P6660" s="13">
        <f>IFERROR(__xludf.DUMMYFUNCTION("VALUE(SUBSTITUTE((INDEX(SPLIT(A6660,"",""),1)),""."","","",1))"),55.656504)</f>
        <v>55.656504</v>
      </c>
      <c r="Q6660" s="13">
        <f>IFERROR(__xludf.DUMMYFUNCTION("VALUE(SUBSTITUTE((INDEX(SPLIT(A6660,"",""),2)),""."","","",1))"),38.912341)</f>
        <v>38.912341</v>
      </c>
      <c r="R6660" s="14" t="b">
        <f t="shared" si="1"/>
        <v>0</v>
      </c>
      <c r="S6660" s="14" t="str">
        <f t="shared" si="2"/>
        <v>55.656504,38.912341</v>
      </c>
      <c r="T6660" s="12"/>
    </row>
    <row r="6661">
      <c r="A6661" s="146" t="s">
        <v>42826</v>
      </c>
      <c r="B6661" s="147" t="s">
        <v>42827</v>
      </c>
      <c r="C6661" s="147" t="s">
        <v>42828</v>
      </c>
      <c r="D6661" s="147" t="s">
        <v>33342</v>
      </c>
      <c r="E6661" s="148" t="s">
        <v>42829</v>
      </c>
      <c r="F6661" s="146" t="s">
        <v>3760</v>
      </c>
      <c r="G6661" s="146" t="s">
        <v>33344</v>
      </c>
      <c r="H6661" s="146"/>
      <c r="I6661" s="147"/>
      <c r="J6661" s="147" t="s">
        <v>42830</v>
      </c>
      <c r="K6661" s="147" t="s">
        <v>42831</v>
      </c>
      <c r="L6661" s="149" t="s">
        <v>42832</v>
      </c>
      <c r="M6661" s="149" t="s">
        <v>42833</v>
      </c>
      <c r="N6661" s="12"/>
      <c r="O6661" s="12"/>
      <c r="P6661" s="13">
        <f>IFERROR(__xludf.DUMMYFUNCTION("VALUE(SUBSTITUTE((INDEX(SPLIT(A6661,"",""),1)),""."","","",1))"),55.792392)</f>
        <v>55.792392</v>
      </c>
      <c r="Q6661" s="13">
        <f>IFERROR(__xludf.DUMMYFUNCTION("VALUE(SUBSTITUTE((INDEX(SPLIT(A6661,"",""),2)),""."","","",1))"),38.940396)</f>
        <v>38.940396</v>
      </c>
      <c r="R6661" s="14" t="b">
        <f t="shared" si="1"/>
        <v>0</v>
      </c>
      <c r="S6661" s="14" t="str">
        <f t="shared" si="2"/>
        <v>55.792392,38.940396</v>
      </c>
      <c r="T6661" s="12"/>
    </row>
    <row r="6662">
      <c r="A6662" s="136" t="s">
        <v>42834</v>
      </c>
      <c r="B6662" s="137" t="s">
        <v>42835</v>
      </c>
      <c r="C6662" s="137" t="s">
        <v>42836</v>
      </c>
      <c r="D6662" s="137" t="s">
        <v>33342</v>
      </c>
      <c r="E6662" s="138" t="s">
        <v>42837</v>
      </c>
      <c r="F6662" s="136" t="s">
        <v>3760</v>
      </c>
      <c r="G6662" s="136" t="s">
        <v>33344</v>
      </c>
      <c r="H6662" s="136"/>
      <c r="I6662" s="137"/>
      <c r="J6662" s="137" t="s">
        <v>42838</v>
      </c>
      <c r="K6662" s="137" t="s">
        <v>42839</v>
      </c>
      <c r="L6662" s="137"/>
      <c r="M6662" s="137"/>
      <c r="N6662" s="12"/>
      <c r="O6662" s="12"/>
      <c r="P6662" s="13">
        <f>IFERROR(__xludf.DUMMYFUNCTION("VALUE(SUBSTITUTE((INDEX(SPLIT(A6662,"",""),1)),""."","","",1))"),55.839957)</f>
        <v>55.839957</v>
      </c>
      <c r="Q6662" s="13">
        <f>IFERROR(__xludf.DUMMYFUNCTION("VALUE(SUBSTITUTE((INDEX(SPLIT(A6662,"",""),2)),""."","","",1))"),38.966878)</f>
        <v>38.966878</v>
      </c>
      <c r="R6662" s="14" t="b">
        <f t="shared" si="1"/>
        <v>0</v>
      </c>
      <c r="S6662" s="14" t="str">
        <f t="shared" si="2"/>
        <v>55.839957,38.966878</v>
      </c>
      <c r="T6662" s="12"/>
    </row>
    <row r="6663">
      <c r="A6663" s="139" t="s">
        <v>42840</v>
      </c>
      <c r="B6663" s="140" t="s">
        <v>42841</v>
      </c>
      <c r="C6663" s="140" t="s">
        <v>42842</v>
      </c>
      <c r="D6663" s="140" t="s">
        <v>33342</v>
      </c>
      <c r="E6663" s="141" t="s">
        <v>42843</v>
      </c>
      <c r="F6663" s="139" t="s">
        <v>3760</v>
      </c>
      <c r="G6663" s="139" t="s">
        <v>33344</v>
      </c>
      <c r="H6663" s="139"/>
      <c r="I6663" s="140"/>
      <c r="J6663" s="140" t="s">
        <v>42844</v>
      </c>
      <c r="K6663" s="140" t="s">
        <v>42845</v>
      </c>
      <c r="L6663" s="140"/>
      <c r="M6663" s="154" t="s">
        <v>42846</v>
      </c>
      <c r="N6663" s="12"/>
      <c r="O6663" s="12"/>
      <c r="P6663" s="13">
        <f>IFERROR(__xludf.DUMMYFUNCTION("VALUE(SUBSTITUTE((INDEX(SPLIT(A6663,"",""),1)),""."","","",1))"),55.738034)</f>
        <v>55.738034</v>
      </c>
      <c r="Q6663" s="13">
        <f>IFERROR(__xludf.DUMMYFUNCTION("VALUE(SUBSTITUTE((INDEX(SPLIT(A6663,"",""),2)),""."","","",1))"),38.94495)</f>
        <v>38.94495</v>
      </c>
      <c r="R6663" s="14" t="b">
        <f t="shared" si="1"/>
        <v>0</v>
      </c>
      <c r="S6663" s="14" t="str">
        <f t="shared" si="2"/>
        <v>55.738034,38.94495</v>
      </c>
      <c r="T6663" s="12"/>
    </row>
    <row r="6664">
      <c r="A6664" s="136" t="s">
        <v>42847</v>
      </c>
      <c r="B6664" s="137" t="s">
        <v>42848</v>
      </c>
      <c r="C6664" s="137" t="s">
        <v>42849</v>
      </c>
      <c r="D6664" s="137" t="s">
        <v>33342</v>
      </c>
      <c r="E6664" s="138" t="s">
        <v>42850</v>
      </c>
      <c r="F6664" s="136" t="s">
        <v>3760</v>
      </c>
      <c r="G6664" s="136" t="s">
        <v>33344</v>
      </c>
      <c r="H6664" s="136"/>
      <c r="I6664" s="137"/>
      <c r="J6664" s="137" t="s">
        <v>42851</v>
      </c>
      <c r="K6664" s="137" t="s">
        <v>42852</v>
      </c>
      <c r="L6664" s="137"/>
      <c r="M6664" s="153" t="s">
        <v>42853</v>
      </c>
      <c r="N6664" s="12"/>
      <c r="O6664" s="12"/>
      <c r="P6664" s="13">
        <f>IFERROR(__xludf.DUMMYFUNCTION("VALUE(SUBSTITUTE((INDEX(SPLIT(A6664,"",""),1)),""."","","",1))"),55.781545)</f>
        <v>55.781545</v>
      </c>
      <c r="Q6664" s="13">
        <f>IFERROR(__xludf.DUMMYFUNCTION("VALUE(SUBSTITUTE((INDEX(SPLIT(A6664,"",""),2)),""."","","",1))"),38.620937)</f>
        <v>38.620937</v>
      </c>
      <c r="R6664" s="14" t="b">
        <f t="shared" si="1"/>
        <v>0</v>
      </c>
      <c r="S6664" s="14" t="str">
        <f t="shared" si="2"/>
        <v>55.781545,38.620937</v>
      </c>
      <c r="T6664" s="12"/>
    </row>
    <row r="6665">
      <c r="A6665" s="139" t="s">
        <v>42854</v>
      </c>
      <c r="B6665" s="140" t="s">
        <v>42855</v>
      </c>
      <c r="C6665" s="140" t="s">
        <v>42856</v>
      </c>
      <c r="D6665" s="140" t="s">
        <v>33342</v>
      </c>
      <c r="E6665" s="141" t="s">
        <v>42857</v>
      </c>
      <c r="F6665" s="139" t="s">
        <v>3760</v>
      </c>
      <c r="G6665" s="139" t="s">
        <v>33344</v>
      </c>
      <c r="H6665" s="139"/>
      <c r="I6665" s="140"/>
      <c r="J6665" s="140" t="s">
        <v>42858</v>
      </c>
      <c r="K6665" s="140" t="s">
        <v>42859</v>
      </c>
      <c r="L6665" s="140"/>
      <c r="M6665" s="140"/>
      <c r="N6665" s="12"/>
      <c r="O6665" s="12"/>
      <c r="P6665" s="13">
        <f>IFERROR(__xludf.DUMMYFUNCTION("VALUE(SUBSTITUTE((INDEX(SPLIT(A6665,"",""),1)),""."","","",1))"),55.776958)</f>
        <v>55.776958</v>
      </c>
      <c r="Q6665" s="13">
        <f>IFERROR(__xludf.DUMMYFUNCTION("VALUE(SUBSTITUTE((INDEX(SPLIT(A6665,"",""),2)),""."","","",1))"),38.695542)</f>
        <v>38.695542</v>
      </c>
      <c r="R6665" s="14" t="b">
        <f t="shared" si="1"/>
        <v>0</v>
      </c>
      <c r="S6665" s="14" t="str">
        <f t="shared" si="2"/>
        <v>55.776958,38.695542</v>
      </c>
      <c r="T6665" s="12"/>
    </row>
    <row r="6666">
      <c r="A6666" s="136" t="s">
        <v>12795</v>
      </c>
      <c r="B6666" s="137" t="s">
        <v>42860</v>
      </c>
      <c r="C6666" s="137" t="s">
        <v>42861</v>
      </c>
      <c r="D6666" s="137" t="s">
        <v>33342</v>
      </c>
      <c r="E6666" s="138" t="s">
        <v>42862</v>
      </c>
      <c r="F6666" s="136" t="s">
        <v>3760</v>
      </c>
      <c r="G6666" s="136" t="s">
        <v>33344</v>
      </c>
      <c r="H6666" s="136"/>
      <c r="I6666" s="156" t="s">
        <v>42863</v>
      </c>
      <c r="J6666" s="137" t="s">
        <v>42864</v>
      </c>
      <c r="K6666" s="137" t="s">
        <v>42865</v>
      </c>
      <c r="L6666" s="137"/>
      <c r="M6666" s="137"/>
      <c r="N6666" s="12"/>
      <c r="O6666" s="12"/>
      <c r="P6666" s="13">
        <f>IFERROR(__xludf.DUMMYFUNCTION("VALUE(SUBSTITUTE((INDEX(SPLIT(A6666,"",""),1)),""."","","",1))"),55.773018)</f>
        <v>55.773018</v>
      </c>
      <c r="Q6666" s="13">
        <f>IFERROR(__xludf.DUMMYFUNCTION("VALUE(SUBSTITUTE((INDEX(SPLIT(A6666,"",""),2)),""."","","",1))"),38.701273)</f>
        <v>38.701273</v>
      </c>
      <c r="R6666" s="14" t="b">
        <f t="shared" si="1"/>
        <v>0</v>
      </c>
      <c r="S6666" s="14" t="str">
        <f t="shared" si="2"/>
        <v>55.773018,38.701273</v>
      </c>
      <c r="T6666" s="12"/>
    </row>
    <row r="6667">
      <c r="A6667" s="146" t="s">
        <v>42866</v>
      </c>
      <c r="B6667" s="147" t="s">
        <v>42867</v>
      </c>
      <c r="C6667" s="147" t="s">
        <v>42868</v>
      </c>
      <c r="D6667" s="147" t="s">
        <v>33342</v>
      </c>
      <c r="E6667" s="148" t="s">
        <v>42869</v>
      </c>
      <c r="F6667" s="146" t="s">
        <v>3760</v>
      </c>
      <c r="G6667" s="146" t="s">
        <v>33344</v>
      </c>
      <c r="H6667" s="146"/>
      <c r="I6667" s="147"/>
      <c r="J6667" s="147" t="s">
        <v>42870</v>
      </c>
      <c r="K6667" s="147" t="s">
        <v>42871</v>
      </c>
      <c r="L6667" s="149" t="s">
        <v>42872</v>
      </c>
      <c r="M6667" s="149" t="s">
        <v>42873</v>
      </c>
      <c r="N6667" s="12"/>
      <c r="O6667" s="12"/>
      <c r="P6667" s="13">
        <f>IFERROR(__xludf.DUMMYFUNCTION("VALUE(SUBSTITUTE((INDEX(SPLIT(A6667,"",""),1)),""."","","",1))"),55.463564)</f>
        <v>55.463564</v>
      </c>
      <c r="Q6667" s="13">
        <f>IFERROR(__xludf.DUMMYFUNCTION("VALUE(SUBSTITUTE((INDEX(SPLIT(A6667,"",""),2)),""."","","",1))"),37.564698)</f>
        <v>37.564698</v>
      </c>
      <c r="R6667" s="14" t="b">
        <f t="shared" si="1"/>
        <v>0</v>
      </c>
      <c r="S6667" s="14" t="str">
        <f t="shared" si="2"/>
        <v>55.463564,37.564698</v>
      </c>
      <c r="T6667" s="12"/>
    </row>
    <row r="6668">
      <c r="A6668" s="142" t="s">
        <v>42874</v>
      </c>
      <c r="B6668" s="143" t="s">
        <v>42875</v>
      </c>
      <c r="C6668" s="143" t="s">
        <v>42876</v>
      </c>
      <c r="D6668" s="143" t="s">
        <v>33342</v>
      </c>
      <c r="E6668" s="144" t="s">
        <v>42877</v>
      </c>
      <c r="F6668" s="142" t="s">
        <v>3760</v>
      </c>
      <c r="G6668" s="142" t="s">
        <v>33344</v>
      </c>
      <c r="H6668" s="142"/>
      <c r="I6668" s="143"/>
      <c r="J6668" s="143" t="s">
        <v>42878</v>
      </c>
      <c r="K6668" s="143" t="s">
        <v>42879</v>
      </c>
      <c r="L6668" s="145" t="s">
        <v>42880</v>
      </c>
      <c r="M6668" s="145" t="s">
        <v>42881</v>
      </c>
      <c r="N6668" s="12"/>
      <c r="O6668" s="12"/>
      <c r="P6668" s="13">
        <f>IFERROR(__xludf.DUMMYFUNCTION("VALUE(SUBSTITUTE((INDEX(SPLIT(A6668,"",""),1)),""."","","",1))"),55.463319)</f>
        <v>55.463319</v>
      </c>
      <c r="Q6668" s="13">
        <f>IFERROR(__xludf.DUMMYFUNCTION("VALUE(SUBSTITUTE((INDEX(SPLIT(A6668,"",""),2)),""."","","",1))"),37.581101)</f>
        <v>37.581101</v>
      </c>
      <c r="R6668" s="14" t="b">
        <f t="shared" si="1"/>
        <v>0</v>
      </c>
      <c r="S6668" s="14" t="str">
        <f t="shared" si="2"/>
        <v>55.463319,37.581101</v>
      </c>
      <c r="T6668" s="12"/>
    </row>
    <row r="6669">
      <c r="A6669" s="139" t="s">
        <v>42882</v>
      </c>
      <c r="B6669" s="140" t="s">
        <v>42883</v>
      </c>
      <c r="C6669" s="140" t="s">
        <v>42884</v>
      </c>
      <c r="D6669" s="140" t="s">
        <v>33342</v>
      </c>
      <c r="E6669" s="141" t="s">
        <v>42885</v>
      </c>
      <c r="F6669" s="139" t="s">
        <v>3760</v>
      </c>
      <c r="G6669" s="139" t="s">
        <v>33344</v>
      </c>
      <c r="H6669" s="139"/>
      <c r="I6669" s="140"/>
      <c r="J6669" s="140" t="s">
        <v>42886</v>
      </c>
      <c r="K6669" s="140" t="s">
        <v>42887</v>
      </c>
      <c r="L6669" s="140"/>
      <c r="M6669" s="140"/>
      <c r="N6669" s="12"/>
      <c r="O6669" s="12"/>
      <c r="P6669" s="13">
        <f>IFERROR(__xludf.DUMMYFUNCTION("VALUE(SUBSTITUTE((INDEX(SPLIT(A6669,"",""),1)),""."","","",1))"),55.360633)</f>
        <v>55.360633</v>
      </c>
      <c r="Q6669" s="13">
        <f>IFERROR(__xludf.DUMMYFUNCTION("VALUE(SUBSTITUTE((INDEX(SPLIT(A6669,"",""),2)),""."","","",1))"),37.499651)</f>
        <v>37.499651</v>
      </c>
      <c r="R6669" s="14" t="b">
        <f t="shared" si="1"/>
        <v>0</v>
      </c>
      <c r="S6669" s="14" t="str">
        <f t="shared" si="2"/>
        <v>55.360633,37.499651</v>
      </c>
      <c r="T6669" s="12"/>
    </row>
    <row r="6670">
      <c r="A6670" s="136" t="s">
        <v>42888</v>
      </c>
      <c r="B6670" s="137" t="s">
        <v>42889</v>
      </c>
      <c r="C6670" s="137" t="s">
        <v>42890</v>
      </c>
      <c r="D6670" s="137" t="s">
        <v>33342</v>
      </c>
      <c r="E6670" s="138" t="s">
        <v>42891</v>
      </c>
      <c r="F6670" s="136" t="s">
        <v>3760</v>
      </c>
      <c r="G6670" s="136" t="s">
        <v>33344</v>
      </c>
      <c r="H6670" s="136"/>
      <c r="I6670" s="156" t="s">
        <v>42892</v>
      </c>
      <c r="J6670" s="137" t="s">
        <v>42893</v>
      </c>
      <c r="K6670" s="137" t="s">
        <v>42894</v>
      </c>
      <c r="L6670" s="137"/>
      <c r="M6670" s="137"/>
      <c r="N6670" s="12"/>
      <c r="O6670" s="12"/>
      <c r="P6670" s="13">
        <f>IFERROR(__xludf.DUMMYFUNCTION("VALUE(SUBSTITUTE((INDEX(SPLIT(A6670,"",""),1)),""."","","",1))"),55.573963)</f>
        <v>55.573963</v>
      </c>
      <c r="Q6670" s="13">
        <f>IFERROR(__xludf.DUMMYFUNCTION("VALUE(SUBSTITUTE((INDEX(SPLIT(A6670,"",""),2)),""."","","",1))"),38.919456)</f>
        <v>38.919456</v>
      </c>
      <c r="R6670" s="14" t="b">
        <f t="shared" si="1"/>
        <v>0</v>
      </c>
      <c r="S6670" s="14" t="str">
        <f t="shared" si="2"/>
        <v>55.573963,38.919456</v>
      </c>
      <c r="T6670" s="12"/>
    </row>
    <row r="6671">
      <c r="A6671" s="146" t="s">
        <v>42895</v>
      </c>
      <c r="B6671" s="147" t="s">
        <v>42896</v>
      </c>
      <c r="C6671" s="147" t="s">
        <v>42897</v>
      </c>
      <c r="D6671" s="147" t="s">
        <v>33342</v>
      </c>
      <c r="E6671" s="148" t="s">
        <v>42898</v>
      </c>
      <c r="F6671" s="146" t="s">
        <v>3760</v>
      </c>
      <c r="G6671" s="146" t="s">
        <v>33344</v>
      </c>
      <c r="H6671" s="146"/>
      <c r="I6671" s="147"/>
      <c r="J6671" s="147" t="s">
        <v>42899</v>
      </c>
      <c r="K6671" s="147" t="s">
        <v>42900</v>
      </c>
      <c r="L6671" s="149" t="s">
        <v>42901</v>
      </c>
      <c r="M6671" s="147"/>
      <c r="N6671" s="12"/>
      <c r="O6671" s="12"/>
      <c r="P6671" s="13">
        <f>IFERROR(__xludf.DUMMYFUNCTION("VALUE(SUBSTITUTE((INDEX(SPLIT(A6671,"",""),1)),""."","","",1))"),55.428843)</f>
        <v>55.428843</v>
      </c>
      <c r="Q6671" s="13">
        <f>IFERROR(__xludf.DUMMYFUNCTION("VALUE(SUBSTITUTE((INDEX(SPLIT(A6671,"",""),2)),""."","","",1))"),37.504897)</f>
        <v>37.504897</v>
      </c>
      <c r="R6671" s="14" t="b">
        <f t="shared" si="1"/>
        <v>0</v>
      </c>
      <c r="S6671" s="14" t="str">
        <f t="shared" si="2"/>
        <v>55.428843,37.504897</v>
      </c>
      <c r="T6671" s="12"/>
    </row>
    <row r="6672">
      <c r="A6672" s="142" t="s">
        <v>9865</v>
      </c>
      <c r="B6672" s="143" t="s">
        <v>42902</v>
      </c>
      <c r="C6672" s="143" t="s">
        <v>42903</v>
      </c>
      <c r="D6672" s="143" t="s">
        <v>33342</v>
      </c>
      <c r="E6672" s="144" t="s">
        <v>42904</v>
      </c>
      <c r="F6672" s="142" t="s">
        <v>3760</v>
      </c>
      <c r="G6672" s="142" t="s">
        <v>33344</v>
      </c>
      <c r="H6672" s="142"/>
      <c r="I6672" s="143"/>
      <c r="J6672" s="143" t="s">
        <v>42905</v>
      </c>
      <c r="K6672" s="143" t="s">
        <v>42906</v>
      </c>
      <c r="L6672" s="145" t="s">
        <v>42907</v>
      </c>
      <c r="M6672" s="143"/>
      <c r="N6672" s="12"/>
      <c r="O6672" s="12"/>
      <c r="P6672" s="13">
        <f>IFERROR(__xludf.DUMMYFUNCTION("VALUE(SUBSTITUTE((INDEX(SPLIT(A6672,"",""),1)),""."","","",1))"),55.431136)</f>
        <v>55.431136</v>
      </c>
      <c r="Q6672" s="13">
        <f>IFERROR(__xludf.DUMMYFUNCTION("VALUE(SUBSTITUTE((INDEX(SPLIT(A6672,"",""),2)),""."","","",1))"),37.544997)</f>
        <v>37.544997</v>
      </c>
      <c r="R6672" s="14" t="b">
        <f t="shared" si="1"/>
        <v>0</v>
      </c>
      <c r="S6672" s="14" t="str">
        <f t="shared" si="2"/>
        <v>55.431136,37.544997</v>
      </c>
      <c r="T6672" s="12"/>
    </row>
    <row r="6673">
      <c r="A6673" s="139" t="s">
        <v>42908</v>
      </c>
      <c r="B6673" s="140" t="s">
        <v>42909</v>
      </c>
      <c r="C6673" s="140" t="s">
        <v>42910</v>
      </c>
      <c r="D6673" s="140" t="s">
        <v>33342</v>
      </c>
      <c r="E6673" s="141" t="s">
        <v>42911</v>
      </c>
      <c r="F6673" s="139" t="s">
        <v>3760</v>
      </c>
      <c r="G6673" s="139" t="s">
        <v>33344</v>
      </c>
      <c r="H6673" s="139"/>
      <c r="I6673" s="140"/>
      <c r="J6673" s="140" t="s">
        <v>42912</v>
      </c>
      <c r="K6673" s="140" t="s">
        <v>42913</v>
      </c>
      <c r="L6673" s="140"/>
      <c r="M6673" s="140"/>
      <c r="N6673" s="12"/>
      <c r="O6673" s="12"/>
      <c r="P6673" s="13">
        <f>IFERROR(__xludf.DUMMYFUNCTION("VALUE(SUBSTITUTE((INDEX(SPLIT(A6673,"",""),1)),""."","","",1))"),55.418124)</f>
        <v>55.418124</v>
      </c>
      <c r="Q6673" s="13">
        <f>IFERROR(__xludf.DUMMYFUNCTION("VALUE(SUBSTITUTE((INDEX(SPLIT(A6673,"",""),2)),""."","","",1))"),37.478828)</f>
        <v>37.478828</v>
      </c>
      <c r="R6673" s="14" t="b">
        <f t="shared" si="1"/>
        <v>0</v>
      </c>
      <c r="S6673" s="14" t="str">
        <f t="shared" si="2"/>
        <v>55.418124,37.478828</v>
      </c>
      <c r="T6673" s="12"/>
    </row>
    <row r="6674">
      <c r="A6674" s="136" t="s">
        <v>42914</v>
      </c>
      <c r="B6674" s="137" t="s">
        <v>42915</v>
      </c>
      <c r="C6674" s="137" t="s">
        <v>42916</v>
      </c>
      <c r="D6674" s="137" t="s">
        <v>33342</v>
      </c>
      <c r="E6674" s="138" t="s">
        <v>42917</v>
      </c>
      <c r="F6674" s="136" t="s">
        <v>3760</v>
      </c>
      <c r="G6674" s="136" t="s">
        <v>33344</v>
      </c>
      <c r="H6674" s="136"/>
      <c r="I6674" s="137"/>
      <c r="J6674" s="137" t="s">
        <v>42918</v>
      </c>
      <c r="K6674" s="137" t="s">
        <v>42919</v>
      </c>
      <c r="L6674" s="137"/>
      <c r="M6674" s="137"/>
      <c r="N6674" s="12"/>
      <c r="O6674" s="12"/>
      <c r="P6674" s="13">
        <f>IFERROR(__xludf.DUMMYFUNCTION("VALUE(SUBSTITUTE((INDEX(SPLIT(A6674,"",""),1)),""."","","",1))"),56.155914)</f>
        <v>56.155914</v>
      </c>
      <c r="Q6674" s="13">
        <f>IFERROR(__xludf.DUMMYFUNCTION("VALUE(SUBSTITUTE((INDEX(SPLIT(A6674,"",""),2)),""."","","",1))"),37.989035)</f>
        <v>37.989035</v>
      </c>
      <c r="R6674" s="14" t="b">
        <f t="shared" si="1"/>
        <v>0</v>
      </c>
      <c r="S6674" s="14" t="str">
        <f t="shared" si="2"/>
        <v>56.155914,37.989035</v>
      </c>
      <c r="T6674" s="12"/>
    </row>
    <row r="6675">
      <c r="A6675" s="146" t="s">
        <v>42920</v>
      </c>
      <c r="B6675" s="147" t="s">
        <v>42921</v>
      </c>
      <c r="C6675" s="147" t="s">
        <v>42922</v>
      </c>
      <c r="D6675" s="147" t="s">
        <v>33342</v>
      </c>
      <c r="E6675" s="148" t="s">
        <v>42923</v>
      </c>
      <c r="F6675" s="146" t="s">
        <v>3760</v>
      </c>
      <c r="G6675" s="146" t="s">
        <v>33344</v>
      </c>
      <c r="H6675" s="146"/>
      <c r="I6675" s="151" t="s">
        <v>42924</v>
      </c>
      <c r="J6675" s="147" t="s">
        <v>42925</v>
      </c>
      <c r="K6675" s="147" t="s">
        <v>42926</v>
      </c>
      <c r="L6675" s="149" t="s">
        <v>42927</v>
      </c>
      <c r="M6675" s="147"/>
      <c r="N6675" s="12"/>
      <c r="O6675" s="12"/>
      <c r="P6675" s="13">
        <f>IFERROR(__xludf.DUMMYFUNCTION("VALUE(SUBSTITUTE((INDEX(SPLIT(A6675,"",""),1)),""."","","",1))"),56.024929)</f>
        <v>56.024929</v>
      </c>
      <c r="Q6675" s="13">
        <f>IFERROR(__xludf.DUMMYFUNCTION("VALUE(SUBSTITUTE((INDEX(SPLIT(A6675,"",""),2)),""."","","",1))"),37.470419)</f>
        <v>37.470419</v>
      </c>
      <c r="R6675" s="14" t="b">
        <f t="shared" si="1"/>
        <v>0</v>
      </c>
      <c r="S6675" s="14" t="str">
        <f t="shared" si="2"/>
        <v>56.024929,37.470419</v>
      </c>
      <c r="T6675" s="12"/>
    </row>
    <row r="6676">
      <c r="A6676" s="136" t="s">
        <v>42928</v>
      </c>
      <c r="B6676" s="137" t="s">
        <v>42929</v>
      </c>
      <c r="C6676" s="137" t="s">
        <v>42930</v>
      </c>
      <c r="D6676" s="137" t="s">
        <v>33342</v>
      </c>
      <c r="E6676" s="138" t="s">
        <v>42931</v>
      </c>
      <c r="F6676" s="136" t="s">
        <v>3760</v>
      </c>
      <c r="G6676" s="136" t="s">
        <v>33344</v>
      </c>
      <c r="H6676" s="136"/>
      <c r="I6676" s="137"/>
      <c r="J6676" s="137" t="s">
        <v>42932</v>
      </c>
      <c r="K6676" s="137" t="s">
        <v>42933</v>
      </c>
      <c r="L6676" s="137"/>
      <c r="M6676" s="137"/>
      <c r="N6676" s="12"/>
      <c r="O6676" s="12"/>
      <c r="P6676" s="13">
        <f>IFERROR(__xludf.DUMMYFUNCTION("VALUE(SUBSTITUTE((INDEX(SPLIT(A6676,"",""),1)),""."","","",1))"),55.968171)</f>
        <v>55.968171</v>
      </c>
      <c r="Q6676" s="13">
        <f>IFERROR(__xludf.DUMMYFUNCTION("VALUE(SUBSTITUTE((INDEX(SPLIT(A6676,"",""),2)),""."","","",1))"),37.934723)</f>
        <v>37.934723</v>
      </c>
      <c r="R6676" s="14" t="b">
        <f t="shared" si="1"/>
        <v>0</v>
      </c>
      <c r="S6676" s="14" t="str">
        <f t="shared" si="2"/>
        <v>55.968171,37.934723</v>
      </c>
      <c r="T6676" s="12"/>
    </row>
    <row r="6677">
      <c r="A6677" s="139" t="s">
        <v>42934</v>
      </c>
      <c r="B6677" s="140" t="s">
        <v>42935</v>
      </c>
      <c r="C6677" s="140" t="s">
        <v>42936</v>
      </c>
      <c r="D6677" s="140" t="s">
        <v>33342</v>
      </c>
      <c r="E6677" s="141" t="s">
        <v>42937</v>
      </c>
      <c r="F6677" s="139" t="s">
        <v>3760</v>
      </c>
      <c r="G6677" s="139" t="s">
        <v>33344</v>
      </c>
      <c r="H6677" s="139"/>
      <c r="I6677" s="157" t="s">
        <v>42938</v>
      </c>
      <c r="J6677" s="140" t="s">
        <v>42939</v>
      </c>
      <c r="K6677" s="140" t="s">
        <v>42940</v>
      </c>
      <c r="L6677" s="140"/>
      <c r="M6677" s="154" t="s">
        <v>42941</v>
      </c>
      <c r="N6677" s="12"/>
      <c r="O6677" s="12"/>
      <c r="P6677" s="13">
        <f>IFERROR(__xludf.DUMMYFUNCTION("VALUE(SUBSTITUTE((INDEX(SPLIT(A6677,"",""),1)),""."","","",1))"),55.997301)</f>
        <v>55.997301</v>
      </c>
      <c r="Q6677" s="13">
        <f>IFERROR(__xludf.DUMMYFUNCTION("VALUE(SUBSTITUTE((INDEX(SPLIT(A6677,"",""),2)),""."","","",1))"),37.873224)</f>
        <v>37.873224</v>
      </c>
      <c r="R6677" s="14" t="b">
        <f t="shared" si="1"/>
        <v>0</v>
      </c>
      <c r="S6677" s="14" t="str">
        <f t="shared" si="2"/>
        <v>55.997301,37.873224</v>
      </c>
      <c r="T6677" s="12"/>
    </row>
    <row r="6678">
      <c r="A6678" s="136" t="s">
        <v>42942</v>
      </c>
      <c r="B6678" s="137" t="s">
        <v>42943</v>
      </c>
      <c r="C6678" s="137" t="s">
        <v>42944</v>
      </c>
      <c r="D6678" s="137" t="s">
        <v>33342</v>
      </c>
      <c r="E6678" s="138" t="s">
        <v>42945</v>
      </c>
      <c r="F6678" s="136" t="s">
        <v>3760</v>
      </c>
      <c r="G6678" s="136" t="s">
        <v>33344</v>
      </c>
      <c r="H6678" s="136"/>
      <c r="I6678" s="137"/>
      <c r="J6678" s="137" t="s">
        <v>42946</v>
      </c>
      <c r="K6678" s="137" t="s">
        <v>42947</v>
      </c>
      <c r="L6678" s="137"/>
      <c r="M6678" s="153" t="s">
        <v>42948</v>
      </c>
      <c r="N6678" s="12"/>
      <c r="O6678" s="12"/>
      <c r="P6678" s="13">
        <f>IFERROR(__xludf.DUMMYFUNCTION("VALUE(SUBSTITUTE((INDEX(SPLIT(A6678,"",""),1)),""."","","",1))"),55.966937)</f>
        <v>55.966937</v>
      </c>
      <c r="Q6678" s="13">
        <f>IFERROR(__xludf.DUMMYFUNCTION("VALUE(SUBSTITUTE((INDEX(SPLIT(A6678,"",""),2)),""."","","",1))"),37.889097)</f>
        <v>37.889097</v>
      </c>
      <c r="R6678" s="14" t="b">
        <f t="shared" si="1"/>
        <v>0</v>
      </c>
      <c r="S6678" s="14" t="str">
        <f t="shared" si="2"/>
        <v>55.966937,37.889097</v>
      </c>
      <c r="T6678" s="12"/>
    </row>
    <row r="6679">
      <c r="A6679" s="146" t="s">
        <v>42949</v>
      </c>
      <c r="B6679" s="147" t="s">
        <v>789</v>
      </c>
      <c r="C6679" s="147" t="s">
        <v>42950</v>
      </c>
      <c r="D6679" s="147" t="s">
        <v>33342</v>
      </c>
      <c r="E6679" s="148" t="s">
        <v>42951</v>
      </c>
      <c r="F6679" s="146" t="s">
        <v>3760</v>
      </c>
      <c r="G6679" s="146" t="s">
        <v>33344</v>
      </c>
      <c r="H6679" s="146"/>
      <c r="I6679" s="147"/>
      <c r="J6679" s="147" t="s">
        <v>42952</v>
      </c>
      <c r="K6679" s="147" t="s">
        <v>42953</v>
      </c>
      <c r="L6679" s="149" t="s">
        <v>42954</v>
      </c>
      <c r="M6679" s="147"/>
      <c r="N6679" s="12"/>
      <c r="O6679" s="12"/>
      <c r="P6679" s="13">
        <f>IFERROR(__xludf.DUMMYFUNCTION("VALUE(SUBSTITUTE((INDEX(SPLIT(A6679,"",""),1)),""."","","",1))"),56.141718)</f>
        <v>56.141718</v>
      </c>
      <c r="Q6679" s="13">
        <f>IFERROR(__xludf.DUMMYFUNCTION("VALUE(SUBSTITUTE((INDEX(SPLIT(A6679,"",""),2)),""."","","",1))"),38.004863)</f>
        <v>38.004863</v>
      </c>
      <c r="R6679" s="14" t="b">
        <f t="shared" si="1"/>
        <v>0</v>
      </c>
      <c r="S6679" s="14" t="str">
        <f t="shared" si="2"/>
        <v>56.141718,38.004863</v>
      </c>
      <c r="T6679" s="12"/>
    </row>
    <row r="6680">
      <c r="A6680" s="142" t="s">
        <v>42955</v>
      </c>
      <c r="B6680" s="143" t="s">
        <v>42956</v>
      </c>
      <c r="C6680" s="143" t="s">
        <v>42957</v>
      </c>
      <c r="D6680" s="143" t="s">
        <v>33342</v>
      </c>
      <c r="E6680" s="144" t="s">
        <v>42958</v>
      </c>
      <c r="F6680" s="142" t="s">
        <v>3760</v>
      </c>
      <c r="G6680" s="142" t="s">
        <v>33344</v>
      </c>
      <c r="H6680" s="142"/>
      <c r="I6680" s="143"/>
      <c r="J6680" s="143" t="s">
        <v>42959</v>
      </c>
      <c r="K6680" s="143" t="s">
        <v>42960</v>
      </c>
      <c r="L6680" s="145" t="s">
        <v>42961</v>
      </c>
      <c r="M6680" s="143"/>
      <c r="N6680" s="12"/>
      <c r="O6680" s="12"/>
      <c r="P6680" s="13">
        <f>IFERROR(__xludf.DUMMYFUNCTION("VALUE(SUBSTITUTE((INDEX(SPLIT(A6680,"",""),1)),""."","","",1))"),55.970131)</f>
        <v>55.970131</v>
      </c>
      <c r="Q6680" s="13">
        <f>IFERROR(__xludf.DUMMYFUNCTION("VALUE(SUBSTITUTE((INDEX(SPLIT(A6680,"",""),2)),""."","","",1))"),37.931255)</f>
        <v>37.931255</v>
      </c>
      <c r="R6680" s="14" t="b">
        <f t="shared" si="1"/>
        <v>0</v>
      </c>
      <c r="S6680" s="14" t="str">
        <f t="shared" si="2"/>
        <v>55.970131,37.931255</v>
      </c>
      <c r="T6680" s="12"/>
    </row>
    <row r="6681">
      <c r="A6681" s="139" t="s">
        <v>42962</v>
      </c>
      <c r="B6681" s="140" t="s">
        <v>42963</v>
      </c>
      <c r="C6681" s="140" t="s">
        <v>42964</v>
      </c>
      <c r="D6681" s="140" t="s">
        <v>33342</v>
      </c>
      <c r="E6681" s="141" t="s">
        <v>42965</v>
      </c>
      <c r="F6681" s="139" t="s">
        <v>3760</v>
      </c>
      <c r="G6681" s="139" t="s">
        <v>33344</v>
      </c>
      <c r="H6681" s="139"/>
      <c r="I6681" s="140"/>
      <c r="J6681" s="140" t="s">
        <v>42966</v>
      </c>
      <c r="K6681" s="140" t="s">
        <v>42967</v>
      </c>
      <c r="L6681" s="140"/>
      <c r="M6681" s="140"/>
      <c r="N6681" s="12"/>
      <c r="O6681" s="12"/>
      <c r="P6681" s="13">
        <f>IFERROR(__xludf.DUMMYFUNCTION("VALUE(SUBSTITUTE((INDEX(SPLIT(A6681,"",""),1)),""."","","",1))"),56.107649)</f>
        <v>56.107649</v>
      </c>
      <c r="Q6681" s="13">
        <f>IFERROR(__xludf.DUMMYFUNCTION("VALUE(SUBSTITUTE((INDEX(SPLIT(A6681,"",""),2)),""."","","",1))"),38.143374)</f>
        <v>38.143374</v>
      </c>
      <c r="R6681" s="14" t="b">
        <f t="shared" si="1"/>
        <v>0</v>
      </c>
      <c r="S6681" s="14" t="str">
        <f t="shared" si="2"/>
        <v>56.107649,38.143374</v>
      </c>
      <c r="T6681" s="12"/>
    </row>
    <row r="6682">
      <c r="A6682" s="136" t="s">
        <v>42968</v>
      </c>
      <c r="B6682" s="137" t="s">
        <v>42969</v>
      </c>
      <c r="C6682" s="137" t="s">
        <v>42970</v>
      </c>
      <c r="D6682" s="137" t="s">
        <v>33342</v>
      </c>
      <c r="E6682" s="138" t="s">
        <v>42971</v>
      </c>
      <c r="F6682" s="136" t="s">
        <v>3760</v>
      </c>
      <c r="G6682" s="136" t="s">
        <v>33344</v>
      </c>
      <c r="H6682" s="136"/>
      <c r="I6682" s="137"/>
      <c r="J6682" s="137" t="s">
        <v>42972</v>
      </c>
      <c r="K6682" s="137" t="s">
        <v>42973</v>
      </c>
      <c r="L6682" s="137"/>
      <c r="M6682" s="137"/>
      <c r="N6682" s="12"/>
      <c r="O6682" s="12"/>
      <c r="P6682" s="13">
        <f>IFERROR(__xludf.DUMMYFUNCTION("VALUE(SUBSTITUTE((INDEX(SPLIT(A6682,"",""),1)),""."","","",1))"),56.158391)</f>
        <v>56.158391</v>
      </c>
      <c r="Q6682" s="13">
        <f>IFERROR(__xludf.DUMMYFUNCTION("VALUE(SUBSTITUTE((INDEX(SPLIT(A6682,"",""),2)),""."","","",1))"),37.833411)</f>
        <v>37.833411</v>
      </c>
      <c r="R6682" s="14" t="b">
        <f t="shared" si="1"/>
        <v>0</v>
      </c>
      <c r="S6682" s="14" t="str">
        <f t="shared" si="2"/>
        <v>56.158391,37.833411</v>
      </c>
      <c r="T6682" s="12"/>
    </row>
    <row r="6683">
      <c r="A6683" s="139" t="s">
        <v>42974</v>
      </c>
      <c r="B6683" s="140" t="s">
        <v>42975</v>
      </c>
      <c r="C6683" s="140" t="s">
        <v>42976</v>
      </c>
      <c r="D6683" s="140" t="s">
        <v>33342</v>
      </c>
      <c r="E6683" s="141" t="s">
        <v>42977</v>
      </c>
      <c r="F6683" s="139" t="s">
        <v>3760</v>
      </c>
      <c r="G6683" s="139" t="s">
        <v>33344</v>
      </c>
      <c r="H6683" s="139"/>
      <c r="I6683" s="140"/>
      <c r="J6683" s="140" t="s">
        <v>42978</v>
      </c>
      <c r="K6683" s="140" t="s">
        <v>42979</v>
      </c>
      <c r="L6683" s="140"/>
      <c r="M6683" s="154" t="s">
        <v>42980</v>
      </c>
      <c r="N6683" s="12"/>
      <c r="O6683" s="12"/>
      <c r="P6683" s="13">
        <f>IFERROR(__xludf.DUMMYFUNCTION("VALUE(SUBSTITUTE((INDEX(SPLIT(A6683,"",""),1)),""."","","",1))"),55.994934)</f>
        <v>55.994934</v>
      </c>
      <c r="Q6683" s="13">
        <f>IFERROR(__xludf.DUMMYFUNCTION("VALUE(SUBSTITUTE((INDEX(SPLIT(A6683,"",""),2)),""."","","",1))"),37.854799)</f>
        <v>37.854799</v>
      </c>
      <c r="R6683" s="14" t="b">
        <f t="shared" si="1"/>
        <v>0</v>
      </c>
      <c r="S6683" s="14" t="str">
        <f t="shared" si="2"/>
        <v>55.994934,37.854799</v>
      </c>
      <c r="T6683" s="12"/>
    </row>
    <row r="6684">
      <c r="A6684" s="142" t="s">
        <v>42981</v>
      </c>
      <c r="B6684" s="143" t="s">
        <v>42982</v>
      </c>
      <c r="C6684" s="143" t="s">
        <v>42983</v>
      </c>
      <c r="D6684" s="143" t="s">
        <v>33342</v>
      </c>
      <c r="E6684" s="144" t="s">
        <v>42984</v>
      </c>
      <c r="F6684" s="142" t="s">
        <v>3760</v>
      </c>
      <c r="G6684" s="142" t="s">
        <v>33344</v>
      </c>
      <c r="H6684" s="142"/>
      <c r="I6684" s="143"/>
      <c r="J6684" s="143" t="s">
        <v>42985</v>
      </c>
      <c r="K6684" s="143" t="s">
        <v>42986</v>
      </c>
      <c r="L6684" s="152" t="s">
        <v>42987</v>
      </c>
      <c r="M6684" s="143"/>
      <c r="N6684" s="12"/>
      <c r="O6684" s="12"/>
      <c r="P6684" s="13">
        <f>IFERROR(__xludf.DUMMYFUNCTION("VALUE(SUBSTITUTE((INDEX(SPLIT(A6684,"",""),1)),""."","","",1))"),55.542151)</f>
        <v>55.542151</v>
      </c>
      <c r="Q6684" s="13">
        <f>IFERROR(__xludf.DUMMYFUNCTION("VALUE(SUBSTITUTE((INDEX(SPLIT(A6684,"",""),2)),""."","","",1))"),38.014547)</f>
        <v>38.014547</v>
      </c>
      <c r="R6684" s="14" t="b">
        <f t="shared" si="1"/>
        <v>0</v>
      </c>
      <c r="S6684" s="14" t="str">
        <f t="shared" si="2"/>
        <v>55.542151,38.014547</v>
      </c>
      <c r="T6684" s="12"/>
    </row>
    <row r="6685">
      <c r="A6685" s="146" t="s">
        <v>42988</v>
      </c>
      <c r="B6685" s="147" t="s">
        <v>42989</v>
      </c>
      <c r="C6685" s="147" t="s">
        <v>42990</v>
      </c>
      <c r="D6685" s="147" t="s">
        <v>33342</v>
      </c>
      <c r="E6685" s="148" t="s">
        <v>42991</v>
      </c>
      <c r="F6685" s="146" t="s">
        <v>3760</v>
      </c>
      <c r="G6685" s="146" t="s">
        <v>33344</v>
      </c>
      <c r="H6685" s="146"/>
      <c r="I6685" s="147"/>
      <c r="J6685" s="147" t="s">
        <v>42992</v>
      </c>
      <c r="K6685" s="147" t="s">
        <v>42993</v>
      </c>
      <c r="L6685" s="149" t="s">
        <v>42994</v>
      </c>
      <c r="M6685" s="147"/>
      <c r="N6685" s="12"/>
      <c r="O6685" s="12"/>
      <c r="P6685" s="13">
        <f>IFERROR(__xludf.DUMMYFUNCTION("VALUE(SUBSTITUTE((INDEX(SPLIT(A6685,"",""),1)),""."","","",1))"),55.566618)</f>
        <v>55.566618</v>
      </c>
      <c r="Q6685" s="13">
        <f>IFERROR(__xludf.DUMMYFUNCTION("VALUE(SUBSTITUTE((INDEX(SPLIT(A6685,"",""),2)),""."","","",1))"),38.224492)</f>
        <v>38.224492</v>
      </c>
      <c r="R6685" s="14" t="b">
        <f t="shared" si="1"/>
        <v>0</v>
      </c>
      <c r="S6685" s="14" t="str">
        <f t="shared" si="2"/>
        <v>55.566618,38.224492</v>
      </c>
      <c r="T6685" s="12"/>
    </row>
    <row r="6686">
      <c r="A6686" s="142" t="s">
        <v>42995</v>
      </c>
      <c r="B6686" s="143" t="s">
        <v>42996</v>
      </c>
      <c r="C6686" s="143" t="s">
        <v>42997</v>
      </c>
      <c r="D6686" s="143" t="s">
        <v>33342</v>
      </c>
      <c r="E6686" s="144" t="s">
        <v>42998</v>
      </c>
      <c r="F6686" s="142" t="s">
        <v>3760</v>
      </c>
      <c r="G6686" s="142" t="s">
        <v>33344</v>
      </c>
      <c r="H6686" s="142"/>
      <c r="I6686" s="143"/>
      <c r="J6686" s="143" t="s">
        <v>42999</v>
      </c>
      <c r="K6686" s="143" t="s">
        <v>43000</v>
      </c>
      <c r="L6686" s="145" t="s">
        <v>43001</v>
      </c>
      <c r="M6686" s="143"/>
      <c r="N6686" s="12"/>
      <c r="O6686" s="12"/>
      <c r="P6686" s="13">
        <f>IFERROR(__xludf.DUMMYFUNCTION("VALUE(SUBSTITUTE((INDEX(SPLIT(A6686,"",""),1)),""."","","",1))"),55.508305)</f>
        <v>55.508305</v>
      </c>
      <c r="Q6686" s="13">
        <f>IFERROR(__xludf.DUMMYFUNCTION("VALUE(SUBSTITUTE((INDEX(SPLIT(A6686,"",""),2)),""."","","",1))"),38.345235)</f>
        <v>38.345235</v>
      </c>
      <c r="R6686" s="14" t="b">
        <f t="shared" si="1"/>
        <v>0</v>
      </c>
      <c r="S6686" s="14" t="str">
        <f t="shared" si="2"/>
        <v>55.508305,38.345235</v>
      </c>
      <c r="T6686" s="12"/>
    </row>
    <row r="6687">
      <c r="A6687" s="146" t="s">
        <v>43002</v>
      </c>
      <c r="B6687" s="147" t="s">
        <v>43003</v>
      </c>
      <c r="C6687" s="147" t="s">
        <v>43004</v>
      </c>
      <c r="D6687" s="147" t="s">
        <v>33342</v>
      </c>
      <c r="E6687" s="148" t="s">
        <v>43005</v>
      </c>
      <c r="F6687" s="146" t="s">
        <v>3760</v>
      </c>
      <c r="G6687" s="146" t="s">
        <v>33344</v>
      </c>
      <c r="H6687" s="146"/>
      <c r="I6687" s="147"/>
      <c r="J6687" s="147" t="s">
        <v>43006</v>
      </c>
      <c r="K6687" s="147" t="s">
        <v>43007</v>
      </c>
      <c r="L6687" s="149" t="s">
        <v>43008</v>
      </c>
      <c r="M6687" s="147"/>
      <c r="N6687" s="12"/>
      <c r="O6687" s="12"/>
      <c r="P6687" s="13">
        <f>IFERROR(__xludf.DUMMYFUNCTION("VALUE(SUBSTITUTE((INDEX(SPLIT(A6687,"",""),1)),""."","","",1))"),55.62977)</f>
        <v>55.62977</v>
      </c>
      <c r="Q6687" s="13">
        <f>IFERROR(__xludf.DUMMYFUNCTION("VALUE(SUBSTITUTE((INDEX(SPLIT(A6687,"",""),2)),""."","","",1))"),38.107343)</f>
        <v>38.107343</v>
      </c>
      <c r="R6687" s="14" t="b">
        <f t="shared" si="1"/>
        <v>0</v>
      </c>
      <c r="S6687" s="14" t="str">
        <f t="shared" si="2"/>
        <v>55.62977,38.107343</v>
      </c>
      <c r="T6687" s="12"/>
    </row>
    <row r="6688">
      <c r="A6688" s="142" t="s">
        <v>43009</v>
      </c>
      <c r="B6688" s="143" t="s">
        <v>43010</v>
      </c>
      <c r="C6688" s="143" t="s">
        <v>43011</v>
      </c>
      <c r="D6688" s="143" t="s">
        <v>33342</v>
      </c>
      <c r="E6688" s="144" t="s">
        <v>43012</v>
      </c>
      <c r="F6688" s="142" t="s">
        <v>3760</v>
      </c>
      <c r="G6688" s="142" t="s">
        <v>33344</v>
      </c>
      <c r="H6688" s="142"/>
      <c r="I6688" s="143"/>
      <c r="J6688" s="143" t="s">
        <v>43013</v>
      </c>
      <c r="K6688" s="143" t="s">
        <v>43014</v>
      </c>
      <c r="L6688" s="145" t="s">
        <v>43015</v>
      </c>
      <c r="M6688" s="143"/>
      <c r="N6688" s="12"/>
      <c r="O6688" s="12"/>
      <c r="P6688" s="13">
        <f>IFERROR(__xludf.DUMMYFUNCTION("VALUE(SUBSTITUTE((INDEX(SPLIT(A6688,"",""),1)),""."","","",1))"),55.656245)</f>
        <v>55.656245</v>
      </c>
      <c r="Q6688" s="13">
        <f>IFERROR(__xludf.DUMMYFUNCTION("VALUE(SUBSTITUTE((INDEX(SPLIT(A6688,"",""),2)),""."","","",1))"),38.080735)</f>
        <v>38.080735</v>
      </c>
      <c r="R6688" s="14" t="b">
        <f t="shared" si="1"/>
        <v>0</v>
      </c>
      <c r="S6688" s="14" t="str">
        <f t="shared" si="2"/>
        <v>55.656245,38.080735</v>
      </c>
      <c r="T6688" s="12"/>
    </row>
    <row r="6689">
      <c r="A6689" s="139" t="s">
        <v>43016</v>
      </c>
      <c r="B6689" s="140" t="s">
        <v>43017</v>
      </c>
      <c r="C6689" s="140" t="s">
        <v>43018</v>
      </c>
      <c r="D6689" s="140" t="s">
        <v>33342</v>
      </c>
      <c r="E6689" s="141" t="s">
        <v>43019</v>
      </c>
      <c r="F6689" s="139" t="s">
        <v>3760</v>
      </c>
      <c r="G6689" s="139" t="s">
        <v>33344</v>
      </c>
      <c r="H6689" s="139"/>
      <c r="I6689" s="140"/>
      <c r="J6689" s="140" t="s">
        <v>43020</v>
      </c>
      <c r="K6689" s="140" t="s">
        <v>43021</v>
      </c>
      <c r="L6689" s="140"/>
      <c r="M6689" s="140"/>
      <c r="N6689" s="12"/>
      <c r="O6689" s="12"/>
      <c r="P6689" s="13">
        <f>IFERROR(__xludf.DUMMYFUNCTION("VALUE(SUBSTITUTE((INDEX(SPLIT(A6689,"",""),1)),""."","","",1))"),55.437654)</f>
        <v>55.437654</v>
      </c>
      <c r="Q6689" s="13">
        <f>IFERROR(__xludf.DUMMYFUNCTION("VALUE(SUBSTITUTE((INDEX(SPLIT(A6689,"",""),2)),""."","","",1))"),38.177124)</f>
        <v>38.177124</v>
      </c>
      <c r="R6689" s="14" t="b">
        <f t="shared" si="1"/>
        <v>0</v>
      </c>
      <c r="S6689" s="14" t="str">
        <f t="shared" si="2"/>
        <v>55.437654,38.177124</v>
      </c>
      <c r="T6689" s="12"/>
    </row>
    <row r="6690">
      <c r="A6690" s="136" t="s">
        <v>43022</v>
      </c>
      <c r="B6690" s="137" t="s">
        <v>43023</v>
      </c>
      <c r="C6690" s="137" t="s">
        <v>43024</v>
      </c>
      <c r="D6690" s="137" t="s">
        <v>33342</v>
      </c>
      <c r="E6690" s="138" t="s">
        <v>43025</v>
      </c>
      <c r="F6690" s="136" t="s">
        <v>3760</v>
      </c>
      <c r="G6690" s="136" t="s">
        <v>33344</v>
      </c>
      <c r="H6690" s="136"/>
      <c r="I6690" s="137"/>
      <c r="J6690" s="137" t="s">
        <v>43026</v>
      </c>
      <c r="K6690" s="137" t="s">
        <v>43027</v>
      </c>
      <c r="L6690" s="137"/>
      <c r="M6690" s="137"/>
      <c r="N6690" s="12"/>
      <c r="O6690" s="12"/>
      <c r="P6690" s="13">
        <f>IFERROR(__xludf.DUMMYFUNCTION("VALUE(SUBSTITUTE((INDEX(SPLIT(A6690,"",""),1)),""."","","",1))"),55.571932)</f>
        <v>55.571932</v>
      </c>
      <c r="Q6690" s="13">
        <f>IFERROR(__xludf.DUMMYFUNCTION("VALUE(SUBSTITUTE((INDEX(SPLIT(A6690,"",""),2)),""."","","",1))"),38.210892)</f>
        <v>38.210892</v>
      </c>
      <c r="R6690" s="14" t="b">
        <f t="shared" si="1"/>
        <v>0</v>
      </c>
      <c r="S6690" s="14" t="str">
        <f t="shared" si="2"/>
        <v>55.571932,38.210892</v>
      </c>
      <c r="T6690" s="12"/>
    </row>
    <row r="6691">
      <c r="A6691" s="139" t="s">
        <v>43028</v>
      </c>
      <c r="B6691" s="140" t="s">
        <v>43029</v>
      </c>
      <c r="C6691" s="140" t="s">
        <v>43030</v>
      </c>
      <c r="D6691" s="140" t="s">
        <v>33342</v>
      </c>
      <c r="E6691" s="141" t="s">
        <v>43031</v>
      </c>
      <c r="F6691" s="139" t="s">
        <v>3760</v>
      </c>
      <c r="G6691" s="139" t="s">
        <v>33344</v>
      </c>
      <c r="H6691" s="139"/>
      <c r="I6691" s="140"/>
      <c r="J6691" s="140" t="s">
        <v>43032</v>
      </c>
      <c r="K6691" s="140" t="s">
        <v>43033</v>
      </c>
      <c r="L6691" s="140"/>
      <c r="M6691" s="140"/>
      <c r="N6691" s="12"/>
      <c r="O6691" s="12"/>
      <c r="P6691" s="13">
        <f>IFERROR(__xludf.DUMMYFUNCTION("VALUE(SUBSTITUTE((INDEX(SPLIT(A6691,"",""),1)),""."","","",1))"),55.587499)</f>
        <v>55.587499</v>
      </c>
      <c r="Q6691" s="13">
        <f>IFERROR(__xludf.DUMMYFUNCTION("VALUE(SUBSTITUTE((INDEX(SPLIT(A6691,"",""),2)),""."","","",1))"),38.469337)</f>
        <v>38.469337</v>
      </c>
      <c r="R6691" s="14" t="b">
        <f t="shared" si="1"/>
        <v>0</v>
      </c>
      <c r="S6691" s="14" t="str">
        <f t="shared" si="2"/>
        <v>55.587499,38.469337</v>
      </c>
      <c r="T6691" s="12"/>
    </row>
    <row r="6692">
      <c r="A6692" s="136" t="s">
        <v>43034</v>
      </c>
      <c r="B6692" s="137" t="s">
        <v>43035</v>
      </c>
      <c r="C6692" s="137" t="s">
        <v>43036</v>
      </c>
      <c r="D6692" s="137" t="s">
        <v>33342</v>
      </c>
      <c r="E6692" s="138" t="s">
        <v>43037</v>
      </c>
      <c r="F6692" s="136" t="s">
        <v>3760</v>
      </c>
      <c r="G6692" s="136" t="s">
        <v>33344</v>
      </c>
      <c r="H6692" s="136"/>
      <c r="I6692" s="137"/>
      <c r="J6692" s="137" t="s">
        <v>43038</v>
      </c>
      <c r="K6692" s="137" t="s">
        <v>43039</v>
      </c>
      <c r="L6692" s="137"/>
      <c r="M6692" s="137"/>
      <c r="N6692" s="12"/>
      <c r="O6692" s="12"/>
      <c r="P6692" s="13">
        <f>IFERROR(__xludf.DUMMYFUNCTION("VALUE(SUBSTITUTE((INDEX(SPLIT(A6692,"",""),1)),""."","","",1))"),55.609421)</f>
        <v>55.609421</v>
      </c>
      <c r="Q6692" s="13">
        <f>IFERROR(__xludf.DUMMYFUNCTION("VALUE(SUBSTITUTE((INDEX(SPLIT(A6692,"",""),2)),""."","","",1))"),38.097839)</f>
        <v>38.097839</v>
      </c>
      <c r="R6692" s="14" t="b">
        <f t="shared" si="1"/>
        <v>0</v>
      </c>
      <c r="S6692" s="14" t="str">
        <f t="shared" si="2"/>
        <v>55.609421,38.097839</v>
      </c>
      <c r="T6692" s="12"/>
    </row>
    <row r="6693">
      <c r="A6693" s="139" t="s">
        <v>43040</v>
      </c>
      <c r="B6693" s="140" t="s">
        <v>43041</v>
      </c>
      <c r="C6693" s="140" t="s">
        <v>43042</v>
      </c>
      <c r="D6693" s="140" t="s">
        <v>33342</v>
      </c>
      <c r="E6693" s="141" t="s">
        <v>43043</v>
      </c>
      <c r="F6693" s="139" t="s">
        <v>3760</v>
      </c>
      <c r="G6693" s="139" t="s">
        <v>33344</v>
      </c>
      <c r="H6693" s="139"/>
      <c r="I6693" s="140"/>
      <c r="J6693" s="140" t="s">
        <v>43044</v>
      </c>
      <c r="K6693" s="140" t="s">
        <v>43045</v>
      </c>
      <c r="L6693" s="140"/>
      <c r="M6693" s="154" t="s">
        <v>43046</v>
      </c>
      <c r="N6693" s="12"/>
      <c r="O6693" s="12"/>
      <c r="P6693" s="13">
        <f>IFERROR(__xludf.DUMMYFUNCTION("VALUE(SUBSTITUTE((INDEX(SPLIT(A6693,"",""),1)),""."","","",1))"),55.506913)</f>
        <v>55.506913</v>
      </c>
      <c r="Q6693" s="13">
        <f>IFERROR(__xludf.DUMMYFUNCTION("VALUE(SUBSTITUTE((INDEX(SPLIT(A6693,"",""),2)),""."","","",1))"),37.570644)</f>
        <v>37.570644</v>
      </c>
      <c r="R6693" s="14" t="b">
        <f t="shared" si="1"/>
        <v>0</v>
      </c>
      <c r="S6693" s="14" t="str">
        <f t="shared" si="2"/>
        <v>55.506913,37.570644</v>
      </c>
      <c r="T6693" s="12"/>
    </row>
    <row r="6694">
      <c r="A6694" s="136" t="s">
        <v>43047</v>
      </c>
      <c r="B6694" s="137" t="s">
        <v>43048</v>
      </c>
      <c r="C6694" s="137" t="s">
        <v>43048</v>
      </c>
      <c r="D6694" s="137" t="s">
        <v>33342</v>
      </c>
      <c r="E6694" s="138" t="s">
        <v>43049</v>
      </c>
      <c r="F6694" s="136" t="s">
        <v>3760</v>
      </c>
      <c r="G6694" s="136" t="s">
        <v>33344</v>
      </c>
      <c r="H6694" s="136"/>
      <c r="I6694" s="137"/>
      <c r="J6694" s="137" t="s">
        <v>43050</v>
      </c>
      <c r="K6694" s="137" t="s">
        <v>43051</v>
      </c>
      <c r="L6694" s="137"/>
      <c r="M6694" s="153" t="s">
        <v>43052</v>
      </c>
      <c r="N6694" s="12"/>
      <c r="O6694" s="12"/>
      <c r="P6694" s="13">
        <f>IFERROR(__xludf.DUMMYFUNCTION("VALUE(SUBSTITUTE((INDEX(SPLIT(A6694,"",""),1)),""."","","",1))"),55.609492)</f>
        <v>55.609492</v>
      </c>
      <c r="Q6694" s="13">
        <f>IFERROR(__xludf.DUMMYFUNCTION("VALUE(SUBSTITUTE((INDEX(SPLIT(A6694,"",""),2)),""."","","",1))"),38.092898)</f>
        <v>38.092898</v>
      </c>
      <c r="R6694" s="14" t="b">
        <f t="shared" si="1"/>
        <v>0</v>
      </c>
      <c r="S6694" s="14" t="str">
        <f t="shared" si="2"/>
        <v>55.609492,38.092898</v>
      </c>
      <c r="T6694" s="12"/>
    </row>
    <row r="6695">
      <c r="A6695" s="139" t="s">
        <v>43053</v>
      </c>
      <c r="B6695" s="140" t="s">
        <v>43054</v>
      </c>
      <c r="C6695" s="140" t="s">
        <v>43055</v>
      </c>
      <c r="D6695" s="140" t="s">
        <v>33342</v>
      </c>
      <c r="E6695" s="141" t="s">
        <v>43056</v>
      </c>
      <c r="F6695" s="139" t="s">
        <v>3760</v>
      </c>
      <c r="G6695" s="139" t="s">
        <v>33344</v>
      </c>
      <c r="H6695" s="139"/>
      <c r="I6695" s="140"/>
      <c r="J6695" s="140" t="s">
        <v>43057</v>
      </c>
      <c r="K6695" s="140" t="s">
        <v>43058</v>
      </c>
      <c r="L6695" s="140"/>
      <c r="M6695" s="140"/>
      <c r="N6695" s="12"/>
      <c r="O6695" s="12"/>
      <c r="P6695" s="13">
        <f>IFERROR(__xludf.DUMMYFUNCTION("VALUE(SUBSTITUTE((INDEX(SPLIT(A6695,"",""),1)),""."","","",1))"),55.556553)</f>
        <v>55.556553</v>
      </c>
      <c r="Q6695" s="13">
        <f>IFERROR(__xludf.DUMMYFUNCTION("VALUE(SUBSTITUTE((INDEX(SPLIT(A6695,"",""),2)),""."","","",1))"),38.115122)</f>
        <v>38.115122</v>
      </c>
      <c r="R6695" s="14" t="b">
        <f t="shared" si="1"/>
        <v>0</v>
      </c>
      <c r="S6695" s="14" t="str">
        <f t="shared" si="2"/>
        <v>55.556553,38.115122</v>
      </c>
      <c r="T6695" s="12"/>
    </row>
    <row r="6696">
      <c r="A6696" s="136" t="s">
        <v>43059</v>
      </c>
      <c r="B6696" s="137" t="s">
        <v>43060</v>
      </c>
      <c r="C6696" s="137" t="s">
        <v>43061</v>
      </c>
      <c r="D6696" s="137" t="s">
        <v>33342</v>
      </c>
      <c r="E6696" s="138" t="s">
        <v>43062</v>
      </c>
      <c r="F6696" s="136" t="s">
        <v>3760</v>
      </c>
      <c r="G6696" s="136" t="s">
        <v>33344</v>
      </c>
      <c r="H6696" s="136"/>
      <c r="I6696" s="137"/>
      <c r="J6696" s="137" t="s">
        <v>43063</v>
      </c>
      <c r="K6696" s="137" t="s">
        <v>43064</v>
      </c>
      <c r="L6696" s="137"/>
      <c r="M6696" s="137"/>
      <c r="N6696" s="12"/>
      <c r="O6696" s="12"/>
      <c r="P6696" s="13">
        <f>IFERROR(__xludf.DUMMYFUNCTION("VALUE(SUBSTITUTE((INDEX(SPLIT(A6696,"",""),1)),""."","","",1))"),56.324436)</f>
        <v>56.324436</v>
      </c>
      <c r="Q6696" s="13">
        <f>IFERROR(__xludf.DUMMYFUNCTION("VALUE(SUBSTITUTE((INDEX(SPLIT(A6696,"",""),2)),""."","","",1))"),38.146069)</f>
        <v>38.146069</v>
      </c>
      <c r="R6696" s="14" t="b">
        <f t="shared" si="1"/>
        <v>0</v>
      </c>
      <c r="S6696" s="14" t="str">
        <f t="shared" si="2"/>
        <v>56.324436,38.146069</v>
      </c>
      <c r="T6696" s="12"/>
    </row>
    <row r="6697">
      <c r="A6697" s="146" t="s">
        <v>43065</v>
      </c>
      <c r="B6697" s="147" t="s">
        <v>43066</v>
      </c>
      <c r="C6697" s="147" t="s">
        <v>43067</v>
      </c>
      <c r="D6697" s="147" t="s">
        <v>33342</v>
      </c>
      <c r="E6697" s="148" t="s">
        <v>43068</v>
      </c>
      <c r="F6697" s="146" t="s">
        <v>3760</v>
      </c>
      <c r="G6697" s="146" t="s">
        <v>33344</v>
      </c>
      <c r="H6697" s="146"/>
      <c r="I6697" s="147"/>
      <c r="J6697" s="147" t="s">
        <v>43069</v>
      </c>
      <c r="K6697" s="147" t="s">
        <v>43070</v>
      </c>
      <c r="L6697" s="149" t="s">
        <v>43071</v>
      </c>
      <c r="M6697" s="149" t="s">
        <v>43072</v>
      </c>
      <c r="N6697" s="12"/>
      <c r="O6697" s="12"/>
      <c r="P6697" s="13">
        <f>IFERROR(__xludf.DUMMYFUNCTION("VALUE(SUBSTITUTE((INDEX(SPLIT(A6697,"",""),1)),""."","","",1))"),56.281876)</f>
        <v>56.281876</v>
      </c>
      <c r="Q6697" s="13">
        <f>IFERROR(__xludf.DUMMYFUNCTION("VALUE(SUBSTITUTE((INDEX(SPLIT(A6697,"",""),2)),""."","","",1))"),38.1837)</f>
        <v>38.1837</v>
      </c>
      <c r="R6697" s="14" t="b">
        <f t="shared" si="1"/>
        <v>0</v>
      </c>
      <c r="S6697" s="14" t="str">
        <f t="shared" si="2"/>
        <v>56.281876,38.1837</v>
      </c>
      <c r="T6697" s="12"/>
    </row>
    <row r="6698">
      <c r="A6698" s="142" t="s">
        <v>43073</v>
      </c>
      <c r="B6698" s="143" t="s">
        <v>43074</v>
      </c>
      <c r="C6698" s="143" t="s">
        <v>43075</v>
      </c>
      <c r="D6698" s="143" t="s">
        <v>33342</v>
      </c>
      <c r="E6698" s="144" t="s">
        <v>43076</v>
      </c>
      <c r="F6698" s="142" t="s">
        <v>3760</v>
      </c>
      <c r="G6698" s="142" t="s">
        <v>33344</v>
      </c>
      <c r="H6698" s="142"/>
      <c r="I6698" s="143"/>
      <c r="J6698" s="143" t="s">
        <v>43077</v>
      </c>
      <c r="K6698" s="143" t="s">
        <v>43078</v>
      </c>
      <c r="L6698" s="145" t="s">
        <v>43079</v>
      </c>
      <c r="M6698" s="145" t="s">
        <v>43080</v>
      </c>
      <c r="N6698" s="12"/>
      <c r="O6698" s="12"/>
      <c r="P6698" s="13">
        <f>IFERROR(__xludf.DUMMYFUNCTION("VALUE(SUBSTITUTE((INDEX(SPLIT(A6698,"",""),1)),""."","","",1))"),56.281456)</f>
        <v>56.281456</v>
      </c>
      <c r="Q6698" s="13">
        <f>IFERROR(__xludf.DUMMYFUNCTION("VALUE(SUBSTITUTE((INDEX(SPLIT(A6698,"",""),2)),""."","","",1))"),38.184364)</f>
        <v>38.184364</v>
      </c>
      <c r="R6698" s="14" t="b">
        <f t="shared" si="1"/>
        <v>0</v>
      </c>
      <c r="S6698" s="14" t="str">
        <f t="shared" si="2"/>
        <v>56.281456,38.184364</v>
      </c>
      <c r="T6698" s="12"/>
    </row>
    <row r="6699">
      <c r="A6699" s="146" t="s">
        <v>43081</v>
      </c>
      <c r="B6699" s="147" t="s">
        <v>43082</v>
      </c>
      <c r="C6699" s="147" t="s">
        <v>43083</v>
      </c>
      <c r="D6699" s="147" t="s">
        <v>33342</v>
      </c>
      <c r="E6699" s="148" t="s">
        <v>43084</v>
      </c>
      <c r="F6699" s="146" t="s">
        <v>3760</v>
      </c>
      <c r="G6699" s="146" t="s">
        <v>33344</v>
      </c>
      <c r="H6699" s="146"/>
      <c r="I6699" s="147"/>
      <c r="J6699" s="147" t="s">
        <v>43085</v>
      </c>
      <c r="K6699" s="147" t="s">
        <v>43086</v>
      </c>
      <c r="L6699" s="149" t="s">
        <v>43087</v>
      </c>
      <c r="M6699" s="147"/>
      <c r="N6699" s="12"/>
      <c r="O6699" s="12"/>
      <c r="P6699" s="13">
        <f>IFERROR(__xludf.DUMMYFUNCTION("VALUE(SUBSTITUTE((INDEX(SPLIT(A6699,"",""),1)),""."","","",1))"),56.251987)</f>
        <v>56.251987</v>
      </c>
      <c r="Q6699" s="13">
        <f>IFERROR(__xludf.DUMMYFUNCTION("VALUE(SUBSTITUTE((INDEX(SPLIT(A6699,"",""),2)),""."","","",1))"),37.956992)</f>
        <v>37.956992</v>
      </c>
      <c r="R6699" s="14" t="b">
        <f t="shared" si="1"/>
        <v>0</v>
      </c>
      <c r="S6699" s="14" t="str">
        <f t="shared" si="2"/>
        <v>56.251987,37.956992</v>
      </c>
      <c r="T6699" s="12"/>
    </row>
    <row r="6700">
      <c r="A6700" s="142" t="s">
        <v>43088</v>
      </c>
      <c r="B6700" s="143" t="s">
        <v>43089</v>
      </c>
      <c r="C6700" s="143" t="s">
        <v>43090</v>
      </c>
      <c r="D6700" s="143" t="s">
        <v>33342</v>
      </c>
      <c r="E6700" s="144" t="s">
        <v>43091</v>
      </c>
      <c r="F6700" s="142" t="s">
        <v>3760</v>
      </c>
      <c r="G6700" s="142" t="s">
        <v>33344</v>
      </c>
      <c r="H6700" s="142"/>
      <c r="I6700" s="143"/>
      <c r="J6700" s="143" t="s">
        <v>43092</v>
      </c>
      <c r="K6700" s="143" t="s">
        <v>43093</v>
      </c>
      <c r="L6700" s="152" t="s">
        <v>43094</v>
      </c>
      <c r="M6700" s="143"/>
      <c r="N6700" s="12"/>
      <c r="O6700" s="12"/>
      <c r="P6700" s="13">
        <f>IFERROR(__xludf.DUMMYFUNCTION("VALUE(SUBSTITUTE((INDEX(SPLIT(A6700,"",""),1)),""."","","",1))"),56.288326)</f>
        <v>56.288326</v>
      </c>
      <c r="Q6700" s="13">
        <f>IFERROR(__xludf.DUMMYFUNCTION("VALUE(SUBSTITUTE((INDEX(SPLIT(A6700,"",""),2)),""."","","",1))"),38.12866)</f>
        <v>38.12866</v>
      </c>
      <c r="R6700" s="14" t="b">
        <f t="shared" si="1"/>
        <v>0</v>
      </c>
      <c r="S6700" s="14" t="str">
        <f t="shared" si="2"/>
        <v>56.288326,38.12866</v>
      </c>
      <c r="T6700" s="12"/>
    </row>
    <row r="6701">
      <c r="A6701" s="146" t="s">
        <v>43095</v>
      </c>
      <c r="B6701" s="147" t="s">
        <v>43096</v>
      </c>
      <c r="C6701" s="147" t="s">
        <v>43097</v>
      </c>
      <c r="D6701" s="147" t="s">
        <v>33342</v>
      </c>
      <c r="E6701" s="148" t="s">
        <v>43098</v>
      </c>
      <c r="F6701" s="146" t="s">
        <v>3760</v>
      </c>
      <c r="G6701" s="146" t="s">
        <v>33344</v>
      </c>
      <c r="H6701" s="146"/>
      <c r="I6701" s="147"/>
      <c r="J6701" s="147" t="s">
        <v>43099</v>
      </c>
      <c r="K6701" s="147" t="s">
        <v>43100</v>
      </c>
      <c r="L6701" s="149" t="s">
        <v>43101</v>
      </c>
      <c r="M6701" s="147"/>
      <c r="N6701" s="12"/>
      <c r="O6701" s="12"/>
      <c r="P6701" s="13">
        <f>IFERROR(__xludf.DUMMYFUNCTION("VALUE(SUBSTITUTE((INDEX(SPLIT(A6701,"",""),1)),""."","","",1))"),56.284674)</f>
        <v>56.284674</v>
      </c>
      <c r="Q6701" s="13">
        <f>IFERROR(__xludf.DUMMYFUNCTION("VALUE(SUBSTITUTE((INDEX(SPLIT(A6701,"",""),2)),""."","","",1))"),38.14262)</f>
        <v>38.14262</v>
      </c>
      <c r="R6701" s="14" t="b">
        <f t="shared" si="1"/>
        <v>0</v>
      </c>
      <c r="S6701" s="14" t="str">
        <f t="shared" si="2"/>
        <v>56.284674,38.14262</v>
      </c>
      <c r="T6701" s="12"/>
    </row>
    <row r="6702">
      <c r="A6702" s="136" t="s">
        <v>43102</v>
      </c>
      <c r="B6702" s="137" t="s">
        <v>43103</v>
      </c>
      <c r="C6702" s="137" t="s">
        <v>43104</v>
      </c>
      <c r="D6702" s="137" t="s">
        <v>33342</v>
      </c>
      <c r="E6702" s="138" t="s">
        <v>43105</v>
      </c>
      <c r="F6702" s="136" t="s">
        <v>3760</v>
      </c>
      <c r="G6702" s="136" t="s">
        <v>33344</v>
      </c>
      <c r="H6702" s="136"/>
      <c r="I6702" s="137"/>
      <c r="J6702" s="137" t="s">
        <v>43106</v>
      </c>
      <c r="K6702" s="137" t="s">
        <v>43093</v>
      </c>
      <c r="L6702" s="137"/>
      <c r="M6702" s="137"/>
      <c r="N6702" s="12"/>
      <c r="O6702" s="12"/>
      <c r="P6702" s="13">
        <f>IFERROR(__xludf.DUMMYFUNCTION("VALUE(SUBSTITUTE((INDEX(SPLIT(A6702,"",""),1)),""."","","",1))"),56.327685)</f>
        <v>56.327685</v>
      </c>
      <c r="Q6702" s="13">
        <f>IFERROR(__xludf.DUMMYFUNCTION("VALUE(SUBSTITUTE((INDEX(SPLIT(A6702,"",""),2)),""."","","",1))"),38.158852)</f>
        <v>38.158852</v>
      </c>
      <c r="R6702" s="14" t="b">
        <f t="shared" si="1"/>
        <v>0</v>
      </c>
      <c r="S6702" s="14" t="str">
        <f t="shared" si="2"/>
        <v>56.327685,38.158852</v>
      </c>
      <c r="T6702" s="12"/>
    </row>
    <row r="6703">
      <c r="A6703" s="139" t="s">
        <v>43107</v>
      </c>
      <c r="B6703" s="140" t="s">
        <v>43108</v>
      </c>
      <c r="C6703" s="140" t="s">
        <v>43109</v>
      </c>
      <c r="D6703" s="140" t="s">
        <v>33342</v>
      </c>
      <c r="E6703" s="141" t="s">
        <v>43110</v>
      </c>
      <c r="F6703" s="139" t="s">
        <v>3760</v>
      </c>
      <c r="G6703" s="139" t="s">
        <v>33344</v>
      </c>
      <c r="H6703" s="139"/>
      <c r="I6703" s="157" t="s">
        <v>43111</v>
      </c>
      <c r="J6703" s="140" t="s">
        <v>43112</v>
      </c>
      <c r="K6703" s="140" t="s">
        <v>43113</v>
      </c>
      <c r="L6703" s="140"/>
      <c r="M6703" s="154" t="s">
        <v>43114</v>
      </c>
      <c r="N6703" s="12"/>
      <c r="O6703" s="12"/>
      <c r="P6703" s="13">
        <f>IFERROR(__xludf.DUMMYFUNCTION("VALUE(SUBSTITUTE((INDEX(SPLIT(A6703,"",""),1)),""."","","",1))"),54.901963)</f>
        <v>54.901963</v>
      </c>
      <c r="Q6703" s="13">
        <f>IFERROR(__xludf.DUMMYFUNCTION("VALUE(SUBSTITUTE((INDEX(SPLIT(A6703,"",""),2)),""."","","",1))"),37.370958)</f>
        <v>37.370958</v>
      </c>
      <c r="R6703" s="14" t="b">
        <f t="shared" si="1"/>
        <v>0</v>
      </c>
      <c r="S6703" s="14" t="str">
        <f t="shared" si="2"/>
        <v>54.901963,37.370958</v>
      </c>
      <c r="T6703" s="12"/>
    </row>
    <row r="6704">
      <c r="A6704" s="142" t="s">
        <v>43115</v>
      </c>
      <c r="B6704" s="143" t="s">
        <v>43116</v>
      </c>
      <c r="C6704" s="143" t="s">
        <v>43117</v>
      </c>
      <c r="D6704" s="143" t="s">
        <v>33342</v>
      </c>
      <c r="E6704" s="144" t="s">
        <v>43118</v>
      </c>
      <c r="F6704" s="142" t="s">
        <v>3760</v>
      </c>
      <c r="G6704" s="142" t="s">
        <v>33344</v>
      </c>
      <c r="H6704" s="142"/>
      <c r="I6704" s="155" t="s">
        <v>43119</v>
      </c>
      <c r="J6704" s="143" t="s">
        <v>43120</v>
      </c>
      <c r="K6704" s="143" t="s">
        <v>43121</v>
      </c>
      <c r="L6704" s="152" t="s">
        <v>43122</v>
      </c>
      <c r="M6704" s="143"/>
      <c r="N6704" s="12"/>
      <c r="O6704" s="12"/>
      <c r="P6704" s="13">
        <f>IFERROR(__xludf.DUMMYFUNCTION("VALUE(SUBSTITUTE((INDEX(SPLIT(A6704,"",""),1)),""."","","",1))"),55.540496)</f>
        <v>55.540496</v>
      </c>
      <c r="Q6704" s="13">
        <f>IFERROR(__xludf.DUMMYFUNCTION("VALUE(SUBSTITUTE((INDEX(SPLIT(A6704,"",""),2)),""."","","",1))"),37.07269)</f>
        <v>37.07269</v>
      </c>
      <c r="R6704" s="14" t="b">
        <f t="shared" si="1"/>
        <v>0</v>
      </c>
      <c r="S6704" s="14" t="str">
        <f t="shared" si="2"/>
        <v>55.540496,37.07269</v>
      </c>
      <c r="T6704" s="12"/>
    </row>
    <row r="6705">
      <c r="A6705" s="139" t="s">
        <v>43123</v>
      </c>
      <c r="B6705" s="140" t="s">
        <v>43124</v>
      </c>
      <c r="C6705" s="140" t="s">
        <v>43125</v>
      </c>
      <c r="D6705" s="140" t="s">
        <v>33342</v>
      </c>
      <c r="E6705" s="141" t="s">
        <v>43126</v>
      </c>
      <c r="F6705" s="139" t="s">
        <v>3760</v>
      </c>
      <c r="G6705" s="139" t="s">
        <v>33344</v>
      </c>
      <c r="H6705" s="139"/>
      <c r="I6705" s="140"/>
      <c r="J6705" s="140" t="s">
        <v>43127</v>
      </c>
      <c r="K6705" s="140" t="s">
        <v>43128</v>
      </c>
      <c r="L6705" s="140"/>
      <c r="M6705" s="140"/>
      <c r="N6705" s="12"/>
      <c r="O6705" s="12"/>
      <c r="P6705" s="13">
        <f>IFERROR(__xludf.DUMMYFUNCTION("VALUE(SUBSTITUTE((INDEX(SPLIT(A6705,"",""),1)),""."","","",1))"),55.145164)</f>
        <v>55.145164</v>
      </c>
      <c r="Q6705" s="13">
        <f>IFERROR(__xludf.DUMMYFUNCTION("VALUE(SUBSTITUTE((INDEX(SPLIT(A6705,"",""),2)),""."","","",1))"),37.152065)</f>
        <v>37.152065</v>
      </c>
      <c r="R6705" s="14" t="b">
        <f t="shared" si="1"/>
        <v>0</v>
      </c>
      <c r="S6705" s="14" t="str">
        <f t="shared" si="2"/>
        <v>55.145164,37.152065</v>
      </c>
      <c r="T6705" s="12"/>
    </row>
    <row r="6706">
      <c r="A6706" s="142" t="s">
        <v>43129</v>
      </c>
      <c r="B6706" s="143" t="s">
        <v>43130</v>
      </c>
      <c r="C6706" s="143" t="s">
        <v>43131</v>
      </c>
      <c r="D6706" s="143" t="s">
        <v>33342</v>
      </c>
      <c r="E6706" s="144" t="s">
        <v>43132</v>
      </c>
      <c r="F6706" s="142" t="s">
        <v>3760</v>
      </c>
      <c r="G6706" s="142" t="s">
        <v>33344</v>
      </c>
      <c r="H6706" s="142"/>
      <c r="I6706" s="155" t="s">
        <v>43133</v>
      </c>
      <c r="J6706" s="143" t="s">
        <v>43134</v>
      </c>
      <c r="K6706" s="143" t="s">
        <v>43135</v>
      </c>
      <c r="L6706" s="152" t="s">
        <v>43136</v>
      </c>
      <c r="M6706" s="143"/>
      <c r="N6706" s="12"/>
      <c r="O6706" s="12"/>
      <c r="P6706" s="13">
        <f>IFERROR(__xludf.DUMMYFUNCTION("VALUE(SUBSTITUTE((INDEX(SPLIT(A6706,"",""),1)),""."","","",1))"),56.197038)</f>
        <v>56.197038</v>
      </c>
      <c r="Q6706" s="13">
        <f>IFERROR(__xludf.DUMMYFUNCTION("VALUE(SUBSTITUTE((INDEX(SPLIT(A6706,"",""),2)),""."","","",1))"),36.971576)</f>
        <v>36.971576</v>
      </c>
      <c r="R6706" s="14" t="b">
        <f t="shared" si="1"/>
        <v>0</v>
      </c>
      <c r="S6706" s="14" t="str">
        <f t="shared" si="2"/>
        <v>56.197038,36.971576</v>
      </c>
      <c r="T6706" s="12"/>
    </row>
    <row r="6707">
      <c r="A6707" s="146" t="s">
        <v>43137</v>
      </c>
      <c r="B6707" s="147" t="s">
        <v>43138</v>
      </c>
      <c r="C6707" s="147" t="s">
        <v>43139</v>
      </c>
      <c r="D6707" s="147" t="s">
        <v>33342</v>
      </c>
      <c r="E6707" s="148" t="s">
        <v>43140</v>
      </c>
      <c r="F6707" s="146" t="s">
        <v>3760</v>
      </c>
      <c r="G6707" s="146" t="s">
        <v>33344</v>
      </c>
      <c r="H6707" s="146"/>
      <c r="I6707" s="147"/>
      <c r="J6707" s="147" t="s">
        <v>43141</v>
      </c>
      <c r="K6707" s="147" t="s">
        <v>43142</v>
      </c>
      <c r="L6707" s="149" t="s">
        <v>43143</v>
      </c>
      <c r="M6707" s="149" t="s">
        <v>43144</v>
      </c>
      <c r="N6707" s="12"/>
      <c r="O6707" s="12"/>
      <c r="P6707" s="13">
        <f>IFERROR(__xludf.DUMMYFUNCTION("VALUE(SUBSTITUTE((INDEX(SPLIT(A6707,"",""),1)),""."","","",1))"),56.12551)</f>
        <v>56.12551</v>
      </c>
      <c r="Q6707" s="13">
        <f>IFERROR(__xludf.DUMMYFUNCTION("VALUE(SUBSTITUTE((INDEX(SPLIT(A6707,"",""),2)),""."","","",1))"),37.213941)</f>
        <v>37.213941</v>
      </c>
      <c r="R6707" s="14" t="b">
        <f t="shared" si="1"/>
        <v>0</v>
      </c>
      <c r="S6707" s="14" t="str">
        <f t="shared" si="2"/>
        <v>56.12551,37.213941</v>
      </c>
      <c r="T6707" s="12"/>
    </row>
    <row r="6708">
      <c r="A6708" s="142" t="s">
        <v>43145</v>
      </c>
      <c r="B6708" s="143" t="s">
        <v>43146</v>
      </c>
      <c r="C6708" s="143" t="s">
        <v>43147</v>
      </c>
      <c r="D6708" s="143" t="s">
        <v>33342</v>
      </c>
      <c r="E6708" s="144" t="s">
        <v>43148</v>
      </c>
      <c r="F6708" s="142" t="s">
        <v>3760</v>
      </c>
      <c r="G6708" s="142" t="s">
        <v>33344</v>
      </c>
      <c r="H6708" s="142"/>
      <c r="I6708" s="143"/>
      <c r="J6708" s="143" t="s">
        <v>43149</v>
      </c>
      <c r="K6708" s="143" t="s">
        <v>43150</v>
      </c>
      <c r="L6708" s="145" t="s">
        <v>43151</v>
      </c>
      <c r="M6708" s="143"/>
      <c r="N6708" s="12"/>
      <c r="O6708" s="12"/>
      <c r="P6708" s="13">
        <f>IFERROR(__xludf.DUMMYFUNCTION("VALUE(SUBSTITUTE((INDEX(SPLIT(A6708,"",""),1)),""."","","",1))"),55.578869)</f>
        <v>55.578869</v>
      </c>
      <c r="Q6708" s="13">
        <f>IFERROR(__xludf.DUMMYFUNCTION("VALUE(SUBSTITUTE((INDEX(SPLIT(A6708,"",""),2)),""."","","",1))"),38.241821)</f>
        <v>38.241821</v>
      </c>
      <c r="R6708" s="14" t="b">
        <f t="shared" si="1"/>
        <v>0</v>
      </c>
      <c r="S6708" s="14" t="str">
        <f t="shared" si="2"/>
        <v>55.578869,38.241821</v>
      </c>
      <c r="T6708" s="12"/>
    </row>
    <row r="6709">
      <c r="A6709" s="139" t="s">
        <v>43152</v>
      </c>
      <c r="B6709" s="140" t="s">
        <v>43153</v>
      </c>
      <c r="C6709" s="140" t="s">
        <v>43154</v>
      </c>
      <c r="D6709" s="140" t="s">
        <v>33342</v>
      </c>
      <c r="E6709" s="141" t="s">
        <v>43155</v>
      </c>
      <c r="F6709" s="139" t="s">
        <v>3760</v>
      </c>
      <c r="G6709" s="139" t="s">
        <v>33344</v>
      </c>
      <c r="H6709" s="139"/>
      <c r="I6709" s="140"/>
      <c r="J6709" s="140" t="s">
        <v>43156</v>
      </c>
      <c r="K6709" s="140" t="s">
        <v>43157</v>
      </c>
      <c r="L6709" s="140"/>
      <c r="M6709" s="154" t="s">
        <v>43158</v>
      </c>
      <c r="N6709" s="12"/>
      <c r="O6709" s="12"/>
      <c r="P6709" s="13">
        <f>IFERROR(__xludf.DUMMYFUNCTION("VALUE(SUBSTITUTE((INDEX(SPLIT(A6709,"",""),1)),""."","","",1))"),55.98296)</f>
        <v>55.98296</v>
      </c>
      <c r="Q6709" s="13">
        <f>IFERROR(__xludf.DUMMYFUNCTION("VALUE(SUBSTITUTE((INDEX(SPLIT(A6709,"",""),2)),""."","","",1))"),37.131593)</f>
        <v>37.131593</v>
      </c>
      <c r="R6709" s="14" t="b">
        <f t="shared" si="1"/>
        <v>0</v>
      </c>
      <c r="S6709" s="14" t="str">
        <f t="shared" si="2"/>
        <v>55.98296,37.131593</v>
      </c>
      <c r="T6709" s="12"/>
    </row>
    <row r="6710">
      <c r="A6710" s="136" t="s">
        <v>43159</v>
      </c>
      <c r="B6710" s="137" t="s">
        <v>43160</v>
      </c>
      <c r="C6710" s="137" t="s">
        <v>43161</v>
      </c>
      <c r="D6710" s="137" t="s">
        <v>33342</v>
      </c>
      <c r="E6710" s="138" t="s">
        <v>43162</v>
      </c>
      <c r="F6710" s="136" t="s">
        <v>3760</v>
      </c>
      <c r="G6710" s="136" t="s">
        <v>33344</v>
      </c>
      <c r="H6710" s="136"/>
      <c r="I6710" s="137"/>
      <c r="J6710" s="137" t="s">
        <v>43163</v>
      </c>
      <c r="K6710" s="137" t="s">
        <v>43164</v>
      </c>
      <c r="L6710" s="137"/>
      <c r="M6710" s="137"/>
      <c r="N6710" s="12"/>
      <c r="O6710" s="12"/>
      <c r="P6710" s="13">
        <f>IFERROR(__xludf.DUMMYFUNCTION("VALUE(SUBSTITUTE((INDEX(SPLIT(A6710,"",""),1)),""."","","",1))"),56.225083)</f>
        <v>56.225083</v>
      </c>
      <c r="Q6710" s="13">
        <f>IFERROR(__xludf.DUMMYFUNCTION("VALUE(SUBSTITUTE((INDEX(SPLIT(A6710,"",""),2)),""."","","",1))"),36.93541)</f>
        <v>36.93541</v>
      </c>
      <c r="R6710" s="14" t="b">
        <f t="shared" si="1"/>
        <v>0</v>
      </c>
      <c r="S6710" s="14" t="str">
        <f t="shared" si="2"/>
        <v>56.225083,36.93541</v>
      </c>
      <c r="T6710" s="12"/>
    </row>
    <row r="6711">
      <c r="A6711" s="146" t="s">
        <v>43165</v>
      </c>
      <c r="B6711" s="147" t="s">
        <v>43166</v>
      </c>
      <c r="C6711" s="147" t="s">
        <v>43167</v>
      </c>
      <c r="D6711" s="147" t="s">
        <v>33342</v>
      </c>
      <c r="E6711" s="148" t="s">
        <v>43168</v>
      </c>
      <c r="F6711" s="146" t="s">
        <v>3760</v>
      </c>
      <c r="G6711" s="146" t="s">
        <v>33344</v>
      </c>
      <c r="H6711" s="146"/>
      <c r="I6711" s="151" t="s">
        <v>43169</v>
      </c>
      <c r="J6711" s="147" t="s">
        <v>43170</v>
      </c>
      <c r="K6711" s="147" t="s">
        <v>43171</v>
      </c>
      <c r="L6711" s="150" t="s">
        <v>43172</v>
      </c>
      <c r="M6711" s="147"/>
      <c r="N6711" s="12"/>
      <c r="O6711" s="12"/>
      <c r="P6711" s="13">
        <f>IFERROR(__xludf.DUMMYFUNCTION("VALUE(SUBSTITUTE((INDEX(SPLIT(A6711,"",""),1)),""."","","",1))"),54.895248)</f>
        <v>54.895248</v>
      </c>
      <c r="Q6711" s="13">
        <f>IFERROR(__xludf.DUMMYFUNCTION("VALUE(SUBSTITUTE((INDEX(SPLIT(A6711,"",""),2)),""."","","",1))"),38.04641)</f>
        <v>38.04641</v>
      </c>
      <c r="R6711" s="14" t="b">
        <f t="shared" si="1"/>
        <v>0</v>
      </c>
      <c r="S6711" s="14" t="str">
        <f t="shared" si="2"/>
        <v>54.895248,38.04641</v>
      </c>
      <c r="T6711" s="12"/>
    </row>
    <row r="6712">
      <c r="A6712" s="136" t="s">
        <v>43173</v>
      </c>
      <c r="B6712" s="137" t="s">
        <v>43174</v>
      </c>
      <c r="C6712" s="137" t="s">
        <v>43175</v>
      </c>
      <c r="D6712" s="137" t="s">
        <v>33342</v>
      </c>
      <c r="E6712" s="138" t="s">
        <v>43176</v>
      </c>
      <c r="F6712" s="136" t="s">
        <v>3760</v>
      </c>
      <c r="G6712" s="136" t="s">
        <v>33344</v>
      </c>
      <c r="H6712" s="136"/>
      <c r="I6712" s="156" t="s">
        <v>43177</v>
      </c>
      <c r="J6712" s="137" t="s">
        <v>43178</v>
      </c>
      <c r="K6712" s="137" t="s">
        <v>43179</v>
      </c>
      <c r="L6712" s="137"/>
      <c r="M6712" s="153" t="s">
        <v>5025</v>
      </c>
      <c r="N6712" s="12"/>
      <c r="O6712" s="12"/>
      <c r="P6712" s="13">
        <f>IFERROR(__xludf.DUMMYFUNCTION("VALUE(SUBSTITUTE((INDEX(SPLIT(A6712,"",""),1)),""."","","",1))"),55.889361)</f>
        <v>55.889361</v>
      </c>
      <c r="Q6712" s="13">
        <f>IFERROR(__xludf.DUMMYFUNCTION("VALUE(SUBSTITUTE((INDEX(SPLIT(A6712,"",""),2)),""."","","",1))"),37.444853)</f>
        <v>37.444853</v>
      </c>
      <c r="R6712" s="14" t="b">
        <f t="shared" si="1"/>
        <v>0</v>
      </c>
      <c r="S6712" s="14" t="str">
        <f t="shared" si="2"/>
        <v>55.889361,37.444853</v>
      </c>
      <c r="T6712" s="12"/>
    </row>
    <row r="6713">
      <c r="A6713" s="139" t="s">
        <v>43180</v>
      </c>
      <c r="B6713" s="140" t="s">
        <v>43181</v>
      </c>
      <c r="C6713" s="140" t="s">
        <v>43182</v>
      </c>
      <c r="D6713" s="140" t="s">
        <v>33342</v>
      </c>
      <c r="E6713" s="141" t="s">
        <v>43183</v>
      </c>
      <c r="F6713" s="139" t="s">
        <v>3760</v>
      </c>
      <c r="G6713" s="139" t="s">
        <v>33344</v>
      </c>
      <c r="H6713" s="139"/>
      <c r="I6713" s="140"/>
      <c r="J6713" s="140" t="s">
        <v>43184</v>
      </c>
      <c r="K6713" s="140" t="s">
        <v>43185</v>
      </c>
      <c r="L6713" s="140"/>
      <c r="M6713" s="154" t="s">
        <v>43186</v>
      </c>
      <c r="N6713" s="12"/>
      <c r="O6713" s="12"/>
      <c r="P6713" s="13">
        <f>IFERROR(__xludf.DUMMYFUNCTION("VALUE(SUBSTITUTE((INDEX(SPLIT(A6713,"",""),1)),""."","","",1))"),55.73512)</f>
        <v>55.73512</v>
      </c>
      <c r="Q6713" s="13">
        <f>IFERROR(__xludf.DUMMYFUNCTION("VALUE(SUBSTITUTE((INDEX(SPLIT(A6713,"",""),2)),""."","","",1))"),37.651915)</f>
        <v>37.651915</v>
      </c>
      <c r="R6713" s="14" t="b">
        <f t="shared" si="1"/>
        <v>0</v>
      </c>
      <c r="S6713" s="14" t="str">
        <f t="shared" si="2"/>
        <v>55.73512,37.651915</v>
      </c>
      <c r="T6713" s="12"/>
    </row>
    <row r="6714">
      <c r="A6714" s="142" t="s">
        <v>43187</v>
      </c>
      <c r="B6714" s="143" t="s">
        <v>12428</v>
      </c>
      <c r="C6714" s="143" t="s">
        <v>43188</v>
      </c>
      <c r="D6714" s="143" t="s">
        <v>33342</v>
      </c>
      <c r="E6714" s="144" t="s">
        <v>43189</v>
      </c>
      <c r="F6714" s="142" t="s">
        <v>3760</v>
      </c>
      <c r="G6714" s="142" t="s">
        <v>33344</v>
      </c>
      <c r="H6714" s="142"/>
      <c r="I6714" s="143"/>
      <c r="J6714" s="143" t="s">
        <v>43190</v>
      </c>
      <c r="K6714" s="143" t="s">
        <v>43191</v>
      </c>
      <c r="L6714" s="145" t="s">
        <v>43192</v>
      </c>
      <c r="M6714" s="145" t="s">
        <v>43193</v>
      </c>
      <c r="N6714" s="12"/>
      <c r="O6714" s="12"/>
      <c r="P6714" s="13">
        <f>IFERROR(__xludf.DUMMYFUNCTION("VALUE(SUBSTITUTE((INDEX(SPLIT(A6714,"",""),1)),""."","","",1))"),55.888897)</f>
        <v>55.888897</v>
      </c>
      <c r="Q6714" s="13">
        <f>IFERROR(__xludf.DUMMYFUNCTION("VALUE(SUBSTITUTE((INDEX(SPLIT(A6714,"",""),2)),""."","","",1))"),37.428145)</f>
        <v>37.428145</v>
      </c>
      <c r="R6714" s="14" t="b">
        <f t="shared" si="1"/>
        <v>0</v>
      </c>
      <c r="S6714" s="14" t="str">
        <f t="shared" si="2"/>
        <v>55.888897,37.428145</v>
      </c>
      <c r="T6714" s="12"/>
    </row>
    <row r="6715">
      <c r="A6715" s="146" t="s">
        <v>43194</v>
      </c>
      <c r="B6715" s="147" t="s">
        <v>43195</v>
      </c>
      <c r="C6715" s="147" t="s">
        <v>43196</v>
      </c>
      <c r="D6715" s="147" t="s">
        <v>33342</v>
      </c>
      <c r="E6715" s="148" t="s">
        <v>43197</v>
      </c>
      <c r="F6715" s="146" t="s">
        <v>3760</v>
      </c>
      <c r="G6715" s="146" t="s">
        <v>33344</v>
      </c>
      <c r="H6715" s="146"/>
      <c r="I6715" s="147"/>
      <c r="J6715" s="147" t="s">
        <v>43198</v>
      </c>
      <c r="K6715" s="147" t="s">
        <v>43199</v>
      </c>
      <c r="L6715" s="149" t="s">
        <v>43200</v>
      </c>
      <c r="M6715" s="149" t="s">
        <v>43201</v>
      </c>
      <c r="N6715" s="12"/>
      <c r="O6715" s="12"/>
      <c r="P6715" s="13">
        <f>IFERROR(__xludf.DUMMYFUNCTION("VALUE(SUBSTITUTE((INDEX(SPLIT(A6715,"",""),1)),""."","","",1))"),55.900824)</f>
        <v>55.900824</v>
      </c>
      <c r="Q6715" s="13">
        <f>IFERROR(__xludf.DUMMYFUNCTION("VALUE(SUBSTITUTE((INDEX(SPLIT(A6715,"",""),2)),""."","","",1))"),37.40009)</f>
        <v>37.40009</v>
      </c>
      <c r="R6715" s="14" t="b">
        <f t="shared" si="1"/>
        <v>0</v>
      </c>
      <c r="S6715" s="14" t="str">
        <f t="shared" si="2"/>
        <v>55.900824,37.40009</v>
      </c>
      <c r="T6715" s="12"/>
    </row>
    <row r="6716">
      <c r="A6716" s="142" t="s">
        <v>43202</v>
      </c>
      <c r="B6716" s="143" t="s">
        <v>43203</v>
      </c>
      <c r="C6716" s="143" t="s">
        <v>43204</v>
      </c>
      <c r="D6716" s="143" t="s">
        <v>33342</v>
      </c>
      <c r="E6716" s="144" t="s">
        <v>43205</v>
      </c>
      <c r="F6716" s="142" t="s">
        <v>3760</v>
      </c>
      <c r="G6716" s="142" t="s">
        <v>33344</v>
      </c>
      <c r="H6716" s="142"/>
      <c r="I6716" s="143"/>
      <c r="J6716" s="143" t="s">
        <v>43206</v>
      </c>
      <c r="K6716" s="143" t="s">
        <v>43207</v>
      </c>
      <c r="L6716" s="145" t="s">
        <v>43208</v>
      </c>
      <c r="M6716" s="143"/>
      <c r="N6716" s="12"/>
      <c r="O6716" s="12"/>
      <c r="P6716" s="13">
        <f>IFERROR(__xludf.DUMMYFUNCTION("VALUE(SUBSTITUTE((INDEX(SPLIT(A6716,"",""),1)),""."","","",1))"),56.007343)</f>
        <v>56.007343</v>
      </c>
      <c r="Q6716" s="13">
        <f>IFERROR(__xludf.DUMMYFUNCTION("VALUE(SUBSTITUTE((INDEX(SPLIT(A6716,"",""),2)),""."","","",1))"),37.436346)</f>
        <v>37.436346</v>
      </c>
      <c r="R6716" s="14" t="b">
        <f t="shared" si="1"/>
        <v>0</v>
      </c>
      <c r="S6716" s="14" t="str">
        <f t="shared" si="2"/>
        <v>56.007343,37.436346</v>
      </c>
      <c r="T6716" s="12"/>
    </row>
    <row r="6717">
      <c r="A6717" s="146" t="s">
        <v>43209</v>
      </c>
      <c r="B6717" s="147" t="s">
        <v>43210</v>
      </c>
      <c r="C6717" s="147" t="s">
        <v>43211</v>
      </c>
      <c r="D6717" s="147" t="s">
        <v>33342</v>
      </c>
      <c r="E6717" s="148" t="s">
        <v>43212</v>
      </c>
      <c r="F6717" s="146" t="s">
        <v>3760</v>
      </c>
      <c r="G6717" s="146" t="s">
        <v>33344</v>
      </c>
      <c r="H6717" s="146"/>
      <c r="I6717" s="147"/>
      <c r="J6717" s="147" t="s">
        <v>43213</v>
      </c>
      <c r="K6717" s="147" t="s">
        <v>43214</v>
      </c>
      <c r="L6717" s="150" t="s">
        <v>43215</v>
      </c>
      <c r="M6717" s="147"/>
      <c r="N6717" s="12"/>
      <c r="O6717" s="12"/>
      <c r="P6717" s="13">
        <f>IFERROR(__xludf.DUMMYFUNCTION("VALUE(SUBSTITUTE((INDEX(SPLIT(A6717,"",""),1)),""."","","",1))"),55.900037)</f>
        <v>55.900037</v>
      </c>
      <c r="Q6717" s="13">
        <f>IFERROR(__xludf.DUMMYFUNCTION("VALUE(SUBSTITUTE((INDEX(SPLIT(A6717,"",""),2)),""."","","",1))"),37.444701)</f>
        <v>37.444701</v>
      </c>
      <c r="R6717" s="14" t="b">
        <f t="shared" si="1"/>
        <v>0</v>
      </c>
      <c r="S6717" s="14" t="str">
        <f t="shared" si="2"/>
        <v>55.900037,37.444701</v>
      </c>
      <c r="T6717" s="12"/>
    </row>
    <row r="6718">
      <c r="A6718" s="142" t="s">
        <v>43216</v>
      </c>
      <c r="B6718" s="143" t="s">
        <v>43217</v>
      </c>
      <c r="C6718" s="143" t="s">
        <v>43218</v>
      </c>
      <c r="D6718" s="143" t="s">
        <v>33342</v>
      </c>
      <c r="E6718" s="144" t="s">
        <v>43219</v>
      </c>
      <c r="F6718" s="142" t="s">
        <v>3760</v>
      </c>
      <c r="G6718" s="142" t="s">
        <v>33344</v>
      </c>
      <c r="H6718" s="142"/>
      <c r="I6718" s="143"/>
      <c r="J6718" s="143" t="s">
        <v>43220</v>
      </c>
      <c r="K6718" s="143" t="s">
        <v>43221</v>
      </c>
      <c r="L6718" s="145" t="s">
        <v>43222</v>
      </c>
      <c r="M6718" s="143"/>
      <c r="N6718" s="12"/>
      <c r="O6718" s="12"/>
      <c r="P6718" s="13">
        <f>IFERROR(__xludf.DUMMYFUNCTION("VALUE(SUBSTITUTE((INDEX(SPLIT(A6718,"",""),1)),""."","","",1))"),55.935395)</f>
        <v>55.935395</v>
      </c>
      <c r="Q6718" s="13">
        <f>IFERROR(__xludf.DUMMYFUNCTION("VALUE(SUBSTITUTE((INDEX(SPLIT(A6718,"",""),2)),""."","","",1))"),37.334208)</f>
        <v>37.334208</v>
      </c>
      <c r="R6718" s="14" t="b">
        <f t="shared" si="1"/>
        <v>0</v>
      </c>
      <c r="S6718" s="14" t="str">
        <f t="shared" si="2"/>
        <v>55.935395,37.334208</v>
      </c>
      <c r="T6718" s="12"/>
    </row>
    <row r="6719">
      <c r="A6719" s="139" t="s">
        <v>43223</v>
      </c>
      <c r="B6719" s="140" t="s">
        <v>43224</v>
      </c>
      <c r="C6719" s="140" t="s">
        <v>43225</v>
      </c>
      <c r="D6719" s="140" t="s">
        <v>33342</v>
      </c>
      <c r="E6719" s="141" t="s">
        <v>43226</v>
      </c>
      <c r="F6719" s="139" t="s">
        <v>3760</v>
      </c>
      <c r="G6719" s="139" t="s">
        <v>33344</v>
      </c>
      <c r="H6719" s="139"/>
      <c r="I6719" s="140"/>
      <c r="J6719" s="140" t="s">
        <v>43227</v>
      </c>
      <c r="K6719" s="140" t="s">
        <v>43228</v>
      </c>
      <c r="L6719" s="140"/>
      <c r="M6719" s="140"/>
      <c r="N6719" s="12"/>
      <c r="O6719" s="12"/>
      <c r="P6719" s="13">
        <f>IFERROR(__xludf.DUMMYFUNCTION("VALUE(SUBSTITUTE((INDEX(SPLIT(A6719,"",""),1)),""."","","",1))"),55.891113)</f>
        <v>55.891113</v>
      </c>
      <c r="Q6719" s="13">
        <f>IFERROR(__xludf.DUMMYFUNCTION("VALUE(SUBSTITUTE((INDEX(SPLIT(A6719,"",""),2)),""."","","",1))"),37.421156)</f>
        <v>37.421156</v>
      </c>
      <c r="R6719" s="14" t="b">
        <f t="shared" si="1"/>
        <v>0</v>
      </c>
      <c r="S6719" s="14" t="str">
        <f t="shared" si="2"/>
        <v>55.891113,37.421156</v>
      </c>
      <c r="T6719" s="12"/>
    </row>
    <row r="6720">
      <c r="A6720" s="136" t="s">
        <v>43229</v>
      </c>
      <c r="B6720" s="137" t="s">
        <v>4622</v>
      </c>
      <c r="C6720" s="137" t="s">
        <v>43230</v>
      </c>
      <c r="D6720" s="137" t="s">
        <v>33342</v>
      </c>
      <c r="E6720" s="138" t="s">
        <v>43231</v>
      </c>
      <c r="F6720" s="136" t="s">
        <v>3760</v>
      </c>
      <c r="G6720" s="136" t="s">
        <v>33344</v>
      </c>
      <c r="H6720" s="136"/>
      <c r="I6720" s="137"/>
      <c r="J6720" s="137" t="s">
        <v>43232</v>
      </c>
      <c r="K6720" s="137" t="s">
        <v>43233</v>
      </c>
      <c r="L6720" s="137"/>
      <c r="M6720" s="137"/>
      <c r="N6720" s="12"/>
      <c r="O6720" s="12"/>
      <c r="P6720" s="13">
        <f>IFERROR(__xludf.DUMMYFUNCTION("VALUE(SUBSTITUTE((INDEX(SPLIT(A6720,"",""),1)),""."","","",1))"),55.89881)</f>
        <v>55.89881</v>
      </c>
      <c r="Q6720" s="13">
        <f>IFERROR(__xludf.DUMMYFUNCTION("VALUE(SUBSTITUTE((INDEX(SPLIT(A6720,"",""),2)),""."","","",1))"),37.477633)</f>
        <v>37.477633</v>
      </c>
      <c r="R6720" s="14" t="b">
        <f t="shared" si="1"/>
        <v>0</v>
      </c>
      <c r="S6720" s="14" t="str">
        <f t="shared" si="2"/>
        <v>55.89881,37.477633</v>
      </c>
      <c r="T6720" s="12"/>
    </row>
    <row r="6721">
      <c r="A6721" s="139" t="s">
        <v>43234</v>
      </c>
      <c r="B6721" s="140" t="s">
        <v>43235</v>
      </c>
      <c r="C6721" s="140" t="s">
        <v>43236</v>
      </c>
      <c r="D6721" s="140" t="s">
        <v>33342</v>
      </c>
      <c r="E6721" s="141" t="s">
        <v>43237</v>
      </c>
      <c r="F6721" s="139" t="s">
        <v>3760</v>
      </c>
      <c r="G6721" s="139" t="s">
        <v>33344</v>
      </c>
      <c r="H6721" s="139"/>
      <c r="I6721" s="140"/>
      <c r="J6721" s="140" t="s">
        <v>43238</v>
      </c>
      <c r="K6721" s="140" t="s">
        <v>43239</v>
      </c>
      <c r="L6721" s="140"/>
      <c r="M6721" s="140"/>
      <c r="N6721" s="12"/>
      <c r="O6721" s="12"/>
      <c r="P6721" s="13">
        <f>IFERROR(__xludf.DUMMYFUNCTION("VALUE(SUBSTITUTE((INDEX(SPLIT(A6721,"",""),1)),""."","","",1))"),55.938708)</f>
        <v>55.938708</v>
      </c>
      <c r="Q6721" s="13">
        <f>IFERROR(__xludf.DUMMYFUNCTION("VALUE(SUBSTITUTE((INDEX(SPLIT(A6721,"",""),2)),""."","","",1))"),37.511068)</f>
        <v>37.511068</v>
      </c>
      <c r="R6721" s="14" t="b">
        <f t="shared" si="1"/>
        <v>0</v>
      </c>
      <c r="S6721" s="14" t="str">
        <f t="shared" si="2"/>
        <v>55.938708,37.511068</v>
      </c>
      <c r="T6721" s="12"/>
    </row>
    <row r="6722">
      <c r="A6722" s="136" t="s">
        <v>43240</v>
      </c>
      <c r="B6722" s="137" t="s">
        <v>43241</v>
      </c>
      <c r="C6722" s="137" t="s">
        <v>43242</v>
      </c>
      <c r="D6722" s="137" t="s">
        <v>33342</v>
      </c>
      <c r="E6722" s="138" t="s">
        <v>43243</v>
      </c>
      <c r="F6722" s="136" t="s">
        <v>3760</v>
      </c>
      <c r="G6722" s="136" t="s">
        <v>33344</v>
      </c>
      <c r="H6722" s="136"/>
      <c r="I6722" s="137"/>
      <c r="J6722" s="137" t="s">
        <v>43244</v>
      </c>
      <c r="K6722" s="137" t="s">
        <v>43245</v>
      </c>
      <c r="L6722" s="137"/>
      <c r="M6722" s="137"/>
      <c r="N6722" s="12"/>
      <c r="O6722" s="12"/>
      <c r="P6722" s="13">
        <f>IFERROR(__xludf.DUMMYFUNCTION("VALUE(SUBSTITUTE((INDEX(SPLIT(A6722,"",""),1)),""."","","",1))"),55.946713)</f>
        <v>55.946713</v>
      </c>
      <c r="Q6722" s="13">
        <f>IFERROR(__xludf.DUMMYFUNCTION("VALUE(SUBSTITUTE((INDEX(SPLIT(A6722,"",""),2)),""."","","",1))"),37.336759)</f>
        <v>37.336759</v>
      </c>
      <c r="R6722" s="14" t="b">
        <f t="shared" si="1"/>
        <v>0</v>
      </c>
      <c r="S6722" s="14" t="str">
        <f t="shared" si="2"/>
        <v>55.946713,37.336759</v>
      </c>
      <c r="T6722" s="12"/>
    </row>
    <row r="6723">
      <c r="A6723" s="139" t="s">
        <v>43246</v>
      </c>
      <c r="B6723" s="140" t="s">
        <v>43247</v>
      </c>
      <c r="C6723" s="140" t="s">
        <v>43248</v>
      </c>
      <c r="D6723" s="140" t="s">
        <v>33342</v>
      </c>
      <c r="E6723" s="141" t="s">
        <v>43249</v>
      </c>
      <c r="F6723" s="139" t="s">
        <v>3760</v>
      </c>
      <c r="G6723" s="139" t="s">
        <v>33344</v>
      </c>
      <c r="H6723" s="139"/>
      <c r="I6723" s="140"/>
      <c r="J6723" s="140" t="s">
        <v>43250</v>
      </c>
      <c r="K6723" s="140" t="s">
        <v>43251</v>
      </c>
      <c r="L6723" s="140"/>
      <c r="M6723" s="154" t="s">
        <v>43252</v>
      </c>
      <c r="N6723" s="12"/>
      <c r="O6723" s="12"/>
      <c r="P6723" s="13">
        <f>IFERROR(__xludf.DUMMYFUNCTION("VALUE(SUBSTITUTE((INDEX(SPLIT(A6723,"",""),1)),""."","","",1))"),55.896792)</f>
        <v>55.896792</v>
      </c>
      <c r="Q6723" s="13">
        <f>IFERROR(__xludf.DUMMYFUNCTION("VALUE(SUBSTITUTE((INDEX(SPLIT(A6723,"",""),2)),""."","","",1))"),37.404761)</f>
        <v>37.404761</v>
      </c>
      <c r="R6723" s="14" t="b">
        <f t="shared" si="1"/>
        <v>0</v>
      </c>
      <c r="S6723" s="14" t="str">
        <f t="shared" si="2"/>
        <v>55.896792,37.404761</v>
      </c>
      <c r="T6723" s="12"/>
    </row>
    <row r="6724">
      <c r="A6724" s="142" t="s">
        <v>43253</v>
      </c>
      <c r="B6724" s="143" t="s">
        <v>43254</v>
      </c>
      <c r="C6724" s="143" t="s">
        <v>43255</v>
      </c>
      <c r="D6724" s="143" t="s">
        <v>33342</v>
      </c>
      <c r="E6724" s="144" t="s">
        <v>43256</v>
      </c>
      <c r="F6724" s="142" t="s">
        <v>3760</v>
      </c>
      <c r="G6724" s="142" t="s">
        <v>33344</v>
      </c>
      <c r="H6724" s="142"/>
      <c r="I6724" s="143"/>
      <c r="J6724" s="143" t="s">
        <v>43257</v>
      </c>
      <c r="K6724" s="143" t="s">
        <v>43258</v>
      </c>
      <c r="L6724" s="145" t="s">
        <v>43259</v>
      </c>
      <c r="M6724" s="143"/>
      <c r="N6724" s="12"/>
      <c r="O6724" s="12"/>
      <c r="P6724" s="13">
        <f>IFERROR(__xludf.DUMMYFUNCTION("VALUE(SUBSTITUTE((INDEX(SPLIT(A6724,"",""),1)),""."","","",1))"),55.136164)</f>
        <v>55.136164</v>
      </c>
      <c r="Q6724" s="13">
        <f>IFERROR(__xludf.DUMMYFUNCTION("VALUE(SUBSTITUTE((INDEX(SPLIT(A6724,"",""),2)),""."","","",1))"),37.481145)</f>
        <v>37.481145</v>
      </c>
      <c r="R6724" s="14" t="b">
        <f t="shared" si="1"/>
        <v>0</v>
      </c>
      <c r="S6724" s="14" t="str">
        <f t="shared" si="2"/>
        <v>55.136164,37.481145</v>
      </c>
      <c r="T6724" s="12"/>
    </row>
    <row r="6725">
      <c r="A6725" s="139" t="s">
        <v>43260</v>
      </c>
      <c r="B6725" s="140" t="s">
        <v>43261</v>
      </c>
      <c r="C6725" s="140" t="s">
        <v>43262</v>
      </c>
      <c r="D6725" s="140" t="s">
        <v>33342</v>
      </c>
      <c r="E6725" s="141" t="s">
        <v>43263</v>
      </c>
      <c r="F6725" s="139" t="s">
        <v>3760</v>
      </c>
      <c r="G6725" s="139" t="s">
        <v>33344</v>
      </c>
      <c r="H6725" s="139"/>
      <c r="I6725" s="140"/>
      <c r="J6725" s="140" t="s">
        <v>43264</v>
      </c>
      <c r="K6725" s="140" t="s">
        <v>43265</v>
      </c>
      <c r="L6725" s="140"/>
      <c r="M6725" s="140"/>
      <c r="N6725" s="12"/>
      <c r="O6725" s="12"/>
      <c r="P6725" s="13">
        <f>IFERROR(__xludf.DUMMYFUNCTION("VALUE(SUBSTITUTE((INDEX(SPLIT(A6725,"",""),1)),""."","","",1))"),55.128989)</f>
        <v>55.128989</v>
      </c>
      <c r="Q6725" s="13">
        <f>IFERROR(__xludf.DUMMYFUNCTION("VALUE(SUBSTITUTE((INDEX(SPLIT(A6725,"",""),2)),""."","","",1))"),37.528244)</f>
        <v>37.528244</v>
      </c>
      <c r="R6725" s="14" t="b">
        <f t="shared" si="1"/>
        <v>0</v>
      </c>
      <c r="S6725" s="14" t="str">
        <f t="shared" si="2"/>
        <v>55.128989,37.528244</v>
      </c>
      <c r="T6725" s="12"/>
    </row>
    <row r="6726">
      <c r="A6726" s="142" t="s">
        <v>43266</v>
      </c>
      <c r="B6726" s="143" t="s">
        <v>43267</v>
      </c>
      <c r="C6726" s="143" t="s">
        <v>43268</v>
      </c>
      <c r="D6726" s="143" t="s">
        <v>33342</v>
      </c>
      <c r="E6726" s="144" t="s">
        <v>43269</v>
      </c>
      <c r="F6726" s="142" t="s">
        <v>3760</v>
      </c>
      <c r="G6726" s="142" t="s">
        <v>33344</v>
      </c>
      <c r="H6726" s="142"/>
      <c r="I6726" s="155" t="s">
        <v>43270</v>
      </c>
      <c r="J6726" s="143" t="s">
        <v>43271</v>
      </c>
      <c r="K6726" s="143" t="s">
        <v>43272</v>
      </c>
      <c r="L6726" s="145" t="s">
        <v>43273</v>
      </c>
      <c r="M6726" s="145" t="s">
        <v>43274</v>
      </c>
      <c r="N6726" s="12"/>
      <c r="O6726" s="12"/>
      <c r="P6726" s="13">
        <f>IFERROR(__xludf.DUMMYFUNCTION("VALUE(SUBSTITUTE((INDEX(SPLIT(A6726,"",""),1)),""."","","",1))"),55.713968)</f>
        <v>55.713968</v>
      </c>
      <c r="Q6726" s="13">
        <f>IFERROR(__xludf.DUMMYFUNCTION("VALUE(SUBSTITUTE((INDEX(SPLIT(A6726,"",""),2)),""."","","",1))"),37.569683)</f>
        <v>37.569683</v>
      </c>
      <c r="R6726" s="14" t="b">
        <f t="shared" si="1"/>
        <v>0</v>
      </c>
      <c r="S6726" s="14" t="str">
        <f t="shared" si="2"/>
        <v>55.713968,37.569683</v>
      </c>
      <c r="T6726" s="12"/>
    </row>
    <row r="6727">
      <c r="A6727" s="146" t="s">
        <v>43275</v>
      </c>
      <c r="B6727" s="147" t="s">
        <v>43276</v>
      </c>
      <c r="C6727" s="147" t="s">
        <v>43277</v>
      </c>
      <c r="D6727" s="147" t="s">
        <v>33342</v>
      </c>
      <c r="E6727" s="148" t="s">
        <v>43278</v>
      </c>
      <c r="F6727" s="146" t="s">
        <v>3760</v>
      </c>
      <c r="G6727" s="146" t="s">
        <v>33344</v>
      </c>
      <c r="H6727" s="146"/>
      <c r="I6727" s="147"/>
      <c r="J6727" s="147" t="s">
        <v>43279</v>
      </c>
      <c r="K6727" s="147" t="s">
        <v>43280</v>
      </c>
      <c r="L6727" s="149" t="s">
        <v>43281</v>
      </c>
      <c r="M6727" s="149" t="s">
        <v>43282</v>
      </c>
      <c r="N6727" s="12"/>
      <c r="O6727" s="12"/>
      <c r="P6727" s="13">
        <f>IFERROR(__xludf.DUMMYFUNCTION("VALUE(SUBSTITUTE((INDEX(SPLIT(A6727,"",""),1)),""."","","",1))"),55.931996)</f>
        <v>55.931996</v>
      </c>
      <c r="Q6727" s="13">
        <f>IFERROR(__xludf.DUMMYFUNCTION("VALUE(SUBSTITUTE((INDEX(SPLIT(A6727,"",""),2)),""."","","",1))"),38.032387)</f>
        <v>38.032387</v>
      </c>
      <c r="R6727" s="14" t="b">
        <f t="shared" si="1"/>
        <v>0</v>
      </c>
      <c r="S6727" s="14" t="str">
        <f t="shared" si="2"/>
        <v>55.931996,38.032387</v>
      </c>
      <c r="T6727" s="12"/>
    </row>
    <row r="6728">
      <c r="A6728" s="142" t="s">
        <v>43283</v>
      </c>
      <c r="B6728" s="143" t="s">
        <v>43284</v>
      </c>
      <c r="C6728" s="143" t="s">
        <v>43285</v>
      </c>
      <c r="D6728" s="143" t="s">
        <v>33342</v>
      </c>
      <c r="E6728" s="144" t="s">
        <v>43286</v>
      </c>
      <c r="F6728" s="142" t="s">
        <v>3760</v>
      </c>
      <c r="G6728" s="142" t="s">
        <v>33344</v>
      </c>
      <c r="H6728" s="142"/>
      <c r="I6728" s="143"/>
      <c r="J6728" s="143" t="s">
        <v>43287</v>
      </c>
      <c r="K6728" s="143" t="s">
        <v>43288</v>
      </c>
      <c r="L6728" s="145" t="s">
        <v>43289</v>
      </c>
      <c r="M6728" s="143"/>
      <c r="N6728" s="12"/>
      <c r="O6728" s="12"/>
      <c r="P6728" s="13">
        <f>IFERROR(__xludf.DUMMYFUNCTION("VALUE(SUBSTITUTE((INDEX(SPLIT(A6728,"",""),1)),""."","","",1))"),55.923165)</f>
        <v>55.923165</v>
      </c>
      <c r="Q6728" s="13">
        <f>IFERROR(__xludf.DUMMYFUNCTION("VALUE(SUBSTITUTE((INDEX(SPLIT(A6728,"",""),2)),""."","","",1))"),37.992017)</f>
        <v>37.992017</v>
      </c>
      <c r="R6728" s="14" t="b">
        <f t="shared" si="1"/>
        <v>0</v>
      </c>
      <c r="S6728" s="14" t="str">
        <f t="shared" si="2"/>
        <v>55.923165,37.992017</v>
      </c>
      <c r="T6728" s="12"/>
    </row>
    <row r="6729">
      <c r="A6729" s="146" t="s">
        <v>43290</v>
      </c>
      <c r="B6729" s="147" t="s">
        <v>43291</v>
      </c>
      <c r="C6729" s="147" t="s">
        <v>43292</v>
      </c>
      <c r="D6729" s="147" t="s">
        <v>33342</v>
      </c>
      <c r="E6729" s="148" t="s">
        <v>43293</v>
      </c>
      <c r="F6729" s="146" t="s">
        <v>3760</v>
      </c>
      <c r="G6729" s="146" t="s">
        <v>33344</v>
      </c>
      <c r="H6729" s="146"/>
      <c r="I6729" s="147"/>
      <c r="J6729" s="147" t="s">
        <v>43294</v>
      </c>
      <c r="K6729" s="147" t="s">
        <v>43295</v>
      </c>
      <c r="L6729" s="149" t="s">
        <v>43296</v>
      </c>
      <c r="M6729" s="147"/>
      <c r="N6729" s="12"/>
      <c r="O6729" s="12"/>
      <c r="P6729" s="13">
        <f>IFERROR(__xludf.DUMMYFUNCTION("VALUE(SUBSTITUTE((INDEX(SPLIT(A6729,"",""),1)),""."","","",1))"),55.90305)</f>
        <v>55.90305</v>
      </c>
      <c r="Q6729" s="13">
        <f>IFERROR(__xludf.DUMMYFUNCTION("VALUE(SUBSTITUTE((INDEX(SPLIT(A6729,"",""),2)),""."","","",1))"),38.006866)</f>
        <v>38.006866</v>
      </c>
      <c r="R6729" s="14" t="b">
        <f t="shared" si="1"/>
        <v>0</v>
      </c>
      <c r="S6729" s="14" t="str">
        <f t="shared" si="2"/>
        <v>55.90305,38.006866</v>
      </c>
      <c r="T6729" s="12"/>
    </row>
    <row r="6730">
      <c r="A6730" s="142" t="s">
        <v>43297</v>
      </c>
      <c r="B6730" s="143" t="s">
        <v>43298</v>
      </c>
      <c r="C6730" s="143" t="s">
        <v>43299</v>
      </c>
      <c r="D6730" s="143" t="s">
        <v>33342</v>
      </c>
      <c r="E6730" s="144" t="s">
        <v>43300</v>
      </c>
      <c r="F6730" s="142" t="s">
        <v>3760</v>
      </c>
      <c r="G6730" s="142" t="s">
        <v>33344</v>
      </c>
      <c r="H6730" s="142"/>
      <c r="I6730" s="143"/>
      <c r="J6730" s="143" t="s">
        <v>43301</v>
      </c>
      <c r="K6730" s="143" t="s">
        <v>43302</v>
      </c>
      <c r="L6730" s="145" t="s">
        <v>43303</v>
      </c>
      <c r="M6730" s="143"/>
      <c r="N6730" s="12"/>
      <c r="O6730" s="12"/>
      <c r="P6730" s="13">
        <f>IFERROR(__xludf.DUMMYFUNCTION("VALUE(SUBSTITUTE((INDEX(SPLIT(A6730,"",""),1)),""."","","",1))"),55.922782)</f>
        <v>55.922782</v>
      </c>
      <c r="Q6730" s="13">
        <f>IFERROR(__xludf.DUMMYFUNCTION("VALUE(SUBSTITUTE((INDEX(SPLIT(A6730,"",""),2)),""."","","",1))"),37.991209)</f>
        <v>37.991209</v>
      </c>
      <c r="R6730" s="14" t="b">
        <f t="shared" si="1"/>
        <v>0</v>
      </c>
      <c r="S6730" s="14" t="str">
        <f t="shared" si="2"/>
        <v>55.922782,37.991209</v>
      </c>
      <c r="T6730" s="12"/>
    </row>
    <row r="6731">
      <c r="A6731" s="139" t="s">
        <v>43304</v>
      </c>
      <c r="B6731" s="140" t="s">
        <v>43305</v>
      </c>
      <c r="C6731" s="140" t="s">
        <v>43306</v>
      </c>
      <c r="D6731" s="140" t="s">
        <v>33342</v>
      </c>
      <c r="E6731" s="141" t="s">
        <v>43307</v>
      </c>
      <c r="F6731" s="139" t="s">
        <v>3760</v>
      </c>
      <c r="G6731" s="139" t="s">
        <v>33344</v>
      </c>
      <c r="H6731" s="139"/>
      <c r="I6731" s="140"/>
      <c r="J6731" s="140" t="s">
        <v>43308</v>
      </c>
      <c r="K6731" s="140" t="s">
        <v>43309</v>
      </c>
      <c r="L6731" s="140"/>
      <c r="M6731" s="140"/>
      <c r="N6731" s="12"/>
      <c r="O6731" s="12"/>
      <c r="P6731" s="13">
        <f>IFERROR(__xludf.DUMMYFUNCTION("VALUE(SUBSTITUTE((INDEX(SPLIT(A6731,"",""),1)),""."","","",1))"),55.832596)</f>
        <v>55.832596</v>
      </c>
      <c r="Q6731" s="13">
        <f>IFERROR(__xludf.DUMMYFUNCTION("VALUE(SUBSTITUTE((INDEX(SPLIT(A6731,"",""),2)),""."","","",1))"),38.203579)</f>
        <v>38.203579</v>
      </c>
      <c r="R6731" s="14" t="b">
        <f t="shared" si="1"/>
        <v>0</v>
      </c>
      <c r="S6731" s="14" t="str">
        <f t="shared" si="2"/>
        <v>55.832596,38.203579</v>
      </c>
      <c r="T6731" s="12"/>
    </row>
    <row r="6732">
      <c r="A6732" s="136" t="s">
        <v>12168</v>
      </c>
      <c r="B6732" s="137" t="s">
        <v>43310</v>
      </c>
      <c r="C6732" s="137" t="s">
        <v>43311</v>
      </c>
      <c r="D6732" s="137" t="s">
        <v>33342</v>
      </c>
      <c r="E6732" s="138" t="s">
        <v>43312</v>
      </c>
      <c r="F6732" s="136" t="s">
        <v>3760</v>
      </c>
      <c r="G6732" s="136" t="s">
        <v>33344</v>
      </c>
      <c r="H6732" s="136"/>
      <c r="I6732" s="137"/>
      <c r="J6732" s="137" t="s">
        <v>43313</v>
      </c>
      <c r="K6732" s="137" t="s">
        <v>43314</v>
      </c>
      <c r="L6732" s="137"/>
      <c r="M6732" s="137"/>
      <c r="N6732" s="12"/>
      <c r="O6732" s="12"/>
      <c r="P6732" s="13">
        <f>IFERROR(__xludf.DUMMYFUNCTION("VALUE(SUBSTITUTE((INDEX(SPLIT(A6732,"",""),1)),""."","","",1))"),55.927266)</f>
        <v>55.927266</v>
      </c>
      <c r="Q6732" s="13">
        <f>IFERROR(__xludf.DUMMYFUNCTION("VALUE(SUBSTITUTE((INDEX(SPLIT(A6732,"",""),2)),""."","","",1))"),38.026414)</f>
        <v>38.026414</v>
      </c>
      <c r="R6732" s="14" t="b">
        <f t="shared" si="1"/>
        <v>0</v>
      </c>
      <c r="S6732" s="14" t="str">
        <f t="shared" si="2"/>
        <v>55.927266,38.026414</v>
      </c>
      <c r="T6732" s="12"/>
    </row>
    <row r="6733">
      <c r="A6733" s="139" t="s">
        <v>43315</v>
      </c>
      <c r="B6733" s="140" t="s">
        <v>43316</v>
      </c>
      <c r="C6733" s="140" t="s">
        <v>43317</v>
      </c>
      <c r="D6733" s="140" t="s">
        <v>33342</v>
      </c>
      <c r="E6733" s="141" t="s">
        <v>43318</v>
      </c>
      <c r="F6733" s="139" t="s">
        <v>3760</v>
      </c>
      <c r="G6733" s="139" t="s">
        <v>33344</v>
      </c>
      <c r="H6733" s="139"/>
      <c r="I6733" s="140"/>
      <c r="J6733" s="140" t="s">
        <v>43319</v>
      </c>
      <c r="K6733" s="140" t="s">
        <v>43320</v>
      </c>
      <c r="L6733" s="140"/>
      <c r="M6733" s="154" t="s">
        <v>43321</v>
      </c>
      <c r="N6733" s="12"/>
      <c r="O6733" s="12"/>
      <c r="P6733" s="13">
        <f>IFERROR(__xludf.DUMMYFUNCTION("VALUE(SUBSTITUTE((INDEX(SPLIT(A6733,"",""),1)),""."","","",1))"),55.918328)</f>
        <v>55.918328</v>
      </c>
      <c r="Q6733" s="13">
        <f>IFERROR(__xludf.DUMMYFUNCTION("VALUE(SUBSTITUTE((INDEX(SPLIT(A6733,"",""),2)),""."","","",1))"),38.025803)</f>
        <v>38.025803</v>
      </c>
      <c r="R6733" s="14" t="b">
        <f t="shared" si="1"/>
        <v>0</v>
      </c>
      <c r="S6733" s="14" t="str">
        <f t="shared" si="2"/>
        <v>55.918328,38.025803</v>
      </c>
      <c r="T6733" s="12"/>
    </row>
    <row r="6734">
      <c r="A6734" s="142" t="s">
        <v>43322</v>
      </c>
      <c r="B6734" s="143" t="s">
        <v>43323</v>
      </c>
      <c r="C6734" s="143" t="s">
        <v>43324</v>
      </c>
      <c r="D6734" s="143" t="s">
        <v>33342</v>
      </c>
      <c r="E6734" s="144" t="s">
        <v>43325</v>
      </c>
      <c r="F6734" s="142" t="s">
        <v>3760</v>
      </c>
      <c r="G6734" s="142" t="s">
        <v>33344</v>
      </c>
      <c r="H6734" s="142"/>
      <c r="I6734" s="143"/>
      <c r="J6734" s="143" t="s">
        <v>43326</v>
      </c>
      <c r="K6734" s="143" t="s">
        <v>43327</v>
      </c>
      <c r="L6734" s="145" t="s">
        <v>43328</v>
      </c>
      <c r="M6734" s="143"/>
      <c r="N6734" s="12"/>
      <c r="O6734" s="12"/>
      <c r="P6734" s="13">
        <f>IFERROR(__xludf.DUMMYFUNCTION("VALUE(SUBSTITUTE((INDEX(SPLIT(A6734,"",""),1)),""."","","",1))"),55.664385)</f>
        <v>55.664385</v>
      </c>
      <c r="Q6734" s="13">
        <f>IFERROR(__xludf.DUMMYFUNCTION("VALUE(SUBSTITUTE((INDEX(SPLIT(A6734,"",""),2)),""."","","",1))"),37.963855)</f>
        <v>37.963855</v>
      </c>
      <c r="R6734" s="14" t="b">
        <f t="shared" si="1"/>
        <v>0</v>
      </c>
      <c r="S6734" s="14" t="str">
        <f t="shared" si="2"/>
        <v>55.664385,37.963855</v>
      </c>
      <c r="T6734" s="12"/>
    </row>
    <row r="6735">
      <c r="A6735" s="139" t="s">
        <v>43329</v>
      </c>
      <c r="B6735" s="140" t="s">
        <v>43330</v>
      </c>
      <c r="C6735" s="140" t="s">
        <v>43331</v>
      </c>
      <c r="D6735" s="140" t="s">
        <v>33342</v>
      </c>
      <c r="E6735" s="141" t="s">
        <v>43332</v>
      </c>
      <c r="F6735" s="139" t="s">
        <v>3760</v>
      </c>
      <c r="G6735" s="139" t="s">
        <v>33344</v>
      </c>
      <c r="H6735" s="139"/>
      <c r="I6735" s="140"/>
      <c r="J6735" s="140" t="s">
        <v>43333</v>
      </c>
      <c r="K6735" s="140" t="s">
        <v>43334</v>
      </c>
      <c r="L6735" s="140"/>
      <c r="M6735" s="140"/>
      <c r="N6735" s="12"/>
      <c r="O6735" s="12"/>
      <c r="P6735" s="13">
        <f>IFERROR(__xludf.DUMMYFUNCTION("VALUE(SUBSTITUTE((INDEX(SPLIT(A6735,"",""),1)),""."","","",1))"),55.430947)</f>
        <v>55.430947</v>
      </c>
      <c r="Q6735" s="13">
        <f>IFERROR(__xludf.DUMMYFUNCTION("VALUE(SUBSTITUTE((INDEX(SPLIT(A6735,"",""),2)),""."","","",1))"),37.276213)</f>
        <v>37.276213</v>
      </c>
      <c r="R6735" s="14" t="b">
        <f t="shared" si="1"/>
        <v>0</v>
      </c>
      <c r="S6735" s="14" t="str">
        <f t="shared" si="2"/>
        <v>55.430947,37.276213</v>
      </c>
      <c r="T6735" s="12"/>
    </row>
    <row r="6736">
      <c r="A6736" s="136" t="s">
        <v>43335</v>
      </c>
      <c r="B6736" s="137" t="s">
        <v>43336</v>
      </c>
      <c r="C6736" s="137" t="s">
        <v>43337</v>
      </c>
      <c r="D6736" s="137" t="s">
        <v>33342</v>
      </c>
      <c r="E6736" s="138" t="s">
        <v>43338</v>
      </c>
      <c r="F6736" s="136" t="s">
        <v>3760</v>
      </c>
      <c r="G6736" s="136" t="s">
        <v>33344</v>
      </c>
      <c r="H6736" s="136"/>
      <c r="I6736" s="137"/>
      <c r="J6736" s="137" t="s">
        <v>43339</v>
      </c>
      <c r="K6736" s="137" t="s">
        <v>43340</v>
      </c>
      <c r="L6736" s="137"/>
      <c r="M6736" s="137"/>
      <c r="N6736" s="12"/>
      <c r="O6736" s="12"/>
      <c r="P6736" s="13">
        <f>IFERROR(__xludf.DUMMYFUNCTION("VALUE(SUBSTITUTE((INDEX(SPLIT(A6736,"",""),1)),""."","","",1))"),55.34644)</f>
        <v>55.34644</v>
      </c>
      <c r="Q6736" s="13">
        <f>IFERROR(__xludf.DUMMYFUNCTION("VALUE(SUBSTITUTE((INDEX(SPLIT(A6736,"",""),2)),""."","","",1))"),37.504555)</f>
        <v>37.504555</v>
      </c>
      <c r="R6736" s="14" t="b">
        <f t="shared" si="1"/>
        <v>0</v>
      </c>
      <c r="S6736" s="14" t="str">
        <f t="shared" si="2"/>
        <v>55.34644,37.504555</v>
      </c>
      <c r="T6736" s="12"/>
    </row>
    <row r="6737">
      <c r="A6737" s="139" t="s">
        <v>43341</v>
      </c>
      <c r="B6737" s="140" t="s">
        <v>43342</v>
      </c>
      <c r="C6737" s="140" t="s">
        <v>43343</v>
      </c>
      <c r="D6737" s="140" t="s">
        <v>33342</v>
      </c>
      <c r="E6737" s="141" t="s">
        <v>43344</v>
      </c>
      <c r="F6737" s="139" t="s">
        <v>3760</v>
      </c>
      <c r="G6737" s="139" t="s">
        <v>33344</v>
      </c>
      <c r="H6737" s="139"/>
      <c r="I6737" s="140"/>
      <c r="J6737" s="140" t="s">
        <v>43345</v>
      </c>
      <c r="K6737" s="140" t="s">
        <v>43346</v>
      </c>
      <c r="L6737" s="140"/>
      <c r="M6737" s="154" t="s">
        <v>43347</v>
      </c>
      <c r="N6737" s="12"/>
      <c r="O6737" s="12"/>
      <c r="P6737" s="13">
        <f>IFERROR(__xludf.DUMMYFUNCTION("VALUE(SUBSTITUTE((INDEX(SPLIT(A6737,"",""),1)),""."","","",1))"),56.024737)</f>
        <v>56.024737</v>
      </c>
      <c r="Q6737" s="13">
        <f>IFERROR(__xludf.DUMMYFUNCTION("VALUE(SUBSTITUTE((INDEX(SPLIT(A6737,"",""),2)),""."","","",1))"),35.490209)</f>
        <v>35.490209</v>
      </c>
      <c r="R6737" s="14" t="b">
        <f t="shared" si="1"/>
        <v>0</v>
      </c>
      <c r="S6737" s="14" t="str">
        <f t="shared" si="2"/>
        <v>56.024737,35.490209</v>
      </c>
      <c r="T6737" s="12"/>
    </row>
    <row r="6738">
      <c r="A6738" s="142" t="s">
        <v>43348</v>
      </c>
      <c r="B6738" s="143" t="s">
        <v>43349</v>
      </c>
      <c r="C6738" s="143" t="s">
        <v>43350</v>
      </c>
      <c r="D6738" s="143" t="s">
        <v>33342</v>
      </c>
      <c r="E6738" s="144" t="s">
        <v>43351</v>
      </c>
      <c r="F6738" s="142" t="s">
        <v>5334</v>
      </c>
      <c r="G6738" s="142" t="s">
        <v>33344</v>
      </c>
      <c r="H6738" s="142"/>
      <c r="I6738" s="143"/>
      <c r="J6738" s="143" t="s">
        <v>43352</v>
      </c>
      <c r="K6738" s="143" t="s">
        <v>43353</v>
      </c>
      <c r="L6738" s="145" t="s">
        <v>43354</v>
      </c>
      <c r="M6738" s="145" t="s">
        <v>43355</v>
      </c>
      <c r="N6738" s="12"/>
      <c r="O6738" s="12"/>
      <c r="P6738" s="13">
        <f>IFERROR(__xludf.DUMMYFUNCTION("VALUE(SUBSTITUTE((INDEX(SPLIT(A6738,"",""),1)),""."","","",1))"),67.170693)</f>
        <v>67.170693</v>
      </c>
      <c r="Q6738" s="13">
        <f>IFERROR(__xludf.DUMMYFUNCTION("VALUE(SUBSTITUTE((INDEX(SPLIT(A6738,"",""),2)),""."","","",1))"),32.38918)</f>
        <v>32.38918</v>
      </c>
      <c r="R6738" s="14" t="b">
        <f t="shared" si="1"/>
        <v>0</v>
      </c>
      <c r="S6738" s="14" t="str">
        <f t="shared" si="2"/>
        <v>67.170693,32.38918</v>
      </c>
      <c r="T6738" s="12"/>
    </row>
    <row r="6739">
      <c r="A6739" s="139" t="s">
        <v>43356</v>
      </c>
      <c r="B6739" s="140" t="s">
        <v>43357</v>
      </c>
      <c r="C6739" s="140" t="s">
        <v>43358</v>
      </c>
      <c r="D6739" s="140" t="s">
        <v>33342</v>
      </c>
      <c r="E6739" s="141" t="s">
        <v>43359</v>
      </c>
      <c r="F6739" s="139" t="s">
        <v>5334</v>
      </c>
      <c r="G6739" s="139" t="s">
        <v>33344</v>
      </c>
      <c r="H6739" s="139"/>
      <c r="I6739" s="140"/>
      <c r="J6739" s="140" t="s">
        <v>43360</v>
      </c>
      <c r="K6739" s="140" t="s">
        <v>43361</v>
      </c>
      <c r="L6739" s="140"/>
      <c r="M6739" s="140"/>
      <c r="N6739" s="12"/>
      <c r="O6739" s="12"/>
      <c r="P6739" s="13">
        <f>IFERROR(__xludf.DUMMYFUNCTION("VALUE(SUBSTITUTE((INDEX(SPLIT(A6739,"",""),1)),""."","","",1))"),67.554295)</f>
        <v>67.554295</v>
      </c>
      <c r="Q6739" s="13">
        <f>IFERROR(__xludf.DUMMYFUNCTION("VALUE(SUBSTITUTE((INDEX(SPLIT(A6739,"",""),2)),""."","","",1))"),33.433777)</f>
        <v>33.433777</v>
      </c>
      <c r="R6739" s="14" t="b">
        <f t="shared" si="1"/>
        <v>0</v>
      </c>
      <c r="S6739" s="14" t="str">
        <f t="shared" si="2"/>
        <v>67.554295,33.433777</v>
      </c>
      <c r="T6739" s="12"/>
    </row>
    <row r="6740">
      <c r="A6740" s="146" t="s">
        <v>43362</v>
      </c>
      <c r="B6740" s="147" t="s">
        <v>43363</v>
      </c>
      <c r="C6740" s="147" t="s">
        <v>43364</v>
      </c>
      <c r="D6740" s="147" t="s">
        <v>33342</v>
      </c>
      <c r="E6740" s="148" t="s">
        <v>43365</v>
      </c>
      <c r="F6740" s="146" t="s">
        <v>16486</v>
      </c>
      <c r="G6740" s="146" t="s">
        <v>33344</v>
      </c>
      <c r="H6740" s="146"/>
      <c r="I6740" s="147"/>
      <c r="J6740" s="147" t="s">
        <v>43366</v>
      </c>
      <c r="K6740" s="147" t="s">
        <v>43367</v>
      </c>
      <c r="L6740" s="149" t="s">
        <v>43368</v>
      </c>
      <c r="M6740" s="147"/>
      <c r="N6740" s="12"/>
      <c r="O6740" s="12"/>
      <c r="P6740" s="13">
        <f>IFERROR(__xludf.DUMMYFUNCTION("VALUE(SUBSTITUTE((INDEX(SPLIT(A6740,"",""),1)),""."","","",1))"),56.223191)</f>
        <v>56.223191</v>
      </c>
      <c r="Q6740" s="13">
        <f>IFERROR(__xludf.DUMMYFUNCTION("VALUE(SUBSTITUTE((INDEX(SPLIT(A6740,"",""),2)),""."","","",1))"),43.179051)</f>
        <v>43.179051</v>
      </c>
      <c r="R6740" s="14" t="b">
        <f t="shared" si="1"/>
        <v>0</v>
      </c>
      <c r="S6740" s="14" t="str">
        <f t="shared" si="2"/>
        <v>56.223191,43.179051</v>
      </c>
      <c r="T6740" s="12"/>
    </row>
    <row r="6741">
      <c r="A6741" s="136" t="s">
        <v>43369</v>
      </c>
      <c r="B6741" s="137" t="s">
        <v>43370</v>
      </c>
      <c r="C6741" s="137" t="s">
        <v>43371</v>
      </c>
      <c r="D6741" s="137" t="s">
        <v>33342</v>
      </c>
      <c r="E6741" s="138" t="s">
        <v>43372</v>
      </c>
      <c r="F6741" s="136" t="s">
        <v>16486</v>
      </c>
      <c r="G6741" s="136" t="s">
        <v>33344</v>
      </c>
      <c r="H6741" s="136"/>
      <c r="I6741" s="137"/>
      <c r="J6741" s="137" t="s">
        <v>43373</v>
      </c>
      <c r="K6741" s="137" t="s">
        <v>43374</v>
      </c>
      <c r="L6741" s="137"/>
      <c r="M6741" s="153" t="s">
        <v>43375</v>
      </c>
      <c r="N6741" s="12"/>
      <c r="O6741" s="12"/>
      <c r="P6741" s="13">
        <f>IFERROR(__xludf.DUMMYFUNCTION("VALUE(SUBSTITUTE((INDEX(SPLIT(A6741,"",""),1)),""."","","",1))"),56.766815)</f>
        <v>56.766815</v>
      </c>
      <c r="Q6741" s="13">
        <f>IFERROR(__xludf.DUMMYFUNCTION("VALUE(SUBSTITUTE((INDEX(SPLIT(A6741,"",""),2)),""."","","",1))"),43.261894)</f>
        <v>43.261894</v>
      </c>
      <c r="R6741" s="14" t="b">
        <f t="shared" si="1"/>
        <v>0</v>
      </c>
      <c r="S6741" s="14" t="str">
        <f t="shared" si="2"/>
        <v>56.766815,43.261894</v>
      </c>
      <c r="T6741" s="12"/>
    </row>
    <row r="6742">
      <c r="A6742" s="139" t="s">
        <v>43376</v>
      </c>
      <c r="B6742" s="140" t="s">
        <v>43377</v>
      </c>
      <c r="C6742" s="140" t="s">
        <v>43378</v>
      </c>
      <c r="D6742" s="140" t="s">
        <v>33342</v>
      </c>
      <c r="E6742" s="141" t="s">
        <v>43379</v>
      </c>
      <c r="F6742" s="139" t="s">
        <v>16486</v>
      </c>
      <c r="G6742" s="139" t="s">
        <v>33344</v>
      </c>
      <c r="H6742" s="139"/>
      <c r="I6742" s="140"/>
      <c r="J6742" s="140" t="s">
        <v>43380</v>
      </c>
      <c r="K6742" s="140" t="s">
        <v>43381</v>
      </c>
      <c r="L6742" s="140"/>
      <c r="M6742" s="154" t="s">
        <v>43382</v>
      </c>
      <c r="N6742" s="12"/>
      <c r="O6742" s="12"/>
      <c r="P6742" s="13">
        <f>IFERROR(__xludf.DUMMYFUNCTION("VALUE(SUBSTITUTE((INDEX(SPLIT(A6742,"",""),1)),""."","","",1))"),55.396759)</f>
        <v>55.396759</v>
      </c>
      <c r="Q6742" s="13">
        <f>IFERROR(__xludf.DUMMYFUNCTION("VALUE(SUBSTITUTE((INDEX(SPLIT(A6742,"",""),2)),""."","","",1))"),43.826665)</f>
        <v>43.826665</v>
      </c>
      <c r="R6742" s="14" t="b">
        <f t="shared" si="1"/>
        <v>0</v>
      </c>
      <c r="S6742" s="14" t="str">
        <f t="shared" si="2"/>
        <v>55.396759,43.826665</v>
      </c>
      <c r="T6742" s="12"/>
    </row>
    <row r="6743">
      <c r="A6743" s="142" t="s">
        <v>43383</v>
      </c>
      <c r="B6743" s="143" t="s">
        <v>24294</v>
      </c>
      <c r="C6743" s="143" t="s">
        <v>43384</v>
      </c>
      <c r="D6743" s="143" t="s">
        <v>33342</v>
      </c>
      <c r="E6743" s="144" t="s">
        <v>43385</v>
      </c>
      <c r="F6743" s="142" t="s">
        <v>16486</v>
      </c>
      <c r="G6743" s="142" t="s">
        <v>33344</v>
      </c>
      <c r="H6743" s="142"/>
      <c r="I6743" s="143"/>
      <c r="J6743" s="143" t="s">
        <v>43386</v>
      </c>
      <c r="K6743" s="143" t="s">
        <v>43387</v>
      </c>
      <c r="L6743" s="145" t="s">
        <v>43388</v>
      </c>
      <c r="M6743" s="143"/>
      <c r="N6743" s="12"/>
      <c r="O6743" s="12"/>
      <c r="P6743" s="13">
        <f>IFERROR(__xludf.DUMMYFUNCTION("VALUE(SUBSTITUTE((INDEX(SPLIT(A6743,"",""),1)),""."","","",1))"),56.107594)</f>
        <v>56.107594</v>
      </c>
      <c r="Q6743" s="13">
        <f>IFERROR(__xludf.DUMMYFUNCTION("VALUE(SUBSTITUTE((INDEX(SPLIT(A6743,"",""),2)),""."","","",1))"),43.529888)</f>
        <v>43.529888</v>
      </c>
      <c r="R6743" s="14" t="b">
        <f t="shared" si="1"/>
        <v>0</v>
      </c>
      <c r="S6743" s="14" t="str">
        <f t="shared" si="2"/>
        <v>56.107594,43.529888</v>
      </c>
      <c r="T6743" s="12"/>
    </row>
    <row r="6744">
      <c r="A6744" s="146" t="s">
        <v>43389</v>
      </c>
      <c r="B6744" s="147" t="s">
        <v>43390</v>
      </c>
      <c r="C6744" s="147" t="s">
        <v>43391</v>
      </c>
      <c r="D6744" s="147" t="s">
        <v>33342</v>
      </c>
      <c r="E6744" s="148" t="s">
        <v>43392</v>
      </c>
      <c r="F6744" s="146" t="s">
        <v>16486</v>
      </c>
      <c r="G6744" s="146" t="s">
        <v>33344</v>
      </c>
      <c r="H6744" s="146"/>
      <c r="I6744" s="147"/>
      <c r="J6744" s="147" t="s">
        <v>43393</v>
      </c>
      <c r="K6744" s="147" t="s">
        <v>43394</v>
      </c>
      <c r="L6744" s="149" t="s">
        <v>43395</v>
      </c>
      <c r="M6744" s="149" t="s">
        <v>43396</v>
      </c>
      <c r="N6744" s="12"/>
      <c r="O6744" s="12"/>
      <c r="P6744" s="13">
        <f>IFERROR(__xludf.DUMMYFUNCTION("VALUE(SUBSTITUTE((INDEX(SPLIT(A6744,"",""),1)),""."","","",1))"),56.103593)</f>
        <v>56.103593</v>
      </c>
      <c r="Q6744" s="13">
        <f>IFERROR(__xludf.DUMMYFUNCTION("VALUE(SUBSTITUTE((INDEX(SPLIT(A6744,"",""),2)),""."","","",1))"),43.50902)</f>
        <v>43.50902</v>
      </c>
      <c r="R6744" s="14" t="b">
        <f t="shared" si="1"/>
        <v>0</v>
      </c>
      <c r="S6744" s="14" t="str">
        <f t="shared" si="2"/>
        <v>56.103593,43.50902</v>
      </c>
      <c r="T6744" s="12"/>
    </row>
    <row r="6745">
      <c r="A6745" s="136" t="s">
        <v>43397</v>
      </c>
      <c r="B6745" s="137" t="s">
        <v>43398</v>
      </c>
      <c r="C6745" s="137" t="s">
        <v>43399</v>
      </c>
      <c r="D6745" s="137" t="s">
        <v>33342</v>
      </c>
      <c r="E6745" s="138" t="s">
        <v>43400</v>
      </c>
      <c r="F6745" s="136" t="s">
        <v>16486</v>
      </c>
      <c r="G6745" s="136" t="s">
        <v>33344</v>
      </c>
      <c r="H6745" s="136"/>
      <c r="I6745" s="137"/>
      <c r="J6745" s="137" t="s">
        <v>43401</v>
      </c>
      <c r="K6745" s="137" t="s">
        <v>43402</v>
      </c>
      <c r="L6745" s="137"/>
      <c r="M6745" s="137"/>
      <c r="N6745" s="12"/>
      <c r="O6745" s="12"/>
      <c r="P6745" s="13">
        <f>IFERROR(__xludf.DUMMYFUNCTION("VALUE(SUBSTITUTE((INDEX(SPLIT(A6745,"",""),1)),""."","","",1))"),56.101293)</f>
        <v>56.101293</v>
      </c>
      <c r="Q6745" s="13">
        <f>IFERROR(__xludf.DUMMYFUNCTION("VALUE(SUBSTITUTE((INDEX(SPLIT(A6745,"",""),2)),""."","","",1))"),43.51821)</f>
        <v>43.51821</v>
      </c>
      <c r="R6745" s="14" t="b">
        <f t="shared" si="1"/>
        <v>0</v>
      </c>
      <c r="S6745" s="14" t="str">
        <f t="shared" si="2"/>
        <v>56.101293,43.51821</v>
      </c>
      <c r="T6745" s="12"/>
    </row>
    <row r="6746">
      <c r="A6746" s="146" t="s">
        <v>43403</v>
      </c>
      <c r="B6746" s="147" t="s">
        <v>43404</v>
      </c>
      <c r="C6746" s="147" t="s">
        <v>43405</v>
      </c>
      <c r="D6746" s="147" t="s">
        <v>33342</v>
      </c>
      <c r="E6746" s="148" t="s">
        <v>43406</v>
      </c>
      <c r="F6746" s="146" t="s">
        <v>16486</v>
      </c>
      <c r="G6746" s="146" t="s">
        <v>33344</v>
      </c>
      <c r="H6746" s="146"/>
      <c r="I6746" s="147"/>
      <c r="J6746" s="147" t="s">
        <v>43407</v>
      </c>
      <c r="K6746" s="147" t="s">
        <v>43408</v>
      </c>
      <c r="L6746" s="149" t="s">
        <v>43409</v>
      </c>
      <c r="M6746" s="149" t="s">
        <v>43410</v>
      </c>
      <c r="N6746" s="12"/>
      <c r="O6746" s="12"/>
      <c r="P6746" s="13">
        <f>IFERROR(__xludf.DUMMYFUNCTION("VALUE(SUBSTITUTE((INDEX(SPLIT(A6746,"",""),1)),""."","","",1))"),56.397584)</f>
        <v>56.397584</v>
      </c>
      <c r="Q6746" s="13">
        <f>IFERROR(__xludf.DUMMYFUNCTION("VALUE(SUBSTITUTE((INDEX(SPLIT(A6746,"",""),2)),""."","","",1))"),44.019434)</f>
        <v>44.019434</v>
      </c>
      <c r="R6746" s="14" t="b">
        <f t="shared" si="1"/>
        <v>0</v>
      </c>
      <c r="S6746" s="14" t="str">
        <f t="shared" si="2"/>
        <v>56.397584,44.019434</v>
      </c>
      <c r="T6746" s="12"/>
    </row>
    <row r="6747">
      <c r="A6747" s="136" t="s">
        <v>43411</v>
      </c>
      <c r="B6747" s="137" t="s">
        <v>43412</v>
      </c>
      <c r="C6747" s="137" t="s">
        <v>43413</v>
      </c>
      <c r="D6747" s="137" t="s">
        <v>33342</v>
      </c>
      <c r="E6747" s="138" t="s">
        <v>43414</v>
      </c>
      <c r="F6747" s="136" t="s">
        <v>16486</v>
      </c>
      <c r="G6747" s="136" t="s">
        <v>33344</v>
      </c>
      <c r="H6747" s="136"/>
      <c r="I6747" s="137"/>
      <c r="J6747" s="137" t="s">
        <v>43415</v>
      </c>
      <c r="K6747" s="137" t="s">
        <v>43416</v>
      </c>
      <c r="L6747" s="137"/>
      <c r="M6747" s="137"/>
      <c r="N6747" s="12"/>
      <c r="O6747" s="12"/>
      <c r="P6747" s="13">
        <f>IFERROR(__xludf.DUMMYFUNCTION("VALUE(SUBSTITUTE((INDEX(SPLIT(A6747,"",""),1)),""."","","",1))"),56.646687)</f>
        <v>56.646687</v>
      </c>
      <c r="Q6747" s="13">
        <f>IFERROR(__xludf.DUMMYFUNCTION("VALUE(SUBSTITUTE((INDEX(SPLIT(A6747,"",""),2)),""."","","",1))"),43.404304)</f>
        <v>43.404304</v>
      </c>
      <c r="R6747" s="14" t="b">
        <f t="shared" si="1"/>
        <v>0</v>
      </c>
      <c r="S6747" s="14" t="str">
        <f t="shared" si="2"/>
        <v>56.646687,43.404304</v>
      </c>
      <c r="T6747" s="12"/>
    </row>
    <row r="6748">
      <c r="A6748" s="139" t="s">
        <v>43417</v>
      </c>
      <c r="B6748" s="140" t="s">
        <v>43418</v>
      </c>
      <c r="C6748" s="140" t="s">
        <v>43419</v>
      </c>
      <c r="D6748" s="140" t="s">
        <v>33342</v>
      </c>
      <c r="E6748" s="141" t="s">
        <v>43420</v>
      </c>
      <c r="F6748" s="139" t="s">
        <v>16486</v>
      </c>
      <c r="G6748" s="139" t="s">
        <v>33344</v>
      </c>
      <c r="H6748" s="139"/>
      <c r="I6748" s="140"/>
      <c r="J6748" s="140" t="s">
        <v>43421</v>
      </c>
      <c r="K6748" s="140" t="s">
        <v>43422</v>
      </c>
      <c r="L6748" s="140"/>
      <c r="M6748" s="140"/>
      <c r="N6748" s="12"/>
      <c r="O6748" s="12"/>
      <c r="P6748" s="13">
        <f>IFERROR(__xludf.DUMMYFUNCTION("VALUE(SUBSTITUTE((INDEX(SPLIT(A6748,"",""),1)),""."","","",1))"),56.252577)</f>
        <v>56.252577</v>
      </c>
      <c r="Q6748" s="13">
        <f>IFERROR(__xludf.DUMMYFUNCTION("VALUE(SUBSTITUTE((INDEX(SPLIT(A6748,"",""),2)),""."","","",1))"),43.397441)</f>
        <v>43.397441</v>
      </c>
      <c r="R6748" s="14" t="b">
        <f t="shared" si="1"/>
        <v>0</v>
      </c>
      <c r="S6748" s="14" t="str">
        <f t="shared" si="2"/>
        <v>56.252577,43.397441</v>
      </c>
      <c r="T6748" s="12"/>
    </row>
    <row r="6749">
      <c r="A6749" s="142" t="s">
        <v>43423</v>
      </c>
      <c r="B6749" s="143" t="s">
        <v>43424</v>
      </c>
      <c r="C6749" s="143" t="s">
        <v>43425</v>
      </c>
      <c r="D6749" s="143" t="s">
        <v>33342</v>
      </c>
      <c r="E6749" s="144" t="s">
        <v>43426</v>
      </c>
      <c r="F6749" s="142" t="s">
        <v>16486</v>
      </c>
      <c r="G6749" s="142" t="s">
        <v>33344</v>
      </c>
      <c r="H6749" s="142"/>
      <c r="I6749" s="143"/>
      <c r="J6749" s="143" t="s">
        <v>43427</v>
      </c>
      <c r="K6749" s="143" t="s">
        <v>43428</v>
      </c>
      <c r="L6749" s="145" t="s">
        <v>43429</v>
      </c>
      <c r="M6749" s="143"/>
      <c r="N6749" s="12"/>
      <c r="O6749" s="12"/>
      <c r="P6749" s="13">
        <f>IFERROR(__xludf.DUMMYFUNCTION("VALUE(SUBSTITUTE((INDEX(SPLIT(A6749,"",""),1)),""."","","",1))"),56.232984)</f>
        <v>56.232984</v>
      </c>
      <c r="Q6749" s="13">
        <f>IFERROR(__xludf.DUMMYFUNCTION("VALUE(SUBSTITUTE((INDEX(SPLIT(A6749,"",""),2)),""."","","",1))"),43.496345)</f>
        <v>43.496345</v>
      </c>
      <c r="R6749" s="14" t="b">
        <f t="shared" si="1"/>
        <v>0</v>
      </c>
      <c r="S6749" s="14" t="str">
        <f t="shared" si="2"/>
        <v>56.232984,43.496345</v>
      </c>
      <c r="T6749" s="12"/>
    </row>
    <row r="6750">
      <c r="A6750" s="139" t="s">
        <v>43430</v>
      </c>
      <c r="B6750" s="140" t="s">
        <v>43431</v>
      </c>
      <c r="C6750" s="140" t="s">
        <v>43432</v>
      </c>
      <c r="D6750" s="140" t="s">
        <v>33342</v>
      </c>
      <c r="E6750" s="141" t="s">
        <v>43433</v>
      </c>
      <c r="F6750" s="139" t="s">
        <v>16486</v>
      </c>
      <c r="G6750" s="139" t="s">
        <v>33344</v>
      </c>
      <c r="H6750" s="139"/>
      <c r="I6750" s="140"/>
      <c r="J6750" s="140" t="s">
        <v>43434</v>
      </c>
      <c r="K6750" s="140" t="s">
        <v>43435</v>
      </c>
      <c r="L6750" s="140"/>
      <c r="M6750" s="140"/>
      <c r="N6750" s="12"/>
      <c r="O6750" s="12"/>
      <c r="P6750" s="13">
        <f>IFERROR(__xludf.DUMMYFUNCTION("VALUE(SUBSTITUTE((INDEX(SPLIT(A6750,"",""),1)),""."","","",1))"),56.235881)</f>
        <v>56.235881</v>
      </c>
      <c r="Q6750" s="13">
        <f>IFERROR(__xludf.DUMMYFUNCTION("VALUE(SUBSTITUTE((INDEX(SPLIT(A6750,"",""),2)),""."","","",1))"),43.482628)</f>
        <v>43.482628</v>
      </c>
      <c r="R6750" s="14" t="b">
        <f t="shared" si="1"/>
        <v>0</v>
      </c>
      <c r="S6750" s="14" t="str">
        <f t="shared" si="2"/>
        <v>56.235881,43.482628</v>
      </c>
      <c r="T6750" s="12"/>
    </row>
    <row r="6751">
      <c r="A6751" s="142" t="s">
        <v>43436</v>
      </c>
      <c r="B6751" s="143" t="s">
        <v>43437</v>
      </c>
      <c r="C6751" s="143" t="s">
        <v>43438</v>
      </c>
      <c r="D6751" s="143" t="s">
        <v>33342</v>
      </c>
      <c r="E6751" s="144" t="s">
        <v>43439</v>
      </c>
      <c r="F6751" s="142" t="s">
        <v>16486</v>
      </c>
      <c r="G6751" s="142" t="s">
        <v>33344</v>
      </c>
      <c r="H6751" s="142"/>
      <c r="I6751" s="143"/>
      <c r="J6751" s="143" t="s">
        <v>43440</v>
      </c>
      <c r="K6751" s="143" t="s">
        <v>43441</v>
      </c>
      <c r="L6751" s="145" t="s">
        <v>43442</v>
      </c>
      <c r="M6751" s="143"/>
      <c r="N6751" s="12"/>
      <c r="O6751" s="12"/>
      <c r="P6751" s="13">
        <f>IFERROR(__xludf.DUMMYFUNCTION("VALUE(SUBSTITUTE((INDEX(SPLIT(A6751,"",""),1)),""."","","",1))"),56.154295)</f>
        <v>56.154295</v>
      </c>
      <c r="Q6751" s="13">
        <f>IFERROR(__xludf.DUMMYFUNCTION("VALUE(SUBSTITUTE((INDEX(SPLIT(A6751,"",""),2)),""."","","",1))"),44.214512)</f>
        <v>44.214512</v>
      </c>
      <c r="R6751" s="14" t="b">
        <f t="shared" si="1"/>
        <v>0</v>
      </c>
      <c r="S6751" s="14" t="str">
        <f t="shared" si="2"/>
        <v>56.154295,44.214512</v>
      </c>
      <c r="T6751" s="12"/>
    </row>
    <row r="6752">
      <c r="A6752" s="146" t="s">
        <v>43443</v>
      </c>
      <c r="B6752" s="147" t="s">
        <v>43444</v>
      </c>
      <c r="C6752" s="147" t="s">
        <v>43445</v>
      </c>
      <c r="D6752" s="147" t="s">
        <v>33342</v>
      </c>
      <c r="E6752" s="148" t="s">
        <v>43446</v>
      </c>
      <c r="F6752" s="146" t="s">
        <v>16486</v>
      </c>
      <c r="G6752" s="146" t="s">
        <v>33344</v>
      </c>
      <c r="H6752" s="146"/>
      <c r="I6752" s="147"/>
      <c r="J6752" s="147" t="s">
        <v>43447</v>
      </c>
      <c r="K6752" s="147" t="s">
        <v>43448</v>
      </c>
      <c r="L6752" s="149" t="s">
        <v>43449</v>
      </c>
      <c r="M6752" s="147"/>
      <c r="N6752" s="12"/>
      <c r="O6752" s="12"/>
      <c r="P6752" s="13">
        <f>IFERROR(__xludf.DUMMYFUNCTION("VALUE(SUBSTITUTE((INDEX(SPLIT(A6752,"",""),1)),""."","","",1))"),56.166611)</f>
        <v>56.166611</v>
      </c>
      <c r="Q6752" s="13">
        <f>IFERROR(__xludf.DUMMYFUNCTION("VALUE(SUBSTITUTE((INDEX(SPLIT(A6752,"",""),2)),""."","","",1))"),44.18264)</f>
        <v>44.18264</v>
      </c>
      <c r="R6752" s="14" t="b">
        <f t="shared" si="1"/>
        <v>0</v>
      </c>
      <c r="S6752" s="14" t="str">
        <f t="shared" si="2"/>
        <v>56.166611,44.18264</v>
      </c>
      <c r="T6752" s="12"/>
    </row>
    <row r="6753">
      <c r="A6753" s="142" t="s">
        <v>43450</v>
      </c>
      <c r="B6753" s="143" t="s">
        <v>43451</v>
      </c>
      <c r="C6753" s="143" t="s">
        <v>43452</v>
      </c>
      <c r="D6753" s="143" t="s">
        <v>33342</v>
      </c>
      <c r="E6753" s="144" t="s">
        <v>43453</v>
      </c>
      <c r="F6753" s="142" t="s">
        <v>16486</v>
      </c>
      <c r="G6753" s="142" t="s">
        <v>33344</v>
      </c>
      <c r="H6753" s="142"/>
      <c r="I6753" s="143"/>
      <c r="J6753" s="143" t="s">
        <v>43454</v>
      </c>
      <c r="K6753" s="143" t="s">
        <v>43455</v>
      </c>
      <c r="L6753" s="145" t="s">
        <v>43456</v>
      </c>
      <c r="M6753" s="143"/>
      <c r="N6753" s="12"/>
      <c r="O6753" s="12"/>
      <c r="P6753" s="13">
        <f>IFERROR(__xludf.DUMMYFUNCTION("VALUE(SUBSTITUTE((INDEX(SPLIT(A6753,"",""),1)),""."","","",1))"),55.945771)</f>
        <v>55.945771</v>
      </c>
      <c r="Q6753" s="13">
        <f>IFERROR(__xludf.DUMMYFUNCTION("VALUE(SUBSTITUTE((INDEX(SPLIT(A6753,"",""),2)),""."","","",1))"),43.105228)</f>
        <v>43.105228</v>
      </c>
      <c r="R6753" s="14" t="b">
        <f t="shared" si="1"/>
        <v>0</v>
      </c>
      <c r="S6753" s="14" t="str">
        <f t="shared" si="2"/>
        <v>55.945771,43.105228</v>
      </c>
      <c r="T6753" s="12"/>
    </row>
    <row r="6754">
      <c r="A6754" s="146" t="s">
        <v>43457</v>
      </c>
      <c r="B6754" s="147" t="s">
        <v>43458</v>
      </c>
      <c r="C6754" s="147" t="s">
        <v>43459</v>
      </c>
      <c r="D6754" s="147" t="s">
        <v>33342</v>
      </c>
      <c r="E6754" s="148" t="s">
        <v>43460</v>
      </c>
      <c r="F6754" s="146" t="s">
        <v>16486</v>
      </c>
      <c r="G6754" s="146" t="s">
        <v>33344</v>
      </c>
      <c r="H6754" s="146"/>
      <c r="I6754" s="147"/>
      <c r="J6754" s="147" t="s">
        <v>43461</v>
      </c>
      <c r="K6754" s="147" t="s">
        <v>43462</v>
      </c>
      <c r="L6754" s="149" t="s">
        <v>43463</v>
      </c>
      <c r="M6754" s="147"/>
      <c r="N6754" s="12"/>
      <c r="O6754" s="12"/>
      <c r="P6754" s="13">
        <f>IFERROR(__xludf.DUMMYFUNCTION("VALUE(SUBSTITUTE((INDEX(SPLIT(A6754,"",""),1)),""."","","",1))"),55.952137)</f>
        <v>55.952137</v>
      </c>
      <c r="Q6754" s="13">
        <f>IFERROR(__xludf.DUMMYFUNCTION("VALUE(SUBSTITUTE((INDEX(SPLIT(A6754,"",""),2)),""."","","",1))"),43.070544)</f>
        <v>43.070544</v>
      </c>
      <c r="R6754" s="14" t="b">
        <f t="shared" si="1"/>
        <v>0</v>
      </c>
      <c r="S6754" s="14" t="str">
        <f t="shared" si="2"/>
        <v>55.952137,43.070544</v>
      </c>
      <c r="T6754" s="12"/>
    </row>
    <row r="6755">
      <c r="A6755" s="142" t="s">
        <v>43464</v>
      </c>
      <c r="B6755" s="143" t="s">
        <v>43465</v>
      </c>
      <c r="C6755" s="143" t="s">
        <v>43466</v>
      </c>
      <c r="D6755" s="143" t="s">
        <v>33342</v>
      </c>
      <c r="E6755" s="144" t="s">
        <v>43467</v>
      </c>
      <c r="F6755" s="142" t="s">
        <v>16486</v>
      </c>
      <c r="G6755" s="142" t="s">
        <v>33344</v>
      </c>
      <c r="H6755" s="142"/>
      <c r="I6755" s="143"/>
      <c r="J6755" s="143" t="s">
        <v>43468</v>
      </c>
      <c r="K6755" s="143" t="s">
        <v>43469</v>
      </c>
      <c r="L6755" s="145" t="s">
        <v>43470</v>
      </c>
      <c r="M6755" s="145" t="s">
        <v>43471</v>
      </c>
      <c r="N6755" s="12"/>
      <c r="O6755" s="12"/>
      <c r="P6755" s="13">
        <f>IFERROR(__xludf.DUMMYFUNCTION("VALUE(SUBSTITUTE((INDEX(SPLIT(A6755,"",""),1)),""."","","",1))"),55.942978)</f>
        <v>55.942978</v>
      </c>
      <c r="Q6755" s="13">
        <f>IFERROR(__xludf.DUMMYFUNCTION("VALUE(SUBSTITUTE((INDEX(SPLIT(A6755,"",""),2)),""."","","",1))"),43.074236)</f>
        <v>43.074236</v>
      </c>
      <c r="R6755" s="14" t="b">
        <f t="shared" si="1"/>
        <v>0</v>
      </c>
      <c r="S6755" s="14" t="str">
        <f t="shared" si="2"/>
        <v>55.942978,43.074236</v>
      </c>
      <c r="T6755" s="12"/>
    </row>
    <row r="6756">
      <c r="A6756" s="146" t="s">
        <v>43472</v>
      </c>
      <c r="B6756" s="147" t="s">
        <v>43473</v>
      </c>
      <c r="C6756" s="147" t="s">
        <v>43474</v>
      </c>
      <c r="D6756" s="147" t="s">
        <v>33342</v>
      </c>
      <c r="E6756" s="148" t="s">
        <v>43475</v>
      </c>
      <c r="F6756" s="146" t="s">
        <v>16486</v>
      </c>
      <c r="G6756" s="146" t="s">
        <v>33344</v>
      </c>
      <c r="H6756" s="146"/>
      <c r="I6756" s="147"/>
      <c r="J6756" s="147" t="s">
        <v>43476</v>
      </c>
      <c r="K6756" s="147" t="s">
        <v>43477</v>
      </c>
      <c r="L6756" s="149" t="s">
        <v>43478</v>
      </c>
      <c r="M6756" s="147"/>
      <c r="N6756" s="12"/>
      <c r="O6756" s="12"/>
      <c r="P6756" s="13">
        <f>IFERROR(__xludf.DUMMYFUNCTION("VALUE(SUBSTITUTE((INDEX(SPLIT(A6756,"",""),1)),""."","","",1))"),54.923771)</f>
        <v>54.923771</v>
      </c>
      <c r="Q6756" s="13">
        <f>IFERROR(__xludf.DUMMYFUNCTION("VALUE(SUBSTITUTE((INDEX(SPLIT(A6756,"",""),2)),""."","","",1))"),43.352929)</f>
        <v>43.352929</v>
      </c>
      <c r="R6756" s="14" t="b">
        <f t="shared" si="1"/>
        <v>0</v>
      </c>
      <c r="S6756" s="14" t="str">
        <f t="shared" si="2"/>
        <v>54.923771,43.352929</v>
      </c>
      <c r="T6756" s="12"/>
    </row>
    <row r="6757">
      <c r="A6757" s="136" t="s">
        <v>43479</v>
      </c>
      <c r="B6757" s="137" t="s">
        <v>43480</v>
      </c>
      <c r="C6757" s="137" t="s">
        <v>43481</v>
      </c>
      <c r="D6757" s="137" t="s">
        <v>33342</v>
      </c>
      <c r="E6757" s="138" t="s">
        <v>43482</v>
      </c>
      <c r="F6757" s="136" t="s">
        <v>16486</v>
      </c>
      <c r="G6757" s="136" t="s">
        <v>33344</v>
      </c>
      <c r="H6757" s="136"/>
      <c r="I6757" s="137"/>
      <c r="J6757" s="137" t="s">
        <v>43483</v>
      </c>
      <c r="K6757" s="137" t="s">
        <v>43484</v>
      </c>
      <c r="L6757" s="137"/>
      <c r="M6757" s="137"/>
      <c r="N6757" s="12"/>
      <c r="O6757" s="12"/>
      <c r="P6757" s="13">
        <f>IFERROR(__xludf.DUMMYFUNCTION("VALUE(SUBSTITUTE((INDEX(SPLIT(A6757,"",""),1)),""."","","",1))"),54.919083)</f>
        <v>54.919083</v>
      </c>
      <c r="Q6757" s="13">
        <f>IFERROR(__xludf.DUMMYFUNCTION("VALUE(SUBSTITUTE((INDEX(SPLIT(A6757,"",""),2)),""."","","",1))"),43.333085)</f>
        <v>43.333085</v>
      </c>
      <c r="R6757" s="14" t="b">
        <f t="shared" si="1"/>
        <v>0</v>
      </c>
      <c r="S6757" s="14" t="str">
        <f t="shared" si="2"/>
        <v>54.919083,43.333085</v>
      </c>
      <c r="T6757" s="12"/>
    </row>
    <row r="6758">
      <c r="A6758" s="139" t="s">
        <v>43485</v>
      </c>
      <c r="B6758" s="140" t="s">
        <v>43486</v>
      </c>
      <c r="C6758" s="140" t="s">
        <v>43487</v>
      </c>
      <c r="D6758" s="140" t="s">
        <v>33342</v>
      </c>
      <c r="E6758" s="141" t="s">
        <v>43488</v>
      </c>
      <c r="F6758" s="139" t="s">
        <v>16486</v>
      </c>
      <c r="G6758" s="139" t="s">
        <v>33344</v>
      </c>
      <c r="H6758" s="139"/>
      <c r="I6758" s="140"/>
      <c r="J6758" s="140" t="s">
        <v>43489</v>
      </c>
      <c r="K6758" s="140" t="s">
        <v>43490</v>
      </c>
      <c r="L6758" s="140"/>
      <c r="M6758" s="154" t="s">
        <v>43491</v>
      </c>
      <c r="N6758" s="12"/>
      <c r="O6758" s="12"/>
      <c r="P6758" s="13">
        <f>IFERROR(__xludf.DUMMYFUNCTION("VALUE(SUBSTITUTE((INDEX(SPLIT(A6758,"",""),1)),""."","","",1))"),54.91041)</f>
        <v>54.91041</v>
      </c>
      <c r="Q6758" s="13">
        <f>IFERROR(__xludf.DUMMYFUNCTION("VALUE(SUBSTITUTE((INDEX(SPLIT(A6758,"",""),2)),""."","","",1))"),43.216403)</f>
        <v>43.216403</v>
      </c>
      <c r="R6758" s="14" t="b">
        <f t="shared" si="1"/>
        <v>0</v>
      </c>
      <c r="S6758" s="14" t="str">
        <f t="shared" si="2"/>
        <v>54.91041,43.216403</v>
      </c>
      <c r="T6758" s="12"/>
    </row>
    <row r="6759">
      <c r="A6759" s="142" t="s">
        <v>43492</v>
      </c>
      <c r="B6759" s="143" t="s">
        <v>43493</v>
      </c>
      <c r="C6759" s="143" t="s">
        <v>43494</v>
      </c>
      <c r="D6759" s="143" t="s">
        <v>33342</v>
      </c>
      <c r="E6759" s="144" t="s">
        <v>43495</v>
      </c>
      <c r="F6759" s="142" t="s">
        <v>16486</v>
      </c>
      <c r="G6759" s="142" t="s">
        <v>33344</v>
      </c>
      <c r="H6759" s="142"/>
      <c r="I6759" s="143"/>
      <c r="J6759" s="143" t="s">
        <v>43496</v>
      </c>
      <c r="K6759" s="143" t="s">
        <v>43497</v>
      </c>
      <c r="L6759" s="145" t="s">
        <v>43498</v>
      </c>
      <c r="M6759" s="143"/>
      <c r="N6759" s="12"/>
      <c r="O6759" s="12"/>
      <c r="P6759" s="13">
        <f>IFERROR(__xludf.DUMMYFUNCTION("VALUE(SUBSTITUTE((INDEX(SPLIT(A6759,"",""),1)),""."","","",1))"),56.231378)</f>
        <v>56.231378</v>
      </c>
      <c r="Q6759" s="13">
        <f>IFERROR(__xludf.DUMMYFUNCTION("VALUE(SUBSTITUTE((INDEX(SPLIT(A6759,"",""),2)),""."","","",1))"),43.907621)</f>
        <v>43.907621</v>
      </c>
      <c r="R6759" s="14" t="b">
        <f t="shared" si="1"/>
        <v>0</v>
      </c>
      <c r="S6759" s="14" t="str">
        <f t="shared" si="2"/>
        <v>56.231378,43.907621</v>
      </c>
      <c r="T6759" s="12"/>
    </row>
    <row r="6760">
      <c r="A6760" s="139" t="s">
        <v>43499</v>
      </c>
      <c r="B6760" s="140" t="s">
        <v>43500</v>
      </c>
      <c r="C6760" s="140" t="s">
        <v>43501</v>
      </c>
      <c r="D6760" s="140" t="s">
        <v>33342</v>
      </c>
      <c r="E6760" s="141" t="s">
        <v>43502</v>
      </c>
      <c r="F6760" s="139" t="s">
        <v>16486</v>
      </c>
      <c r="G6760" s="139" t="s">
        <v>33344</v>
      </c>
      <c r="H6760" s="139"/>
      <c r="I6760" s="140"/>
      <c r="J6760" s="140" t="s">
        <v>43503</v>
      </c>
      <c r="K6760" s="140" t="s">
        <v>43504</v>
      </c>
      <c r="L6760" s="140"/>
      <c r="M6760" s="154" t="s">
        <v>43505</v>
      </c>
      <c r="N6760" s="12"/>
      <c r="O6760" s="12"/>
      <c r="P6760" s="13">
        <f>IFERROR(__xludf.DUMMYFUNCTION("VALUE(SUBSTITUTE((INDEX(SPLIT(A6760,"",""),1)),""."","","",1))"),56.236191)</f>
        <v>56.236191</v>
      </c>
      <c r="Q6760" s="13">
        <f>IFERROR(__xludf.DUMMYFUNCTION("VALUE(SUBSTITUTE((INDEX(SPLIT(A6760,"",""),2)),""."","","",1))"),43.913711)</f>
        <v>43.913711</v>
      </c>
      <c r="R6760" s="14" t="b">
        <f t="shared" si="1"/>
        <v>0</v>
      </c>
      <c r="S6760" s="14" t="str">
        <f t="shared" si="2"/>
        <v>56.236191,43.913711</v>
      </c>
      <c r="T6760" s="12"/>
    </row>
    <row r="6761">
      <c r="A6761" s="136" t="s">
        <v>43506</v>
      </c>
      <c r="B6761" s="137" t="s">
        <v>43507</v>
      </c>
      <c r="C6761" s="137" t="s">
        <v>43508</v>
      </c>
      <c r="D6761" s="137" t="s">
        <v>33342</v>
      </c>
      <c r="E6761" s="138" t="s">
        <v>43509</v>
      </c>
      <c r="F6761" s="136" t="s">
        <v>16486</v>
      </c>
      <c r="G6761" s="136" t="s">
        <v>33344</v>
      </c>
      <c r="H6761" s="136"/>
      <c r="I6761" s="137"/>
      <c r="J6761" s="137" t="s">
        <v>43510</v>
      </c>
      <c r="K6761" s="137" t="s">
        <v>43511</v>
      </c>
      <c r="L6761" s="137"/>
      <c r="M6761" s="153" t="s">
        <v>43512</v>
      </c>
      <c r="N6761" s="12"/>
      <c r="O6761" s="12"/>
      <c r="P6761" s="13">
        <f>IFERROR(__xludf.DUMMYFUNCTION("VALUE(SUBSTITUTE((INDEX(SPLIT(A6761,"",""),1)),""."","","",1))"),56.242709)</f>
        <v>56.242709</v>
      </c>
      <c r="Q6761" s="13">
        <f>IFERROR(__xludf.DUMMYFUNCTION("VALUE(SUBSTITUTE((INDEX(SPLIT(A6761,"",""),2)),""."","","",1))"),43.924644)</f>
        <v>43.924644</v>
      </c>
      <c r="R6761" s="14" t="b">
        <f t="shared" si="1"/>
        <v>0</v>
      </c>
      <c r="S6761" s="14" t="str">
        <f t="shared" si="2"/>
        <v>56.242709,43.924644</v>
      </c>
      <c r="T6761" s="12"/>
    </row>
    <row r="6762">
      <c r="A6762" s="146" t="s">
        <v>43513</v>
      </c>
      <c r="B6762" s="147" t="s">
        <v>43514</v>
      </c>
      <c r="C6762" s="147" t="s">
        <v>43515</v>
      </c>
      <c r="D6762" s="147" t="s">
        <v>33342</v>
      </c>
      <c r="E6762" s="148" t="s">
        <v>43516</v>
      </c>
      <c r="F6762" s="146" t="s">
        <v>16486</v>
      </c>
      <c r="G6762" s="146" t="s">
        <v>33344</v>
      </c>
      <c r="H6762" s="146"/>
      <c r="I6762" s="147"/>
      <c r="J6762" s="147" t="s">
        <v>43517</v>
      </c>
      <c r="K6762" s="147" t="s">
        <v>43518</v>
      </c>
      <c r="L6762" s="149" t="s">
        <v>43519</v>
      </c>
      <c r="M6762" s="147"/>
      <c r="N6762" s="12"/>
      <c r="O6762" s="12"/>
      <c r="P6762" s="13">
        <f>IFERROR(__xludf.DUMMYFUNCTION("VALUE(SUBSTITUTE((INDEX(SPLIT(A6762,"",""),1)),""."","","",1))"),56.362965)</f>
        <v>56.362965</v>
      </c>
      <c r="Q6762" s="13">
        <f>IFERROR(__xludf.DUMMYFUNCTION("VALUE(SUBSTITUTE((INDEX(SPLIT(A6762,"",""),2)),""."","","",1))"),43.854252)</f>
        <v>43.854252</v>
      </c>
      <c r="R6762" s="14" t="b">
        <f t="shared" si="1"/>
        <v>0</v>
      </c>
      <c r="S6762" s="14" t="str">
        <f t="shared" si="2"/>
        <v>56.362965,43.854252</v>
      </c>
      <c r="T6762" s="12"/>
    </row>
    <row r="6763">
      <c r="A6763" s="136" t="s">
        <v>43520</v>
      </c>
      <c r="B6763" s="137" t="s">
        <v>43521</v>
      </c>
      <c r="C6763" s="137" t="s">
        <v>43522</v>
      </c>
      <c r="D6763" s="137" t="s">
        <v>33342</v>
      </c>
      <c r="E6763" s="138" t="s">
        <v>43523</v>
      </c>
      <c r="F6763" s="136" t="s">
        <v>16486</v>
      </c>
      <c r="G6763" s="136" t="s">
        <v>33344</v>
      </c>
      <c r="H6763" s="136"/>
      <c r="I6763" s="137"/>
      <c r="J6763" s="137" t="s">
        <v>43524</v>
      </c>
      <c r="K6763" s="137" t="s">
        <v>43525</v>
      </c>
      <c r="L6763" s="137"/>
      <c r="M6763" s="153" t="s">
        <v>43526</v>
      </c>
      <c r="N6763" s="12"/>
      <c r="O6763" s="12"/>
      <c r="P6763" s="13">
        <f>IFERROR(__xludf.DUMMYFUNCTION("VALUE(SUBSTITUTE((INDEX(SPLIT(A6763,"",""),1)),""."","","",1))"),56.313513)</f>
        <v>56.313513</v>
      </c>
      <c r="Q6763" s="13">
        <f>IFERROR(__xludf.DUMMYFUNCTION("VALUE(SUBSTITUTE((INDEX(SPLIT(A6763,"",""),2)),""."","","",1))"),43.903938)</f>
        <v>43.903938</v>
      </c>
      <c r="R6763" s="14" t="b">
        <f t="shared" si="1"/>
        <v>0</v>
      </c>
      <c r="S6763" s="14" t="str">
        <f t="shared" si="2"/>
        <v>56.313513,43.903938</v>
      </c>
      <c r="T6763" s="12"/>
    </row>
    <row r="6764">
      <c r="A6764" s="146" t="s">
        <v>43527</v>
      </c>
      <c r="B6764" s="147" t="s">
        <v>43528</v>
      </c>
      <c r="C6764" s="147" t="s">
        <v>43529</v>
      </c>
      <c r="D6764" s="147" t="s">
        <v>33342</v>
      </c>
      <c r="E6764" s="148" t="s">
        <v>43530</v>
      </c>
      <c r="F6764" s="146" t="s">
        <v>16486</v>
      </c>
      <c r="G6764" s="146" t="s">
        <v>33344</v>
      </c>
      <c r="H6764" s="146"/>
      <c r="I6764" s="147"/>
      <c r="J6764" s="147" t="s">
        <v>43531</v>
      </c>
      <c r="K6764" s="147" t="s">
        <v>43532</v>
      </c>
      <c r="L6764" s="149" t="s">
        <v>43533</v>
      </c>
      <c r="M6764" s="147"/>
      <c r="N6764" s="12"/>
      <c r="O6764" s="12"/>
      <c r="P6764" s="13">
        <f>IFERROR(__xludf.DUMMYFUNCTION("VALUE(SUBSTITUTE((INDEX(SPLIT(A6764,"",""),1)),""."","","",1))"),56.293722)</f>
        <v>56.293722</v>
      </c>
      <c r="Q6764" s="13">
        <f>IFERROR(__xludf.DUMMYFUNCTION("VALUE(SUBSTITUTE((INDEX(SPLIT(A6764,"",""),2)),""."","","",1))"),43.94827)</f>
        <v>43.94827</v>
      </c>
      <c r="R6764" s="14" t="b">
        <f t="shared" si="1"/>
        <v>0</v>
      </c>
      <c r="S6764" s="14" t="str">
        <f t="shared" si="2"/>
        <v>56.293722,43.94827</v>
      </c>
      <c r="T6764" s="12"/>
    </row>
    <row r="6765">
      <c r="A6765" s="136" t="s">
        <v>43534</v>
      </c>
      <c r="B6765" s="137" t="s">
        <v>43535</v>
      </c>
      <c r="C6765" s="137" t="s">
        <v>43536</v>
      </c>
      <c r="D6765" s="137" t="s">
        <v>33342</v>
      </c>
      <c r="E6765" s="138" t="s">
        <v>43537</v>
      </c>
      <c r="F6765" s="136" t="s">
        <v>16486</v>
      </c>
      <c r="G6765" s="136" t="s">
        <v>33344</v>
      </c>
      <c r="H6765" s="136"/>
      <c r="I6765" s="137"/>
      <c r="J6765" s="137" t="s">
        <v>43538</v>
      </c>
      <c r="K6765" s="137" t="s">
        <v>43539</v>
      </c>
      <c r="L6765" s="137"/>
      <c r="M6765" s="137"/>
      <c r="N6765" s="12"/>
      <c r="O6765" s="12"/>
      <c r="P6765" s="13">
        <f>IFERROR(__xludf.DUMMYFUNCTION("VALUE(SUBSTITUTE((INDEX(SPLIT(A6765,"",""),1)),""."","","",1))"),56.310503)</f>
        <v>56.310503</v>
      </c>
      <c r="Q6765" s="13">
        <f>IFERROR(__xludf.DUMMYFUNCTION("VALUE(SUBSTITUTE((INDEX(SPLIT(A6765,"",""),2)),""."","","",1))"),43.998342)</f>
        <v>43.998342</v>
      </c>
      <c r="R6765" s="14" t="b">
        <f t="shared" si="1"/>
        <v>0</v>
      </c>
      <c r="S6765" s="14" t="str">
        <f t="shared" si="2"/>
        <v>56.310503,43.998342</v>
      </c>
      <c r="T6765" s="12"/>
    </row>
    <row r="6766">
      <c r="A6766" s="139" t="s">
        <v>17410</v>
      </c>
      <c r="B6766" s="140" t="s">
        <v>43540</v>
      </c>
      <c r="C6766" s="140" t="s">
        <v>43541</v>
      </c>
      <c r="D6766" s="140" t="s">
        <v>33342</v>
      </c>
      <c r="E6766" s="141" t="s">
        <v>43542</v>
      </c>
      <c r="F6766" s="139" t="s">
        <v>16486</v>
      </c>
      <c r="G6766" s="139" t="s">
        <v>33344</v>
      </c>
      <c r="H6766" s="139"/>
      <c r="I6766" s="140"/>
      <c r="J6766" s="140" t="s">
        <v>43543</v>
      </c>
      <c r="K6766" s="140" t="s">
        <v>43544</v>
      </c>
      <c r="L6766" s="140"/>
      <c r="M6766" s="140"/>
      <c r="N6766" s="12"/>
      <c r="O6766" s="12"/>
      <c r="P6766" s="13">
        <f>IFERROR(__xludf.DUMMYFUNCTION("VALUE(SUBSTITUTE((INDEX(SPLIT(A6766,"",""),1)),""."","","",1))"),56.351355)</f>
        <v>56.351355</v>
      </c>
      <c r="Q6766" s="13">
        <f>IFERROR(__xludf.DUMMYFUNCTION("VALUE(SUBSTITUTE((INDEX(SPLIT(A6766,"",""),2)),""."","","",1))"),43.919551)</f>
        <v>43.919551</v>
      </c>
      <c r="R6766" s="14" t="b">
        <f t="shared" si="1"/>
        <v>0</v>
      </c>
      <c r="S6766" s="14" t="str">
        <f t="shared" si="2"/>
        <v>56.351355,43.919551</v>
      </c>
      <c r="T6766" s="12"/>
    </row>
    <row r="6767">
      <c r="A6767" s="142" t="s">
        <v>43545</v>
      </c>
      <c r="B6767" s="143" t="s">
        <v>43546</v>
      </c>
      <c r="C6767" s="143" t="s">
        <v>43547</v>
      </c>
      <c r="D6767" s="143" t="s">
        <v>33342</v>
      </c>
      <c r="E6767" s="144" t="s">
        <v>43548</v>
      </c>
      <c r="F6767" s="142" t="s">
        <v>16486</v>
      </c>
      <c r="G6767" s="142" t="s">
        <v>33344</v>
      </c>
      <c r="H6767" s="142"/>
      <c r="I6767" s="143"/>
      <c r="J6767" s="143" t="s">
        <v>43549</v>
      </c>
      <c r="K6767" s="143" t="s">
        <v>43511</v>
      </c>
      <c r="L6767" s="145" t="s">
        <v>43550</v>
      </c>
      <c r="M6767" s="143"/>
      <c r="N6767" s="12"/>
      <c r="O6767" s="12"/>
      <c r="P6767" s="13">
        <f>IFERROR(__xludf.DUMMYFUNCTION("VALUE(SUBSTITUTE((INDEX(SPLIT(A6767,"",""),1)),""."","","",1))"),56.323013)</f>
        <v>56.323013</v>
      </c>
      <c r="Q6767" s="13">
        <f>IFERROR(__xludf.DUMMYFUNCTION("VALUE(SUBSTITUTE((INDEX(SPLIT(A6767,"",""),2)),""."","","",1))"),43.984364)</f>
        <v>43.984364</v>
      </c>
      <c r="R6767" s="14" t="b">
        <f t="shared" si="1"/>
        <v>0</v>
      </c>
      <c r="S6767" s="14" t="str">
        <f t="shared" si="2"/>
        <v>56.323013,43.984364</v>
      </c>
      <c r="T6767" s="12"/>
    </row>
    <row r="6768">
      <c r="A6768" s="139" t="s">
        <v>43551</v>
      </c>
      <c r="B6768" s="140" t="s">
        <v>43552</v>
      </c>
      <c r="C6768" s="140" t="s">
        <v>43553</v>
      </c>
      <c r="D6768" s="140" t="s">
        <v>33342</v>
      </c>
      <c r="E6768" s="141" t="s">
        <v>43554</v>
      </c>
      <c r="F6768" s="139" t="s">
        <v>16486</v>
      </c>
      <c r="G6768" s="139" t="s">
        <v>33344</v>
      </c>
      <c r="H6768" s="139"/>
      <c r="I6768" s="140"/>
      <c r="J6768" s="140" t="s">
        <v>43555</v>
      </c>
      <c r="K6768" s="140" t="s">
        <v>43556</v>
      </c>
      <c r="L6768" s="140"/>
      <c r="M6768" s="154" t="s">
        <v>43557</v>
      </c>
      <c r="N6768" s="12"/>
      <c r="O6768" s="12"/>
      <c r="P6768" s="13">
        <f>IFERROR(__xludf.DUMMYFUNCTION("VALUE(SUBSTITUTE((INDEX(SPLIT(A6768,"",""),1)),""."","","",1))"),56.311037)</f>
        <v>56.311037</v>
      </c>
      <c r="Q6768" s="13">
        <f>IFERROR(__xludf.DUMMYFUNCTION("VALUE(SUBSTITUTE((INDEX(SPLIT(A6768,"",""),2)),""."","","",1))"),44.055888)</f>
        <v>44.055888</v>
      </c>
      <c r="R6768" s="14" t="b">
        <f t="shared" si="1"/>
        <v>0</v>
      </c>
      <c r="S6768" s="14" t="str">
        <f t="shared" si="2"/>
        <v>56.311037,44.055888</v>
      </c>
      <c r="T6768" s="12"/>
    </row>
    <row r="6769">
      <c r="A6769" s="142" t="s">
        <v>43558</v>
      </c>
      <c r="B6769" s="143" t="s">
        <v>43559</v>
      </c>
      <c r="C6769" s="143" t="s">
        <v>43560</v>
      </c>
      <c r="D6769" s="143" t="s">
        <v>33342</v>
      </c>
      <c r="E6769" s="144" t="s">
        <v>43561</v>
      </c>
      <c r="F6769" s="142" t="s">
        <v>16486</v>
      </c>
      <c r="G6769" s="142" t="s">
        <v>33344</v>
      </c>
      <c r="H6769" s="142"/>
      <c r="I6769" s="143"/>
      <c r="J6769" s="143" t="s">
        <v>43562</v>
      </c>
      <c r="K6769" s="143" t="s">
        <v>43563</v>
      </c>
      <c r="L6769" s="145" t="s">
        <v>43564</v>
      </c>
      <c r="M6769" s="143"/>
      <c r="N6769" s="12"/>
      <c r="O6769" s="12"/>
      <c r="P6769" s="13">
        <f>IFERROR(__xludf.DUMMYFUNCTION("VALUE(SUBSTITUTE((INDEX(SPLIT(A6769,"",""),1)),""."","","",1))"),56.342506)</f>
        <v>56.342506</v>
      </c>
      <c r="Q6769" s="13">
        <f>IFERROR(__xludf.DUMMYFUNCTION("VALUE(SUBSTITUTE((INDEX(SPLIT(A6769,"",""),2)),""."","","",1))"),44.097112)</f>
        <v>44.097112</v>
      </c>
      <c r="R6769" s="14" t="b">
        <f t="shared" si="1"/>
        <v>0</v>
      </c>
      <c r="S6769" s="14" t="str">
        <f t="shared" si="2"/>
        <v>56.342506,44.097112</v>
      </c>
      <c r="T6769" s="12"/>
    </row>
    <row r="6770">
      <c r="A6770" s="146" t="s">
        <v>43565</v>
      </c>
      <c r="B6770" s="147" t="s">
        <v>43566</v>
      </c>
      <c r="C6770" s="147" t="s">
        <v>43567</v>
      </c>
      <c r="D6770" s="147" t="s">
        <v>33342</v>
      </c>
      <c r="E6770" s="148" t="s">
        <v>43568</v>
      </c>
      <c r="F6770" s="146" t="s">
        <v>16486</v>
      </c>
      <c r="G6770" s="146" t="s">
        <v>33344</v>
      </c>
      <c r="H6770" s="146"/>
      <c r="I6770" s="147"/>
      <c r="J6770" s="147" t="s">
        <v>43569</v>
      </c>
      <c r="K6770" s="147" t="s">
        <v>43570</v>
      </c>
      <c r="L6770" s="149" t="s">
        <v>43571</v>
      </c>
      <c r="M6770" s="147"/>
      <c r="N6770" s="12"/>
      <c r="O6770" s="12"/>
      <c r="P6770" s="13">
        <f>IFERROR(__xludf.DUMMYFUNCTION("VALUE(SUBSTITUTE((INDEX(SPLIT(A6770,"",""),1)),""."","","",1))"),56.3252)</f>
        <v>56.3252</v>
      </c>
      <c r="Q6770" s="13">
        <f>IFERROR(__xludf.DUMMYFUNCTION("VALUE(SUBSTITUTE((INDEX(SPLIT(A6770,"",""),2)),""."","","",1))"),43.993428)</f>
        <v>43.993428</v>
      </c>
      <c r="R6770" s="14" t="b">
        <f t="shared" si="1"/>
        <v>0</v>
      </c>
      <c r="S6770" s="14" t="str">
        <f t="shared" si="2"/>
        <v>56.3252,43.993428</v>
      </c>
      <c r="T6770" s="12"/>
    </row>
    <row r="6771">
      <c r="A6771" s="142" t="s">
        <v>43572</v>
      </c>
      <c r="B6771" s="143" t="s">
        <v>43573</v>
      </c>
      <c r="C6771" s="143" t="s">
        <v>43574</v>
      </c>
      <c r="D6771" s="143" t="s">
        <v>33342</v>
      </c>
      <c r="E6771" s="144" t="s">
        <v>43575</v>
      </c>
      <c r="F6771" s="142" t="s">
        <v>16486</v>
      </c>
      <c r="G6771" s="142" t="s">
        <v>33344</v>
      </c>
      <c r="H6771" s="142"/>
      <c r="I6771" s="143"/>
      <c r="J6771" s="143" t="s">
        <v>43576</v>
      </c>
      <c r="K6771" s="143" t="s">
        <v>43577</v>
      </c>
      <c r="L6771" s="145" t="s">
        <v>17729</v>
      </c>
      <c r="M6771" s="143"/>
      <c r="N6771" s="12"/>
      <c r="O6771" s="12"/>
      <c r="P6771" s="13">
        <f>IFERROR(__xludf.DUMMYFUNCTION("VALUE(SUBSTITUTE((INDEX(SPLIT(A6771,"",""),1)),""."","","",1))"),56.325599)</f>
        <v>56.325599</v>
      </c>
      <c r="Q6771" s="13">
        <f>IFERROR(__xludf.DUMMYFUNCTION("VALUE(SUBSTITUTE((INDEX(SPLIT(A6771,"",""),2)),""."","","",1))"),44.003453)</f>
        <v>44.003453</v>
      </c>
      <c r="R6771" s="14" t="b">
        <f t="shared" si="1"/>
        <v>0</v>
      </c>
      <c r="S6771" s="14" t="str">
        <f t="shared" si="2"/>
        <v>56.325599,44.003453</v>
      </c>
      <c r="T6771" s="12"/>
    </row>
    <row r="6772">
      <c r="A6772" s="146" t="s">
        <v>17510</v>
      </c>
      <c r="B6772" s="147" t="s">
        <v>43578</v>
      </c>
      <c r="C6772" s="147" t="s">
        <v>43579</v>
      </c>
      <c r="D6772" s="147" t="s">
        <v>33342</v>
      </c>
      <c r="E6772" s="148" t="s">
        <v>43580</v>
      </c>
      <c r="F6772" s="146" t="s">
        <v>16486</v>
      </c>
      <c r="G6772" s="146" t="s">
        <v>33344</v>
      </c>
      <c r="H6772" s="146"/>
      <c r="I6772" s="147"/>
      <c r="J6772" s="147" t="s">
        <v>43581</v>
      </c>
      <c r="K6772" s="147" t="s">
        <v>43582</v>
      </c>
      <c r="L6772" s="150" t="s">
        <v>43583</v>
      </c>
      <c r="M6772" s="147"/>
      <c r="N6772" s="12"/>
      <c r="O6772" s="12"/>
      <c r="P6772" s="13">
        <f>IFERROR(__xludf.DUMMYFUNCTION("VALUE(SUBSTITUTE((INDEX(SPLIT(A6772,"",""),1)),""."","","",1))"),56.24464)</f>
        <v>56.24464</v>
      </c>
      <c r="Q6772" s="13">
        <f>IFERROR(__xludf.DUMMYFUNCTION("VALUE(SUBSTITUTE((INDEX(SPLIT(A6772,"",""),2)),""."","","",1))"),44.005232)</f>
        <v>44.005232</v>
      </c>
      <c r="R6772" s="14" t="b">
        <f t="shared" si="1"/>
        <v>0</v>
      </c>
      <c r="S6772" s="14" t="str">
        <f t="shared" si="2"/>
        <v>56.24464,44.005232</v>
      </c>
      <c r="T6772" s="12"/>
    </row>
    <row r="6773">
      <c r="A6773" s="136" t="s">
        <v>43584</v>
      </c>
      <c r="B6773" s="137" t="s">
        <v>43585</v>
      </c>
      <c r="C6773" s="137" t="s">
        <v>43586</v>
      </c>
      <c r="D6773" s="137" t="s">
        <v>33342</v>
      </c>
      <c r="E6773" s="138" t="s">
        <v>43587</v>
      </c>
      <c r="F6773" s="136" t="s">
        <v>16486</v>
      </c>
      <c r="G6773" s="136" t="s">
        <v>33344</v>
      </c>
      <c r="H6773" s="136"/>
      <c r="I6773" s="137"/>
      <c r="J6773" s="137" t="s">
        <v>43588</v>
      </c>
      <c r="K6773" s="137" t="s">
        <v>43589</v>
      </c>
      <c r="L6773" s="137"/>
      <c r="M6773" s="137"/>
      <c r="N6773" s="12"/>
      <c r="O6773" s="12"/>
      <c r="P6773" s="13">
        <f>IFERROR(__xludf.DUMMYFUNCTION("VALUE(SUBSTITUTE((INDEX(SPLIT(A6773,"",""),1)),""."","","",1))"),56.301289)</f>
        <v>56.301289</v>
      </c>
      <c r="Q6773" s="13">
        <f>IFERROR(__xludf.DUMMYFUNCTION("VALUE(SUBSTITUTE((INDEX(SPLIT(A6773,"",""),2)),""."","","",1))"),44.029909)</f>
        <v>44.029909</v>
      </c>
      <c r="R6773" s="14" t="b">
        <f t="shared" si="1"/>
        <v>0</v>
      </c>
      <c r="S6773" s="14" t="str">
        <f t="shared" si="2"/>
        <v>56.301289,44.029909</v>
      </c>
      <c r="T6773" s="12"/>
    </row>
    <row r="6774">
      <c r="A6774" s="139" t="s">
        <v>43590</v>
      </c>
      <c r="B6774" s="140" t="s">
        <v>43591</v>
      </c>
      <c r="C6774" s="140" t="s">
        <v>43592</v>
      </c>
      <c r="D6774" s="140" t="s">
        <v>33342</v>
      </c>
      <c r="E6774" s="141" t="s">
        <v>43593</v>
      </c>
      <c r="F6774" s="139" t="s">
        <v>16486</v>
      </c>
      <c r="G6774" s="139" t="s">
        <v>33344</v>
      </c>
      <c r="H6774" s="139"/>
      <c r="I6774" s="140"/>
      <c r="J6774" s="140" t="s">
        <v>43594</v>
      </c>
      <c r="K6774" s="140" t="s">
        <v>43595</v>
      </c>
      <c r="L6774" s="140"/>
      <c r="M6774" s="140"/>
      <c r="N6774" s="12"/>
      <c r="O6774" s="12"/>
      <c r="P6774" s="13">
        <f>IFERROR(__xludf.DUMMYFUNCTION("VALUE(SUBSTITUTE((INDEX(SPLIT(A6774,"",""),1)),""."","","",1))"),56.28353)</f>
        <v>56.28353</v>
      </c>
      <c r="Q6774" s="13">
        <f>IFERROR(__xludf.DUMMYFUNCTION("VALUE(SUBSTITUTE((INDEX(SPLIT(A6774,"",""),2)),""."","","",1))"),44.034786)</f>
        <v>44.034786</v>
      </c>
      <c r="R6774" s="14" t="b">
        <f t="shared" si="1"/>
        <v>0</v>
      </c>
      <c r="S6774" s="14" t="str">
        <f t="shared" si="2"/>
        <v>56.28353,44.034786</v>
      </c>
      <c r="T6774" s="12"/>
    </row>
    <row r="6775">
      <c r="A6775" s="142" t="s">
        <v>43596</v>
      </c>
      <c r="B6775" s="143" t="s">
        <v>43597</v>
      </c>
      <c r="C6775" s="143" t="s">
        <v>43598</v>
      </c>
      <c r="D6775" s="143" t="s">
        <v>33342</v>
      </c>
      <c r="E6775" s="144" t="s">
        <v>43599</v>
      </c>
      <c r="F6775" s="142" t="s">
        <v>16486</v>
      </c>
      <c r="G6775" s="142" t="s">
        <v>33344</v>
      </c>
      <c r="H6775" s="142"/>
      <c r="I6775" s="143"/>
      <c r="J6775" s="143" t="s">
        <v>43600</v>
      </c>
      <c r="K6775" s="143" t="s">
        <v>43601</v>
      </c>
      <c r="L6775" s="145" t="s">
        <v>43602</v>
      </c>
      <c r="M6775" s="143"/>
      <c r="N6775" s="12"/>
      <c r="O6775" s="12"/>
      <c r="P6775" s="13">
        <f>IFERROR(__xludf.DUMMYFUNCTION("VALUE(SUBSTITUTE((INDEX(SPLIT(A6775,"",""),1)),""."","","",1))"),56.362067)</f>
        <v>56.362067</v>
      </c>
      <c r="Q6775" s="13">
        <f>IFERROR(__xludf.DUMMYFUNCTION("VALUE(SUBSTITUTE((INDEX(SPLIT(A6775,"",""),2)),""."","","",1))"),43.820278)</f>
        <v>43.820278</v>
      </c>
      <c r="R6775" s="14" t="b">
        <f t="shared" si="1"/>
        <v>0</v>
      </c>
      <c r="S6775" s="14" t="str">
        <f t="shared" si="2"/>
        <v>56.362067,43.820278</v>
      </c>
      <c r="T6775" s="12"/>
    </row>
    <row r="6776">
      <c r="A6776" s="146" t="s">
        <v>17242</v>
      </c>
      <c r="B6776" s="147" t="s">
        <v>43603</v>
      </c>
      <c r="C6776" s="147" t="s">
        <v>43604</v>
      </c>
      <c r="D6776" s="147" t="s">
        <v>33342</v>
      </c>
      <c r="E6776" s="148" t="s">
        <v>43605</v>
      </c>
      <c r="F6776" s="146" t="s">
        <v>16486</v>
      </c>
      <c r="G6776" s="146" t="s">
        <v>33344</v>
      </c>
      <c r="H6776" s="146"/>
      <c r="I6776" s="147"/>
      <c r="J6776" s="147" t="s">
        <v>43606</v>
      </c>
      <c r="K6776" s="147" t="s">
        <v>43607</v>
      </c>
      <c r="L6776" s="150" t="s">
        <v>43608</v>
      </c>
      <c r="M6776" s="147"/>
      <c r="N6776" s="12"/>
      <c r="O6776" s="12"/>
      <c r="P6776" s="13">
        <f>IFERROR(__xludf.DUMMYFUNCTION("VALUE(SUBSTITUTE((INDEX(SPLIT(A6776,"",""),1)),""."","","",1))"),56.341707)</f>
        <v>56.341707</v>
      </c>
      <c r="Q6776" s="13">
        <f>IFERROR(__xludf.DUMMYFUNCTION("VALUE(SUBSTITUTE((INDEX(SPLIT(A6776,"",""),2)),""."","","",1))"),43.81929)</f>
        <v>43.81929</v>
      </c>
      <c r="R6776" s="14" t="b">
        <f t="shared" si="1"/>
        <v>0</v>
      </c>
      <c r="S6776" s="14" t="str">
        <f t="shared" si="2"/>
        <v>56.341707,43.81929</v>
      </c>
      <c r="T6776" s="12"/>
    </row>
    <row r="6777">
      <c r="A6777" s="136" t="s">
        <v>43609</v>
      </c>
      <c r="B6777" s="137" t="s">
        <v>43610</v>
      </c>
      <c r="C6777" s="137" t="s">
        <v>43611</v>
      </c>
      <c r="D6777" s="137" t="s">
        <v>33342</v>
      </c>
      <c r="E6777" s="138" t="s">
        <v>43612</v>
      </c>
      <c r="F6777" s="136" t="s">
        <v>5051</v>
      </c>
      <c r="G6777" s="136" t="s">
        <v>33344</v>
      </c>
      <c r="H6777" s="136"/>
      <c r="I6777" s="137"/>
      <c r="J6777" s="137" t="s">
        <v>43613</v>
      </c>
      <c r="K6777" s="137" t="s">
        <v>43614</v>
      </c>
      <c r="L6777" s="137"/>
      <c r="M6777" s="137"/>
      <c r="N6777" s="12"/>
      <c r="O6777" s="12"/>
      <c r="P6777" s="13">
        <f>IFERROR(__xludf.DUMMYFUNCTION("VALUE(SUBSTITUTE((INDEX(SPLIT(A6777,"",""),1)),""."","","",1))"),58.497429)</f>
        <v>58.497429</v>
      </c>
      <c r="Q6777" s="13">
        <f>IFERROR(__xludf.DUMMYFUNCTION("VALUE(SUBSTITUTE((INDEX(SPLIT(A6777,"",""),2)),""."","","",1))"),31.194681)</f>
        <v>31.194681</v>
      </c>
      <c r="R6777" s="14" t="b">
        <f t="shared" si="1"/>
        <v>0</v>
      </c>
      <c r="S6777" s="14" t="str">
        <f t="shared" si="2"/>
        <v>58.497429,31.194681</v>
      </c>
      <c r="T6777" s="12"/>
    </row>
    <row r="6778">
      <c r="A6778" s="139" t="s">
        <v>43615</v>
      </c>
      <c r="B6778" s="140" t="s">
        <v>43616</v>
      </c>
      <c r="C6778" s="140" t="s">
        <v>43617</v>
      </c>
      <c r="D6778" s="140" t="s">
        <v>33342</v>
      </c>
      <c r="E6778" s="141" t="s">
        <v>43618</v>
      </c>
      <c r="F6778" s="139" t="s">
        <v>5051</v>
      </c>
      <c r="G6778" s="139" t="s">
        <v>33344</v>
      </c>
      <c r="H6778" s="139"/>
      <c r="I6778" s="140"/>
      <c r="J6778" s="140" t="s">
        <v>43619</v>
      </c>
      <c r="K6778" s="140" t="s">
        <v>43620</v>
      </c>
      <c r="L6778" s="140"/>
      <c r="M6778" s="140"/>
      <c r="N6778" s="12"/>
      <c r="O6778" s="12"/>
      <c r="P6778" s="13">
        <f>IFERROR(__xludf.DUMMYFUNCTION("VALUE(SUBSTITUTE((INDEX(SPLIT(A6778,"",""),1)),""."","","",1))"),59.121056)</f>
        <v>59.121056</v>
      </c>
      <c r="Q6778" s="13">
        <f>IFERROR(__xludf.DUMMYFUNCTION("VALUE(SUBSTITUTE((INDEX(SPLIT(A6778,"",""),2)),""."","","",1))"),31.649866)</f>
        <v>31.649866</v>
      </c>
      <c r="R6778" s="14" t="b">
        <f t="shared" si="1"/>
        <v>0</v>
      </c>
      <c r="S6778" s="14" t="str">
        <f t="shared" si="2"/>
        <v>59.121056,31.649866</v>
      </c>
      <c r="T6778" s="12"/>
    </row>
    <row r="6779">
      <c r="A6779" s="136" t="s">
        <v>6195</v>
      </c>
      <c r="B6779" s="137" t="s">
        <v>28451</v>
      </c>
      <c r="C6779" s="137" t="s">
        <v>43621</v>
      </c>
      <c r="D6779" s="137" t="s">
        <v>33342</v>
      </c>
      <c r="E6779" s="138" t="s">
        <v>43622</v>
      </c>
      <c r="F6779" s="136" t="s">
        <v>5051</v>
      </c>
      <c r="G6779" s="136" t="s">
        <v>33344</v>
      </c>
      <c r="H6779" s="136"/>
      <c r="I6779" s="156" t="s">
        <v>43623</v>
      </c>
      <c r="J6779" s="137" t="s">
        <v>43624</v>
      </c>
      <c r="K6779" s="137" t="s">
        <v>6200</v>
      </c>
      <c r="L6779" s="137"/>
      <c r="M6779" s="137"/>
      <c r="N6779" s="12"/>
      <c r="O6779" s="12"/>
      <c r="P6779" s="13">
        <f>IFERROR(__xludf.DUMMYFUNCTION("VALUE(SUBSTITUTE((INDEX(SPLIT(A6779,"",""),1)),""."","","",1))"),58.375909)</f>
        <v>58.375909</v>
      </c>
      <c r="Q6779" s="13">
        <f>IFERROR(__xludf.DUMMYFUNCTION("VALUE(SUBSTITUTE((INDEX(SPLIT(A6779,"",""),2)),""."","","",1))"),33.882494)</f>
        <v>33.882494</v>
      </c>
      <c r="R6779" s="14" t="b">
        <f t="shared" si="1"/>
        <v>0</v>
      </c>
      <c r="S6779" s="14" t="str">
        <f t="shared" si="2"/>
        <v>58.375909,33.882494</v>
      </c>
      <c r="T6779" s="12"/>
    </row>
    <row r="6780">
      <c r="A6780" s="139" t="s">
        <v>43625</v>
      </c>
      <c r="B6780" s="140" t="s">
        <v>43626</v>
      </c>
      <c r="C6780" s="140" t="s">
        <v>43627</v>
      </c>
      <c r="D6780" s="140" t="s">
        <v>33342</v>
      </c>
      <c r="E6780" s="141" t="s">
        <v>43628</v>
      </c>
      <c r="F6780" s="139" t="s">
        <v>5051</v>
      </c>
      <c r="G6780" s="139" t="s">
        <v>33344</v>
      </c>
      <c r="H6780" s="139"/>
      <c r="I6780" s="157" t="s">
        <v>43629</v>
      </c>
      <c r="J6780" s="140" t="s">
        <v>43630</v>
      </c>
      <c r="K6780" s="140" t="s">
        <v>43631</v>
      </c>
      <c r="L6780" s="140"/>
      <c r="M6780" s="140"/>
      <c r="N6780" s="12"/>
      <c r="O6780" s="12"/>
      <c r="P6780" s="13">
        <f>IFERROR(__xludf.DUMMYFUNCTION("VALUE(SUBSTITUTE((INDEX(SPLIT(A6780,"",""),1)),""."","","",1))"),58.57459)</f>
        <v>58.57459</v>
      </c>
      <c r="Q6780" s="13">
        <f>IFERROR(__xludf.DUMMYFUNCTION("VALUE(SUBSTITUTE((INDEX(SPLIT(A6780,"",""),2)),""."","","",1))"),31.285312)</f>
        <v>31.285312</v>
      </c>
      <c r="R6780" s="14" t="b">
        <f t="shared" si="1"/>
        <v>0</v>
      </c>
      <c r="S6780" s="14" t="str">
        <f t="shared" si="2"/>
        <v>58.57459,31.285312</v>
      </c>
      <c r="T6780" s="12"/>
    </row>
    <row r="6781">
      <c r="A6781" s="142" t="s">
        <v>43632</v>
      </c>
      <c r="B6781" s="143" t="s">
        <v>43633</v>
      </c>
      <c r="C6781" s="143" t="s">
        <v>43634</v>
      </c>
      <c r="D6781" s="143" t="s">
        <v>33342</v>
      </c>
      <c r="E6781" s="144" t="s">
        <v>43635</v>
      </c>
      <c r="F6781" s="142" t="s">
        <v>5051</v>
      </c>
      <c r="G6781" s="142" t="s">
        <v>33344</v>
      </c>
      <c r="H6781" s="142"/>
      <c r="I6781" s="143"/>
      <c r="J6781" s="143" t="s">
        <v>43636</v>
      </c>
      <c r="K6781" s="143" t="s">
        <v>43637</v>
      </c>
      <c r="L6781" s="145" t="s">
        <v>43638</v>
      </c>
      <c r="M6781" s="143"/>
      <c r="N6781" s="12"/>
      <c r="O6781" s="12"/>
      <c r="P6781" s="13">
        <f>IFERROR(__xludf.DUMMYFUNCTION("VALUE(SUBSTITUTE((INDEX(SPLIT(A6781,"",""),1)),""."","","",1))"),58.542645)</f>
        <v>58.542645</v>
      </c>
      <c r="Q6781" s="13">
        <f>IFERROR(__xludf.DUMMYFUNCTION("VALUE(SUBSTITUTE((INDEX(SPLIT(A6781,"",""),2)),""."","","",1))"),31.224604)</f>
        <v>31.224604</v>
      </c>
      <c r="R6781" s="14" t="b">
        <f t="shared" si="1"/>
        <v>0</v>
      </c>
      <c r="S6781" s="14" t="str">
        <f t="shared" si="2"/>
        <v>58.542645,31.224604</v>
      </c>
      <c r="T6781" s="12"/>
    </row>
    <row r="6782">
      <c r="A6782" s="139" t="s">
        <v>43639</v>
      </c>
      <c r="B6782" s="140" t="s">
        <v>43640</v>
      </c>
      <c r="C6782" s="140" t="s">
        <v>43641</v>
      </c>
      <c r="D6782" s="140" t="s">
        <v>33342</v>
      </c>
      <c r="E6782" s="141" t="s">
        <v>43642</v>
      </c>
      <c r="F6782" s="139" t="s">
        <v>5051</v>
      </c>
      <c r="G6782" s="139" t="s">
        <v>33344</v>
      </c>
      <c r="H6782" s="139"/>
      <c r="I6782" s="140"/>
      <c r="J6782" s="140" t="s">
        <v>43643</v>
      </c>
      <c r="K6782" s="140" t="s">
        <v>43644</v>
      </c>
      <c r="L6782" s="140"/>
      <c r="M6782" s="154" t="s">
        <v>43645</v>
      </c>
      <c r="N6782" s="12"/>
      <c r="O6782" s="12"/>
      <c r="P6782" s="13">
        <f>IFERROR(__xludf.DUMMYFUNCTION("VALUE(SUBSTITUTE((INDEX(SPLIT(A6782,"",""),1)),""."","","",1))"),58.559708)</f>
        <v>58.559708</v>
      </c>
      <c r="Q6782" s="13">
        <f>IFERROR(__xludf.DUMMYFUNCTION("VALUE(SUBSTITUTE((INDEX(SPLIT(A6782,"",""),2)),""."","","",1))"),31.252928)</f>
        <v>31.252928</v>
      </c>
      <c r="R6782" s="14" t="b">
        <f t="shared" si="1"/>
        <v>0</v>
      </c>
      <c r="S6782" s="14" t="str">
        <f t="shared" si="2"/>
        <v>58.559708,31.252928</v>
      </c>
      <c r="T6782" s="12"/>
    </row>
    <row r="6783">
      <c r="A6783" s="142" t="s">
        <v>43646</v>
      </c>
      <c r="B6783" s="143" t="s">
        <v>43647</v>
      </c>
      <c r="C6783" s="143" t="s">
        <v>43648</v>
      </c>
      <c r="D6783" s="143" t="s">
        <v>33342</v>
      </c>
      <c r="E6783" s="144" t="s">
        <v>43649</v>
      </c>
      <c r="F6783" s="142" t="s">
        <v>5051</v>
      </c>
      <c r="G6783" s="142" t="s">
        <v>33344</v>
      </c>
      <c r="H6783" s="142"/>
      <c r="I6783" s="155" t="s">
        <v>43650</v>
      </c>
      <c r="J6783" s="143" t="s">
        <v>43651</v>
      </c>
      <c r="K6783" s="143" t="s">
        <v>43652</v>
      </c>
      <c r="L6783" s="145" t="s">
        <v>43653</v>
      </c>
      <c r="M6783" s="143"/>
      <c r="N6783" s="12"/>
      <c r="O6783" s="12"/>
      <c r="P6783" s="13">
        <f>IFERROR(__xludf.DUMMYFUNCTION("VALUE(SUBSTITUTE((INDEX(SPLIT(A6783,"",""),1)),""."","","",1))"),59.938676)</f>
        <v>59.938676</v>
      </c>
      <c r="Q6783" s="13">
        <f>IFERROR(__xludf.DUMMYFUNCTION("VALUE(SUBSTITUTE((INDEX(SPLIT(A6783,"",""),2)),""."","","",1))"),30.314494)</f>
        <v>30.314494</v>
      </c>
      <c r="R6783" s="14" t="b">
        <f t="shared" si="1"/>
        <v>0</v>
      </c>
      <c r="S6783" s="14" t="str">
        <f t="shared" si="2"/>
        <v>59.938676,30.314494</v>
      </c>
      <c r="T6783" s="12"/>
    </row>
    <row r="6784">
      <c r="A6784" s="139" t="s">
        <v>43654</v>
      </c>
      <c r="B6784" s="140" t="s">
        <v>43655</v>
      </c>
      <c r="C6784" s="140" t="s">
        <v>43656</v>
      </c>
      <c r="D6784" s="140" t="s">
        <v>33342</v>
      </c>
      <c r="E6784" s="141" t="s">
        <v>43657</v>
      </c>
      <c r="F6784" s="139" t="s">
        <v>9648</v>
      </c>
      <c r="G6784" s="139" t="s">
        <v>33344</v>
      </c>
      <c r="H6784" s="139"/>
      <c r="I6784" s="140"/>
      <c r="J6784" s="140" t="s">
        <v>43658</v>
      </c>
      <c r="K6784" s="140" t="s">
        <v>43659</v>
      </c>
      <c r="L6784" s="140"/>
      <c r="M6784" s="140"/>
      <c r="N6784" s="12"/>
      <c r="O6784" s="12"/>
      <c r="P6784" s="13">
        <f>IFERROR(__xludf.DUMMYFUNCTION("VALUE(SUBSTITUTE((INDEX(SPLIT(A6784,"",""),1)),""."","","",1))"),55.051494)</f>
        <v>55.051494</v>
      </c>
      <c r="Q6784" s="13">
        <f>IFERROR(__xludf.DUMMYFUNCTION("VALUE(SUBSTITUTE((INDEX(SPLIT(A6784,"",""),2)),""."","","",1))"),82.975451)</f>
        <v>82.975451</v>
      </c>
      <c r="R6784" s="14" t="b">
        <f t="shared" si="1"/>
        <v>0</v>
      </c>
      <c r="S6784" s="14" t="str">
        <f t="shared" si="2"/>
        <v>55.051494,82.975451</v>
      </c>
      <c r="T6784" s="12"/>
    </row>
    <row r="6785">
      <c r="A6785" s="136" t="s">
        <v>43660</v>
      </c>
      <c r="B6785" s="137" t="s">
        <v>43661</v>
      </c>
      <c r="C6785" s="137" t="s">
        <v>43662</v>
      </c>
      <c r="D6785" s="137" t="s">
        <v>33342</v>
      </c>
      <c r="E6785" s="138" t="s">
        <v>43663</v>
      </c>
      <c r="F6785" s="136" t="s">
        <v>9648</v>
      </c>
      <c r="G6785" s="136" t="s">
        <v>33344</v>
      </c>
      <c r="H6785" s="136"/>
      <c r="I6785" s="137"/>
      <c r="J6785" s="137" t="s">
        <v>43664</v>
      </c>
      <c r="K6785" s="137" t="s">
        <v>43665</v>
      </c>
      <c r="L6785" s="137"/>
      <c r="M6785" s="153" t="s">
        <v>43666</v>
      </c>
      <c r="N6785" s="12"/>
      <c r="O6785" s="12"/>
      <c r="P6785" s="13">
        <f>IFERROR(__xludf.DUMMYFUNCTION("VALUE(SUBSTITUTE((INDEX(SPLIT(A6785,"",""),1)),""."","","",1))"),54.946291)</f>
        <v>54.946291</v>
      </c>
      <c r="Q6785" s="13">
        <f>IFERROR(__xludf.DUMMYFUNCTION("VALUE(SUBSTITUTE((INDEX(SPLIT(A6785,"",""),2)),""."","","",1))"),82.858545)</f>
        <v>82.858545</v>
      </c>
      <c r="R6785" s="14" t="b">
        <f t="shared" si="1"/>
        <v>0</v>
      </c>
      <c r="S6785" s="14" t="str">
        <f t="shared" si="2"/>
        <v>54.946291,82.858545</v>
      </c>
      <c r="T6785" s="12"/>
    </row>
    <row r="6786">
      <c r="A6786" s="146" t="s">
        <v>43667</v>
      </c>
      <c r="B6786" s="147" t="s">
        <v>43668</v>
      </c>
      <c r="C6786" s="147" t="s">
        <v>43669</v>
      </c>
      <c r="D6786" s="147" t="s">
        <v>33342</v>
      </c>
      <c r="E6786" s="148" t="s">
        <v>43670</v>
      </c>
      <c r="F6786" s="146" t="s">
        <v>9648</v>
      </c>
      <c r="G6786" s="146" t="s">
        <v>33344</v>
      </c>
      <c r="H6786" s="146"/>
      <c r="I6786" s="147"/>
      <c r="J6786" s="147" t="s">
        <v>43671</v>
      </c>
      <c r="K6786" s="147" t="s">
        <v>43672</v>
      </c>
      <c r="L6786" s="149" t="s">
        <v>43673</v>
      </c>
      <c r="M6786" s="147"/>
      <c r="N6786" s="12"/>
      <c r="O6786" s="12"/>
      <c r="P6786" s="13">
        <f>IFERROR(__xludf.DUMMYFUNCTION("VALUE(SUBSTITUTE((INDEX(SPLIT(A6786,"",""),1)),""."","","",1))"),55.055764)</f>
        <v>55.055764</v>
      </c>
      <c r="Q6786" s="13">
        <f>IFERROR(__xludf.DUMMYFUNCTION("VALUE(SUBSTITUTE((INDEX(SPLIT(A6786,"",""),2)),""."","","",1))"),82.908769)</f>
        <v>82.908769</v>
      </c>
      <c r="R6786" s="14" t="b">
        <f t="shared" si="1"/>
        <v>0</v>
      </c>
      <c r="S6786" s="14" t="str">
        <f t="shared" si="2"/>
        <v>55.055764,82.908769</v>
      </c>
      <c r="T6786" s="12"/>
    </row>
    <row r="6787">
      <c r="A6787" s="142" t="s">
        <v>43674</v>
      </c>
      <c r="B6787" s="143" t="s">
        <v>43675</v>
      </c>
      <c r="C6787" s="143" t="s">
        <v>43676</v>
      </c>
      <c r="D6787" s="143" t="s">
        <v>33342</v>
      </c>
      <c r="E6787" s="144" t="s">
        <v>43677</v>
      </c>
      <c r="F6787" s="142" t="s">
        <v>9648</v>
      </c>
      <c r="G6787" s="142" t="s">
        <v>33344</v>
      </c>
      <c r="H6787" s="142"/>
      <c r="I6787" s="143"/>
      <c r="J6787" s="143" t="s">
        <v>43678</v>
      </c>
      <c r="K6787" s="143" t="s">
        <v>43672</v>
      </c>
      <c r="L6787" s="152" t="s">
        <v>43679</v>
      </c>
      <c r="M6787" s="143"/>
      <c r="N6787" s="12"/>
      <c r="O6787" s="12"/>
      <c r="P6787" s="13">
        <f>IFERROR(__xludf.DUMMYFUNCTION("VALUE(SUBSTITUTE((INDEX(SPLIT(A6787,"",""),1)),""."","","",1))"),54.95522)</f>
        <v>54.95522</v>
      </c>
      <c r="Q6787" s="13">
        <f>IFERROR(__xludf.DUMMYFUNCTION("VALUE(SUBSTITUTE((INDEX(SPLIT(A6787,"",""),2)),""."","","",1))"),82.855688)</f>
        <v>82.855688</v>
      </c>
      <c r="R6787" s="14" t="b">
        <f t="shared" si="1"/>
        <v>0</v>
      </c>
      <c r="S6787" s="14" t="str">
        <f t="shared" si="2"/>
        <v>54.95522,82.855688</v>
      </c>
      <c r="T6787" s="12"/>
    </row>
    <row r="6788">
      <c r="A6788" s="146" t="s">
        <v>43680</v>
      </c>
      <c r="B6788" s="147" t="s">
        <v>43681</v>
      </c>
      <c r="C6788" s="147" t="s">
        <v>43682</v>
      </c>
      <c r="D6788" s="147" t="s">
        <v>33342</v>
      </c>
      <c r="E6788" s="148" t="s">
        <v>43683</v>
      </c>
      <c r="F6788" s="146" t="s">
        <v>9648</v>
      </c>
      <c r="G6788" s="146" t="s">
        <v>33344</v>
      </c>
      <c r="H6788" s="146"/>
      <c r="I6788" s="147"/>
      <c r="J6788" s="147" t="s">
        <v>43684</v>
      </c>
      <c r="K6788" s="147" t="s">
        <v>43685</v>
      </c>
      <c r="L6788" s="150" t="s">
        <v>43686</v>
      </c>
      <c r="M6788" s="147"/>
      <c r="N6788" s="12"/>
      <c r="O6788" s="12"/>
      <c r="P6788" s="13">
        <f>IFERROR(__xludf.DUMMYFUNCTION("VALUE(SUBSTITUTE((INDEX(SPLIT(A6788,"",""),1)),""."","","",1))"),54.960395)</f>
        <v>54.960395</v>
      </c>
      <c r="Q6788" s="13">
        <f>IFERROR(__xludf.DUMMYFUNCTION("VALUE(SUBSTITUTE((INDEX(SPLIT(A6788,"",""),2)),""."","","",1))"),82.946562)</f>
        <v>82.946562</v>
      </c>
      <c r="R6788" s="14" t="b">
        <f t="shared" si="1"/>
        <v>0</v>
      </c>
      <c r="S6788" s="14" t="str">
        <f t="shared" si="2"/>
        <v>54.960395,82.946562</v>
      </c>
      <c r="T6788" s="12"/>
    </row>
    <row r="6789">
      <c r="A6789" s="136" t="s">
        <v>28372</v>
      </c>
      <c r="B6789" s="137" t="s">
        <v>43687</v>
      </c>
      <c r="C6789" s="137" t="s">
        <v>43688</v>
      </c>
      <c r="D6789" s="137" t="s">
        <v>33342</v>
      </c>
      <c r="E6789" s="138" t="s">
        <v>43689</v>
      </c>
      <c r="F6789" s="136" t="s">
        <v>9648</v>
      </c>
      <c r="G6789" s="136" t="s">
        <v>33344</v>
      </c>
      <c r="H6789" s="136"/>
      <c r="I6789" s="137"/>
      <c r="J6789" s="137" t="s">
        <v>43690</v>
      </c>
      <c r="K6789" s="137" t="s">
        <v>43691</v>
      </c>
      <c r="L6789" s="137"/>
      <c r="M6789" s="137"/>
      <c r="N6789" s="12"/>
      <c r="O6789" s="12"/>
      <c r="P6789" s="13">
        <f>IFERROR(__xludf.DUMMYFUNCTION("VALUE(SUBSTITUTE((INDEX(SPLIT(A6789,"",""),1)),""."","","",1))"),55.063091)</f>
        <v>55.063091</v>
      </c>
      <c r="Q6789" s="13">
        <f>IFERROR(__xludf.DUMMYFUNCTION("VALUE(SUBSTITUTE((INDEX(SPLIT(A6789,"",""),2)),""."","","",1))"),83.224204)</f>
        <v>83.224204</v>
      </c>
      <c r="R6789" s="14" t="b">
        <f t="shared" si="1"/>
        <v>0</v>
      </c>
      <c r="S6789" s="14" t="str">
        <f t="shared" si="2"/>
        <v>55.063091,83.224204</v>
      </c>
      <c r="T6789" s="12"/>
    </row>
    <row r="6790">
      <c r="A6790" s="146" t="s">
        <v>43692</v>
      </c>
      <c r="B6790" s="147" t="s">
        <v>43693</v>
      </c>
      <c r="C6790" s="147" t="s">
        <v>43694</v>
      </c>
      <c r="D6790" s="147" t="s">
        <v>33342</v>
      </c>
      <c r="E6790" s="148" t="s">
        <v>43695</v>
      </c>
      <c r="F6790" s="146" t="s">
        <v>9648</v>
      </c>
      <c r="G6790" s="146" t="s">
        <v>33344</v>
      </c>
      <c r="H6790" s="146"/>
      <c r="I6790" s="147"/>
      <c r="J6790" s="147" t="s">
        <v>43696</v>
      </c>
      <c r="K6790" s="147" t="s">
        <v>43697</v>
      </c>
      <c r="L6790" s="150" t="s">
        <v>43698</v>
      </c>
      <c r="M6790" s="147"/>
      <c r="N6790" s="12"/>
      <c r="O6790" s="12"/>
      <c r="P6790" s="13">
        <f>IFERROR(__xludf.DUMMYFUNCTION("VALUE(SUBSTITUTE((INDEX(SPLIT(A6790,"",""),1)),""."","","",1))"),54.987239)</f>
        <v>54.987239</v>
      </c>
      <c r="Q6790" s="13">
        <f>IFERROR(__xludf.DUMMYFUNCTION("VALUE(SUBSTITUTE((INDEX(SPLIT(A6790,"",""),2)),""."","","",1))"),83.040552)</f>
        <v>83.040552</v>
      </c>
      <c r="R6790" s="14" t="b">
        <f t="shared" si="1"/>
        <v>0</v>
      </c>
      <c r="S6790" s="14" t="str">
        <f t="shared" si="2"/>
        <v>54.987239,83.040552</v>
      </c>
      <c r="T6790" s="12"/>
    </row>
    <row r="6791">
      <c r="A6791" s="142" t="s">
        <v>43699</v>
      </c>
      <c r="B6791" s="143" t="s">
        <v>43700</v>
      </c>
      <c r="C6791" s="143" t="s">
        <v>43701</v>
      </c>
      <c r="D6791" s="143" t="s">
        <v>33342</v>
      </c>
      <c r="E6791" s="144" t="s">
        <v>43702</v>
      </c>
      <c r="F6791" s="142" t="s">
        <v>9648</v>
      </c>
      <c r="G6791" s="142" t="s">
        <v>33344</v>
      </c>
      <c r="H6791" s="142"/>
      <c r="I6791" s="143"/>
      <c r="J6791" s="143" t="s">
        <v>43703</v>
      </c>
      <c r="K6791" s="143" t="s">
        <v>43704</v>
      </c>
      <c r="L6791" s="152" t="s">
        <v>43705</v>
      </c>
      <c r="M6791" s="143"/>
      <c r="N6791" s="12"/>
      <c r="O6791" s="12"/>
      <c r="P6791" s="13">
        <f>IFERROR(__xludf.DUMMYFUNCTION("VALUE(SUBSTITUTE((INDEX(SPLIT(A6791,"",""),1)),""."","","",1))"),54.990834)</f>
        <v>54.990834</v>
      </c>
      <c r="Q6791" s="13">
        <f>IFERROR(__xludf.DUMMYFUNCTION("VALUE(SUBSTITUTE((INDEX(SPLIT(A6791,"",""),2)),""."","","",1))"),82.908159)</f>
        <v>82.908159</v>
      </c>
      <c r="R6791" s="14" t="b">
        <f t="shared" si="1"/>
        <v>0</v>
      </c>
      <c r="S6791" s="14" t="str">
        <f t="shared" si="2"/>
        <v>54.990834,82.908159</v>
      </c>
      <c r="T6791" s="12"/>
    </row>
    <row r="6792">
      <c r="A6792" s="146" t="s">
        <v>43706</v>
      </c>
      <c r="B6792" s="147" t="s">
        <v>43707</v>
      </c>
      <c r="C6792" s="147" t="s">
        <v>43708</v>
      </c>
      <c r="D6792" s="147" t="s">
        <v>33342</v>
      </c>
      <c r="E6792" s="148" t="s">
        <v>43709</v>
      </c>
      <c r="F6792" s="146" t="s">
        <v>9648</v>
      </c>
      <c r="G6792" s="146" t="s">
        <v>33344</v>
      </c>
      <c r="H6792" s="146"/>
      <c r="I6792" s="147"/>
      <c r="J6792" s="147" t="s">
        <v>43710</v>
      </c>
      <c r="K6792" s="147" t="s">
        <v>43711</v>
      </c>
      <c r="L6792" s="150" t="s">
        <v>43712</v>
      </c>
      <c r="M6792" s="147"/>
      <c r="N6792" s="12"/>
      <c r="O6792" s="12"/>
      <c r="P6792" s="13">
        <f>IFERROR(__xludf.DUMMYFUNCTION("VALUE(SUBSTITUTE((INDEX(SPLIT(A6792,"",""),1)),""."","","",1))"),55.15856)</f>
        <v>55.15856</v>
      </c>
      <c r="Q6792" s="13">
        <f>IFERROR(__xludf.DUMMYFUNCTION("VALUE(SUBSTITUTE((INDEX(SPLIT(A6792,"",""),2)),""."","","",1))"),83.118212)</f>
        <v>83.118212</v>
      </c>
      <c r="R6792" s="14" t="b">
        <f t="shared" si="1"/>
        <v>0</v>
      </c>
      <c r="S6792" s="14" t="str">
        <f t="shared" si="2"/>
        <v>55.15856,83.118212</v>
      </c>
      <c r="T6792" s="12"/>
    </row>
    <row r="6793">
      <c r="A6793" s="142" t="s">
        <v>27693</v>
      </c>
      <c r="B6793" s="143" t="s">
        <v>43713</v>
      </c>
      <c r="C6793" s="143" t="s">
        <v>43714</v>
      </c>
      <c r="D6793" s="143" t="s">
        <v>33342</v>
      </c>
      <c r="E6793" s="144" t="s">
        <v>43715</v>
      </c>
      <c r="F6793" s="142" t="s">
        <v>9648</v>
      </c>
      <c r="G6793" s="142" t="s">
        <v>33344</v>
      </c>
      <c r="H6793" s="142"/>
      <c r="I6793" s="143"/>
      <c r="J6793" s="143" t="s">
        <v>43716</v>
      </c>
      <c r="K6793" s="143" t="s">
        <v>43717</v>
      </c>
      <c r="L6793" s="152" t="s">
        <v>43718</v>
      </c>
      <c r="M6793" s="143"/>
      <c r="N6793" s="12"/>
      <c r="O6793" s="12"/>
      <c r="P6793" s="13">
        <f>IFERROR(__xludf.DUMMYFUNCTION("VALUE(SUBSTITUTE((INDEX(SPLIT(A6793,"",""),1)),""."","","",1))"),55.006394)</f>
        <v>55.006394</v>
      </c>
      <c r="Q6793" s="13">
        <f>IFERROR(__xludf.DUMMYFUNCTION("VALUE(SUBSTITUTE((INDEX(SPLIT(A6793,"",""),2)),""."","","",1))"),82.782727)</f>
        <v>82.782727</v>
      </c>
      <c r="R6793" s="14" t="b">
        <f t="shared" si="1"/>
        <v>0</v>
      </c>
      <c r="S6793" s="14" t="str">
        <f t="shared" si="2"/>
        <v>55.006394,82.782727</v>
      </c>
      <c r="T6793" s="12"/>
    </row>
    <row r="6794">
      <c r="A6794" s="146" t="s">
        <v>43719</v>
      </c>
      <c r="B6794" s="147" t="s">
        <v>23932</v>
      </c>
      <c r="C6794" s="147" t="s">
        <v>43720</v>
      </c>
      <c r="D6794" s="147" t="s">
        <v>33342</v>
      </c>
      <c r="E6794" s="148" t="s">
        <v>43721</v>
      </c>
      <c r="F6794" s="146" t="s">
        <v>9648</v>
      </c>
      <c r="G6794" s="146" t="s">
        <v>33344</v>
      </c>
      <c r="H6794" s="146"/>
      <c r="I6794" s="147"/>
      <c r="J6794" s="147" t="s">
        <v>43722</v>
      </c>
      <c r="K6794" s="147" t="s">
        <v>25463</v>
      </c>
      <c r="L6794" s="150" t="s">
        <v>43723</v>
      </c>
      <c r="M6794" s="147"/>
      <c r="N6794" s="12"/>
      <c r="O6794" s="12"/>
      <c r="P6794" s="13">
        <f>IFERROR(__xludf.DUMMYFUNCTION("VALUE(SUBSTITUTE((INDEX(SPLIT(A6794,"",""),1)),""."","","",1))"),54.991743)</f>
        <v>54.991743</v>
      </c>
      <c r="Q6794" s="13">
        <f>IFERROR(__xludf.DUMMYFUNCTION("VALUE(SUBSTITUTE((INDEX(SPLIT(A6794,"",""),2)),""."","","",1))"),83.051952)</f>
        <v>83.051952</v>
      </c>
      <c r="R6794" s="14" t="b">
        <f t="shared" si="1"/>
        <v>0</v>
      </c>
      <c r="S6794" s="14" t="str">
        <f t="shared" si="2"/>
        <v>54.991743,83.051952</v>
      </c>
      <c r="T6794" s="12"/>
    </row>
    <row r="6795">
      <c r="A6795" s="142" t="s">
        <v>43724</v>
      </c>
      <c r="B6795" s="143" t="s">
        <v>43725</v>
      </c>
      <c r="C6795" s="143" t="s">
        <v>43726</v>
      </c>
      <c r="D6795" s="143" t="s">
        <v>33342</v>
      </c>
      <c r="E6795" s="144" t="s">
        <v>43727</v>
      </c>
      <c r="F6795" s="142" t="s">
        <v>9648</v>
      </c>
      <c r="G6795" s="142" t="s">
        <v>33344</v>
      </c>
      <c r="H6795" s="142"/>
      <c r="I6795" s="143"/>
      <c r="J6795" s="143" t="s">
        <v>43728</v>
      </c>
      <c r="K6795" s="143" t="s">
        <v>43729</v>
      </c>
      <c r="L6795" s="152" t="s">
        <v>43730</v>
      </c>
      <c r="M6795" s="143"/>
      <c r="N6795" s="12"/>
      <c r="O6795" s="12"/>
      <c r="P6795" s="13">
        <f>IFERROR(__xludf.DUMMYFUNCTION("VALUE(SUBSTITUTE((INDEX(SPLIT(A6795,"",""),1)),""."","","",1))"),55.024094)</f>
        <v>55.024094</v>
      </c>
      <c r="Q6795" s="13">
        <f>IFERROR(__xludf.DUMMYFUNCTION("VALUE(SUBSTITUTE((INDEX(SPLIT(A6795,"",""),2)),""."","","",1))"),82.960692)</f>
        <v>82.960692</v>
      </c>
      <c r="R6795" s="14" t="b">
        <f t="shared" si="1"/>
        <v>0</v>
      </c>
      <c r="S6795" s="14" t="str">
        <f t="shared" si="2"/>
        <v>55.024094,82.960692</v>
      </c>
      <c r="T6795" s="12"/>
    </row>
    <row r="6796">
      <c r="A6796" s="139" t="s">
        <v>43731</v>
      </c>
      <c r="B6796" s="140" t="s">
        <v>43732</v>
      </c>
      <c r="C6796" s="140" t="s">
        <v>43733</v>
      </c>
      <c r="D6796" s="140" t="s">
        <v>33342</v>
      </c>
      <c r="E6796" s="141" t="s">
        <v>43734</v>
      </c>
      <c r="F6796" s="139" t="s">
        <v>9648</v>
      </c>
      <c r="G6796" s="139" t="s">
        <v>33344</v>
      </c>
      <c r="H6796" s="139"/>
      <c r="I6796" s="140"/>
      <c r="J6796" s="140" t="s">
        <v>43735</v>
      </c>
      <c r="K6796" s="140" t="s">
        <v>43736</v>
      </c>
      <c r="L6796" s="140"/>
      <c r="M6796" s="154" t="s">
        <v>43737</v>
      </c>
      <c r="N6796" s="12"/>
      <c r="O6796" s="12"/>
      <c r="P6796" s="13">
        <f>IFERROR(__xludf.DUMMYFUNCTION("VALUE(SUBSTITUTE((INDEX(SPLIT(A6796,"",""),1)),""."","","",1))"),55.013524)</f>
        <v>55.013524</v>
      </c>
      <c r="Q6796" s="13">
        <f>IFERROR(__xludf.DUMMYFUNCTION("VALUE(SUBSTITUTE((INDEX(SPLIT(A6796,"",""),2)),""."","","",1))"),82.932503)</f>
        <v>82.932503</v>
      </c>
      <c r="R6796" s="14" t="b">
        <f t="shared" si="1"/>
        <v>0</v>
      </c>
      <c r="S6796" s="14" t="str">
        <f t="shared" si="2"/>
        <v>55.013524,82.932503</v>
      </c>
      <c r="T6796" s="12"/>
    </row>
    <row r="6797">
      <c r="A6797" s="142" t="s">
        <v>43738</v>
      </c>
      <c r="B6797" s="143" t="s">
        <v>43739</v>
      </c>
      <c r="C6797" s="143" t="s">
        <v>43740</v>
      </c>
      <c r="D6797" s="143" t="s">
        <v>33342</v>
      </c>
      <c r="E6797" s="144" t="s">
        <v>43741</v>
      </c>
      <c r="F6797" s="142" t="s">
        <v>9648</v>
      </c>
      <c r="G6797" s="142" t="s">
        <v>33344</v>
      </c>
      <c r="H6797" s="142"/>
      <c r="I6797" s="143"/>
      <c r="J6797" s="143" t="s">
        <v>43742</v>
      </c>
      <c r="K6797" s="143" t="s">
        <v>43743</v>
      </c>
      <c r="L6797" s="152" t="s">
        <v>43744</v>
      </c>
      <c r="M6797" s="143"/>
      <c r="N6797" s="12"/>
      <c r="O6797" s="12"/>
      <c r="P6797" s="13">
        <f>IFERROR(__xludf.DUMMYFUNCTION("VALUE(SUBSTITUTE((INDEX(SPLIT(A6797,"",""),1)),""."","","",1))"),54.999139)</f>
        <v>54.999139</v>
      </c>
      <c r="Q6797" s="13">
        <f>IFERROR(__xludf.DUMMYFUNCTION("VALUE(SUBSTITUTE((INDEX(SPLIT(A6797,"",""),2)),""."","","",1))"),83.012085)</f>
        <v>83.012085</v>
      </c>
      <c r="R6797" s="14" t="b">
        <f t="shared" si="1"/>
        <v>0</v>
      </c>
      <c r="S6797" s="14" t="str">
        <f t="shared" si="2"/>
        <v>54.999139,83.012085</v>
      </c>
      <c r="T6797" s="12"/>
    </row>
    <row r="6798">
      <c r="A6798" s="139" t="s">
        <v>43745</v>
      </c>
      <c r="B6798" s="140" t="s">
        <v>43746</v>
      </c>
      <c r="C6798" s="140" t="s">
        <v>43747</v>
      </c>
      <c r="D6798" s="140" t="s">
        <v>33342</v>
      </c>
      <c r="E6798" s="141" t="s">
        <v>43748</v>
      </c>
      <c r="F6798" s="139" t="s">
        <v>9648</v>
      </c>
      <c r="G6798" s="139" t="s">
        <v>33344</v>
      </c>
      <c r="H6798" s="139"/>
      <c r="I6798" s="140"/>
      <c r="J6798" s="140" t="s">
        <v>43749</v>
      </c>
      <c r="K6798" s="140" t="s">
        <v>43750</v>
      </c>
      <c r="L6798" s="140"/>
      <c r="M6798" s="154" t="s">
        <v>43751</v>
      </c>
      <c r="N6798" s="12"/>
      <c r="O6798" s="12"/>
      <c r="P6798" s="13">
        <f>IFERROR(__xludf.DUMMYFUNCTION("VALUE(SUBSTITUTE((INDEX(SPLIT(A6798,"",""),1)),""."","","",1))"),55.019501)</f>
        <v>55.019501</v>
      </c>
      <c r="Q6798" s="13">
        <f>IFERROR(__xludf.DUMMYFUNCTION("VALUE(SUBSTITUTE((INDEX(SPLIT(A6798,"",""),2)),""."","","",1))"),82.923807)</f>
        <v>82.923807</v>
      </c>
      <c r="R6798" s="14" t="b">
        <f t="shared" si="1"/>
        <v>0</v>
      </c>
      <c r="S6798" s="14" t="str">
        <f t="shared" si="2"/>
        <v>55.019501,82.923807</v>
      </c>
      <c r="T6798" s="12"/>
    </row>
    <row r="6799">
      <c r="A6799" s="142" t="s">
        <v>27707</v>
      </c>
      <c r="B6799" s="143" t="s">
        <v>43752</v>
      </c>
      <c r="C6799" s="143" t="s">
        <v>43753</v>
      </c>
      <c r="D6799" s="143" t="s">
        <v>33342</v>
      </c>
      <c r="E6799" s="144" t="s">
        <v>43754</v>
      </c>
      <c r="F6799" s="142" t="s">
        <v>9648</v>
      </c>
      <c r="G6799" s="142" t="s">
        <v>33344</v>
      </c>
      <c r="H6799" s="142"/>
      <c r="I6799" s="143"/>
      <c r="J6799" s="143" t="s">
        <v>43755</v>
      </c>
      <c r="K6799" s="143" t="s">
        <v>43736</v>
      </c>
      <c r="L6799" s="152" t="s">
        <v>43756</v>
      </c>
      <c r="M6799" s="143"/>
      <c r="N6799" s="12"/>
      <c r="O6799" s="12"/>
      <c r="P6799" s="13">
        <f>IFERROR(__xludf.DUMMYFUNCTION("VALUE(SUBSTITUTE((INDEX(SPLIT(A6799,"",""),1)),""."","","",1))"),55.053402)</f>
        <v>55.053402</v>
      </c>
      <c r="Q6799" s="13">
        <f>IFERROR(__xludf.DUMMYFUNCTION("VALUE(SUBSTITUTE((INDEX(SPLIT(A6799,"",""),2)),""."","","",1))"),82.793129)</f>
        <v>82.793129</v>
      </c>
      <c r="R6799" s="14" t="b">
        <f t="shared" si="1"/>
        <v>0</v>
      </c>
      <c r="S6799" s="14" t="str">
        <f t="shared" si="2"/>
        <v>55.053402,82.793129</v>
      </c>
      <c r="T6799" s="12"/>
    </row>
    <row r="6800">
      <c r="A6800" s="139" t="s">
        <v>43757</v>
      </c>
      <c r="B6800" s="140" t="s">
        <v>43758</v>
      </c>
      <c r="C6800" s="140" t="s">
        <v>43759</v>
      </c>
      <c r="D6800" s="140" t="s">
        <v>33342</v>
      </c>
      <c r="E6800" s="141" t="s">
        <v>43760</v>
      </c>
      <c r="F6800" s="139" t="s">
        <v>9648</v>
      </c>
      <c r="G6800" s="139" t="s">
        <v>33344</v>
      </c>
      <c r="H6800" s="139"/>
      <c r="I6800" s="140"/>
      <c r="J6800" s="140" t="s">
        <v>43761</v>
      </c>
      <c r="K6800" s="140" t="s">
        <v>43762</v>
      </c>
      <c r="L6800" s="140"/>
      <c r="M6800" s="154" t="s">
        <v>43763</v>
      </c>
      <c r="N6800" s="12"/>
      <c r="O6800" s="12"/>
      <c r="P6800" s="13">
        <f>IFERROR(__xludf.DUMMYFUNCTION("VALUE(SUBSTITUTE((INDEX(SPLIT(A6800,"",""),1)),""."","","",1))"),55.029575)</f>
        <v>55.029575</v>
      </c>
      <c r="Q6800" s="13">
        <f>IFERROR(__xludf.DUMMYFUNCTION("VALUE(SUBSTITUTE((INDEX(SPLIT(A6800,"",""),2)),""."","","",1))"),82.908365)</f>
        <v>82.908365</v>
      </c>
      <c r="R6800" s="14" t="b">
        <f t="shared" si="1"/>
        <v>0</v>
      </c>
      <c r="S6800" s="14" t="str">
        <f t="shared" si="2"/>
        <v>55.029575,82.908365</v>
      </c>
      <c r="T6800" s="12"/>
    </row>
    <row r="6801">
      <c r="A6801" s="136" t="s">
        <v>43764</v>
      </c>
      <c r="B6801" s="137" t="s">
        <v>43765</v>
      </c>
      <c r="C6801" s="137" t="s">
        <v>43766</v>
      </c>
      <c r="D6801" s="137" t="s">
        <v>33342</v>
      </c>
      <c r="E6801" s="138" t="s">
        <v>43767</v>
      </c>
      <c r="F6801" s="136" t="s">
        <v>9648</v>
      </c>
      <c r="G6801" s="136" t="s">
        <v>33344</v>
      </c>
      <c r="H6801" s="136"/>
      <c r="I6801" s="137"/>
      <c r="J6801" s="137" t="s">
        <v>43768</v>
      </c>
      <c r="K6801" s="137" t="s">
        <v>43769</v>
      </c>
      <c r="L6801" s="137"/>
      <c r="M6801" s="137"/>
      <c r="N6801" s="12"/>
      <c r="O6801" s="12"/>
      <c r="P6801" s="13">
        <f>IFERROR(__xludf.DUMMYFUNCTION("VALUE(SUBSTITUTE((INDEX(SPLIT(A6801,"",""),1)),""."","","",1))"),54.889806)</f>
        <v>54.889806</v>
      </c>
      <c r="Q6801" s="13">
        <f>IFERROR(__xludf.DUMMYFUNCTION("VALUE(SUBSTITUTE((INDEX(SPLIT(A6801,"",""),2)),""."","","",1))"),83.08616)</f>
        <v>83.08616</v>
      </c>
      <c r="R6801" s="14" t="b">
        <f t="shared" si="1"/>
        <v>0</v>
      </c>
      <c r="S6801" s="14" t="str">
        <f t="shared" si="2"/>
        <v>54.889806,83.08616</v>
      </c>
      <c r="T6801" s="12"/>
    </row>
    <row r="6802">
      <c r="A6802" s="146" t="s">
        <v>43770</v>
      </c>
      <c r="B6802" s="147" t="s">
        <v>43771</v>
      </c>
      <c r="C6802" s="147" t="s">
        <v>43772</v>
      </c>
      <c r="D6802" s="147" t="s">
        <v>33342</v>
      </c>
      <c r="E6802" s="148" t="s">
        <v>43773</v>
      </c>
      <c r="F6802" s="146" t="s">
        <v>9648</v>
      </c>
      <c r="G6802" s="146" t="s">
        <v>33344</v>
      </c>
      <c r="H6802" s="146"/>
      <c r="I6802" s="147"/>
      <c r="J6802" s="147" t="s">
        <v>43774</v>
      </c>
      <c r="K6802" s="147" t="s">
        <v>43775</v>
      </c>
      <c r="L6802" s="149" t="s">
        <v>43776</v>
      </c>
      <c r="M6802" s="149" t="s">
        <v>43777</v>
      </c>
      <c r="N6802" s="12"/>
      <c r="O6802" s="12"/>
      <c r="P6802" s="13">
        <f>IFERROR(__xludf.DUMMYFUNCTION("VALUE(SUBSTITUTE((INDEX(SPLIT(A6802,"",""),1)),""."","","",1))"),55.111619)</f>
        <v>55.111619</v>
      </c>
      <c r="Q6802" s="13">
        <f>IFERROR(__xludf.DUMMYFUNCTION("VALUE(SUBSTITUTE((INDEX(SPLIT(A6802,"",""),2)),""."","","",1))"),82.976224)</f>
        <v>82.976224</v>
      </c>
      <c r="R6802" s="14" t="b">
        <f t="shared" si="1"/>
        <v>0</v>
      </c>
      <c r="S6802" s="14" t="str">
        <f t="shared" si="2"/>
        <v>55.111619,82.976224</v>
      </c>
      <c r="T6802" s="12"/>
    </row>
    <row r="6803">
      <c r="A6803" s="142" t="s">
        <v>43778</v>
      </c>
      <c r="B6803" s="143" t="s">
        <v>43779</v>
      </c>
      <c r="C6803" s="143" t="s">
        <v>43780</v>
      </c>
      <c r="D6803" s="143" t="s">
        <v>33342</v>
      </c>
      <c r="E6803" s="144" t="s">
        <v>43781</v>
      </c>
      <c r="F6803" s="142" t="s">
        <v>9648</v>
      </c>
      <c r="G6803" s="142" t="s">
        <v>33344</v>
      </c>
      <c r="H6803" s="142"/>
      <c r="I6803" s="143"/>
      <c r="J6803" s="143" t="s">
        <v>43782</v>
      </c>
      <c r="K6803" s="143" t="s">
        <v>43783</v>
      </c>
      <c r="L6803" s="145" t="s">
        <v>43784</v>
      </c>
      <c r="M6803" s="145" t="s">
        <v>43785</v>
      </c>
      <c r="N6803" s="12"/>
      <c r="O6803" s="12"/>
      <c r="P6803" s="13">
        <f>IFERROR(__xludf.DUMMYFUNCTION("VALUE(SUBSTITUTE((INDEX(SPLIT(A6803,"",""),1)),""."","","",1))"),55.05069)</f>
        <v>55.05069</v>
      </c>
      <c r="Q6803" s="13">
        <f>IFERROR(__xludf.DUMMYFUNCTION("VALUE(SUBSTITUTE((INDEX(SPLIT(A6803,"",""),2)),""."","","",1))"),83.128578)</f>
        <v>83.128578</v>
      </c>
      <c r="R6803" s="14" t="b">
        <f t="shared" si="1"/>
        <v>0</v>
      </c>
      <c r="S6803" s="14" t="str">
        <f t="shared" si="2"/>
        <v>55.05069,83.128578</v>
      </c>
      <c r="T6803" s="12"/>
    </row>
    <row r="6804">
      <c r="A6804" s="139" t="s">
        <v>43786</v>
      </c>
      <c r="B6804" s="140" t="s">
        <v>43787</v>
      </c>
      <c r="C6804" s="140" t="s">
        <v>43788</v>
      </c>
      <c r="D6804" s="140" t="s">
        <v>33342</v>
      </c>
      <c r="E6804" s="141" t="s">
        <v>43789</v>
      </c>
      <c r="F6804" s="139" t="s">
        <v>9648</v>
      </c>
      <c r="G6804" s="139" t="s">
        <v>33344</v>
      </c>
      <c r="H6804" s="139"/>
      <c r="I6804" s="140"/>
      <c r="J6804" s="140" t="s">
        <v>43790</v>
      </c>
      <c r="K6804" s="140" t="s">
        <v>43791</v>
      </c>
      <c r="L6804" s="140"/>
      <c r="M6804" s="154" t="s">
        <v>43792</v>
      </c>
      <c r="N6804" s="12"/>
      <c r="O6804" s="12"/>
      <c r="P6804" s="13">
        <f>IFERROR(__xludf.DUMMYFUNCTION("VALUE(SUBSTITUTE((INDEX(SPLIT(A6804,"",""),1)),""."","","",1))"),55.036602)</f>
        <v>55.036602</v>
      </c>
      <c r="Q6804" s="13">
        <f>IFERROR(__xludf.DUMMYFUNCTION("VALUE(SUBSTITUTE((INDEX(SPLIT(A6804,"",""),2)),""."","","",1))"),83.393213)</f>
        <v>83.393213</v>
      </c>
      <c r="R6804" s="14" t="b">
        <f t="shared" si="1"/>
        <v>0</v>
      </c>
      <c r="S6804" s="14" t="str">
        <f t="shared" si="2"/>
        <v>55.036602,83.393213</v>
      </c>
      <c r="T6804" s="12"/>
    </row>
    <row r="6805">
      <c r="A6805" s="142" t="s">
        <v>43793</v>
      </c>
      <c r="B6805" s="143" t="s">
        <v>43794</v>
      </c>
      <c r="C6805" s="143" t="s">
        <v>43795</v>
      </c>
      <c r="D6805" s="143" t="s">
        <v>33342</v>
      </c>
      <c r="E6805" s="144" t="s">
        <v>43796</v>
      </c>
      <c r="F6805" s="142" t="s">
        <v>9648</v>
      </c>
      <c r="G6805" s="142" t="s">
        <v>33344</v>
      </c>
      <c r="H6805" s="142"/>
      <c r="I6805" s="143"/>
      <c r="J6805" s="143" t="s">
        <v>43797</v>
      </c>
      <c r="K6805" s="143" t="s">
        <v>34423</v>
      </c>
      <c r="L6805" s="145" t="s">
        <v>43798</v>
      </c>
      <c r="M6805" s="143"/>
      <c r="N6805" s="12"/>
      <c r="O6805" s="12"/>
      <c r="P6805" s="13">
        <f>IFERROR(__xludf.DUMMYFUNCTION("VALUE(SUBSTITUTE((INDEX(SPLIT(A6805,"",""),1)),""."","","",1))"),55.143152)</f>
        <v>55.143152</v>
      </c>
      <c r="Q6805" s="13">
        <f>IFERROR(__xludf.DUMMYFUNCTION("VALUE(SUBSTITUTE((INDEX(SPLIT(A6805,"",""),2)),""."","","",1))"),82.963845)</f>
        <v>82.963845</v>
      </c>
      <c r="R6805" s="14" t="b">
        <f t="shared" si="1"/>
        <v>0</v>
      </c>
      <c r="S6805" s="14" t="str">
        <f t="shared" si="2"/>
        <v>55.143152,82.963845</v>
      </c>
      <c r="T6805" s="12"/>
    </row>
    <row r="6806">
      <c r="A6806" s="139" t="s">
        <v>43799</v>
      </c>
      <c r="B6806" s="140" t="s">
        <v>43800</v>
      </c>
      <c r="C6806" s="140" t="s">
        <v>43801</v>
      </c>
      <c r="D6806" s="140" t="s">
        <v>33342</v>
      </c>
      <c r="E6806" s="141" t="s">
        <v>43802</v>
      </c>
      <c r="F6806" s="139" t="s">
        <v>9648</v>
      </c>
      <c r="G6806" s="139" t="s">
        <v>33344</v>
      </c>
      <c r="H6806" s="139"/>
      <c r="I6806" s="140"/>
      <c r="J6806" s="140" t="s">
        <v>43803</v>
      </c>
      <c r="K6806" s="140" t="s">
        <v>43804</v>
      </c>
      <c r="L6806" s="140"/>
      <c r="M6806" s="140"/>
      <c r="N6806" s="12"/>
      <c r="O6806" s="12"/>
      <c r="P6806" s="13">
        <f>IFERROR(__xludf.DUMMYFUNCTION("VALUE(SUBSTITUTE((INDEX(SPLIT(A6806,"",""),1)),""."","","",1))"),55.110532)</f>
        <v>55.110532</v>
      </c>
      <c r="Q6806" s="13">
        <f>IFERROR(__xludf.DUMMYFUNCTION("VALUE(SUBSTITUTE((INDEX(SPLIT(A6806,"",""),2)),""."","","",1))"),83.004215)</f>
        <v>83.004215</v>
      </c>
      <c r="R6806" s="14" t="b">
        <f t="shared" si="1"/>
        <v>0</v>
      </c>
      <c r="S6806" s="14" t="str">
        <f t="shared" si="2"/>
        <v>55.110532,83.004215</v>
      </c>
      <c r="T6806" s="12"/>
    </row>
    <row r="6807">
      <c r="A6807" s="136" t="s">
        <v>43805</v>
      </c>
      <c r="B6807" s="137" t="s">
        <v>43806</v>
      </c>
      <c r="C6807" s="137" t="s">
        <v>43807</v>
      </c>
      <c r="D6807" s="137" t="s">
        <v>33342</v>
      </c>
      <c r="E6807" s="138" t="s">
        <v>43808</v>
      </c>
      <c r="F6807" s="136" t="s">
        <v>9648</v>
      </c>
      <c r="G6807" s="136" t="s">
        <v>33344</v>
      </c>
      <c r="H6807" s="136"/>
      <c r="I6807" s="137"/>
      <c r="J6807" s="137" t="s">
        <v>43809</v>
      </c>
      <c r="K6807" s="137" t="s">
        <v>43810</v>
      </c>
      <c r="L6807" s="137"/>
      <c r="M6807" s="137"/>
      <c r="N6807" s="12"/>
      <c r="O6807" s="12"/>
      <c r="P6807" s="13">
        <f>IFERROR(__xludf.DUMMYFUNCTION("VALUE(SUBSTITUTE((INDEX(SPLIT(A6807,"",""),1)),""."","","",1))"),54.920201)</f>
        <v>54.920201</v>
      </c>
      <c r="Q6807" s="13">
        <f>IFERROR(__xludf.DUMMYFUNCTION("VALUE(SUBSTITUTE((INDEX(SPLIT(A6807,"",""),2)),""."","","",1))"),82.982288)</f>
        <v>82.982288</v>
      </c>
      <c r="R6807" s="14" t="b">
        <f t="shared" si="1"/>
        <v>0</v>
      </c>
      <c r="S6807" s="14" t="str">
        <f t="shared" si="2"/>
        <v>54.920201,82.982288</v>
      </c>
      <c r="T6807" s="12"/>
    </row>
    <row r="6808">
      <c r="A6808" s="139" t="s">
        <v>43811</v>
      </c>
      <c r="B6808" s="140" t="s">
        <v>43812</v>
      </c>
      <c r="C6808" s="140" t="s">
        <v>43813</v>
      </c>
      <c r="D6808" s="140" t="s">
        <v>33342</v>
      </c>
      <c r="E6808" s="141" t="s">
        <v>43814</v>
      </c>
      <c r="F6808" s="139" t="s">
        <v>9648</v>
      </c>
      <c r="G6808" s="139" t="s">
        <v>33344</v>
      </c>
      <c r="H6808" s="139"/>
      <c r="I6808" s="140"/>
      <c r="J6808" s="140" t="s">
        <v>43815</v>
      </c>
      <c r="K6808" s="140" t="s">
        <v>43816</v>
      </c>
      <c r="L6808" s="140"/>
      <c r="M6808" s="154" t="s">
        <v>43817</v>
      </c>
      <c r="N6808" s="12"/>
      <c r="O6808" s="12"/>
      <c r="P6808" s="13">
        <f>IFERROR(__xludf.DUMMYFUNCTION("VALUE(SUBSTITUTE((INDEX(SPLIT(A6808,"",""),1)),""."","","",1))"),55.031701)</f>
        <v>55.031701</v>
      </c>
      <c r="Q6808" s="13">
        <f>IFERROR(__xludf.DUMMYFUNCTION("VALUE(SUBSTITUTE((INDEX(SPLIT(A6808,"",""),2)),""."","","",1))"),82.719701)</f>
        <v>82.719701</v>
      </c>
      <c r="R6808" s="14" t="b">
        <f t="shared" si="1"/>
        <v>0</v>
      </c>
      <c r="S6808" s="14" t="str">
        <f t="shared" si="2"/>
        <v>55.031701,82.719701</v>
      </c>
      <c r="T6808" s="12"/>
    </row>
    <row r="6809">
      <c r="A6809" s="142" t="s">
        <v>43818</v>
      </c>
      <c r="B6809" s="143" t="s">
        <v>43819</v>
      </c>
      <c r="C6809" s="143" t="s">
        <v>43820</v>
      </c>
      <c r="D6809" s="143" t="s">
        <v>33342</v>
      </c>
      <c r="E6809" s="144" t="s">
        <v>43821</v>
      </c>
      <c r="F6809" s="142" t="s">
        <v>9648</v>
      </c>
      <c r="G6809" s="142" t="s">
        <v>33344</v>
      </c>
      <c r="H6809" s="142"/>
      <c r="I6809" s="143"/>
      <c r="J6809" s="143" t="s">
        <v>43822</v>
      </c>
      <c r="K6809" s="143" t="s">
        <v>43823</v>
      </c>
      <c r="L6809" s="152" t="s">
        <v>43824</v>
      </c>
      <c r="M6809" s="143"/>
      <c r="N6809" s="12"/>
      <c r="O6809" s="12"/>
      <c r="P6809" s="13">
        <f>IFERROR(__xludf.DUMMYFUNCTION("VALUE(SUBSTITUTE((INDEX(SPLIT(A6809,"",""),1)),""."","","",1))"),54.366104)</f>
        <v>54.366104</v>
      </c>
      <c r="Q6809" s="13">
        <f>IFERROR(__xludf.DUMMYFUNCTION("VALUE(SUBSTITUTE((INDEX(SPLIT(A6809,"",""),2)),""."","","",1))"),81.892955)</f>
        <v>81.892955</v>
      </c>
      <c r="R6809" s="14" t="b">
        <f t="shared" si="1"/>
        <v>0</v>
      </c>
      <c r="S6809" s="14" t="str">
        <f t="shared" si="2"/>
        <v>54.366104,81.892955</v>
      </c>
      <c r="T6809" s="12"/>
    </row>
    <row r="6810">
      <c r="A6810" s="146" t="s">
        <v>43825</v>
      </c>
      <c r="B6810" s="147" t="s">
        <v>43826</v>
      </c>
      <c r="C6810" s="147" t="s">
        <v>43827</v>
      </c>
      <c r="D6810" s="147" t="s">
        <v>33342</v>
      </c>
      <c r="E6810" s="148" t="s">
        <v>43828</v>
      </c>
      <c r="F6810" s="146" t="s">
        <v>9648</v>
      </c>
      <c r="G6810" s="146" t="s">
        <v>33344</v>
      </c>
      <c r="H6810" s="146"/>
      <c r="I6810" s="151" t="s">
        <v>43829</v>
      </c>
      <c r="J6810" s="147" t="s">
        <v>43830</v>
      </c>
      <c r="K6810" s="147" t="s">
        <v>43831</v>
      </c>
      <c r="L6810" s="149" t="s">
        <v>43832</v>
      </c>
      <c r="M6810" s="147"/>
      <c r="N6810" s="12"/>
      <c r="O6810" s="12"/>
      <c r="P6810" s="13">
        <f>IFERROR(__xludf.DUMMYFUNCTION("VALUE(SUBSTITUTE((INDEX(SPLIT(A6810,"",""),1)),""."","","",1))"),55.239794)</f>
        <v>55.239794</v>
      </c>
      <c r="Q6810" s="13">
        <f>IFERROR(__xludf.DUMMYFUNCTION("VALUE(SUBSTITUTE((INDEX(SPLIT(A6810,"",""),2)),""."","","",1))"),84.358022)</f>
        <v>84.358022</v>
      </c>
      <c r="R6810" s="14" t="b">
        <f t="shared" si="1"/>
        <v>0</v>
      </c>
      <c r="S6810" s="14" t="str">
        <f t="shared" si="2"/>
        <v>55.239794,84.358022</v>
      </c>
      <c r="T6810" s="12"/>
    </row>
    <row r="6811">
      <c r="A6811" s="136" t="s">
        <v>43833</v>
      </c>
      <c r="B6811" s="137" t="s">
        <v>43834</v>
      </c>
      <c r="C6811" s="137" t="s">
        <v>43835</v>
      </c>
      <c r="D6811" s="137" t="s">
        <v>33342</v>
      </c>
      <c r="E6811" s="138" t="s">
        <v>43836</v>
      </c>
      <c r="F6811" s="136" t="s">
        <v>9648</v>
      </c>
      <c r="G6811" s="136" t="s">
        <v>33344</v>
      </c>
      <c r="H6811" s="136"/>
      <c r="I6811" s="137"/>
      <c r="J6811" s="137" t="s">
        <v>43837</v>
      </c>
      <c r="K6811" s="137" t="s">
        <v>43838</v>
      </c>
      <c r="L6811" s="137"/>
      <c r="M6811" s="137"/>
      <c r="N6811" s="12"/>
      <c r="O6811" s="12"/>
      <c r="P6811" s="13">
        <f>IFERROR(__xludf.DUMMYFUNCTION("VALUE(SUBSTITUTE((INDEX(SPLIT(A6811,"",""),1)),""."","","",1))"),54.743635)</f>
        <v>54.743635</v>
      </c>
      <c r="Q6811" s="13">
        <f>IFERROR(__xludf.DUMMYFUNCTION("VALUE(SUBSTITUTE((INDEX(SPLIT(A6811,"",""),2)),""."","","",1))"),83.139888)</f>
        <v>83.139888</v>
      </c>
      <c r="R6811" s="14" t="b">
        <f t="shared" si="1"/>
        <v>0</v>
      </c>
      <c r="S6811" s="14" t="str">
        <f t="shared" si="2"/>
        <v>54.743635,83.139888</v>
      </c>
      <c r="T6811" s="12"/>
    </row>
    <row r="6812">
      <c r="A6812" s="139" t="s">
        <v>43839</v>
      </c>
      <c r="B6812" s="140" t="s">
        <v>43840</v>
      </c>
      <c r="C6812" s="140" t="s">
        <v>43841</v>
      </c>
      <c r="D6812" s="140" t="s">
        <v>33342</v>
      </c>
      <c r="E6812" s="141" t="s">
        <v>43842</v>
      </c>
      <c r="F6812" s="139" t="s">
        <v>9648</v>
      </c>
      <c r="G6812" s="139" t="s">
        <v>33344</v>
      </c>
      <c r="H6812" s="139"/>
      <c r="I6812" s="140"/>
      <c r="J6812" s="140" t="s">
        <v>43843</v>
      </c>
      <c r="K6812" s="140" t="s">
        <v>43844</v>
      </c>
      <c r="L6812" s="140"/>
      <c r="M6812" s="140"/>
      <c r="N6812" s="12"/>
      <c r="O6812" s="12"/>
      <c r="P6812" s="13">
        <f>IFERROR(__xludf.DUMMYFUNCTION("VALUE(SUBSTITUTE((INDEX(SPLIT(A6812,"",""),1)),""."","","",1))"),54.739097)</f>
        <v>54.739097</v>
      </c>
      <c r="Q6812" s="13">
        <f>IFERROR(__xludf.DUMMYFUNCTION("VALUE(SUBSTITUTE((INDEX(SPLIT(A6812,"",""),2)),""."","","",1))"),83.036429)</f>
        <v>83.036429</v>
      </c>
      <c r="R6812" s="14" t="b">
        <f t="shared" si="1"/>
        <v>0</v>
      </c>
      <c r="S6812" s="14" t="str">
        <f t="shared" si="2"/>
        <v>54.739097,83.036429</v>
      </c>
      <c r="T6812" s="12"/>
    </row>
    <row r="6813">
      <c r="A6813" s="142" t="s">
        <v>27131</v>
      </c>
      <c r="B6813" s="143" t="s">
        <v>43845</v>
      </c>
      <c r="C6813" s="143" t="s">
        <v>43846</v>
      </c>
      <c r="D6813" s="143" t="s">
        <v>33342</v>
      </c>
      <c r="E6813" s="144" t="s">
        <v>43847</v>
      </c>
      <c r="F6813" s="142" t="s">
        <v>23238</v>
      </c>
      <c r="G6813" s="142" t="s">
        <v>33344</v>
      </c>
      <c r="H6813" s="142"/>
      <c r="I6813" s="143"/>
      <c r="J6813" s="143" t="s">
        <v>43848</v>
      </c>
      <c r="K6813" s="143" t="s">
        <v>43849</v>
      </c>
      <c r="L6813" s="145" t="s">
        <v>43850</v>
      </c>
      <c r="M6813" s="143"/>
      <c r="N6813" s="12"/>
      <c r="O6813" s="12"/>
      <c r="P6813" s="13">
        <f>IFERROR(__xludf.DUMMYFUNCTION("VALUE(SUBSTITUTE((INDEX(SPLIT(A6813,"",""),1)),""."","","",1))"),55.03669)</f>
        <v>55.03669</v>
      </c>
      <c r="Q6813" s="13">
        <f>IFERROR(__xludf.DUMMYFUNCTION("VALUE(SUBSTITUTE((INDEX(SPLIT(A6813,"",""),2)),""."","","",1))"),73.210189)</f>
        <v>73.210189</v>
      </c>
      <c r="R6813" s="14" t="b">
        <f t="shared" si="1"/>
        <v>0</v>
      </c>
      <c r="S6813" s="14" t="str">
        <f t="shared" si="2"/>
        <v>55.03669,73.210189</v>
      </c>
      <c r="T6813" s="12"/>
    </row>
    <row r="6814">
      <c r="A6814" s="146" t="s">
        <v>43851</v>
      </c>
      <c r="B6814" s="147" t="s">
        <v>43852</v>
      </c>
      <c r="C6814" s="147" t="s">
        <v>43853</v>
      </c>
      <c r="D6814" s="147" t="s">
        <v>33342</v>
      </c>
      <c r="E6814" s="148" t="s">
        <v>43854</v>
      </c>
      <c r="F6814" s="146" t="s">
        <v>23238</v>
      </c>
      <c r="G6814" s="146" t="s">
        <v>33344</v>
      </c>
      <c r="H6814" s="146"/>
      <c r="I6814" s="147"/>
      <c r="J6814" s="147" t="s">
        <v>43855</v>
      </c>
      <c r="K6814" s="147" t="s">
        <v>43856</v>
      </c>
      <c r="L6814" s="150" t="s">
        <v>43857</v>
      </c>
      <c r="M6814" s="147"/>
      <c r="N6814" s="12"/>
      <c r="O6814" s="12"/>
      <c r="P6814" s="13">
        <f>IFERROR(__xludf.DUMMYFUNCTION("VALUE(SUBSTITUTE((INDEX(SPLIT(A6814,"",""),1)),""."","","",1))"),54.942754)</f>
        <v>54.942754</v>
      </c>
      <c r="Q6814" s="13">
        <f>IFERROR(__xludf.DUMMYFUNCTION("VALUE(SUBSTITUTE((INDEX(SPLIT(A6814,"",""),2)),""."","","",1))"),73.453768)</f>
        <v>73.453768</v>
      </c>
      <c r="R6814" s="14" t="b">
        <f t="shared" si="1"/>
        <v>0</v>
      </c>
      <c r="S6814" s="14" t="str">
        <f t="shared" si="2"/>
        <v>54.942754,73.453768</v>
      </c>
      <c r="T6814" s="12"/>
    </row>
    <row r="6815">
      <c r="A6815" s="142" t="s">
        <v>43858</v>
      </c>
      <c r="B6815" s="143" t="s">
        <v>43859</v>
      </c>
      <c r="C6815" s="143" t="s">
        <v>43860</v>
      </c>
      <c r="D6815" s="143" t="s">
        <v>33342</v>
      </c>
      <c r="E6815" s="144" t="s">
        <v>43861</v>
      </c>
      <c r="F6815" s="142" t="s">
        <v>23238</v>
      </c>
      <c r="G6815" s="142" t="s">
        <v>33344</v>
      </c>
      <c r="H6815" s="142"/>
      <c r="I6815" s="143"/>
      <c r="J6815" s="143" t="s">
        <v>43862</v>
      </c>
      <c r="K6815" s="143" t="s">
        <v>43863</v>
      </c>
      <c r="L6815" s="145" t="s">
        <v>43864</v>
      </c>
      <c r="M6815" s="143"/>
      <c r="N6815" s="12"/>
      <c r="O6815" s="12"/>
      <c r="P6815" s="13">
        <f>IFERROR(__xludf.DUMMYFUNCTION("VALUE(SUBSTITUTE((INDEX(SPLIT(A6815,"",""),1)),""."","","",1))"),54.946493)</f>
        <v>54.946493</v>
      </c>
      <c r="Q6815" s="13">
        <f>IFERROR(__xludf.DUMMYFUNCTION("VALUE(SUBSTITUTE((INDEX(SPLIT(A6815,"",""),2)),""."","","",1))"),73.394299)</f>
        <v>73.394299</v>
      </c>
      <c r="R6815" s="14" t="b">
        <f t="shared" si="1"/>
        <v>0</v>
      </c>
      <c r="S6815" s="14" t="str">
        <f t="shared" si="2"/>
        <v>54.946493,73.394299</v>
      </c>
      <c r="T6815" s="12"/>
    </row>
    <row r="6816">
      <c r="A6816" s="146" t="s">
        <v>43865</v>
      </c>
      <c r="B6816" s="147" t="s">
        <v>43866</v>
      </c>
      <c r="C6816" s="147" t="s">
        <v>43867</v>
      </c>
      <c r="D6816" s="147" t="s">
        <v>33342</v>
      </c>
      <c r="E6816" s="148" t="s">
        <v>43868</v>
      </c>
      <c r="F6816" s="146" t="s">
        <v>23238</v>
      </c>
      <c r="G6816" s="146" t="s">
        <v>33344</v>
      </c>
      <c r="H6816" s="146"/>
      <c r="I6816" s="147"/>
      <c r="J6816" s="147" t="s">
        <v>43869</v>
      </c>
      <c r="K6816" s="147" t="s">
        <v>43870</v>
      </c>
      <c r="L6816" s="150" t="s">
        <v>43871</v>
      </c>
      <c r="M6816" s="147"/>
      <c r="N6816" s="12"/>
      <c r="O6816" s="12"/>
      <c r="P6816" s="13">
        <f>IFERROR(__xludf.DUMMYFUNCTION("VALUE(SUBSTITUTE((INDEX(SPLIT(A6816,"",""),1)),""."","","",1))"),54.970158)</f>
        <v>54.970158</v>
      </c>
      <c r="Q6816" s="13">
        <f>IFERROR(__xludf.DUMMYFUNCTION("VALUE(SUBSTITUTE((INDEX(SPLIT(A6816,"",""),2)),""."","","",1))"),73.405214)</f>
        <v>73.405214</v>
      </c>
      <c r="R6816" s="14" t="b">
        <f t="shared" si="1"/>
        <v>0</v>
      </c>
      <c r="S6816" s="14" t="str">
        <f t="shared" si="2"/>
        <v>54.970158,73.405214</v>
      </c>
      <c r="T6816" s="12"/>
    </row>
    <row r="6817">
      <c r="A6817" s="136" t="s">
        <v>43872</v>
      </c>
      <c r="B6817" s="137" t="s">
        <v>43873</v>
      </c>
      <c r="C6817" s="137" t="s">
        <v>43874</v>
      </c>
      <c r="D6817" s="137" t="s">
        <v>33342</v>
      </c>
      <c r="E6817" s="138" t="s">
        <v>43875</v>
      </c>
      <c r="F6817" s="136" t="s">
        <v>23238</v>
      </c>
      <c r="G6817" s="136" t="s">
        <v>33344</v>
      </c>
      <c r="H6817" s="136"/>
      <c r="I6817" s="137"/>
      <c r="J6817" s="137" t="s">
        <v>43876</v>
      </c>
      <c r="K6817" s="137" t="s">
        <v>43877</v>
      </c>
      <c r="L6817" s="137"/>
      <c r="M6817" s="137"/>
      <c r="N6817" s="12"/>
      <c r="O6817" s="12"/>
      <c r="P6817" s="13">
        <f>IFERROR(__xludf.DUMMYFUNCTION("VALUE(SUBSTITUTE((INDEX(SPLIT(A6817,"",""),1)),""."","","",1))"),54.993768)</f>
        <v>54.993768</v>
      </c>
      <c r="Q6817" s="13">
        <f>IFERROR(__xludf.DUMMYFUNCTION("VALUE(SUBSTITUTE((INDEX(SPLIT(A6817,"",""),2)),""."","","",1))"),73.354629)</f>
        <v>73.354629</v>
      </c>
      <c r="R6817" s="14" t="b">
        <f t="shared" si="1"/>
        <v>0</v>
      </c>
      <c r="S6817" s="14" t="str">
        <f t="shared" si="2"/>
        <v>54.993768,73.354629</v>
      </c>
      <c r="T6817" s="12"/>
    </row>
    <row r="6818">
      <c r="A6818" s="146" t="s">
        <v>43878</v>
      </c>
      <c r="B6818" s="147" t="s">
        <v>43879</v>
      </c>
      <c r="C6818" s="147" t="s">
        <v>43880</v>
      </c>
      <c r="D6818" s="147" t="s">
        <v>33342</v>
      </c>
      <c r="E6818" s="148" t="s">
        <v>43881</v>
      </c>
      <c r="F6818" s="146" t="s">
        <v>23238</v>
      </c>
      <c r="G6818" s="146" t="s">
        <v>33344</v>
      </c>
      <c r="H6818" s="146"/>
      <c r="I6818" s="147"/>
      <c r="J6818" s="147" t="s">
        <v>43882</v>
      </c>
      <c r="K6818" s="147" t="s">
        <v>43883</v>
      </c>
      <c r="L6818" s="149" t="s">
        <v>43884</v>
      </c>
      <c r="M6818" s="149" t="s">
        <v>26324</v>
      </c>
      <c r="N6818" s="12"/>
      <c r="O6818" s="12"/>
      <c r="P6818" s="13">
        <f>IFERROR(__xludf.DUMMYFUNCTION("VALUE(SUBSTITUTE((INDEX(SPLIT(A6818,"",""),1)),""."","","",1))"),55.015795)</f>
        <v>55.015795</v>
      </c>
      <c r="Q6818" s="13">
        <f>IFERROR(__xludf.DUMMYFUNCTION("VALUE(SUBSTITUTE((INDEX(SPLIT(A6818,"",""),2)),""."","","",1))"),73.412562)</f>
        <v>73.412562</v>
      </c>
      <c r="R6818" s="14" t="b">
        <f t="shared" si="1"/>
        <v>0</v>
      </c>
      <c r="S6818" s="14" t="str">
        <f t="shared" si="2"/>
        <v>55.015795,73.412562</v>
      </c>
      <c r="T6818" s="12"/>
    </row>
    <row r="6819">
      <c r="A6819" s="136" t="s">
        <v>43885</v>
      </c>
      <c r="B6819" s="137" t="s">
        <v>43886</v>
      </c>
      <c r="C6819" s="137" t="s">
        <v>43887</v>
      </c>
      <c r="D6819" s="137" t="s">
        <v>33342</v>
      </c>
      <c r="E6819" s="138" t="s">
        <v>43888</v>
      </c>
      <c r="F6819" s="136" t="s">
        <v>23238</v>
      </c>
      <c r="G6819" s="136" t="s">
        <v>33344</v>
      </c>
      <c r="H6819" s="136"/>
      <c r="I6819" s="137"/>
      <c r="J6819" s="137" t="s">
        <v>43889</v>
      </c>
      <c r="K6819" s="137" t="s">
        <v>43890</v>
      </c>
      <c r="L6819" s="137"/>
      <c r="M6819" s="153" t="s">
        <v>43891</v>
      </c>
      <c r="N6819" s="12"/>
      <c r="O6819" s="12"/>
      <c r="P6819" s="13">
        <f>IFERROR(__xludf.DUMMYFUNCTION("VALUE(SUBSTITUTE((INDEX(SPLIT(A6819,"",""),1)),""."","","",1))"),54.985163)</f>
        <v>54.985163</v>
      </c>
      <c r="Q6819" s="13">
        <f>IFERROR(__xludf.DUMMYFUNCTION("VALUE(SUBSTITUTE((INDEX(SPLIT(A6819,"",""),2)),""."","","",1))"),73.393122)</f>
        <v>73.393122</v>
      </c>
      <c r="R6819" s="14" t="b">
        <f t="shared" si="1"/>
        <v>0</v>
      </c>
      <c r="S6819" s="14" t="str">
        <f t="shared" si="2"/>
        <v>54.985163,73.393122</v>
      </c>
      <c r="T6819" s="12"/>
    </row>
    <row r="6820">
      <c r="A6820" s="146" t="s">
        <v>43892</v>
      </c>
      <c r="B6820" s="147" t="s">
        <v>43893</v>
      </c>
      <c r="C6820" s="147" t="s">
        <v>43894</v>
      </c>
      <c r="D6820" s="147" t="s">
        <v>33342</v>
      </c>
      <c r="E6820" s="148" t="s">
        <v>43895</v>
      </c>
      <c r="F6820" s="146" t="s">
        <v>23238</v>
      </c>
      <c r="G6820" s="146" t="s">
        <v>33344</v>
      </c>
      <c r="H6820" s="146"/>
      <c r="I6820" s="147"/>
      <c r="J6820" s="147" t="s">
        <v>43896</v>
      </c>
      <c r="K6820" s="147" t="s">
        <v>43897</v>
      </c>
      <c r="L6820" s="149" t="s">
        <v>43898</v>
      </c>
      <c r="M6820" s="149" t="s">
        <v>43899</v>
      </c>
      <c r="N6820" s="12"/>
      <c r="O6820" s="12"/>
      <c r="P6820" s="13">
        <f>IFERROR(__xludf.DUMMYFUNCTION("VALUE(SUBSTITUTE((INDEX(SPLIT(A6820,"",""),1)),""."","","",1))"),54.943975)</f>
        <v>54.943975</v>
      </c>
      <c r="Q6820" s="13">
        <f>IFERROR(__xludf.DUMMYFUNCTION("VALUE(SUBSTITUTE((INDEX(SPLIT(A6820,"",""),2)),""."","","",1))"),73.378049)</f>
        <v>73.378049</v>
      </c>
      <c r="R6820" s="14" t="b">
        <f t="shared" si="1"/>
        <v>0</v>
      </c>
      <c r="S6820" s="14" t="str">
        <f t="shared" si="2"/>
        <v>54.943975,73.378049</v>
      </c>
      <c r="T6820" s="12"/>
    </row>
    <row r="6821">
      <c r="A6821" s="136" t="s">
        <v>43900</v>
      </c>
      <c r="B6821" s="137" t="s">
        <v>43901</v>
      </c>
      <c r="C6821" s="137" t="s">
        <v>43902</v>
      </c>
      <c r="D6821" s="137" t="s">
        <v>33342</v>
      </c>
      <c r="E6821" s="138" t="s">
        <v>43903</v>
      </c>
      <c r="F6821" s="136" t="s">
        <v>23238</v>
      </c>
      <c r="G6821" s="136" t="s">
        <v>33344</v>
      </c>
      <c r="H6821" s="136"/>
      <c r="I6821" s="137"/>
      <c r="J6821" s="137" t="s">
        <v>43904</v>
      </c>
      <c r="K6821" s="137" t="s">
        <v>43905</v>
      </c>
      <c r="L6821" s="137"/>
      <c r="M6821" s="137"/>
      <c r="N6821" s="12"/>
      <c r="O6821" s="12"/>
      <c r="P6821" s="13">
        <f>IFERROR(__xludf.DUMMYFUNCTION("VALUE(SUBSTITUTE((INDEX(SPLIT(A6821,"",""),1)),""."","","",1))"),54.983143)</f>
        <v>54.983143</v>
      </c>
      <c r="Q6821" s="13">
        <f>IFERROR(__xludf.DUMMYFUNCTION("VALUE(SUBSTITUTE((INDEX(SPLIT(A6821,"",""),2)),""."","","",1))"),73.474159)</f>
        <v>73.474159</v>
      </c>
      <c r="R6821" s="14" t="b">
        <f t="shared" si="1"/>
        <v>0</v>
      </c>
      <c r="S6821" s="14" t="str">
        <f t="shared" si="2"/>
        <v>54.983143,73.474159</v>
      </c>
      <c r="T6821" s="12"/>
    </row>
    <row r="6822">
      <c r="A6822" s="139" t="s">
        <v>43906</v>
      </c>
      <c r="B6822" s="140" t="s">
        <v>43907</v>
      </c>
      <c r="C6822" s="140" t="s">
        <v>43908</v>
      </c>
      <c r="D6822" s="140" t="s">
        <v>33342</v>
      </c>
      <c r="E6822" s="141" t="s">
        <v>43909</v>
      </c>
      <c r="F6822" s="139" t="s">
        <v>23238</v>
      </c>
      <c r="G6822" s="139" t="s">
        <v>33344</v>
      </c>
      <c r="H6822" s="139"/>
      <c r="I6822" s="140"/>
      <c r="J6822" s="140" t="s">
        <v>43910</v>
      </c>
      <c r="K6822" s="140" t="s">
        <v>43911</v>
      </c>
      <c r="L6822" s="140"/>
      <c r="M6822" s="154" t="s">
        <v>43912</v>
      </c>
      <c r="N6822" s="12"/>
      <c r="O6822" s="12"/>
      <c r="P6822" s="13">
        <f>IFERROR(__xludf.DUMMYFUNCTION("VALUE(SUBSTITUTE((INDEX(SPLIT(A6822,"",""),1)),""."","","",1))"),54.929312)</f>
        <v>54.929312</v>
      </c>
      <c r="Q6822" s="13">
        <f>IFERROR(__xludf.DUMMYFUNCTION("VALUE(SUBSTITUTE((INDEX(SPLIT(A6822,"",""),2)),""."","","",1))"),73.288028)</f>
        <v>73.288028</v>
      </c>
      <c r="R6822" s="14" t="b">
        <f t="shared" si="1"/>
        <v>0</v>
      </c>
      <c r="S6822" s="14" t="str">
        <f t="shared" si="2"/>
        <v>54.929312,73.288028</v>
      </c>
      <c r="T6822" s="12"/>
    </row>
    <row r="6823">
      <c r="A6823" s="142" t="s">
        <v>43913</v>
      </c>
      <c r="B6823" s="143" t="s">
        <v>43914</v>
      </c>
      <c r="C6823" s="143" t="s">
        <v>43915</v>
      </c>
      <c r="D6823" s="143" t="s">
        <v>33342</v>
      </c>
      <c r="E6823" s="144" t="s">
        <v>43916</v>
      </c>
      <c r="F6823" s="142" t="s">
        <v>23238</v>
      </c>
      <c r="G6823" s="142" t="s">
        <v>33344</v>
      </c>
      <c r="H6823" s="142"/>
      <c r="I6823" s="143"/>
      <c r="J6823" s="143" t="s">
        <v>43917</v>
      </c>
      <c r="K6823" s="143" t="s">
        <v>43918</v>
      </c>
      <c r="L6823" s="145" t="s">
        <v>43919</v>
      </c>
      <c r="M6823" s="143"/>
      <c r="N6823" s="12"/>
      <c r="O6823" s="12"/>
      <c r="P6823" s="13">
        <f>IFERROR(__xludf.DUMMYFUNCTION("VALUE(SUBSTITUTE((INDEX(SPLIT(A6823,"",""),1)),""."","","",1))"),54.698837)</f>
        <v>54.698837</v>
      </c>
      <c r="Q6823" s="13">
        <f>IFERROR(__xludf.DUMMYFUNCTION("VALUE(SUBSTITUTE((INDEX(SPLIT(A6823,"",""),2)),""."","","",1))"),73.044459)</f>
        <v>73.044459</v>
      </c>
      <c r="R6823" s="14" t="b">
        <f t="shared" si="1"/>
        <v>0</v>
      </c>
      <c r="S6823" s="14" t="str">
        <f t="shared" si="2"/>
        <v>54.698837,73.044459</v>
      </c>
      <c r="T6823" s="12"/>
    </row>
    <row r="6824">
      <c r="A6824" s="139" t="s">
        <v>43920</v>
      </c>
      <c r="B6824" s="140" t="s">
        <v>43921</v>
      </c>
      <c r="C6824" s="140" t="s">
        <v>43922</v>
      </c>
      <c r="D6824" s="140" t="s">
        <v>33342</v>
      </c>
      <c r="E6824" s="141" t="s">
        <v>43923</v>
      </c>
      <c r="F6824" s="139" t="s">
        <v>23238</v>
      </c>
      <c r="G6824" s="139" t="s">
        <v>33344</v>
      </c>
      <c r="H6824" s="139"/>
      <c r="I6824" s="140"/>
      <c r="J6824" s="140" t="s">
        <v>43924</v>
      </c>
      <c r="K6824" s="140" t="s">
        <v>43925</v>
      </c>
      <c r="L6824" s="140"/>
      <c r="M6824" s="154" t="s">
        <v>43926</v>
      </c>
      <c r="N6824" s="12"/>
      <c r="O6824" s="12"/>
      <c r="P6824" s="13">
        <f>IFERROR(__xludf.DUMMYFUNCTION("VALUE(SUBSTITUTE((INDEX(SPLIT(A6824,"",""),1)),""."","","",1))"),54.985597)</f>
        <v>54.985597</v>
      </c>
      <c r="Q6824" s="13">
        <f>IFERROR(__xludf.DUMMYFUNCTION("VALUE(SUBSTITUTE((INDEX(SPLIT(A6824,"",""),2)),""."","","",1))"),71.287624)</f>
        <v>71.287624</v>
      </c>
      <c r="R6824" s="14" t="b">
        <f t="shared" si="1"/>
        <v>0</v>
      </c>
      <c r="S6824" s="14" t="str">
        <f t="shared" si="2"/>
        <v>54.985597,71.287624</v>
      </c>
      <c r="T6824" s="12"/>
    </row>
    <row r="6825">
      <c r="A6825" s="136" t="s">
        <v>43927</v>
      </c>
      <c r="B6825" s="137" t="s">
        <v>43928</v>
      </c>
      <c r="C6825" s="137" t="s">
        <v>43929</v>
      </c>
      <c r="D6825" s="137" t="s">
        <v>33342</v>
      </c>
      <c r="E6825" s="138" t="s">
        <v>43930</v>
      </c>
      <c r="F6825" s="136" t="s">
        <v>23238</v>
      </c>
      <c r="G6825" s="136" t="s">
        <v>33344</v>
      </c>
      <c r="H6825" s="136"/>
      <c r="I6825" s="137"/>
      <c r="J6825" s="137" t="s">
        <v>43931</v>
      </c>
      <c r="K6825" s="137" t="s">
        <v>43932</v>
      </c>
      <c r="L6825" s="137"/>
      <c r="M6825" s="137"/>
      <c r="N6825" s="12"/>
      <c r="O6825" s="12"/>
      <c r="P6825" s="13">
        <f>IFERROR(__xludf.DUMMYFUNCTION("VALUE(SUBSTITUTE((INDEX(SPLIT(A6825,"",""),1)),""."","","",1))"),54.753461)</f>
        <v>54.753461</v>
      </c>
      <c r="Q6825" s="13">
        <f>IFERROR(__xludf.DUMMYFUNCTION("VALUE(SUBSTITUTE((INDEX(SPLIT(A6825,"",""),2)),""."","","",1))"),73.607263)</f>
        <v>73.607263</v>
      </c>
      <c r="R6825" s="14" t="b">
        <f t="shared" si="1"/>
        <v>0</v>
      </c>
      <c r="S6825" s="14" t="str">
        <f t="shared" si="2"/>
        <v>54.753461,73.607263</v>
      </c>
      <c r="T6825" s="12"/>
    </row>
    <row r="6826">
      <c r="A6826" s="146" t="s">
        <v>43933</v>
      </c>
      <c r="B6826" s="147" t="s">
        <v>43934</v>
      </c>
      <c r="C6826" s="147" t="s">
        <v>43935</v>
      </c>
      <c r="D6826" s="147" t="s">
        <v>33342</v>
      </c>
      <c r="E6826" s="148" t="s">
        <v>43936</v>
      </c>
      <c r="F6826" s="146" t="s">
        <v>23165</v>
      </c>
      <c r="G6826" s="146" t="s">
        <v>33344</v>
      </c>
      <c r="H6826" s="146"/>
      <c r="I6826" s="147"/>
      <c r="J6826" s="147" t="s">
        <v>43937</v>
      </c>
      <c r="K6826" s="147" t="s">
        <v>43938</v>
      </c>
      <c r="L6826" s="149" t="s">
        <v>43939</v>
      </c>
      <c r="M6826" s="147"/>
      <c r="N6826" s="12"/>
      <c r="O6826" s="12"/>
      <c r="P6826" s="13">
        <f>IFERROR(__xludf.DUMMYFUNCTION("VALUE(SUBSTITUTE((INDEX(SPLIT(A6826,"",""),1)),""."","","",1))"),50.968379)</f>
        <v>50.968379</v>
      </c>
      <c r="Q6826" s="13">
        <f>IFERROR(__xludf.DUMMYFUNCTION("VALUE(SUBSTITUTE((INDEX(SPLIT(A6826,"",""),2)),""."","","",1))"),60.131411)</f>
        <v>60.131411</v>
      </c>
      <c r="R6826" s="14" t="b">
        <f t="shared" si="1"/>
        <v>0</v>
      </c>
      <c r="S6826" s="14" t="str">
        <f t="shared" si="2"/>
        <v>50.968379,60.131411</v>
      </c>
      <c r="T6826" s="12"/>
    </row>
    <row r="6827">
      <c r="A6827" s="142" t="s">
        <v>43940</v>
      </c>
      <c r="B6827" s="143" t="s">
        <v>43941</v>
      </c>
      <c r="C6827" s="143" t="s">
        <v>43942</v>
      </c>
      <c r="D6827" s="143" t="s">
        <v>33342</v>
      </c>
      <c r="E6827" s="144" t="s">
        <v>43943</v>
      </c>
      <c r="F6827" s="142" t="s">
        <v>23165</v>
      </c>
      <c r="G6827" s="142" t="s">
        <v>33344</v>
      </c>
      <c r="H6827" s="142"/>
      <c r="I6827" s="143"/>
      <c r="J6827" s="143" t="s">
        <v>43944</v>
      </c>
      <c r="K6827" s="143" t="s">
        <v>43945</v>
      </c>
      <c r="L6827" s="145" t="s">
        <v>43946</v>
      </c>
      <c r="M6827" s="145" t="s">
        <v>43947</v>
      </c>
      <c r="N6827" s="12"/>
      <c r="O6827" s="12"/>
      <c r="P6827" s="13">
        <f>IFERROR(__xludf.DUMMYFUNCTION("VALUE(SUBSTITUTE((INDEX(SPLIT(A6827,"",""),1)),""."","","",1))"),51.470837)</f>
        <v>51.470837</v>
      </c>
      <c r="Q6827" s="13">
        <f>IFERROR(__xludf.DUMMYFUNCTION("VALUE(SUBSTITUTE((INDEX(SPLIT(A6827,"",""),2)),""."","","",1))"),58.423938)</f>
        <v>58.423938</v>
      </c>
      <c r="R6827" s="14" t="b">
        <f t="shared" si="1"/>
        <v>0</v>
      </c>
      <c r="S6827" s="14" t="str">
        <f t="shared" si="2"/>
        <v>51.470837,58.423938</v>
      </c>
      <c r="T6827" s="12"/>
    </row>
    <row r="6828">
      <c r="A6828" s="139" t="s">
        <v>43948</v>
      </c>
      <c r="B6828" s="140" t="s">
        <v>43949</v>
      </c>
      <c r="C6828" s="140" t="s">
        <v>43950</v>
      </c>
      <c r="D6828" s="140" t="s">
        <v>33342</v>
      </c>
      <c r="E6828" s="141" t="s">
        <v>43951</v>
      </c>
      <c r="F6828" s="139" t="s">
        <v>23165</v>
      </c>
      <c r="G6828" s="139" t="s">
        <v>33344</v>
      </c>
      <c r="H6828" s="139"/>
      <c r="I6828" s="140"/>
      <c r="J6828" s="140" t="s">
        <v>43952</v>
      </c>
      <c r="K6828" s="140" t="s">
        <v>43953</v>
      </c>
      <c r="L6828" s="140"/>
      <c r="M6828" s="140"/>
      <c r="N6828" s="12"/>
      <c r="O6828" s="12"/>
      <c r="P6828" s="13">
        <f>IFERROR(__xludf.DUMMYFUNCTION("VALUE(SUBSTITUTE((INDEX(SPLIT(A6828,"",""),1)),""."","","",1))"),51.413968)</f>
        <v>51.413968</v>
      </c>
      <c r="Q6828" s="13">
        <f>IFERROR(__xludf.DUMMYFUNCTION("VALUE(SUBSTITUTE((INDEX(SPLIT(A6828,"",""),2)),""."","","",1))"),57.595529)</f>
        <v>57.595529</v>
      </c>
      <c r="R6828" s="14" t="b">
        <f t="shared" si="1"/>
        <v>0</v>
      </c>
      <c r="S6828" s="14" t="str">
        <f t="shared" si="2"/>
        <v>51.413968,57.595529</v>
      </c>
      <c r="T6828" s="12"/>
    </row>
    <row r="6829">
      <c r="A6829" s="136" t="s">
        <v>43954</v>
      </c>
      <c r="B6829" s="137" t="s">
        <v>43955</v>
      </c>
      <c r="C6829" s="137" t="s">
        <v>43956</v>
      </c>
      <c r="D6829" s="137" t="s">
        <v>33342</v>
      </c>
      <c r="E6829" s="138" t="s">
        <v>43957</v>
      </c>
      <c r="F6829" s="136" t="s">
        <v>23165</v>
      </c>
      <c r="G6829" s="136" t="s">
        <v>33344</v>
      </c>
      <c r="H6829" s="136"/>
      <c r="I6829" s="137"/>
      <c r="J6829" s="137" t="s">
        <v>43958</v>
      </c>
      <c r="K6829" s="137" t="s">
        <v>43959</v>
      </c>
      <c r="L6829" s="137"/>
      <c r="M6829" s="137"/>
      <c r="N6829" s="12"/>
      <c r="O6829" s="12"/>
      <c r="P6829" s="13">
        <f>IFERROR(__xludf.DUMMYFUNCTION("VALUE(SUBSTITUTE((INDEX(SPLIT(A6829,"",""),1)),""."","","",1))"),51.837057)</f>
        <v>51.837057</v>
      </c>
      <c r="Q6829" s="13">
        <f>IFERROR(__xludf.DUMMYFUNCTION("VALUE(SUBSTITUTE((INDEX(SPLIT(A6829,"",""),2)),""."","","",1))"),55.15902)</f>
        <v>55.15902</v>
      </c>
      <c r="R6829" s="14" t="b">
        <f t="shared" si="1"/>
        <v>0</v>
      </c>
      <c r="S6829" s="14" t="str">
        <f t="shared" si="2"/>
        <v>51.837057,55.15902</v>
      </c>
      <c r="T6829" s="12"/>
    </row>
    <row r="6830">
      <c r="A6830" s="139" t="s">
        <v>43960</v>
      </c>
      <c r="B6830" s="140" t="s">
        <v>43961</v>
      </c>
      <c r="C6830" s="140" t="s">
        <v>43962</v>
      </c>
      <c r="D6830" s="140" t="s">
        <v>33342</v>
      </c>
      <c r="E6830" s="141" t="s">
        <v>43963</v>
      </c>
      <c r="F6830" s="139" t="s">
        <v>23165</v>
      </c>
      <c r="G6830" s="139" t="s">
        <v>33344</v>
      </c>
      <c r="H6830" s="139"/>
      <c r="I6830" s="140"/>
      <c r="J6830" s="140" t="s">
        <v>43964</v>
      </c>
      <c r="K6830" s="140" t="s">
        <v>43965</v>
      </c>
      <c r="L6830" s="140"/>
      <c r="M6830" s="154" t="s">
        <v>43966</v>
      </c>
      <c r="N6830" s="12"/>
      <c r="O6830" s="12"/>
      <c r="P6830" s="13">
        <f>IFERROR(__xludf.DUMMYFUNCTION("VALUE(SUBSTITUTE((INDEX(SPLIT(A6830,"",""),1)),""."","","",1))"),51.837408)</f>
        <v>51.837408</v>
      </c>
      <c r="Q6830" s="13">
        <f>IFERROR(__xludf.DUMMYFUNCTION("VALUE(SUBSTITUTE((INDEX(SPLIT(A6830,"",""),2)),""."","","",1))"),55.149947)</f>
        <v>55.149947</v>
      </c>
      <c r="R6830" s="14" t="b">
        <f t="shared" si="1"/>
        <v>0</v>
      </c>
      <c r="S6830" s="14" t="str">
        <f t="shared" si="2"/>
        <v>51.837408,55.149947</v>
      </c>
      <c r="T6830" s="12"/>
    </row>
    <row r="6831">
      <c r="A6831" s="136" t="s">
        <v>43967</v>
      </c>
      <c r="B6831" s="137" t="s">
        <v>43968</v>
      </c>
      <c r="C6831" s="137" t="s">
        <v>43969</v>
      </c>
      <c r="D6831" s="137" t="s">
        <v>33342</v>
      </c>
      <c r="E6831" s="138" t="s">
        <v>43970</v>
      </c>
      <c r="F6831" s="136" t="s">
        <v>23165</v>
      </c>
      <c r="G6831" s="136" t="s">
        <v>33344</v>
      </c>
      <c r="H6831" s="136"/>
      <c r="I6831" s="137"/>
      <c r="J6831" s="137" t="s">
        <v>43971</v>
      </c>
      <c r="K6831" s="137" t="s">
        <v>43972</v>
      </c>
      <c r="L6831" s="137"/>
      <c r="M6831" s="137"/>
      <c r="N6831" s="12"/>
      <c r="O6831" s="12"/>
      <c r="P6831" s="13">
        <f>IFERROR(__xludf.DUMMYFUNCTION("VALUE(SUBSTITUTE((INDEX(SPLIT(A6831,"",""),1)),""."","","",1))"),51.728147)</f>
        <v>51.728147</v>
      </c>
      <c r="Q6831" s="13">
        <f>IFERROR(__xludf.DUMMYFUNCTION("VALUE(SUBSTITUTE((INDEX(SPLIT(A6831,"",""),2)),""."","","",1))"),55.097512)</f>
        <v>55.097512</v>
      </c>
      <c r="R6831" s="14" t="b">
        <f t="shared" si="1"/>
        <v>0</v>
      </c>
      <c r="S6831" s="14" t="str">
        <f t="shared" si="2"/>
        <v>51.728147,55.097512</v>
      </c>
      <c r="T6831" s="12"/>
    </row>
    <row r="6832">
      <c r="A6832" s="139" t="s">
        <v>43973</v>
      </c>
      <c r="B6832" s="140" t="s">
        <v>658</v>
      </c>
      <c r="C6832" s="140" t="s">
        <v>34876</v>
      </c>
      <c r="D6832" s="140" t="s">
        <v>33342</v>
      </c>
      <c r="E6832" s="141" t="s">
        <v>43974</v>
      </c>
      <c r="F6832" s="139" t="s">
        <v>23165</v>
      </c>
      <c r="G6832" s="139" t="s">
        <v>33344</v>
      </c>
      <c r="H6832" s="139"/>
      <c r="I6832" s="140"/>
      <c r="J6832" s="140" t="s">
        <v>43975</v>
      </c>
      <c r="K6832" s="140" t="s">
        <v>43976</v>
      </c>
      <c r="L6832" s="140"/>
      <c r="M6832" s="140"/>
      <c r="N6832" s="12"/>
      <c r="O6832" s="12"/>
      <c r="P6832" s="13">
        <f>IFERROR(__xludf.DUMMYFUNCTION("VALUE(SUBSTITUTE((INDEX(SPLIT(A6832,"",""),1)),""."","","",1))"),51.721614)</f>
        <v>51.721614</v>
      </c>
      <c r="Q6832" s="13">
        <f>IFERROR(__xludf.DUMMYFUNCTION("VALUE(SUBSTITUTE((INDEX(SPLIT(A6832,"",""),2)),""."","","",1))"),55.125369)</f>
        <v>55.125369</v>
      </c>
      <c r="R6832" s="14" t="b">
        <f t="shared" si="1"/>
        <v>0</v>
      </c>
      <c r="S6832" s="14" t="str">
        <f t="shared" si="2"/>
        <v>51.721614,55.125369</v>
      </c>
      <c r="T6832" s="12"/>
    </row>
    <row r="6833">
      <c r="A6833" s="142" t="s">
        <v>43977</v>
      </c>
      <c r="B6833" s="143" t="s">
        <v>43978</v>
      </c>
      <c r="C6833" s="143" t="s">
        <v>43979</v>
      </c>
      <c r="D6833" s="143" t="s">
        <v>33342</v>
      </c>
      <c r="E6833" s="144" t="s">
        <v>43980</v>
      </c>
      <c r="F6833" s="142" t="s">
        <v>23165</v>
      </c>
      <c r="G6833" s="142" t="s">
        <v>33344</v>
      </c>
      <c r="H6833" s="142"/>
      <c r="I6833" s="143"/>
      <c r="J6833" s="143" t="s">
        <v>43981</v>
      </c>
      <c r="K6833" s="143" t="s">
        <v>43982</v>
      </c>
      <c r="L6833" s="145" t="s">
        <v>43983</v>
      </c>
      <c r="M6833" s="143"/>
      <c r="N6833" s="12"/>
      <c r="O6833" s="12"/>
      <c r="P6833" s="13">
        <f>IFERROR(__xludf.DUMMYFUNCTION("VALUE(SUBSTITUTE((INDEX(SPLIT(A6833,"",""),1)),""."","","",1))"),51.22842)</f>
        <v>51.22842</v>
      </c>
      <c r="Q6833" s="13">
        <f>IFERROR(__xludf.DUMMYFUNCTION("VALUE(SUBSTITUTE((INDEX(SPLIT(A6833,"",""),2)),""."","","",1))"),58.616797)</f>
        <v>58.616797</v>
      </c>
      <c r="R6833" s="14" t="b">
        <f t="shared" si="1"/>
        <v>0</v>
      </c>
      <c r="S6833" s="14" t="str">
        <f t="shared" si="2"/>
        <v>51.22842,58.616797</v>
      </c>
      <c r="T6833" s="12"/>
    </row>
    <row r="6834">
      <c r="A6834" s="139" t="s">
        <v>43984</v>
      </c>
      <c r="B6834" s="140" t="s">
        <v>43985</v>
      </c>
      <c r="C6834" s="140" t="s">
        <v>43986</v>
      </c>
      <c r="D6834" s="140" t="s">
        <v>33342</v>
      </c>
      <c r="E6834" s="141" t="s">
        <v>43987</v>
      </c>
      <c r="F6834" s="139" t="s">
        <v>23165</v>
      </c>
      <c r="G6834" s="139" t="s">
        <v>33344</v>
      </c>
      <c r="H6834" s="139"/>
      <c r="I6834" s="140"/>
      <c r="J6834" s="140" t="s">
        <v>43988</v>
      </c>
      <c r="K6834" s="140" t="s">
        <v>43989</v>
      </c>
      <c r="L6834" s="140"/>
      <c r="M6834" s="140"/>
      <c r="N6834" s="12"/>
      <c r="O6834" s="12"/>
      <c r="P6834" s="13">
        <f>IFERROR(__xludf.DUMMYFUNCTION("VALUE(SUBSTITUTE((INDEX(SPLIT(A6834,"",""),1)),""."","","",1))"),51.215677)</f>
        <v>51.215677</v>
      </c>
      <c r="Q6834" s="13">
        <f>IFERROR(__xludf.DUMMYFUNCTION("VALUE(SUBSTITUTE((INDEX(SPLIT(A6834,"",""),2)),""."","","",1))"),58.674029)</f>
        <v>58.674029</v>
      </c>
      <c r="R6834" s="14" t="b">
        <f t="shared" si="1"/>
        <v>0</v>
      </c>
      <c r="S6834" s="14" t="str">
        <f t="shared" si="2"/>
        <v>51.215677,58.674029</v>
      </c>
      <c r="T6834" s="12"/>
    </row>
    <row r="6835">
      <c r="A6835" s="136" t="s">
        <v>43990</v>
      </c>
      <c r="B6835" s="137" t="s">
        <v>43991</v>
      </c>
      <c r="C6835" s="137" t="s">
        <v>43992</v>
      </c>
      <c r="D6835" s="137" t="s">
        <v>33342</v>
      </c>
      <c r="E6835" s="138" t="s">
        <v>43993</v>
      </c>
      <c r="F6835" s="136" t="s">
        <v>23165</v>
      </c>
      <c r="G6835" s="136" t="s">
        <v>33344</v>
      </c>
      <c r="H6835" s="136"/>
      <c r="I6835" s="137"/>
      <c r="J6835" s="137" t="s">
        <v>43994</v>
      </c>
      <c r="K6835" s="137" t="s">
        <v>43995</v>
      </c>
      <c r="L6835" s="137"/>
      <c r="M6835" s="137"/>
      <c r="N6835" s="12"/>
      <c r="O6835" s="12"/>
      <c r="P6835" s="13">
        <f>IFERROR(__xludf.DUMMYFUNCTION("VALUE(SUBSTITUTE((INDEX(SPLIT(A6835,"",""),1)),""."","","",1))"),51.780069)</f>
        <v>51.780069</v>
      </c>
      <c r="Q6835" s="13">
        <f>IFERROR(__xludf.DUMMYFUNCTION("VALUE(SUBSTITUTE((INDEX(SPLIT(A6835,"",""),2)),""."","","",1))"),52.78356)</f>
        <v>52.78356</v>
      </c>
      <c r="R6835" s="14" t="b">
        <f t="shared" si="1"/>
        <v>0</v>
      </c>
      <c r="S6835" s="14" t="str">
        <f t="shared" si="2"/>
        <v>51.780069,52.78356</v>
      </c>
      <c r="T6835" s="12"/>
    </row>
    <row r="6836">
      <c r="A6836" s="146" t="s">
        <v>43996</v>
      </c>
      <c r="B6836" s="147" t="s">
        <v>35108</v>
      </c>
      <c r="C6836" s="147" t="s">
        <v>35109</v>
      </c>
      <c r="D6836" s="147" t="s">
        <v>33342</v>
      </c>
      <c r="E6836" s="148" t="s">
        <v>43997</v>
      </c>
      <c r="F6836" s="146" t="s">
        <v>7157</v>
      </c>
      <c r="G6836" s="146" t="s">
        <v>33344</v>
      </c>
      <c r="H6836" s="146"/>
      <c r="I6836" s="147"/>
      <c r="J6836" s="147" t="s">
        <v>43998</v>
      </c>
      <c r="K6836" s="147" t="s">
        <v>43999</v>
      </c>
      <c r="L6836" s="150" t="s">
        <v>44000</v>
      </c>
      <c r="M6836" s="147"/>
      <c r="N6836" s="12"/>
      <c r="O6836" s="12"/>
      <c r="P6836" s="13">
        <f>IFERROR(__xludf.DUMMYFUNCTION("VALUE(SUBSTITUTE((INDEX(SPLIT(A6836,"",""),1)),""."","","",1))"),53.032318)</f>
        <v>53.032318</v>
      </c>
      <c r="Q6836" s="13">
        <f>IFERROR(__xludf.DUMMYFUNCTION("VALUE(SUBSTITUTE((INDEX(SPLIT(A6836,"",""),2)),""."","","",1))"),36.147866)</f>
        <v>36.147866</v>
      </c>
      <c r="R6836" s="14" t="b">
        <f t="shared" si="1"/>
        <v>0</v>
      </c>
      <c r="S6836" s="14" t="str">
        <f t="shared" si="2"/>
        <v>53.032318,36.147866</v>
      </c>
      <c r="T6836" s="12"/>
    </row>
    <row r="6837">
      <c r="A6837" s="136" t="s">
        <v>44001</v>
      </c>
      <c r="B6837" s="137" t="s">
        <v>44002</v>
      </c>
      <c r="C6837" s="137" t="s">
        <v>44003</v>
      </c>
      <c r="D6837" s="137" t="s">
        <v>33342</v>
      </c>
      <c r="E6837" s="138" t="s">
        <v>44004</v>
      </c>
      <c r="F6837" s="136" t="s">
        <v>7157</v>
      </c>
      <c r="G6837" s="136" t="s">
        <v>33344</v>
      </c>
      <c r="H6837" s="136"/>
      <c r="I6837" s="137"/>
      <c r="J6837" s="137" t="s">
        <v>44005</v>
      </c>
      <c r="K6837" s="137" t="s">
        <v>44006</v>
      </c>
      <c r="L6837" s="137"/>
      <c r="M6837" s="137"/>
      <c r="N6837" s="12"/>
      <c r="O6837" s="12"/>
      <c r="P6837" s="13">
        <f>IFERROR(__xludf.DUMMYFUNCTION("VALUE(SUBSTITUTE((INDEX(SPLIT(A6837,"",""),1)),""."","","",1))"),52.989629)</f>
        <v>52.989629</v>
      </c>
      <c r="Q6837" s="13">
        <f>IFERROR(__xludf.DUMMYFUNCTION("VALUE(SUBSTITUTE((INDEX(SPLIT(A6837,"",""),2)),""."","","",1))"),36.073306)</f>
        <v>36.073306</v>
      </c>
      <c r="R6837" s="14" t="b">
        <f t="shared" si="1"/>
        <v>0</v>
      </c>
      <c r="S6837" s="14" t="str">
        <f t="shared" si="2"/>
        <v>52.989629,36.073306</v>
      </c>
      <c r="T6837" s="12"/>
    </row>
    <row r="6838">
      <c r="A6838" s="146" t="s">
        <v>44007</v>
      </c>
      <c r="B6838" s="147" t="s">
        <v>44008</v>
      </c>
      <c r="C6838" s="147" t="s">
        <v>44009</v>
      </c>
      <c r="D6838" s="147" t="s">
        <v>33342</v>
      </c>
      <c r="E6838" s="148" t="s">
        <v>44010</v>
      </c>
      <c r="F6838" s="146" t="s">
        <v>7157</v>
      </c>
      <c r="G6838" s="146" t="s">
        <v>33344</v>
      </c>
      <c r="H6838" s="146"/>
      <c r="I6838" s="147"/>
      <c r="J6838" s="147" t="s">
        <v>44011</v>
      </c>
      <c r="K6838" s="147" t="s">
        <v>44012</v>
      </c>
      <c r="L6838" s="149" t="s">
        <v>44013</v>
      </c>
      <c r="M6838" s="149" t="s">
        <v>44014</v>
      </c>
      <c r="N6838" s="12"/>
      <c r="O6838" s="12"/>
      <c r="P6838" s="13">
        <f>IFERROR(__xludf.DUMMYFUNCTION("VALUE(SUBSTITUTE((INDEX(SPLIT(A6838,"",""),1)),""."","","",1))"),52.922811)</f>
        <v>52.922811</v>
      </c>
      <c r="Q6838" s="13">
        <f>IFERROR(__xludf.DUMMYFUNCTION("VALUE(SUBSTITUTE((INDEX(SPLIT(A6838,"",""),2)),""."","","",1))"),35.970673)</f>
        <v>35.970673</v>
      </c>
      <c r="R6838" s="14" t="b">
        <f t="shared" si="1"/>
        <v>0</v>
      </c>
      <c r="S6838" s="14" t="str">
        <f t="shared" si="2"/>
        <v>52.922811,35.970673</v>
      </c>
      <c r="T6838" s="12"/>
    </row>
    <row r="6839">
      <c r="A6839" s="142" t="s">
        <v>44015</v>
      </c>
      <c r="B6839" s="143" t="s">
        <v>44016</v>
      </c>
      <c r="C6839" s="143" t="s">
        <v>44017</v>
      </c>
      <c r="D6839" s="143" t="s">
        <v>33342</v>
      </c>
      <c r="E6839" s="144" t="s">
        <v>44018</v>
      </c>
      <c r="F6839" s="142" t="s">
        <v>7157</v>
      </c>
      <c r="G6839" s="142" t="s">
        <v>33344</v>
      </c>
      <c r="H6839" s="142"/>
      <c r="I6839" s="143"/>
      <c r="J6839" s="143" t="s">
        <v>44019</v>
      </c>
      <c r="K6839" s="143" t="s">
        <v>44020</v>
      </c>
      <c r="L6839" s="145" t="s">
        <v>44021</v>
      </c>
      <c r="M6839" s="143"/>
      <c r="N6839" s="12"/>
      <c r="O6839" s="12"/>
      <c r="P6839" s="13">
        <f>IFERROR(__xludf.DUMMYFUNCTION("VALUE(SUBSTITUTE((INDEX(SPLIT(A6839,"",""),1)),""."","","",1))"),52.965793)</f>
        <v>52.965793</v>
      </c>
      <c r="Q6839" s="13">
        <f>IFERROR(__xludf.DUMMYFUNCTION("VALUE(SUBSTITUTE((INDEX(SPLIT(A6839,"",""),2)),""."","","",1))"),36.056956)</f>
        <v>36.056956</v>
      </c>
      <c r="R6839" s="14" t="b">
        <f t="shared" si="1"/>
        <v>0</v>
      </c>
      <c r="S6839" s="14" t="str">
        <f t="shared" si="2"/>
        <v>52.965793,36.056956</v>
      </c>
      <c r="T6839" s="12"/>
    </row>
    <row r="6840">
      <c r="A6840" s="139" t="s">
        <v>44022</v>
      </c>
      <c r="B6840" s="140" t="s">
        <v>19532</v>
      </c>
      <c r="C6840" s="140" t="s">
        <v>44023</v>
      </c>
      <c r="D6840" s="140" t="s">
        <v>33342</v>
      </c>
      <c r="E6840" s="141" t="s">
        <v>44024</v>
      </c>
      <c r="F6840" s="139" t="s">
        <v>7157</v>
      </c>
      <c r="G6840" s="139" t="s">
        <v>33344</v>
      </c>
      <c r="H6840" s="139"/>
      <c r="I6840" s="140"/>
      <c r="J6840" s="140" t="s">
        <v>44025</v>
      </c>
      <c r="K6840" s="140" t="s">
        <v>43999</v>
      </c>
      <c r="L6840" s="140"/>
      <c r="M6840" s="140"/>
      <c r="N6840" s="12"/>
      <c r="O6840" s="12"/>
      <c r="P6840" s="13">
        <f>IFERROR(__xludf.DUMMYFUNCTION("VALUE(SUBSTITUTE((INDEX(SPLIT(A6840,"",""),1)),""."","","",1))"),52.98616)</f>
        <v>52.98616</v>
      </c>
      <c r="Q6840" s="13">
        <f>IFERROR(__xludf.DUMMYFUNCTION("VALUE(SUBSTITUTE((INDEX(SPLIT(A6840,"",""),2)),""."","","",1))"),36.035468)</f>
        <v>36.035468</v>
      </c>
      <c r="R6840" s="14" t="b">
        <f t="shared" si="1"/>
        <v>0</v>
      </c>
      <c r="S6840" s="14" t="str">
        <f t="shared" si="2"/>
        <v>52.98616,36.035468</v>
      </c>
      <c r="T6840" s="12"/>
    </row>
    <row r="6841">
      <c r="A6841" s="142" t="s">
        <v>44026</v>
      </c>
      <c r="B6841" s="143" t="s">
        <v>44027</v>
      </c>
      <c r="C6841" s="143" t="s">
        <v>44028</v>
      </c>
      <c r="D6841" s="143" t="s">
        <v>33342</v>
      </c>
      <c r="E6841" s="144" t="s">
        <v>44029</v>
      </c>
      <c r="F6841" s="142" t="s">
        <v>7157</v>
      </c>
      <c r="G6841" s="142" t="s">
        <v>33344</v>
      </c>
      <c r="H6841" s="142"/>
      <c r="I6841" s="143"/>
      <c r="J6841" s="143" t="s">
        <v>44030</v>
      </c>
      <c r="K6841" s="143" t="s">
        <v>44031</v>
      </c>
      <c r="L6841" s="145" t="s">
        <v>44032</v>
      </c>
      <c r="M6841" s="143"/>
      <c r="N6841" s="12"/>
      <c r="O6841" s="12"/>
      <c r="P6841" s="13">
        <f>IFERROR(__xludf.DUMMYFUNCTION("VALUE(SUBSTITUTE((INDEX(SPLIT(A6841,"",""),1)),""."","","",1))"),52.988296)</f>
        <v>52.988296</v>
      </c>
      <c r="Q6841" s="13">
        <f>IFERROR(__xludf.DUMMYFUNCTION("VALUE(SUBSTITUTE((INDEX(SPLIT(A6841,"",""),2)),""."","","",1))"),36.074285)</f>
        <v>36.074285</v>
      </c>
      <c r="R6841" s="14" t="b">
        <f t="shared" si="1"/>
        <v>0</v>
      </c>
      <c r="S6841" s="14" t="str">
        <f t="shared" si="2"/>
        <v>52.988296,36.074285</v>
      </c>
      <c r="T6841" s="12"/>
    </row>
    <row r="6842">
      <c r="A6842" s="146" t="s">
        <v>44033</v>
      </c>
      <c r="B6842" s="147" t="s">
        <v>10515</v>
      </c>
      <c r="C6842" s="147" t="s">
        <v>44034</v>
      </c>
      <c r="D6842" s="147" t="s">
        <v>33342</v>
      </c>
      <c r="E6842" s="148" t="s">
        <v>44035</v>
      </c>
      <c r="F6842" s="146" t="s">
        <v>7157</v>
      </c>
      <c r="G6842" s="146" t="s">
        <v>33344</v>
      </c>
      <c r="H6842" s="146"/>
      <c r="I6842" s="147"/>
      <c r="J6842" s="147" t="s">
        <v>44036</v>
      </c>
      <c r="K6842" s="147" t="s">
        <v>27545</v>
      </c>
      <c r="L6842" s="149" t="s">
        <v>44037</v>
      </c>
      <c r="M6842" s="149" t="s">
        <v>44038</v>
      </c>
      <c r="N6842" s="12"/>
      <c r="O6842" s="12"/>
      <c r="P6842" s="13">
        <f>IFERROR(__xludf.DUMMYFUNCTION("VALUE(SUBSTITUTE((INDEX(SPLIT(A6842,"",""),1)),""."","","",1))"),53.010527)</f>
        <v>53.010527</v>
      </c>
      <c r="Q6842" s="13">
        <f>IFERROR(__xludf.DUMMYFUNCTION("VALUE(SUBSTITUTE((INDEX(SPLIT(A6842,"",""),2)),""."","","",1))"),36.106588)</f>
        <v>36.106588</v>
      </c>
      <c r="R6842" s="14" t="b">
        <f t="shared" si="1"/>
        <v>0</v>
      </c>
      <c r="S6842" s="14" t="str">
        <f t="shared" si="2"/>
        <v>53.010527,36.106588</v>
      </c>
      <c r="T6842" s="12"/>
    </row>
    <row r="6843">
      <c r="A6843" s="142" t="s">
        <v>44039</v>
      </c>
      <c r="B6843" s="143" t="s">
        <v>29610</v>
      </c>
      <c r="C6843" s="143" t="s">
        <v>34565</v>
      </c>
      <c r="D6843" s="143" t="s">
        <v>33342</v>
      </c>
      <c r="E6843" s="144" t="s">
        <v>44040</v>
      </c>
      <c r="F6843" s="142" t="s">
        <v>17865</v>
      </c>
      <c r="G6843" s="142" t="s">
        <v>33344</v>
      </c>
      <c r="H6843" s="142"/>
      <c r="I6843" s="143"/>
      <c r="J6843" s="143" t="s">
        <v>44041</v>
      </c>
      <c r="K6843" s="143" t="s">
        <v>44042</v>
      </c>
      <c r="L6843" s="145" t="s">
        <v>44043</v>
      </c>
      <c r="M6843" s="143"/>
      <c r="N6843" s="12"/>
      <c r="O6843" s="12"/>
      <c r="P6843" s="13">
        <f>IFERROR(__xludf.DUMMYFUNCTION("VALUE(SUBSTITUTE((INDEX(SPLIT(A6843,"",""),1)),""."","","",1))"),53.115746)</f>
        <v>53.115746</v>
      </c>
      <c r="Q6843" s="13">
        <f>IFERROR(__xludf.DUMMYFUNCTION("VALUE(SUBSTITUTE((INDEX(SPLIT(A6843,"",""),2)),""."","","",1))"),46.604839)</f>
        <v>46.604839</v>
      </c>
      <c r="R6843" s="14" t="b">
        <f t="shared" si="1"/>
        <v>0</v>
      </c>
      <c r="S6843" s="14" t="str">
        <f t="shared" si="2"/>
        <v>53.115746,46.604839</v>
      </c>
      <c r="T6843" s="12"/>
    </row>
    <row r="6844">
      <c r="A6844" s="139" t="s">
        <v>44044</v>
      </c>
      <c r="B6844" s="140" t="s">
        <v>10174</v>
      </c>
      <c r="C6844" s="140" t="s">
        <v>44045</v>
      </c>
      <c r="D6844" s="140" t="s">
        <v>33342</v>
      </c>
      <c r="E6844" s="141" t="s">
        <v>44046</v>
      </c>
      <c r="F6844" s="139" t="s">
        <v>17865</v>
      </c>
      <c r="G6844" s="139" t="s">
        <v>33344</v>
      </c>
      <c r="H6844" s="139"/>
      <c r="I6844" s="140"/>
      <c r="J6844" s="140" t="s">
        <v>44047</v>
      </c>
      <c r="K6844" s="140" t="s">
        <v>44042</v>
      </c>
      <c r="L6844" s="140"/>
      <c r="M6844" s="140"/>
      <c r="N6844" s="12"/>
      <c r="O6844" s="12"/>
      <c r="P6844" s="13">
        <f>IFERROR(__xludf.DUMMYFUNCTION("VALUE(SUBSTITUTE((INDEX(SPLIT(A6844,"",""),1)),""."","","",1))"),53.124258)</f>
        <v>53.124258</v>
      </c>
      <c r="Q6844" s="13">
        <f>IFERROR(__xludf.DUMMYFUNCTION("VALUE(SUBSTITUTE((INDEX(SPLIT(A6844,"",""),2)),""."","","",1))"),46.568772)</f>
        <v>46.568772</v>
      </c>
      <c r="R6844" s="14" t="b">
        <f t="shared" si="1"/>
        <v>0</v>
      </c>
      <c r="S6844" s="14" t="str">
        <f t="shared" si="2"/>
        <v>53.124258,46.568772</v>
      </c>
      <c r="T6844" s="12"/>
    </row>
    <row r="6845">
      <c r="A6845" s="142" t="s">
        <v>44048</v>
      </c>
      <c r="B6845" s="143" t="s">
        <v>44049</v>
      </c>
      <c r="C6845" s="143" t="s">
        <v>44050</v>
      </c>
      <c r="D6845" s="143" t="s">
        <v>33342</v>
      </c>
      <c r="E6845" s="144" t="s">
        <v>44051</v>
      </c>
      <c r="F6845" s="142" t="s">
        <v>17865</v>
      </c>
      <c r="G6845" s="142" t="s">
        <v>33344</v>
      </c>
      <c r="H6845" s="142"/>
      <c r="I6845" s="143"/>
      <c r="J6845" s="143" t="s">
        <v>44052</v>
      </c>
      <c r="K6845" s="143" t="s">
        <v>44053</v>
      </c>
      <c r="L6845" s="145" t="s">
        <v>44054</v>
      </c>
      <c r="M6845" s="145" t="s">
        <v>44055</v>
      </c>
      <c r="N6845" s="12"/>
      <c r="O6845" s="12"/>
      <c r="P6845" s="13">
        <f>IFERROR(__xludf.DUMMYFUNCTION("VALUE(SUBSTITUTE((INDEX(SPLIT(A6845,"",""),1)),""."","","",1))"),53.347967)</f>
        <v>53.347967</v>
      </c>
      <c r="Q6845" s="13">
        <f>IFERROR(__xludf.DUMMYFUNCTION("VALUE(SUBSTITUTE((INDEX(SPLIT(A6845,"",""),2)),""."","","",1))"),45.06625)</f>
        <v>45.06625</v>
      </c>
      <c r="R6845" s="14" t="b">
        <f t="shared" si="1"/>
        <v>0</v>
      </c>
      <c r="S6845" s="14" t="str">
        <f t="shared" si="2"/>
        <v>53.347967,45.06625</v>
      </c>
      <c r="T6845" s="12"/>
    </row>
    <row r="6846">
      <c r="A6846" s="146" t="s">
        <v>44056</v>
      </c>
      <c r="B6846" s="147" t="s">
        <v>44057</v>
      </c>
      <c r="C6846" s="147" t="s">
        <v>44058</v>
      </c>
      <c r="D6846" s="147" t="s">
        <v>33342</v>
      </c>
      <c r="E6846" s="148" t="s">
        <v>44059</v>
      </c>
      <c r="F6846" s="146" t="s">
        <v>17865</v>
      </c>
      <c r="G6846" s="146" t="s">
        <v>33344</v>
      </c>
      <c r="H6846" s="146"/>
      <c r="I6846" s="147"/>
      <c r="J6846" s="147" t="s">
        <v>44060</v>
      </c>
      <c r="K6846" s="147" t="s">
        <v>44061</v>
      </c>
      <c r="L6846" s="149" t="s">
        <v>44062</v>
      </c>
      <c r="M6846" s="147"/>
      <c r="N6846" s="12"/>
      <c r="O6846" s="12"/>
      <c r="P6846" s="13">
        <f>IFERROR(__xludf.DUMMYFUNCTION("VALUE(SUBSTITUTE((INDEX(SPLIT(A6846,"",""),1)),""."","","",1))"),53.038561)</f>
        <v>53.038561</v>
      </c>
      <c r="Q6846" s="13">
        <f>IFERROR(__xludf.DUMMYFUNCTION("VALUE(SUBSTITUTE((INDEX(SPLIT(A6846,"",""),2)),""."","","",1))"),45.967458)</f>
        <v>45.967458</v>
      </c>
      <c r="R6846" s="14" t="b">
        <f t="shared" si="1"/>
        <v>0</v>
      </c>
      <c r="S6846" s="14" t="str">
        <f t="shared" si="2"/>
        <v>53.038561,45.967458</v>
      </c>
      <c r="T6846" s="12"/>
    </row>
    <row r="6847">
      <c r="A6847" s="136" t="s">
        <v>44063</v>
      </c>
      <c r="B6847" s="137" t="s">
        <v>44064</v>
      </c>
      <c r="C6847" s="137" t="s">
        <v>44065</v>
      </c>
      <c r="D6847" s="137" t="s">
        <v>33342</v>
      </c>
      <c r="E6847" s="138" t="s">
        <v>44066</v>
      </c>
      <c r="F6847" s="136" t="s">
        <v>17865</v>
      </c>
      <c r="G6847" s="136" t="s">
        <v>33344</v>
      </c>
      <c r="H6847" s="136"/>
      <c r="I6847" s="137"/>
      <c r="J6847" s="137" t="s">
        <v>44067</v>
      </c>
      <c r="K6847" s="137" t="s">
        <v>44068</v>
      </c>
      <c r="L6847" s="137"/>
      <c r="M6847" s="153" t="s">
        <v>44069</v>
      </c>
      <c r="N6847" s="12"/>
      <c r="O6847" s="12"/>
      <c r="P6847" s="13">
        <f>IFERROR(__xludf.DUMMYFUNCTION("VALUE(SUBSTITUTE((INDEX(SPLIT(A6847,"",""),1)),""."","","",1))"),53.023636)</f>
        <v>53.023636</v>
      </c>
      <c r="Q6847" s="13">
        <f>IFERROR(__xludf.DUMMYFUNCTION("VALUE(SUBSTITUTE((INDEX(SPLIT(A6847,"",""),2)),""."","","",1))"),45.952869)</f>
        <v>45.952869</v>
      </c>
      <c r="R6847" s="14" t="b">
        <f t="shared" si="1"/>
        <v>0</v>
      </c>
      <c r="S6847" s="14" t="str">
        <f t="shared" si="2"/>
        <v>53.023636,45.952869</v>
      </c>
      <c r="T6847" s="12"/>
    </row>
    <row r="6848">
      <c r="A6848" s="146" t="s">
        <v>44070</v>
      </c>
      <c r="B6848" s="147" t="s">
        <v>44071</v>
      </c>
      <c r="C6848" s="147" t="s">
        <v>44072</v>
      </c>
      <c r="D6848" s="147" t="s">
        <v>33342</v>
      </c>
      <c r="E6848" s="148" t="s">
        <v>44073</v>
      </c>
      <c r="F6848" s="146" t="s">
        <v>17865</v>
      </c>
      <c r="G6848" s="146" t="s">
        <v>33344</v>
      </c>
      <c r="H6848" s="146"/>
      <c r="I6848" s="147"/>
      <c r="J6848" s="147" t="s">
        <v>44074</v>
      </c>
      <c r="K6848" s="147" t="s">
        <v>44075</v>
      </c>
      <c r="L6848" s="149" t="s">
        <v>44076</v>
      </c>
      <c r="M6848" s="147"/>
      <c r="N6848" s="12"/>
      <c r="O6848" s="12"/>
      <c r="P6848" s="13">
        <f>IFERROR(__xludf.DUMMYFUNCTION("VALUE(SUBSTITUTE((INDEX(SPLIT(A6848,"",""),1)),""."","","",1))"),53.141136)</f>
        <v>53.141136</v>
      </c>
      <c r="Q6848" s="13">
        <f>IFERROR(__xludf.DUMMYFUNCTION("VALUE(SUBSTITUTE((INDEX(SPLIT(A6848,"",""),2)),""."","","",1))"),45.032267)</f>
        <v>45.032267</v>
      </c>
      <c r="R6848" s="14" t="b">
        <f t="shared" si="1"/>
        <v>0</v>
      </c>
      <c r="S6848" s="14" t="str">
        <f t="shared" si="2"/>
        <v>53.141136,45.032267</v>
      </c>
      <c r="T6848" s="12"/>
    </row>
    <row r="6849">
      <c r="A6849" s="136" t="s">
        <v>44077</v>
      </c>
      <c r="B6849" s="137" t="s">
        <v>44078</v>
      </c>
      <c r="C6849" s="137" t="s">
        <v>44079</v>
      </c>
      <c r="D6849" s="137" t="s">
        <v>33342</v>
      </c>
      <c r="E6849" s="138" t="s">
        <v>44080</v>
      </c>
      <c r="F6849" s="136" t="s">
        <v>17865</v>
      </c>
      <c r="G6849" s="136" t="s">
        <v>33344</v>
      </c>
      <c r="H6849" s="136"/>
      <c r="I6849" s="137"/>
      <c r="J6849" s="137" t="s">
        <v>44081</v>
      </c>
      <c r="K6849" s="137" t="s">
        <v>44082</v>
      </c>
      <c r="L6849" s="137"/>
      <c r="M6849" s="137"/>
      <c r="N6849" s="12"/>
      <c r="O6849" s="12"/>
      <c r="P6849" s="13">
        <f>IFERROR(__xludf.DUMMYFUNCTION("VALUE(SUBSTITUTE((INDEX(SPLIT(A6849,"",""),1)),""."","","",1))"),53.195042)</f>
        <v>53.195042</v>
      </c>
      <c r="Q6849" s="13">
        <f>IFERROR(__xludf.DUMMYFUNCTION("VALUE(SUBSTITUTE((INDEX(SPLIT(A6849,"",""),2)),""."","","",1))"),45.018316)</f>
        <v>45.018316</v>
      </c>
      <c r="R6849" s="14" t="b">
        <f t="shared" si="1"/>
        <v>0</v>
      </c>
      <c r="S6849" s="14" t="str">
        <f t="shared" si="2"/>
        <v>53.195042,45.018316</v>
      </c>
      <c r="T6849" s="12"/>
    </row>
    <row r="6850">
      <c r="A6850" s="146" t="s">
        <v>44083</v>
      </c>
      <c r="B6850" s="147" t="s">
        <v>44084</v>
      </c>
      <c r="C6850" s="147" t="s">
        <v>44085</v>
      </c>
      <c r="D6850" s="147" t="s">
        <v>33342</v>
      </c>
      <c r="E6850" s="148" t="s">
        <v>44086</v>
      </c>
      <c r="F6850" s="146" t="s">
        <v>17865</v>
      </c>
      <c r="G6850" s="146" t="s">
        <v>33344</v>
      </c>
      <c r="H6850" s="146"/>
      <c r="I6850" s="147"/>
      <c r="J6850" s="147" t="s">
        <v>44087</v>
      </c>
      <c r="K6850" s="147" t="s">
        <v>44088</v>
      </c>
      <c r="L6850" s="149" t="s">
        <v>19366</v>
      </c>
      <c r="M6850" s="147"/>
      <c r="N6850" s="12"/>
      <c r="O6850" s="12"/>
      <c r="P6850" s="13">
        <f>IFERROR(__xludf.DUMMYFUNCTION("VALUE(SUBSTITUTE((INDEX(SPLIT(A6850,"",""),1)),""."","","",1))"),53.190262)</f>
        <v>53.190262</v>
      </c>
      <c r="Q6850" s="13">
        <f>IFERROR(__xludf.DUMMYFUNCTION("VALUE(SUBSTITUTE((INDEX(SPLIT(A6850,"",""),2)),""."","","",1))"),45.039902)</f>
        <v>45.039902</v>
      </c>
      <c r="R6850" s="14" t="b">
        <f t="shared" si="1"/>
        <v>0</v>
      </c>
      <c r="S6850" s="14" t="str">
        <f t="shared" si="2"/>
        <v>53.190262,45.039902</v>
      </c>
      <c r="T6850" s="12"/>
    </row>
    <row r="6851">
      <c r="A6851" s="142" t="s">
        <v>44089</v>
      </c>
      <c r="B6851" s="143" t="s">
        <v>44090</v>
      </c>
      <c r="C6851" s="143" t="s">
        <v>44091</v>
      </c>
      <c r="D6851" s="143" t="s">
        <v>33342</v>
      </c>
      <c r="E6851" s="144" t="s">
        <v>44092</v>
      </c>
      <c r="F6851" s="142" t="s">
        <v>17865</v>
      </c>
      <c r="G6851" s="142" t="s">
        <v>33344</v>
      </c>
      <c r="H6851" s="142"/>
      <c r="I6851" s="143"/>
      <c r="J6851" s="143" t="s">
        <v>44093</v>
      </c>
      <c r="K6851" s="143" t="s">
        <v>44094</v>
      </c>
      <c r="L6851" s="145" t="s">
        <v>44095</v>
      </c>
      <c r="M6851" s="143"/>
      <c r="N6851" s="12"/>
      <c r="O6851" s="12"/>
      <c r="P6851" s="13">
        <f>IFERROR(__xludf.DUMMYFUNCTION("VALUE(SUBSTITUTE((INDEX(SPLIT(A6851,"",""),1)),""."","","",1))"),53.178736)</f>
        <v>53.178736</v>
      </c>
      <c r="Q6851" s="13">
        <f>IFERROR(__xludf.DUMMYFUNCTION("VALUE(SUBSTITUTE((INDEX(SPLIT(A6851,"",""),2)),""."","","",1))"),45.120302)</f>
        <v>45.120302</v>
      </c>
      <c r="R6851" s="14" t="b">
        <f t="shared" si="1"/>
        <v>0</v>
      </c>
      <c r="S6851" s="14" t="str">
        <f t="shared" si="2"/>
        <v>53.178736,45.120302</v>
      </c>
      <c r="T6851" s="12"/>
    </row>
    <row r="6852">
      <c r="A6852" s="139" t="s">
        <v>44096</v>
      </c>
      <c r="B6852" s="140" t="s">
        <v>44097</v>
      </c>
      <c r="C6852" s="140" t="s">
        <v>44098</v>
      </c>
      <c r="D6852" s="140" t="s">
        <v>33342</v>
      </c>
      <c r="E6852" s="141" t="s">
        <v>44099</v>
      </c>
      <c r="F6852" s="139" t="s">
        <v>17865</v>
      </c>
      <c r="G6852" s="139" t="s">
        <v>33344</v>
      </c>
      <c r="H6852" s="139"/>
      <c r="I6852" s="140"/>
      <c r="J6852" s="140" t="s">
        <v>44100</v>
      </c>
      <c r="K6852" s="140" t="s">
        <v>44101</v>
      </c>
      <c r="L6852" s="140"/>
      <c r="M6852" s="154" t="s">
        <v>44102</v>
      </c>
      <c r="N6852" s="12"/>
      <c r="O6852" s="12"/>
      <c r="P6852" s="13">
        <f>IFERROR(__xludf.DUMMYFUNCTION("VALUE(SUBSTITUTE((INDEX(SPLIT(A6852,"",""),1)),""."","","",1))"),53.269543)</f>
        <v>53.269543</v>
      </c>
      <c r="Q6852" s="13">
        <f>IFERROR(__xludf.DUMMYFUNCTION("VALUE(SUBSTITUTE((INDEX(SPLIT(A6852,"",""),2)),""."","","",1))"),44.911264)</f>
        <v>44.911264</v>
      </c>
      <c r="R6852" s="14" t="b">
        <f t="shared" si="1"/>
        <v>0</v>
      </c>
      <c r="S6852" s="14" t="str">
        <f t="shared" si="2"/>
        <v>53.269543,44.911264</v>
      </c>
      <c r="T6852" s="12"/>
    </row>
    <row r="6853">
      <c r="A6853" s="136" t="s">
        <v>44103</v>
      </c>
      <c r="B6853" s="137" t="s">
        <v>44104</v>
      </c>
      <c r="C6853" s="137" t="s">
        <v>44105</v>
      </c>
      <c r="D6853" s="137" t="s">
        <v>33342</v>
      </c>
      <c r="E6853" s="138" t="s">
        <v>44106</v>
      </c>
      <c r="F6853" s="136" t="s">
        <v>17865</v>
      </c>
      <c r="G6853" s="136" t="s">
        <v>33344</v>
      </c>
      <c r="H6853" s="136"/>
      <c r="I6853" s="137"/>
      <c r="J6853" s="137" t="s">
        <v>44107</v>
      </c>
      <c r="K6853" s="137" t="s">
        <v>44108</v>
      </c>
      <c r="L6853" s="137"/>
      <c r="M6853" s="137"/>
      <c r="N6853" s="12"/>
      <c r="O6853" s="12"/>
      <c r="P6853" s="13">
        <f>IFERROR(__xludf.DUMMYFUNCTION("VALUE(SUBSTITUTE((INDEX(SPLIT(A6853,"",""),1)),""."","","",1))"),53.236507)</f>
        <v>53.236507</v>
      </c>
      <c r="Q6853" s="13">
        <f>IFERROR(__xludf.DUMMYFUNCTION("VALUE(SUBSTITUTE((INDEX(SPLIT(A6853,"",""),2)),""."","","",1))"),45.011659)</f>
        <v>45.011659</v>
      </c>
      <c r="R6853" s="14" t="b">
        <f t="shared" si="1"/>
        <v>0</v>
      </c>
      <c r="S6853" s="14" t="str">
        <f t="shared" si="2"/>
        <v>53.236507,45.011659</v>
      </c>
      <c r="T6853" s="12"/>
    </row>
    <row r="6854">
      <c r="A6854" s="146" t="s">
        <v>44109</v>
      </c>
      <c r="B6854" s="147" t="s">
        <v>44110</v>
      </c>
      <c r="C6854" s="147" t="s">
        <v>44111</v>
      </c>
      <c r="D6854" s="147" t="s">
        <v>33342</v>
      </c>
      <c r="E6854" s="148" t="s">
        <v>44112</v>
      </c>
      <c r="F6854" s="146" t="s">
        <v>17865</v>
      </c>
      <c r="G6854" s="146" t="s">
        <v>33344</v>
      </c>
      <c r="H6854" s="146"/>
      <c r="I6854" s="147"/>
      <c r="J6854" s="147" t="s">
        <v>44113</v>
      </c>
      <c r="K6854" s="147" t="s">
        <v>44114</v>
      </c>
      <c r="L6854" s="149" t="s">
        <v>44115</v>
      </c>
      <c r="M6854" s="149" t="s">
        <v>44116</v>
      </c>
      <c r="N6854" s="12"/>
      <c r="O6854" s="12"/>
      <c r="P6854" s="13">
        <f>IFERROR(__xludf.DUMMYFUNCTION("VALUE(SUBSTITUTE((INDEX(SPLIT(A6854,"",""),1)),""."","","",1))"),53.198435)</f>
        <v>53.198435</v>
      </c>
      <c r="Q6854" s="13">
        <f>IFERROR(__xludf.DUMMYFUNCTION("VALUE(SUBSTITUTE((INDEX(SPLIT(A6854,"",""),2)),""."","","",1))"),45.009171)</f>
        <v>45.009171</v>
      </c>
      <c r="R6854" s="14" t="b">
        <f t="shared" si="1"/>
        <v>0</v>
      </c>
      <c r="S6854" s="14" t="str">
        <f t="shared" si="2"/>
        <v>53.198435,45.009171</v>
      </c>
      <c r="T6854" s="12"/>
    </row>
    <row r="6855">
      <c r="A6855" s="142" t="s">
        <v>44117</v>
      </c>
      <c r="B6855" s="143" t="s">
        <v>44118</v>
      </c>
      <c r="C6855" s="143" t="s">
        <v>44119</v>
      </c>
      <c r="D6855" s="143" t="s">
        <v>33342</v>
      </c>
      <c r="E6855" s="144" t="s">
        <v>44120</v>
      </c>
      <c r="F6855" s="142" t="s">
        <v>17865</v>
      </c>
      <c r="G6855" s="142" t="s">
        <v>33344</v>
      </c>
      <c r="H6855" s="142"/>
      <c r="I6855" s="143"/>
      <c r="J6855" s="143" t="s">
        <v>44121</v>
      </c>
      <c r="K6855" s="143" t="s">
        <v>44122</v>
      </c>
      <c r="L6855" s="145" t="s">
        <v>44115</v>
      </c>
      <c r="M6855" s="143"/>
      <c r="N6855" s="12"/>
      <c r="O6855" s="12"/>
      <c r="P6855" s="13">
        <f>IFERROR(__xludf.DUMMYFUNCTION("VALUE(SUBSTITUTE((INDEX(SPLIT(A6855,"",""),1)),""."","","",1))"),53.233554)</f>
        <v>53.233554</v>
      </c>
      <c r="Q6855" s="13">
        <f>IFERROR(__xludf.DUMMYFUNCTION("VALUE(SUBSTITUTE((INDEX(SPLIT(A6855,"",""),2)),""."","","",1))"),44.999415)</f>
        <v>44.999415</v>
      </c>
      <c r="R6855" s="14" t="b">
        <f t="shared" si="1"/>
        <v>0</v>
      </c>
      <c r="S6855" s="14" t="str">
        <f t="shared" si="2"/>
        <v>53.233554,44.999415</v>
      </c>
      <c r="T6855" s="12"/>
    </row>
    <row r="6856">
      <c r="A6856" s="146" t="s">
        <v>44123</v>
      </c>
      <c r="B6856" s="147" t="s">
        <v>44124</v>
      </c>
      <c r="C6856" s="147" t="s">
        <v>44125</v>
      </c>
      <c r="D6856" s="147" t="s">
        <v>33342</v>
      </c>
      <c r="E6856" s="148" t="s">
        <v>44126</v>
      </c>
      <c r="F6856" s="146" t="s">
        <v>17865</v>
      </c>
      <c r="G6856" s="146" t="s">
        <v>33344</v>
      </c>
      <c r="H6856" s="146"/>
      <c r="I6856" s="147"/>
      <c r="J6856" s="147" t="s">
        <v>44127</v>
      </c>
      <c r="K6856" s="147" t="s">
        <v>44128</v>
      </c>
      <c r="L6856" s="149" t="s">
        <v>44129</v>
      </c>
      <c r="M6856" s="147"/>
      <c r="N6856" s="12"/>
      <c r="O6856" s="12"/>
      <c r="P6856" s="13">
        <f>IFERROR(__xludf.DUMMYFUNCTION("VALUE(SUBSTITUTE((INDEX(SPLIT(A6856,"",""),1)),""."","","",1))"),53.188918)</f>
        <v>53.188918</v>
      </c>
      <c r="Q6856" s="13">
        <f>IFERROR(__xludf.DUMMYFUNCTION("VALUE(SUBSTITUTE((INDEX(SPLIT(A6856,"",""),2)),""."","","",1))"),45.015477)</f>
        <v>45.015477</v>
      </c>
      <c r="R6856" s="14" t="b">
        <f t="shared" si="1"/>
        <v>0</v>
      </c>
      <c r="S6856" s="14" t="str">
        <f t="shared" si="2"/>
        <v>53.188918,45.015477</v>
      </c>
      <c r="T6856" s="12"/>
    </row>
    <row r="6857">
      <c r="A6857" s="142" t="s">
        <v>44130</v>
      </c>
      <c r="B6857" s="143" t="s">
        <v>21517</v>
      </c>
      <c r="C6857" s="143" t="s">
        <v>44131</v>
      </c>
      <c r="D6857" s="143" t="s">
        <v>33342</v>
      </c>
      <c r="E6857" s="144" t="s">
        <v>44132</v>
      </c>
      <c r="F6857" s="142" t="s">
        <v>17865</v>
      </c>
      <c r="G6857" s="142" t="s">
        <v>33344</v>
      </c>
      <c r="H6857" s="142"/>
      <c r="I6857" s="143"/>
      <c r="J6857" s="143" t="s">
        <v>44133</v>
      </c>
      <c r="K6857" s="143" t="s">
        <v>44134</v>
      </c>
      <c r="L6857" s="145" t="s">
        <v>44135</v>
      </c>
      <c r="M6857" s="143"/>
      <c r="N6857" s="12"/>
      <c r="O6857" s="12"/>
      <c r="P6857" s="13">
        <f>IFERROR(__xludf.DUMMYFUNCTION("VALUE(SUBSTITUTE((INDEX(SPLIT(A6857,"",""),1)),""."","","",1))"),53.188999)</f>
        <v>53.188999</v>
      </c>
      <c r="Q6857" s="13">
        <f>IFERROR(__xludf.DUMMYFUNCTION("VALUE(SUBSTITUTE((INDEX(SPLIT(A6857,"",""),2)),""."","","",1))"),45.006952)</f>
        <v>45.006952</v>
      </c>
      <c r="R6857" s="14" t="b">
        <f t="shared" si="1"/>
        <v>0</v>
      </c>
      <c r="S6857" s="14" t="str">
        <f t="shared" si="2"/>
        <v>53.188999,45.006952</v>
      </c>
      <c r="T6857" s="12"/>
    </row>
    <row r="6858">
      <c r="A6858" s="139" t="s">
        <v>44136</v>
      </c>
      <c r="B6858" s="140" t="s">
        <v>44137</v>
      </c>
      <c r="C6858" s="140" t="s">
        <v>44138</v>
      </c>
      <c r="D6858" s="140" t="s">
        <v>33342</v>
      </c>
      <c r="E6858" s="141" t="s">
        <v>44139</v>
      </c>
      <c r="F6858" s="139" t="s">
        <v>17865</v>
      </c>
      <c r="G6858" s="139" t="s">
        <v>33344</v>
      </c>
      <c r="H6858" s="139"/>
      <c r="I6858" s="140"/>
      <c r="J6858" s="140" t="s">
        <v>44140</v>
      </c>
      <c r="K6858" s="140" t="s">
        <v>44141</v>
      </c>
      <c r="L6858" s="140"/>
      <c r="M6858" s="154" t="s">
        <v>44142</v>
      </c>
      <c r="N6858" s="12"/>
      <c r="O6858" s="12"/>
      <c r="P6858" s="13">
        <f>IFERROR(__xludf.DUMMYFUNCTION("VALUE(SUBSTITUTE((INDEX(SPLIT(A6858,"",""),1)),""."","","",1))"),53.177376)</f>
        <v>53.177376</v>
      </c>
      <c r="Q6858" s="13">
        <f>IFERROR(__xludf.DUMMYFUNCTION("VALUE(SUBSTITUTE((INDEX(SPLIT(A6858,"",""),2)),""."","","",1))"),45.019987)</f>
        <v>45.019987</v>
      </c>
      <c r="R6858" s="14" t="b">
        <f t="shared" si="1"/>
        <v>0</v>
      </c>
      <c r="S6858" s="14" t="str">
        <f t="shared" si="2"/>
        <v>53.177376,45.019987</v>
      </c>
      <c r="T6858" s="12"/>
    </row>
    <row r="6859">
      <c r="A6859" s="142" t="s">
        <v>44143</v>
      </c>
      <c r="B6859" s="143" t="s">
        <v>44144</v>
      </c>
      <c r="C6859" s="143" t="s">
        <v>44145</v>
      </c>
      <c r="D6859" s="143" t="s">
        <v>33342</v>
      </c>
      <c r="E6859" s="144" t="s">
        <v>44146</v>
      </c>
      <c r="F6859" s="142" t="s">
        <v>17865</v>
      </c>
      <c r="G6859" s="142" t="s">
        <v>33344</v>
      </c>
      <c r="H6859" s="142"/>
      <c r="I6859" s="143"/>
      <c r="J6859" s="143" t="s">
        <v>44147</v>
      </c>
      <c r="K6859" s="143" t="s">
        <v>44148</v>
      </c>
      <c r="L6859" s="145" t="s">
        <v>44149</v>
      </c>
      <c r="M6859" s="143"/>
      <c r="N6859" s="12"/>
      <c r="O6859" s="12"/>
      <c r="P6859" s="13">
        <f>IFERROR(__xludf.DUMMYFUNCTION("VALUE(SUBSTITUTE((INDEX(SPLIT(A6859,"",""),1)),""."","","",1))"),53.191772)</f>
        <v>53.191772</v>
      </c>
      <c r="Q6859" s="13">
        <f>IFERROR(__xludf.DUMMYFUNCTION("VALUE(SUBSTITUTE((INDEX(SPLIT(A6859,"",""),2)),""."","","",1))"),45.17756)</f>
        <v>45.17756</v>
      </c>
      <c r="R6859" s="14" t="b">
        <f t="shared" si="1"/>
        <v>0</v>
      </c>
      <c r="S6859" s="14" t="str">
        <f t="shared" si="2"/>
        <v>53.191772,45.17756</v>
      </c>
      <c r="T6859" s="12"/>
    </row>
    <row r="6860">
      <c r="A6860" s="139" t="s">
        <v>44150</v>
      </c>
      <c r="B6860" s="140" t="s">
        <v>44151</v>
      </c>
      <c r="C6860" s="140" t="s">
        <v>44152</v>
      </c>
      <c r="D6860" s="140" t="s">
        <v>33342</v>
      </c>
      <c r="E6860" s="141" t="s">
        <v>44153</v>
      </c>
      <c r="F6860" s="139" t="s">
        <v>17865</v>
      </c>
      <c r="G6860" s="139" t="s">
        <v>33344</v>
      </c>
      <c r="H6860" s="139"/>
      <c r="I6860" s="140"/>
      <c r="J6860" s="140" t="s">
        <v>44154</v>
      </c>
      <c r="K6860" s="140" t="s">
        <v>44155</v>
      </c>
      <c r="L6860" s="140"/>
      <c r="M6860" s="140"/>
      <c r="N6860" s="12"/>
      <c r="O6860" s="12"/>
      <c r="P6860" s="13">
        <f>IFERROR(__xludf.DUMMYFUNCTION("VALUE(SUBSTITUTE((INDEX(SPLIT(A6860,"",""),1)),""."","","",1))"),53.176674)</f>
        <v>53.176674</v>
      </c>
      <c r="Q6860" s="13">
        <f>IFERROR(__xludf.DUMMYFUNCTION("VALUE(SUBSTITUTE((INDEX(SPLIT(A6860,"",""),2)),""."","","",1))"),44.996442)</f>
        <v>44.996442</v>
      </c>
      <c r="R6860" s="14" t="b">
        <f t="shared" si="1"/>
        <v>0</v>
      </c>
      <c r="S6860" s="14" t="str">
        <f t="shared" si="2"/>
        <v>53.176674,44.996442</v>
      </c>
      <c r="T6860" s="12"/>
    </row>
    <row r="6861">
      <c r="A6861" s="136" t="s">
        <v>44156</v>
      </c>
      <c r="B6861" s="137" t="s">
        <v>44157</v>
      </c>
      <c r="C6861" s="137" t="s">
        <v>44158</v>
      </c>
      <c r="D6861" s="137" t="s">
        <v>33342</v>
      </c>
      <c r="E6861" s="138" t="s">
        <v>44159</v>
      </c>
      <c r="F6861" s="136" t="s">
        <v>17865</v>
      </c>
      <c r="G6861" s="136" t="s">
        <v>33344</v>
      </c>
      <c r="H6861" s="136"/>
      <c r="I6861" s="137"/>
      <c r="J6861" s="137" t="s">
        <v>44160</v>
      </c>
      <c r="K6861" s="137" t="s">
        <v>44161</v>
      </c>
      <c r="L6861" s="137"/>
      <c r="M6861" s="137"/>
      <c r="N6861" s="12"/>
      <c r="O6861" s="12"/>
      <c r="P6861" s="13">
        <f>IFERROR(__xludf.DUMMYFUNCTION("VALUE(SUBSTITUTE((INDEX(SPLIT(A6861,"",""),1)),""."","","",1))"),53.151046)</f>
        <v>53.151046</v>
      </c>
      <c r="Q6861" s="13">
        <f>IFERROR(__xludf.DUMMYFUNCTION("VALUE(SUBSTITUTE((INDEX(SPLIT(A6861,"",""),2)),""."","","",1))"),44.97022)</f>
        <v>44.97022</v>
      </c>
      <c r="R6861" s="14" t="b">
        <f t="shared" si="1"/>
        <v>0</v>
      </c>
      <c r="S6861" s="14" t="str">
        <f t="shared" si="2"/>
        <v>53.151046,44.97022</v>
      </c>
      <c r="T6861" s="12"/>
    </row>
    <row r="6862">
      <c r="A6862" s="139" t="s">
        <v>44162</v>
      </c>
      <c r="B6862" s="140" t="s">
        <v>2665</v>
      </c>
      <c r="C6862" s="140" t="s">
        <v>35153</v>
      </c>
      <c r="D6862" s="140" t="s">
        <v>33342</v>
      </c>
      <c r="E6862" s="141" t="s">
        <v>44163</v>
      </c>
      <c r="F6862" s="139" t="s">
        <v>17865</v>
      </c>
      <c r="G6862" s="139" t="s">
        <v>33344</v>
      </c>
      <c r="H6862" s="139"/>
      <c r="I6862" s="140"/>
      <c r="J6862" s="140" t="s">
        <v>44164</v>
      </c>
      <c r="K6862" s="140" t="s">
        <v>44165</v>
      </c>
      <c r="L6862" s="140"/>
      <c r="M6862" s="154" t="s">
        <v>44166</v>
      </c>
      <c r="N6862" s="12"/>
      <c r="O6862" s="12"/>
      <c r="P6862" s="13">
        <f>IFERROR(__xludf.DUMMYFUNCTION("VALUE(SUBSTITUTE((INDEX(SPLIT(A6862,"",""),1)),""."","","",1))"),53.136409)</f>
        <v>53.136409</v>
      </c>
      <c r="Q6862" s="13">
        <f>IFERROR(__xludf.DUMMYFUNCTION("VALUE(SUBSTITUTE((INDEX(SPLIT(A6862,"",""),2)),""."","","",1))"),45.006737)</f>
        <v>45.006737</v>
      </c>
      <c r="R6862" s="14" t="b">
        <f t="shared" si="1"/>
        <v>0</v>
      </c>
      <c r="S6862" s="14" t="str">
        <f t="shared" si="2"/>
        <v>53.136409,45.006737</v>
      </c>
      <c r="T6862" s="12"/>
    </row>
    <row r="6863">
      <c r="A6863" s="136" t="s">
        <v>44167</v>
      </c>
      <c r="B6863" s="137" t="s">
        <v>19004</v>
      </c>
      <c r="C6863" s="137" t="s">
        <v>44168</v>
      </c>
      <c r="D6863" s="137" t="s">
        <v>33342</v>
      </c>
      <c r="E6863" s="138" t="s">
        <v>44169</v>
      </c>
      <c r="F6863" s="136" t="s">
        <v>17865</v>
      </c>
      <c r="G6863" s="136" t="s">
        <v>33344</v>
      </c>
      <c r="H6863" s="136"/>
      <c r="I6863" s="137"/>
      <c r="J6863" s="137" t="s">
        <v>44170</v>
      </c>
      <c r="K6863" s="137" t="s">
        <v>44171</v>
      </c>
      <c r="L6863" s="137"/>
      <c r="M6863" s="153" t="s">
        <v>44172</v>
      </c>
      <c r="N6863" s="12"/>
      <c r="O6863" s="12"/>
      <c r="P6863" s="13">
        <f>IFERROR(__xludf.DUMMYFUNCTION("VALUE(SUBSTITUTE((INDEX(SPLIT(A6863,"",""),1)),""."","","",1))"),53.148821)</f>
        <v>53.148821</v>
      </c>
      <c r="Q6863" s="13">
        <f>IFERROR(__xludf.DUMMYFUNCTION("VALUE(SUBSTITUTE((INDEX(SPLIT(A6863,"",""),2)),""."","","",1))"),45.016807)</f>
        <v>45.016807</v>
      </c>
      <c r="R6863" s="14" t="b">
        <f t="shared" si="1"/>
        <v>0</v>
      </c>
      <c r="S6863" s="14" t="str">
        <f t="shared" si="2"/>
        <v>53.148821,45.016807</v>
      </c>
      <c r="T6863" s="12"/>
    </row>
    <row r="6864">
      <c r="A6864" s="146" t="s">
        <v>44173</v>
      </c>
      <c r="B6864" s="147" t="s">
        <v>44174</v>
      </c>
      <c r="C6864" s="147" t="s">
        <v>44175</v>
      </c>
      <c r="D6864" s="147" t="s">
        <v>33342</v>
      </c>
      <c r="E6864" s="148" t="s">
        <v>44176</v>
      </c>
      <c r="F6864" s="146" t="s">
        <v>19378</v>
      </c>
      <c r="G6864" s="146" t="s">
        <v>33344</v>
      </c>
      <c r="H6864" s="146"/>
      <c r="I6864" s="147"/>
      <c r="J6864" s="147" t="s">
        <v>44177</v>
      </c>
      <c r="K6864" s="147" t="s">
        <v>44178</v>
      </c>
      <c r="L6864" s="149" t="s">
        <v>44179</v>
      </c>
      <c r="M6864" s="147"/>
      <c r="N6864" s="12"/>
      <c r="O6864" s="12"/>
      <c r="P6864" s="13">
        <f>IFERROR(__xludf.DUMMYFUNCTION("VALUE(SUBSTITUTE((INDEX(SPLIT(A6864,"",""),1)),""."","","",1))"),58.014488)</f>
        <v>58.014488</v>
      </c>
      <c r="Q6864" s="13">
        <f>IFERROR(__xludf.DUMMYFUNCTION("VALUE(SUBSTITUTE((INDEX(SPLIT(A6864,"",""),2)),""."","","",1))"),56.222266)</f>
        <v>56.222266</v>
      </c>
      <c r="R6864" s="14" t="b">
        <f t="shared" si="1"/>
        <v>0</v>
      </c>
      <c r="S6864" s="14" t="str">
        <f t="shared" si="2"/>
        <v>58.014488,56.222266</v>
      </c>
      <c r="T6864" s="12"/>
    </row>
    <row r="6865">
      <c r="A6865" s="142" t="s">
        <v>24018</v>
      </c>
      <c r="B6865" s="143" t="s">
        <v>44180</v>
      </c>
      <c r="C6865" s="143" t="s">
        <v>44181</v>
      </c>
      <c r="D6865" s="143" t="s">
        <v>33342</v>
      </c>
      <c r="E6865" s="144" t="s">
        <v>44182</v>
      </c>
      <c r="F6865" s="142" t="s">
        <v>19378</v>
      </c>
      <c r="G6865" s="142" t="s">
        <v>33344</v>
      </c>
      <c r="H6865" s="142"/>
      <c r="I6865" s="155" t="s">
        <v>44183</v>
      </c>
      <c r="J6865" s="143" t="s">
        <v>44184</v>
      </c>
      <c r="K6865" s="143" t="s">
        <v>44185</v>
      </c>
      <c r="L6865" s="152" t="s">
        <v>44186</v>
      </c>
      <c r="M6865" s="143"/>
      <c r="N6865" s="12"/>
      <c r="O6865" s="12"/>
      <c r="P6865" s="13">
        <f>IFERROR(__xludf.DUMMYFUNCTION("VALUE(SUBSTITUTE((INDEX(SPLIT(A6865,"",""),1)),""."","","",1))"),58.00789)</f>
        <v>58.00789</v>
      </c>
      <c r="Q6865" s="13">
        <f>IFERROR(__xludf.DUMMYFUNCTION("VALUE(SUBSTITUTE((INDEX(SPLIT(A6865,"",""),2)),""."","","",1))"),56.094418)</f>
        <v>56.094418</v>
      </c>
      <c r="R6865" s="14" t="b">
        <f t="shared" si="1"/>
        <v>0</v>
      </c>
      <c r="S6865" s="14" t="str">
        <f t="shared" si="2"/>
        <v>58.00789,56.094418</v>
      </c>
      <c r="T6865" s="12"/>
    </row>
    <row r="6866">
      <c r="A6866" s="139" t="s">
        <v>44187</v>
      </c>
      <c r="B6866" s="140" t="s">
        <v>44188</v>
      </c>
      <c r="C6866" s="140" t="s">
        <v>44189</v>
      </c>
      <c r="D6866" s="140" t="s">
        <v>33342</v>
      </c>
      <c r="E6866" s="141" t="s">
        <v>44190</v>
      </c>
      <c r="F6866" s="139" t="s">
        <v>19378</v>
      </c>
      <c r="G6866" s="139" t="s">
        <v>33344</v>
      </c>
      <c r="H6866" s="139"/>
      <c r="I6866" s="140"/>
      <c r="J6866" s="140" t="s">
        <v>44191</v>
      </c>
      <c r="K6866" s="140" t="s">
        <v>44192</v>
      </c>
      <c r="L6866" s="140"/>
      <c r="M6866" s="140"/>
      <c r="N6866" s="12"/>
      <c r="O6866" s="12"/>
      <c r="P6866" s="13">
        <f>IFERROR(__xludf.DUMMYFUNCTION("VALUE(SUBSTITUTE((INDEX(SPLIT(A6866,"",""),1)),""."","","",1))"),58.008161)</f>
        <v>58.008161</v>
      </c>
      <c r="Q6866" s="13">
        <f>IFERROR(__xludf.DUMMYFUNCTION("VALUE(SUBSTITUTE((INDEX(SPLIT(A6866,"",""),2)),""."","","",1))"),56.133126)</f>
        <v>56.133126</v>
      </c>
      <c r="R6866" s="14" t="b">
        <f t="shared" si="1"/>
        <v>0</v>
      </c>
      <c r="S6866" s="14" t="str">
        <f t="shared" si="2"/>
        <v>58.008161,56.133126</v>
      </c>
      <c r="T6866" s="12"/>
    </row>
    <row r="6867">
      <c r="A6867" s="142" t="s">
        <v>44193</v>
      </c>
      <c r="B6867" s="143" t="s">
        <v>44194</v>
      </c>
      <c r="C6867" s="143" t="s">
        <v>44195</v>
      </c>
      <c r="D6867" s="143" t="s">
        <v>33342</v>
      </c>
      <c r="E6867" s="144" t="s">
        <v>44196</v>
      </c>
      <c r="F6867" s="142" t="s">
        <v>19378</v>
      </c>
      <c r="G6867" s="142" t="s">
        <v>33344</v>
      </c>
      <c r="H6867" s="142"/>
      <c r="I6867" s="143"/>
      <c r="J6867" s="143" t="s">
        <v>44197</v>
      </c>
      <c r="K6867" s="143" t="s">
        <v>44198</v>
      </c>
      <c r="L6867" s="152" t="s">
        <v>44199</v>
      </c>
      <c r="M6867" s="143"/>
      <c r="N6867" s="12"/>
      <c r="O6867" s="12"/>
      <c r="P6867" s="13">
        <f>IFERROR(__xludf.DUMMYFUNCTION("VALUE(SUBSTITUTE((INDEX(SPLIT(A6867,"",""),1)),""."","","",1))"),58.038213)</f>
        <v>58.038213</v>
      </c>
      <c r="Q6867" s="13">
        <f>IFERROR(__xludf.DUMMYFUNCTION("VALUE(SUBSTITUTE((INDEX(SPLIT(A6867,"",""),2)),""."","","",1))"),56.063956)</f>
        <v>56.063956</v>
      </c>
      <c r="R6867" s="14" t="b">
        <f t="shared" si="1"/>
        <v>0</v>
      </c>
      <c r="S6867" s="14" t="str">
        <f t="shared" si="2"/>
        <v>58.038213,56.063956</v>
      </c>
      <c r="T6867" s="12"/>
    </row>
    <row r="6868">
      <c r="A6868" s="146" t="s">
        <v>44200</v>
      </c>
      <c r="B6868" s="147" t="s">
        <v>44201</v>
      </c>
      <c r="C6868" s="147" t="s">
        <v>44202</v>
      </c>
      <c r="D6868" s="147" t="s">
        <v>33342</v>
      </c>
      <c r="E6868" s="148" t="s">
        <v>44203</v>
      </c>
      <c r="F6868" s="146" t="s">
        <v>19378</v>
      </c>
      <c r="G6868" s="146" t="s">
        <v>33344</v>
      </c>
      <c r="H6868" s="146"/>
      <c r="I6868" s="147"/>
      <c r="J6868" s="147" t="s">
        <v>44204</v>
      </c>
      <c r="K6868" s="147" t="s">
        <v>44205</v>
      </c>
      <c r="L6868" s="150" t="s">
        <v>44206</v>
      </c>
      <c r="M6868" s="147"/>
      <c r="N6868" s="12"/>
      <c r="O6868" s="12"/>
      <c r="P6868" s="13">
        <f>IFERROR(__xludf.DUMMYFUNCTION("VALUE(SUBSTITUTE((INDEX(SPLIT(A6868,"",""),1)),""."","","",1))"),58.00427)</f>
        <v>58.00427</v>
      </c>
      <c r="Q6868" s="13">
        <f>IFERROR(__xludf.DUMMYFUNCTION("VALUE(SUBSTITUTE((INDEX(SPLIT(A6868,"",""),2)),""."","","",1))"),56.199844)</f>
        <v>56.199844</v>
      </c>
      <c r="R6868" s="14" t="b">
        <f t="shared" si="1"/>
        <v>0</v>
      </c>
      <c r="S6868" s="14" t="str">
        <f t="shared" si="2"/>
        <v>58.00427,56.199844</v>
      </c>
      <c r="T6868" s="12"/>
    </row>
    <row r="6869">
      <c r="A6869" s="136" t="s">
        <v>44207</v>
      </c>
      <c r="B6869" s="137" t="s">
        <v>44208</v>
      </c>
      <c r="C6869" s="137" t="s">
        <v>44209</v>
      </c>
      <c r="D6869" s="137" t="s">
        <v>33342</v>
      </c>
      <c r="E6869" s="138" t="s">
        <v>44210</v>
      </c>
      <c r="F6869" s="136" t="s">
        <v>19378</v>
      </c>
      <c r="G6869" s="136" t="s">
        <v>33344</v>
      </c>
      <c r="H6869" s="136"/>
      <c r="I6869" s="137"/>
      <c r="J6869" s="137" t="s">
        <v>44211</v>
      </c>
      <c r="K6869" s="137" t="s">
        <v>44212</v>
      </c>
      <c r="L6869" s="137"/>
      <c r="M6869" s="153" t="s">
        <v>44213</v>
      </c>
      <c r="N6869" s="12"/>
      <c r="O6869" s="12"/>
      <c r="P6869" s="13">
        <f>IFERROR(__xludf.DUMMYFUNCTION("VALUE(SUBSTITUTE((INDEX(SPLIT(A6869,"",""),1)),""."","","",1))"),58.01169)</f>
        <v>58.01169</v>
      </c>
      <c r="Q6869" s="13">
        <f>IFERROR(__xludf.DUMMYFUNCTION("VALUE(SUBSTITUTE((INDEX(SPLIT(A6869,"",""),2)),""."","","",1))"),56.182399)</f>
        <v>56.182399</v>
      </c>
      <c r="R6869" s="14" t="b">
        <f t="shared" si="1"/>
        <v>0</v>
      </c>
      <c r="S6869" s="14" t="str">
        <f t="shared" si="2"/>
        <v>58.01169,56.182399</v>
      </c>
      <c r="T6869" s="12"/>
    </row>
    <row r="6870">
      <c r="A6870" s="146" t="s">
        <v>44214</v>
      </c>
      <c r="B6870" s="147" t="s">
        <v>44215</v>
      </c>
      <c r="C6870" s="147" t="s">
        <v>44216</v>
      </c>
      <c r="D6870" s="147" t="s">
        <v>33342</v>
      </c>
      <c r="E6870" s="148" t="s">
        <v>44217</v>
      </c>
      <c r="F6870" s="146" t="s">
        <v>19378</v>
      </c>
      <c r="G6870" s="146" t="s">
        <v>33344</v>
      </c>
      <c r="H6870" s="146"/>
      <c r="I6870" s="147"/>
      <c r="J6870" s="147" t="s">
        <v>44218</v>
      </c>
      <c r="K6870" s="147" t="s">
        <v>44219</v>
      </c>
      <c r="L6870" s="149" t="s">
        <v>44220</v>
      </c>
      <c r="M6870" s="149" t="s">
        <v>44221</v>
      </c>
      <c r="N6870" s="12"/>
      <c r="O6870" s="12"/>
      <c r="P6870" s="13">
        <f>IFERROR(__xludf.DUMMYFUNCTION("VALUE(SUBSTITUTE((INDEX(SPLIT(A6870,"",""),1)),""."","","",1))"),57.964562)</f>
        <v>57.964562</v>
      </c>
      <c r="Q6870" s="13">
        <f>IFERROR(__xludf.DUMMYFUNCTION("VALUE(SUBSTITUTE((INDEX(SPLIT(A6870,"",""),2)),""."","","",1))"),56.260893)</f>
        <v>56.260893</v>
      </c>
      <c r="R6870" s="14" t="b">
        <f t="shared" si="1"/>
        <v>0</v>
      </c>
      <c r="S6870" s="14" t="str">
        <f t="shared" si="2"/>
        <v>57.964562,56.260893</v>
      </c>
      <c r="T6870" s="12"/>
    </row>
    <row r="6871">
      <c r="A6871" s="142" t="s">
        <v>44222</v>
      </c>
      <c r="B6871" s="143" t="s">
        <v>44223</v>
      </c>
      <c r="C6871" s="143" t="s">
        <v>44224</v>
      </c>
      <c r="D6871" s="143" t="s">
        <v>33342</v>
      </c>
      <c r="E6871" s="144" t="s">
        <v>44225</v>
      </c>
      <c r="F6871" s="142" t="s">
        <v>19378</v>
      </c>
      <c r="G6871" s="142" t="s">
        <v>33344</v>
      </c>
      <c r="H6871" s="142"/>
      <c r="I6871" s="143"/>
      <c r="J6871" s="143" t="s">
        <v>44226</v>
      </c>
      <c r="K6871" s="143" t="s">
        <v>44227</v>
      </c>
      <c r="L6871" s="145" t="s">
        <v>44228</v>
      </c>
      <c r="M6871" s="145" t="s">
        <v>44229</v>
      </c>
      <c r="N6871" s="12"/>
      <c r="O6871" s="12"/>
      <c r="P6871" s="13">
        <f>IFERROR(__xludf.DUMMYFUNCTION("VALUE(SUBSTITUTE((INDEX(SPLIT(A6871,"",""),1)),""."","","",1))"),57.954874)</f>
        <v>57.954874</v>
      </c>
      <c r="Q6871" s="13">
        <f>IFERROR(__xludf.DUMMYFUNCTION("VALUE(SUBSTITUTE((INDEX(SPLIT(A6871,"",""),2)),""."","","",1))"),56.264442)</f>
        <v>56.264442</v>
      </c>
      <c r="R6871" s="14" t="b">
        <f t="shared" si="1"/>
        <v>0</v>
      </c>
      <c r="S6871" s="14" t="str">
        <f t="shared" si="2"/>
        <v>57.954874,56.264442</v>
      </c>
      <c r="T6871" s="12"/>
    </row>
    <row r="6872">
      <c r="A6872" s="146" t="s">
        <v>44230</v>
      </c>
      <c r="B6872" s="147" t="s">
        <v>44231</v>
      </c>
      <c r="C6872" s="147" t="s">
        <v>44232</v>
      </c>
      <c r="D6872" s="147" t="s">
        <v>33342</v>
      </c>
      <c r="E6872" s="148" t="s">
        <v>44233</v>
      </c>
      <c r="F6872" s="146" t="s">
        <v>19378</v>
      </c>
      <c r="G6872" s="146" t="s">
        <v>33344</v>
      </c>
      <c r="H6872" s="146"/>
      <c r="I6872" s="147"/>
      <c r="J6872" s="147" t="s">
        <v>44234</v>
      </c>
      <c r="K6872" s="147" t="s">
        <v>44235</v>
      </c>
      <c r="L6872" s="149" t="s">
        <v>44236</v>
      </c>
      <c r="M6872" s="147"/>
      <c r="N6872" s="12"/>
      <c r="O6872" s="12"/>
      <c r="P6872" s="13">
        <f>IFERROR(__xludf.DUMMYFUNCTION("VALUE(SUBSTITUTE((INDEX(SPLIT(A6872,"",""),1)),""."","","",1))"),58.005701)</f>
        <v>58.005701</v>
      </c>
      <c r="Q6872" s="13">
        <f>IFERROR(__xludf.DUMMYFUNCTION("VALUE(SUBSTITUTE((INDEX(SPLIT(A6872,"",""),2)),""."","","",1))"),56.261082)</f>
        <v>56.261082</v>
      </c>
      <c r="R6872" s="14" t="b">
        <f t="shared" si="1"/>
        <v>0</v>
      </c>
      <c r="S6872" s="14" t="str">
        <f t="shared" si="2"/>
        <v>58.005701,56.261082</v>
      </c>
      <c r="T6872" s="12"/>
    </row>
    <row r="6873">
      <c r="A6873" s="142" t="s">
        <v>24151</v>
      </c>
      <c r="B6873" s="143" t="s">
        <v>44237</v>
      </c>
      <c r="C6873" s="143" t="s">
        <v>44238</v>
      </c>
      <c r="D6873" s="143" t="s">
        <v>33342</v>
      </c>
      <c r="E6873" s="144" t="s">
        <v>44239</v>
      </c>
      <c r="F6873" s="142" t="s">
        <v>19378</v>
      </c>
      <c r="G6873" s="142" t="s">
        <v>33344</v>
      </c>
      <c r="H6873" s="142"/>
      <c r="I6873" s="143"/>
      <c r="J6873" s="143" t="s">
        <v>44240</v>
      </c>
      <c r="K6873" s="143" t="s">
        <v>44241</v>
      </c>
      <c r="L6873" s="152" t="s">
        <v>44242</v>
      </c>
      <c r="M6873" s="143"/>
      <c r="N6873" s="12"/>
      <c r="O6873" s="12"/>
      <c r="P6873" s="13">
        <f>IFERROR(__xludf.DUMMYFUNCTION("VALUE(SUBSTITUTE((INDEX(SPLIT(A6873,"",""),1)),""."","","",1))"),58.005744)</f>
        <v>58.005744</v>
      </c>
      <c r="Q6873" s="13">
        <f>IFERROR(__xludf.DUMMYFUNCTION("VALUE(SUBSTITUTE((INDEX(SPLIT(A6873,"",""),2)),""."","","",1))"),56.150805)</f>
        <v>56.150805</v>
      </c>
      <c r="R6873" s="14" t="b">
        <f t="shared" si="1"/>
        <v>0</v>
      </c>
      <c r="S6873" s="14" t="str">
        <f t="shared" si="2"/>
        <v>58.005744,56.150805</v>
      </c>
      <c r="T6873" s="12"/>
    </row>
    <row r="6874">
      <c r="A6874" s="146" t="s">
        <v>44243</v>
      </c>
      <c r="B6874" s="147" t="s">
        <v>44244</v>
      </c>
      <c r="C6874" s="147" t="s">
        <v>44245</v>
      </c>
      <c r="D6874" s="147" t="s">
        <v>33342</v>
      </c>
      <c r="E6874" s="148" t="s">
        <v>44246</v>
      </c>
      <c r="F6874" s="146" t="s">
        <v>19378</v>
      </c>
      <c r="G6874" s="146" t="s">
        <v>33344</v>
      </c>
      <c r="H6874" s="146"/>
      <c r="I6874" s="147"/>
      <c r="J6874" s="147" t="s">
        <v>44247</v>
      </c>
      <c r="K6874" s="147" t="s">
        <v>44248</v>
      </c>
      <c r="L6874" s="149" t="s">
        <v>44249</v>
      </c>
      <c r="M6874" s="149" t="s">
        <v>44250</v>
      </c>
      <c r="N6874" s="12"/>
      <c r="O6874" s="12"/>
      <c r="P6874" s="13">
        <f>IFERROR(__xludf.DUMMYFUNCTION("VALUE(SUBSTITUTE((INDEX(SPLIT(A6874,"",""),1)),""."","","",1))"),57.969327)</f>
        <v>57.969327</v>
      </c>
      <c r="Q6874" s="13">
        <f>IFERROR(__xludf.DUMMYFUNCTION("VALUE(SUBSTITUTE((INDEX(SPLIT(A6874,"",""),2)),""."","","",1))"),56.152952)</f>
        <v>56.152952</v>
      </c>
      <c r="R6874" s="14" t="b">
        <f t="shared" si="1"/>
        <v>0</v>
      </c>
      <c r="S6874" s="14" t="str">
        <f t="shared" si="2"/>
        <v>57.969327,56.152952</v>
      </c>
      <c r="T6874" s="12"/>
    </row>
    <row r="6875">
      <c r="A6875" s="142" t="s">
        <v>44251</v>
      </c>
      <c r="B6875" s="143" t="s">
        <v>44252</v>
      </c>
      <c r="C6875" s="143" t="s">
        <v>44253</v>
      </c>
      <c r="D6875" s="143" t="s">
        <v>33342</v>
      </c>
      <c r="E6875" s="144" t="s">
        <v>44254</v>
      </c>
      <c r="F6875" s="142" t="s">
        <v>19378</v>
      </c>
      <c r="G6875" s="142" t="s">
        <v>33344</v>
      </c>
      <c r="H6875" s="142"/>
      <c r="I6875" s="143"/>
      <c r="J6875" s="143" t="s">
        <v>44255</v>
      </c>
      <c r="K6875" s="143" t="s">
        <v>44256</v>
      </c>
      <c r="L6875" s="152" t="s">
        <v>44257</v>
      </c>
      <c r="M6875" s="143"/>
      <c r="N6875" s="12"/>
      <c r="O6875" s="12"/>
      <c r="P6875" s="13">
        <f>IFERROR(__xludf.DUMMYFUNCTION("VALUE(SUBSTITUTE((INDEX(SPLIT(A6875,"",""),1)),""."","","",1))"),57.999415)</f>
        <v>57.999415</v>
      </c>
      <c r="Q6875" s="13">
        <f>IFERROR(__xludf.DUMMYFUNCTION("VALUE(SUBSTITUTE((INDEX(SPLIT(A6875,"",""),2)),""."","","",1))"),56.202045)</f>
        <v>56.202045</v>
      </c>
      <c r="R6875" s="14" t="b">
        <f t="shared" si="1"/>
        <v>0</v>
      </c>
      <c r="S6875" s="14" t="str">
        <f t="shared" si="2"/>
        <v>57.999415,56.202045</v>
      </c>
      <c r="T6875" s="12"/>
    </row>
    <row r="6876">
      <c r="A6876" s="139" t="s">
        <v>44258</v>
      </c>
      <c r="B6876" s="140" t="s">
        <v>44259</v>
      </c>
      <c r="C6876" s="140" t="s">
        <v>44260</v>
      </c>
      <c r="D6876" s="140" t="s">
        <v>33342</v>
      </c>
      <c r="E6876" s="141" t="s">
        <v>44261</v>
      </c>
      <c r="F6876" s="139" t="s">
        <v>19378</v>
      </c>
      <c r="G6876" s="139" t="s">
        <v>33344</v>
      </c>
      <c r="H6876" s="139"/>
      <c r="I6876" s="140"/>
      <c r="J6876" s="140" t="s">
        <v>44262</v>
      </c>
      <c r="K6876" s="140" t="s">
        <v>44263</v>
      </c>
      <c r="L6876" s="140"/>
      <c r="M6876" s="154" t="s">
        <v>44264</v>
      </c>
      <c r="N6876" s="12"/>
      <c r="O6876" s="12"/>
      <c r="P6876" s="13">
        <f>IFERROR(__xludf.DUMMYFUNCTION("VALUE(SUBSTITUTE((INDEX(SPLIT(A6876,"",""),1)),""."","","",1))"),58.094044)</f>
        <v>58.094044</v>
      </c>
      <c r="Q6876" s="13">
        <f>IFERROR(__xludf.DUMMYFUNCTION("VALUE(SUBSTITUTE((INDEX(SPLIT(A6876,"",""),2)),""."","","",1))"),56.316059)</f>
        <v>56.316059</v>
      </c>
      <c r="R6876" s="14" t="b">
        <f t="shared" si="1"/>
        <v>0</v>
      </c>
      <c r="S6876" s="14" t="str">
        <f t="shared" si="2"/>
        <v>58.094044,56.316059</v>
      </c>
      <c r="T6876" s="12"/>
    </row>
    <row r="6877">
      <c r="A6877" s="142" t="s">
        <v>44265</v>
      </c>
      <c r="B6877" s="143" t="s">
        <v>44266</v>
      </c>
      <c r="C6877" s="143" t="s">
        <v>44267</v>
      </c>
      <c r="D6877" s="143" t="s">
        <v>33342</v>
      </c>
      <c r="E6877" s="144" t="s">
        <v>44268</v>
      </c>
      <c r="F6877" s="142" t="s">
        <v>19378</v>
      </c>
      <c r="G6877" s="142" t="s">
        <v>33344</v>
      </c>
      <c r="H6877" s="142"/>
      <c r="I6877" s="143"/>
      <c r="J6877" s="143" t="s">
        <v>44269</v>
      </c>
      <c r="K6877" s="143" t="s">
        <v>44270</v>
      </c>
      <c r="L6877" s="152" t="s">
        <v>44271</v>
      </c>
      <c r="M6877" s="143"/>
      <c r="N6877" s="12"/>
      <c r="O6877" s="12"/>
      <c r="P6877" s="13">
        <f>IFERROR(__xludf.DUMMYFUNCTION("VALUE(SUBSTITUTE((INDEX(SPLIT(A6877,"",""),1)),""."","","",1))"),57.991192)</f>
        <v>57.991192</v>
      </c>
      <c r="Q6877" s="13">
        <f>IFERROR(__xludf.DUMMYFUNCTION("VALUE(SUBSTITUTE((INDEX(SPLIT(A6877,"",""),2)),""."","","",1))"),55.935712)</f>
        <v>55.935712</v>
      </c>
      <c r="R6877" s="14" t="b">
        <f t="shared" si="1"/>
        <v>0</v>
      </c>
      <c r="S6877" s="14" t="str">
        <f t="shared" si="2"/>
        <v>57.991192,55.935712</v>
      </c>
      <c r="T6877" s="12"/>
    </row>
    <row r="6878">
      <c r="A6878" s="146" t="s">
        <v>44272</v>
      </c>
      <c r="B6878" s="147" t="s">
        <v>44273</v>
      </c>
      <c r="C6878" s="147" t="s">
        <v>44274</v>
      </c>
      <c r="D6878" s="147" t="s">
        <v>33342</v>
      </c>
      <c r="E6878" s="148" t="s">
        <v>44275</v>
      </c>
      <c r="F6878" s="146" t="s">
        <v>19378</v>
      </c>
      <c r="G6878" s="146" t="s">
        <v>33344</v>
      </c>
      <c r="H6878" s="146"/>
      <c r="I6878" s="147"/>
      <c r="J6878" s="147" t="s">
        <v>44276</v>
      </c>
      <c r="K6878" s="147" t="s">
        <v>44277</v>
      </c>
      <c r="L6878" s="149" t="s">
        <v>44278</v>
      </c>
      <c r="M6878" s="149" t="s">
        <v>44279</v>
      </c>
      <c r="N6878" s="12"/>
      <c r="O6878" s="12"/>
      <c r="P6878" s="13">
        <f>IFERROR(__xludf.DUMMYFUNCTION("VALUE(SUBSTITUTE((INDEX(SPLIT(A6878,"",""),1)),""."","","",1))"),58.003007)</f>
        <v>58.003007</v>
      </c>
      <c r="Q6878" s="13">
        <f>IFERROR(__xludf.DUMMYFUNCTION("VALUE(SUBSTITUTE((INDEX(SPLIT(A6878,"",""),2)),""."","","",1))"),56.109114)</f>
        <v>56.109114</v>
      </c>
      <c r="R6878" s="14" t="b">
        <f t="shared" si="1"/>
        <v>0</v>
      </c>
      <c r="S6878" s="14" t="str">
        <f t="shared" si="2"/>
        <v>58.003007,56.109114</v>
      </c>
      <c r="T6878" s="12"/>
    </row>
    <row r="6879">
      <c r="A6879" s="142" t="s">
        <v>44280</v>
      </c>
      <c r="B6879" s="143" t="s">
        <v>31664</v>
      </c>
      <c r="C6879" s="143" t="s">
        <v>44281</v>
      </c>
      <c r="D6879" s="143" t="s">
        <v>33342</v>
      </c>
      <c r="E6879" s="144" t="s">
        <v>44282</v>
      </c>
      <c r="F6879" s="142" t="s">
        <v>19378</v>
      </c>
      <c r="G6879" s="142" t="s">
        <v>33344</v>
      </c>
      <c r="H6879" s="142"/>
      <c r="I6879" s="143"/>
      <c r="J6879" s="143" t="s">
        <v>44283</v>
      </c>
      <c r="K6879" s="143" t="s">
        <v>44284</v>
      </c>
      <c r="L6879" s="152" t="s">
        <v>44285</v>
      </c>
      <c r="M6879" s="143"/>
      <c r="N6879" s="12"/>
      <c r="O6879" s="12"/>
      <c r="P6879" s="13">
        <f>IFERROR(__xludf.DUMMYFUNCTION("VALUE(SUBSTITUTE((INDEX(SPLIT(A6879,"",""),1)),""."","","",1))"),59.415871)</f>
        <v>59.415871</v>
      </c>
      <c r="Q6879" s="13">
        <f>IFERROR(__xludf.DUMMYFUNCTION("VALUE(SUBSTITUTE((INDEX(SPLIT(A6879,"",""),2)),""."","","",1))"),56.777272)</f>
        <v>56.777272</v>
      </c>
      <c r="R6879" s="14" t="b">
        <f t="shared" si="1"/>
        <v>0</v>
      </c>
      <c r="S6879" s="14" t="str">
        <f t="shared" si="2"/>
        <v>59.415871,56.777272</v>
      </c>
      <c r="T6879" s="12"/>
    </row>
    <row r="6880">
      <c r="A6880" s="146" t="s">
        <v>44286</v>
      </c>
      <c r="B6880" s="147" t="s">
        <v>44287</v>
      </c>
      <c r="C6880" s="147" t="s">
        <v>44288</v>
      </c>
      <c r="D6880" s="147" t="s">
        <v>33342</v>
      </c>
      <c r="E6880" s="148" t="s">
        <v>44289</v>
      </c>
      <c r="F6880" s="146" t="s">
        <v>19378</v>
      </c>
      <c r="G6880" s="146" t="s">
        <v>33344</v>
      </c>
      <c r="H6880" s="146"/>
      <c r="I6880" s="147"/>
      <c r="J6880" s="147" t="s">
        <v>44290</v>
      </c>
      <c r="K6880" s="147" t="s">
        <v>44291</v>
      </c>
      <c r="L6880" s="149" t="s">
        <v>44292</v>
      </c>
      <c r="M6880" s="149" t="s">
        <v>44293</v>
      </c>
      <c r="N6880" s="12"/>
      <c r="O6880" s="12"/>
      <c r="P6880" s="13">
        <f>IFERROR(__xludf.DUMMYFUNCTION("VALUE(SUBSTITUTE((INDEX(SPLIT(A6880,"",""),1)),""."","","",1))"),58.11406)</f>
        <v>58.11406</v>
      </c>
      <c r="Q6880" s="13">
        <f>IFERROR(__xludf.DUMMYFUNCTION("VALUE(SUBSTITUTE((INDEX(SPLIT(A6880,"",""),2)),""."","","",1))"),57.797255)</f>
        <v>57.797255</v>
      </c>
      <c r="R6880" s="14" t="b">
        <f t="shared" si="1"/>
        <v>0</v>
      </c>
      <c r="S6880" s="14" t="str">
        <f t="shared" si="2"/>
        <v>58.11406,57.797255</v>
      </c>
      <c r="T6880" s="12"/>
    </row>
    <row r="6881">
      <c r="A6881" s="136" t="s">
        <v>44294</v>
      </c>
      <c r="B6881" s="137" t="s">
        <v>44295</v>
      </c>
      <c r="C6881" s="137" t="s">
        <v>44296</v>
      </c>
      <c r="D6881" s="137" t="s">
        <v>33342</v>
      </c>
      <c r="E6881" s="138" t="s">
        <v>44297</v>
      </c>
      <c r="F6881" s="136" t="s">
        <v>19378</v>
      </c>
      <c r="G6881" s="136" t="s">
        <v>33344</v>
      </c>
      <c r="H6881" s="136"/>
      <c r="I6881" s="137"/>
      <c r="J6881" s="137" t="s">
        <v>44298</v>
      </c>
      <c r="K6881" s="137" t="s">
        <v>44299</v>
      </c>
      <c r="L6881" s="137"/>
      <c r="M6881" s="137"/>
      <c r="N6881" s="12"/>
      <c r="O6881" s="12"/>
      <c r="P6881" s="13">
        <f>IFERROR(__xludf.DUMMYFUNCTION("VALUE(SUBSTITUTE((INDEX(SPLIT(A6881,"",""),1)),""."","","",1))"),59.423352)</f>
        <v>59.423352</v>
      </c>
      <c r="Q6881" s="13">
        <f>IFERROR(__xludf.DUMMYFUNCTION("VALUE(SUBSTITUTE((INDEX(SPLIT(A6881,"",""),2)),""."","","",1))"),56.813887)</f>
        <v>56.813887</v>
      </c>
      <c r="R6881" s="14" t="b">
        <f t="shared" si="1"/>
        <v>0</v>
      </c>
      <c r="S6881" s="14" t="str">
        <f t="shared" si="2"/>
        <v>59.423352,56.813887</v>
      </c>
      <c r="T6881" s="12"/>
    </row>
    <row r="6882">
      <c r="A6882" s="146" t="s">
        <v>44300</v>
      </c>
      <c r="B6882" s="147" t="s">
        <v>44301</v>
      </c>
      <c r="C6882" s="147" t="s">
        <v>44302</v>
      </c>
      <c r="D6882" s="147" t="s">
        <v>33342</v>
      </c>
      <c r="E6882" s="148" t="s">
        <v>44303</v>
      </c>
      <c r="F6882" s="146" t="s">
        <v>19378</v>
      </c>
      <c r="G6882" s="146" t="s">
        <v>33344</v>
      </c>
      <c r="H6882" s="146"/>
      <c r="I6882" s="147"/>
      <c r="J6882" s="147" t="s">
        <v>44304</v>
      </c>
      <c r="K6882" s="147" t="s">
        <v>44305</v>
      </c>
      <c r="L6882" s="149" t="s">
        <v>44306</v>
      </c>
      <c r="M6882" s="147"/>
      <c r="N6882" s="12"/>
      <c r="O6882" s="12"/>
      <c r="P6882" s="13">
        <f>IFERROR(__xludf.DUMMYFUNCTION("VALUE(SUBSTITUTE((INDEX(SPLIT(A6882,"",""),1)),""."","","",1))"),59.697737)</f>
        <v>59.697737</v>
      </c>
      <c r="Q6882" s="13">
        <f>IFERROR(__xludf.DUMMYFUNCTION("VALUE(SUBSTITUTE((INDEX(SPLIT(A6882,"",""),2)),""."","","",1))"),56.686812)</f>
        <v>56.686812</v>
      </c>
      <c r="R6882" s="14" t="b">
        <f t="shared" si="1"/>
        <v>0</v>
      </c>
      <c r="S6882" s="14" t="str">
        <f t="shared" si="2"/>
        <v>59.697737,56.686812</v>
      </c>
      <c r="T6882" s="12"/>
    </row>
    <row r="6883">
      <c r="A6883" s="136" t="s">
        <v>44307</v>
      </c>
      <c r="B6883" s="137" t="s">
        <v>44308</v>
      </c>
      <c r="C6883" s="137" t="s">
        <v>44309</v>
      </c>
      <c r="D6883" s="137" t="s">
        <v>33342</v>
      </c>
      <c r="E6883" s="138" t="s">
        <v>44310</v>
      </c>
      <c r="F6883" s="136" t="s">
        <v>19378</v>
      </c>
      <c r="G6883" s="136" t="s">
        <v>33344</v>
      </c>
      <c r="H6883" s="136"/>
      <c r="I6883" s="137"/>
      <c r="J6883" s="137" t="s">
        <v>44311</v>
      </c>
      <c r="K6883" s="137" t="s">
        <v>44312</v>
      </c>
      <c r="L6883" s="137"/>
      <c r="M6883" s="137"/>
      <c r="N6883" s="12"/>
      <c r="O6883" s="12"/>
      <c r="P6883" s="13">
        <f>IFERROR(__xludf.DUMMYFUNCTION("VALUE(SUBSTITUTE((INDEX(SPLIT(A6883,"",""),1)),""."","","",1))"),59.66673)</f>
        <v>59.66673</v>
      </c>
      <c r="Q6883" s="13">
        <f>IFERROR(__xludf.DUMMYFUNCTION("VALUE(SUBSTITUTE((INDEX(SPLIT(A6883,"",""),2)),""."","","",1))"),56.750592)</f>
        <v>56.750592</v>
      </c>
      <c r="R6883" s="14" t="b">
        <f t="shared" si="1"/>
        <v>0</v>
      </c>
      <c r="S6883" s="14" t="str">
        <f t="shared" si="2"/>
        <v>59.66673,56.750592</v>
      </c>
      <c r="T6883" s="12"/>
    </row>
    <row r="6884">
      <c r="A6884" s="146" t="s">
        <v>44313</v>
      </c>
      <c r="B6884" s="147" t="s">
        <v>44314</v>
      </c>
      <c r="C6884" s="147" t="s">
        <v>44315</v>
      </c>
      <c r="D6884" s="147" t="s">
        <v>33342</v>
      </c>
      <c r="E6884" s="148" t="s">
        <v>44316</v>
      </c>
      <c r="F6884" s="146" t="s">
        <v>19378</v>
      </c>
      <c r="G6884" s="146" t="s">
        <v>33344</v>
      </c>
      <c r="H6884" s="146"/>
      <c r="I6884" s="147"/>
      <c r="J6884" s="147" t="s">
        <v>44317</v>
      </c>
      <c r="K6884" s="147" t="s">
        <v>44318</v>
      </c>
      <c r="L6884" s="149" t="s">
        <v>44319</v>
      </c>
      <c r="M6884" s="149" t="s">
        <v>44320</v>
      </c>
      <c r="N6884" s="12"/>
      <c r="O6884" s="12"/>
      <c r="P6884" s="13">
        <f>IFERROR(__xludf.DUMMYFUNCTION("VALUE(SUBSTITUTE((INDEX(SPLIT(A6884,"",""),1)),""."","","",1))"),58.101692)</f>
        <v>58.101692</v>
      </c>
      <c r="Q6884" s="13">
        <f>IFERROR(__xludf.DUMMYFUNCTION("VALUE(SUBSTITUTE((INDEX(SPLIT(A6884,"",""),2)),""."","","",1))"),54.666653)</f>
        <v>54.666653</v>
      </c>
      <c r="R6884" s="14" t="b">
        <f t="shared" si="1"/>
        <v>0</v>
      </c>
      <c r="S6884" s="14" t="str">
        <f t="shared" si="2"/>
        <v>58.101692,54.666653</v>
      </c>
      <c r="T6884" s="12"/>
    </row>
    <row r="6885">
      <c r="A6885" s="142" t="s">
        <v>24204</v>
      </c>
      <c r="B6885" s="143" t="s">
        <v>44321</v>
      </c>
      <c r="C6885" s="143" t="s">
        <v>44322</v>
      </c>
      <c r="D6885" s="143" t="s">
        <v>33342</v>
      </c>
      <c r="E6885" s="144" t="s">
        <v>44323</v>
      </c>
      <c r="F6885" s="142" t="s">
        <v>19378</v>
      </c>
      <c r="G6885" s="142" t="s">
        <v>33344</v>
      </c>
      <c r="H6885" s="142"/>
      <c r="I6885" s="143"/>
      <c r="J6885" s="143" t="s">
        <v>44324</v>
      </c>
      <c r="K6885" s="143" t="s">
        <v>44325</v>
      </c>
      <c r="L6885" s="145" t="s">
        <v>44326</v>
      </c>
      <c r="M6885" s="145" t="s">
        <v>44327</v>
      </c>
      <c r="N6885" s="12"/>
      <c r="O6885" s="12"/>
      <c r="P6885" s="13">
        <f>IFERROR(__xludf.DUMMYFUNCTION("VALUE(SUBSTITUTE((INDEX(SPLIT(A6885,"",""),1)),""."","","",1))"),58.010455)</f>
        <v>58.010455</v>
      </c>
      <c r="Q6885" s="13">
        <f>IFERROR(__xludf.DUMMYFUNCTION("VALUE(SUBSTITUTE((INDEX(SPLIT(A6885,"",""),2)),""."","","",1))"),56.229443)</f>
        <v>56.229443</v>
      </c>
      <c r="R6885" s="14" t="b">
        <f t="shared" si="1"/>
        <v>0</v>
      </c>
      <c r="S6885" s="14" t="str">
        <f t="shared" si="2"/>
        <v>58.010455,56.229443</v>
      </c>
      <c r="T6885" s="12"/>
    </row>
    <row r="6886">
      <c r="A6886" s="146" t="s">
        <v>44328</v>
      </c>
      <c r="B6886" s="147" t="s">
        <v>44329</v>
      </c>
      <c r="C6886" s="147" t="s">
        <v>44330</v>
      </c>
      <c r="D6886" s="147" t="s">
        <v>33342</v>
      </c>
      <c r="E6886" s="148" t="s">
        <v>44331</v>
      </c>
      <c r="F6886" s="146" t="s">
        <v>19378</v>
      </c>
      <c r="G6886" s="146" t="s">
        <v>33344</v>
      </c>
      <c r="H6886" s="146"/>
      <c r="I6886" s="147"/>
      <c r="J6886" s="147" t="s">
        <v>44332</v>
      </c>
      <c r="K6886" s="147" t="s">
        <v>44333</v>
      </c>
      <c r="L6886" s="149" t="s">
        <v>44334</v>
      </c>
      <c r="M6886" s="149" t="s">
        <v>44335</v>
      </c>
      <c r="N6886" s="12"/>
      <c r="O6886" s="12"/>
      <c r="P6886" s="13">
        <f>IFERROR(__xludf.DUMMYFUNCTION("VALUE(SUBSTITUTE((INDEX(SPLIT(A6886,"",""),1)),""."","","",1))"),58.012348)</f>
        <v>58.012348</v>
      </c>
      <c r="Q6886" s="13">
        <f>IFERROR(__xludf.DUMMYFUNCTION("VALUE(SUBSTITUTE((INDEX(SPLIT(A6886,"",""),2)),""."","","",1))"),56.064342)</f>
        <v>56.064342</v>
      </c>
      <c r="R6886" s="14" t="b">
        <f t="shared" si="1"/>
        <v>0</v>
      </c>
      <c r="S6886" s="14" t="str">
        <f t="shared" si="2"/>
        <v>58.012348,56.064342</v>
      </c>
      <c r="T6886" s="12"/>
    </row>
    <row r="6887">
      <c r="A6887" s="142" t="s">
        <v>44336</v>
      </c>
      <c r="B6887" s="143" t="s">
        <v>44337</v>
      </c>
      <c r="C6887" s="143" t="s">
        <v>44338</v>
      </c>
      <c r="D6887" s="143" t="s">
        <v>33342</v>
      </c>
      <c r="E6887" s="144" t="s">
        <v>44339</v>
      </c>
      <c r="F6887" s="142" t="s">
        <v>19378</v>
      </c>
      <c r="G6887" s="142" t="s">
        <v>33344</v>
      </c>
      <c r="H6887" s="142"/>
      <c r="I6887" s="143"/>
      <c r="J6887" s="143" t="s">
        <v>44340</v>
      </c>
      <c r="K6887" s="143" t="s">
        <v>44341</v>
      </c>
      <c r="L6887" s="145" t="s">
        <v>44342</v>
      </c>
      <c r="M6887" s="145" t="s">
        <v>44343</v>
      </c>
      <c r="N6887" s="12"/>
      <c r="O6887" s="12"/>
      <c r="P6887" s="13">
        <f>IFERROR(__xludf.DUMMYFUNCTION("VALUE(SUBSTITUTE((INDEX(SPLIT(A6887,"",""),1)),""."","","",1))"),57.953413)</f>
        <v>57.953413</v>
      </c>
      <c r="Q6887" s="13">
        <f>IFERROR(__xludf.DUMMYFUNCTION("VALUE(SUBSTITUTE((INDEX(SPLIT(A6887,"",""),2)),""."","","",1))"),56.100293)</f>
        <v>56.100293</v>
      </c>
      <c r="R6887" s="14" t="b">
        <f t="shared" si="1"/>
        <v>0</v>
      </c>
      <c r="S6887" s="14" t="str">
        <f t="shared" si="2"/>
        <v>57.953413,56.100293</v>
      </c>
      <c r="T6887" s="12"/>
    </row>
    <row r="6888">
      <c r="A6888" s="139" t="s">
        <v>44344</v>
      </c>
      <c r="B6888" s="140" t="s">
        <v>44345</v>
      </c>
      <c r="C6888" s="140" t="s">
        <v>44346</v>
      </c>
      <c r="D6888" s="140" t="s">
        <v>33342</v>
      </c>
      <c r="E6888" s="141" t="s">
        <v>44347</v>
      </c>
      <c r="F6888" s="139" t="s">
        <v>19378</v>
      </c>
      <c r="G6888" s="139" t="s">
        <v>33344</v>
      </c>
      <c r="H6888" s="139"/>
      <c r="I6888" s="140"/>
      <c r="J6888" s="140" t="s">
        <v>44348</v>
      </c>
      <c r="K6888" s="140" t="s">
        <v>44349</v>
      </c>
      <c r="L6888" s="140"/>
      <c r="M6888" s="154" t="s">
        <v>44350</v>
      </c>
      <c r="N6888" s="12"/>
      <c r="O6888" s="12"/>
      <c r="P6888" s="13">
        <f>IFERROR(__xludf.DUMMYFUNCTION("VALUE(SUBSTITUTE((INDEX(SPLIT(A6888,"",""),1)),""."","","",1))"),57.85706)</f>
        <v>57.85706</v>
      </c>
      <c r="Q6888" s="13">
        <f>IFERROR(__xludf.DUMMYFUNCTION("VALUE(SUBSTITUTE((INDEX(SPLIT(A6888,"",""),2)),""."","","",1))"),56.30518)</f>
        <v>56.30518</v>
      </c>
      <c r="R6888" s="14" t="b">
        <f t="shared" si="1"/>
        <v>0</v>
      </c>
      <c r="S6888" s="14" t="str">
        <f t="shared" si="2"/>
        <v>57.85706,56.30518</v>
      </c>
      <c r="T6888" s="12"/>
    </row>
    <row r="6889">
      <c r="A6889" s="136" t="s">
        <v>44351</v>
      </c>
      <c r="B6889" s="137" t="s">
        <v>44352</v>
      </c>
      <c r="C6889" s="137" t="s">
        <v>44353</v>
      </c>
      <c r="D6889" s="137" t="s">
        <v>33342</v>
      </c>
      <c r="E6889" s="138" t="s">
        <v>44354</v>
      </c>
      <c r="F6889" s="136" t="s">
        <v>3148</v>
      </c>
      <c r="G6889" s="136" t="s">
        <v>33344</v>
      </c>
      <c r="H6889" s="136"/>
      <c r="I6889" s="156" t="s">
        <v>44355</v>
      </c>
      <c r="J6889" s="137" t="s">
        <v>44356</v>
      </c>
      <c r="K6889" s="137" t="s">
        <v>44357</v>
      </c>
      <c r="L6889" s="137"/>
      <c r="M6889" s="137"/>
      <c r="N6889" s="12"/>
      <c r="O6889" s="12"/>
      <c r="P6889" s="13">
        <f>IFERROR(__xludf.DUMMYFUNCTION("VALUE(SUBSTITUTE((INDEX(SPLIT(A6889,"",""),1)),""."","","",1))"),56.343947)</f>
        <v>56.343947</v>
      </c>
      <c r="Q6889" s="13">
        <f>IFERROR(__xludf.DUMMYFUNCTION("VALUE(SUBSTITUTE((INDEX(SPLIT(A6889,"",""),2)),""."","","",1))"),30.520971)</f>
        <v>30.520971</v>
      </c>
      <c r="R6889" s="14" t="b">
        <f t="shared" si="1"/>
        <v>0</v>
      </c>
      <c r="S6889" s="14" t="str">
        <f t="shared" si="2"/>
        <v>56.343947,30.520971</v>
      </c>
      <c r="T6889" s="12"/>
    </row>
    <row r="6890">
      <c r="A6890" s="139" t="s">
        <v>44358</v>
      </c>
      <c r="B6890" s="140" t="s">
        <v>44359</v>
      </c>
      <c r="C6890" s="140" t="s">
        <v>44360</v>
      </c>
      <c r="D6890" s="140" t="s">
        <v>33342</v>
      </c>
      <c r="E6890" s="141" t="s">
        <v>44361</v>
      </c>
      <c r="F6890" s="139" t="s">
        <v>3148</v>
      </c>
      <c r="G6890" s="139" t="s">
        <v>33344</v>
      </c>
      <c r="H6890" s="139"/>
      <c r="I6890" s="140"/>
      <c r="J6890" s="140" t="s">
        <v>44362</v>
      </c>
      <c r="K6890" s="140" t="s">
        <v>44363</v>
      </c>
      <c r="L6890" s="140"/>
      <c r="M6890" s="140"/>
      <c r="N6890" s="12"/>
      <c r="O6890" s="12"/>
      <c r="P6890" s="13">
        <f>IFERROR(__xludf.DUMMYFUNCTION("VALUE(SUBSTITUTE((INDEX(SPLIT(A6890,"",""),1)),""."","","",1))"),57.795768)</f>
        <v>57.795768</v>
      </c>
      <c r="Q6890" s="13">
        <f>IFERROR(__xludf.DUMMYFUNCTION("VALUE(SUBSTITUTE((INDEX(SPLIT(A6890,"",""),2)),""."","","",1))"),28.365832)</f>
        <v>28.365832</v>
      </c>
      <c r="R6890" s="14" t="b">
        <f t="shared" si="1"/>
        <v>0</v>
      </c>
      <c r="S6890" s="14" t="str">
        <f t="shared" si="2"/>
        <v>57.795768,28.365832</v>
      </c>
      <c r="T6890" s="12"/>
    </row>
    <row r="6891">
      <c r="A6891" s="142" t="s">
        <v>44364</v>
      </c>
      <c r="B6891" s="143" t="s">
        <v>44365</v>
      </c>
      <c r="C6891" s="143" t="s">
        <v>44366</v>
      </c>
      <c r="D6891" s="143" t="s">
        <v>33342</v>
      </c>
      <c r="E6891" s="144" t="s">
        <v>44367</v>
      </c>
      <c r="F6891" s="142" t="s">
        <v>12912</v>
      </c>
      <c r="G6891" s="142" t="s">
        <v>33344</v>
      </c>
      <c r="H6891" s="142"/>
      <c r="I6891" s="143"/>
      <c r="J6891" s="143" t="s">
        <v>44368</v>
      </c>
      <c r="K6891" s="143" t="s">
        <v>44369</v>
      </c>
      <c r="L6891" s="145" t="s">
        <v>44370</v>
      </c>
      <c r="M6891" s="145" t="s">
        <v>44371</v>
      </c>
      <c r="N6891" s="12"/>
      <c r="O6891" s="12"/>
      <c r="P6891" s="13">
        <f>IFERROR(__xludf.DUMMYFUNCTION("VALUE(SUBSTITUTE((INDEX(SPLIT(A6891,"",""),1)),""."","","",1))"),47.084058)</f>
        <v>47.084058</v>
      </c>
      <c r="Q6891" s="13">
        <f>IFERROR(__xludf.DUMMYFUNCTION("VALUE(SUBSTITUTE((INDEX(SPLIT(A6891,"",""),2)),""."","","",1))"),39.510098)</f>
        <v>39.510098</v>
      </c>
      <c r="R6891" s="14" t="b">
        <f t="shared" si="1"/>
        <v>0</v>
      </c>
      <c r="S6891" s="14" t="str">
        <f t="shared" si="2"/>
        <v>47.084058,39.510098</v>
      </c>
      <c r="T6891" s="12"/>
    </row>
    <row r="6892">
      <c r="A6892" s="139" t="s">
        <v>44372</v>
      </c>
      <c r="B6892" s="140" t="s">
        <v>44373</v>
      </c>
      <c r="C6892" s="140" t="s">
        <v>44374</v>
      </c>
      <c r="D6892" s="140" t="s">
        <v>33342</v>
      </c>
      <c r="E6892" s="141" t="s">
        <v>44375</v>
      </c>
      <c r="F6892" s="139" t="s">
        <v>12912</v>
      </c>
      <c r="G6892" s="139" t="s">
        <v>33344</v>
      </c>
      <c r="H6892" s="139"/>
      <c r="I6892" s="140"/>
      <c r="J6892" s="140" t="s">
        <v>44376</v>
      </c>
      <c r="K6892" s="140" t="s">
        <v>44377</v>
      </c>
      <c r="L6892" s="140"/>
      <c r="M6892" s="154" t="s">
        <v>44378</v>
      </c>
      <c r="N6892" s="12"/>
      <c r="O6892" s="12"/>
      <c r="P6892" s="13">
        <f>IFERROR(__xludf.DUMMYFUNCTION("VALUE(SUBSTITUTE((INDEX(SPLIT(A6892,"",""),1)),""."","","",1))"),46.944748)</f>
        <v>46.944748</v>
      </c>
      <c r="Q6892" s="13">
        <f>IFERROR(__xludf.DUMMYFUNCTION("VALUE(SUBSTITUTE((INDEX(SPLIT(A6892,"",""),2)),""."","","",1))"),39.696606)</f>
        <v>39.696606</v>
      </c>
      <c r="R6892" s="14" t="b">
        <f t="shared" si="1"/>
        <v>0</v>
      </c>
      <c r="S6892" s="14" t="str">
        <f t="shared" si="2"/>
        <v>46.944748,39.696606</v>
      </c>
      <c r="T6892" s="12"/>
    </row>
    <row r="6893">
      <c r="A6893" s="142" t="s">
        <v>44379</v>
      </c>
      <c r="B6893" s="143" t="s">
        <v>44380</v>
      </c>
      <c r="C6893" s="143" t="s">
        <v>44381</v>
      </c>
      <c r="D6893" s="143" t="s">
        <v>33342</v>
      </c>
      <c r="E6893" s="144" t="s">
        <v>44382</v>
      </c>
      <c r="F6893" s="142" t="s">
        <v>12912</v>
      </c>
      <c r="G6893" s="142" t="s">
        <v>33344</v>
      </c>
      <c r="H6893" s="142"/>
      <c r="I6893" s="143"/>
      <c r="J6893" s="143" t="s">
        <v>44383</v>
      </c>
      <c r="K6893" s="143" t="s">
        <v>44384</v>
      </c>
      <c r="L6893" s="152" t="s">
        <v>44385</v>
      </c>
      <c r="M6893" s="143"/>
      <c r="N6893" s="12"/>
      <c r="O6893" s="12"/>
      <c r="P6893" s="13">
        <f>IFERROR(__xludf.DUMMYFUNCTION("VALUE(SUBSTITUTE((INDEX(SPLIT(A6893,"",""),1)),""."","","",1))"),47.274634)</f>
        <v>47.274634</v>
      </c>
      <c r="Q6893" s="13">
        <f>IFERROR(__xludf.DUMMYFUNCTION("VALUE(SUBSTITUTE((INDEX(SPLIT(A6893,"",""),2)),""."","","",1))"),39.862705)</f>
        <v>39.862705</v>
      </c>
      <c r="R6893" s="14" t="b">
        <f t="shared" si="1"/>
        <v>0</v>
      </c>
      <c r="S6893" s="14" t="str">
        <f t="shared" si="2"/>
        <v>47.274634,39.862705</v>
      </c>
      <c r="T6893" s="12"/>
    </row>
    <row r="6894">
      <c r="A6894" s="146" t="s">
        <v>44386</v>
      </c>
      <c r="B6894" s="147" t="s">
        <v>44387</v>
      </c>
      <c r="C6894" s="147" t="s">
        <v>44388</v>
      </c>
      <c r="D6894" s="147" t="s">
        <v>33342</v>
      </c>
      <c r="E6894" s="148" t="s">
        <v>44389</v>
      </c>
      <c r="F6894" s="146" t="s">
        <v>12912</v>
      </c>
      <c r="G6894" s="146" t="s">
        <v>33344</v>
      </c>
      <c r="H6894" s="146"/>
      <c r="I6894" s="147"/>
      <c r="J6894" s="147" t="s">
        <v>44390</v>
      </c>
      <c r="K6894" s="147" t="s">
        <v>44391</v>
      </c>
      <c r="L6894" s="150" t="s">
        <v>44392</v>
      </c>
      <c r="M6894" s="147"/>
      <c r="N6894" s="12"/>
      <c r="O6894" s="12"/>
      <c r="P6894" s="13">
        <f>IFERROR(__xludf.DUMMYFUNCTION("VALUE(SUBSTITUTE((INDEX(SPLIT(A6894,"",""),1)),""."","","",1))"),47.32599)</f>
        <v>47.32599</v>
      </c>
      <c r="Q6894" s="13">
        <f>IFERROR(__xludf.DUMMYFUNCTION("VALUE(SUBSTITUTE((INDEX(SPLIT(A6894,"",""),2)),""."","","",1))"),39.913531)</f>
        <v>39.913531</v>
      </c>
      <c r="R6894" s="14" t="b">
        <f t="shared" si="1"/>
        <v>0</v>
      </c>
      <c r="S6894" s="14" t="str">
        <f t="shared" si="2"/>
        <v>47.32599,39.913531</v>
      </c>
      <c r="T6894" s="12"/>
    </row>
    <row r="6895">
      <c r="A6895" s="142" t="s">
        <v>44393</v>
      </c>
      <c r="B6895" s="143" t="s">
        <v>44394</v>
      </c>
      <c r="C6895" s="143" t="s">
        <v>44395</v>
      </c>
      <c r="D6895" s="143" t="s">
        <v>33342</v>
      </c>
      <c r="E6895" s="144" t="s">
        <v>44396</v>
      </c>
      <c r="F6895" s="142" t="s">
        <v>12912</v>
      </c>
      <c r="G6895" s="142" t="s">
        <v>33344</v>
      </c>
      <c r="H6895" s="142"/>
      <c r="I6895" s="143"/>
      <c r="J6895" s="143" t="s">
        <v>44397</v>
      </c>
      <c r="K6895" s="143" t="s">
        <v>44398</v>
      </c>
      <c r="L6895" s="145" t="s">
        <v>44399</v>
      </c>
      <c r="M6895" s="143"/>
      <c r="N6895" s="12"/>
      <c r="O6895" s="12"/>
      <c r="P6895" s="13">
        <f>IFERROR(__xludf.DUMMYFUNCTION("VALUE(SUBSTITUTE((INDEX(SPLIT(A6895,"",""),1)),""."","","",1))"),47.379968)</f>
        <v>47.379968</v>
      </c>
      <c r="Q6895" s="13">
        <f>IFERROR(__xludf.DUMMYFUNCTION("VALUE(SUBSTITUTE((INDEX(SPLIT(A6895,"",""),2)),""."","","",1))"),39.892304)</f>
        <v>39.892304</v>
      </c>
      <c r="R6895" s="14" t="b">
        <f t="shared" si="1"/>
        <v>0</v>
      </c>
      <c r="S6895" s="14" t="str">
        <f t="shared" si="2"/>
        <v>47.379968,39.892304</v>
      </c>
      <c r="T6895" s="12"/>
    </row>
    <row r="6896">
      <c r="A6896" s="139" t="s">
        <v>44400</v>
      </c>
      <c r="B6896" s="140" t="s">
        <v>44401</v>
      </c>
      <c r="C6896" s="140" t="s">
        <v>44402</v>
      </c>
      <c r="D6896" s="140" t="s">
        <v>33342</v>
      </c>
      <c r="E6896" s="141" t="s">
        <v>44403</v>
      </c>
      <c r="F6896" s="139" t="s">
        <v>12912</v>
      </c>
      <c r="G6896" s="139" t="s">
        <v>33344</v>
      </c>
      <c r="H6896" s="139"/>
      <c r="I6896" s="140"/>
      <c r="J6896" s="140" t="s">
        <v>44404</v>
      </c>
      <c r="K6896" s="140" t="s">
        <v>44405</v>
      </c>
      <c r="L6896" s="140"/>
      <c r="M6896" s="140"/>
      <c r="N6896" s="12"/>
      <c r="O6896" s="12"/>
      <c r="P6896" s="13">
        <f>IFERROR(__xludf.DUMMYFUNCTION("VALUE(SUBSTITUTE((INDEX(SPLIT(A6896,"",""),1)),""."","","",1))"),47.585018)</f>
        <v>47.585018</v>
      </c>
      <c r="Q6896" s="13">
        <f>IFERROR(__xludf.DUMMYFUNCTION("VALUE(SUBSTITUTE((INDEX(SPLIT(A6896,"",""),2)),""."","","",1))"),38.8764)</f>
        <v>38.8764</v>
      </c>
      <c r="R6896" s="14" t="b">
        <f t="shared" si="1"/>
        <v>0</v>
      </c>
      <c r="S6896" s="14" t="str">
        <f t="shared" si="2"/>
        <v>47.585018,38.8764</v>
      </c>
      <c r="T6896" s="12"/>
    </row>
    <row r="6897">
      <c r="A6897" s="136" t="s">
        <v>13987</v>
      </c>
      <c r="B6897" s="137" t="s">
        <v>44406</v>
      </c>
      <c r="C6897" s="137" t="s">
        <v>44407</v>
      </c>
      <c r="D6897" s="137" t="s">
        <v>33342</v>
      </c>
      <c r="E6897" s="138" t="s">
        <v>44408</v>
      </c>
      <c r="F6897" s="136" t="s">
        <v>12912</v>
      </c>
      <c r="G6897" s="136" t="s">
        <v>33344</v>
      </c>
      <c r="H6897" s="136"/>
      <c r="I6897" s="137"/>
      <c r="J6897" s="137" t="s">
        <v>44409</v>
      </c>
      <c r="K6897" s="137" t="s">
        <v>44410</v>
      </c>
      <c r="L6897" s="137"/>
      <c r="M6897" s="137"/>
      <c r="N6897" s="12"/>
      <c r="O6897" s="12"/>
      <c r="P6897" s="13">
        <f>IFERROR(__xludf.DUMMYFUNCTION("VALUE(SUBSTITUTE((INDEX(SPLIT(A6897,"",""),1)),""."","","",1))"),47.276224)</f>
        <v>47.276224</v>
      </c>
      <c r="Q6897" s="13">
        <f>IFERROR(__xludf.DUMMYFUNCTION("VALUE(SUBSTITUTE((INDEX(SPLIT(A6897,"",""),2)),""."","","",1))"),39.513539)</f>
        <v>39.513539</v>
      </c>
      <c r="R6897" s="14" t="b">
        <f t="shared" si="1"/>
        <v>0</v>
      </c>
      <c r="S6897" s="14" t="str">
        <f t="shared" si="2"/>
        <v>47.276224,39.513539</v>
      </c>
      <c r="T6897" s="12"/>
    </row>
    <row r="6898">
      <c r="A6898" s="146" t="s">
        <v>44411</v>
      </c>
      <c r="B6898" s="147" t="s">
        <v>44412</v>
      </c>
      <c r="C6898" s="147" t="s">
        <v>44413</v>
      </c>
      <c r="D6898" s="147" t="s">
        <v>33342</v>
      </c>
      <c r="E6898" s="148" t="s">
        <v>44414</v>
      </c>
      <c r="F6898" s="146" t="s">
        <v>12912</v>
      </c>
      <c r="G6898" s="146" t="s">
        <v>33344</v>
      </c>
      <c r="H6898" s="146"/>
      <c r="I6898" s="147"/>
      <c r="J6898" s="147" t="s">
        <v>44415</v>
      </c>
      <c r="K6898" s="147" t="s">
        <v>44416</v>
      </c>
      <c r="L6898" s="150" t="s">
        <v>44417</v>
      </c>
      <c r="M6898" s="147"/>
      <c r="N6898" s="12"/>
      <c r="O6898" s="12"/>
      <c r="P6898" s="13">
        <f>IFERROR(__xludf.DUMMYFUNCTION("VALUE(SUBSTITUTE((INDEX(SPLIT(A6898,"",""),1)),""."","","",1))"),47.308317)</f>
        <v>47.308317</v>
      </c>
      <c r="Q6898" s="13">
        <f>IFERROR(__xludf.DUMMYFUNCTION("VALUE(SUBSTITUTE((INDEX(SPLIT(A6898,"",""),2)),""."","","",1))"),39.487182)</f>
        <v>39.487182</v>
      </c>
      <c r="R6898" s="14" t="b">
        <f t="shared" si="1"/>
        <v>0</v>
      </c>
      <c r="S6898" s="14" t="str">
        <f t="shared" si="2"/>
        <v>47.308317,39.487182</v>
      </c>
      <c r="T6898" s="12"/>
    </row>
    <row r="6899">
      <c r="A6899" s="136" t="s">
        <v>44418</v>
      </c>
      <c r="B6899" s="137" t="s">
        <v>44419</v>
      </c>
      <c r="C6899" s="137" t="s">
        <v>44420</v>
      </c>
      <c r="D6899" s="137" t="s">
        <v>33342</v>
      </c>
      <c r="E6899" s="138" t="s">
        <v>44421</v>
      </c>
      <c r="F6899" s="136" t="s">
        <v>12912</v>
      </c>
      <c r="G6899" s="136" t="s">
        <v>33344</v>
      </c>
      <c r="H6899" s="136"/>
      <c r="I6899" s="137"/>
      <c r="J6899" s="137" t="s">
        <v>44422</v>
      </c>
      <c r="K6899" s="137" t="s">
        <v>44423</v>
      </c>
      <c r="L6899" s="137"/>
      <c r="M6899" s="137"/>
      <c r="N6899" s="12"/>
      <c r="O6899" s="12"/>
      <c r="P6899" s="13">
        <f>IFERROR(__xludf.DUMMYFUNCTION("VALUE(SUBSTITUTE((INDEX(SPLIT(A6899,"",""),1)),""."","","",1))"),47.296811)</f>
        <v>47.296811</v>
      </c>
      <c r="Q6899" s="13">
        <f>IFERROR(__xludf.DUMMYFUNCTION("VALUE(SUBSTITUTE((INDEX(SPLIT(A6899,"",""),2)),""."","","",1))"),39.513691)</f>
        <v>39.513691</v>
      </c>
      <c r="R6899" s="14" t="b">
        <f t="shared" si="1"/>
        <v>0</v>
      </c>
      <c r="S6899" s="14" t="str">
        <f t="shared" si="2"/>
        <v>47.296811,39.513691</v>
      </c>
      <c r="T6899" s="12"/>
    </row>
    <row r="6900">
      <c r="A6900" s="146" t="s">
        <v>44424</v>
      </c>
      <c r="B6900" s="147" t="s">
        <v>44425</v>
      </c>
      <c r="C6900" s="147" t="s">
        <v>44426</v>
      </c>
      <c r="D6900" s="147" t="s">
        <v>33342</v>
      </c>
      <c r="E6900" s="148" t="s">
        <v>44427</v>
      </c>
      <c r="F6900" s="146" t="s">
        <v>12912</v>
      </c>
      <c r="G6900" s="146" t="s">
        <v>33344</v>
      </c>
      <c r="H6900" s="146"/>
      <c r="I6900" s="147"/>
      <c r="J6900" s="147" t="s">
        <v>44428</v>
      </c>
      <c r="K6900" s="147" t="s">
        <v>44429</v>
      </c>
      <c r="L6900" s="150" t="s">
        <v>44430</v>
      </c>
      <c r="M6900" s="147"/>
      <c r="N6900" s="12"/>
      <c r="O6900" s="12"/>
      <c r="P6900" s="13">
        <f>IFERROR(__xludf.DUMMYFUNCTION("VALUE(SUBSTITUTE((INDEX(SPLIT(A6900,"",""),1)),""."","","",1))"),47.661553)</f>
        <v>47.661553</v>
      </c>
      <c r="Q6900" s="13">
        <f>IFERROR(__xludf.DUMMYFUNCTION("VALUE(SUBSTITUTE((INDEX(SPLIT(A6900,"",""),2)),""."","","",1))"),40.174941)</f>
        <v>40.174941</v>
      </c>
      <c r="R6900" s="14" t="b">
        <f t="shared" si="1"/>
        <v>0</v>
      </c>
      <c r="S6900" s="14" t="str">
        <f t="shared" si="2"/>
        <v>47.661553,40.174941</v>
      </c>
      <c r="T6900" s="12"/>
    </row>
    <row r="6901">
      <c r="A6901" s="136" t="s">
        <v>44431</v>
      </c>
      <c r="B6901" s="137" t="s">
        <v>44432</v>
      </c>
      <c r="C6901" s="137" t="s">
        <v>44433</v>
      </c>
      <c r="D6901" s="137" t="s">
        <v>33342</v>
      </c>
      <c r="E6901" s="138" t="s">
        <v>44434</v>
      </c>
      <c r="F6901" s="136" t="s">
        <v>12912</v>
      </c>
      <c r="G6901" s="136" t="s">
        <v>33344</v>
      </c>
      <c r="H6901" s="136"/>
      <c r="I6901" s="137"/>
      <c r="J6901" s="137" t="s">
        <v>44435</v>
      </c>
      <c r="K6901" s="137" t="s">
        <v>44436</v>
      </c>
      <c r="L6901" s="137"/>
      <c r="M6901" s="137"/>
      <c r="N6901" s="12"/>
      <c r="O6901" s="12"/>
      <c r="P6901" s="13">
        <f>IFERROR(__xludf.DUMMYFUNCTION("VALUE(SUBSTITUTE((INDEX(SPLIT(A6901,"",""),1)),""."","","",1))"),47.08877)</f>
        <v>47.08877</v>
      </c>
      <c r="Q6901" s="13">
        <f>IFERROR(__xludf.DUMMYFUNCTION("VALUE(SUBSTITUTE((INDEX(SPLIT(A6901,"",""),2)),""."","","",1))"),39.381783)</f>
        <v>39.381783</v>
      </c>
      <c r="R6901" s="14" t="b">
        <f t="shared" si="1"/>
        <v>0</v>
      </c>
      <c r="S6901" s="14" t="str">
        <f t="shared" si="2"/>
        <v>47.08877,39.381783</v>
      </c>
      <c r="T6901" s="12"/>
    </row>
    <row r="6902">
      <c r="A6902" s="146" t="s">
        <v>14589</v>
      </c>
      <c r="B6902" s="147" t="s">
        <v>44437</v>
      </c>
      <c r="C6902" s="147" t="s">
        <v>44438</v>
      </c>
      <c r="D6902" s="147" t="s">
        <v>33342</v>
      </c>
      <c r="E6902" s="148" t="s">
        <v>44439</v>
      </c>
      <c r="F6902" s="146" t="s">
        <v>12912</v>
      </c>
      <c r="G6902" s="146" t="s">
        <v>33344</v>
      </c>
      <c r="H6902" s="146"/>
      <c r="I6902" s="147"/>
      <c r="J6902" s="147" t="s">
        <v>44440</v>
      </c>
      <c r="K6902" s="147" t="s">
        <v>44441</v>
      </c>
      <c r="L6902" s="149" t="s">
        <v>44442</v>
      </c>
      <c r="M6902" s="149" t="s">
        <v>44371</v>
      </c>
      <c r="N6902" s="12"/>
      <c r="O6902" s="12"/>
      <c r="P6902" s="13">
        <f>IFERROR(__xludf.DUMMYFUNCTION("VALUE(SUBSTITUTE((INDEX(SPLIT(A6902,"",""),1)),""."","","",1))"),47.124785)</f>
        <v>47.124785</v>
      </c>
      <c r="Q6902" s="13">
        <f>IFERROR(__xludf.DUMMYFUNCTION("VALUE(SUBSTITUTE((INDEX(SPLIT(A6902,"",""),2)),""."","","",1))"),39.766468)</f>
        <v>39.766468</v>
      </c>
      <c r="R6902" s="14" t="b">
        <f t="shared" si="1"/>
        <v>0</v>
      </c>
      <c r="S6902" s="14" t="str">
        <f t="shared" si="2"/>
        <v>47.124785,39.766468</v>
      </c>
      <c r="T6902" s="12"/>
    </row>
    <row r="6903">
      <c r="A6903" s="136" t="s">
        <v>44443</v>
      </c>
      <c r="B6903" s="137" t="s">
        <v>44444</v>
      </c>
      <c r="C6903" s="137" t="s">
        <v>44445</v>
      </c>
      <c r="D6903" s="137" t="s">
        <v>33342</v>
      </c>
      <c r="E6903" s="138" t="s">
        <v>44446</v>
      </c>
      <c r="F6903" s="136" t="s">
        <v>12912</v>
      </c>
      <c r="G6903" s="136" t="s">
        <v>33344</v>
      </c>
      <c r="H6903" s="136"/>
      <c r="I6903" s="137"/>
      <c r="J6903" s="137" t="s">
        <v>44447</v>
      </c>
      <c r="K6903" s="137" t="s">
        <v>44448</v>
      </c>
      <c r="L6903" s="137"/>
      <c r="M6903" s="153" t="s">
        <v>44449</v>
      </c>
      <c r="N6903" s="12"/>
      <c r="O6903" s="12"/>
      <c r="P6903" s="13">
        <f>IFERROR(__xludf.DUMMYFUNCTION("VALUE(SUBSTITUTE((INDEX(SPLIT(A6903,"",""),1)),""."","","",1))"),47.138554)</f>
        <v>47.138554</v>
      </c>
      <c r="Q6903" s="13">
        <f>IFERROR(__xludf.DUMMYFUNCTION("VALUE(SUBSTITUTE((INDEX(SPLIT(A6903,"",""),2)),""."","","",1))"),39.708563)</f>
        <v>39.708563</v>
      </c>
      <c r="R6903" s="14" t="b">
        <f t="shared" si="1"/>
        <v>0</v>
      </c>
      <c r="S6903" s="14" t="str">
        <f t="shared" si="2"/>
        <v>47.138554,39.708563</v>
      </c>
      <c r="T6903" s="12"/>
    </row>
    <row r="6904">
      <c r="A6904" s="146" t="s">
        <v>44450</v>
      </c>
      <c r="B6904" s="147" t="s">
        <v>44451</v>
      </c>
      <c r="C6904" s="147" t="s">
        <v>44452</v>
      </c>
      <c r="D6904" s="147" t="s">
        <v>33342</v>
      </c>
      <c r="E6904" s="148" t="s">
        <v>44453</v>
      </c>
      <c r="F6904" s="146" t="s">
        <v>12912</v>
      </c>
      <c r="G6904" s="146" t="s">
        <v>33344</v>
      </c>
      <c r="H6904" s="146"/>
      <c r="I6904" s="147"/>
      <c r="J6904" s="147" t="s">
        <v>44454</v>
      </c>
      <c r="K6904" s="147" t="s">
        <v>44455</v>
      </c>
      <c r="L6904" s="149" t="s">
        <v>44456</v>
      </c>
      <c r="M6904" s="147"/>
      <c r="N6904" s="12"/>
      <c r="O6904" s="12"/>
      <c r="P6904" s="13">
        <f>IFERROR(__xludf.DUMMYFUNCTION("VALUE(SUBSTITUTE((INDEX(SPLIT(A6904,"",""),1)),""."","","",1))"),47.360213)</f>
        <v>47.360213</v>
      </c>
      <c r="Q6904" s="13">
        <f>IFERROR(__xludf.DUMMYFUNCTION("VALUE(SUBSTITUTE((INDEX(SPLIT(A6904,"",""),2)),""."","","",1))"),39.875964)</f>
        <v>39.875964</v>
      </c>
      <c r="R6904" s="14" t="b">
        <f t="shared" si="1"/>
        <v>0</v>
      </c>
      <c r="S6904" s="14" t="str">
        <f t="shared" si="2"/>
        <v>47.360213,39.875964</v>
      </c>
      <c r="T6904" s="12"/>
    </row>
    <row r="6905">
      <c r="A6905" s="142" t="s">
        <v>44457</v>
      </c>
      <c r="B6905" s="143" t="s">
        <v>44458</v>
      </c>
      <c r="C6905" s="143" t="s">
        <v>44459</v>
      </c>
      <c r="D6905" s="143" t="s">
        <v>33342</v>
      </c>
      <c r="E6905" s="144" t="s">
        <v>44460</v>
      </c>
      <c r="F6905" s="142" t="s">
        <v>12912</v>
      </c>
      <c r="G6905" s="142" t="s">
        <v>33344</v>
      </c>
      <c r="H6905" s="142"/>
      <c r="I6905" s="143"/>
      <c r="J6905" s="143" t="s">
        <v>44461</v>
      </c>
      <c r="K6905" s="143" t="s">
        <v>44462</v>
      </c>
      <c r="L6905" s="145" t="s">
        <v>44463</v>
      </c>
      <c r="M6905" s="145" t="s">
        <v>44464</v>
      </c>
      <c r="N6905" s="12"/>
      <c r="O6905" s="12"/>
      <c r="P6905" s="13">
        <f>IFERROR(__xludf.DUMMYFUNCTION("VALUE(SUBSTITUTE((INDEX(SPLIT(A6905,"",""),1)),""."","","",1))"),47.489414)</f>
        <v>47.489414</v>
      </c>
      <c r="Q6905" s="13">
        <f>IFERROR(__xludf.DUMMYFUNCTION("VALUE(SUBSTITUTE((INDEX(SPLIT(A6905,"",""),2)),""."","","",1))"),42.163686)</f>
        <v>42.163686</v>
      </c>
      <c r="R6905" s="14" t="b">
        <f t="shared" si="1"/>
        <v>0</v>
      </c>
      <c r="S6905" s="14" t="str">
        <f t="shared" si="2"/>
        <v>47.489414,42.163686</v>
      </c>
      <c r="T6905" s="12"/>
    </row>
    <row r="6906">
      <c r="A6906" s="146" t="s">
        <v>44465</v>
      </c>
      <c r="B6906" s="147" t="s">
        <v>44466</v>
      </c>
      <c r="C6906" s="147" t="s">
        <v>44467</v>
      </c>
      <c r="D6906" s="147" t="s">
        <v>33342</v>
      </c>
      <c r="E6906" s="148" t="s">
        <v>44468</v>
      </c>
      <c r="F6906" s="146" t="s">
        <v>12912</v>
      </c>
      <c r="G6906" s="146" t="s">
        <v>33344</v>
      </c>
      <c r="H6906" s="146"/>
      <c r="I6906" s="147"/>
      <c r="J6906" s="147" t="s">
        <v>44469</v>
      </c>
      <c r="K6906" s="147" t="s">
        <v>44470</v>
      </c>
      <c r="L6906" s="150" t="s">
        <v>44471</v>
      </c>
      <c r="M6906" s="147"/>
      <c r="N6906" s="12"/>
      <c r="O6906" s="12"/>
      <c r="P6906" s="13">
        <f>IFERROR(__xludf.DUMMYFUNCTION("VALUE(SUBSTITUTE((INDEX(SPLIT(A6906,"",""),1)),""."","","",1))"),48.325074)</f>
        <v>48.325074</v>
      </c>
      <c r="Q6906" s="13">
        <f>IFERROR(__xludf.DUMMYFUNCTION("VALUE(SUBSTITUTE((INDEX(SPLIT(A6906,"",""),2)),""."","","",1))"),40.233107)</f>
        <v>40.233107</v>
      </c>
      <c r="R6906" s="14" t="b">
        <f t="shared" si="1"/>
        <v>0</v>
      </c>
      <c r="S6906" s="14" t="str">
        <f t="shared" si="2"/>
        <v>48.325074,40.233107</v>
      </c>
      <c r="T6906" s="12"/>
    </row>
    <row r="6907">
      <c r="A6907" s="142" t="s">
        <v>44472</v>
      </c>
      <c r="B6907" s="143" t="s">
        <v>30589</v>
      </c>
      <c r="C6907" s="143" t="s">
        <v>44473</v>
      </c>
      <c r="D6907" s="143" t="s">
        <v>33342</v>
      </c>
      <c r="E6907" s="144" t="s">
        <v>44474</v>
      </c>
      <c r="F6907" s="142" t="s">
        <v>12912</v>
      </c>
      <c r="G6907" s="142" t="s">
        <v>33344</v>
      </c>
      <c r="H6907" s="142"/>
      <c r="I6907" s="143"/>
      <c r="J6907" s="143" t="s">
        <v>44475</v>
      </c>
      <c r="K6907" s="143" t="s">
        <v>44476</v>
      </c>
      <c r="L6907" s="145" t="s">
        <v>44477</v>
      </c>
      <c r="M6907" s="145" t="s">
        <v>44478</v>
      </c>
      <c r="N6907" s="12"/>
      <c r="O6907" s="12"/>
      <c r="P6907" s="13">
        <f>IFERROR(__xludf.DUMMYFUNCTION("VALUE(SUBSTITUTE((INDEX(SPLIT(A6907,"",""),1)),""."","","",1))"),48.306697)</f>
        <v>48.306697</v>
      </c>
      <c r="Q6907" s="13">
        <f>IFERROR(__xludf.DUMMYFUNCTION("VALUE(SUBSTITUTE((INDEX(SPLIT(A6907,"",""),2)),""."","","",1))"),40.242638)</f>
        <v>40.242638</v>
      </c>
      <c r="R6907" s="14" t="b">
        <f t="shared" si="1"/>
        <v>0</v>
      </c>
      <c r="S6907" s="14" t="str">
        <f t="shared" si="2"/>
        <v>48.306697,40.242638</v>
      </c>
      <c r="T6907" s="12"/>
    </row>
    <row r="6908">
      <c r="A6908" s="146" t="s">
        <v>44479</v>
      </c>
      <c r="B6908" s="147" t="s">
        <v>44480</v>
      </c>
      <c r="C6908" s="147" t="s">
        <v>44481</v>
      </c>
      <c r="D6908" s="147" t="s">
        <v>33342</v>
      </c>
      <c r="E6908" s="148" t="s">
        <v>44482</v>
      </c>
      <c r="F6908" s="146" t="s">
        <v>12912</v>
      </c>
      <c r="G6908" s="146" t="s">
        <v>33344</v>
      </c>
      <c r="H6908" s="146"/>
      <c r="I6908" s="147"/>
      <c r="J6908" s="147" t="s">
        <v>44483</v>
      </c>
      <c r="K6908" s="147" t="s">
        <v>44484</v>
      </c>
      <c r="L6908" s="150" t="s">
        <v>44485</v>
      </c>
      <c r="M6908" s="147"/>
      <c r="N6908" s="12"/>
      <c r="O6908" s="12"/>
      <c r="P6908" s="13">
        <f>IFERROR(__xludf.DUMMYFUNCTION("VALUE(SUBSTITUTE((INDEX(SPLIT(A6908,"",""),1)),""."","","",1))"),48.323133)</f>
        <v>48.323133</v>
      </c>
      <c r="Q6908" s="13">
        <f>IFERROR(__xludf.DUMMYFUNCTION("VALUE(SUBSTITUTE((INDEX(SPLIT(A6908,"",""),2)),""."","","",1))"),40.274043)</f>
        <v>40.274043</v>
      </c>
      <c r="R6908" s="14" t="b">
        <f t="shared" si="1"/>
        <v>0</v>
      </c>
      <c r="S6908" s="14" t="str">
        <f t="shared" si="2"/>
        <v>48.323133,40.274043</v>
      </c>
      <c r="T6908" s="12"/>
    </row>
    <row r="6909">
      <c r="A6909" s="142" t="s">
        <v>44486</v>
      </c>
      <c r="B6909" s="143" t="s">
        <v>44487</v>
      </c>
      <c r="C6909" s="143" t="s">
        <v>44488</v>
      </c>
      <c r="D6909" s="143" t="s">
        <v>33342</v>
      </c>
      <c r="E6909" s="144" t="s">
        <v>44489</v>
      </c>
      <c r="F6909" s="142" t="s">
        <v>12912</v>
      </c>
      <c r="G6909" s="142" t="s">
        <v>33344</v>
      </c>
      <c r="H6909" s="142"/>
      <c r="I6909" s="143"/>
      <c r="J6909" s="143" t="s">
        <v>44490</v>
      </c>
      <c r="K6909" s="143" t="s">
        <v>44491</v>
      </c>
      <c r="L6909" s="152" t="s">
        <v>44492</v>
      </c>
      <c r="M6909" s="143"/>
      <c r="N6909" s="12"/>
      <c r="O6909" s="12"/>
      <c r="P6909" s="13">
        <f>IFERROR(__xludf.DUMMYFUNCTION("VALUE(SUBSTITUTE((INDEX(SPLIT(A6909,"",""),1)),""."","","",1))"),48.300602)</f>
        <v>48.300602</v>
      </c>
      <c r="Q6909" s="13">
        <f>IFERROR(__xludf.DUMMYFUNCTION("VALUE(SUBSTITUTE((INDEX(SPLIT(A6909,"",""),2)),""."","","",1))"),40.30561)</f>
        <v>40.30561</v>
      </c>
      <c r="R6909" s="14" t="b">
        <f t="shared" si="1"/>
        <v>0</v>
      </c>
      <c r="S6909" s="14" t="str">
        <f t="shared" si="2"/>
        <v>48.300602,40.30561</v>
      </c>
      <c r="T6909" s="12"/>
    </row>
    <row r="6910">
      <c r="A6910" s="146" t="s">
        <v>44493</v>
      </c>
      <c r="B6910" s="147" t="s">
        <v>44494</v>
      </c>
      <c r="C6910" s="147" t="s">
        <v>44495</v>
      </c>
      <c r="D6910" s="147" t="s">
        <v>33342</v>
      </c>
      <c r="E6910" s="148" t="s">
        <v>44496</v>
      </c>
      <c r="F6910" s="146" t="s">
        <v>12912</v>
      </c>
      <c r="G6910" s="146" t="s">
        <v>33344</v>
      </c>
      <c r="H6910" s="146"/>
      <c r="I6910" s="147"/>
      <c r="J6910" s="147" t="s">
        <v>44497</v>
      </c>
      <c r="K6910" s="147" t="s">
        <v>44498</v>
      </c>
      <c r="L6910" s="149" t="s">
        <v>44499</v>
      </c>
      <c r="M6910" s="149" t="s">
        <v>44500</v>
      </c>
      <c r="N6910" s="12"/>
      <c r="O6910" s="12"/>
      <c r="P6910" s="13">
        <f>IFERROR(__xludf.DUMMYFUNCTION("VALUE(SUBSTITUTE((INDEX(SPLIT(A6910,"",""),1)),""."","","",1))"),46.493631)</f>
        <v>46.493631</v>
      </c>
      <c r="Q6910" s="13">
        <f>IFERROR(__xludf.DUMMYFUNCTION("VALUE(SUBSTITUTE((INDEX(SPLIT(A6910,"",""),2)),""."","","",1))"),41.522747)</f>
        <v>41.522747</v>
      </c>
      <c r="R6910" s="14" t="b">
        <f t="shared" si="1"/>
        <v>0</v>
      </c>
      <c r="S6910" s="14" t="str">
        <f t="shared" si="2"/>
        <v>46.493631,41.522747</v>
      </c>
      <c r="T6910" s="12"/>
    </row>
    <row r="6911">
      <c r="A6911" s="136" t="s">
        <v>44501</v>
      </c>
      <c r="B6911" s="137" t="s">
        <v>44502</v>
      </c>
      <c r="C6911" s="137" t="s">
        <v>44503</v>
      </c>
      <c r="D6911" s="137" t="s">
        <v>33342</v>
      </c>
      <c r="E6911" s="138" t="s">
        <v>44504</v>
      </c>
      <c r="F6911" s="136" t="s">
        <v>12912</v>
      </c>
      <c r="G6911" s="136" t="s">
        <v>33344</v>
      </c>
      <c r="H6911" s="136"/>
      <c r="I6911" s="137"/>
      <c r="J6911" s="137" t="s">
        <v>44505</v>
      </c>
      <c r="K6911" s="137" t="s">
        <v>44506</v>
      </c>
      <c r="L6911" s="137"/>
      <c r="M6911" s="137"/>
      <c r="N6911" s="12"/>
      <c r="O6911" s="12"/>
      <c r="P6911" s="13">
        <f>IFERROR(__xludf.DUMMYFUNCTION("VALUE(SUBSTITUTE((INDEX(SPLIT(A6911,"",""),1)),""."","","",1))"),46.470845)</f>
        <v>46.470845</v>
      </c>
      <c r="Q6911" s="13">
        <f>IFERROR(__xludf.DUMMYFUNCTION("VALUE(SUBSTITUTE((INDEX(SPLIT(A6911,"",""),2)),""."","","",1))"),41.560215)</f>
        <v>41.560215</v>
      </c>
      <c r="R6911" s="14" t="b">
        <f t="shared" si="1"/>
        <v>0</v>
      </c>
      <c r="S6911" s="14" t="str">
        <f t="shared" si="2"/>
        <v>46.470845,41.560215</v>
      </c>
      <c r="T6911" s="12"/>
    </row>
    <row r="6912">
      <c r="A6912" s="139" t="s">
        <v>44507</v>
      </c>
      <c r="B6912" s="140" t="s">
        <v>44508</v>
      </c>
      <c r="C6912" s="140" t="s">
        <v>44509</v>
      </c>
      <c r="D6912" s="140" t="s">
        <v>33342</v>
      </c>
      <c r="E6912" s="141" t="s">
        <v>44510</v>
      </c>
      <c r="F6912" s="139" t="s">
        <v>12912</v>
      </c>
      <c r="G6912" s="139" t="s">
        <v>33344</v>
      </c>
      <c r="H6912" s="139"/>
      <c r="I6912" s="140"/>
      <c r="J6912" s="140" t="s">
        <v>44511</v>
      </c>
      <c r="K6912" s="140" t="s">
        <v>44512</v>
      </c>
      <c r="L6912" s="140"/>
      <c r="M6912" s="140"/>
      <c r="N6912" s="12"/>
      <c r="O6912" s="12"/>
      <c r="P6912" s="13">
        <f>IFERROR(__xludf.DUMMYFUNCTION("VALUE(SUBSTITUTE((INDEX(SPLIT(A6912,"",""),1)),""."","","",1))"),47.24788)</f>
        <v>47.24788</v>
      </c>
      <c r="Q6912" s="13">
        <f>IFERROR(__xludf.DUMMYFUNCTION("VALUE(SUBSTITUTE((INDEX(SPLIT(A6912,"",""),2)),""."","","",1))"),38.877361)</f>
        <v>38.877361</v>
      </c>
      <c r="R6912" s="14" t="b">
        <f t="shared" si="1"/>
        <v>0</v>
      </c>
      <c r="S6912" s="14" t="str">
        <f t="shared" si="2"/>
        <v>47.24788,38.877361</v>
      </c>
      <c r="T6912" s="12"/>
    </row>
    <row r="6913">
      <c r="A6913" s="136" t="s">
        <v>44513</v>
      </c>
      <c r="B6913" s="137" t="s">
        <v>44514</v>
      </c>
      <c r="C6913" s="137" t="s">
        <v>44515</v>
      </c>
      <c r="D6913" s="137" t="s">
        <v>33342</v>
      </c>
      <c r="E6913" s="138" t="s">
        <v>44516</v>
      </c>
      <c r="F6913" s="136" t="s">
        <v>12912</v>
      </c>
      <c r="G6913" s="136" t="s">
        <v>33344</v>
      </c>
      <c r="H6913" s="136"/>
      <c r="I6913" s="137"/>
      <c r="J6913" s="137" t="s">
        <v>44517</v>
      </c>
      <c r="K6913" s="137" t="s">
        <v>44518</v>
      </c>
      <c r="L6913" s="137"/>
      <c r="M6913" s="153" t="s">
        <v>44519</v>
      </c>
      <c r="N6913" s="12"/>
      <c r="O6913" s="12"/>
      <c r="P6913" s="13">
        <f>IFERROR(__xludf.DUMMYFUNCTION("VALUE(SUBSTITUTE((INDEX(SPLIT(A6913,"",""),1)),""."","","",1))"),47.224422)</f>
        <v>47.224422</v>
      </c>
      <c r="Q6913" s="13">
        <f>IFERROR(__xludf.DUMMYFUNCTION("VALUE(SUBSTITUTE((INDEX(SPLIT(A6913,"",""),2)),""."","","",1))"),38.857265)</f>
        <v>38.857265</v>
      </c>
      <c r="R6913" s="14" t="b">
        <f t="shared" si="1"/>
        <v>0</v>
      </c>
      <c r="S6913" s="14" t="str">
        <f t="shared" si="2"/>
        <v>47.224422,38.857265</v>
      </c>
      <c r="T6913" s="12"/>
    </row>
    <row r="6914">
      <c r="A6914" s="146" t="s">
        <v>33068</v>
      </c>
      <c r="B6914" s="147" t="s">
        <v>44520</v>
      </c>
      <c r="C6914" s="147" t="s">
        <v>44521</v>
      </c>
      <c r="D6914" s="147" t="s">
        <v>33342</v>
      </c>
      <c r="E6914" s="148" t="s">
        <v>44522</v>
      </c>
      <c r="F6914" s="146" t="s">
        <v>12912</v>
      </c>
      <c r="G6914" s="146" t="s">
        <v>33344</v>
      </c>
      <c r="H6914" s="146"/>
      <c r="I6914" s="147"/>
      <c r="J6914" s="147" t="s">
        <v>44523</v>
      </c>
      <c r="K6914" s="147" t="s">
        <v>44524</v>
      </c>
      <c r="L6914" s="149" t="s">
        <v>44525</v>
      </c>
      <c r="M6914" s="149" t="s">
        <v>44526</v>
      </c>
      <c r="N6914" s="12"/>
      <c r="O6914" s="12"/>
      <c r="P6914" s="13">
        <f>IFERROR(__xludf.DUMMYFUNCTION("VALUE(SUBSTITUTE((INDEX(SPLIT(A6914,"",""),1)),""."","","",1))"),47.753655)</f>
        <v>47.753655</v>
      </c>
      <c r="Q6914" s="13">
        <f>IFERROR(__xludf.DUMMYFUNCTION("VALUE(SUBSTITUTE((INDEX(SPLIT(A6914,"",""),2)),""."","","",1))"),40.177151)</f>
        <v>40.177151</v>
      </c>
      <c r="R6914" s="14" t="b">
        <f t="shared" si="1"/>
        <v>0</v>
      </c>
      <c r="S6914" s="14" t="str">
        <f t="shared" si="2"/>
        <v>47.753655,40.177151</v>
      </c>
      <c r="T6914" s="12"/>
    </row>
    <row r="6915">
      <c r="A6915" s="142" t="s">
        <v>44527</v>
      </c>
      <c r="B6915" s="143" t="s">
        <v>44528</v>
      </c>
      <c r="C6915" s="143" t="s">
        <v>44529</v>
      </c>
      <c r="D6915" s="143" t="s">
        <v>33342</v>
      </c>
      <c r="E6915" s="144" t="s">
        <v>44530</v>
      </c>
      <c r="F6915" s="142" t="s">
        <v>12912</v>
      </c>
      <c r="G6915" s="142" t="s">
        <v>33344</v>
      </c>
      <c r="H6915" s="142"/>
      <c r="I6915" s="143"/>
      <c r="J6915" s="143" t="s">
        <v>44531</v>
      </c>
      <c r="K6915" s="143" t="s">
        <v>44532</v>
      </c>
      <c r="L6915" s="152" t="s">
        <v>44533</v>
      </c>
      <c r="M6915" s="143"/>
      <c r="N6915" s="12"/>
      <c r="O6915" s="12"/>
      <c r="P6915" s="13">
        <f>IFERROR(__xludf.DUMMYFUNCTION("VALUE(SUBSTITUTE((INDEX(SPLIT(A6915,"",""),1)),""."","","",1))"),47.282673)</f>
        <v>47.282673</v>
      </c>
      <c r="Q6915" s="13">
        <f>IFERROR(__xludf.DUMMYFUNCTION("VALUE(SUBSTITUTE((INDEX(SPLIT(A6915,"",""),2)),""."","","",1))"),39.499157)</f>
        <v>39.499157</v>
      </c>
      <c r="R6915" s="14" t="b">
        <f t="shared" si="1"/>
        <v>0</v>
      </c>
      <c r="S6915" s="14" t="str">
        <f t="shared" si="2"/>
        <v>47.282673,39.499157</v>
      </c>
      <c r="T6915" s="12"/>
    </row>
    <row r="6916">
      <c r="A6916" s="146" t="s">
        <v>44534</v>
      </c>
      <c r="B6916" s="147" t="s">
        <v>44535</v>
      </c>
      <c r="C6916" s="147" t="s">
        <v>44536</v>
      </c>
      <c r="D6916" s="147" t="s">
        <v>33342</v>
      </c>
      <c r="E6916" s="148" t="s">
        <v>44537</v>
      </c>
      <c r="F6916" s="146" t="s">
        <v>12912</v>
      </c>
      <c r="G6916" s="146" t="s">
        <v>33344</v>
      </c>
      <c r="H6916" s="146"/>
      <c r="I6916" s="147"/>
      <c r="J6916" s="147" t="s">
        <v>44538</v>
      </c>
      <c r="K6916" s="147" t="s">
        <v>44539</v>
      </c>
      <c r="L6916" s="150" t="s">
        <v>44540</v>
      </c>
      <c r="M6916" s="147"/>
      <c r="N6916" s="12"/>
      <c r="O6916" s="12"/>
      <c r="P6916" s="13">
        <f>IFERROR(__xludf.DUMMYFUNCTION("VALUE(SUBSTITUTE((INDEX(SPLIT(A6916,"",""),1)),""."","","",1))"),47.725381)</f>
        <v>47.725381</v>
      </c>
      <c r="Q6916" s="13">
        <f>IFERROR(__xludf.DUMMYFUNCTION("VALUE(SUBSTITUTE((INDEX(SPLIT(A6916,"",""),2)),""."","","",1))"),40.225984)</f>
        <v>40.225984</v>
      </c>
      <c r="R6916" s="14" t="b">
        <f t="shared" si="1"/>
        <v>0</v>
      </c>
      <c r="S6916" s="14" t="str">
        <f t="shared" si="2"/>
        <v>47.725381,40.225984</v>
      </c>
      <c r="T6916" s="12"/>
    </row>
    <row r="6917">
      <c r="A6917" s="142" t="s">
        <v>44541</v>
      </c>
      <c r="B6917" s="143" t="s">
        <v>44542</v>
      </c>
      <c r="C6917" s="143" t="s">
        <v>44543</v>
      </c>
      <c r="D6917" s="143" t="s">
        <v>33342</v>
      </c>
      <c r="E6917" s="144" t="s">
        <v>44544</v>
      </c>
      <c r="F6917" s="142" t="s">
        <v>12912</v>
      </c>
      <c r="G6917" s="142" t="s">
        <v>33344</v>
      </c>
      <c r="H6917" s="142"/>
      <c r="I6917" s="143"/>
      <c r="J6917" s="143" t="s">
        <v>44545</v>
      </c>
      <c r="K6917" s="143" t="s">
        <v>44546</v>
      </c>
      <c r="L6917" s="145" t="s">
        <v>44547</v>
      </c>
      <c r="M6917" s="143"/>
      <c r="N6917" s="12"/>
      <c r="O6917" s="12"/>
      <c r="P6917" s="13">
        <f>IFERROR(__xludf.DUMMYFUNCTION("VALUE(SUBSTITUTE((INDEX(SPLIT(A6917,"",""),1)),""."","","",1))"),45.057174)</f>
        <v>45.057174</v>
      </c>
      <c r="Q6917" s="13">
        <f>IFERROR(__xludf.DUMMYFUNCTION("VALUE(SUBSTITUTE((INDEX(SPLIT(A6917,"",""),2)),""."","","",1))"),41.995521)</f>
        <v>41.995521</v>
      </c>
      <c r="R6917" s="14" t="b">
        <f t="shared" si="1"/>
        <v>0</v>
      </c>
      <c r="S6917" s="14" t="str">
        <f t="shared" si="2"/>
        <v>45.057174,41.995521</v>
      </c>
      <c r="T6917" s="12"/>
    </row>
    <row r="6918">
      <c r="A6918" s="146" t="s">
        <v>44548</v>
      </c>
      <c r="B6918" s="147" t="s">
        <v>33444</v>
      </c>
      <c r="C6918" s="147" t="s">
        <v>33445</v>
      </c>
      <c r="D6918" s="147" t="s">
        <v>33342</v>
      </c>
      <c r="E6918" s="148" t="s">
        <v>44549</v>
      </c>
      <c r="F6918" s="146" t="s">
        <v>12912</v>
      </c>
      <c r="G6918" s="146" t="s">
        <v>33344</v>
      </c>
      <c r="H6918" s="146"/>
      <c r="I6918" s="147"/>
      <c r="J6918" s="147" t="s">
        <v>44550</v>
      </c>
      <c r="K6918" s="147" t="s">
        <v>44551</v>
      </c>
      <c r="L6918" s="150" t="s">
        <v>44552</v>
      </c>
      <c r="M6918" s="147"/>
      <c r="N6918" s="12"/>
      <c r="O6918" s="12"/>
      <c r="P6918" s="13">
        <f>IFERROR(__xludf.DUMMYFUNCTION("VALUE(SUBSTITUTE((INDEX(SPLIT(A6918,"",""),1)),""."","","",1))"),47.663871)</f>
        <v>47.663871</v>
      </c>
      <c r="Q6918" s="13">
        <f>IFERROR(__xludf.DUMMYFUNCTION("VALUE(SUBSTITUTE((INDEX(SPLIT(A6918,"",""),2)),""."","","",1))"),40.425526)</f>
        <v>40.425526</v>
      </c>
      <c r="R6918" s="14" t="b">
        <f t="shared" si="1"/>
        <v>0</v>
      </c>
      <c r="S6918" s="14" t="str">
        <f t="shared" si="2"/>
        <v>47.663871,40.425526</v>
      </c>
      <c r="T6918" s="12"/>
    </row>
    <row r="6919">
      <c r="A6919" s="136" t="s">
        <v>44553</v>
      </c>
      <c r="B6919" s="137" t="s">
        <v>7365</v>
      </c>
      <c r="C6919" s="137" t="s">
        <v>44554</v>
      </c>
      <c r="D6919" s="137" t="s">
        <v>33342</v>
      </c>
      <c r="E6919" s="138" t="s">
        <v>44555</v>
      </c>
      <c r="F6919" s="136" t="s">
        <v>12912</v>
      </c>
      <c r="G6919" s="136" t="s">
        <v>33344</v>
      </c>
      <c r="H6919" s="136"/>
      <c r="I6919" s="137"/>
      <c r="J6919" s="137" t="s">
        <v>44556</v>
      </c>
      <c r="K6919" s="137" t="s">
        <v>44557</v>
      </c>
      <c r="L6919" s="137"/>
      <c r="M6919" s="137"/>
      <c r="N6919" s="12"/>
      <c r="O6919" s="12"/>
      <c r="P6919" s="13">
        <f>IFERROR(__xludf.DUMMYFUNCTION("VALUE(SUBSTITUTE((INDEX(SPLIT(A6919,"",""),1)),""."","","",1))"),47.254057)</f>
        <v>47.254057</v>
      </c>
      <c r="Q6919" s="13">
        <f>IFERROR(__xludf.DUMMYFUNCTION("VALUE(SUBSTITUTE((INDEX(SPLIT(A6919,"",""),2)),""."","","",1))"),39.729242)</f>
        <v>39.729242</v>
      </c>
      <c r="R6919" s="14" t="b">
        <f t="shared" si="1"/>
        <v>0</v>
      </c>
      <c r="S6919" s="14" t="str">
        <f t="shared" si="2"/>
        <v>47.254057,39.729242</v>
      </c>
      <c r="T6919" s="12"/>
    </row>
    <row r="6920">
      <c r="A6920" s="139" t="s">
        <v>44558</v>
      </c>
      <c r="B6920" s="140" t="s">
        <v>44559</v>
      </c>
      <c r="C6920" s="140" t="s">
        <v>44560</v>
      </c>
      <c r="D6920" s="140" t="s">
        <v>33342</v>
      </c>
      <c r="E6920" s="141" t="s">
        <v>44561</v>
      </c>
      <c r="F6920" s="139" t="s">
        <v>12912</v>
      </c>
      <c r="G6920" s="139" t="s">
        <v>33344</v>
      </c>
      <c r="H6920" s="139"/>
      <c r="I6920" s="140"/>
      <c r="J6920" s="140" t="s">
        <v>44562</v>
      </c>
      <c r="K6920" s="140" t="s">
        <v>44563</v>
      </c>
      <c r="L6920" s="140"/>
      <c r="M6920" s="140"/>
      <c r="N6920" s="12"/>
      <c r="O6920" s="12"/>
      <c r="P6920" s="13">
        <f>IFERROR(__xludf.DUMMYFUNCTION("VALUE(SUBSTITUTE((INDEX(SPLIT(A6920,"",""),1)),""."","","",1))"),47.218522)</f>
        <v>47.218522</v>
      </c>
      <c r="Q6920" s="13">
        <f>IFERROR(__xludf.DUMMYFUNCTION("VALUE(SUBSTITUTE((INDEX(SPLIT(A6920,"",""),2)),""."","","",1))"),38.850627)</f>
        <v>38.850627</v>
      </c>
      <c r="R6920" s="14" t="b">
        <f t="shared" si="1"/>
        <v>0</v>
      </c>
      <c r="S6920" s="14" t="str">
        <f t="shared" si="2"/>
        <v>47.218522,38.850627</v>
      </c>
      <c r="T6920" s="12"/>
    </row>
    <row r="6921">
      <c r="A6921" s="136" t="s">
        <v>44564</v>
      </c>
      <c r="B6921" s="137" t="s">
        <v>44565</v>
      </c>
      <c r="C6921" s="137" t="s">
        <v>44566</v>
      </c>
      <c r="D6921" s="137" t="s">
        <v>33342</v>
      </c>
      <c r="E6921" s="138" t="s">
        <v>44567</v>
      </c>
      <c r="F6921" s="136" t="s">
        <v>12912</v>
      </c>
      <c r="G6921" s="136" t="s">
        <v>33344</v>
      </c>
      <c r="H6921" s="136"/>
      <c r="I6921" s="137"/>
      <c r="J6921" s="137" t="s">
        <v>44568</v>
      </c>
      <c r="K6921" s="137" t="s">
        <v>44569</v>
      </c>
      <c r="L6921" s="137"/>
      <c r="M6921" s="137"/>
      <c r="N6921" s="12"/>
      <c r="O6921" s="12"/>
      <c r="P6921" s="13">
        <f>IFERROR(__xludf.DUMMYFUNCTION("VALUE(SUBSTITUTE((INDEX(SPLIT(A6921,"",""),1)),""."","","",1))"),47.227837)</f>
        <v>47.227837</v>
      </c>
      <c r="Q6921" s="13">
        <f>IFERROR(__xludf.DUMMYFUNCTION("VALUE(SUBSTITUTE((INDEX(SPLIT(A6921,"",""),2)),""."","","",1))"),39.720663)</f>
        <v>39.720663</v>
      </c>
      <c r="R6921" s="14" t="b">
        <f t="shared" si="1"/>
        <v>0</v>
      </c>
      <c r="S6921" s="14" t="str">
        <f t="shared" si="2"/>
        <v>47.227837,39.720663</v>
      </c>
      <c r="T6921" s="12"/>
    </row>
    <row r="6922">
      <c r="A6922" s="146" t="s">
        <v>44570</v>
      </c>
      <c r="B6922" s="147" t="s">
        <v>44571</v>
      </c>
      <c r="C6922" s="147" t="s">
        <v>44572</v>
      </c>
      <c r="D6922" s="147" t="s">
        <v>33342</v>
      </c>
      <c r="E6922" s="148" t="s">
        <v>44573</v>
      </c>
      <c r="F6922" s="146" t="s">
        <v>12912</v>
      </c>
      <c r="G6922" s="146" t="s">
        <v>33344</v>
      </c>
      <c r="H6922" s="146"/>
      <c r="I6922" s="147"/>
      <c r="J6922" s="147" t="s">
        <v>44574</v>
      </c>
      <c r="K6922" s="147" t="s">
        <v>44575</v>
      </c>
      <c r="L6922" s="149" t="s">
        <v>44576</v>
      </c>
      <c r="M6922" s="149" t="s">
        <v>44577</v>
      </c>
      <c r="N6922" s="12"/>
      <c r="O6922" s="12"/>
      <c r="P6922" s="13">
        <f>IFERROR(__xludf.DUMMYFUNCTION("VALUE(SUBSTITUTE((INDEX(SPLIT(A6922,"",""),1)),""."","","",1))"),47.219703)</f>
        <v>47.219703</v>
      </c>
      <c r="Q6922" s="13">
        <f>IFERROR(__xludf.DUMMYFUNCTION("VALUE(SUBSTITUTE((INDEX(SPLIT(A6922,"",""),2)),""."","","",1))"),39.710773)</f>
        <v>39.710773</v>
      </c>
      <c r="R6922" s="14" t="b">
        <f t="shared" si="1"/>
        <v>0</v>
      </c>
      <c r="S6922" s="14" t="str">
        <f t="shared" si="2"/>
        <v>47.219703,39.710773</v>
      </c>
      <c r="T6922" s="12"/>
    </row>
    <row r="6923">
      <c r="A6923" s="136" t="s">
        <v>44578</v>
      </c>
      <c r="B6923" s="137" t="s">
        <v>44579</v>
      </c>
      <c r="C6923" s="137" t="s">
        <v>44580</v>
      </c>
      <c r="D6923" s="137" t="s">
        <v>33342</v>
      </c>
      <c r="E6923" s="138" t="s">
        <v>44581</v>
      </c>
      <c r="F6923" s="136" t="s">
        <v>12912</v>
      </c>
      <c r="G6923" s="136" t="s">
        <v>33344</v>
      </c>
      <c r="H6923" s="136"/>
      <c r="I6923" s="137"/>
      <c r="J6923" s="137" t="s">
        <v>44582</v>
      </c>
      <c r="K6923" s="137" t="s">
        <v>44583</v>
      </c>
      <c r="L6923" s="137"/>
      <c r="M6923" s="137"/>
      <c r="N6923" s="12"/>
      <c r="O6923" s="12"/>
      <c r="P6923" s="13">
        <f>IFERROR(__xludf.DUMMYFUNCTION("VALUE(SUBSTITUTE((INDEX(SPLIT(A6923,"",""),1)),""."","","",1))"),47.205545)</f>
        <v>47.205545</v>
      </c>
      <c r="Q6923" s="13">
        <f>IFERROR(__xludf.DUMMYFUNCTION("VALUE(SUBSTITUTE((INDEX(SPLIT(A6923,"",""),2)),""."","","",1))"),39.71009)</f>
        <v>39.71009</v>
      </c>
      <c r="R6923" s="14" t="b">
        <f t="shared" si="1"/>
        <v>0</v>
      </c>
      <c r="S6923" s="14" t="str">
        <f t="shared" si="2"/>
        <v>47.205545,39.71009</v>
      </c>
      <c r="T6923" s="12"/>
    </row>
    <row r="6924">
      <c r="A6924" s="146" t="s">
        <v>44584</v>
      </c>
      <c r="B6924" s="147" t="s">
        <v>44585</v>
      </c>
      <c r="C6924" s="147" t="s">
        <v>44586</v>
      </c>
      <c r="D6924" s="147" t="s">
        <v>33342</v>
      </c>
      <c r="E6924" s="148" t="s">
        <v>44587</v>
      </c>
      <c r="F6924" s="146" t="s">
        <v>12912</v>
      </c>
      <c r="G6924" s="146" t="s">
        <v>33344</v>
      </c>
      <c r="H6924" s="146"/>
      <c r="I6924" s="147"/>
      <c r="J6924" s="147" t="s">
        <v>44588</v>
      </c>
      <c r="K6924" s="147" t="s">
        <v>44589</v>
      </c>
      <c r="L6924" s="149" t="s">
        <v>44590</v>
      </c>
      <c r="M6924" s="149" t="s">
        <v>44591</v>
      </c>
      <c r="N6924" s="12"/>
      <c r="O6924" s="12"/>
      <c r="P6924" s="13">
        <f>IFERROR(__xludf.DUMMYFUNCTION("VALUE(SUBSTITUTE((INDEX(SPLIT(A6924,"",""),1)),""."","","",1))"),47.218381)</f>
        <v>47.218381</v>
      </c>
      <c r="Q6924" s="13">
        <f>IFERROR(__xludf.DUMMYFUNCTION("VALUE(SUBSTITUTE((INDEX(SPLIT(A6924,"",""),2)),""."","","",1))"),39.703523)</f>
        <v>39.703523</v>
      </c>
      <c r="R6924" s="14" t="b">
        <f t="shared" si="1"/>
        <v>0</v>
      </c>
      <c r="S6924" s="14" t="str">
        <f t="shared" si="2"/>
        <v>47.218381,39.703523</v>
      </c>
      <c r="T6924" s="12"/>
    </row>
    <row r="6925">
      <c r="A6925" s="136" t="s">
        <v>44592</v>
      </c>
      <c r="B6925" s="137" t="s">
        <v>44593</v>
      </c>
      <c r="C6925" s="137" t="s">
        <v>44594</v>
      </c>
      <c r="D6925" s="137" t="s">
        <v>33342</v>
      </c>
      <c r="E6925" s="138" t="s">
        <v>44595</v>
      </c>
      <c r="F6925" s="136" t="s">
        <v>12912</v>
      </c>
      <c r="G6925" s="136" t="s">
        <v>33344</v>
      </c>
      <c r="H6925" s="136"/>
      <c r="I6925" s="137"/>
      <c r="J6925" s="137" t="s">
        <v>44596</v>
      </c>
      <c r="K6925" s="137" t="s">
        <v>44597</v>
      </c>
      <c r="L6925" s="137"/>
      <c r="M6925" s="137"/>
      <c r="N6925" s="12"/>
      <c r="O6925" s="12"/>
      <c r="P6925" s="13">
        <f>IFERROR(__xludf.DUMMYFUNCTION("VALUE(SUBSTITUTE((INDEX(SPLIT(A6925,"",""),1)),""."","","",1))"),47.269132)</f>
        <v>47.269132</v>
      </c>
      <c r="Q6925" s="13">
        <f>IFERROR(__xludf.DUMMYFUNCTION("VALUE(SUBSTITUTE((INDEX(SPLIT(A6925,"",""),2)),""."","","",1))"),39.685449)</f>
        <v>39.685449</v>
      </c>
      <c r="R6925" s="14" t="b">
        <f t="shared" si="1"/>
        <v>0</v>
      </c>
      <c r="S6925" s="14" t="str">
        <f t="shared" si="2"/>
        <v>47.269132,39.685449</v>
      </c>
      <c r="T6925" s="12"/>
    </row>
    <row r="6926">
      <c r="A6926" s="139" t="s">
        <v>44598</v>
      </c>
      <c r="B6926" s="140" t="s">
        <v>44599</v>
      </c>
      <c r="C6926" s="140" t="s">
        <v>44600</v>
      </c>
      <c r="D6926" s="140" t="s">
        <v>33342</v>
      </c>
      <c r="E6926" s="141" t="s">
        <v>44601</v>
      </c>
      <c r="F6926" s="139" t="s">
        <v>12912</v>
      </c>
      <c r="G6926" s="139" t="s">
        <v>33344</v>
      </c>
      <c r="H6926" s="139"/>
      <c r="I6926" s="140"/>
      <c r="J6926" s="140" t="s">
        <v>44602</v>
      </c>
      <c r="K6926" s="140" t="s">
        <v>44603</v>
      </c>
      <c r="L6926" s="140"/>
      <c r="M6926" s="154" t="s">
        <v>44604</v>
      </c>
      <c r="N6926" s="12"/>
      <c r="O6926" s="12"/>
      <c r="P6926" s="13">
        <f>IFERROR(__xludf.DUMMYFUNCTION("VALUE(SUBSTITUTE((INDEX(SPLIT(A6926,"",""),1)),""."","","",1))"),47.275221)</f>
        <v>47.275221</v>
      </c>
      <c r="Q6926" s="13">
        <f>IFERROR(__xludf.DUMMYFUNCTION("VALUE(SUBSTITUTE((INDEX(SPLIT(A6926,"",""),2)),""."","","",1))"),39.660395)</f>
        <v>39.660395</v>
      </c>
      <c r="R6926" s="14" t="b">
        <f t="shared" si="1"/>
        <v>0</v>
      </c>
      <c r="S6926" s="14" t="str">
        <f t="shared" si="2"/>
        <v>47.275221,39.660395</v>
      </c>
      <c r="T6926" s="12"/>
    </row>
    <row r="6927">
      <c r="A6927" s="142" t="s">
        <v>44605</v>
      </c>
      <c r="B6927" s="143" t="s">
        <v>44606</v>
      </c>
      <c r="C6927" s="143" t="s">
        <v>44607</v>
      </c>
      <c r="D6927" s="143" t="s">
        <v>33342</v>
      </c>
      <c r="E6927" s="144" t="s">
        <v>44608</v>
      </c>
      <c r="F6927" s="142" t="s">
        <v>12912</v>
      </c>
      <c r="G6927" s="142" t="s">
        <v>33344</v>
      </c>
      <c r="H6927" s="142"/>
      <c r="I6927" s="155" t="s">
        <v>44609</v>
      </c>
      <c r="J6927" s="143" t="s">
        <v>44610</v>
      </c>
      <c r="K6927" s="143" t="s">
        <v>44611</v>
      </c>
      <c r="L6927" s="152" t="s">
        <v>44612</v>
      </c>
      <c r="M6927" s="143"/>
      <c r="N6927" s="12"/>
      <c r="O6927" s="12"/>
      <c r="P6927" s="13">
        <f>IFERROR(__xludf.DUMMYFUNCTION("VALUE(SUBSTITUTE((INDEX(SPLIT(A6927,"",""),1)),""."","","",1))"),47.264014)</f>
        <v>47.264014</v>
      </c>
      <c r="Q6927" s="13">
        <f>IFERROR(__xludf.DUMMYFUNCTION("VALUE(SUBSTITUTE((INDEX(SPLIT(A6927,"",""),2)),""."","","",1))"),39.775137)</f>
        <v>39.775137</v>
      </c>
      <c r="R6927" s="14" t="b">
        <f t="shared" si="1"/>
        <v>0</v>
      </c>
      <c r="S6927" s="14" t="str">
        <f t="shared" si="2"/>
        <v>47.264014,39.775137</v>
      </c>
      <c r="T6927" s="12"/>
    </row>
    <row r="6928">
      <c r="A6928" s="139" t="s">
        <v>44613</v>
      </c>
      <c r="B6928" s="140" t="s">
        <v>44614</v>
      </c>
      <c r="C6928" s="140" t="s">
        <v>44615</v>
      </c>
      <c r="D6928" s="140" t="s">
        <v>33342</v>
      </c>
      <c r="E6928" s="141" t="s">
        <v>44616</v>
      </c>
      <c r="F6928" s="139" t="s">
        <v>12912</v>
      </c>
      <c r="G6928" s="139" t="s">
        <v>33344</v>
      </c>
      <c r="H6928" s="139"/>
      <c r="I6928" s="140"/>
      <c r="J6928" s="140" t="s">
        <v>44617</v>
      </c>
      <c r="K6928" s="140" t="s">
        <v>44618</v>
      </c>
      <c r="L6928" s="140"/>
      <c r="M6928" s="154" t="s">
        <v>44619</v>
      </c>
      <c r="N6928" s="12"/>
      <c r="O6928" s="12"/>
      <c r="P6928" s="13">
        <f>IFERROR(__xludf.DUMMYFUNCTION("VALUE(SUBSTITUTE((INDEX(SPLIT(A6928,"",""),1)),""."","","",1))"),47.244417)</f>
        <v>47.244417</v>
      </c>
      <c r="Q6928" s="13">
        <f>IFERROR(__xludf.DUMMYFUNCTION("VALUE(SUBSTITUTE((INDEX(SPLIT(A6928,"",""),2)),""."","","",1))"),39.757072)</f>
        <v>39.757072</v>
      </c>
      <c r="R6928" s="14" t="b">
        <f t="shared" si="1"/>
        <v>0</v>
      </c>
      <c r="S6928" s="14" t="str">
        <f t="shared" si="2"/>
        <v>47.244417,39.757072</v>
      </c>
      <c r="T6928" s="12"/>
    </row>
    <row r="6929">
      <c r="A6929" s="142" t="s">
        <v>44620</v>
      </c>
      <c r="B6929" s="143" t="s">
        <v>15324</v>
      </c>
      <c r="C6929" s="143" t="s">
        <v>44621</v>
      </c>
      <c r="D6929" s="143" t="s">
        <v>33342</v>
      </c>
      <c r="E6929" s="144" t="s">
        <v>44622</v>
      </c>
      <c r="F6929" s="142" t="s">
        <v>12912</v>
      </c>
      <c r="G6929" s="142" t="s">
        <v>33344</v>
      </c>
      <c r="H6929" s="142"/>
      <c r="I6929" s="143"/>
      <c r="J6929" s="143" t="s">
        <v>44623</v>
      </c>
      <c r="K6929" s="143" t="s">
        <v>44624</v>
      </c>
      <c r="L6929" s="152" t="s">
        <v>44625</v>
      </c>
      <c r="M6929" s="143"/>
      <c r="N6929" s="12"/>
      <c r="O6929" s="12"/>
      <c r="P6929" s="13">
        <f>IFERROR(__xludf.DUMMYFUNCTION("VALUE(SUBSTITUTE((INDEX(SPLIT(A6929,"",""),1)),""."","","",1))"),47.28172)</f>
        <v>47.28172</v>
      </c>
      <c r="Q6929" s="13">
        <f>IFERROR(__xludf.DUMMYFUNCTION("VALUE(SUBSTITUTE((INDEX(SPLIT(A6929,"",""),2)),""."","","",1))"),39.763225)</f>
        <v>39.763225</v>
      </c>
      <c r="R6929" s="14" t="b">
        <f t="shared" si="1"/>
        <v>0</v>
      </c>
      <c r="S6929" s="14" t="str">
        <f t="shared" si="2"/>
        <v>47.28172,39.763225</v>
      </c>
      <c r="T6929" s="12"/>
    </row>
    <row r="6930">
      <c r="A6930" s="139" t="s">
        <v>44626</v>
      </c>
      <c r="B6930" s="140" t="s">
        <v>44627</v>
      </c>
      <c r="C6930" s="140" t="s">
        <v>44628</v>
      </c>
      <c r="D6930" s="140" t="s">
        <v>33342</v>
      </c>
      <c r="E6930" s="141" t="s">
        <v>44629</v>
      </c>
      <c r="F6930" s="139" t="s">
        <v>12912</v>
      </c>
      <c r="G6930" s="139" t="s">
        <v>33344</v>
      </c>
      <c r="H6930" s="139"/>
      <c r="I6930" s="140"/>
      <c r="J6930" s="140" t="s">
        <v>44630</v>
      </c>
      <c r="K6930" s="140" t="s">
        <v>44611</v>
      </c>
      <c r="L6930" s="140"/>
      <c r="M6930" s="140"/>
      <c r="N6930" s="12"/>
      <c r="O6930" s="12"/>
      <c r="P6930" s="13">
        <f>IFERROR(__xludf.DUMMYFUNCTION("VALUE(SUBSTITUTE((INDEX(SPLIT(A6930,"",""),1)),""."","","",1))"),47.265004)</f>
        <v>47.265004</v>
      </c>
      <c r="Q6930" s="13">
        <f>IFERROR(__xludf.DUMMYFUNCTION("VALUE(SUBSTITUTE((INDEX(SPLIT(A6930,"",""),2)),""."","","",1))"),39.774355)</f>
        <v>39.774355</v>
      </c>
      <c r="R6930" s="14" t="b">
        <f t="shared" si="1"/>
        <v>0</v>
      </c>
      <c r="S6930" s="14" t="str">
        <f t="shared" si="2"/>
        <v>47.265004,39.774355</v>
      </c>
      <c r="T6930" s="12"/>
    </row>
    <row r="6931">
      <c r="A6931" s="136" t="s">
        <v>44631</v>
      </c>
      <c r="B6931" s="137" t="s">
        <v>44632</v>
      </c>
      <c r="C6931" s="137" t="s">
        <v>44633</v>
      </c>
      <c r="D6931" s="137" t="s">
        <v>33342</v>
      </c>
      <c r="E6931" s="138" t="s">
        <v>44634</v>
      </c>
      <c r="F6931" s="136" t="s">
        <v>12912</v>
      </c>
      <c r="G6931" s="136" t="s">
        <v>33344</v>
      </c>
      <c r="H6931" s="136"/>
      <c r="I6931" s="137"/>
      <c r="J6931" s="137" t="s">
        <v>44635</v>
      </c>
      <c r="K6931" s="137" t="s">
        <v>44636</v>
      </c>
      <c r="L6931" s="137"/>
      <c r="M6931" s="153" t="s">
        <v>44637</v>
      </c>
      <c r="N6931" s="12"/>
      <c r="O6931" s="12"/>
      <c r="P6931" s="13">
        <f>IFERROR(__xludf.DUMMYFUNCTION("VALUE(SUBSTITUTE((INDEX(SPLIT(A6931,"",""),1)),""."","","",1))"),47.298864)</f>
        <v>47.298864</v>
      </c>
      <c r="Q6931" s="13">
        <f>IFERROR(__xludf.DUMMYFUNCTION("VALUE(SUBSTITUTE((INDEX(SPLIT(A6931,"",""),2)),""."","","",1))"),39.771023)</f>
        <v>39.771023</v>
      </c>
      <c r="R6931" s="14" t="b">
        <f t="shared" si="1"/>
        <v>0</v>
      </c>
      <c r="S6931" s="14" t="str">
        <f t="shared" si="2"/>
        <v>47.298864,39.771023</v>
      </c>
      <c r="T6931" s="12"/>
    </row>
    <row r="6932">
      <c r="A6932" s="139" t="s">
        <v>44638</v>
      </c>
      <c r="B6932" s="140" t="s">
        <v>44639</v>
      </c>
      <c r="C6932" s="140" t="s">
        <v>44640</v>
      </c>
      <c r="D6932" s="140" t="s">
        <v>33342</v>
      </c>
      <c r="E6932" s="141" t="s">
        <v>44641</v>
      </c>
      <c r="F6932" s="139" t="s">
        <v>12912</v>
      </c>
      <c r="G6932" s="139" t="s">
        <v>33344</v>
      </c>
      <c r="H6932" s="139"/>
      <c r="I6932" s="140"/>
      <c r="J6932" s="140" t="s">
        <v>44642</v>
      </c>
      <c r="K6932" s="140" t="s">
        <v>44643</v>
      </c>
      <c r="L6932" s="140"/>
      <c r="M6932" s="140"/>
      <c r="N6932" s="12"/>
      <c r="O6932" s="12"/>
      <c r="P6932" s="13">
        <f>IFERROR(__xludf.DUMMYFUNCTION("VALUE(SUBSTITUTE((INDEX(SPLIT(A6932,"",""),1)),""."","","",1))"),47.242417)</f>
        <v>47.242417</v>
      </c>
      <c r="Q6932" s="13">
        <f>IFERROR(__xludf.DUMMYFUNCTION("VALUE(SUBSTITUTE((INDEX(SPLIT(A6932,"",""),2)),""."","","",1))"),39.834848)</f>
        <v>39.834848</v>
      </c>
      <c r="R6932" s="14" t="b">
        <f t="shared" si="1"/>
        <v>0</v>
      </c>
      <c r="S6932" s="14" t="str">
        <f t="shared" si="2"/>
        <v>47.242417,39.834848</v>
      </c>
      <c r="T6932" s="12"/>
    </row>
    <row r="6933">
      <c r="A6933" s="142" t="s">
        <v>44644</v>
      </c>
      <c r="B6933" s="143" t="s">
        <v>44645</v>
      </c>
      <c r="C6933" s="143" t="s">
        <v>44646</v>
      </c>
      <c r="D6933" s="143" t="s">
        <v>33342</v>
      </c>
      <c r="E6933" s="144" t="s">
        <v>44647</v>
      </c>
      <c r="F6933" s="142" t="s">
        <v>12912</v>
      </c>
      <c r="G6933" s="142" t="s">
        <v>33344</v>
      </c>
      <c r="H6933" s="142"/>
      <c r="I6933" s="143"/>
      <c r="J6933" s="143" t="s">
        <v>44648</v>
      </c>
      <c r="K6933" s="143" t="s">
        <v>44649</v>
      </c>
      <c r="L6933" s="152" t="s">
        <v>44650</v>
      </c>
      <c r="M6933" s="143"/>
      <c r="N6933" s="12"/>
      <c r="O6933" s="12"/>
      <c r="P6933" s="13">
        <f>IFERROR(__xludf.DUMMYFUNCTION("VALUE(SUBSTITUTE((INDEX(SPLIT(A6933,"",""),1)),""."","","",1))"),47.220315)</f>
        <v>47.220315</v>
      </c>
      <c r="Q6933" s="13">
        <f>IFERROR(__xludf.DUMMYFUNCTION("VALUE(SUBSTITUTE((INDEX(SPLIT(A6933,"",""),2)),""."","","",1))"),39.717842)</f>
        <v>39.717842</v>
      </c>
      <c r="R6933" s="14" t="b">
        <f t="shared" si="1"/>
        <v>0</v>
      </c>
      <c r="S6933" s="14" t="str">
        <f t="shared" si="2"/>
        <v>47.220315,39.717842</v>
      </c>
      <c r="T6933" s="12"/>
    </row>
    <row r="6934">
      <c r="A6934" s="139" t="s">
        <v>44651</v>
      </c>
      <c r="B6934" s="140" t="s">
        <v>44652</v>
      </c>
      <c r="C6934" s="140" t="s">
        <v>44653</v>
      </c>
      <c r="D6934" s="140" t="s">
        <v>33342</v>
      </c>
      <c r="E6934" s="141" t="s">
        <v>44654</v>
      </c>
      <c r="F6934" s="139" t="s">
        <v>12912</v>
      </c>
      <c r="G6934" s="139" t="s">
        <v>33344</v>
      </c>
      <c r="H6934" s="139"/>
      <c r="I6934" s="140"/>
      <c r="J6934" s="140" t="s">
        <v>44655</v>
      </c>
      <c r="K6934" s="140" t="s">
        <v>44656</v>
      </c>
      <c r="L6934" s="140"/>
      <c r="M6934" s="140"/>
      <c r="N6934" s="12"/>
      <c r="O6934" s="12"/>
      <c r="P6934" s="13">
        <f>IFERROR(__xludf.DUMMYFUNCTION("VALUE(SUBSTITUTE((INDEX(SPLIT(A6934,"",""),1)),""."","","",1))"),47.226729)</f>
        <v>47.226729</v>
      </c>
      <c r="Q6934" s="13">
        <f>IFERROR(__xludf.DUMMYFUNCTION("VALUE(SUBSTITUTE((INDEX(SPLIT(A6934,"",""),2)),""."","","",1))"),39.598124)</f>
        <v>39.598124</v>
      </c>
      <c r="R6934" s="14" t="b">
        <f t="shared" si="1"/>
        <v>0</v>
      </c>
      <c r="S6934" s="14" t="str">
        <f t="shared" si="2"/>
        <v>47.226729,39.598124</v>
      </c>
      <c r="T6934" s="12"/>
    </row>
    <row r="6935">
      <c r="A6935" s="136" t="s">
        <v>44657</v>
      </c>
      <c r="B6935" s="137" t="s">
        <v>44658</v>
      </c>
      <c r="C6935" s="137" t="s">
        <v>44659</v>
      </c>
      <c r="D6935" s="137" t="s">
        <v>33342</v>
      </c>
      <c r="E6935" s="138" t="s">
        <v>44660</v>
      </c>
      <c r="F6935" s="136" t="s">
        <v>12912</v>
      </c>
      <c r="G6935" s="136" t="s">
        <v>33344</v>
      </c>
      <c r="H6935" s="136"/>
      <c r="I6935" s="137"/>
      <c r="J6935" s="137" t="s">
        <v>44661</v>
      </c>
      <c r="K6935" s="137" t="s">
        <v>44539</v>
      </c>
      <c r="L6935" s="137"/>
      <c r="M6935" s="137"/>
      <c r="N6935" s="12"/>
      <c r="O6935" s="12"/>
      <c r="P6935" s="13">
        <f>IFERROR(__xludf.DUMMYFUNCTION("VALUE(SUBSTITUTE((INDEX(SPLIT(A6935,"",""),1)),""."","","",1))"),47.208857)</f>
        <v>47.208857</v>
      </c>
      <c r="Q6935" s="13">
        <f>IFERROR(__xludf.DUMMYFUNCTION("VALUE(SUBSTITUTE((INDEX(SPLIT(A6935,"",""),2)),""."","","",1))"),39.637722)</f>
        <v>39.637722</v>
      </c>
      <c r="R6935" s="14" t="b">
        <f t="shared" si="1"/>
        <v>0</v>
      </c>
      <c r="S6935" s="14" t="str">
        <f t="shared" si="2"/>
        <v>47.208857,39.637722</v>
      </c>
      <c r="T6935" s="12"/>
    </row>
    <row r="6936">
      <c r="A6936" s="139" t="s">
        <v>44662</v>
      </c>
      <c r="B6936" s="140" t="s">
        <v>44663</v>
      </c>
      <c r="C6936" s="140" t="s">
        <v>44664</v>
      </c>
      <c r="D6936" s="140" t="s">
        <v>33342</v>
      </c>
      <c r="E6936" s="141" t="s">
        <v>44665</v>
      </c>
      <c r="F6936" s="139" t="s">
        <v>12912</v>
      </c>
      <c r="G6936" s="139" t="s">
        <v>33344</v>
      </c>
      <c r="H6936" s="139"/>
      <c r="I6936" s="140"/>
      <c r="J6936" s="140" t="s">
        <v>44666</v>
      </c>
      <c r="K6936" s="140" t="s">
        <v>44667</v>
      </c>
      <c r="L6936" s="140"/>
      <c r="M6936" s="140"/>
      <c r="N6936" s="12"/>
      <c r="O6936" s="12"/>
      <c r="P6936" s="13">
        <f>IFERROR(__xludf.DUMMYFUNCTION("VALUE(SUBSTITUTE((INDEX(SPLIT(A6936,"",""),1)),""."","","",1))"),47.197458)</f>
        <v>47.197458</v>
      </c>
      <c r="Q6936" s="13">
        <f>IFERROR(__xludf.DUMMYFUNCTION("VALUE(SUBSTITUTE((INDEX(SPLIT(A6936,"",""),2)),""."","","",1))"),39.612174)</f>
        <v>39.612174</v>
      </c>
      <c r="R6936" s="14" t="b">
        <f t="shared" si="1"/>
        <v>0</v>
      </c>
      <c r="S6936" s="14" t="str">
        <f t="shared" si="2"/>
        <v>47.197458,39.612174</v>
      </c>
      <c r="T6936" s="12"/>
    </row>
    <row r="6937">
      <c r="A6937" s="136" t="s">
        <v>16187</v>
      </c>
      <c r="B6937" s="137" t="s">
        <v>44668</v>
      </c>
      <c r="C6937" s="137" t="s">
        <v>44669</v>
      </c>
      <c r="D6937" s="137" t="s">
        <v>33342</v>
      </c>
      <c r="E6937" s="138" t="s">
        <v>44670</v>
      </c>
      <c r="F6937" s="136" t="s">
        <v>13359</v>
      </c>
      <c r="G6937" s="136" t="s">
        <v>33344</v>
      </c>
      <c r="H6937" s="136"/>
      <c r="I6937" s="137"/>
      <c r="J6937" s="137" t="s">
        <v>44671</v>
      </c>
      <c r="K6937" s="137" t="s">
        <v>16190</v>
      </c>
      <c r="L6937" s="137"/>
      <c r="M6937" s="137"/>
      <c r="N6937" s="12"/>
      <c r="O6937" s="12"/>
      <c r="P6937" s="13">
        <f>IFERROR(__xludf.DUMMYFUNCTION("VALUE(SUBSTITUTE((INDEX(SPLIT(A6937,"",""),1)),""."","","",1))"),54.95446)</f>
        <v>54.95446</v>
      </c>
      <c r="Q6937" s="13">
        <f>IFERROR(__xludf.DUMMYFUNCTION("VALUE(SUBSTITUTE((INDEX(SPLIT(A6937,"",""),2)),""."","","",1))"),41.379717)</f>
        <v>41.379717</v>
      </c>
      <c r="R6937" s="14" t="b">
        <f t="shared" si="1"/>
        <v>0</v>
      </c>
      <c r="S6937" s="14" t="str">
        <f t="shared" si="2"/>
        <v>54.95446,41.379717</v>
      </c>
      <c r="T6937" s="12"/>
    </row>
    <row r="6938">
      <c r="A6938" s="146" t="s">
        <v>44672</v>
      </c>
      <c r="B6938" s="147" t="s">
        <v>11944</v>
      </c>
      <c r="C6938" s="147" t="s">
        <v>44673</v>
      </c>
      <c r="D6938" s="147" t="s">
        <v>33342</v>
      </c>
      <c r="E6938" s="148" t="s">
        <v>44674</v>
      </c>
      <c r="F6938" s="146" t="s">
        <v>13359</v>
      </c>
      <c r="G6938" s="146" t="s">
        <v>33344</v>
      </c>
      <c r="H6938" s="146"/>
      <c r="I6938" s="147"/>
      <c r="J6938" s="147" t="s">
        <v>44675</v>
      </c>
      <c r="K6938" s="147" t="s">
        <v>44676</v>
      </c>
      <c r="L6938" s="149" t="s">
        <v>44677</v>
      </c>
      <c r="M6938" s="149" t="s">
        <v>44678</v>
      </c>
      <c r="N6938" s="12"/>
      <c r="O6938" s="12"/>
      <c r="P6938" s="13">
        <f>IFERROR(__xludf.DUMMYFUNCTION("VALUE(SUBSTITUTE((INDEX(SPLIT(A6938,"",""),1)),""."","","",1))"),54.577665)</f>
        <v>54.577665</v>
      </c>
      <c r="Q6938" s="13">
        <f>IFERROR(__xludf.DUMMYFUNCTION("VALUE(SUBSTITUTE((INDEX(SPLIT(A6938,"",""),2)),""."","","",1))"),39.747316)</f>
        <v>39.747316</v>
      </c>
      <c r="R6938" s="14" t="b">
        <f t="shared" si="1"/>
        <v>0</v>
      </c>
      <c r="S6938" s="14" t="str">
        <f t="shared" si="2"/>
        <v>54.577665,39.747316</v>
      </c>
      <c r="T6938" s="12"/>
    </row>
    <row r="6939">
      <c r="A6939" s="142" t="s">
        <v>44679</v>
      </c>
      <c r="B6939" s="143" t="s">
        <v>44680</v>
      </c>
      <c r="C6939" s="143" t="s">
        <v>44681</v>
      </c>
      <c r="D6939" s="143" t="s">
        <v>33342</v>
      </c>
      <c r="E6939" s="144" t="s">
        <v>44682</v>
      </c>
      <c r="F6939" s="142" t="s">
        <v>13359</v>
      </c>
      <c r="G6939" s="142" t="s">
        <v>33344</v>
      </c>
      <c r="H6939" s="142"/>
      <c r="I6939" s="143"/>
      <c r="J6939" s="143" t="s">
        <v>44683</v>
      </c>
      <c r="K6939" s="143" t="s">
        <v>44684</v>
      </c>
      <c r="L6939" s="152" t="s">
        <v>44685</v>
      </c>
      <c r="M6939" s="143"/>
      <c r="N6939" s="12"/>
      <c r="O6939" s="12"/>
      <c r="P6939" s="13">
        <f>IFERROR(__xludf.DUMMYFUNCTION("VALUE(SUBSTITUTE((INDEX(SPLIT(A6939,"",""),1)),""."","","",1))"),54.588069)</f>
        <v>54.588069</v>
      </c>
      <c r="Q6939" s="13">
        <f>IFERROR(__xludf.DUMMYFUNCTION("VALUE(SUBSTITUTE((INDEX(SPLIT(A6939,"",""),2)),""."","","",1))"),39.780482)</f>
        <v>39.780482</v>
      </c>
      <c r="R6939" s="14" t="b">
        <f t="shared" si="1"/>
        <v>0</v>
      </c>
      <c r="S6939" s="14" t="str">
        <f t="shared" si="2"/>
        <v>54.588069,39.780482</v>
      </c>
      <c r="T6939" s="12"/>
    </row>
    <row r="6940">
      <c r="A6940" s="139" t="s">
        <v>44686</v>
      </c>
      <c r="B6940" s="140" t="s">
        <v>44687</v>
      </c>
      <c r="C6940" s="140" t="s">
        <v>44688</v>
      </c>
      <c r="D6940" s="140" t="s">
        <v>33342</v>
      </c>
      <c r="E6940" s="141" t="s">
        <v>44689</v>
      </c>
      <c r="F6940" s="139" t="s">
        <v>13359</v>
      </c>
      <c r="G6940" s="139" t="s">
        <v>33344</v>
      </c>
      <c r="H6940" s="139"/>
      <c r="I6940" s="140"/>
      <c r="J6940" s="140" t="s">
        <v>44690</v>
      </c>
      <c r="K6940" s="140" t="s">
        <v>44691</v>
      </c>
      <c r="L6940" s="140"/>
      <c r="M6940" s="140"/>
      <c r="N6940" s="12"/>
      <c r="O6940" s="12"/>
      <c r="P6940" s="13">
        <f>IFERROR(__xludf.DUMMYFUNCTION("VALUE(SUBSTITUTE((INDEX(SPLIT(A6940,"",""),1)),""."","","",1))"),54.557976)</f>
        <v>54.557976</v>
      </c>
      <c r="Q6940" s="13">
        <f>IFERROR(__xludf.DUMMYFUNCTION("VALUE(SUBSTITUTE((INDEX(SPLIT(A6940,"",""),2)),""."","","",1))"),39.829126)</f>
        <v>39.829126</v>
      </c>
      <c r="R6940" s="14" t="b">
        <f t="shared" si="1"/>
        <v>0</v>
      </c>
      <c r="S6940" s="14" t="str">
        <f t="shared" si="2"/>
        <v>54.557976,39.829126</v>
      </c>
      <c r="T6940" s="12"/>
    </row>
    <row r="6941">
      <c r="A6941" s="142" t="s">
        <v>44692</v>
      </c>
      <c r="B6941" s="143" t="s">
        <v>4193</v>
      </c>
      <c r="C6941" s="143" t="s">
        <v>44693</v>
      </c>
      <c r="D6941" s="143" t="s">
        <v>33342</v>
      </c>
      <c r="E6941" s="144" t="s">
        <v>44694</v>
      </c>
      <c r="F6941" s="142" t="s">
        <v>13359</v>
      </c>
      <c r="G6941" s="142" t="s">
        <v>33344</v>
      </c>
      <c r="H6941" s="142"/>
      <c r="I6941" s="143"/>
      <c r="J6941" s="143" t="s">
        <v>44695</v>
      </c>
      <c r="K6941" s="143" t="s">
        <v>44696</v>
      </c>
      <c r="L6941" s="145" t="s">
        <v>44697</v>
      </c>
      <c r="M6941" s="145" t="s">
        <v>44698</v>
      </c>
      <c r="N6941" s="12"/>
      <c r="O6941" s="12"/>
      <c r="P6941" s="13">
        <f>IFERROR(__xludf.DUMMYFUNCTION("VALUE(SUBSTITUTE((INDEX(SPLIT(A6941,"",""),1)),""."","","",1))"),54.369586)</f>
        <v>54.369586</v>
      </c>
      <c r="Q6941" s="13">
        <f>IFERROR(__xludf.DUMMYFUNCTION("VALUE(SUBSTITUTE((INDEX(SPLIT(A6941,"",""),2)),""."","","",1))"),41.950964)</f>
        <v>41.950964</v>
      </c>
      <c r="R6941" s="14" t="b">
        <f t="shared" si="1"/>
        <v>0</v>
      </c>
      <c r="S6941" s="14" t="str">
        <f t="shared" si="2"/>
        <v>54.369586,41.950964</v>
      </c>
      <c r="T6941" s="12"/>
    </row>
    <row r="6942">
      <c r="A6942" s="139" t="s">
        <v>14348</v>
      </c>
      <c r="B6942" s="140" t="s">
        <v>44699</v>
      </c>
      <c r="C6942" s="140" t="s">
        <v>44700</v>
      </c>
      <c r="D6942" s="140" t="s">
        <v>33342</v>
      </c>
      <c r="E6942" s="141" t="s">
        <v>44701</v>
      </c>
      <c r="F6942" s="139" t="s">
        <v>13359</v>
      </c>
      <c r="G6942" s="139" t="s">
        <v>33344</v>
      </c>
      <c r="H6942" s="139"/>
      <c r="I6942" s="140"/>
      <c r="J6942" s="140" t="s">
        <v>44702</v>
      </c>
      <c r="K6942" s="140" t="s">
        <v>14353</v>
      </c>
      <c r="L6942" s="140"/>
      <c r="M6942" s="140"/>
      <c r="N6942" s="12"/>
      <c r="O6942" s="12"/>
      <c r="P6942" s="13">
        <f>IFERROR(__xludf.DUMMYFUNCTION("VALUE(SUBSTITUTE((INDEX(SPLIT(A6942,"",""),1)),""."","","",1))"),54.620902)</f>
        <v>54.620902</v>
      </c>
      <c r="Q6942" s="13">
        <f>IFERROR(__xludf.DUMMYFUNCTION("VALUE(SUBSTITUTE((INDEX(SPLIT(A6942,"",""),2)),""."","","",1))"),39.694361)</f>
        <v>39.694361</v>
      </c>
      <c r="R6942" s="14" t="b">
        <f t="shared" si="1"/>
        <v>0</v>
      </c>
      <c r="S6942" s="14" t="str">
        <f t="shared" si="2"/>
        <v>54.620902,39.694361</v>
      </c>
      <c r="T6942" s="12"/>
    </row>
    <row r="6943">
      <c r="A6943" s="142" t="s">
        <v>44703</v>
      </c>
      <c r="B6943" s="143" t="s">
        <v>44704</v>
      </c>
      <c r="C6943" s="143" t="s">
        <v>44705</v>
      </c>
      <c r="D6943" s="143" t="s">
        <v>33342</v>
      </c>
      <c r="E6943" s="144" t="s">
        <v>44706</v>
      </c>
      <c r="F6943" s="142" t="s">
        <v>13359</v>
      </c>
      <c r="G6943" s="142" t="s">
        <v>33344</v>
      </c>
      <c r="H6943" s="142"/>
      <c r="I6943" s="143"/>
      <c r="J6943" s="143" t="s">
        <v>44707</v>
      </c>
      <c r="K6943" s="143" t="s">
        <v>44708</v>
      </c>
      <c r="L6943" s="145" t="s">
        <v>44709</v>
      </c>
      <c r="M6943" s="145" t="s">
        <v>44710</v>
      </c>
      <c r="N6943" s="12"/>
      <c r="O6943" s="12"/>
      <c r="P6943" s="13">
        <f>IFERROR(__xludf.DUMMYFUNCTION("VALUE(SUBSTITUTE((INDEX(SPLIT(A6943,"",""),1)),""."","","",1))"),54.63154)</f>
        <v>54.63154</v>
      </c>
      <c r="Q6943" s="13">
        <f>IFERROR(__xludf.DUMMYFUNCTION("VALUE(SUBSTITUTE((INDEX(SPLIT(A6943,"",""),2)),""."","","",1))"),39.774418)</f>
        <v>39.774418</v>
      </c>
      <c r="R6943" s="14" t="b">
        <f t="shared" si="1"/>
        <v>0</v>
      </c>
      <c r="S6943" s="14" t="str">
        <f t="shared" si="2"/>
        <v>54.63154,39.774418</v>
      </c>
      <c r="T6943" s="12"/>
    </row>
    <row r="6944">
      <c r="A6944" s="146" t="s">
        <v>44711</v>
      </c>
      <c r="B6944" s="147" t="s">
        <v>44712</v>
      </c>
      <c r="C6944" s="147" t="s">
        <v>44713</v>
      </c>
      <c r="D6944" s="147" t="s">
        <v>33342</v>
      </c>
      <c r="E6944" s="148" t="s">
        <v>44714</v>
      </c>
      <c r="F6944" s="146" t="s">
        <v>13359</v>
      </c>
      <c r="G6944" s="146" t="s">
        <v>33344</v>
      </c>
      <c r="H6944" s="146"/>
      <c r="I6944" s="147"/>
      <c r="J6944" s="147" t="s">
        <v>44715</v>
      </c>
      <c r="K6944" s="147" t="s">
        <v>44716</v>
      </c>
      <c r="L6944" s="149" t="s">
        <v>44717</v>
      </c>
      <c r="M6944" s="147"/>
      <c r="N6944" s="12"/>
      <c r="O6944" s="12"/>
      <c r="P6944" s="13">
        <f>IFERROR(__xludf.DUMMYFUNCTION("VALUE(SUBSTITUTE((INDEX(SPLIT(A6944,"",""),1)),""."","","",1))"),54.602658)</f>
        <v>54.602658</v>
      </c>
      <c r="Q6944" s="13">
        <f>IFERROR(__xludf.DUMMYFUNCTION("VALUE(SUBSTITUTE((INDEX(SPLIT(A6944,"",""),2)),""."","","",1))"),39.76787)</f>
        <v>39.76787</v>
      </c>
      <c r="R6944" s="14" t="b">
        <f t="shared" si="1"/>
        <v>0</v>
      </c>
      <c r="S6944" s="14" t="str">
        <f t="shared" si="2"/>
        <v>54.602658,39.76787</v>
      </c>
      <c r="T6944" s="12"/>
    </row>
    <row r="6945">
      <c r="A6945" s="142" t="s">
        <v>44718</v>
      </c>
      <c r="B6945" s="143" t="s">
        <v>44719</v>
      </c>
      <c r="C6945" s="143" t="s">
        <v>44720</v>
      </c>
      <c r="D6945" s="143" t="s">
        <v>33342</v>
      </c>
      <c r="E6945" s="144" t="s">
        <v>44721</v>
      </c>
      <c r="F6945" s="142" t="s">
        <v>13359</v>
      </c>
      <c r="G6945" s="142" t="s">
        <v>33344</v>
      </c>
      <c r="H6945" s="142"/>
      <c r="I6945" s="143"/>
      <c r="J6945" s="143" t="s">
        <v>44722</v>
      </c>
      <c r="K6945" s="143" t="s">
        <v>44723</v>
      </c>
      <c r="L6945" s="145" t="s">
        <v>44724</v>
      </c>
      <c r="M6945" s="143"/>
      <c r="N6945" s="12"/>
      <c r="O6945" s="12"/>
      <c r="P6945" s="13">
        <f>IFERROR(__xludf.DUMMYFUNCTION("VALUE(SUBSTITUTE((INDEX(SPLIT(A6945,"",""),1)),""."","","",1))"),54.634151)</f>
        <v>54.634151</v>
      </c>
      <c r="Q6945" s="13">
        <f>IFERROR(__xludf.DUMMYFUNCTION("VALUE(SUBSTITUTE((INDEX(SPLIT(A6945,"",""),2)),""."","","",1))"),39.747945)</f>
        <v>39.747945</v>
      </c>
      <c r="R6945" s="14" t="b">
        <f t="shared" si="1"/>
        <v>0</v>
      </c>
      <c r="S6945" s="14" t="str">
        <f t="shared" si="2"/>
        <v>54.634151,39.747945</v>
      </c>
      <c r="T6945" s="12"/>
    </row>
    <row r="6946">
      <c r="A6946" s="139" t="s">
        <v>44725</v>
      </c>
      <c r="B6946" s="140" t="s">
        <v>14943</v>
      </c>
      <c r="C6946" s="140" t="s">
        <v>33920</v>
      </c>
      <c r="D6946" s="140" t="s">
        <v>33342</v>
      </c>
      <c r="E6946" s="141" t="s">
        <v>44726</v>
      </c>
      <c r="F6946" s="139" t="s">
        <v>13359</v>
      </c>
      <c r="G6946" s="139" t="s">
        <v>33344</v>
      </c>
      <c r="H6946" s="139"/>
      <c r="I6946" s="140"/>
      <c r="J6946" s="140" t="s">
        <v>44727</v>
      </c>
      <c r="K6946" s="140" t="s">
        <v>44728</v>
      </c>
      <c r="L6946" s="140"/>
      <c r="M6946" s="140"/>
      <c r="N6946" s="12"/>
      <c r="O6946" s="12"/>
      <c r="P6946" s="13">
        <f>IFERROR(__xludf.DUMMYFUNCTION("VALUE(SUBSTITUTE((INDEX(SPLIT(A6946,"",""),1)),""."","","",1))"),54.632509)</f>
        <v>54.632509</v>
      </c>
      <c r="Q6946" s="13">
        <f>IFERROR(__xludf.DUMMYFUNCTION("VALUE(SUBSTITUTE((INDEX(SPLIT(A6946,"",""),2)),""."","","",1))"),39.749194)</f>
        <v>39.749194</v>
      </c>
      <c r="R6946" s="14" t="b">
        <f t="shared" si="1"/>
        <v>0</v>
      </c>
      <c r="S6946" s="14" t="str">
        <f t="shared" si="2"/>
        <v>54.632509,39.749194</v>
      </c>
      <c r="T6946" s="12"/>
    </row>
    <row r="6947">
      <c r="A6947" s="142" t="s">
        <v>44729</v>
      </c>
      <c r="B6947" s="143" t="s">
        <v>44730</v>
      </c>
      <c r="C6947" s="143" t="s">
        <v>44731</v>
      </c>
      <c r="D6947" s="143" t="s">
        <v>33342</v>
      </c>
      <c r="E6947" s="144" t="s">
        <v>44732</v>
      </c>
      <c r="F6947" s="142" t="s">
        <v>21049</v>
      </c>
      <c r="G6947" s="142" t="s">
        <v>33344</v>
      </c>
      <c r="H6947" s="142"/>
      <c r="I6947" s="143"/>
      <c r="J6947" s="143" t="s">
        <v>44733</v>
      </c>
      <c r="K6947" s="143" t="s">
        <v>44734</v>
      </c>
      <c r="L6947" s="152" t="s">
        <v>44735</v>
      </c>
      <c r="M6947" s="143"/>
      <c r="N6947" s="12"/>
      <c r="O6947" s="12"/>
      <c r="P6947" s="13">
        <f>IFERROR(__xludf.DUMMYFUNCTION("VALUE(SUBSTITUTE((INDEX(SPLIT(A6947,"",""),1)),""."","","",1))"),53.177014)</f>
        <v>53.177014</v>
      </c>
      <c r="Q6947" s="13">
        <f>IFERROR(__xludf.DUMMYFUNCTION("VALUE(SUBSTITUTE((INDEX(SPLIT(A6947,"",""),2)),""."","","",1))"),50.164531)</f>
        <v>50.164531</v>
      </c>
      <c r="R6947" s="14" t="b">
        <f t="shared" si="1"/>
        <v>0</v>
      </c>
      <c r="S6947" s="14" t="str">
        <f t="shared" si="2"/>
        <v>53.177014,50.164531</v>
      </c>
      <c r="T6947" s="12"/>
    </row>
    <row r="6948">
      <c r="A6948" s="139" t="s">
        <v>44736</v>
      </c>
      <c r="B6948" s="140" t="s">
        <v>44737</v>
      </c>
      <c r="C6948" s="140" t="s">
        <v>44738</v>
      </c>
      <c r="D6948" s="140" t="s">
        <v>33342</v>
      </c>
      <c r="E6948" s="141" t="s">
        <v>44739</v>
      </c>
      <c r="F6948" s="139" t="s">
        <v>21049</v>
      </c>
      <c r="G6948" s="139" t="s">
        <v>33344</v>
      </c>
      <c r="H6948" s="139"/>
      <c r="I6948" s="140"/>
      <c r="J6948" s="140" t="s">
        <v>44740</v>
      </c>
      <c r="K6948" s="140" t="s">
        <v>44741</v>
      </c>
      <c r="L6948" s="140"/>
      <c r="M6948" s="140"/>
      <c r="N6948" s="12"/>
      <c r="O6948" s="12"/>
      <c r="P6948" s="13">
        <f>IFERROR(__xludf.DUMMYFUNCTION("VALUE(SUBSTITUTE((INDEX(SPLIT(A6948,"",""),1)),""."","","",1))"),53.225975)</f>
        <v>53.225975</v>
      </c>
      <c r="Q6948" s="13">
        <f>IFERROR(__xludf.DUMMYFUNCTION("VALUE(SUBSTITUTE((INDEX(SPLIT(A6948,"",""),2)),""."","","",1))"),50.177951)</f>
        <v>50.177951</v>
      </c>
      <c r="R6948" s="14" t="b">
        <f t="shared" si="1"/>
        <v>0</v>
      </c>
      <c r="S6948" s="14" t="str">
        <f t="shared" si="2"/>
        <v>53.225975,50.177951</v>
      </c>
      <c r="T6948" s="12"/>
    </row>
    <row r="6949">
      <c r="A6949" s="142" t="s">
        <v>44742</v>
      </c>
      <c r="B6949" s="143" t="s">
        <v>44743</v>
      </c>
      <c r="C6949" s="143" t="s">
        <v>44744</v>
      </c>
      <c r="D6949" s="143" t="s">
        <v>33342</v>
      </c>
      <c r="E6949" s="144" t="s">
        <v>44745</v>
      </c>
      <c r="F6949" s="142" t="s">
        <v>21049</v>
      </c>
      <c r="G6949" s="142" t="s">
        <v>33344</v>
      </c>
      <c r="H6949" s="142"/>
      <c r="I6949" s="143"/>
      <c r="J6949" s="143" t="s">
        <v>44746</v>
      </c>
      <c r="K6949" s="143" t="s">
        <v>44747</v>
      </c>
      <c r="L6949" s="152" t="s">
        <v>44748</v>
      </c>
      <c r="M6949" s="143"/>
      <c r="N6949" s="12"/>
      <c r="O6949" s="12"/>
      <c r="P6949" s="13">
        <f>IFERROR(__xludf.DUMMYFUNCTION("VALUE(SUBSTITUTE((INDEX(SPLIT(A6949,"",""),1)),""."","","",1))"),53.192215)</f>
        <v>53.192215</v>
      </c>
      <c r="Q6949" s="13">
        <f>IFERROR(__xludf.DUMMYFUNCTION("VALUE(SUBSTITUTE((INDEX(SPLIT(A6949,"",""),2)),""."","","",1))"),50.168842)</f>
        <v>50.168842</v>
      </c>
      <c r="R6949" s="14" t="b">
        <f t="shared" si="1"/>
        <v>0</v>
      </c>
      <c r="S6949" s="14" t="str">
        <f t="shared" si="2"/>
        <v>53.192215,50.168842</v>
      </c>
      <c r="T6949" s="12"/>
    </row>
    <row r="6950">
      <c r="A6950" s="139" t="s">
        <v>44749</v>
      </c>
      <c r="B6950" s="140" t="s">
        <v>44750</v>
      </c>
      <c r="C6950" s="140" t="s">
        <v>44751</v>
      </c>
      <c r="D6950" s="140" t="s">
        <v>33342</v>
      </c>
      <c r="E6950" s="141" t="s">
        <v>44752</v>
      </c>
      <c r="F6950" s="139" t="s">
        <v>21049</v>
      </c>
      <c r="G6950" s="139" t="s">
        <v>33344</v>
      </c>
      <c r="H6950" s="139"/>
      <c r="I6950" s="140"/>
      <c r="J6950" s="140" t="s">
        <v>44753</v>
      </c>
      <c r="K6950" s="140" t="s">
        <v>44754</v>
      </c>
      <c r="L6950" s="140"/>
      <c r="M6950" s="140"/>
      <c r="N6950" s="12"/>
      <c r="O6950" s="12"/>
      <c r="P6950" s="13">
        <f>IFERROR(__xludf.DUMMYFUNCTION("VALUE(SUBSTITUTE((INDEX(SPLIT(A6950,"",""),1)),""."","","",1))"),53.178304)</f>
        <v>53.178304</v>
      </c>
      <c r="Q6950" s="13">
        <f>IFERROR(__xludf.DUMMYFUNCTION("VALUE(SUBSTITUTE((INDEX(SPLIT(A6950,"",""),2)),""."","","",1))"),50.161117)</f>
        <v>50.161117</v>
      </c>
      <c r="R6950" s="14" t="b">
        <f t="shared" si="1"/>
        <v>0</v>
      </c>
      <c r="S6950" s="14" t="str">
        <f t="shared" si="2"/>
        <v>53.178304,50.161117</v>
      </c>
      <c r="T6950" s="12"/>
    </row>
    <row r="6951">
      <c r="A6951" s="136" t="s">
        <v>44755</v>
      </c>
      <c r="B6951" s="137" t="s">
        <v>44756</v>
      </c>
      <c r="C6951" s="137" t="s">
        <v>44757</v>
      </c>
      <c r="D6951" s="137" t="s">
        <v>33342</v>
      </c>
      <c r="E6951" s="138" t="s">
        <v>44758</v>
      </c>
      <c r="F6951" s="136" t="s">
        <v>21049</v>
      </c>
      <c r="G6951" s="136" t="s">
        <v>33344</v>
      </c>
      <c r="H6951" s="136"/>
      <c r="I6951" s="137"/>
      <c r="J6951" s="137" t="s">
        <v>44759</v>
      </c>
      <c r="K6951" s="137" t="s">
        <v>44760</v>
      </c>
      <c r="L6951" s="137"/>
      <c r="M6951" s="153" t="s">
        <v>44761</v>
      </c>
      <c r="N6951" s="12"/>
      <c r="O6951" s="12"/>
      <c r="P6951" s="13">
        <f>IFERROR(__xludf.DUMMYFUNCTION("VALUE(SUBSTITUTE((INDEX(SPLIT(A6951,"",""),1)),""."","","",1))"),53.25521)</f>
        <v>53.25521</v>
      </c>
      <c r="Q6951" s="13">
        <f>IFERROR(__xludf.DUMMYFUNCTION("VALUE(SUBSTITUTE((INDEX(SPLIT(A6951,"",""),2)),""."","","",1))"),50.280719)</f>
        <v>50.280719</v>
      </c>
      <c r="R6951" s="14" t="b">
        <f t="shared" si="1"/>
        <v>0</v>
      </c>
      <c r="S6951" s="14" t="str">
        <f t="shared" si="2"/>
        <v>53.25521,50.280719</v>
      </c>
      <c r="T6951" s="12"/>
    </row>
    <row r="6952">
      <c r="A6952" s="139" t="s">
        <v>44762</v>
      </c>
      <c r="B6952" s="140" t="s">
        <v>21987</v>
      </c>
      <c r="C6952" s="140" t="s">
        <v>44763</v>
      </c>
      <c r="D6952" s="140" t="s">
        <v>33342</v>
      </c>
      <c r="E6952" s="141" t="s">
        <v>44764</v>
      </c>
      <c r="F6952" s="139" t="s">
        <v>21049</v>
      </c>
      <c r="G6952" s="139" t="s">
        <v>33344</v>
      </c>
      <c r="H6952" s="139"/>
      <c r="I6952" s="140"/>
      <c r="J6952" s="140" t="s">
        <v>44765</v>
      </c>
      <c r="K6952" s="140" t="s">
        <v>44766</v>
      </c>
      <c r="L6952" s="140"/>
      <c r="M6952" s="154" t="s">
        <v>44767</v>
      </c>
      <c r="N6952" s="12"/>
      <c r="O6952" s="12"/>
      <c r="P6952" s="13">
        <f>IFERROR(__xludf.DUMMYFUNCTION("VALUE(SUBSTITUTE((INDEX(SPLIT(A6952,"",""),1)),""."","","",1))"),53.252964)</f>
        <v>53.252964</v>
      </c>
      <c r="Q6952" s="13">
        <f>IFERROR(__xludf.DUMMYFUNCTION("VALUE(SUBSTITUTE((INDEX(SPLIT(A6952,"",""),2)),""."","","",1))"),50.333351)</f>
        <v>50.333351</v>
      </c>
      <c r="R6952" s="14" t="b">
        <f t="shared" si="1"/>
        <v>0</v>
      </c>
      <c r="S6952" s="14" t="str">
        <f t="shared" si="2"/>
        <v>53.252964,50.333351</v>
      </c>
      <c r="T6952" s="12"/>
    </row>
    <row r="6953">
      <c r="A6953" s="136" t="s">
        <v>44768</v>
      </c>
      <c r="B6953" s="137" t="s">
        <v>5592</v>
      </c>
      <c r="C6953" s="137" t="s">
        <v>44769</v>
      </c>
      <c r="D6953" s="137" t="s">
        <v>33342</v>
      </c>
      <c r="E6953" s="138" t="s">
        <v>44770</v>
      </c>
      <c r="F6953" s="136" t="s">
        <v>21049</v>
      </c>
      <c r="G6953" s="136" t="s">
        <v>33344</v>
      </c>
      <c r="H6953" s="136"/>
      <c r="I6953" s="137"/>
      <c r="J6953" s="137" t="s">
        <v>44771</v>
      </c>
      <c r="K6953" s="137" t="s">
        <v>44772</v>
      </c>
      <c r="L6953" s="137"/>
      <c r="M6953" s="137"/>
      <c r="N6953" s="12"/>
      <c r="O6953" s="12"/>
      <c r="P6953" s="13">
        <f>IFERROR(__xludf.DUMMYFUNCTION("VALUE(SUBSTITUTE((INDEX(SPLIT(A6953,"",""),1)),""."","","",1))"),53.201499)</f>
        <v>53.201499</v>
      </c>
      <c r="Q6953" s="13">
        <f>IFERROR(__xludf.DUMMYFUNCTION("VALUE(SUBSTITUTE((INDEX(SPLIT(A6953,"",""),2)),""."","","",1))"),50.139827)</f>
        <v>50.139827</v>
      </c>
      <c r="R6953" s="14" t="b">
        <f t="shared" si="1"/>
        <v>0</v>
      </c>
      <c r="S6953" s="14" t="str">
        <f t="shared" si="2"/>
        <v>53.201499,50.139827</v>
      </c>
      <c r="T6953" s="12"/>
    </row>
    <row r="6954">
      <c r="A6954" s="139" t="s">
        <v>44773</v>
      </c>
      <c r="B6954" s="140" t="s">
        <v>44774</v>
      </c>
      <c r="C6954" s="140" t="s">
        <v>44775</v>
      </c>
      <c r="D6954" s="140" t="s">
        <v>33342</v>
      </c>
      <c r="E6954" s="141" t="s">
        <v>44776</v>
      </c>
      <c r="F6954" s="139" t="s">
        <v>21049</v>
      </c>
      <c r="G6954" s="139" t="s">
        <v>33344</v>
      </c>
      <c r="H6954" s="139"/>
      <c r="I6954" s="140"/>
      <c r="J6954" s="140" t="s">
        <v>44777</v>
      </c>
      <c r="K6954" s="140" t="s">
        <v>44778</v>
      </c>
      <c r="L6954" s="140"/>
      <c r="M6954" s="140"/>
      <c r="N6954" s="12"/>
      <c r="O6954" s="12"/>
      <c r="P6954" s="13">
        <f>IFERROR(__xludf.DUMMYFUNCTION("VALUE(SUBSTITUTE((INDEX(SPLIT(A6954,"",""),1)),""."","","",1))"),53.217829)</f>
        <v>53.217829</v>
      </c>
      <c r="Q6954" s="13">
        <f>IFERROR(__xludf.DUMMYFUNCTION("VALUE(SUBSTITUTE((INDEX(SPLIT(A6954,"",""),2)),""."","","",1))"),50.221906)</f>
        <v>50.221906</v>
      </c>
      <c r="R6954" s="14" t="b">
        <f t="shared" si="1"/>
        <v>0</v>
      </c>
      <c r="S6954" s="14" t="str">
        <f t="shared" si="2"/>
        <v>53.217829,50.221906</v>
      </c>
      <c r="T6954" s="12"/>
    </row>
    <row r="6955">
      <c r="A6955" s="136" t="s">
        <v>44779</v>
      </c>
      <c r="B6955" s="137" t="s">
        <v>24602</v>
      </c>
      <c r="C6955" s="137" t="s">
        <v>44780</v>
      </c>
      <c r="D6955" s="137" t="s">
        <v>33342</v>
      </c>
      <c r="E6955" s="138" t="s">
        <v>44781</v>
      </c>
      <c r="F6955" s="136" t="s">
        <v>21049</v>
      </c>
      <c r="G6955" s="136" t="s">
        <v>33344</v>
      </c>
      <c r="H6955" s="136"/>
      <c r="I6955" s="137"/>
      <c r="J6955" s="137" t="s">
        <v>44782</v>
      </c>
      <c r="K6955" s="137" t="s">
        <v>44783</v>
      </c>
      <c r="L6955" s="137"/>
      <c r="M6955" s="137"/>
      <c r="N6955" s="12"/>
      <c r="O6955" s="12"/>
      <c r="P6955" s="13">
        <f>IFERROR(__xludf.DUMMYFUNCTION("VALUE(SUBSTITUTE((INDEX(SPLIT(A6955,"",""),1)),""."","","",1))"),53.239811)</f>
        <v>53.239811</v>
      </c>
      <c r="Q6955" s="13">
        <f>IFERROR(__xludf.DUMMYFUNCTION("VALUE(SUBSTITUTE((INDEX(SPLIT(A6955,"",""),2)),""."","","",1))"),50.296951)</f>
        <v>50.296951</v>
      </c>
      <c r="R6955" s="14" t="b">
        <f t="shared" si="1"/>
        <v>0</v>
      </c>
      <c r="S6955" s="14" t="str">
        <f t="shared" si="2"/>
        <v>53.239811,50.296951</v>
      </c>
      <c r="T6955" s="12"/>
    </row>
    <row r="6956">
      <c r="A6956" s="146" t="s">
        <v>44784</v>
      </c>
      <c r="B6956" s="147" t="s">
        <v>44785</v>
      </c>
      <c r="C6956" s="147" t="s">
        <v>44786</v>
      </c>
      <c r="D6956" s="147" t="s">
        <v>33342</v>
      </c>
      <c r="E6956" s="148" t="s">
        <v>44787</v>
      </c>
      <c r="F6956" s="146" t="s">
        <v>21049</v>
      </c>
      <c r="G6956" s="146" t="s">
        <v>33344</v>
      </c>
      <c r="H6956" s="146"/>
      <c r="I6956" s="147"/>
      <c r="J6956" s="147" t="s">
        <v>44788</v>
      </c>
      <c r="K6956" s="147" t="s">
        <v>44789</v>
      </c>
      <c r="L6956" s="149" t="s">
        <v>44790</v>
      </c>
      <c r="M6956" s="149" t="s">
        <v>44791</v>
      </c>
      <c r="N6956" s="12"/>
      <c r="O6956" s="12"/>
      <c r="P6956" s="13">
        <f>IFERROR(__xludf.DUMMYFUNCTION("VALUE(SUBSTITUTE((INDEX(SPLIT(A6956,"",""),1)),""."","","",1))"),53.127397)</f>
        <v>53.127397</v>
      </c>
      <c r="Q6956" s="13">
        <f>IFERROR(__xludf.DUMMYFUNCTION("VALUE(SUBSTITUTE((INDEX(SPLIT(A6956,"",""),2)),""."","","",1))"),50.10985)</f>
        <v>50.10985</v>
      </c>
      <c r="R6956" s="14" t="b">
        <f t="shared" si="1"/>
        <v>0</v>
      </c>
      <c r="S6956" s="14" t="str">
        <f t="shared" si="2"/>
        <v>53.127397,50.10985</v>
      </c>
      <c r="T6956" s="12"/>
    </row>
    <row r="6957">
      <c r="A6957" s="136" t="s">
        <v>44792</v>
      </c>
      <c r="B6957" s="137" t="s">
        <v>44793</v>
      </c>
      <c r="C6957" s="137" t="s">
        <v>44794</v>
      </c>
      <c r="D6957" s="137" t="s">
        <v>33342</v>
      </c>
      <c r="E6957" s="138" t="s">
        <v>44795</v>
      </c>
      <c r="F6957" s="136" t="s">
        <v>21049</v>
      </c>
      <c r="G6957" s="136" t="s">
        <v>33344</v>
      </c>
      <c r="H6957" s="136"/>
      <c r="I6957" s="137"/>
      <c r="J6957" s="137" t="s">
        <v>44796</v>
      </c>
      <c r="K6957" s="137" t="s">
        <v>44797</v>
      </c>
      <c r="L6957" s="137"/>
      <c r="M6957" s="153" t="s">
        <v>44798</v>
      </c>
      <c r="N6957" s="12"/>
      <c r="O6957" s="12"/>
      <c r="P6957" s="13">
        <f>IFERROR(__xludf.DUMMYFUNCTION("VALUE(SUBSTITUTE((INDEX(SPLIT(A6957,"",""),1)),""."","","",1))"),53.113854)</f>
        <v>53.113854</v>
      </c>
      <c r="Q6957" s="13">
        <f>IFERROR(__xludf.DUMMYFUNCTION("VALUE(SUBSTITUTE((INDEX(SPLIT(A6957,"",""),2)),""."","","",1))"),50.064108)</f>
        <v>50.064108</v>
      </c>
      <c r="R6957" s="14" t="b">
        <f t="shared" si="1"/>
        <v>0</v>
      </c>
      <c r="S6957" s="14" t="str">
        <f t="shared" si="2"/>
        <v>53.113854,50.064108</v>
      </c>
      <c r="T6957" s="12"/>
    </row>
    <row r="6958">
      <c r="A6958" s="139" t="s">
        <v>44799</v>
      </c>
      <c r="B6958" s="140" t="s">
        <v>44800</v>
      </c>
      <c r="C6958" s="140" t="s">
        <v>44801</v>
      </c>
      <c r="D6958" s="140" t="s">
        <v>33342</v>
      </c>
      <c r="E6958" s="141" t="s">
        <v>44802</v>
      </c>
      <c r="F6958" s="139" t="s">
        <v>21049</v>
      </c>
      <c r="G6958" s="139" t="s">
        <v>33344</v>
      </c>
      <c r="H6958" s="139"/>
      <c r="I6958" s="140"/>
      <c r="J6958" s="140" t="s">
        <v>44803</v>
      </c>
      <c r="K6958" s="140" t="s">
        <v>44804</v>
      </c>
      <c r="L6958" s="140"/>
      <c r="M6958" s="140"/>
      <c r="N6958" s="12"/>
      <c r="O6958" s="12"/>
      <c r="P6958" s="13">
        <f>IFERROR(__xludf.DUMMYFUNCTION("VALUE(SUBSTITUTE((INDEX(SPLIT(A6958,"",""),1)),""."","","",1))"),53.114714)</f>
        <v>53.114714</v>
      </c>
      <c r="Q6958" s="13">
        <f>IFERROR(__xludf.DUMMYFUNCTION("VALUE(SUBSTITUTE((INDEX(SPLIT(A6958,"",""),2)),""."","","",1))"),50.056059)</f>
        <v>50.056059</v>
      </c>
      <c r="R6958" s="14" t="b">
        <f t="shared" si="1"/>
        <v>0</v>
      </c>
      <c r="S6958" s="14" t="str">
        <f t="shared" si="2"/>
        <v>53.114714,50.056059</v>
      </c>
      <c r="T6958" s="12"/>
    </row>
    <row r="6959">
      <c r="A6959" s="142" t="s">
        <v>44805</v>
      </c>
      <c r="B6959" s="143" t="s">
        <v>44806</v>
      </c>
      <c r="C6959" s="143" t="s">
        <v>44807</v>
      </c>
      <c r="D6959" s="143" t="s">
        <v>33342</v>
      </c>
      <c r="E6959" s="144" t="s">
        <v>44808</v>
      </c>
      <c r="F6959" s="142" t="s">
        <v>21049</v>
      </c>
      <c r="G6959" s="142" t="s">
        <v>33344</v>
      </c>
      <c r="H6959" s="142"/>
      <c r="I6959" s="143"/>
      <c r="J6959" s="143" t="s">
        <v>44809</v>
      </c>
      <c r="K6959" s="143" t="s">
        <v>44810</v>
      </c>
      <c r="L6959" s="145" t="s">
        <v>44811</v>
      </c>
      <c r="M6959" s="145" t="s">
        <v>44812</v>
      </c>
      <c r="N6959" s="12"/>
      <c r="O6959" s="12"/>
      <c r="P6959" s="13">
        <f>IFERROR(__xludf.DUMMYFUNCTION("VALUE(SUBSTITUTE((INDEX(SPLIT(A6959,"",""),1)),""."","","",1))"),53.240603)</f>
        <v>53.240603</v>
      </c>
      <c r="Q6959" s="13">
        <f>IFERROR(__xludf.DUMMYFUNCTION("VALUE(SUBSTITUTE((INDEX(SPLIT(A6959,"",""),2)),""."","","",1))"),50.265555)</f>
        <v>50.265555</v>
      </c>
      <c r="R6959" s="14" t="b">
        <f t="shared" si="1"/>
        <v>0</v>
      </c>
      <c r="S6959" s="14" t="str">
        <f t="shared" si="2"/>
        <v>53.240603,50.265555</v>
      </c>
      <c r="T6959" s="12"/>
    </row>
    <row r="6960">
      <c r="A6960" s="146" t="s">
        <v>44813</v>
      </c>
      <c r="B6960" s="147" t="s">
        <v>44814</v>
      </c>
      <c r="C6960" s="147" t="s">
        <v>44815</v>
      </c>
      <c r="D6960" s="147" t="s">
        <v>33342</v>
      </c>
      <c r="E6960" s="148" t="s">
        <v>44816</v>
      </c>
      <c r="F6960" s="146" t="s">
        <v>21049</v>
      </c>
      <c r="G6960" s="146" t="s">
        <v>33344</v>
      </c>
      <c r="H6960" s="146"/>
      <c r="I6960" s="147"/>
      <c r="J6960" s="147" t="s">
        <v>44817</v>
      </c>
      <c r="K6960" s="147" t="s">
        <v>44818</v>
      </c>
      <c r="L6960" s="150" t="s">
        <v>44819</v>
      </c>
      <c r="M6960" s="147"/>
      <c r="N6960" s="12"/>
      <c r="O6960" s="12"/>
      <c r="P6960" s="13">
        <f>IFERROR(__xludf.DUMMYFUNCTION("VALUE(SUBSTITUTE((INDEX(SPLIT(A6960,"",""),1)),""."","","",1))"),53.08648)</f>
        <v>53.08648</v>
      </c>
      <c r="Q6960" s="13">
        <f>IFERROR(__xludf.DUMMYFUNCTION("VALUE(SUBSTITUTE((INDEX(SPLIT(A6960,"",""),2)),""."","","",1))"),49.959769)</f>
        <v>49.959769</v>
      </c>
      <c r="R6960" s="14" t="b">
        <f t="shared" si="1"/>
        <v>0</v>
      </c>
      <c r="S6960" s="14" t="str">
        <f t="shared" si="2"/>
        <v>53.08648,49.959769</v>
      </c>
      <c r="T6960" s="12"/>
    </row>
    <row r="6961">
      <c r="A6961" s="142" t="s">
        <v>21457</v>
      </c>
      <c r="B6961" s="143" t="s">
        <v>44820</v>
      </c>
      <c r="C6961" s="143" t="s">
        <v>44821</v>
      </c>
      <c r="D6961" s="143" t="s">
        <v>33342</v>
      </c>
      <c r="E6961" s="144" t="s">
        <v>44822</v>
      </c>
      <c r="F6961" s="142" t="s">
        <v>21049</v>
      </c>
      <c r="G6961" s="142" t="s">
        <v>33344</v>
      </c>
      <c r="H6961" s="142"/>
      <c r="I6961" s="143"/>
      <c r="J6961" s="143" t="s">
        <v>44823</v>
      </c>
      <c r="K6961" s="143" t="s">
        <v>22830</v>
      </c>
      <c r="L6961" s="145" t="s">
        <v>44824</v>
      </c>
      <c r="M6961" s="145" t="s">
        <v>44825</v>
      </c>
      <c r="N6961" s="12"/>
      <c r="O6961" s="12"/>
      <c r="P6961" s="13">
        <f>IFERROR(__xludf.DUMMYFUNCTION("VALUE(SUBSTITUTE((INDEX(SPLIT(A6961,"",""),1)),""."","","",1))"),53.195878)</f>
        <v>53.195878</v>
      </c>
      <c r="Q6961" s="13">
        <f>IFERROR(__xludf.DUMMYFUNCTION("VALUE(SUBSTITUTE((INDEX(SPLIT(A6961,"",""),2)),""."","","",1))"),50.100202)</f>
        <v>50.100202</v>
      </c>
      <c r="R6961" s="14" t="b">
        <f t="shared" si="1"/>
        <v>0</v>
      </c>
      <c r="S6961" s="14" t="str">
        <f t="shared" si="2"/>
        <v>53.195878,50.100202</v>
      </c>
      <c r="T6961" s="12"/>
    </row>
    <row r="6962">
      <c r="A6962" s="139" t="s">
        <v>44826</v>
      </c>
      <c r="B6962" s="140" t="s">
        <v>44827</v>
      </c>
      <c r="C6962" s="140" t="s">
        <v>44828</v>
      </c>
      <c r="D6962" s="140" t="s">
        <v>33342</v>
      </c>
      <c r="E6962" s="141" t="s">
        <v>44829</v>
      </c>
      <c r="F6962" s="139" t="s">
        <v>21049</v>
      </c>
      <c r="G6962" s="139" t="s">
        <v>33344</v>
      </c>
      <c r="H6962" s="139"/>
      <c r="I6962" s="140"/>
      <c r="J6962" s="140" t="s">
        <v>44830</v>
      </c>
      <c r="K6962" s="140" t="s">
        <v>44831</v>
      </c>
      <c r="L6962" s="140"/>
      <c r="M6962" s="154" t="s">
        <v>44832</v>
      </c>
      <c r="N6962" s="12"/>
      <c r="O6962" s="12"/>
      <c r="P6962" s="13">
        <f>IFERROR(__xludf.DUMMYFUNCTION("VALUE(SUBSTITUTE((INDEX(SPLIT(A6962,"",""),1)),""."","","",1))"),53.228843)</f>
        <v>53.228843</v>
      </c>
      <c r="Q6962" s="13">
        <f>IFERROR(__xludf.DUMMYFUNCTION("VALUE(SUBSTITUTE((INDEX(SPLIT(A6962,"",""),2)),""."","","",1))"),50.179074)</f>
        <v>50.179074</v>
      </c>
      <c r="R6962" s="14" t="b">
        <f t="shared" si="1"/>
        <v>0</v>
      </c>
      <c r="S6962" s="14" t="str">
        <f t="shared" si="2"/>
        <v>53.228843,50.179074</v>
      </c>
      <c r="T6962" s="12"/>
    </row>
    <row r="6963">
      <c r="A6963" s="136" t="s">
        <v>44833</v>
      </c>
      <c r="B6963" s="137" t="s">
        <v>44834</v>
      </c>
      <c r="C6963" s="137" t="s">
        <v>44835</v>
      </c>
      <c r="D6963" s="137" t="s">
        <v>33342</v>
      </c>
      <c r="E6963" s="138" t="s">
        <v>44836</v>
      </c>
      <c r="F6963" s="136" t="s">
        <v>21049</v>
      </c>
      <c r="G6963" s="136" t="s">
        <v>33344</v>
      </c>
      <c r="H6963" s="136"/>
      <c r="I6963" s="137"/>
      <c r="J6963" s="137" t="s">
        <v>44837</v>
      </c>
      <c r="K6963" s="137" t="s">
        <v>44838</v>
      </c>
      <c r="L6963" s="137"/>
      <c r="M6963" s="153" t="s">
        <v>44839</v>
      </c>
      <c r="N6963" s="12"/>
      <c r="O6963" s="12"/>
      <c r="P6963" s="13">
        <f>IFERROR(__xludf.DUMMYFUNCTION("VALUE(SUBSTITUTE((INDEX(SPLIT(A6963,"",""),1)),""."","","",1))"),53.213154)</f>
        <v>53.213154</v>
      </c>
      <c r="Q6963" s="13">
        <f>IFERROR(__xludf.DUMMYFUNCTION("VALUE(SUBSTITUTE((INDEX(SPLIT(A6963,"",""),2)),""."","","",1))"),50.161153)</f>
        <v>50.161153</v>
      </c>
      <c r="R6963" s="14" t="b">
        <f t="shared" si="1"/>
        <v>0</v>
      </c>
      <c r="S6963" s="14" t="str">
        <f t="shared" si="2"/>
        <v>53.213154,50.161153</v>
      </c>
      <c r="T6963" s="12"/>
    </row>
    <row r="6964">
      <c r="A6964" s="139" t="s">
        <v>44840</v>
      </c>
      <c r="B6964" s="140" t="s">
        <v>44841</v>
      </c>
      <c r="C6964" s="140" t="s">
        <v>44842</v>
      </c>
      <c r="D6964" s="140" t="s">
        <v>33342</v>
      </c>
      <c r="E6964" s="141" t="s">
        <v>44843</v>
      </c>
      <c r="F6964" s="139" t="s">
        <v>21049</v>
      </c>
      <c r="G6964" s="139" t="s">
        <v>33344</v>
      </c>
      <c r="H6964" s="139"/>
      <c r="I6964" s="140"/>
      <c r="J6964" s="140" t="s">
        <v>44844</v>
      </c>
      <c r="K6964" s="140" t="s">
        <v>44845</v>
      </c>
      <c r="L6964" s="140"/>
      <c r="M6964" s="154" t="s">
        <v>44846</v>
      </c>
      <c r="N6964" s="12"/>
      <c r="O6964" s="12"/>
      <c r="P6964" s="13">
        <f>IFERROR(__xludf.DUMMYFUNCTION("VALUE(SUBSTITUTE((INDEX(SPLIT(A6964,"",""),1)),""."","","",1))"),53.188141)</f>
        <v>53.188141</v>
      </c>
      <c r="Q6964" s="13">
        <f>IFERROR(__xludf.DUMMYFUNCTION("VALUE(SUBSTITUTE((INDEX(SPLIT(A6964,"",""),2)),""."","","",1))"),50.083691)</f>
        <v>50.083691</v>
      </c>
      <c r="R6964" s="14" t="b">
        <f t="shared" si="1"/>
        <v>0</v>
      </c>
      <c r="S6964" s="14" t="str">
        <f t="shared" si="2"/>
        <v>53.188141,50.083691</v>
      </c>
      <c r="T6964" s="12"/>
    </row>
    <row r="6965">
      <c r="A6965" s="142" t="s">
        <v>44847</v>
      </c>
      <c r="B6965" s="143" t="s">
        <v>44848</v>
      </c>
      <c r="C6965" s="143" t="s">
        <v>44849</v>
      </c>
      <c r="D6965" s="143" t="s">
        <v>33342</v>
      </c>
      <c r="E6965" s="144" t="s">
        <v>44850</v>
      </c>
      <c r="F6965" s="142" t="s">
        <v>21049</v>
      </c>
      <c r="G6965" s="142" t="s">
        <v>33344</v>
      </c>
      <c r="H6965" s="142"/>
      <c r="I6965" s="143"/>
      <c r="J6965" s="143" t="s">
        <v>44851</v>
      </c>
      <c r="K6965" s="143" t="s">
        <v>44852</v>
      </c>
      <c r="L6965" s="145" t="s">
        <v>44853</v>
      </c>
      <c r="M6965" s="145" t="s">
        <v>44854</v>
      </c>
      <c r="N6965" s="12"/>
      <c r="O6965" s="12"/>
      <c r="P6965" s="13">
        <f>IFERROR(__xludf.DUMMYFUNCTION("VALUE(SUBSTITUTE((INDEX(SPLIT(A6965,"",""),1)),""."","","",1))"),53.194276)</f>
        <v>53.194276</v>
      </c>
      <c r="Q6965" s="13">
        <f>IFERROR(__xludf.DUMMYFUNCTION("VALUE(SUBSTITUTE((INDEX(SPLIT(A6965,"",""),2)),""."","","",1))"),50.240699)</f>
        <v>50.240699</v>
      </c>
      <c r="R6965" s="14" t="b">
        <f t="shared" si="1"/>
        <v>0</v>
      </c>
      <c r="S6965" s="14" t="str">
        <f t="shared" si="2"/>
        <v>53.194276,50.240699</v>
      </c>
      <c r="T6965" s="12"/>
    </row>
    <row r="6966">
      <c r="A6966" s="139" t="s">
        <v>44855</v>
      </c>
      <c r="B6966" s="140" t="s">
        <v>44856</v>
      </c>
      <c r="C6966" s="140" t="s">
        <v>44857</v>
      </c>
      <c r="D6966" s="140" t="s">
        <v>33342</v>
      </c>
      <c r="E6966" s="141" t="s">
        <v>44858</v>
      </c>
      <c r="F6966" s="139" t="s">
        <v>21049</v>
      </c>
      <c r="G6966" s="139" t="s">
        <v>33344</v>
      </c>
      <c r="H6966" s="139"/>
      <c r="I6966" s="140"/>
      <c r="J6966" s="140" t="s">
        <v>44859</v>
      </c>
      <c r="K6966" s="140" t="s">
        <v>44860</v>
      </c>
      <c r="L6966" s="140"/>
      <c r="M6966" s="154" t="s">
        <v>44861</v>
      </c>
      <c r="N6966" s="12"/>
      <c r="O6966" s="12"/>
      <c r="P6966" s="13">
        <f>IFERROR(__xludf.DUMMYFUNCTION("VALUE(SUBSTITUTE((INDEX(SPLIT(A6966,"",""),1)),""."","","",1))"),53.187855)</f>
        <v>53.187855</v>
      </c>
      <c r="Q6966" s="13">
        <f>IFERROR(__xludf.DUMMYFUNCTION("VALUE(SUBSTITUTE((INDEX(SPLIT(A6966,"",""),2)),""."","","",1))"),50.244022)</f>
        <v>50.244022</v>
      </c>
      <c r="R6966" s="14" t="b">
        <f t="shared" si="1"/>
        <v>0</v>
      </c>
      <c r="S6966" s="14" t="str">
        <f t="shared" si="2"/>
        <v>53.187855,50.244022</v>
      </c>
      <c r="T6966" s="12"/>
    </row>
    <row r="6967">
      <c r="A6967" s="142" t="s">
        <v>44862</v>
      </c>
      <c r="B6967" s="143" t="s">
        <v>44863</v>
      </c>
      <c r="C6967" s="143" t="s">
        <v>44864</v>
      </c>
      <c r="D6967" s="143" t="s">
        <v>33342</v>
      </c>
      <c r="E6967" s="144" t="s">
        <v>44865</v>
      </c>
      <c r="F6967" s="142" t="s">
        <v>21049</v>
      </c>
      <c r="G6967" s="142" t="s">
        <v>33344</v>
      </c>
      <c r="H6967" s="142"/>
      <c r="I6967" s="143"/>
      <c r="J6967" s="143" t="s">
        <v>44866</v>
      </c>
      <c r="K6967" s="143" t="s">
        <v>44867</v>
      </c>
      <c r="L6967" s="152" t="s">
        <v>44868</v>
      </c>
      <c r="M6967" s="143"/>
      <c r="N6967" s="12"/>
      <c r="O6967" s="12"/>
      <c r="P6967" s="13">
        <f>IFERROR(__xludf.DUMMYFUNCTION("VALUE(SUBSTITUTE((INDEX(SPLIT(A6967,"",""),1)),""."","","",1))"),53.210689)</f>
        <v>53.210689</v>
      </c>
      <c r="Q6967" s="13">
        <f>IFERROR(__xludf.DUMMYFUNCTION("VALUE(SUBSTITUTE((INDEX(SPLIT(A6967,"",""),2)),""."","","",1))"),50.17319)</f>
        <v>50.17319</v>
      </c>
      <c r="R6967" s="14" t="b">
        <f t="shared" si="1"/>
        <v>0</v>
      </c>
      <c r="S6967" s="14" t="str">
        <f t="shared" si="2"/>
        <v>53.210689,50.17319</v>
      </c>
      <c r="T6967" s="12"/>
    </row>
    <row r="6968">
      <c r="A6968" s="139" t="s">
        <v>44869</v>
      </c>
      <c r="B6968" s="140" t="s">
        <v>4306</v>
      </c>
      <c r="C6968" s="140" t="s">
        <v>44870</v>
      </c>
      <c r="D6968" s="140" t="s">
        <v>33342</v>
      </c>
      <c r="E6968" s="141" t="s">
        <v>44871</v>
      </c>
      <c r="F6968" s="139" t="s">
        <v>21049</v>
      </c>
      <c r="G6968" s="139" t="s">
        <v>33344</v>
      </c>
      <c r="H6968" s="139"/>
      <c r="I6968" s="140"/>
      <c r="J6968" s="140" t="s">
        <v>44872</v>
      </c>
      <c r="K6968" s="140" t="s">
        <v>44873</v>
      </c>
      <c r="L6968" s="140"/>
      <c r="M6968" s="140"/>
      <c r="N6968" s="12"/>
      <c r="O6968" s="12"/>
      <c r="P6968" s="13">
        <f>IFERROR(__xludf.DUMMYFUNCTION("VALUE(SUBSTITUTE((INDEX(SPLIT(A6968,"",""),1)),""."","","",1))"),53.1985)</f>
        <v>53.1985</v>
      </c>
      <c r="Q6968" s="13">
        <f>IFERROR(__xludf.DUMMYFUNCTION("VALUE(SUBSTITUTE((INDEX(SPLIT(A6968,"",""),2)),""."","","",1))"),50.202907)</f>
        <v>50.202907</v>
      </c>
      <c r="R6968" s="14" t="b">
        <f t="shared" si="1"/>
        <v>0</v>
      </c>
      <c r="S6968" s="14" t="str">
        <f t="shared" si="2"/>
        <v>53.1985,50.202907</v>
      </c>
      <c r="T6968" s="12"/>
    </row>
    <row r="6969">
      <c r="A6969" s="142" t="s">
        <v>44874</v>
      </c>
      <c r="B6969" s="143" t="s">
        <v>44875</v>
      </c>
      <c r="C6969" s="143" t="s">
        <v>44876</v>
      </c>
      <c r="D6969" s="143" t="s">
        <v>33342</v>
      </c>
      <c r="E6969" s="144" t="s">
        <v>44877</v>
      </c>
      <c r="F6969" s="142" t="s">
        <v>21049</v>
      </c>
      <c r="G6969" s="142" t="s">
        <v>33344</v>
      </c>
      <c r="H6969" s="142"/>
      <c r="I6969" s="143"/>
      <c r="J6969" s="143" t="s">
        <v>44878</v>
      </c>
      <c r="K6969" s="143" t="s">
        <v>44879</v>
      </c>
      <c r="L6969" s="145" t="s">
        <v>44880</v>
      </c>
      <c r="M6969" s="143"/>
      <c r="N6969" s="12"/>
      <c r="O6969" s="12"/>
      <c r="P6969" s="13">
        <f>IFERROR(__xludf.DUMMYFUNCTION("VALUE(SUBSTITUTE((INDEX(SPLIT(A6969,"",""),1)),""."","","",1))"),53.228805)</f>
        <v>53.228805</v>
      </c>
      <c r="Q6969" s="13">
        <f>IFERROR(__xludf.DUMMYFUNCTION("VALUE(SUBSTITUTE((INDEX(SPLIT(A6969,"",""),2)),""."","","",1))"),50.261962)</f>
        <v>50.261962</v>
      </c>
      <c r="R6969" s="14" t="b">
        <f t="shared" si="1"/>
        <v>0</v>
      </c>
      <c r="S6969" s="14" t="str">
        <f t="shared" si="2"/>
        <v>53.228805,50.261962</v>
      </c>
      <c r="T6969" s="12"/>
    </row>
    <row r="6970">
      <c r="A6970" s="146" t="s">
        <v>44881</v>
      </c>
      <c r="B6970" s="147" t="s">
        <v>44882</v>
      </c>
      <c r="C6970" s="147" t="s">
        <v>44883</v>
      </c>
      <c r="D6970" s="147" t="s">
        <v>33342</v>
      </c>
      <c r="E6970" s="148" t="s">
        <v>44884</v>
      </c>
      <c r="F6970" s="146" t="s">
        <v>21049</v>
      </c>
      <c r="G6970" s="146" t="s">
        <v>33344</v>
      </c>
      <c r="H6970" s="146"/>
      <c r="I6970" s="147"/>
      <c r="J6970" s="147" t="s">
        <v>44885</v>
      </c>
      <c r="K6970" s="147" t="s">
        <v>44886</v>
      </c>
      <c r="L6970" s="149" t="s">
        <v>44887</v>
      </c>
      <c r="M6970" s="149" t="s">
        <v>44888</v>
      </c>
      <c r="N6970" s="12"/>
      <c r="O6970" s="12"/>
      <c r="P6970" s="13">
        <f>IFERROR(__xludf.DUMMYFUNCTION("VALUE(SUBSTITUTE((INDEX(SPLIT(A6970,"",""),1)),""."","","",1))"),53.251251)</f>
        <v>53.251251</v>
      </c>
      <c r="Q6970" s="13">
        <f>IFERROR(__xludf.DUMMYFUNCTION("VALUE(SUBSTITUTE((INDEX(SPLIT(A6970,"",""),2)),""."","","",1))"),50.259644)</f>
        <v>50.259644</v>
      </c>
      <c r="R6970" s="14" t="b">
        <f t="shared" si="1"/>
        <v>0</v>
      </c>
      <c r="S6970" s="14" t="str">
        <f t="shared" si="2"/>
        <v>53.251251,50.259644</v>
      </c>
      <c r="T6970" s="12"/>
    </row>
    <row r="6971">
      <c r="A6971" s="136" t="s">
        <v>44889</v>
      </c>
      <c r="B6971" s="137" t="s">
        <v>44890</v>
      </c>
      <c r="C6971" s="137" t="s">
        <v>44891</v>
      </c>
      <c r="D6971" s="137" t="s">
        <v>33342</v>
      </c>
      <c r="E6971" s="138" t="s">
        <v>44892</v>
      </c>
      <c r="F6971" s="136" t="s">
        <v>21049</v>
      </c>
      <c r="G6971" s="136" t="s">
        <v>33344</v>
      </c>
      <c r="H6971" s="136"/>
      <c r="I6971" s="137"/>
      <c r="J6971" s="137" t="s">
        <v>44893</v>
      </c>
      <c r="K6971" s="137" t="s">
        <v>44894</v>
      </c>
      <c r="L6971" s="137"/>
      <c r="M6971" s="137"/>
      <c r="N6971" s="12"/>
      <c r="O6971" s="12"/>
      <c r="P6971" s="13">
        <f>IFERROR(__xludf.DUMMYFUNCTION("VALUE(SUBSTITUTE((INDEX(SPLIT(A6971,"",""),1)),""."","","",1))"),53.185508)</f>
        <v>53.185508</v>
      </c>
      <c r="Q6971" s="13">
        <f>IFERROR(__xludf.DUMMYFUNCTION("VALUE(SUBSTITUTE((INDEX(SPLIT(A6971,"",""),2)),""."","","",1))"),50.161422)</f>
        <v>50.161422</v>
      </c>
      <c r="R6971" s="14" t="b">
        <f t="shared" si="1"/>
        <v>0</v>
      </c>
      <c r="S6971" s="14" t="str">
        <f t="shared" si="2"/>
        <v>53.185508,50.161422</v>
      </c>
      <c r="T6971" s="12"/>
    </row>
    <row r="6972">
      <c r="A6972" s="139" t="s">
        <v>44895</v>
      </c>
      <c r="B6972" s="140" t="s">
        <v>44896</v>
      </c>
      <c r="C6972" s="140" t="s">
        <v>44897</v>
      </c>
      <c r="D6972" s="140" t="s">
        <v>33342</v>
      </c>
      <c r="E6972" s="141" t="s">
        <v>44898</v>
      </c>
      <c r="F6972" s="139" t="s">
        <v>21049</v>
      </c>
      <c r="G6972" s="139" t="s">
        <v>33344</v>
      </c>
      <c r="H6972" s="139"/>
      <c r="I6972" s="140"/>
      <c r="J6972" s="140" t="s">
        <v>44899</v>
      </c>
      <c r="K6972" s="140" t="s">
        <v>44900</v>
      </c>
      <c r="L6972" s="140"/>
      <c r="M6972" s="154" t="s">
        <v>44901</v>
      </c>
      <c r="N6972" s="12"/>
      <c r="O6972" s="12"/>
      <c r="P6972" s="13">
        <f>IFERROR(__xludf.DUMMYFUNCTION("VALUE(SUBSTITUTE((INDEX(SPLIT(A6972,"",""),1)),""."","","",1))"),53.257457)</f>
        <v>53.257457</v>
      </c>
      <c r="Q6972" s="13">
        <f>IFERROR(__xludf.DUMMYFUNCTION("VALUE(SUBSTITUTE((INDEX(SPLIT(A6972,"",""),2)),""."","","",1))"),50.223757)</f>
        <v>50.223757</v>
      </c>
      <c r="R6972" s="14" t="b">
        <f t="shared" si="1"/>
        <v>0</v>
      </c>
      <c r="S6972" s="14" t="str">
        <f t="shared" si="2"/>
        <v>53.257457,50.223757</v>
      </c>
      <c r="T6972" s="12"/>
    </row>
    <row r="6973">
      <c r="A6973" s="142" t="s">
        <v>44902</v>
      </c>
      <c r="B6973" s="143" t="s">
        <v>44903</v>
      </c>
      <c r="C6973" s="143" t="s">
        <v>44904</v>
      </c>
      <c r="D6973" s="143" t="s">
        <v>33342</v>
      </c>
      <c r="E6973" s="144" t="s">
        <v>44905</v>
      </c>
      <c r="F6973" s="142" t="s">
        <v>21049</v>
      </c>
      <c r="G6973" s="142" t="s">
        <v>33344</v>
      </c>
      <c r="H6973" s="142"/>
      <c r="I6973" s="143"/>
      <c r="J6973" s="143" t="s">
        <v>44906</v>
      </c>
      <c r="K6973" s="143" t="s">
        <v>44907</v>
      </c>
      <c r="L6973" s="152" t="s">
        <v>44908</v>
      </c>
      <c r="M6973" s="143"/>
      <c r="N6973" s="12"/>
      <c r="O6973" s="12"/>
      <c r="P6973" s="13">
        <f>IFERROR(__xludf.DUMMYFUNCTION("VALUE(SUBSTITUTE((INDEX(SPLIT(A6973,"",""),1)),""."","","",1))"),53.204525)</f>
        <v>53.204525</v>
      </c>
      <c r="Q6973" s="13">
        <f>IFERROR(__xludf.DUMMYFUNCTION("VALUE(SUBSTITUTE((INDEX(SPLIT(A6973,"",""),2)),""."","","",1))"),50.298398)</f>
        <v>50.298398</v>
      </c>
      <c r="R6973" s="14" t="b">
        <f t="shared" si="1"/>
        <v>0</v>
      </c>
      <c r="S6973" s="14" t="str">
        <f t="shared" si="2"/>
        <v>53.204525,50.298398</v>
      </c>
      <c r="T6973" s="12"/>
    </row>
    <row r="6974">
      <c r="A6974" s="139" t="s">
        <v>44909</v>
      </c>
      <c r="B6974" s="140" t="s">
        <v>44910</v>
      </c>
      <c r="C6974" s="140" t="s">
        <v>44911</v>
      </c>
      <c r="D6974" s="140" t="s">
        <v>33342</v>
      </c>
      <c r="E6974" s="141" t="s">
        <v>44912</v>
      </c>
      <c r="F6974" s="139" t="s">
        <v>21049</v>
      </c>
      <c r="G6974" s="139" t="s">
        <v>33344</v>
      </c>
      <c r="H6974" s="139"/>
      <c r="I6974" s="140"/>
      <c r="J6974" s="140" t="s">
        <v>44913</v>
      </c>
      <c r="K6974" s="140" t="s">
        <v>44914</v>
      </c>
      <c r="L6974" s="140"/>
      <c r="M6974" s="154" t="s">
        <v>44915</v>
      </c>
      <c r="N6974" s="12"/>
      <c r="O6974" s="12"/>
      <c r="P6974" s="13">
        <f>IFERROR(__xludf.DUMMYFUNCTION("VALUE(SUBSTITUTE((INDEX(SPLIT(A6974,"",""),1)),""."","","",1))"),53.563231)</f>
        <v>53.563231</v>
      </c>
      <c r="Q6974" s="13">
        <f>IFERROR(__xludf.DUMMYFUNCTION("VALUE(SUBSTITUTE((INDEX(SPLIT(A6974,"",""),2)),""."","","",1))"),49.292554)</f>
        <v>49.292554</v>
      </c>
      <c r="R6974" s="14" t="b">
        <f t="shared" si="1"/>
        <v>0</v>
      </c>
      <c r="S6974" s="14" t="str">
        <f t="shared" si="2"/>
        <v>53.563231,49.292554</v>
      </c>
      <c r="T6974" s="12"/>
    </row>
    <row r="6975">
      <c r="A6975" s="136" t="s">
        <v>44916</v>
      </c>
      <c r="B6975" s="137" t="s">
        <v>44917</v>
      </c>
      <c r="C6975" s="137" t="s">
        <v>44918</v>
      </c>
      <c r="D6975" s="137" t="s">
        <v>33342</v>
      </c>
      <c r="E6975" s="138" t="s">
        <v>44919</v>
      </c>
      <c r="F6975" s="136" t="s">
        <v>21049</v>
      </c>
      <c r="G6975" s="136" t="s">
        <v>33344</v>
      </c>
      <c r="H6975" s="136"/>
      <c r="I6975" s="137"/>
      <c r="J6975" s="137" t="s">
        <v>44920</v>
      </c>
      <c r="K6975" s="137" t="s">
        <v>44921</v>
      </c>
      <c r="L6975" s="137"/>
      <c r="M6975" s="137"/>
      <c r="N6975" s="12"/>
      <c r="O6975" s="12"/>
      <c r="P6975" s="13">
        <f>IFERROR(__xludf.DUMMYFUNCTION("VALUE(SUBSTITUTE((INDEX(SPLIT(A6975,"",""),1)),""."","","",1))"),53.528957)</f>
        <v>53.528957</v>
      </c>
      <c r="Q6975" s="13">
        <f>IFERROR(__xludf.DUMMYFUNCTION("VALUE(SUBSTITUTE((INDEX(SPLIT(A6975,"",""),2)),""."","","",1))"),49.3266)</f>
        <v>49.3266</v>
      </c>
      <c r="R6975" s="14" t="b">
        <f t="shared" si="1"/>
        <v>0</v>
      </c>
      <c r="S6975" s="14" t="str">
        <f t="shared" si="2"/>
        <v>53.528957,49.3266</v>
      </c>
      <c r="T6975" s="12"/>
    </row>
    <row r="6976">
      <c r="A6976" s="146" t="s">
        <v>44922</v>
      </c>
      <c r="B6976" s="147" t="s">
        <v>44923</v>
      </c>
      <c r="C6976" s="147" t="s">
        <v>44924</v>
      </c>
      <c r="D6976" s="147" t="s">
        <v>33342</v>
      </c>
      <c r="E6976" s="148" t="s">
        <v>44925</v>
      </c>
      <c r="F6976" s="146" t="s">
        <v>21049</v>
      </c>
      <c r="G6976" s="146" t="s">
        <v>33344</v>
      </c>
      <c r="H6976" s="146"/>
      <c r="I6976" s="147"/>
      <c r="J6976" s="147" t="s">
        <v>44926</v>
      </c>
      <c r="K6976" s="147" t="s">
        <v>44927</v>
      </c>
      <c r="L6976" s="149" t="s">
        <v>44928</v>
      </c>
      <c r="M6976" s="147"/>
      <c r="N6976" s="12"/>
      <c r="O6976" s="12"/>
      <c r="P6976" s="13">
        <f>IFERROR(__xludf.DUMMYFUNCTION("VALUE(SUBSTITUTE((INDEX(SPLIT(A6976,"",""),1)),""."","","",1))"),53.509983)</f>
        <v>53.509983</v>
      </c>
      <c r="Q6976" s="13">
        <f>IFERROR(__xludf.DUMMYFUNCTION("VALUE(SUBSTITUTE((INDEX(SPLIT(A6976,"",""),2)),""."","","",1))"),49.300989)</f>
        <v>49.300989</v>
      </c>
      <c r="R6976" s="14" t="b">
        <f t="shared" si="1"/>
        <v>0</v>
      </c>
      <c r="S6976" s="14" t="str">
        <f t="shared" si="2"/>
        <v>53.509983,49.300989</v>
      </c>
      <c r="T6976" s="12"/>
    </row>
    <row r="6977">
      <c r="A6977" s="136" t="s">
        <v>44929</v>
      </c>
      <c r="B6977" s="137" t="s">
        <v>44930</v>
      </c>
      <c r="C6977" s="137" t="s">
        <v>44931</v>
      </c>
      <c r="D6977" s="137" t="s">
        <v>33342</v>
      </c>
      <c r="E6977" s="138" t="s">
        <v>44932</v>
      </c>
      <c r="F6977" s="136" t="s">
        <v>21049</v>
      </c>
      <c r="G6977" s="136" t="s">
        <v>33344</v>
      </c>
      <c r="H6977" s="136"/>
      <c r="I6977" s="137"/>
      <c r="J6977" s="137" t="s">
        <v>44933</v>
      </c>
      <c r="K6977" s="137" t="s">
        <v>44934</v>
      </c>
      <c r="L6977" s="137"/>
      <c r="M6977" s="137"/>
      <c r="N6977" s="12"/>
      <c r="O6977" s="12"/>
      <c r="P6977" s="13">
        <f>IFERROR(__xludf.DUMMYFUNCTION("VALUE(SUBSTITUTE((INDEX(SPLIT(A6977,"",""),1)),""."","","",1))"),53.525713)</f>
        <v>53.525713</v>
      </c>
      <c r="Q6977" s="13">
        <f>IFERROR(__xludf.DUMMYFUNCTION("VALUE(SUBSTITUTE((INDEX(SPLIT(A6977,"",""),2)),""."","","",1))"),49.327561)</f>
        <v>49.327561</v>
      </c>
      <c r="R6977" s="14" t="b">
        <f t="shared" si="1"/>
        <v>0</v>
      </c>
      <c r="S6977" s="14" t="str">
        <f t="shared" si="2"/>
        <v>53.525713,49.327561</v>
      </c>
      <c r="T6977" s="12"/>
    </row>
    <row r="6978">
      <c r="A6978" s="139" t="s">
        <v>44935</v>
      </c>
      <c r="B6978" s="140" t="s">
        <v>44936</v>
      </c>
      <c r="C6978" s="140" t="s">
        <v>44937</v>
      </c>
      <c r="D6978" s="140" t="s">
        <v>33342</v>
      </c>
      <c r="E6978" s="141" t="s">
        <v>44938</v>
      </c>
      <c r="F6978" s="139" t="s">
        <v>21049</v>
      </c>
      <c r="G6978" s="139" t="s">
        <v>33344</v>
      </c>
      <c r="H6978" s="139"/>
      <c r="I6978" s="140"/>
      <c r="J6978" s="140" t="s">
        <v>44939</v>
      </c>
      <c r="K6978" s="140" t="s">
        <v>44940</v>
      </c>
      <c r="L6978" s="140"/>
      <c r="M6978" s="140"/>
      <c r="N6978" s="12"/>
      <c r="O6978" s="12"/>
      <c r="P6978" s="13">
        <f>IFERROR(__xludf.DUMMYFUNCTION("VALUE(SUBSTITUTE((INDEX(SPLIT(A6978,"",""),1)),""."","","",1))"),53.514192)</f>
        <v>53.514192</v>
      </c>
      <c r="Q6978" s="13">
        <f>IFERROR(__xludf.DUMMYFUNCTION("VALUE(SUBSTITUTE((INDEX(SPLIT(A6978,"",""),2)),""."","","",1))"),49.428613)</f>
        <v>49.428613</v>
      </c>
      <c r="R6978" s="14" t="b">
        <f t="shared" si="1"/>
        <v>0</v>
      </c>
      <c r="S6978" s="14" t="str">
        <f t="shared" si="2"/>
        <v>53.514192,49.428613</v>
      </c>
      <c r="T6978" s="12"/>
    </row>
    <row r="6979">
      <c r="A6979" s="136" t="s">
        <v>44941</v>
      </c>
      <c r="B6979" s="137" t="s">
        <v>44942</v>
      </c>
      <c r="C6979" s="137" t="s">
        <v>44943</v>
      </c>
      <c r="D6979" s="137" t="s">
        <v>33342</v>
      </c>
      <c r="E6979" s="138" t="s">
        <v>44944</v>
      </c>
      <c r="F6979" s="136" t="s">
        <v>21049</v>
      </c>
      <c r="G6979" s="136" t="s">
        <v>33344</v>
      </c>
      <c r="H6979" s="136"/>
      <c r="I6979" s="137"/>
      <c r="J6979" s="137" t="s">
        <v>44945</v>
      </c>
      <c r="K6979" s="137" t="s">
        <v>44946</v>
      </c>
      <c r="L6979" s="137"/>
      <c r="M6979" s="137"/>
      <c r="N6979" s="12"/>
      <c r="O6979" s="12"/>
      <c r="P6979" s="13">
        <f>IFERROR(__xludf.DUMMYFUNCTION("VALUE(SUBSTITUTE((INDEX(SPLIT(A6979,"",""),1)),""."","","",1))"),53.515493)</f>
        <v>53.515493</v>
      </c>
      <c r="Q6979" s="13">
        <f>IFERROR(__xludf.DUMMYFUNCTION("VALUE(SUBSTITUTE((INDEX(SPLIT(A6979,"",""),2)),""."","","",1))"),49.412784)</f>
        <v>49.412784</v>
      </c>
      <c r="R6979" s="14" t="b">
        <f t="shared" si="1"/>
        <v>0</v>
      </c>
      <c r="S6979" s="14" t="str">
        <f t="shared" si="2"/>
        <v>53.515493,49.412784</v>
      </c>
      <c r="T6979" s="12"/>
    </row>
    <row r="6980">
      <c r="A6980" s="139" t="s">
        <v>20955</v>
      </c>
      <c r="B6980" s="140" t="s">
        <v>44947</v>
      </c>
      <c r="C6980" s="140" t="s">
        <v>44948</v>
      </c>
      <c r="D6980" s="140" t="s">
        <v>33342</v>
      </c>
      <c r="E6980" s="141" t="s">
        <v>44949</v>
      </c>
      <c r="F6980" s="139" t="s">
        <v>21049</v>
      </c>
      <c r="G6980" s="139" t="s">
        <v>33344</v>
      </c>
      <c r="H6980" s="139"/>
      <c r="I6980" s="157" t="s">
        <v>44950</v>
      </c>
      <c r="J6980" s="140" t="s">
        <v>44951</v>
      </c>
      <c r="K6980" s="140" t="s">
        <v>44952</v>
      </c>
      <c r="L6980" s="140"/>
      <c r="M6980" s="140"/>
      <c r="N6980" s="12"/>
      <c r="O6980" s="12"/>
      <c r="P6980" s="13">
        <f>IFERROR(__xludf.DUMMYFUNCTION("VALUE(SUBSTITUTE((INDEX(SPLIT(A6980,"",""),1)),""."","","",1))"),53.507852)</f>
        <v>53.507852</v>
      </c>
      <c r="Q6980" s="13">
        <f>IFERROR(__xludf.DUMMYFUNCTION("VALUE(SUBSTITUTE((INDEX(SPLIT(A6980,"",""),2)),""."","","",1))"),49.420411)</f>
        <v>49.420411</v>
      </c>
      <c r="R6980" s="14" t="b">
        <f t="shared" si="1"/>
        <v>0</v>
      </c>
      <c r="S6980" s="14" t="str">
        <f t="shared" si="2"/>
        <v>53.507852,49.420411</v>
      </c>
      <c r="T6980" s="12"/>
    </row>
    <row r="6981">
      <c r="A6981" s="142" t="s">
        <v>44953</v>
      </c>
      <c r="B6981" s="143" t="s">
        <v>44954</v>
      </c>
      <c r="C6981" s="143" t="s">
        <v>44955</v>
      </c>
      <c r="D6981" s="143" t="s">
        <v>33342</v>
      </c>
      <c r="E6981" s="144" t="s">
        <v>44956</v>
      </c>
      <c r="F6981" s="142" t="s">
        <v>21049</v>
      </c>
      <c r="G6981" s="142" t="s">
        <v>33344</v>
      </c>
      <c r="H6981" s="142"/>
      <c r="I6981" s="143"/>
      <c r="J6981" s="143" t="s">
        <v>44957</v>
      </c>
      <c r="K6981" s="143" t="s">
        <v>44958</v>
      </c>
      <c r="L6981" s="145" t="s">
        <v>44959</v>
      </c>
      <c r="M6981" s="143"/>
      <c r="N6981" s="12"/>
      <c r="O6981" s="12"/>
      <c r="P6981" s="13">
        <f>IFERROR(__xludf.DUMMYFUNCTION("VALUE(SUBSTITUTE((INDEX(SPLIT(A6981,"",""),1)),""."","","",1))"),53.5262)</f>
        <v>53.5262</v>
      </c>
      <c r="Q6981" s="13">
        <f>IFERROR(__xludf.DUMMYFUNCTION("VALUE(SUBSTITUTE((INDEX(SPLIT(A6981,"",""),2)),""."","","",1))"),49.338961)</f>
        <v>49.338961</v>
      </c>
      <c r="R6981" s="14" t="b">
        <f t="shared" si="1"/>
        <v>0</v>
      </c>
      <c r="S6981" s="14" t="str">
        <f t="shared" si="2"/>
        <v>53.5262,49.338961</v>
      </c>
      <c r="T6981" s="12"/>
    </row>
    <row r="6982">
      <c r="A6982" s="139" t="s">
        <v>44960</v>
      </c>
      <c r="B6982" s="140" t="s">
        <v>44961</v>
      </c>
      <c r="C6982" s="140" t="s">
        <v>44962</v>
      </c>
      <c r="D6982" s="140" t="s">
        <v>33342</v>
      </c>
      <c r="E6982" s="141" t="s">
        <v>44963</v>
      </c>
      <c r="F6982" s="139" t="s">
        <v>21049</v>
      </c>
      <c r="G6982" s="139" t="s">
        <v>33344</v>
      </c>
      <c r="H6982" s="139"/>
      <c r="I6982" s="140"/>
      <c r="J6982" s="140" t="s">
        <v>44964</v>
      </c>
      <c r="K6982" s="140" t="s">
        <v>44965</v>
      </c>
      <c r="L6982" s="140"/>
      <c r="M6982" s="140"/>
      <c r="N6982" s="12"/>
      <c r="O6982" s="12"/>
      <c r="P6982" s="13">
        <f>IFERROR(__xludf.DUMMYFUNCTION("VALUE(SUBSTITUTE((INDEX(SPLIT(A6982,"",""),1)),""."","","",1))"),53.517506)</f>
        <v>53.517506</v>
      </c>
      <c r="Q6982" s="13">
        <f>IFERROR(__xludf.DUMMYFUNCTION("VALUE(SUBSTITUTE((INDEX(SPLIT(A6982,"",""),2)),""."","","",1))"),49.429583)</f>
        <v>49.429583</v>
      </c>
      <c r="R6982" s="14" t="b">
        <f t="shared" si="1"/>
        <v>0</v>
      </c>
      <c r="S6982" s="14" t="str">
        <f t="shared" si="2"/>
        <v>53.517506,49.429583</v>
      </c>
      <c r="T6982" s="12"/>
    </row>
    <row r="6983">
      <c r="A6983" s="136" t="s">
        <v>44966</v>
      </c>
      <c r="B6983" s="137" t="s">
        <v>44967</v>
      </c>
      <c r="C6983" s="137" t="s">
        <v>44968</v>
      </c>
      <c r="D6983" s="137" t="s">
        <v>33342</v>
      </c>
      <c r="E6983" s="138" t="s">
        <v>44969</v>
      </c>
      <c r="F6983" s="136" t="s">
        <v>21049</v>
      </c>
      <c r="G6983" s="136" t="s">
        <v>33344</v>
      </c>
      <c r="H6983" s="136"/>
      <c r="I6983" s="137"/>
      <c r="J6983" s="137" t="s">
        <v>44970</v>
      </c>
      <c r="K6983" s="137" t="s">
        <v>44971</v>
      </c>
      <c r="L6983" s="137"/>
      <c r="M6983" s="153" t="s">
        <v>44972</v>
      </c>
      <c r="N6983" s="12"/>
      <c r="O6983" s="12"/>
      <c r="P6983" s="13">
        <f>IFERROR(__xludf.DUMMYFUNCTION("VALUE(SUBSTITUTE((INDEX(SPLIT(A6983,"",""),1)),""."","","",1))"),53.525017)</f>
        <v>53.525017</v>
      </c>
      <c r="Q6983" s="13">
        <f>IFERROR(__xludf.DUMMYFUNCTION("VALUE(SUBSTITUTE((INDEX(SPLIT(A6983,"",""),2)),""."","","",1))"),49.471885)</f>
        <v>49.471885</v>
      </c>
      <c r="R6983" s="14" t="b">
        <f t="shared" si="1"/>
        <v>0</v>
      </c>
      <c r="S6983" s="14" t="str">
        <f t="shared" si="2"/>
        <v>53.525017,49.471885</v>
      </c>
      <c r="T6983" s="12"/>
    </row>
    <row r="6984">
      <c r="A6984" s="139" t="s">
        <v>44973</v>
      </c>
      <c r="B6984" s="140" t="s">
        <v>44974</v>
      </c>
      <c r="C6984" s="140" t="s">
        <v>44975</v>
      </c>
      <c r="D6984" s="140" t="s">
        <v>33342</v>
      </c>
      <c r="E6984" s="141" t="s">
        <v>44976</v>
      </c>
      <c r="F6984" s="139" t="s">
        <v>21049</v>
      </c>
      <c r="G6984" s="139" t="s">
        <v>33344</v>
      </c>
      <c r="H6984" s="139"/>
      <c r="I6984" s="140"/>
      <c r="J6984" s="140" t="s">
        <v>44977</v>
      </c>
      <c r="K6984" s="140" t="s">
        <v>44978</v>
      </c>
      <c r="L6984" s="140"/>
      <c r="M6984" s="154" t="s">
        <v>44979</v>
      </c>
      <c r="N6984" s="12"/>
      <c r="O6984" s="12"/>
      <c r="P6984" s="13">
        <f>IFERROR(__xludf.DUMMYFUNCTION("VALUE(SUBSTITUTE((INDEX(SPLIT(A6984,"",""),1)),""."","","",1))"),53.483115)</f>
        <v>53.483115</v>
      </c>
      <c r="Q6984" s="13">
        <f>IFERROR(__xludf.DUMMYFUNCTION("VALUE(SUBSTITUTE((INDEX(SPLIT(A6984,"",""),2)),""."","","",1))"),49.461599)</f>
        <v>49.461599</v>
      </c>
      <c r="R6984" s="14" t="b">
        <f t="shared" si="1"/>
        <v>0</v>
      </c>
      <c r="S6984" s="14" t="str">
        <f t="shared" si="2"/>
        <v>53.483115,49.461599</v>
      </c>
      <c r="T6984" s="12"/>
    </row>
    <row r="6985">
      <c r="A6985" s="136" t="s">
        <v>44980</v>
      </c>
      <c r="B6985" s="137" t="s">
        <v>2411</v>
      </c>
      <c r="C6985" s="137" t="s">
        <v>44981</v>
      </c>
      <c r="D6985" s="137" t="s">
        <v>33342</v>
      </c>
      <c r="E6985" s="138" t="s">
        <v>44982</v>
      </c>
      <c r="F6985" s="136" t="s">
        <v>21049</v>
      </c>
      <c r="G6985" s="136" t="s">
        <v>33344</v>
      </c>
      <c r="H6985" s="136"/>
      <c r="I6985" s="137"/>
      <c r="J6985" s="137" t="s">
        <v>44983</v>
      </c>
      <c r="K6985" s="137" t="s">
        <v>44984</v>
      </c>
      <c r="L6985" s="137"/>
      <c r="M6985" s="137"/>
      <c r="N6985" s="12"/>
      <c r="O6985" s="12"/>
      <c r="P6985" s="13">
        <f>IFERROR(__xludf.DUMMYFUNCTION("VALUE(SUBSTITUTE((INDEX(SPLIT(A6985,"",""),1)),""."","","",1))"),53.088341)</f>
        <v>53.088341</v>
      </c>
      <c r="Q6985" s="13">
        <f>IFERROR(__xludf.DUMMYFUNCTION("VALUE(SUBSTITUTE((INDEX(SPLIT(A6985,"",""),2)),""."","","",1))"),50.064934)</f>
        <v>50.064934</v>
      </c>
      <c r="R6985" s="14" t="b">
        <f t="shared" si="1"/>
        <v>0</v>
      </c>
      <c r="S6985" s="14" t="str">
        <f t="shared" si="2"/>
        <v>53.088341,50.064934</v>
      </c>
      <c r="T6985" s="12"/>
    </row>
    <row r="6986">
      <c r="A6986" s="146" t="s">
        <v>44985</v>
      </c>
      <c r="B6986" s="147" t="s">
        <v>44986</v>
      </c>
      <c r="C6986" s="147" t="s">
        <v>44987</v>
      </c>
      <c r="D6986" s="147" t="s">
        <v>33342</v>
      </c>
      <c r="E6986" s="148" t="s">
        <v>44988</v>
      </c>
      <c r="F6986" s="146" t="s">
        <v>21049</v>
      </c>
      <c r="G6986" s="146" t="s">
        <v>33344</v>
      </c>
      <c r="H6986" s="146"/>
      <c r="I6986" s="147"/>
      <c r="J6986" s="147" t="s">
        <v>44989</v>
      </c>
      <c r="K6986" s="147" t="s">
        <v>44990</v>
      </c>
      <c r="L6986" s="149" t="s">
        <v>44991</v>
      </c>
      <c r="M6986" s="147"/>
      <c r="N6986" s="12"/>
      <c r="O6986" s="12"/>
      <c r="P6986" s="13">
        <f>IFERROR(__xludf.DUMMYFUNCTION("VALUE(SUBSTITUTE((INDEX(SPLIT(A6986,"",""),1)),""."","","",1))"),53.41304)</f>
        <v>53.41304</v>
      </c>
      <c r="Q6986" s="13">
        <f>IFERROR(__xludf.DUMMYFUNCTION("VALUE(SUBSTITUTE((INDEX(SPLIT(A6986,"",""),2)),""."","","",1))"),49.469244)</f>
        <v>49.469244</v>
      </c>
      <c r="R6986" s="14" t="b">
        <f t="shared" si="1"/>
        <v>0</v>
      </c>
      <c r="S6986" s="14" t="str">
        <f t="shared" si="2"/>
        <v>53.41304,49.469244</v>
      </c>
      <c r="T6986" s="12"/>
    </row>
    <row r="6987">
      <c r="A6987" s="142" t="s">
        <v>44992</v>
      </c>
      <c r="B6987" s="143" t="s">
        <v>44993</v>
      </c>
      <c r="C6987" s="143" t="s">
        <v>44994</v>
      </c>
      <c r="D6987" s="143" t="s">
        <v>33342</v>
      </c>
      <c r="E6987" s="144" t="s">
        <v>44995</v>
      </c>
      <c r="F6987" s="142" t="s">
        <v>21049</v>
      </c>
      <c r="G6987" s="142" t="s">
        <v>33344</v>
      </c>
      <c r="H6987" s="142"/>
      <c r="I6987" s="143"/>
      <c r="J6987" s="143" t="s">
        <v>44996</v>
      </c>
      <c r="K6987" s="143" t="s">
        <v>44997</v>
      </c>
      <c r="L6987" s="152" t="s">
        <v>44998</v>
      </c>
      <c r="M6987" s="143"/>
      <c r="N6987" s="12"/>
      <c r="O6987" s="12"/>
      <c r="P6987" s="13">
        <f>IFERROR(__xludf.DUMMYFUNCTION("VALUE(SUBSTITUTE((INDEX(SPLIT(A6987,"",""),1)),""."","","",1))"),53.221684)</f>
        <v>53.221684</v>
      </c>
      <c r="Q6987" s="13">
        <f>IFERROR(__xludf.DUMMYFUNCTION("VALUE(SUBSTITUTE((INDEX(SPLIT(A6987,"",""),2)),""."","","",1))"),50.604867)</f>
        <v>50.604867</v>
      </c>
      <c r="R6987" s="14" t="b">
        <f t="shared" si="1"/>
        <v>0</v>
      </c>
      <c r="S6987" s="14" t="str">
        <f t="shared" si="2"/>
        <v>53.221684,50.604867</v>
      </c>
      <c r="T6987" s="12"/>
    </row>
    <row r="6988">
      <c r="A6988" s="139" t="s">
        <v>44999</v>
      </c>
      <c r="B6988" s="140" t="s">
        <v>45000</v>
      </c>
      <c r="C6988" s="140" t="s">
        <v>45001</v>
      </c>
      <c r="D6988" s="140" t="s">
        <v>33342</v>
      </c>
      <c r="E6988" s="141" t="s">
        <v>45002</v>
      </c>
      <c r="F6988" s="139" t="s">
        <v>21049</v>
      </c>
      <c r="G6988" s="139" t="s">
        <v>33344</v>
      </c>
      <c r="H6988" s="139"/>
      <c r="I6988" s="140"/>
      <c r="J6988" s="140" t="s">
        <v>45003</v>
      </c>
      <c r="K6988" s="140" t="s">
        <v>45004</v>
      </c>
      <c r="L6988" s="140"/>
      <c r="M6988" s="140"/>
      <c r="N6988" s="12"/>
      <c r="O6988" s="12"/>
      <c r="P6988" s="13">
        <f>IFERROR(__xludf.DUMMYFUNCTION("VALUE(SUBSTITUTE((INDEX(SPLIT(A6988,"",""),1)),""."","","",1))"),53.250308)</f>
        <v>53.250308</v>
      </c>
      <c r="Q6988" s="13">
        <f>IFERROR(__xludf.DUMMYFUNCTION("VALUE(SUBSTITUTE((INDEX(SPLIT(A6988,"",""),2)),""."","","",1))"),50.475078)</f>
        <v>50.475078</v>
      </c>
      <c r="R6988" s="14" t="b">
        <f t="shared" si="1"/>
        <v>0</v>
      </c>
      <c r="S6988" s="14" t="str">
        <f t="shared" si="2"/>
        <v>53.250308,50.475078</v>
      </c>
      <c r="T6988" s="12"/>
    </row>
    <row r="6989">
      <c r="A6989" s="142" t="s">
        <v>45005</v>
      </c>
      <c r="B6989" s="143" t="s">
        <v>45006</v>
      </c>
      <c r="C6989" s="143" t="s">
        <v>45007</v>
      </c>
      <c r="D6989" s="143" t="s">
        <v>33342</v>
      </c>
      <c r="E6989" s="144" t="s">
        <v>45008</v>
      </c>
      <c r="F6989" s="142" t="s">
        <v>21049</v>
      </c>
      <c r="G6989" s="142" t="s">
        <v>33344</v>
      </c>
      <c r="H6989" s="142"/>
      <c r="I6989" s="143"/>
      <c r="J6989" s="143" t="s">
        <v>45009</v>
      </c>
      <c r="K6989" s="143" t="s">
        <v>45010</v>
      </c>
      <c r="L6989" s="145" t="s">
        <v>45011</v>
      </c>
      <c r="M6989" s="143"/>
      <c r="N6989" s="12"/>
      <c r="O6989" s="12"/>
      <c r="P6989" s="13">
        <f>IFERROR(__xludf.DUMMYFUNCTION("VALUE(SUBSTITUTE((INDEX(SPLIT(A6989,"",""),1)),""."","","",1))"),53.637402)</f>
        <v>53.637402</v>
      </c>
      <c r="Q6989" s="13">
        <f>IFERROR(__xludf.DUMMYFUNCTION("VALUE(SUBSTITUTE((INDEX(SPLIT(A6989,"",""),2)),""."","","",1))"),52.138605)</f>
        <v>52.138605</v>
      </c>
      <c r="R6989" s="14" t="b">
        <f t="shared" si="1"/>
        <v>0</v>
      </c>
      <c r="S6989" s="14" t="str">
        <f t="shared" si="2"/>
        <v>53.637402,52.138605</v>
      </c>
      <c r="T6989" s="12"/>
    </row>
    <row r="6990">
      <c r="A6990" s="139" t="s">
        <v>45012</v>
      </c>
      <c r="B6990" s="140" t="s">
        <v>45013</v>
      </c>
      <c r="C6990" s="140" t="s">
        <v>45014</v>
      </c>
      <c r="D6990" s="140" t="s">
        <v>33342</v>
      </c>
      <c r="E6990" s="141" t="s">
        <v>45015</v>
      </c>
      <c r="F6990" s="139" t="s">
        <v>21049</v>
      </c>
      <c r="G6990" s="139" t="s">
        <v>33344</v>
      </c>
      <c r="H6990" s="139"/>
      <c r="I6990" s="140"/>
      <c r="J6990" s="140" t="s">
        <v>45016</v>
      </c>
      <c r="K6990" s="140" t="s">
        <v>45017</v>
      </c>
      <c r="L6990" s="140"/>
      <c r="M6990" s="154" t="s">
        <v>45018</v>
      </c>
      <c r="N6990" s="12"/>
      <c r="O6990" s="12"/>
      <c r="P6990" s="13">
        <f>IFERROR(__xludf.DUMMYFUNCTION("VALUE(SUBSTITUTE((INDEX(SPLIT(A6990,"",""),1)),""."","","",1))"),53.415568)</f>
        <v>53.415568</v>
      </c>
      <c r="Q6990" s="13">
        <f>IFERROR(__xludf.DUMMYFUNCTION("VALUE(SUBSTITUTE((INDEX(SPLIT(A6990,"",""),2)),""."","","",1))"),50.130655)</f>
        <v>50.130655</v>
      </c>
      <c r="R6990" s="14" t="b">
        <f t="shared" si="1"/>
        <v>0</v>
      </c>
      <c r="S6990" s="14" t="str">
        <f t="shared" si="2"/>
        <v>53.415568,50.130655</v>
      </c>
      <c r="T6990" s="12"/>
    </row>
    <row r="6991">
      <c r="A6991" s="136" t="s">
        <v>45019</v>
      </c>
      <c r="B6991" s="137" t="s">
        <v>45020</v>
      </c>
      <c r="C6991" s="137" t="s">
        <v>45021</v>
      </c>
      <c r="D6991" s="137" t="s">
        <v>33342</v>
      </c>
      <c r="E6991" s="138" t="s">
        <v>45022</v>
      </c>
      <c r="F6991" s="136" t="s">
        <v>21049</v>
      </c>
      <c r="G6991" s="136" t="s">
        <v>33344</v>
      </c>
      <c r="H6991" s="136"/>
      <c r="I6991" s="137"/>
      <c r="J6991" s="137" t="s">
        <v>45023</v>
      </c>
      <c r="K6991" s="137" t="s">
        <v>45024</v>
      </c>
      <c r="L6991" s="137"/>
      <c r="M6991" s="137"/>
      <c r="N6991" s="12"/>
      <c r="O6991" s="12"/>
      <c r="P6991" s="13">
        <f>IFERROR(__xludf.DUMMYFUNCTION("VALUE(SUBSTITUTE((INDEX(SPLIT(A6991,"",""),1)),""."","","",1))"),53.394584)</f>
        <v>53.394584</v>
      </c>
      <c r="Q6991" s="13">
        <f>IFERROR(__xludf.DUMMYFUNCTION("VALUE(SUBSTITUTE((INDEX(SPLIT(A6991,"",""),2)),""."","","",1))"),50.327)</f>
        <v>50.327</v>
      </c>
      <c r="R6991" s="14" t="b">
        <f t="shared" si="1"/>
        <v>0</v>
      </c>
      <c r="S6991" s="14" t="str">
        <f t="shared" si="2"/>
        <v>53.394584,50.327</v>
      </c>
      <c r="T6991" s="12"/>
    </row>
    <row r="6992">
      <c r="A6992" s="146" t="s">
        <v>45025</v>
      </c>
      <c r="B6992" s="147" t="s">
        <v>45026</v>
      </c>
      <c r="C6992" s="147" t="s">
        <v>45027</v>
      </c>
      <c r="D6992" s="147" t="s">
        <v>33342</v>
      </c>
      <c r="E6992" s="148" t="s">
        <v>45028</v>
      </c>
      <c r="F6992" s="146" t="s">
        <v>17071</v>
      </c>
      <c r="G6992" s="146" t="s">
        <v>33344</v>
      </c>
      <c r="H6992" s="146"/>
      <c r="I6992" s="147"/>
      <c r="J6992" s="147" t="s">
        <v>45029</v>
      </c>
      <c r="K6992" s="147" t="s">
        <v>45030</v>
      </c>
      <c r="L6992" s="149" t="s">
        <v>45031</v>
      </c>
      <c r="M6992" s="147"/>
      <c r="N6992" s="12"/>
      <c r="O6992" s="12"/>
      <c r="P6992" s="13">
        <f>IFERROR(__xludf.DUMMYFUNCTION("VALUE(SUBSTITUTE((INDEX(SPLIT(A6992,"",""),1)),""."","","",1))"),51.35002)</f>
        <v>51.35002</v>
      </c>
      <c r="Q6992" s="13">
        <f>IFERROR(__xludf.DUMMYFUNCTION("VALUE(SUBSTITUTE((INDEX(SPLIT(A6992,"",""),2)),""."","","",1))"),48.277646)</f>
        <v>48.277646</v>
      </c>
      <c r="R6992" s="14" t="b">
        <f t="shared" si="1"/>
        <v>0</v>
      </c>
      <c r="S6992" s="14" t="str">
        <f t="shared" si="2"/>
        <v>51.35002,48.277646</v>
      </c>
      <c r="T6992" s="12"/>
    </row>
    <row r="6993">
      <c r="A6993" s="136" t="s">
        <v>45032</v>
      </c>
      <c r="B6993" s="137" t="s">
        <v>32151</v>
      </c>
      <c r="C6993" s="137" t="s">
        <v>45033</v>
      </c>
      <c r="D6993" s="137" t="s">
        <v>33342</v>
      </c>
      <c r="E6993" s="138" t="s">
        <v>45034</v>
      </c>
      <c r="F6993" s="136" t="s">
        <v>17071</v>
      </c>
      <c r="G6993" s="136" t="s">
        <v>33344</v>
      </c>
      <c r="H6993" s="136"/>
      <c r="I6993" s="137"/>
      <c r="J6993" s="137" t="s">
        <v>45035</v>
      </c>
      <c r="K6993" s="137" t="s">
        <v>45036</v>
      </c>
      <c r="L6993" s="137"/>
      <c r="M6993" s="137"/>
      <c r="N6993" s="12"/>
      <c r="O6993" s="12"/>
      <c r="P6993" s="13">
        <f>IFERROR(__xludf.DUMMYFUNCTION("VALUE(SUBSTITUTE((INDEX(SPLIT(A6993,"",""),1)),""."","","",1))"),51.644039)</f>
        <v>51.644039</v>
      </c>
      <c r="Q6993" s="13">
        <f>IFERROR(__xludf.DUMMYFUNCTION("VALUE(SUBSTITUTE((INDEX(SPLIT(A6993,"",""),2)),""."","","",1))"),46.004621)</f>
        <v>46.004621</v>
      </c>
      <c r="R6993" s="14" t="b">
        <f t="shared" si="1"/>
        <v>0</v>
      </c>
      <c r="S6993" s="14" t="str">
        <f t="shared" si="2"/>
        <v>51.644039,46.004621</v>
      </c>
      <c r="T6993" s="12"/>
    </row>
    <row r="6994">
      <c r="A6994" s="139" t="s">
        <v>19674</v>
      </c>
      <c r="B6994" s="140" t="s">
        <v>45037</v>
      </c>
      <c r="C6994" s="140" t="s">
        <v>45038</v>
      </c>
      <c r="D6994" s="140" t="s">
        <v>33342</v>
      </c>
      <c r="E6994" s="141" t="s">
        <v>45039</v>
      </c>
      <c r="F6994" s="139" t="s">
        <v>17071</v>
      </c>
      <c r="G6994" s="139" t="s">
        <v>33344</v>
      </c>
      <c r="H6994" s="139"/>
      <c r="I6994" s="140"/>
      <c r="J6994" s="140" t="s">
        <v>20636</v>
      </c>
      <c r="K6994" s="140" t="s">
        <v>45040</v>
      </c>
      <c r="L6994" s="140"/>
      <c r="M6994" s="140"/>
      <c r="N6994" s="12"/>
      <c r="O6994" s="12"/>
      <c r="P6994" s="13">
        <f>IFERROR(__xludf.DUMMYFUNCTION("VALUE(SUBSTITUTE((INDEX(SPLIT(A6994,"",""),1)),""."","","",1))"),52.005935)</f>
        <v>52.005935</v>
      </c>
      <c r="Q6994" s="13">
        <f>IFERROR(__xludf.DUMMYFUNCTION("VALUE(SUBSTITUTE((INDEX(SPLIT(A6994,"",""),2)),""."","","",1))"),47.779557)</f>
        <v>47.779557</v>
      </c>
      <c r="R6994" s="14" t="b">
        <f t="shared" si="1"/>
        <v>0</v>
      </c>
      <c r="S6994" s="14" t="str">
        <f t="shared" si="2"/>
        <v>52.005935,47.779557</v>
      </c>
      <c r="T6994" s="12"/>
    </row>
    <row r="6995">
      <c r="A6995" s="136" t="s">
        <v>45041</v>
      </c>
      <c r="B6995" s="137" t="s">
        <v>2830</v>
      </c>
      <c r="C6995" s="137" t="s">
        <v>45042</v>
      </c>
      <c r="D6995" s="137" t="s">
        <v>33342</v>
      </c>
      <c r="E6995" s="138" t="s">
        <v>45043</v>
      </c>
      <c r="F6995" s="136" t="s">
        <v>17071</v>
      </c>
      <c r="G6995" s="136" t="s">
        <v>33344</v>
      </c>
      <c r="H6995" s="136"/>
      <c r="I6995" s="137"/>
      <c r="J6995" s="137" t="s">
        <v>45044</v>
      </c>
      <c r="K6995" s="137" t="s">
        <v>45045</v>
      </c>
      <c r="L6995" s="137"/>
      <c r="M6995" s="137"/>
      <c r="N6995" s="12"/>
      <c r="O6995" s="12"/>
      <c r="P6995" s="13">
        <f>IFERROR(__xludf.DUMMYFUNCTION("VALUE(SUBSTITUTE((INDEX(SPLIT(A6995,"",""),1)),""."","","",1))"),51.998411)</f>
        <v>51.998411</v>
      </c>
      <c r="Q6995" s="13">
        <f>IFERROR(__xludf.DUMMYFUNCTION("VALUE(SUBSTITUTE((INDEX(SPLIT(A6995,"",""),2)),""."","","",1))"),47.816685)</f>
        <v>47.816685</v>
      </c>
      <c r="R6995" s="14" t="b">
        <f t="shared" si="1"/>
        <v>0</v>
      </c>
      <c r="S6995" s="14" t="str">
        <f t="shared" si="2"/>
        <v>51.998411,47.816685</v>
      </c>
      <c r="T6995" s="12"/>
    </row>
    <row r="6996">
      <c r="A6996" s="139" t="s">
        <v>45046</v>
      </c>
      <c r="B6996" s="140" t="s">
        <v>45047</v>
      </c>
      <c r="C6996" s="140" t="s">
        <v>45048</v>
      </c>
      <c r="D6996" s="140" t="s">
        <v>33342</v>
      </c>
      <c r="E6996" s="141" t="s">
        <v>45049</v>
      </c>
      <c r="F6996" s="139" t="s">
        <v>17071</v>
      </c>
      <c r="G6996" s="139" t="s">
        <v>33344</v>
      </c>
      <c r="H6996" s="139"/>
      <c r="I6996" s="140"/>
      <c r="J6996" s="140" t="s">
        <v>45050</v>
      </c>
      <c r="K6996" s="140" t="s">
        <v>45051</v>
      </c>
      <c r="L6996" s="140"/>
      <c r="M6996" s="140"/>
      <c r="N6996" s="12"/>
      <c r="O6996" s="12"/>
      <c r="P6996" s="13">
        <f>IFERROR(__xludf.DUMMYFUNCTION("VALUE(SUBSTITUTE((INDEX(SPLIT(A6996,"",""),1)),""."","","",1))"),52.041186)</f>
        <v>52.041186</v>
      </c>
      <c r="Q6996" s="13">
        <f>IFERROR(__xludf.DUMMYFUNCTION("VALUE(SUBSTITUTE((INDEX(SPLIT(A6996,"",""),2)),""."","","",1))"),47.404044)</f>
        <v>47.404044</v>
      </c>
      <c r="R6996" s="14" t="b">
        <f t="shared" si="1"/>
        <v>0</v>
      </c>
      <c r="S6996" s="14" t="str">
        <f t="shared" si="2"/>
        <v>52.041186,47.404044</v>
      </c>
      <c r="T6996" s="12"/>
    </row>
    <row r="6997">
      <c r="A6997" s="142" t="s">
        <v>45052</v>
      </c>
      <c r="B6997" s="143" t="s">
        <v>13742</v>
      </c>
      <c r="C6997" s="143" t="s">
        <v>45053</v>
      </c>
      <c r="D6997" s="143" t="s">
        <v>33342</v>
      </c>
      <c r="E6997" s="144" t="s">
        <v>45054</v>
      </c>
      <c r="F6997" s="142" t="s">
        <v>17071</v>
      </c>
      <c r="G6997" s="142" t="s">
        <v>33344</v>
      </c>
      <c r="H6997" s="142"/>
      <c r="I6997" s="143"/>
      <c r="J6997" s="143" t="s">
        <v>45055</v>
      </c>
      <c r="K6997" s="143" t="s">
        <v>45056</v>
      </c>
      <c r="L6997" s="145" t="s">
        <v>45057</v>
      </c>
      <c r="M6997" s="143"/>
      <c r="N6997" s="12"/>
      <c r="O6997" s="12"/>
      <c r="P6997" s="13">
        <f>IFERROR(__xludf.DUMMYFUNCTION("VALUE(SUBSTITUTE((INDEX(SPLIT(A6997,"",""),1)),""."","","",1))"),52.041414)</f>
        <v>52.041414</v>
      </c>
      <c r="Q6997" s="13">
        <f>IFERROR(__xludf.DUMMYFUNCTION("VALUE(SUBSTITUTE((INDEX(SPLIT(A6997,"",""),2)),""."","","",1))"),48.846199)</f>
        <v>48.846199</v>
      </c>
      <c r="R6997" s="14" t="b">
        <f t="shared" si="1"/>
        <v>0</v>
      </c>
      <c r="S6997" s="14" t="str">
        <f t="shared" si="2"/>
        <v>52.041414,48.846199</v>
      </c>
      <c r="T6997" s="12"/>
    </row>
    <row r="6998">
      <c r="A6998" s="146" t="s">
        <v>45058</v>
      </c>
      <c r="B6998" s="147" t="s">
        <v>45059</v>
      </c>
      <c r="C6998" s="147" t="s">
        <v>45060</v>
      </c>
      <c r="D6998" s="147" t="s">
        <v>33342</v>
      </c>
      <c r="E6998" s="148" t="s">
        <v>45061</v>
      </c>
      <c r="F6998" s="146" t="s">
        <v>17071</v>
      </c>
      <c r="G6998" s="146" t="s">
        <v>33344</v>
      </c>
      <c r="H6998" s="146"/>
      <c r="I6998" s="147"/>
      <c r="J6998" s="147" t="s">
        <v>45062</v>
      </c>
      <c r="K6998" s="147" t="s">
        <v>45063</v>
      </c>
      <c r="L6998" s="149" t="s">
        <v>45064</v>
      </c>
      <c r="M6998" s="147"/>
      <c r="N6998" s="12"/>
      <c r="O6998" s="12"/>
      <c r="P6998" s="13">
        <f>IFERROR(__xludf.DUMMYFUNCTION("VALUE(SUBSTITUTE((INDEX(SPLIT(A6998,"",""),1)),""."","","",1))"),52.255746)</f>
        <v>52.255746</v>
      </c>
      <c r="Q6998" s="13">
        <f>IFERROR(__xludf.DUMMYFUNCTION("VALUE(SUBSTITUTE((INDEX(SPLIT(A6998,"",""),2)),""."","","",1))"),43.751934)</f>
        <v>43.751934</v>
      </c>
      <c r="R6998" s="14" t="b">
        <f t="shared" si="1"/>
        <v>0</v>
      </c>
      <c r="S6998" s="14" t="str">
        <f t="shared" si="2"/>
        <v>52.255746,43.751934</v>
      </c>
      <c r="T6998" s="12"/>
    </row>
    <row r="6999">
      <c r="A6999" s="136" t="s">
        <v>45065</v>
      </c>
      <c r="B6999" s="137" t="s">
        <v>45066</v>
      </c>
      <c r="C6999" s="137" t="s">
        <v>45067</v>
      </c>
      <c r="D6999" s="137" t="s">
        <v>33342</v>
      </c>
      <c r="E6999" s="138" t="s">
        <v>45068</v>
      </c>
      <c r="F6999" s="136" t="s">
        <v>17071</v>
      </c>
      <c r="G6999" s="136" t="s">
        <v>33344</v>
      </c>
      <c r="H6999" s="136"/>
      <c r="I6999" s="137"/>
      <c r="J6999" s="137" t="s">
        <v>45069</v>
      </c>
      <c r="K6999" s="137" t="s">
        <v>45070</v>
      </c>
      <c r="L6999" s="137"/>
      <c r="M6999" s="153" t="s">
        <v>45071</v>
      </c>
      <c r="N6999" s="12"/>
      <c r="O6999" s="12"/>
      <c r="P6999" s="13">
        <f>IFERROR(__xludf.DUMMYFUNCTION("VALUE(SUBSTITUTE((INDEX(SPLIT(A6999,"",""),1)),""."","","",1))"),51.47597)</f>
        <v>51.47597</v>
      </c>
      <c r="Q6999" s="13">
        <f>IFERROR(__xludf.DUMMYFUNCTION("VALUE(SUBSTITUTE((INDEX(SPLIT(A6999,"",""),2)),""."","","",1))"),46.12734)</f>
        <v>46.12734</v>
      </c>
      <c r="R6999" s="14" t="b">
        <f t="shared" si="1"/>
        <v>0</v>
      </c>
      <c r="S6999" s="14" t="str">
        <f t="shared" si="2"/>
        <v>51.47597,46.12734</v>
      </c>
      <c r="T6999" s="12"/>
    </row>
    <row r="7000">
      <c r="A7000" s="139" t="s">
        <v>45072</v>
      </c>
      <c r="B7000" s="140" t="s">
        <v>45073</v>
      </c>
      <c r="C7000" s="140" t="s">
        <v>45074</v>
      </c>
      <c r="D7000" s="140" t="s">
        <v>33342</v>
      </c>
      <c r="E7000" s="141" t="s">
        <v>45075</v>
      </c>
      <c r="F7000" s="139" t="s">
        <v>17071</v>
      </c>
      <c r="G7000" s="139" t="s">
        <v>33344</v>
      </c>
      <c r="H7000" s="139"/>
      <c r="I7000" s="140"/>
      <c r="J7000" s="140" t="s">
        <v>45076</v>
      </c>
      <c r="K7000" s="140" t="s">
        <v>45077</v>
      </c>
      <c r="L7000" s="140"/>
      <c r="M7000" s="154" t="s">
        <v>45078</v>
      </c>
      <c r="N7000" s="12"/>
      <c r="O7000" s="12"/>
      <c r="P7000" s="13">
        <f>IFERROR(__xludf.DUMMYFUNCTION("VALUE(SUBSTITUTE((INDEX(SPLIT(A7000,"",""),1)),""."","","",1))"),51.465518)</f>
        <v>51.465518</v>
      </c>
      <c r="Q7000" s="13">
        <f>IFERROR(__xludf.DUMMYFUNCTION("VALUE(SUBSTITUTE((INDEX(SPLIT(A7000,"",""),2)),""."","","",1))"),46.135991)</f>
        <v>46.135991</v>
      </c>
      <c r="R7000" s="14" t="b">
        <f t="shared" si="1"/>
        <v>0</v>
      </c>
      <c r="S7000" s="14" t="str">
        <f t="shared" si="2"/>
        <v>51.465518,46.135991</v>
      </c>
      <c r="T7000" s="12"/>
    </row>
    <row r="7001">
      <c r="A7001" s="142" t="s">
        <v>19010</v>
      </c>
      <c r="B7001" s="143" t="s">
        <v>45079</v>
      </c>
      <c r="C7001" s="143" t="s">
        <v>45080</v>
      </c>
      <c r="D7001" s="143" t="s">
        <v>33342</v>
      </c>
      <c r="E7001" s="144" t="s">
        <v>45081</v>
      </c>
      <c r="F7001" s="142" t="s">
        <v>17071</v>
      </c>
      <c r="G7001" s="142" t="s">
        <v>33344</v>
      </c>
      <c r="H7001" s="142"/>
      <c r="I7001" s="143"/>
      <c r="J7001" s="143" t="s">
        <v>45082</v>
      </c>
      <c r="K7001" s="143" t="s">
        <v>45083</v>
      </c>
      <c r="L7001" s="145" t="s">
        <v>45084</v>
      </c>
      <c r="M7001" s="143"/>
      <c r="N7001" s="12"/>
      <c r="O7001" s="12"/>
      <c r="P7001" s="13">
        <f>IFERROR(__xludf.DUMMYFUNCTION("VALUE(SUBSTITUTE((INDEX(SPLIT(A7001,"",""),1)),""."","","",1))"),51.533562)</f>
        <v>51.533562</v>
      </c>
      <c r="Q7001" s="13">
        <f>IFERROR(__xludf.DUMMYFUNCTION("VALUE(SUBSTITUTE((INDEX(SPLIT(A7001,"",""),2)),""."","","",1))"),46.034266)</f>
        <v>46.034266</v>
      </c>
      <c r="R7001" s="14" t="b">
        <f t="shared" si="1"/>
        <v>0</v>
      </c>
      <c r="S7001" s="14" t="str">
        <f t="shared" si="2"/>
        <v>51.533562,46.034266</v>
      </c>
      <c r="T7001" s="12"/>
    </row>
    <row r="7002">
      <c r="A7002" s="139" t="s">
        <v>45085</v>
      </c>
      <c r="B7002" s="140" t="s">
        <v>45086</v>
      </c>
      <c r="C7002" s="140" t="s">
        <v>45087</v>
      </c>
      <c r="D7002" s="140" t="s">
        <v>33342</v>
      </c>
      <c r="E7002" s="141" t="s">
        <v>45088</v>
      </c>
      <c r="F7002" s="139" t="s">
        <v>17071</v>
      </c>
      <c r="G7002" s="139" t="s">
        <v>33344</v>
      </c>
      <c r="H7002" s="139"/>
      <c r="I7002" s="140"/>
      <c r="J7002" s="140" t="s">
        <v>45089</v>
      </c>
      <c r="K7002" s="140" t="s">
        <v>45090</v>
      </c>
      <c r="L7002" s="140"/>
      <c r="M7002" s="140"/>
      <c r="N7002" s="12"/>
      <c r="O7002" s="12"/>
      <c r="P7002" s="13">
        <f>IFERROR(__xludf.DUMMYFUNCTION("VALUE(SUBSTITUTE((INDEX(SPLIT(A7002,"",""),1)),""."","","",1))"),51.563465)</f>
        <v>51.563465</v>
      </c>
      <c r="Q7002" s="13">
        <f>IFERROR(__xludf.DUMMYFUNCTION("VALUE(SUBSTITUTE((INDEX(SPLIT(A7002,"",""),2)),""."","","",1))"),46.018617)</f>
        <v>46.018617</v>
      </c>
      <c r="R7002" s="14" t="b">
        <f t="shared" si="1"/>
        <v>0</v>
      </c>
      <c r="S7002" s="14" t="str">
        <f t="shared" si="2"/>
        <v>51.563465,46.018617</v>
      </c>
      <c r="T7002" s="12"/>
    </row>
    <row r="7003">
      <c r="A7003" s="142" t="s">
        <v>45091</v>
      </c>
      <c r="B7003" s="143" t="s">
        <v>45092</v>
      </c>
      <c r="C7003" s="143" t="s">
        <v>45093</v>
      </c>
      <c r="D7003" s="143" t="s">
        <v>33342</v>
      </c>
      <c r="E7003" s="144" t="s">
        <v>45094</v>
      </c>
      <c r="F7003" s="142" t="s">
        <v>17071</v>
      </c>
      <c r="G7003" s="142" t="s">
        <v>33344</v>
      </c>
      <c r="H7003" s="142"/>
      <c r="I7003" s="143"/>
      <c r="J7003" s="143" t="s">
        <v>45095</v>
      </c>
      <c r="K7003" s="143" t="s">
        <v>45096</v>
      </c>
      <c r="L7003" s="145" t="s">
        <v>45097</v>
      </c>
      <c r="M7003" s="143"/>
      <c r="N7003" s="12"/>
      <c r="O7003" s="12"/>
      <c r="P7003" s="13">
        <f>IFERROR(__xludf.DUMMYFUNCTION("VALUE(SUBSTITUTE((INDEX(SPLIT(A7003,"",""),1)),""."","","",1))"),51.549717)</f>
        <v>51.549717</v>
      </c>
      <c r="Q7003" s="13">
        <f>IFERROR(__xludf.DUMMYFUNCTION("VALUE(SUBSTITUTE((INDEX(SPLIT(A7003,"",""),2)),""."","","",1))"),46.022183)</f>
        <v>46.022183</v>
      </c>
      <c r="R7003" s="14" t="b">
        <f t="shared" si="1"/>
        <v>0</v>
      </c>
      <c r="S7003" s="14" t="str">
        <f t="shared" si="2"/>
        <v>51.549717,46.022183</v>
      </c>
      <c r="T7003" s="12"/>
    </row>
    <row r="7004">
      <c r="A7004" s="139" t="s">
        <v>45098</v>
      </c>
      <c r="B7004" s="140" t="s">
        <v>45099</v>
      </c>
      <c r="C7004" s="140" t="s">
        <v>45100</v>
      </c>
      <c r="D7004" s="140" t="s">
        <v>33342</v>
      </c>
      <c r="E7004" s="141" t="s">
        <v>45101</v>
      </c>
      <c r="F7004" s="139" t="s">
        <v>17071</v>
      </c>
      <c r="G7004" s="139" t="s">
        <v>33344</v>
      </c>
      <c r="H7004" s="139"/>
      <c r="I7004" s="140"/>
      <c r="J7004" s="140" t="s">
        <v>45102</v>
      </c>
      <c r="K7004" s="140" t="s">
        <v>45103</v>
      </c>
      <c r="L7004" s="140"/>
      <c r="M7004" s="140"/>
      <c r="N7004" s="12"/>
      <c r="O7004" s="12"/>
      <c r="P7004" s="13">
        <f>IFERROR(__xludf.DUMMYFUNCTION("VALUE(SUBSTITUTE((INDEX(SPLIT(A7004,"",""),1)),""."","","",1))"),51.572931)</f>
        <v>51.572931</v>
      </c>
      <c r="Q7004" s="13">
        <f>IFERROR(__xludf.DUMMYFUNCTION("VALUE(SUBSTITUTE((INDEX(SPLIT(A7004,"",""),2)),""."","","",1))"),46.02742)</f>
        <v>46.02742</v>
      </c>
      <c r="R7004" s="14" t="b">
        <f t="shared" si="1"/>
        <v>0</v>
      </c>
      <c r="S7004" s="14" t="str">
        <f t="shared" si="2"/>
        <v>51.572931,46.02742</v>
      </c>
      <c r="T7004" s="12"/>
    </row>
    <row r="7005">
      <c r="A7005" s="136" t="s">
        <v>45104</v>
      </c>
      <c r="B7005" s="137" t="s">
        <v>45105</v>
      </c>
      <c r="C7005" s="137" t="s">
        <v>45106</v>
      </c>
      <c r="D7005" s="137" t="s">
        <v>33342</v>
      </c>
      <c r="E7005" s="138" t="s">
        <v>45107</v>
      </c>
      <c r="F7005" s="136" t="s">
        <v>17071</v>
      </c>
      <c r="G7005" s="136" t="s">
        <v>33344</v>
      </c>
      <c r="H7005" s="136"/>
      <c r="I7005" s="137"/>
      <c r="J7005" s="137" t="s">
        <v>45108</v>
      </c>
      <c r="K7005" s="137" t="s">
        <v>45109</v>
      </c>
      <c r="L7005" s="137"/>
      <c r="M7005" s="137"/>
      <c r="N7005" s="12"/>
      <c r="O7005" s="12"/>
      <c r="P7005" s="13">
        <f>IFERROR(__xludf.DUMMYFUNCTION("VALUE(SUBSTITUTE((INDEX(SPLIT(A7005,"",""),1)),""."","","",1))"),51.601046)</f>
        <v>51.601046</v>
      </c>
      <c r="Q7005" s="13">
        <f>IFERROR(__xludf.DUMMYFUNCTION("VALUE(SUBSTITUTE((INDEX(SPLIT(A7005,"",""),2)),""."","","",1))"),45.888945)</f>
        <v>45.888945</v>
      </c>
      <c r="R7005" s="14" t="b">
        <f t="shared" si="1"/>
        <v>0</v>
      </c>
      <c r="S7005" s="14" t="str">
        <f t="shared" si="2"/>
        <v>51.601046,45.888945</v>
      </c>
      <c r="T7005" s="12"/>
    </row>
    <row r="7006">
      <c r="A7006" s="139" t="s">
        <v>45110</v>
      </c>
      <c r="B7006" s="140" t="s">
        <v>45111</v>
      </c>
      <c r="C7006" s="140" t="s">
        <v>45112</v>
      </c>
      <c r="D7006" s="140" t="s">
        <v>33342</v>
      </c>
      <c r="E7006" s="141" t="s">
        <v>45113</v>
      </c>
      <c r="F7006" s="139" t="s">
        <v>17071</v>
      </c>
      <c r="G7006" s="139" t="s">
        <v>33344</v>
      </c>
      <c r="H7006" s="139"/>
      <c r="I7006" s="140"/>
      <c r="J7006" s="140" t="s">
        <v>45114</v>
      </c>
      <c r="K7006" s="140" t="s">
        <v>45115</v>
      </c>
      <c r="L7006" s="140"/>
      <c r="M7006" s="140"/>
      <c r="N7006" s="12"/>
      <c r="O7006" s="12"/>
      <c r="P7006" s="13">
        <f>IFERROR(__xludf.DUMMYFUNCTION("VALUE(SUBSTITUTE((INDEX(SPLIT(A7006,"",""),1)),""."","","",1))"),51.60066)</f>
        <v>51.60066</v>
      </c>
      <c r="Q7006" s="13">
        <f>IFERROR(__xludf.DUMMYFUNCTION("VALUE(SUBSTITUTE((INDEX(SPLIT(A7006,"",""),2)),""."","","",1))"),45.968626)</f>
        <v>45.968626</v>
      </c>
      <c r="R7006" s="14" t="b">
        <f t="shared" si="1"/>
        <v>0</v>
      </c>
      <c r="S7006" s="14" t="str">
        <f t="shared" si="2"/>
        <v>51.60066,45.968626</v>
      </c>
      <c r="T7006" s="12"/>
    </row>
    <row r="7007">
      <c r="A7007" s="142" t="s">
        <v>45116</v>
      </c>
      <c r="B7007" s="143" t="s">
        <v>45117</v>
      </c>
      <c r="C7007" s="143" t="s">
        <v>45118</v>
      </c>
      <c r="D7007" s="143" t="s">
        <v>33342</v>
      </c>
      <c r="E7007" s="144" t="s">
        <v>45119</v>
      </c>
      <c r="F7007" s="142" t="s">
        <v>17071</v>
      </c>
      <c r="G7007" s="142" t="s">
        <v>33344</v>
      </c>
      <c r="H7007" s="142"/>
      <c r="I7007" s="143"/>
      <c r="J7007" s="143" t="s">
        <v>45120</v>
      </c>
      <c r="K7007" s="143" t="s">
        <v>45121</v>
      </c>
      <c r="L7007" s="145" t="s">
        <v>45122</v>
      </c>
      <c r="M7007" s="143"/>
      <c r="N7007" s="12"/>
      <c r="O7007" s="12"/>
      <c r="P7007" s="13">
        <f>IFERROR(__xludf.DUMMYFUNCTION("VALUE(SUBSTITUTE((INDEX(SPLIT(A7007,"",""),1)),""."","","",1))"),51.533551)</f>
        <v>51.533551</v>
      </c>
      <c r="Q7007" s="13">
        <f>IFERROR(__xludf.DUMMYFUNCTION("VALUE(SUBSTITUTE((INDEX(SPLIT(A7007,"",""),2)),""."","","",1))"),45.967853)</f>
        <v>45.967853</v>
      </c>
      <c r="R7007" s="14" t="b">
        <f t="shared" si="1"/>
        <v>0</v>
      </c>
      <c r="S7007" s="14" t="str">
        <f t="shared" si="2"/>
        <v>51.533551,45.967853</v>
      </c>
      <c r="T7007" s="12"/>
    </row>
    <row r="7008">
      <c r="A7008" s="146" t="s">
        <v>45123</v>
      </c>
      <c r="B7008" s="147" t="s">
        <v>45124</v>
      </c>
      <c r="C7008" s="147" t="s">
        <v>45125</v>
      </c>
      <c r="D7008" s="147" t="s">
        <v>33342</v>
      </c>
      <c r="E7008" s="148" t="s">
        <v>45126</v>
      </c>
      <c r="F7008" s="146" t="s">
        <v>17071</v>
      </c>
      <c r="G7008" s="146" t="s">
        <v>33344</v>
      </c>
      <c r="H7008" s="146"/>
      <c r="I7008" s="147"/>
      <c r="J7008" s="147" t="s">
        <v>45127</v>
      </c>
      <c r="K7008" s="147" t="s">
        <v>45128</v>
      </c>
      <c r="L7008" s="149" t="s">
        <v>45129</v>
      </c>
      <c r="M7008" s="147"/>
      <c r="N7008" s="12"/>
      <c r="O7008" s="12"/>
      <c r="P7008" s="13">
        <f>IFERROR(__xludf.DUMMYFUNCTION("VALUE(SUBSTITUTE((INDEX(SPLIT(A7008,"",""),1)),""."","","",1))"),51.499031)</f>
        <v>51.499031</v>
      </c>
      <c r="Q7008" s="13">
        <f>IFERROR(__xludf.DUMMYFUNCTION("VALUE(SUBSTITUTE((INDEX(SPLIT(A7008,"",""),2)),""."","","",1))"),45.965059)</f>
        <v>45.965059</v>
      </c>
      <c r="R7008" s="14" t="b">
        <f t="shared" si="1"/>
        <v>0</v>
      </c>
      <c r="S7008" s="14" t="str">
        <f t="shared" si="2"/>
        <v>51.499031,45.965059</v>
      </c>
      <c r="T7008" s="12"/>
    </row>
    <row r="7009">
      <c r="A7009" s="136" t="s">
        <v>45130</v>
      </c>
      <c r="B7009" s="137" t="s">
        <v>45131</v>
      </c>
      <c r="C7009" s="137" t="s">
        <v>45132</v>
      </c>
      <c r="D7009" s="137" t="s">
        <v>33342</v>
      </c>
      <c r="E7009" s="138" t="s">
        <v>45133</v>
      </c>
      <c r="F7009" s="136" t="s">
        <v>2330</v>
      </c>
      <c r="G7009" s="136" t="s">
        <v>33344</v>
      </c>
      <c r="H7009" s="136"/>
      <c r="I7009" s="137"/>
      <c r="J7009" s="137" t="s">
        <v>45134</v>
      </c>
      <c r="K7009" s="137" t="s">
        <v>45135</v>
      </c>
      <c r="L7009" s="137"/>
      <c r="M7009" s="137"/>
      <c r="N7009" s="12"/>
      <c r="O7009" s="12"/>
      <c r="P7009" s="13">
        <f>IFERROR(__xludf.DUMMYFUNCTION("VALUE(SUBSTITUTE((INDEX(SPLIT(A7009,"",""),1)),""."","","",1))"),46.991195)</f>
        <v>46.991195</v>
      </c>
      <c r="Q7009" s="13">
        <f>IFERROR(__xludf.DUMMYFUNCTION("VALUE(SUBSTITUTE((INDEX(SPLIT(A7009,"",""),2)),""."","","",1))"),142.744275)</f>
        <v>142.744275</v>
      </c>
      <c r="R7009" s="14" t="b">
        <f t="shared" si="1"/>
        <v>0</v>
      </c>
      <c r="S7009" s="14" t="str">
        <f t="shared" si="2"/>
        <v>46.991195,142.744275</v>
      </c>
      <c r="T7009" s="12"/>
    </row>
    <row r="7010">
      <c r="A7010" s="146" t="s">
        <v>2427</v>
      </c>
      <c r="B7010" s="147" t="s">
        <v>1801</v>
      </c>
      <c r="C7010" s="147" t="s">
        <v>45136</v>
      </c>
      <c r="D7010" s="147" t="s">
        <v>33342</v>
      </c>
      <c r="E7010" s="148" t="s">
        <v>45137</v>
      </c>
      <c r="F7010" s="146" t="s">
        <v>2330</v>
      </c>
      <c r="G7010" s="146" t="s">
        <v>33344</v>
      </c>
      <c r="H7010" s="146"/>
      <c r="I7010" s="147"/>
      <c r="J7010" s="147" t="s">
        <v>45138</v>
      </c>
      <c r="K7010" s="147" t="s">
        <v>45139</v>
      </c>
      <c r="L7010" s="149" t="s">
        <v>45140</v>
      </c>
      <c r="M7010" s="147"/>
      <c r="N7010" s="12"/>
      <c r="O7010" s="12"/>
      <c r="P7010" s="13">
        <f>IFERROR(__xludf.DUMMYFUNCTION("VALUE(SUBSTITUTE((INDEX(SPLIT(A7010,"",""),1)),""."","","",1))"),47.008059)</f>
        <v>47.008059</v>
      </c>
      <c r="Q7010" s="13">
        <f>IFERROR(__xludf.DUMMYFUNCTION("VALUE(SUBSTITUTE((INDEX(SPLIT(A7010,"",""),2)),""."","","",1))"),142.663786)</f>
        <v>142.663786</v>
      </c>
      <c r="R7010" s="14" t="b">
        <f t="shared" si="1"/>
        <v>0</v>
      </c>
      <c r="S7010" s="14" t="str">
        <f t="shared" si="2"/>
        <v>47.008059,142.663786</v>
      </c>
      <c r="T7010" s="12"/>
    </row>
    <row r="7011">
      <c r="A7011" s="136" t="s">
        <v>45141</v>
      </c>
      <c r="B7011" s="137" t="s">
        <v>45142</v>
      </c>
      <c r="C7011" s="137" t="s">
        <v>45143</v>
      </c>
      <c r="D7011" s="137" t="s">
        <v>33342</v>
      </c>
      <c r="E7011" s="138" t="s">
        <v>45144</v>
      </c>
      <c r="F7011" s="136" t="s">
        <v>2330</v>
      </c>
      <c r="G7011" s="136" t="s">
        <v>33344</v>
      </c>
      <c r="H7011" s="136"/>
      <c r="I7011" s="137"/>
      <c r="J7011" s="137" t="s">
        <v>45145</v>
      </c>
      <c r="K7011" s="137" t="s">
        <v>45146</v>
      </c>
      <c r="L7011" s="137"/>
      <c r="M7011" s="137"/>
      <c r="N7011" s="12"/>
      <c r="O7011" s="12"/>
      <c r="P7011" s="13">
        <f>IFERROR(__xludf.DUMMYFUNCTION("VALUE(SUBSTITUTE((INDEX(SPLIT(A7011,"",""),1)),""."","","",1))"),50.848778)</f>
        <v>50.848778</v>
      </c>
      <c r="Q7011" s="13">
        <f>IFERROR(__xludf.DUMMYFUNCTION("VALUE(SUBSTITUTE((INDEX(SPLIT(A7011,"",""),2)),""."","","",1))"),142.65916)</f>
        <v>142.65916</v>
      </c>
      <c r="R7011" s="14" t="b">
        <f t="shared" si="1"/>
        <v>0</v>
      </c>
      <c r="S7011" s="14" t="str">
        <f t="shared" si="2"/>
        <v>50.848778,142.65916</v>
      </c>
      <c r="T7011" s="12"/>
    </row>
    <row r="7012">
      <c r="A7012" s="139" t="s">
        <v>45147</v>
      </c>
      <c r="B7012" s="140" t="s">
        <v>45148</v>
      </c>
      <c r="C7012" s="140" t="s">
        <v>45149</v>
      </c>
      <c r="D7012" s="140" t="s">
        <v>33342</v>
      </c>
      <c r="E7012" s="141" t="s">
        <v>45150</v>
      </c>
      <c r="F7012" s="139" t="s">
        <v>2330</v>
      </c>
      <c r="G7012" s="139" t="s">
        <v>33344</v>
      </c>
      <c r="H7012" s="139"/>
      <c r="I7012" s="140"/>
      <c r="J7012" s="140" t="s">
        <v>45151</v>
      </c>
      <c r="K7012" s="140" t="s">
        <v>45152</v>
      </c>
      <c r="L7012" s="140"/>
      <c r="M7012" s="140"/>
      <c r="N7012" s="12"/>
      <c r="O7012" s="12"/>
      <c r="P7012" s="13">
        <f>IFERROR(__xludf.DUMMYFUNCTION("VALUE(SUBSTITUTE((INDEX(SPLIT(A7012,"",""),1)),""."","","",1))"),46.977572)</f>
        <v>46.977572</v>
      </c>
      <c r="Q7012" s="13">
        <f>IFERROR(__xludf.DUMMYFUNCTION("VALUE(SUBSTITUTE((INDEX(SPLIT(A7012,"",""),2)),""."","","",1))"),142.696152)</f>
        <v>142.696152</v>
      </c>
      <c r="R7012" s="14" t="b">
        <f t="shared" si="1"/>
        <v>0</v>
      </c>
      <c r="S7012" s="14" t="str">
        <f t="shared" si="2"/>
        <v>46.977572,142.696152</v>
      </c>
      <c r="T7012" s="12"/>
    </row>
    <row r="7013">
      <c r="A7013" s="136" t="s">
        <v>2466</v>
      </c>
      <c r="B7013" s="137" t="s">
        <v>45153</v>
      </c>
      <c r="C7013" s="137" t="s">
        <v>45154</v>
      </c>
      <c r="D7013" s="137" t="s">
        <v>33342</v>
      </c>
      <c r="E7013" s="138" t="s">
        <v>45155</v>
      </c>
      <c r="F7013" s="136" t="s">
        <v>2330</v>
      </c>
      <c r="G7013" s="136" t="s">
        <v>33344</v>
      </c>
      <c r="H7013" s="136"/>
      <c r="I7013" s="137"/>
      <c r="J7013" s="137" t="s">
        <v>45156</v>
      </c>
      <c r="K7013" s="137" t="s">
        <v>45157</v>
      </c>
      <c r="L7013" s="137"/>
      <c r="M7013" s="153" t="s">
        <v>45158</v>
      </c>
      <c r="N7013" s="12"/>
      <c r="O7013" s="12"/>
      <c r="P7013" s="13">
        <f>IFERROR(__xludf.DUMMYFUNCTION("VALUE(SUBSTITUTE((INDEX(SPLIT(A7013,"",""),1)),""."","","",1))"),47.001109)</f>
        <v>47.001109</v>
      </c>
      <c r="Q7013" s="13">
        <f>IFERROR(__xludf.DUMMYFUNCTION("VALUE(SUBSTITUTE((INDEX(SPLIT(A7013,"",""),2)),""."","","",1))"),142.729183)</f>
        <v>142.729183</v>
      </c>
      <c r="R7013" s="14" t="b">
        <f t="shared" si="1"/>
        <v>0</v>
      </c>
      <c r="S7013" s="14" t="str">
        <f t="shared" si="2"/>
        <v>47.001109,142.729183</v>
      </c>
      <c r="T7013" s="12"/>
    </row>
    <row r="7014">
      <c r="A7014" s="139" t="s">
        <v>45159</v>
      </c>
      <c r="B7014" s="140" t="s">
        <v>45160</v>
      </c>
      <c r="C7014" s="140" t="s">
        <v>45161</v>
      </c>
      <c r="D7014" s="140" t="s">
        <v>33342</v>
      </c>
      <c r="E7014" s="141" t="s">
        <v>45162</v>
      </c>
      <c r="F7014" s="139" t="s">
        <v>2330</v>
      </c>
      <c r="G7014" s="139" t="s">
        <v>33344</v>
      </c>
      <c r="H7014" s="139"/>
      <c r="I7014" s="140"/>
      <c r="J7014" s="140" t="s">
        <v>45163</v>
      </c>
      <c r="K7014" s="140" t="s">
        <v>45135</v>
      </c>
      <c r="L7014" s="140"/>
      <c r="M7014" s="140"/>
      <c r="N7014" s="12"/>
      <c r="O7014" s="12"/>
      <c r="P7014" s="13">
        <f>IFERROR(__xludf.DUMMYFUNCTION("VALUE(SUBSTITUTE((INDEX(SPLIT(A7014,"",""),1)),""."","","",1))"),46.967765)</f>
        <v>46.967765</v>
      </c>
      <c r="Q7014" s="13">
        <f>IFERROR(__xludf.DUMMYFUNCTION("VALUE(SUBSTITUTE((INDEX(SPLIT(A7014,"",""),2)),""."","","",1))"),142.751587)</f>
        <v>142.751587</v>
      </c>
      <c r="R7014" s="14" t="b">
        <f t="shared" si="1"/>
        <v>0</v>
      </c>
      <c r="S7014" s="14" t="str">
        <f t="shared" si="2"/>
        <v>46.967765,142.751587</v>
      </c>
      <c r="T7014" s="12"/>
    </row>
    <row r="7015">
      <c r="A7015" s="142" t="s">
        <v>45164</v>
      </c>
      <c r="B7015" s="143" t="s">
        <v>45165</v>
      </c>
      <c r="C7015" s="143" t="s">
        <v>45166</v>
      </c>
      <c r="D7015" s="143" t="s">
        <v>33342</v>
      </c>
      <c r="E7015" s="144" t="s">
        <v>45167</v>
      </c>
      <c r="F7015" s="142" t="s">
        <v>2330</v>
      </c>
      <c r="G7015" s="142" t="s">
        <v>33344</v>
      </c>
      <c r="H7015" s="142"/>
      <c r="I7015" s="143"/>
      <c r="J7015" s="143" t="s">
        <v>45168</v>
      </c>
      <c r="K7015" s="143" t="s">
        <v>45169</v>
      </c>
      <c r="L7015" s="145" t="s">
        <v>45170</v>
      </c>
      <c r="M7015" s="143"/>
      <c r="N7015" s="12"/>
      <c r="O7015" s="12"/>
      <c r="P7015" s="13">
        <f>IFERROR(__xludf.DUMMYFUNCTION("VALUE(SUBSTITUTE((INDEX(SPLIT(A7015,"",""),1)),""."","","",1))"),46.942909)</f>
        <v>46.942909</v>
      </c>
      <c r="Q7015" s="13">
        <f>IFERROR(__xludf.DUMMYFUNCTION("VALUE(SUBSTITUTE((INDEX(SPLIT(A7015,"",""),2)),""."","","",1))"),142.749665)</f>
        <v>142.749665</v>
      </c>
      <c r="R7015" s="14" t="b">
        <f t="shared" si="1"/>
        <v>0</v>
      </c>
      <c r="S7015" s="14" t="str">
        <f t="shared" si="2"/>
        <v>46.942909,142.749665</v>
      </c>
      <c r="T7015" s="12"/>
    </row>
    <row r="7016">
      <c r="A7016" s="139" t="s">
        <v>45171</v>
      </c>
      <c r="B7016" s="140" t="s">
        <v>45172</v>
      </c>
      <c r="C7016" s="140" t="s">
        <v>45173</v>
      </c>
      <c r="D7016" s="140" t="s">
        <v>33342</v>
      </c>
      <c r="E7016" s="141" t="s">
        <v>45174</v>
      </c>
      <c r="F7016" s="139" t="s">
        <v>2330</v>
      </c>
      <c r="G7016" s="139" t="s">
        <v>33344</v>
      </c>
      <c r="H7016" s="139"/>
      <c r="I7016" s="140"/>
      <c r="J7016" s="140" t="s">
        <v>45175</v>
      </c>
      <c r="K7016" s="140" t="s">
        <v>45176</v>
      </c>
      <c r="L7016" s="140"/>
      <c r="M7016" s="154" t="s">
        <v>45177</v>
      </c>
      <c r="N7016" s="12"/>
      <c r="O7016" s="12"/>
      <c r="P7016" s="13">
        <f>IFERROR(__xludf.DUMMYFUNCTION("VALUE(SUBSTITUTE((INDEX(SPLIT(A7016,"",""),1)),""."","","",1))"),46.999757)</f>
        <v>46.999757</v>
      </c>
      <c r="Q7016" s="13">
        <f>IFERROR(__xludf.DUMMYFUNCTION("VALUE(SUBSTITUTE((INDEX(SPLIT(A7016,"",""),2)),""."","","",1))"),142.740242)</f>
        <v>142.740242</v>
      </c>
      <c r="R7016" s="14" t="b">
        <f t="shared" si="1"/>
        <v>0</v>
      </c>
      <c r="S7016" s="14" t="str">
        <f t="shared" si="2"/>
        <v>46.999757,142.740242</v>
      </c>
      <c r="T7016" s="12"/>
    </row>
    <row r="7017">
      <c r="A7017" s="136" t="s">
        <v>45178</v>
      </c>
      <c r="B7017" s="137" t="s">
        <v>45179</v>
      </c>
      <c r="C7017" s="137" t="s">
        <v>45180</v>
      </c>
      <c r="D7017" s="137" t="s">
        <v>33342</v>
      </c>
      <c r="E7017" s="138" t="s">
        <v>45181</v>
      </c>
      <c r="F7017" s="136" t="s">
        <v>2330</v>
      </c>
      <c r="G7017" s="136" t="s">
        <v>33344</v>
      </c>
      <c r="H7017" s="136"/>
      <c r="I7017" s="137"/>
      <c r="J7017" s="137" t="s">
        <v>45182</v>
      </c>
      <c r="K7017" s="137" t="s">
        <v>45183</v>
      </c>
      <c r="L7017" s="137"/>
      <c r="M7017" s="153" t="s">
        <v>45184</v>
      </c>
      <c r="N7017" s="12"/>
      <c r="O7017" s="12"/>
      <c r="P7017" s="13">
        <f>IFERROR(__xludf.DUMMYFUNCTION("VALUE(SUBSTITUTE((INDEX(SPLIT(A7017,"",""),1)),""."","","",1))"),49.156872)</f>
        <v>49.156872</v>
      </c>
      <c r="Q7017" s="13">
        <f>IFERROR(__xludf.DUMMYFUNCTION("VALUE(SUBSTITUTE((INDEX(SPLIT(A7017,"",""),2)),""."","","",1))"),142.113882)</f>
        <v>142.113882</v>
      </c>
      <c r="R7017" s="14" t="b">
        <f t="shared" si="1"/>
        <v>0</v>
      </c>
      <c r="S7017" s="14" t="str">
        <f t="shared" si="2"/>
        <v>49.156872,142.113882</v>
      </c>
      <c r="T7017" s="12"/>
    </row>
    <row r="7018">
      <c r="A7018" s="139" t="s">
        <v>45185</v>
      </c>
      <c r="B7018" s="140" t="s">
        <v>45186</v>
      </c>
      <c r="C7018" s="140" t="s">
        <v>45187</v>
      </c>
      <c r="D7018" s="140" t="s">
        <v>33342</v>
      </c>
      <c r="E7018" s="141" t="s">
        <v>45188</v>
      </c>
      <c r="F7018" s="139" t="s">
        <v>2330</v>
      </c>
      <c r="G7018" s="139" t="s">
        <v>33344</v>
      </c>
      <c r="H7018" s="139"/>
      <c r="I7018" s="140"/>
      <c r="J7018" s="140" t="s">
        <v>45189</v>
      </c>
      <c r="K7018" s="140" t="s">
        <v>45190</v>
      </c>
      <c r="L7018" s="140"/>
      <c r="M7018" s="140"/>
      <c r="N7018" s="12"/>
      <c r="O7018" s="12"/>
      <c r="P7018" s="13">
        <f>IFERROR(__xludf.DUMMYFUNCTION("VALUE(SUBSTITUTE((INDEX(SPLIT(A7018,"",""),1)),""."","","",1))"),47.047481)</f>
        <v>47.047481</v>
      </c>
      <c r="Q7018" s="13">
        <f>IFERROR(__xludf.DUMMYFUNCTION("VALUE(SUBSTITUTE((INDEX(SPLIT(A7018,"",""),2)),""."","","",1))"),142.055384)</f>
        <v>142.055384</v>
      </c>
      <c r="R7018" s="14" t="b">
        <f t="shared" si="1"/>
        <v>0</v>
      </c>
      <c r="S7018" s="14" t="str">
        <f t="shared" si="2"/>
        <v>47.047481,142.055384</v>
      </c>
      <c r="T7018" s="12"/>
    </row>
    <row r="7019">
      <c r="A7019" s="142" t="s">
        <v>45191</v>
      </c>
      <c r="B7019" s="143" t="s">
        <v>45192</v>
      </c>
      <c r="C7019" s="143" t="s">
        <v>45193</v>
      </c>
      <c r="D7019" s="143" t="s">
        <v>33342</v>
      </c>
      <c r="E7019" s="144" t="s">
        <v>45194</v>
      </c>
      <c r="F7019" s="142" t="s">
        <v>22263</v>
      </c>
      <c r="G7019" s="142" t="s">
        <v>33344</v>
      </c>
      <c r="H7019" s="142"/>
      <c r="I7019" s="143"/>
      <c r="J7019" s="143" t="s">
        <v>45195</v>
      </c>
      <c r="K7019" s="143" t="s">
        <v>45196</v>
      </c>
      <c r="L7019" s="152" t="s">
        <v>45197</v>
      </c>
      <c r="M7019" s="143"/>
      <c r="N7019" s="12"/>
      <c r="O7019" s="12"/>
      <c r="P7019" s="13">
        <f>IFERROR(__xludf.DUMMYFUNCTION("VALUE(SUBSTITUTE((INDEX(SPLIT(A7019,"",""),1)),""."","","",1))"),56.908581)</f>
        <v>56.908581</v>
      </c>
      <c r="Q7019" s="13">
        <f>IFERROR(__xludf.DUMMYFUNCTION("VALUE(SUBSTITUTE((INDEX(SPLIT(A7019,"",""),2)),""."","","",1))"),60.816286)</f>
        <v>60.816286</v>
      </c>
      <c r="R7019" s="14" t="b">
        <f t="shared" si="1"/>
        <v>0</v>
      </c>
      <c r="S7019" s="14" t="str">
        <f t="shared" si="2"/>
        <v>56.908581,60.816286</v>
      </c>
      <c r="T7019" s="12"/>
    </row>
    <row r="7020">
      <c r="A7020" s="139" t="s">
        <v>45198</v>
      </c>
      <c r="B7020" s="140" t="s">
        <v>45199</v>
      </c>
      <c r="C7020" s="140" t="s">
        <v>45200</v>
      </c>
      <c r="D7020" s="140" t="s">
        <v>33342</v>
      </c>
      <c r="E7020" s="141" t="s">
        <v>45201</v>
      </c>
      <c r="F7020" s="139" t="s">
        <v>22263</v>
      </c>
      <c r="G7020" s="139" t="s">
        <v>33344</v>
      </c>
      <c r="H7020" s="139"/>
      <c r="I7020" s="140"/>
      <c r="J7020" s="140" t="s">
        <v>45202</v>
      </c>
      <c r="K7020" s="140" t="s">
        <v>45203</v>
      </c>
      <c r="L7020" s="140"/>
      <c r="M7020" s="140"/>
      <c r="N7020" s="12"/>
      <c r="O7020" s="12"/>
      <c r="P7020" s="13">
        <f>IFERROR(__xludf.DUMMYFUNCTION("VALUE(SUBSTITUTE((INDEX(SPLIT(A7020,"",""),1)),""."","","",1))"),56.429011)</f>
        <v>56.429011</v>
      </c>
      <c r="Q7020" s="13">
        <f>IFERROR(__xludf.DUMMYFUNCTION("VALUE(SUBSTITUTE((INDEX(SPLIT(A7020,"",""),2)),""."","","",1))"),61.900265)</f>
        <v>61.900265</v>
      </c>
      <c r="R7020" s="14" t="b">
        <f t="shared" si="1"/>
        <v>0</v>
      </c>
      <c r="S7020" s="14" t="str">
        <f t="shared" si="2"/>
        <v>56.429011,61.900265</v>
      </c>
      <c r="T7020" s="12"/>
    </row>
    <row r="7021">
      <c r="A7021" s="136" t="s">
        <v>45204</v>
      </c>
      <c r="B7021" s="137" t="s">
        <v>45205</v>
      </c>
      <c r="C7021" s="137" t="s">
        <v>45206</v>
      </c>
      <c r="D7021" s="137" t="s">
        <v>33342</v>
      </c>
      <c r="E7021" s="138" t="s">
        <v>45207</v>
      </c>
      <c r="F7021" s="136" t="s">
        <v>22263</v>
      </c>
      <c r="G7021" s="136" t="s">
        <v>33344</v>
      </c>
      <c r="H7021" s="136"/>
      <c r="I7021" s="137"/>
      <c r="J7021" s="137" t="s">
        <v>45208</v>
      </c>
      <c r="K7021" s="137" t="s">
        <v>45209</v>
      </c>
      <c r="L7021" s="137"/>
      <c r="M7021" s="153" t="s">
        <v>45210</v>
      </c>
      <c r="N7021" s="12"/>
      <c r="O7021" s="12"/>
      <c r="P7021" s="13">
        <f>IFERROR(__xludf.DUMMYFUNCTION("VALUE(SUBSTITUTE((INDEX(SPLIT(A7021,"",""),1)),""."","","",1))"),59.757887)</f>
        <v>59.757887</v>
      </c>
      <c r="Q7021" s="13">
        <f>IFERROR(__xludf.DUMMYFUNCTION("VALUE(SUBSTITUTE((INDEX(SPLIT(A7021,"",""),2)),""."","","",1))"),59.984491)</f>
        <v>59.984491</v>
      </c>
      <c r="R7021" s="14" t="b">
        <f t="shared" si="1"/>
        <v>0</v>
      </c>
      <c r="S7021" s="14" t="str">
        <f t="shared" si="2"/>
        <v>59.757887,59.984491</v>
      </c>
      <c r="T7021" s="12"/>
    </row>
    <row r="7022">
      <c r="A7022" s="139" t="s">
        <v>45211</v>
      </c>
      <c r="B7022" s="140" t="s">
        <v>45212</v>
      </c>
      <c r="C7022" s="140" t="s">
        <v>45213</v>
      </c>
      <c r="D7022" s="140" t="s">
        <v>33342</v>
      </c>
      <c r="E7022" s="141" t="s">
        <v>45214</v>
      </c>
      <c r="F7022" s="139" t="s">
        <v>22263</v>
      </c>
      <c r="G7022" s="139" t="s">
        <v>33344</v>
      </c>
      <c r="H7022" s="139"/>
      <c r="I7022" s="140"/>
      <c r="J7022" s="140" t="s">
        <v>45215</v>
      </c>
      <c r="K7022" s="140" t="s">
        <v>45216</v>
      </c>
      <c r="L7022" s="140"/>
      <c r="M7022" s="154" t="s">
        <v>2232</v>
      </c>
      <c r="N7022" s="12"/>
      <c r="O7022" s="12"/>
      <c r="P7022" s="13">
        <f>IFERROR(__xludf.DUMMYFUNCTION("VALUE(SUBSTITUTE((INDEX(SPLIT(A7022,"",""),1)),""."","","",1))"),59.75781)</f>
        <v>59.75781</v>
      </c>
      <c r="Q7022" s="13">
        <f>IFERROR(__xludf.DUMMYFUNCTION("VALUE(SUBSTITUTE((INDEX(SPLIT(A7022,"",""),2)),""."","","",1))"),60.25315)</f>
        <v>60.25315</v>
      </c>
      <c r="R7022" s="14" t="b">
        <f t="shared" si="1"/>
        <v>0</v>
      </c>
      <c r="S7022" s="14" t="str">
        <f t="shared" si="2"/>
        <v>59.75781,60.25315</v>
      </c>
      <c r="T7022" s="12"/>
    </row>
    <row r="7023">
      <c r="A7023" s="142" t="s">
        <v>45217</v>
      </c>
      <c r="B7023" s="143" t="s">
        <v>45218</v>
      </c>
      <c r="C7023" s="143" t="s">
        <v>45219</v>
      </c>
      <c r="D7023" s="143" t="s">
        <v>33342</v>
      </c>
      <c r="E7023" s="144" t="s">
        <v>45220</v>
      </c>
      <c r="F7023" s="142" t="s">
        <v>22263</v>
      </c>
      <c r="G7023" s="142" t="s">
        <v>33344</v>
      </c>
      <c r="H7023" s="142"/>
      <c r="I7023" s="143"/>
      <c r="J7023" s="143" t="s">
        <v>45221</v>
      </c>
      <c r="K7023" s="143" t="s">
        <v>45222</v>
      </c>
      <c r="L7023" s="145" t="s">
        <v>45223</v>
      </c>
      <c r="M7023" s="143"/>
      <c r="N7023" s="12"/>
      <c r="O7023" s="12"/>
      <c r="P7023" s="13">
        <f>IFERROR(__xludf.DUMMYFUNCTION("VALUE(SUBSTITUTE((INDEX(SPLIT(A7023,"",""),1)),""."","","",1))"),57.375941)</f>
        <v>57.375941</v>
      </c>
      <c r="Q7023" s="13">
        <f>IFERROR(__xludf.DUMMYFUNCTION("VALUE(SUBSTITUTE((INDEX(SPLIT(A7023,"",""),2)),""."","","",1))"),59.930754)</f>
        <v>59.930754</v>
      </c>
      <c r="R7023" s="14" t="b">
        <f t="shared" si="1"/>
        <v>0</v>
      </c>
      <c r="S7023" s="14" t="str">
        <f t="shared" si="2"/>
        <v>57.375941,59.930754</v>
      </c>
      <c r="T7023" s="12"/>
    </row>
    <row r="7024">
      <c r="A7024" s="146" t="s">
        <v>45224</v>
      </c>
      <c r="B7024" s="147" t="s">
        <v>45225</v>
      </c>
      <c r="C7024" s="147" t="s">
        <v>45226</v>
      </c>
      <c r="D7024" s="147" t="s">
        <v>33342</v>
      </c>
      <c r="E7024" s="148" t="s">
        <v>45227</v>
      </c>
      <c r="F7024" s="146" t="s">
        <v>22263</v>
      </c>
      <c r="G7024" s="146" t="s">
        <v>33344</v>
      </c>
      <c r="H7024" s="146"/>
      <c r="I7024" s="147"/>
      <c r="J7024" s="147" t="s">
        <v>45228</v>
      </c>
      <c r="K7024" s="147" t="s">
        <v>45229</v>
      </c>
      <c r="L7024" s="149" t="s">
        <v>45230</v>
      </c>
      <c r="M7024" s="147"/>
      <c r="N7024" s="12"/>
      <c r="O7024" s="12"/>
      <c r="P7024" s="13">
        <f>IFERROR(__xludf.DUMMYFUNCTION("VALUE(SUBSTITUTE((INDEX(SPLIT(A7024,"",""),1)),""."","","",1))"),57.903799)</f>
        <v>57.903799</v>
      </c>
      <c r="Q7024" s="13">
        <f>IFERROR(__xludf.DUMMYFUNCTION("VALUE(SUBSTITUTE((INDEX(SPLIT(A7024,"",""),2)),""."","","",1))"),60.012357)</f>
        <v>60.012357</v>
      </c>
      <c r="R7024" s="14" t="b">
        <f t="shared" si="1"/>
        <v>0</v>
      </c>
      <c r="S7024" s="14" t="str">
        <f t="shared" si="2"/>
        <v>57.903799,60.012357</v>
      </c>
      <c r="T7024" s="12"/>
    </row>
    <row r="7025">
      <c r="A7025" s="142" t="s">
        <v>45231</v>
      </c>
      <c r="B7025" s="143" t="s">
        <v>45232</v>
      </c>
      <c r="C7025" s="143" t="s">
        <v>45233</v>
      </c>
      <c r="D7025" s="143" t="s">
        <v>33342</v>
      </c>
      <c r="E7025" s="144" t="s">
        <v>45234</v>
      </c>
      <c r="F7025" s="142" t="s">
        <v>22263</v>
      </c>
      <c r="G7025" s="142" t="s">
        <v>33344</v>
      </c>
      <c r="H7025" s="142"/>
      <c r="I7025" s="143"/>
      <c r="J7025" s="143" t="s">
        <v>45235</v>
      </c>
      <c r="K7025" s="143" t="s">
        <v>45236</v>
      </c>
      <c r="L7025" s="152" t="s">
        <v>45237</v>
      </c>
      <c r="M7025" s="143"/>
      <c r="N7025" s="12"/>
      <c r="O7025" s="12"/>
      <c r="P7025" s="13">
        <f>IFERROR(__xludf.DUMMYFUNCTION("VALUE(SUBSTITUTE((INDEX(SPLIT(A7025,"",""),1)),""."","","",1))"),57.922134)</f>
        <v>57.922134</v>
      </c>
      <c r="Q7025" s="13">
        <f>IFERROR(__xludf.DUMMYFUNCTION("VALUE(SUBSTITUTE((INDEX(SPLIT(A7025,"",""),2)),""."","","",1))"),59.913434)</f>
        <v>59.913434</v>
      </c>
      <c r="R7025" s="14" t="b">
        <f t="shared" si="1"/>
        <v>0</v>
      </c>
      <c r="S7025" s="14" t="str">
        <f t="shared" si="2"/>
        <v>57.922134,59.913434</v>
      </c>
      <c r="T7025" s="12"/>
    </row>
    <row r="7026">
      <c r="A7026" s="139" t="s">
        <v>45238</v>
      </c>
      <c r="B7026" s="140" t="s">
        <v>45239</v>
      </c>
      <c r="C7026" s="140" t="s">
        <v>45240</v>
      </c>
      <c r="D7026" s="140" t="s">
        <v>33342</v>
      </c>
      <c r="E7026" s="141" t="s">
        <v>45241</v>
      </c>
      <c r="F7026" s="139" t="s">
        <v>22263</v>
      </c>
      <c r="G7026" s="139" t="s">
        <v>33344</v>
      </c>
      <c r="H7026" s="139"/>
      <c r="I7026" s="140"/>
      <c r="J7026" s="140" t="s">
        <v>45242</v>
      </c>
      <c r="K7026" s="140" t="s">
        <v>41893</v>
      </c>
      <c r="L7026" s="140"/>
      <c r="M7026" s="140"/>
      <c r="N7026" s="12"/>
      <c r="O7026" s="12"/>
      <c r="P7026" s="13">
        <f>IFERROR(__xludf.DUMMYFUNCTION("VALUE(SUBSTITUTE((INDEX(SPLIT(A7026,"",""),1)),""."","","",1))"),57.938711)</f>
        <v>57.938711</v>
      </c>
      <c r="Q7026" s="13">
        <f>IFERROR(__xludf.DUMMYFUNCTION("VALUE(SUBSTITUTE((INDEX(SPLIT(A7026,"",""),2)),""."","","",1))"),59.929164)</f>
        <v>59.929164</v>
      </c>
      <c r="R7026" s="14" t="b">
        <f t="shared" si="1"/>
        <v>0</v>
      </c>
      <c r="S7026" s="14" t="str">
        <f t="shared" si="2"/>
        <v>57.938711,59.929164</v>
      </c>
      <c r="T7026" s="12"/>
    </row>
    <row r="7027">
      <c r="A7027" s="136" t="s">
        <v>45243</v>
      </c>
      <c r="B7027" s="137" t="s">
        <v>45244</v>
      </c>
      <c r="C7027" s="137" t="s">
        <v>45245</v>
      </c>
      <c r="D7027" s="137" t="s">
        <v>33342</v>
      </c>
      <c r="E7027" s="138" t="s">
        <v>45246</v>
      </c>
      <c r="F7027" s="136" t="s">
        <v>22263</v>
      </c>
      <c r="G7027" s="136" t="s">
        <v>33344</v>
      </c>
      <c r="H7027" s="136"/>
      <c r="I7027" s="137"/>
      <c r="J7027" s="137" t="s">
        <v>45247</v>
      </c>
      <c r="K7027" s="137" t="s">
        <v>45248</v>
      </c>
      <c r="L7027" s="137"/>
      <c r="M7027" s="137"/>
      <c r="N7027" s="12"/>
      <c r="O7027" s="12"/>
      <c r="P7027" s="13">
        <f>IFERROR(__xludf.DUMMYFUNCTION("VALUE(SUBSTITUTE((INDEX(SPLIT(A7027,"",""),1)),""."","","",1))"),57.935104)</f>
        <v>57.935104</v>
      </c>
      <c r="Q7027" s="13">
        <f>IFERROR(__xludf.DUMMYFUNCTION("VALUE(SUBSTITUTE((INDEX(SPLIT(A7027,"",""),2)),""."","","",1))"),59.911117)</f>
        <v>59.911117</v>
      </c>
      <c r="R7027" s="14" t="b">
        <f t="shared" si="1"/>
        <v>0</v>
      </c>
      <c r="S7027" s="14" t="str">
        <f t="shared" si="2"/>
        <v>57.935104,59.911117</v>
      </c>
      <c r="T7027" s="12"/>
    </row>
    <row r="7028">
      <c r="A7028" s="146" t="s">
        <v>45249</v>
      </c>
      <c r="B7028" s="147" t="s">
        <v>45250</v>
      </c>
      <c r="C7028" s="147" t="s">
        <v>45251</v>
      </c>
      <c r="D7028" s="147" t="s">
        <v>33342</v>
      </c>
      <c r="E7028" s="148" t="s">
        <v>45252</v>
      </c>
      <c r="F7028" s="146" t="s">
        <v>22263</v>
      </c>
      <c r="G7028" s="146" t="s">
        <v>33344</v>
      </c>
      <c r="H7028" s="146"/>
      <c r="I7028" s="147"/>
      <c r="J7028" s="147" t="s">
        <v>45253</v>
      </c>
      <c r="K7028" s="147" t="s">
        <v>45254</v>
      </c>
      <c r="L7028" s="149" t="s">
        <v>45255</v>
      </c>
      <c r="M7028" s="147"/>
      <c r="N7028" s="12"/>
      <c r="O7028" s="12"/>
      <c r="P7028" s="13">
        <f>IFERROR(__xludf.DUMMYFUNCTION("VALUE(SUBSTITUTE((INDEX(SPLIT(A7028,"",""),1)),""."","","",1))"),59.591634)</f>
        <v>59.591634</v>
      </c>
      <c r="Q7028" s="13">
        <f>IFERROR(__xludf.DUMMYFUNCTION("VALUE(SUBSTITUTE((INDEX(SPLIT(A7028,"",""),2)),""."","","",1))"),60.578978)</f>
        <v>60.578978</v>
      </c>
      <c r="R7028" s="14" t="b">
        <f t="shared" si="1"/>
        <v>0</v>
      </c>
      <c r="S7028" s="14" t="str">
        <f t="shared" si="2"/>
        <v>59.591634,60.578978</v>
      </c>
      <c r="T7028" s="12"/>
    </row>
    <row r="7029">
      <c r="A7029" s="136" t="s">
        <v>45256</v>
      </c>
      <c r="B7029" s="137" t="s">
        <v>45257</v>
      </c>
      <c r="C7029" s="137" t="s">
        <v>45258</v>
      </c>
      <c r="D7029" s="137" t="s">
        <v>33342</v>
      </c>
      <c r="E7029" s="138" t="s">
        <v>45259</v>
      </c>
      <c r="F7029" s="136" t="s">
        <v>22263</v>
      </c>
      <c r="G7029" s="136" t="s">
        <v>33344</v>
      </c>
      <c r="H7029" s="136"/>
      <c r="I7029" s="156" t="s">
        <v>45260</v>
      </c>
      <c r="J7029" s="137" t="s">
        <v>45261</v>
      </c>
      <c r="K7029" s="137" t="s">
        <v>45262</v>
      </c>
      <c r="L7029" s="137"/>
      <c r="M7029" s="137"/>
      <c r="N7029" s="12"/>
      <c r="O7029" s="12"/>
      <c r="P7029" s="13">
        <f>IFERROR(__xludf.DUMMYFUNCTION("VALUE(SUBSTITUTE((INDEX(SPLIT(A7029,"",""),1)),""."","","",1))"),56.860236)</f>
        <v>56.860236</v>
      </c>
      <c r="Q7029" s="13">
        <f>IFERROR(__xludf.DUMMYFUNCTION("VALUE(SUBSTITUTE((INDEX(SPLIT(A7029,"",""),2)),""."","","",1))"),61.320807)</f>
        <v>61.320807</v>
      </c>
      <c r="R7029" s="14" t="b">
        <f t="shared" si="1"/>
        <v>0</v>
      </c>
      <c r="S7029" s="14" t="str">
        <f t="shared" si="2"/>
        <v>56.860236,61.320807</v>
      </c>
      <c r="T7029" s="12"/>
    </row>
    <row r="7030">
      <c r="A7030" s="146" t="s">
        <v>45263</v>
      </c>
      <c r="B7030" s="147" t="s">
        <v>45264</v>
      </c>
      <c r="C7030" s="147" t="s">
        <v>45265</v>
      </c>
      <c r="D7030" s="147" t="s">
        <v>33342</v>
      </c>
      <c r="E7030" s="148" t="s">
        <v>45266</v>
      </c>
      <c r="F7030" s="146" t="s">
        <v>22263</v>
      </c>
      <c r="G7030" s="146" t="s">
        <v>33344</v>
      </c>
      <c r="H7030" s="146"/>
      <c r="I7030" s="147"/>
      <c r="J7030" s="147" t="s">
        <v>45267</v>
      </c>
      <c r="K7030" s="147" t="s">
        <v>45268</v>
      </c>
      <c r="L7030" s="149" t="s">
        <v>45269</v>
      </c>
      <c r="M7030" s="149" t="s">
        <v>45270</v>
      </c>
      <c r="N7030" s="12"/>
      <c r="O7030" s="12"/>
      <c r="P7030" s="13">
        <f>IFERROR(__xludf.DUMMYFUNCTION("VALUE(SUBSTITUTE((INDEX(SPLIT(A7030,"",""),1)),""."","","",1))"),56.757761)</f>
        <v>56.757761</v>
      </c>
      <c r="Q7030" s="13">
        <f>IFERROR(__xludf.DUMMYFUNCTION("VALUE(SUBSTITUTE((INDEX(SPLIT(A7030,"",""),2)),""."","","",1))"),60.586308)</f>
        <v>60.586308</v>
      </c>
      <c r="R7030" s="14" t="b">
        <f t="shared" si="1"/>
        <v>0</v>
      </c>
      <c r="S7030" s="14" t="str">
        <f t="shared" si="2"/>
        <v>56.757761,60.586308</v>
      </c>
      <c r="T7030" s="12"/>
    </row>
    <row r="7031">
      <c r="A7031" s="142" t="s">
        <v>45271</v>
      </c>
      <c r="B7031" s="143" t="s">
        <v>45272</v>
      </c>
      <c r="C7031" s="143" t="s">
        <v>45273</v>
      </c>
      <c r="D7031" s="143" t="s">
        <v>33342</v>
      </c>
      <c r="E7031" s="144" t="s">
        <v>45274</v>
      </c>
      <c r="F7031" s="142" t="s">
        <v>22263</v>
      </c>
      <c r="G7031" s="142" t="s">
        <v>33344</v>
      </c>
      <c r="H7031" s="142"/>
      <c r="I7031" s="143"/>
      <c r="J7031" s="143" t="s">
        <v>45275</v>
      </c>
      <c r="K7031" s="143" t="s">
        <v>45276</v>
      </c>
      <c r="L7031" s="145" t="s">
        <v>45277</v>
      </c>
      <c r="M7031" s="143"/>
      <c r="N7031" s="12"/>
      <c r="O7031" s="12"/>
      <c r="P7031" s="13">
        <f>IFERROR(__xludf.DUMMYFUNCTION("VALUE(SUBSTITUTE((INDEX(SPLIT(A7031,"",""),1)),""."","","",1))"),56.799172)</f>
        <v>56.799172</v>
      </c>
      <c r="Q7031" s="13">
        <f>IFERROR(__xludf.DUMMYFUNCTION("VALUE(SUBSTITUTE((INDEX(SPLIT(A7031,"",""),2)),""."","","",1))"),60.495192)</f>
        <v>60.495192</v>
      </c>
      <c r="R7031" s="14" t="b">
        <f t="shared" si="1"/>
        <v>0</v>
      </c>
      <c r="S7031" s="14" t="str">
        <f t="shared" si="2"/>
        <v>56.799172,60.495192</v>
      </c>
      <c r="T7031" s="12"/>
    </row>
    <row r="7032">
      <c r="A7032" s="139" t="s">
        <v>45278</v>
      </c>
      <c r="B7032" s="140" t="s">
        <v>45279</v>
      </c>
      <c r="C7032" s="140" t="s">
        <v>45280</v>
      </c>
      <c r="D7032" s="140" t="s">
        <v>33342</v>
      </c>
      <c r="E7032" s="141" t="s">
        <v>45281</v>
      </c>
      <c r="F7032" s="139" t="s">
        <v>22263</v>
      </c>
      <c r="G7032" s="139" t="s">
        <v>33344</v>
      </c>
      <c r="H7032" s="139"/>
      <c r="I7032" s="140"/>
      <c r="J7032" s="140" t="s">
        <v>45282</v>
      </c>
      <c r="K7032" s="140" t="s">
        <v>45283</v>
      </c>
      <c r="L7032" s="140"/>
      <c r="M7032" s="140"/>
      <c r="N7032" s="12"/>
      <c r="O7032" s="12"/>
      <c r="P7032" s="13">
        <f>IFERROR(__xludf.DUMMYFUNCTION("VALUE(SUBSTITUTE((INDEX(SPLIT(A7032,"",""),1)),""."","","",1))"),56.818533)</f>
        <v>56.818533</v>
      </c>
      <c r="Q7032" s="13">
        <f>IFERROR(__xludf.DUMMYFUNCTION("VALUE(SUBSTITUTE((INDEX(SPLIT(A7032,"",""),2)),""."","","",1))"),60.560787)</f>
        <v>60.560787</v>
      </c>
      <c r="R7032" s="14" t="b">
        <f t="shared" si="1"/>
        <v>0</v>
      </c>
      <c r="S7032" s="14" t="str">
        <f t="shared" si="2"/>
        <v>56.818533,60.560787</v>
      </c>
      <c r="T7032" s="12"/>
    </row>
    <row r="7033">
      <c r="A7033" s="136" t="s">
        <v>45284</v>
      </c>
      <c r="B7033" s="137" t="s">
        <v>45285</v>
      </c>
      <c r="C7033" s="137" t="s">
        <v>45286</v>
      </c>
      <c r="D7033" s="137" t="s">
        <v>33342</v>
      </c>
      <c r="E7033" s="138" t="s">
        <v>45287</v>
      </c>
      <c r="F7033" s="136" t="s">
        <v>22263</v>
      </c>
      <c r="G7033" s="136" t="s">
        <v>33344</v>
      </c>
      <c r="H7033" s="136"/>
      <c r="I7033" s="137"/>
      <c r="J7033" s="137" t="s">
        <v>45288</v>
      </c>
      <c r="K7033" s="137" t="s">
        <v>30279</v>
      </c>
      <c r="L7033" s="137"/>
      <c r="M7033" s="153" t="s">
        <v>45289</v>
      </c>
      <c r="N7033" s="12"/>
      <c r="O7033" s="12"/>
      <c r="P7033" s="13">
        <f>IFERROR(__xludf.DUMMYFUNCTION("VALUE(SUBSTITUTE((INDEX(SPLIT(A7033,"",""),1)),""."","","",1))"),56.847203)</f>
        <v>56.847203</v>
      </c>
      <c r="Q7033" s="13">
        <f>IFERROR(__xludf.DUMMYFUNCTION("VALUE(SUBSTITUTE((INDEX(SPLIT(A7033,"",""),2)),""."","","",1))"),60.558335)</f>
        <v>60.558335</v>
      </c>
      <c r="R7033" s="14" t="b">
        <f t="shared" si="1"/>
        <v>0</v>
      </c>
      <c r="S7033" s="14" t="str">
        <f t="shared" si="2"/>
        <v>56.847203,60.558335</v>
      </c>
      <c r="T7033" s="12"/>
    </row>
    <row r="7034">
      <c r="A7034" s="139" t="s">
        <v>45290</v>
      </c>
      <c r="B7034" s="140" t="s">
        <v>45291</v>
      </c>
      <c r="C7034" s="140" t="s">
        <v>45292</v>
      </c>
      <c r="D7034" s="140" t="s">
        <v>33342</v>
      </c>
      <c r="E7034" s="141" t="s">
        <v>45293</v>
      </c>
      <c r="F7034" s="139" t="s">
        <v>22263</v>
      </c>
      <c r="G7034" s="139" t="s">
        <v>33344</v>
      </c>
      <c r="H7034" s="139"/>
      <c r="I7034" s="140"/>
      <c r="J7034" s="140" t="s">
        <v>45294</v>
      </c>
      <c r="K7034" s="140" t="s">
        <v>45295</v>
      </c>
      <c r="L7034" s="140"/>
      <c r="M7034" s="140"/>
      <c r="N7034" s="12"/>
      <c r="O7034" s="12"/>
      <c r="P7034" s="13">
        <f>IFERROR(__xludf.DUMMYFUNCTION("VALUE(SUBSTITUTE((INDEX(SPLIT(A7034,"",""),1)),""."","","",1))"),56.824917)</f>
        <v>56.824917</v>
      </c>
      <c r="Q7034" s="13">
        <f>IFERROR(__xludf.DUMMYFUNCTION("VALUE(SUBSTITUTE((INDEX(SPLIT(A7034,"",""),2)),""."","","",1))"),60.55219)</f>
        <v>60.55219</v>
      </c>
      <c r="R7034" s="14" t="b">
        <f t="shared" si="1"/>
        <v>0</v>
      </c>
      <c r="S7034" s="14" t="str">
        <f t="shared" si="2"/>
        <v>56.824917,60.55219</v>
      </c>
      <c r="T7034" s="12"/>
    </row>
    <row r="7035">
      <c r="A7035" s="142" t="s">
        <v>45296</v>
      </c>
      <c r="B7035" s="143" t="s">
        <v>45297</v>
      </c>
      <c r="C7035" s="143" t="s">
        <v>45298</v>
      </c>
      <c r="D7035" s="143" t="s">
        <v>33342</v>
      </c>
      <c r="E7035" s="144" t="s">
        <v>45299</v>
      </c>
      <c r="F7035" s="142" t="s">
        <v>22263</v>
      </c>
      <c r="G7035" s="142" t="s">
        <v>33344</v>
      </c>
      <c r="H7035" s="142"/>
      <c r="I7035" s="143"/>
      <c r="J7035" s="143" t="s">
        <v>45300</v>
      </c>
      <c r="K7035" s="143" t="s">
        <v>45301</v>
      </c>
      <c r="L7035" s="152" t="s">
        <v>45302</v>
      </c>
      <c r="M7035" s="143"/>
      <c r="N7035" s="12"/>
      <c r="O7035" s="12"/>
      <c r="P7035" s="13">
        <f>IFERROR(__xludf.DUMMYFUNCTION("VALUE(SUBSTITUTE((INDEX(SPLIT(A7035,"",""),1)),""."","","",1))"),56.875585)</f>
        <v>56.875585</v>
      </c>
      <c r="Q7035" s="13">
        <f>IFERROR(__xludf.DUMMYFUNCTION("VALUE(SUBSTITUTE((INDEX(SPLIT(A7035,"",""),2)),""."","","",1))"),60.789687)</f>
        <v>60.789687</v>
      </c>
      <c r="R7035" s="14" t="b">
        <f t="shared" si="1"/>
        <v>0</v>
      </c>
      <c r="S7035" s="14" t="str">
        <f t="shared" si="2"/>
        <v>56.875585,60.789687</v>
      </c>
      <c r="T7035" s="12"/>
    </row>
    <row r="7036">
      <c r="A7036" s="139" t="s">
        <v>45303</v>
      </c>
      <c r="B7036" s="140" t="s">
        <v>45304</v>
      </c>
      <c r="C7036" s="140" t="s">
        <v>45305</v>
      </c>
      <c r="D7036" s="140" t="s">
        <v>33342</v>
      </c>
      <c r="E7036" s="141" t="s">
        <v>45306</v>
      </c>
      <c r="F7036" s="139" t="s">
        <v>22263</v>
      </c>
      <c r="G7036" s="139" t="s">
        <v>33344</v>
      </c>
      <c r="H7036" s="139"/>
      <c r="I7036" s="140"/>
      <c r="J7036" s="140" t="s">
        <v>45307</v>
      </c>
      <c r="K7036" s="140" t="s">
        <v>45301</v>
      </c>
      <c r="L7036" s="140"/>
      <c r="M7036" s="140"/>
      <c r="N7036" s="12"/>
      <c r="O7036" s="12"/>
      <c r="P7036" s="13">
        <f>IFERROR(__xludf.DUMMYFUNCTION("VALUE(SUBSTITUTE((INDEX(SPLIT(A7036,"",""),1)),""."","","",1))"),56.862849)</f>
        <v>56.862849</v>
      </c>
      <c r="Q7036" s="13">
        <f>IFERROR(__xludf.DUMMYFUNCTION("VALUE(SUBSTITUTE((INDEX(SPLIT(A7036,"",""),2)),""."","","",1))"),60.565162)</f>
        <v>60.565162</v>
      </c>
      <c r="R7036" s="14" t="b">
        <f t="shared" si="1"/>
        <v>0</v>
      </c>
      <c r="S7036" s="14" t="str">
        <f t="shared" si="2"/>
        <v>56.862849,60.565162</v>
      </c>
      <c r="T7036" s="12"/>
    </row>
    <row r="7037">
      <c r="A7037" s="136" t="s">
        <v>45308</v>
      </c>
      <c r="B7037" s="137" t="s">
        <v>45309</v>
      </c>
      <c r="C7037" s="137" t="s">
        <v>45310</v>
      </c>
      <c r="D7037" s="137" t="s">
        <v>33342</v>
      </c>
      <c r="E7037" s="138" t="s">
        <v>45311</v>
      </c>
      <c r="F7037" s="136" t="s">
        <v>22263</v>
      </c>
      <c r="G7037" s="136" t="s">
        <v>33344</v>
      </c>
      <c r="H7037" s="136"/>
      <c r="I7037" s="137"/>
      <c r="J7037" s="137" t="s">
        <v>45312</v>
      </c>
      <c r="K7037" s="137" t="s">
        <v>45276</v>
      </c>
      <c r="L7037" s="137"/>
      <c r="M7037" s="137"/>
      <c r="N7037" s="12"/>
      <c r="O7037" s="12"/>
      <c r="P7037" s="13">
        <f>IFERROR(__xludf.DUMMYFUNCTION("VALUE(SUBSTITUTE((INDEX(SPLIT(A7037,"",""),1)),""."","","",1))"),56.848104)</f>
        <v>56.848104</v>
      </c>
      <c r="Q7037" s="13">
        <f>IFERROR(__xludf.DUMMYFUNCTION("VALUE(SUBSTITUTE((INDEX(SPLIT(A7037,"",""),2)),""."","","",1))"),60.664713)</f>
        <v>60.664713</v>
      </c>
      <c r="R7037" s="14" t="b">
        <f t="shared" si="1"/>
        <v>0</v>
      </c>
      <c r="S7037" s="14" t="str">
        <f t="shared" si="2"/>
        <v>56.848104,60.664713</v>
      </c>
      <c r="T7037" s="12"/>
    </row>
    <row r="7038">
      <c r="A7038" s="146" t="s">
        <v>45313</v>
      </c>
      <c r="B7038" s="147" t="s">
        <v>45314</v>
      </c>
      <c r="C7038" s="147" t="s">
        <v>45315</v>
      </c>
      <c r="D7038" s="147" t="s">
        <v>33342</v>
      </c>
      <c r="E7038" s="148" t="s">
        <v>45316</v>
      </c>
      <c r="F7038" s="146" t="s">
        <v>22263</v>
      </c>
      <c r="G7038" s="146" t="s">
        <v>33344</v>
      </c>
      <c r="H7038" s="146"/>
      <c r="I7038" s="147"/>
      <c r="J7038" s="147" t="s">
        <v>45317</v>
      </c>
      <c r="K7038" s="147" t="s">
        <v>45318</v>
      </c>
      <c r="L7038" s="149" t="s">
        <v>45319</v>
      </c>
      <c r="M7038" s="149" t="s">
        <v>45320</v>
      </c>
      <c r="N7038" s="12"/>
      <c r="O7038" s="12"/>
      <c r="P7038" s="13">
        <f>IFERROR(__xludf.DUMMYFUNCTION("VALUE(SUBSTITUTE((INDEX(SPLIT(A7038,"",""),1)),""."","","",1))"),56.855762)</f>
        <v>56.855762</v>
      </c>
      <c r="Q7038" s="13">
        <f>IFERROR(__xludf.DUMMYFUNCTION("VALUE(SUBSTITUTE((INDEX(SPLIT(A7038,"",""),2)),""."","","",1))"),60.660428)</f>
        <v>60.660428</v>
      </c>
      <c r="R7038" s="14" t="b">
        <f t="shared" si="1"/>
        <v>0</v>
      </c>
      <c r="S7038" s="14" t="str">
        <f t="shared" si="2"/>
        <v>56.855762,60.660428</v>
      </c>
      <c r="T7038" s="12"/>
    </row>
    <row r="7039">
      <c r="A7039" s="142" t="s">
        <v>45321</v>
      </c>
      <c r="B7039" s="143" t="s">
        <v>45322</v>
      </c>
      <c r="C7039" s="143" t="s">
        <v>45323</v>
      </c>
      <c r="D7039" s="143" t="s">
        <v>33342</v>
      </c>
      <c r="E7039" s="144" t="s">
        <v>45324</v>
      </c>
      <c r="F7039" s="142" t="s">
        <v>22263</v>
      </c>
      <c r="G7039" s="142" t="s">
        <v>33344</v>
      </c>
      <c r="H7039" s="142"/>
      <c r="I7039" s="143"/>
      <c r="J7039" s="143" t="s">
        <v>45325</v>
      </c>
      <c r="K7039" s="143" t="s">
        <v>45326</v>
      </c>
      <c r="L7039" s="152" t="s">
        <v>45327</v>
      </c>
      <c r="M7039" s="143"/>
      <c r="N7039" s="12"/>
      <c r="O7039" s="12"/>
      <c r="P7039" s="13">
        <f>IFERROR(__xludf.DUMMYFUNCTION("VALUE(SUBSTITUTE((INDEX(SPLIT(A7039,"",""),1)),""."","","",1))"),56.855743)</f>
        <v>56.855743</v>
      </c>
      <c r="Q7039" s="13">
        <f>IFERROR(__xludf.DUMMYFUNCTION("VALUE(SUBSTITUTE((INDEX(SPLIT(A7039,"",""),2)),""."","","",1))"),60.65582)</f>
        <v>60.65582</v>
      </c>
      <c r="R7039" s="14" t="b">
        <f t="shared" si="1"/>
        <v>0</v>
      </c>
      <c r="S7039" s="14" t="str">
        <f t="shared" si="2"/>
        <v>56.855743,60.65582</v>
      </c>
      <c r="T7039" s="12"/>
    </row>
    <row r="7040">
      <c r="A7040" s="139" t="s">
        <v>45328</v>
      </c>
      <c r="B7040" s="140" t="s">
        <v>45329</v>
      </c>
      <c r="C7040" s="140" t="s">
        <v>45330</v>
      </c>
      <c r="D7040" s="140" t="s">
        <v>33342</v>
      </c>
      <c r="E7040" s="141" t="s">
        <v>45331</v>
      </c>
      <c r="F7040" s="139" t="s">
        <v>22263</v>
      </c>
      <c r="G7040" s="139" t="s">
        <v>33344</v>
      </c>
      <c r="H7040" s="139"/>
      <c r="I7040" s="140"/>
      <c r="J7040" s="140" t="s">
        <v>45332</v>
      </c>
      <c r="K7040" s="140" t="s">
        <v>45333</v>
      </c>
      <c r="L7040" s="140"/>
      <c r="M7040" s="140"/>
      <c r="N7040" s="12"/>
      <c r="O7040" s="12"/>
      <c r="P7040" s="13">
        <f>IFERROR(__xludf.DUMMYFUNCTION("VALUE(SUBSTITUTE((INDEX(SPLIT(A7040,"",""),1)),""."","","",1))"),56.681324)</f>
        <v>56.681324</v>
      </c>
      <c r="Q7040" s="13">
        <f>IFERROR(__xludf.DUMMYFUNCTION("VALUE(SUBSTITUTE((INDEX(SPLIT(A7040,"",""),2)),""."","","",1))"),60.5408)</f>
        <v>60.5408</v>
      </c>
      <c r="R7040" s="14" t="b">
        <f t="shared" si="1"/>
        <v>0</v>
      </c>
      <c r="S7040" s="14" t="str">
        <f t="shared" si="2"/>
        <v>56.681324,60.5408</v>
      </c>
      <c r="T7040" s="12"/>
    </row>
    <row r="7041">
      <c r="A7041" s="142" t="s">
        <v>25377</v>
      </c>
      <c r="B7041" s="143" t="s">
        <v>45334</v>
      </c>
      <c r="C7041" s="143" t="s">
        <v>45335</v>
      </c>
      <c r="D7041" s="143" t="s">
        <v>33342</v>
      </c>
      <c r="E7041" s="144" t="s">
        <v>45336</v>
      </c>
      <c r="F7041" s="142" t="s">
        <v>22263</v>
      </c>
      <c r="G7041" s="142" t="s">
        <v>33344</v>
      </c>
      <c r="H7041" s="142"/>
      <c r="I7041" s="143"/>
      <c r="J7041" s="143" t="s">
        <v>45337</v>
      </c>
      <c r="K7041" s="143" t="s">
        <v>45338</v>
      </c>
      <c r="L7041" s="145" t="s">
        <v>45339</v>
      </c>
      <c r="M7041" s="143"/>
      <c r="N7041" s="12"/>
      <c r="O7041" s="12"/>
      <c r="P7041" s="13">
        <f>IFERROR(__xludf.DUMMYFUNCTION("VALUE(SUBSTITUTE((INDEX(SPLIT(A7041,"",""),1)),""."","","",1))"),56.82275)</f>
        <v>56.82275</v>
      </c>
      <c r="Q7041" s="13">
        <f>IFERROR(__xludf.DUMMYFUNCTION("VALUE(SUBSTITUTE((INDEX(SPLIT(A7041,"",""),2)),""."","","",1))"),60.61774)</f>
        <v>60.61774</v>
      </c>
      <c r="R7041" s="14" t="b">
        <f t="shared" si="1"/>
        <v>0</v>
      </c>
      <c r="S7041" s="14" t="str">
        <f t="shared" si="2"/>
        <v>56.82275,60.61774</v>
      </c>
      <c r="T7041" s="12"/>
    </row>
    <row r="7042">
      <c r="A7042" s="146" t="s">
        <v>45340</v>
      </c>
      <c r="B7042" s="147" t="s">
        <v>45341</v>
      </c>
      <c r="C7042" s="147" t="s">
        <v>45342</v>
      </c>
      <c r="D7042" s="147" t="s">
        <v>33342</v>
      </c>
      <c r="E7042" s="148" t="s">
        <v>45343</v>
      </c>
      <c r="F7042" s="146" t="s">
        <v>22263</v>
      </c>
      <c r="G7042" s="146" t="s">
        <v>33344</v>
      </c>
      <c r="H7042" s="146"/>
      <c r="I7042" s="147"/>
      <c r="J7042" s="147" t="s">
        <v>45344</v>
      </c>
      <c r="K7042" s="147" t="s">
        <v>45345</v>
      </c>
      <c r="L7042" s="149" t="s">
        <v>45346</v>
      </c>
      <c r="M7042" s="147"/>
      <c r="N7042" s="12"/>
      <c r="O7042" s="12"/>
      <c r="P7042" s="13">
        <f>IFERROR(__xludf.DUMMYFUNCTION("VALUE(SUBSTITUTE((INDEX(SPLIT(A7042,"",""),1)),""."","","",1))"),56.813414)</f>
        <v>56.813414</v>
      </c>
      <c r="Q7042" s="13">
        <f>IFERROR(__xludf.DUMMYFUNCTION("VALUE(SUBSTITUTE((INDEX(SPLIT(A7042,"",""),2)),""."","","",1))"),60.548858)</f>
        <v>60.548858</v>
      </c>
      <c r="R7042" s="14" t="b">
        <f t="shared" si="1"/>
        <v>0</v>
      </c>
      <c r="S7042" s="14" t="str">
        <f t="shared" si="2"/>
        <v>56.813414,60.548858</v>
      </c>
      <c r="T7042" s="12"/>
    </row>
    <row r="7043">
      <c r="A7043" s="136" t="s">
        <v>45347</v>
      </c>
      <c r="B7043" s="137" t="s">
        <v>45348</v>
      </c>
      <c r="C7043" s="137" t="s">
        <v>45349</v>
      </c>
      <c r="D7043" s="137" t="s">
        <v>33342</v>
      </c>
      <c r="E7043" s="138" t="s">
        <v>45350</v>
      </c>
      <c r="F7043" s="136" t="s">
        <v>22263</v>
      </c>
      <c r="G7043" s="136" t="s">
        <v>33344</v>
      </c>
      <c r="H7043" s="136"/>
      <c r="I7043" s="137"/>
      <c r="J7043" s="137" t="s">
        <v>45351</v>
      </c>
      <c r="K7043" s="137" t="s">
        <v>45352</v>
      </c>
      <c r="L7043" s="137"/>
      <c r="M7043" s="153" t="s">
        <v>45353</v>
      </c>
      <c r="N7043" s="12"/>
      <c r="O7043" s="12"/>
      <c r="P7043" s="13">
        <f>IFERROR(__xludf.DUMMYFUNCTION("VALUE(SUBSTITUTE((INDEX(SPLIT(A7043,"",""),1)),""."","","",1))"),56.827513)</f>
        <v>56.827513</v>
      </c>
      <c r="Q7043" s="13">
        <f>IFERROR(__xludf.DUMMYFUNCTION("VALUE(SUBSTITUTE((INDEX(SPLIT(A7043,"",""),2)),""."","","",1))"),60.586596)</f>
        <v>60.586596</v>
      </c>
      <c r="R7043" s="14" t="b">
        <f t="shared" si="1"/>
        <v>0</v>
      </c>
      <c r="S7043" s="14" t="str">
        <f t="shared" si="2"/>
        <v>56.827513,60.586596</v>
      </c>
      <c r="T7043" s="12"/>
    </row>
    <row r="7044">
      <c r="A7044" s="139" t="s">
        <v>45354</v>
      </c>
      <c r="B7044" s="140" t="s">
        <v>45355</v>
      </c>
      <c r="C7044" s="140" t="s">
        <v>45356</v>
      </c>
      <c r="D7044" s="140" t="s">
        <v>33342</v>
      </c>
      <c r="E7044" s="141" t="s">
        <v>45357</v>
      </c>
      <c r="F7044" s="139" t="s">
        <v>22263</v>
      </c>
      <c r="G7044" s="139" t="s">
        <v>33344</v>
      </c>
      <c r="H7044" s="139"/>
      <c r="I7044" s="140"/>
      <c r="J7044" s="140" t="s">
        <v>45358</v>
      </c>
      <c r="K7044" s="140" t="s">
        <v>45359</v>
      </c>
      <c r="L7044" s="140"/>
      <c r="M7044" s="140"/>
      <c r="N7044" s="12"/>
      <c r="O7044" s="12"/>
      <c r="P7044" s="13">
        <f>IFERROR(__xludf.DUMMYFUNCTION("VALUE(SUBSTITUTE((INDEX(SPLIT(A7044,"",""),1)),""."","","",1))"),56.812409)</f>
        <v>56.812409</v>
      </c>
      <c r="Q7044" s="13">
        <f>IFERROR(__xludf.DUMMYFUNCTION("VALUE(SUBSTITUTE((INDEX(SPLIT(A7044,"",""),2)),""."","","",1))"),60.595327)</f>
        <v>60.595327</v>
      </c>
      <c r="R7044" s="14" t="b">
        <f t="shared" si="1"/>
        <v>0</v>
      </c>
      <c r="S7044" s="14" t="str">
        <f t="shared" si="2"/>
        <v>56.812409,60.595327</v>
      </c>
      <c r="T7044" s="12"/>
    </row>
    <row r="7045">
      <c r="A7045" s="142" t="s">
        <v>45360</v>
      </c>
      <c r="B7045" s="143" t="s">
        <v>45361</v>
      </c>
      <c r="C7045" s="143" t="s">
        <v>45362</v>
      </c>
      <c r="D7045" s="143" t="s">
        <v>33342</v>
      </c>
      <c r="E7045" s="144" t="s">
        <v>45363</v>
      </c>
      <c r="F7045" s="142" t="s">
        <v>22263</v>
      </c>
      <c r="G7045" s="142" t="s">
        <v>33344</v>
      </c>
      <c r="H7045" s="142"/>
      <c r="I7045" s="143"/>
      <c r="J7045" s="143" t="s">
        <v>45364</v>
      </c>
      <c r="K7045" s="143" t="s">
        <v>45365</v>
      </c>
      <c r="L7045" s="145" t="s">
        <v>45366</v>
      </c>
      <c r="M7045" s="145" t="s">
        <v>45367</v>
      </c>
      <c r="N7045" s="12"/>
      <c r="O7045" s="12"/>
      <c r="P7045" s="13">
        <f>IFERROR(__xludf.DUMMYFUNCTION("VALUE(SUBSTITUTE((INDEX(SPLIT(A7045,"",""),1)),""."","","",1))"),56.829675)</f>
        <v>56.829675</v>
      </c>
      <c r="Q7045" s="13">
        <f>IFERROR(__xludf.DUMMYFUNCTION("VALUE(SUBSTITUTE((INDEX(SPLIT(A7045,"",""),2)),""."","","",1))"),60.592228)</f>
        <v>60.592228</v>
      </c>
      <c r="R7045" s="14" t="b">
        <f t="shared" si="1"/>
        <v>0</v>
      </c>
      <c r="S7045" s="14" t="str">
        <f t="shared" si="2"/>
        <v>56.829675,60.592228</v>
      </c>
      <c r="T7045" s="12"/>
    </row>
    <row r="7046">
      <c r="A7046" s="146" t="s">
        <v>45368</v>
      </c>
      <c r="B7046" s="147" t="s">
        <v>45369</v>
      </c>
      <c r="C7046" s="147" t="s">
        <v>45370</v>
      </c>
      <c r="D7046" s="147" t="s">
        <v>33342</v>
      </c>
      <c r="E7046" s="148" t="s">
        <v>45371</v>
      </c>
      <c r="F7046" s="146" t="s">
        <v>22263</v>
      </c>
      <c r="G7046" s="146" t="s">
        <v>33344</v>
      </c>
      <c r="H7046" s="146"/>
      <c r="I7046" s="147"/>
      <c r="J7046" s="147" t="s">
        <v>45372</v>
      </c>
      <c r="K7046" s="147" t="s">
        <v>45373</v>
      </c>
      <c r="L7046" s="149" t="s">
        <v>45374</v>
      </c>
      <c r="M7046" s="149" t="s">
        <v>45375</v>
      </c>
      <c r="N7046" s="12"/>
      <c r="O7046" s="12"/>
      <c r="P7046" s="13">
        <f>IFERROR(__xludf.DUMMYFUNCTION("VALUE(SUBSTITUTE((INDEX(SPLIT(A7046,"",""),1)),""."","","",1))"),56.827975)</f>
        <v>56.827975</v>
      </c>
      <c r="Q7046" s="13">
        <f>IFERROR(__xludf.DUMMYFUNCTION("VALUE(SUBSTITUTE((INDEX(SPLIT(A7046,"",""),2)),""."","","",1))"),60.593971)</f>
        <v>60.593971</v>
      </c>
      <c r="R7046" s="14" t="b">
        <f t="shared" si="1"/>
        <v>0</v>
      </c>
      <c r="S7046" s="14" t="str">
        <f t="shared" si="2"/>
        <v>56.827975,60.593971</v>
      </c>
      <c r="T7046" s="12"/>
    </row>
    <row r="7047">
      <c r="A7047" s="142" t="s">
        <v>45376</v>
      </c>
      <c r="B7047" s="143" t="s">
        <v>45377</v>
      </c>
      <c r="C7047" s="143" t="s">
        <v>45378</v>
      </c>
      <c r="D7047" s="143" t="s">
        <v>33342</v>
      </c>
      <c r="E7047" s="144" t="s">
        <v>45379</v>
      </c>
      <c r="F7047" s="142" t="s">
        <v>22263</v>
      </c>
      <c r="G7047" s="142" t="s">
        <v>33344</v>
      </c>
      <c r="H7047" s="142"/>
      <c r="I7047" s="143"/>
      <c r="J7047" s="143" t="s">
        <v>45380</v>
      </c>
      <c r="K7047" s="143" t="s">
        <v>45381</v>
      </c>
      <c r="L7047" s="152" t="s">
        <v>45382</v>
      </c>
      <c r="M7047" s="143"/>
      <c r="N7047" s="12"/>
      <c r="O7047" s="12"/>
      <c r="P7047" s="13">
        <f>IFERROR(__xludf.DUMMYFUNCTION("VALUE(SUBSTITUTE((INDEX(SPLIT(A7047,"",""),1)),""."","","",1))"),56.822937)</f>
        <v>56.822937</v>
      </c>
      <c r="Q7047" s="13">
        <f>IFERROR(__xludf.DUMMYFUNCTION("VALUE(SUBSTITUTE((INDEX(SPLIT(A7047,"",""),2)),""."","","",1))"),60.626346)</f>
        <v>60.626346</v>
      </c>
      <c r="R7047" s="14" t="b">
        <f t="shared" si="1"/>
        <v>0</v>
      </c>
      <c r="S7047" s="14" t="str">
        <f t="shared" si="2"/>
        <v>56.822937,60.626346</v>
      </c>
      <c r="T7047" s="12"/>
    </row>
    <row r="7048">
      <c r="A7048" s="146" t="s">
        <v>45383</v>
      </c>
      <c r="B7048" s="147" t="s">
        <v>45384</v>
      </c>
      <c r="C7048" s="147" t="s">
        <v>45385</v>
      </c>
      <c r="D7048" s="147" t="s">
        <v>33342</v>
      </c>
      <c r="E7048" s="148" t="s">
        <v>45386</v>
      </c>
      <c r="F7048" s="146" t="s">
        <v>22263</v>
      </c>
      <c r="G7048" s="146" t="s">
        <v>33344</v>
      </c>
      <c r="H7048" s="146"/>
      <c r="I7048" s="147"/>
      <c r="J7048" s="147" t="s">
        <v>45387</v>
      </c>
      <c r="K7048" s="147" t="s">
        <v>45388</v>
      </c>
      <c r="L7048" s="149" t="s">
        <v>45389</v>
      </c>
      <c r="M7048" s="147"/>
      <c r="N7048" s="12"/>
      <c r="O7048" s="12"/>
      <c r="P7048" s="13">
        <f>IFERROR(__xludf.DUMMYFUNCTION("VALUE(SUBSTITUTE((INDEX(SPLIT(A7048,"",""),1)),""."","","",1))"),56.880592)</f>
        <v>56.880592</v>
      </c>
      <c r="Q7048" s="13">
        <f>IFERROR(__xludf.DUMMYFUNCTION("VALUE(SUBSTITUTE((INDEX(SPLIT(A7048,"",""),2)),""."","","",1))"),60.61995)</f>
        <v>60.61995</v>
      </c>
      <c r="R7048" s="14" t="b">
        <f t="shared" si="1"/>
        <v>0</v>
      </c>
      <c r="S7048" s="14" t="str">
        <f t="shared" si="2"/>
        <v>56.880592,60.61995</v>
      </c>
      <c r="T7048" s="12"/>
    </row>
    <row r="7049">
      <c r="A7049" s="136" t="s">
        <v>45390</v>
      </c>
      <c r="B7049" s="137" t="s">
        <v>10574</v>
      </c>
      <c r="C7049" s="137" t="s">
        <v>45391</v>
      </c>
      <c r="D7049" s="137" t="s">
        <v>33342</v>
      </c>
      <c r="E7049" s="138" t="s">
        <v>45392</v>
      </c>
      <c r="F7049" s="136" t="s">
        <v>22263</v>
      </c>
      <c r="G7049" s="136" t="s">
        <v>33344</v>
      </c>
      <c r="H7049" s="136"/>
      <c r="I7049" s="137"/>
      <c r="J7049" s="137" t="s">
        <v>45393</v>
      </c>
      <c r="K7049" s="137" t="s">
        <v>45394</v>
      </c>
      <c r="L7049" s="137"/>
      <c r="M7049" s="153" t="s">
        <v>45395</v>
      </c>
      <c r="N7049" s="12"/>
      <c r="O7049" s="12"/>
      <c r="P7049" s="13">
        <f>IFERROR(__xludf.DUMMYFUNCTION("VALUE(SUBSTITUTE((INDEX(SPLIT(A7049,"",""),1)),""."","","",1))"),57.646616)</f>
        <v>57.646616</v>
      </c>
      <c r="Q7049" s="13">
        <f>IFERROR(__xludf.DUMMYFUNCTION("VALUE(SUBSTITUTE((INDEX(SPLIT(A7049,"",""),2)),""."","","",1))"),63.064715)</f>
        <v>63.064715</v>
      </c>
      <c r="R7049" s="14" t="b">
        <f t="shared" si="1"/>
        <v>0</v>
      </c>
      <c r="S7049" s="14" t="str">
        <f t="shared" si="2"/>
        <v>57.646616,63.064715</v>
      </c>
      <c r="T7049" s="12"/>
    </row>
    <row r="7050">
      <c r="A7050" s="146" t="s">
        <v>25510</v>
      </c>
      <c r="B7050" s="147" t="s">
        <v>45396</v>
      </c>
      <c r="C7050" s="147" t="s">
        <v>45397</v>
      </c>
      <c r="D7050" s="147" t="s">
        <v>33342</v>
      </c>
      <c r="E7050" s="148" t="s">
        <v>45398</v>
      </c>
      <c r="F7050" s="146" t="s">
        <v>22263</v>
      </c>
      <c r="G7050" s="146" t="s">
        <v>33344</v>
      </c>
      <c r="H7050" s="146"/>
      <c r="I7050" s="147"/>
      <c r="J7050" s="147" t="s">
        <v>45399</v>
      </c>
      <c r="K7050" s="147" t="s">
        <v>45400</v>
      </c>
      <c r="L7050" s="149" t="s">
        <v>45401</v>
      </c>
      <c r="M7050" s="149" t="s">
        <v>45402</v>
      </c>
      <c r="N7050" s="12"/>
      <c r="O7050" s="12"/>
      <c r="P7050" s="13">
        <f>IFERROR(__xludf.DUMMYFUNCTION("VALUE(SUBSTITUTE((INDEX(SPLIT(A7050,"",""),1)),""."","","",1))"),56.805087)</f>
        <v>56.805087</v>
      </c>
      <c r="Q7050" s="13">
        <f>IFERROR(__xludf.DUMMYFUNCTION("VALUE(SUBSTITUTE((INDEX(SPLIT(A7050,"",""),2)),""."","","",1))"),60.630613)</f>
        <v>60.630613</v>
      </c>
      <c r="R7050" s="14" t="b">
        <f t="shared" si="1"/>
        <v>0</v>
      </c>
      <c r="S7050" s="14" t="str">
        <f t="shared" si="2"/>
        <v>56.805087,60.630613</v>
      </c>
      <c r="T7050" s="12"/>
    </row>
    <row r="7051">
      <c r="A7051" s="136" t="s">
        <v>45403</v>
      </c>
      <c r="B7051" s="137" t="s">
        <v>45404</v>
      </c>
      <c r="C7051" s="137" t="s">
        <v>45405</v>
      </c>
      <c r="D7051" s="137" t="s">
        <v>33342</v>
      </c>
      <c r="E7051" s="138" t="s">
        <v>45406</v>
      </c>
      <c r="F7051" s="136" t="s">
        <v>22263</v>
      </c>
      <c r="G7051" s="136" t="s">
        <v>33344</v>
      </c>
      <c r="H7051" s="136"/>
      <c r="I7051" s="137"/>
      <c r="J7051" s="137" t="s">
        <v>45407</v>
      </c>
      <c r="K7051" s="137" t="s">
        <v>35113</v>
      </c>
      <c r="L7051" s="137"/>
      <c r="M7051" s="137"/>
      <c r="N7051" s="12"/>
      <c r="O7051" s="12"/>
      <c r="P7051" s="13">
        <f>IFERROR(__xludf.DUMMYFUNCTION("VALUE(SUBSTITUTE((INDEX(SPLIT(A7051,"",""),1)),""."","","",1))"),56.891337)</f>
        <v>56.891337</v>
      </c>
      <c r="Q7051" s="13">
        <f>IFERROR(__xludf.DUMMYFUNCTION("VALUE(SUBSTITUTE((INDEX(SPLIT(A7051,"",""),2)),""."","","",1))"),60.739211)</f>
        <v>60.739211</v>
      </c>
      <c r="R7051" s="14" t="b">
        <f t="shared" si="1"/>
        <v>0</v>
      </c>
      <c r="S7051" s="14" t="str">
        <f t="shared" si="2"/>
        <v>56.891337,60.739211</v>
      </c>
      <c r="T7051" s="12"/>
    </row>
    <row r="7052">
      <c r="A7052" s="139" t="s">
        <v>45408</v>
      </c>
      <c r="B7052" s="140" t="s">
        <v>45409</v>
      </c>
      <c r="C7052" s="140" t="s">
        <v>45410</v>
      </c>
      <c r="D7052" s="140" t="s">
        <v>33342</v>
      </c>
      <c r="E7052" s="141" t="s">
        <v>45411</v>
      </c>
      <c r="F7052" s="139" t="s">
        <v>22263</v>
      </c>
      <c r="G7052" s="139" t="s">
        <v>33344</v>
      </c>
      <c r="H7052" s="139"/>
      <c r="I7052" s="140"/>
      <c r="J7052" s="140" t="s">
        <v>45412</v>
      </c>
      <c r="K7052" s="140" t="s">
        <v>45413</v>
      </c>
      <c r="L7052" s="140"/>
      <c r="M7052" s="140"/>
      <c r="N7052" s="12"/>
      <c r="O7052" s="12"/>
      <c r="P7052" s="13">
        <f>IFERROR(__xludf.DUMMYFUNCTION("VALUE(SUBSTITUTE((INDEX(SPLIT(A7052,"",""),1)),""."","","",1))"),56.848891)</f>
        <v>56.848891</v>
      </c>
      <c r="Q7052" s="13">
        <f>IFERROR(__xludf.DUMMYFUNCTION("VALUE(SUBSTITUTE((INDEX(SPLIT(A7052,"",""),2)),""."","","",1))"),60.595831)</f>
        <v>60.595831</v>
      </c>
      <c r="R7052" s="14" t="b">
        <f t="shared" si="1"/>
        <v>0</v>
      </c>
      <c r="S7052" s="14" t="str">
        <f t="shared" si="2"/>
        <v>56.848891,60.595831</v>
      </c>
      <c r="T7052" s="12"/>
    </row>
    <row r="7053">
      <c r="A7053" s="136" t="s">
        <v>45414</v>
      </c>
      <c r="B7053" s="137" t="s">
        <v>45415</v>
      </c>
      <c r="C7053" s="137" t="s">
        <v>45416</v>
      </c>
      <c r="D7053" s="137" t="s">
        <v>33342</v>
      </c>
      <c r="E7053" s="138" t="s">
        <v>45417</v>
      </c>
      <c r="F7053" s="136" t="s">
        <v>22263</v>
      </c>
      <c r="G7053" s="136" t="s">
        <v>33344</v>
      </c>
      <c r="H7053" s="136"/>
      <c r="I7053" s="137"/>
      <c r="J7053" s="137" t="s">
        <v>45418</v>
      </c>
      <c r="K7053" s="137" t="s">
        <v>45419</v>
      </c>
      <c r="L7053" s="137"/>
      <c r="M7053" s="153" t="s">
        <v>45420</v>
      </c>
      <c r="N7053" s="12"/>
      <c r="O7053" s="12"/>
      <c r="P7053" s="13">
        <f>IFERROR(__xludf.DUMMYFUNCTION("VALUE(SUBSTITUTE((INDEX(SPLIT(A7053,"",""),1)),""."","","",1))"),56.911225)</f>
        <v>56.911225</v>
      </c>
      <c r="Q7053" s="13">
        <f>IFERROR(__xludf.DUMMYFUNCTION("VALUE(SUBSTITUTE((INDEX(SPLIT(A7053,"",""),2)),""."","","",1))"),60.816888)</f>
        <v>60.816888</v>
      </c>
      <c r="R7053" s="14" t="b">
        <f t="shared" si="1"/>
        <v>0</v>
      </c>
      <c r="S7053" s="14" t="str">
        <f t="shared" si="2"/>
        <v>56.911225,60.816888</v>
      </c>
      <c r="T7053" s="12"/>
    </row>
    <row r="7054">
      <c r="A7054" s="139" t="s">
        <v>45421</v>
      </c>
      <c r="B7054" s="140" t="s">
        <v>45422</v>
      </c>
      <c r="C7054" s="140" t="s">
        <v>45423</v>
      </c>
      <c r="D7054" s="140" t="s">
        <v>33342</v>
      </c>
      <c r="E7054" s="141" t="s">
        <v>45424</v>
      </c>
      <c r="F7054" s="139" t="s">
        <v>22263</v>
      </c>
      <c r="G7054" s="139" t="s">
        <v>33344</v>
      </c>
      <c r="H7054" s="139"/>
      <c r="I7054" s="140"/>
      <c r="J7054" s="140" t="s">
        <v>45425</v>
      </c>
      <c r="K7054" s="140" t="s">
        <v>45426</v>
      </c>
      <c r="L7054" s="140"/>
      <c r="M7054" s="154" t="s">
        <v>45427</v>
      </c>
      <c r="N7054" s="12"/>
      <c r="O7054" s="12"/>
      <c r="P7054" s="13">
        <f>IFERROR(__xludf.DUMMYFUNCTION("VALUE(SUBSTITUTE((INDEX(SPLIT(A7054,"",""),1)),""."","","",1))"),56.862534)</f>
        <v>56.862534</v>
      </c>
      <c r="Q7054" s="13">
        <f>IFERROR(__xludf.DUMMYFUNCTION("VALUE(SUBSTITUTE((INDEX(SPLIT(A7054,"",""),2)),""."","","",1))"),60.573346)</f>
        <v>60.573346</v>
      </c>
      <c r="R7054" s="14" t="b">
        <f t="shared" si="1"/>
        <v>0</v>
      </c>
      <c r="S7054" s="14" t="str">
        <f t="shared" si="2"/>
        <v>56.862534,60.573346</v>
      </c>
      <c r="T7054" s="12"/>
    </row>
    <row r="7055">
      <c r="A7055" s="142" t="s">
        <v>45428</v>
      </c>
      <c r="B7055" s="143" t="s">
        <v>45429</v>
      </c>
      <c r="C7055" s="143" t="s">
        <v>45430</v>
      </c>
      <c r="D7055" s="143" t="s">
        <v>33342</v>
      </c>
      <c r="E7055" s="144" t="s">
        <v>45431</v>
      </c>
      <c r="F7055" s="142" t="s">
        <v>22263</v>
      </c>
      <c r="G7055" s="142" t="s">
        <v>33344</v>
      </c>
      <c r="H7055" s="142"/>
      <c r="I7055" s="143"/>
      <c r="J7055" s="143" t="s">
        <v>45432</v>
      </c>
      <c r="K7055" s="143" t="s">
        <v>45433</v>
      </c>
      <c r="L7055" s="152" t="s">
        <v>45434</v>
      </c>
      <c r="M7055" s="143"/>
      <c r="N7055" s="12"/>
      <c r="O7055" s="12"/>
      <c r="P7055" s="13">
        <f>IFERROR(__xludf.DUMMYFUNCTION("VALUE(SUBSTITUTE((INDEX(SPLIT(A7055,"",""),1)),""."","","",1))"),56.760544)</f>
        <v>56.760544</v>
      </c>
      <c r="Q7055" s="13">
        <f>IFERROR(__xludf.DUMMYFUNCTION("VALUE(SUBSTITUTE((INDEX(SPLIT(A7055,"",""),2)),""."","","",1))"),60.728188)</f>
        <v>60.728188</v>
      </c>
      <c r="R7055" s="14" t="b">
        <f t="shared" si="1"/>
        <v>0</v>
      </c>
      <c r="S7055" s="14" t="str">
        <f t="shared" si="2"/>
        <v>56.760544,60.728188</v>
      </c>
      <c r="T7055" s="12"/>
    </row>
    <row r="7056">
      <c r="A7056" s="139" t="s">
        <v>45435</v>
      </c>
      <c r="B7056" s="140" t="s">
        <v>3750</v>
      </c>
      <c r="C7056" s="140" t="s">
        <v>45436</v>
      </c>
      <c r="D7056" s="140" t="s">
        <v>33342</v>
      </c>
      <c r="E7056" s="141" t="s">
        <v>45437</v>
      </c>
      <c r="F7056" s="139" t="s">
        <v>22263</v>
      </c>
      <c r="G7056" s="139" t="s">
        <v>33344</v>
      </c>
      <c r="H7056" s="139"/>
      <c r="I7056" s="140"/>
      <c r="J7056" s="140" t="s">
        <v>45438</v>
      </c>
      <c r="K7056" s="140" t="s">
        <v>45439</v>
      </c>
      <c r="L7056" s="140"/>
      <c r="M7056" s="154" t="s">
        <v>45440</v>
      </c>
      <c r="N7056" s="12"/>
      <c r="O7056" s="12"/>
      <c r="P7056" s="13">
        <f>IFERROR(__xludf.DUMMYFUNCTION("VALUE(SUBSTITUTE((INDEX(SPLIT(A7056,"",""),1)),""."","","",1))"),56.682363)</f>
        <v>56.682363</v>
      </c>
      <c r="Q7056" s="13">
        <f>IFERROR(__xludf.DUMMYFUNCTION("VALUE(SUBSTITUTE((INDEX(SPLIT(A7056,"",""),2)),""."","","",1))"),60.561955)</f>
        <v>60.561955</v>
      </c>
      <c r="R7056" s="14" t="b">
        <f t="shared" si="1"/>
        <v>0</v>
      </c>
      <c r="S7056" s="14" t="str">
        <f t="shared" si="2"/>
        <v>56.682363,60.561955</v>
      </c>
      <c r="T7056" s="12"/>
    </row>
    <row r="7057">
      <c r="A7057" s="136" t="s">
        <v>45441</v>
      </c>
      <c r="B7057" s="137" t="s">
        <v>35202</v>
      </c>
      <c r="C7057" s="137" t="s">
        <v>35203</v>
      </c>
      <c r="D7057" s="137" t="s">
        <v>33342</v>
      </c>
      <c r="E7057" s="138" t="s">
        <v>45442</v>
      </c>
      <c r="F7057" s="136" t="s">
        <v>22263</v>
      </c>
      <c r="G7057" s="136" t="s">
        <v>33344</v>
      </c>
      <c r="H7057" s="136"/>
      <c r="I7057" s="137"/>
      <c r="J7057" s="137" t="s">
        <v>45443</v>
      </c>
      <c r="K7057" s="137" t="s">
        <v>45444</v>
      </c>
      <c r="L7057" s="137"/>
      <c r="M7057" s="153" t="s">
        <v>45445</v>
      </c>
      <c r="N7057" s="12"/>
      <c r="O7057" s="12"/>
      <c r="P7057" s="13">
        <f>IFERROR(__xludf.DUMMYFUNCTION("VALUE(SUBSTITUTE((INDEX(SPLIT(A7057,"",""),1)),""."","","",1))"),56.696965)</f>
        <v>56.696965</v>
      </c>
      <c r="Q7057" s="13">
        <f>IFERROR(__xludf.DUMMYFUNCTION("VALUE(SUBSTITUTE((INDEX(SPLIT(A7057,"",""),2)),""."","","",1))"),60.542516)</f>
        <v>60.542516</v>
      </c>
      <c r="R7057" s="14" t="b">
        <f t="shared" si="1"/>
        <v>0</v>
      </c>
      <c r="S7057" s="14" t="str">
        <f t="shared" si="2"/>
        <v>56.696965,60.542516</v>
      </c>
      <c r="T7057" s="12"/>
    </row>
    <row r="7058">
      <c r="A7058" s="139" t="s">
        <v>45446</v>
      </c>
      <c r="B7058" s="140" t="s">
        <v>45447</v>
      </c>
      <c r="C7058" s="140" t="s">
        <v>45448</v>
      </c>
      <c r="D7058" s="140" t="s">
        <v>33342</v>
      </c>
      <c r="E7058" s="141" t="s">
        <v>45449</v>
      </c>
      <c r="F7058" s="139" t="s">
        <v>22263</v>
      </c>
      <c r="G7058" s="139" t="s">
        <v>33344</v>
      </c>
      <c r="H7058" s="139"/>
      <c r="I7058" s="140"/>
      <c r="J7058" s="140" t="s">
        <v>45450</v>
      </c>
      <c r="K7058" s="140" t="s">
        <v>45451</v>
      </c>
      <c r="L7058" s="140"/>
      <c r="M7058" s="154" t="s">
        <v>45452</v>
      </c>
      <c r="N7058" s="12"/>
      <c r="O7058" s="12"/>
      <c r="P7058" s="13">
        <f>IFERROR(__xludf.DUMMYFUNCTION("VALUE(SUBSTITUTE((INDEX(SPLIT(A7058,"",""),1)),""."","","",1))"),56.739836)</f>
        <v>56.739836</v>
      </c>
      <c r="Q7058" s="13">
        <f>IFERROR(__xludf.DUMMYFUNCTION("VALUE(SUBSTITUTE((INDEX(SPLIT(A7058,"",""),2)),""."","","",1))"),60.609862)</f>
        <v>60.609862</v>
      </c>
      <c r="R7058" s="14" t="b">
        <f t="shared" si="1"/>
        <v>0</v>
      </c>
      <c r="S7058" s="14" t="str">
        <f t="shared" si="2"/>
        <v>56.739836,60.609862</v>
      </c>
      <c r="T7058" s="12"/>
    </row>
    <row r="7059">
      <c r="A7059" s="136" t="s">
        <v>45453</v>
      </c>
      <c r="B7059" s="137" t="s">
        <v>45454</v>
      </c>
      <c r="C7059" s="137" t="s">
        <v>45455</v>
      </c>
      <c r="D7059" s="137" t="s">
        <v>33342</v>
      </c>
      <c r="E7059" s="138" t="s">
        <v>45456</v>
      </c>
      <c r="F7059" s="136" t="s">
        <v>22263</v>
      </c>
      <c r="G7059" s="136" t="s">
        <v>33344</v>
      </c>
      <c r="H7059" s="136"/>
      <c r="I7059" s="137"/>
      <c r="J7059" s="137" t="s">
        <v>45457</v>
      </c>
      <c r="K7059" s="137" t="s">
        <v>45458</v>
      </c>
      <c r="L7059" s="137"/>
      <c r="M7059" s="137"/>
      <c r="N7059" s="12"/>
      <c r="O7059" s="12"/>
      <c r="P7059" s="13">
        <f>IFERROR(__xludf.DUMMYFUNCTION("VALUE(SUBSTITUTE((INDEX(SPLIT(A7059,"",""),1)),""."","","",1))"),60.612485)</f>
        <v>60.612485</v>
      </c>
      <c r="Q7059" s="13">
        <f>IFERROR(__xludf.DUMMYFUNCTION("VALUE(SUBSTITUTE((INDEX(SPLIT(A7059,"",""),2)),""."","","",1))"),56.792961)</f>
        <v>56.792961</v>
      </c>
      <c r="R7059" s="14" t="b">
        <f t="shared" si="1"/>
        <v>0</v>
      </c>
      <c r="S7059" s="14" t="str">
        <f t="shared" si="2"/>
        <v>60.612485,56.792961</v>
      </c>
      <c r="T7059" s="12"/>
    </row>
    <row r="7060">
      <c r="A7060" s="146" t="s">
        <v>45459</v>
      </c>
      <c r="B7060" s="147" t="s">
        <v>45460</v>
      </c>
      <c r="C7060" s="147" t="s">
        <v>45461</v>
      </c>
      <c r="D7060" s="147" t="s">
        <v>33342</v>
      </c>
      <c r="E7060" s="148" t="s">
        <v>45462</v>
      </c>
      <c r="F7060" s="146" t="s">
        <v>22263</v>
      </c>
      <c r="G7060" s="146" t="s">
        <v>33344</v>
      </c>
      <c r="H7060" s="146"/>
      <c r="I7060" s="147"/>
      <c r="J7060" s="147" t="s">
        <v>45463</v>
      </c>
      <c r="K7060" s="147" t="s">
        <v>45254</v>
      </c>
      <c r="L7060" s="149" t="s">
        <v>45464</v>
      </c>
      <c r="M7060" s="149" t="s">
        <v>45465</v>
      </c>
      <c r="N7060" s="12"/>
      <c r="O7060" s="12"/>
      <c r="P7060" s="13">
        <f>IFERROR(__xludf.DUMMYFUNCTION("VALUE(SUBSTITUTE((INDEX(SPLIT(A7060,"",""),1)),""."","","",1))"),60.578978)</f>
        <v>60.578978</v>
      </c>
      <c r="Q7060" s="13">
        <f>IFERROR(__xludf.DUMMYFUNCTION("VALUE(SUBSTITUTE((INDEX(SPLIT(A7060,"",""),2)),""."","","",1))"),59.591634)</f>
        <v>59.591634</v>
      </c>
      <c r="R7060" s="14" t="b">
        <f t="shared" si="1"/>
        <v>0</v>
      </c>
      <c r="S7060" s="14" t="str">
        <f t="shared" si="2"/>
        <v>60.578978,59.591634</v>
      </c>
      <c r="T7060" s="12"/>
    </row>
    <row r="7061">
      <c r="A7061" s="136" t="s">
        <v>45466</v>
      </c>
      <c r="B7061" s="137" t="s">
        <v>45467</v>
      </c>
      <c r="C7061" s="137" t="s">
        <v>45468</v>
      </c>
      <c r="D7061" s="137" t="s">
        <v>33342</v>
      </c>
      <c r="E7061" s="138" t="s">
        <v>45469</v>
      </c>
      <c r="F7061" s="136" t="s">
        <v>22263</v>
      </c>
      <c r="G7061" s="136" t="s">
        <v>33344</v>
      </c>
      <c r="H7061" s="136"/>
      <c r="I7061" s="137"/>
      <c r="J7061" s="137" t="s">
        <v>45470</v>
      </c>
      <c r="K7061" s="137" t="s">
        <v>35293</v>
      </c>
      <c r="L7061" s="137"/>
      <c r="M7061" s="153" t="s">
        <v>45471</v>
      </c>
      <c r="N7061" s="12"/>
      <c r="O7061" s="12"/>
      <c r="P7061" s="13">
        <f>IFERROR(__xludf.DUMMYFUNCTION("VALUE(SUBSTITUTE((INDEX(SPLIT(A7061,"",""),1)),""."","","",1))"),59.816533)</f>
        <v>59.816533</v>
      </c>
      <c r="Q7061" s="13">
        <f>IFERROR(__xludf.DUMMYFUNCTION("VALUE(SUBSTITUTE((INDEX(SPLIT(A7061,"",""),2)),""."","","",1))"),58.652395)</f>
        <v>58.652395</v>
      </c>
      <c r="R7061" s="14" t="b">
        <f t="shared" si="1"/>
        <v>0</v>
      </c>
      <c r="S7061" s="14" t="str">
        <f t="shared" si="2"/>
        <v>59.816533,58.652395</v>
      </c>
      <c r="T7061" s="12"/>
    </row>
    <row r="7062">
      <c r="A7062" s="146" t="s">
        <v>45472</v>
      </c>
      <c r="B7062" s="147" t="s">
        <v>45473</v>
      </c>
      <c r="C7062" s="147" t="s">
        <v>45474</v>
      </c>
      <c r="D7062" s="147" t="s">
        <v>33342</v>
      </c>
      <c r="E7062" s="148" t="s">
        <v>45475</v>
      </c>
      <c r="F7062" s="146" t="s">
        <v>22263</v>
      </c>
      <c r="G7062" s="146" t="s">
        <v>33344</v>
      </c>
      <c r="H7062" s="146"/>
      <c r="I7062" s="147"/>
      <c r="J7062" s="147" t="s">
        <v>45476</v>
      </c>
      <c r="K7062" s="147" t="s">
        <v>45477</v>
      </c>
      <c r="L7062" s="149" t="s">
        <v>45478</v>
      </c>
      <c r="M7062" s="149" t="s">
        <v>45479</v>
      </c>
      <c r="N7062" s="12"/>
      <c r="O7062" s="12"/>
      <c r="P7062" s="13">
        <f>IFERROR(__xludf.DUMMYFUNCTION("VALUE(SUBSTITUTE((INDEX(SPLIT(A7062,"",""),1)),""."","","",1))"),59.831616)</f>
        <v>59.831616</v>
      </c>
      <c r="Q7062" s="13">
        <f>IFERROR(__xludf.DUMMYFUNCTION("VALUE(SUBSTITUTE((INDEX(SPLIT(A7062,"",""),2)),""."","","",1))"),58.358511)</f>
        <v>58.358511</v>
      </c>
      <c r="R7062" s="14" t="b">
        <f t="shared" si="1"/>
        <v>0</v>
      </c>
      <c r="S7062" s="14" t="str">
        <f t="shared" si="2"/>
        <v>59.831616,58.358511</v>
      </c>
      <c r="T7062" s="12"/>
    </row>
    <row r="7063">
      <c r="A7063" s="142" t="s">
        <v>45480</v>
      </c>
      <c r="B7063" s="143" t="s">
        <v>45481</v>
      </c>
      <c r="C7063" s="143" t="s">
        <v>45482</v>
      </c>
      <c r="D7063" s="143" t="s">
        <v>33342</v>
      </c>
      <c r="E7063" s="144" t="s">
        <v>45483</v>
      </c>
      <c r="F7063" s="142" t="s">
        <v>22263</v>
      </c>
      <c r="G7063" s="142" t="s">
        <v>33344</v>
      </c>
      <c r="H7063" s="142"/>
      <c r="I7063" s="143"/>
      <c r="J7063" s="143" t="s">
        <v>45484</v>
      </c>
      <c r="K7063" s="143" t="s">
        <v>45485</v>
      </c>
      <c r="L7063" s="145" t="s">
        <v>45486</v>
      </c>
      <c r="M7063" s="143"/>
      <c r="N7063" s="12"/>
      <c r="O7063" s="12"/>
      <c r="P7063" s="13">
        <f>IFERROR(__xludf.DUMMYFUNCTION("VALUE(SUBSTITUTE((INDEX(SPLIT(A7063,"",""),1)),""."","","",1))"),59.803409)</f>
        <v>59.803409</v>
      </c>
      <c r="Q7063" s="13">
        <f>IFERROR(__xludf.DUMMYFUNCTION("VALUE(SUBSTITUTE((INDEX(SPLIT(A7063,"",""),2)),""."","","",1))"),58.647713)</f>
        <v>58.647713</v>
      </c>
      <c r="R7063" s="14" t="b">
        <f t="shared" si="1"/>
        <v>0</v>
      </c>
      <c r="S7063" s="14" t="str">
        <f t="shared" si="2"/>
        <v>59.803409,58.647713</v>
      </c>
      <c r="T7063" s="12"/>
    </row>
    <row r="7064">
      <c r="A7064" s="139" t="s">
        <v>45487</v>
      </c>
      <c r="B7064" s="140" t="s">
        <v>45488</v>
      </c>
      <c r="C7064" s="140" t="s">
        <v>45489</v>
      </c>
      <c r="D7064" s="140" t="s">
        <v>33342</v>
      </c>
      <c r="E7064" s="141" t="s">
        <v>45490</v>
      </c>
      <c r="F7064" s="139" t="s">
        <v>22263</v>
      </c>
      <c r="G7064" s="139" t="s">
        <v>33344</v>
      </c>
      <c r="H7064" s="139"/>
      <c r="I7064" s="140"/>
      <c r="J7064" s="140" t="s">
        <v>45491</v>
      </c>
      <c r="K7064" s="140" t="s">
        <v>45492</v>
      </c>
      <c r="L7064" s="140"/>
      <c r="M7064" s="140"/>
      <c r="N7064" s="12"/>
      <c r="O7064" s="12"/>
      <c r="P7064" s="13">
        <f>IFERROR(__xludf.DUMMYFUNCTION("VALUE(SUBSTITUTE((INDEX(SPLIT(A7064,"",""),1)),""."","","",1))"),59.71974)</f>
        <v>59.71974</v>
      </c>
      <c r="Q7064" s="13">
        <f>IFERROR(__xludf.DUMMYFUNCTION("VALUE(SUBSTITUTE((INDEX(SPLIT(A7064,"",""),2)),""."","","",1))"),58.167859)</f>
        <v>58.167859</v>
      </c>
      <c r="R7064" s="14" t="b">
        <f t="shared" si="1"/>
        <v>0</v>
      </c>
      <c r="S7064" s="14" t="str">
        <f t="shared" si="2"/>
        <v>59.71974,58.167859</v>
      </c>
      <c r="T7064" s="12"/>
    </row>
    <row r="7065">
      <c r="A7065" s="136" t="s">
        <v>45493</v>
      </c>
      <c r="B7065" s="137" t="s">
        <v>45494</v>
      </c>
      <c r="C7065" s="137" t="s">
        <v>45495</v>
      </c>
      <c r="D7065" s="137" t="s">
        <v>33342</v>
      </c>
      <c r="E7065" s="138" t="s">
        <v>45496</v>
      </c>
      <c r="F7065" s="136" t="s">
        <v>22263</v>
      </c>
      <c r="G7065" s="136" t="s">
        <v>33344</v>
      </c>
      <c r="H7065" s="136"/>
      <c r="I7065" s="137"/>
      <c r="J7065" s="137" t="s">
        <v>45497</v>
      </c>
      <c r="K7065" s="137" t="s">
        <v>45498</v>
      </c>
      <c r="L7065" s="137"/>
      <c r="M7065" s="137"/>
      <c r="N7065" s="12"/>
      <c r="O7065" s="12"/>
      <c r="P7065" s="13">
        <f>IFERROR(__xludf.DUMMYFUNCTION("VALUE(SUBSTITUTE((INDEX(SPLIT(A7065,"",""),1)),""."","","",1))"),59.804666)</f>
        <v>59.804666</v>
      </c>
      <c r="Q7065" s="13">
        <f>IFERROR(__xludf.DUMMYFUNCTION("VALUE(SUBSTITUTE((INDEX(SPLIT(A7065,"",""),2)),""."","","",1))"),58.645381)</f>
        <v>58.645381</v>
      </c>
      <c r="R7065" s="14" t="b">
        <f t="shared" si="1"/>
        <v>0</v>
      </c>
      <c r="S7065" s="14" t="str">
        <f t="shared" si="2"/>
        <v>59.804666,58.645381</v>
      </c>
      <c r="T7065" s="12"/>
    </row>
    <row r="7066">
      <c r="A7066" s="146" t="s">
        <v>45499</v>
      </c>
      <c r="B7066" s="147" t="s">
        <v>45500</v>
      </c>
      <c r="C7066" s="147" t="s">
        <v>45501</v>
      </c>
      <c r="D7066" s="147" t="s">
        <v>33342</v>
      </c>
      <c r="E7066" s="148" t="s">
        <v>45502</v>
      </c>
      <c r="F7066" s="146" t="s">
        <v>22263</v>
      </c>
      <c r="G7066" s="146" t="s">
        <v>33344</v>
      </c>
      <c r="H7066" s="146"/>
      <c r="I7066" s="147"/>
      <c r="J7066" s="147" t="s">
        <v>45503</v>
      </c>
      <c r="K7066" s="147" t="s">
        <v>45504</v>
      </c>
      <c r="L7066" s="149" t="s">
        <v>45505</v>
      </c>
      <c r="M7066" s="147"/>
      <c r="N7066" s="12"/>
      <c r="O7066" s="12"/>
      <c r="P7066" s="13">
        <f>IFERROR(__xludf.DUMMYFUNCTION("VALUE(SUBSTITUTE((INDEX(SPLIT(A7066,"",""),1)),""."","","",1))"),59.480015)</f>
        <v>59.480015</v>
      </c>
      <c r="Q7066" s="13">
        <f>IFERROR(__xludf.DUMMYFUNCTION("VALUE(SUBSTITUTE((INDEX(SPLIT(A7066,"",""),2)),""."","","",1))"),58.707882)</f>
        <v>58.707882</v>
      </c>
      <c r="R7066" s="14" t="b">
        <f t="shared" si="1"/>
        <v>0</v>
      </c>
      <c r="S7066" s="14" t="str">
        <f t="shared" si="2"/>
        <v>59.480015,58.707882</v>
      </c>
      <c r="T7066" s="12"/>
    </row>
    <row r="7067">
      <c r="A7067" s="142" t="s">
        <v>45506</v>
      </c>
      <c r="B7067" s="143" t="s">
        <v>45507</v>
      </c>
      <c r="C7067" s="143" t="s">
        <v>45508</v>
      </c>
      <c r="D7067" s="143" t="s">
        <v>33342</v>
      </c>
      <c r="E7067" s="144" t="s">
        <v>45509</v>
      </c>
      <c r="F7067" s="142" t="s">
        <v>22263</v>
      </c>
      <c r="G7067" s="142" t="s">
        <v>33344</v>
      </c>
      <c r="H7067" s="142"/>
      <c r="I7067" s="143"/>
      <c r="J7067" s="143" t="s">
        <v>45510</v>
      </c>
      <c r="K7067" s="143" t="s">
        <v>45511</v>
      </c>
      <c r="L7067" s="145" t="s">
        <v>45512</v>
      </c>
      <c r="M7067" s="143"/>
      <c r="N7067" s="12"/>
      <c r="O7067" s="12"/>
      <c r="P7067" s="13">
        <f>IFERROR(__xludf.DUMMYFUNCTION("VALUE(SUBSTITUTE((INDEX(SPLIT(A7067,"",""),1)),""."","","",1))"),59.909383)</f>
        <v>59.909383</v>
      </c>
      <c r="Q7067" s="13">
        <f>IFERROR(__xludf.DUMMYFUNCTION("VALUE(SUBSTITUTE((INDEX(SPLIT(A7067,"",""),2)),""."","","",1))"),56.790866)</f>
        <v>56.790866</v>
      </c>
      <c r="R7067" s="14" t="b">
        <f t="shared" si="1"/>
        <v>0</v>
      </c>
      <c r="S7067" s="14" t="str">
        <f t="shared" si="2"/>
        <v>59.909383,56.790866</v>
      </c>
      <c r="T7067" s="12"/>
    </row>
    <row r="7068">
      <c r="A7068" s="139" t="s">
        <v>45513</v>
      </c>
      <c r="B7068" s="140" t="s">
        <v>45514</v>
      </c>
      <c r="C7068" s="140" t="s">
        <v>45515</v>
      </c>
      <c r="D7068" s="140" t="s">
        <v>33342</v>
      </c>
      <c r="E7068" s="141" t="s">
        <v>45516</v>
      </c>
      <c r="F7068" s="139" t="s">
        <v>22263</v>
      </c>
      <c r="G7068" s="139" t="s">
        <v>33344</v>
      </c>
      <c r="H7068" s="139"/>
      <c r="I7068" s="140"/>
      <c r="J7068" s="140" t="s">
        <v>45517</v>
      </c>
      <c r="K7068" s="140" t="s">
        <v>45518</v>
      </c>
      <c r="L7068" s="140"/>
      <c r="M7068" s="154" t="s">
        <v>45519</v>
      </c>
      <c r="N7068" s="12"/>
      <c r="O7068" s="12"/>
      <c r="P7068" s="13">
        <f>IFERROR(__xludf.DUMMYFUNCTION("VALUE(SUBSTITUTE((INDEX(SPLIT(A7068,"",""),1)),""."","","",1))"),59.912042)</f>
        <v>59.912042</v>
      </c>
      <c r="Q7068" s="13">
        <f>IFERROR(__xludf.DUMMYFUNCTION("VALUE(SUBSTITUTE((INDEX(SPLIT(A7068,"",""),2)),""."","","",1))"),56.798936)</f>
        <v>56.798936</v>
      </c>
      <c r="R7068" s="14" t="b">
        <f t="shared" si="1"/>
        <v>0</v>
      </c>
      <c r="S7068" s="14" t="str">
        <f t="shared" si="2"/>
        <v>59.912042,56.798936</v>
      </c>
      <c r="T7068" s="12"/>
    </row>
    <row r="7069">
      <c r="A7069" s="136" t="s">
        <v>45520</v>
      </c>
      <c r="B7069" s="137" t="s">
        <v>45521</v>
      </c>
      <c r="C7069" s="137" t="s">
        <v>45522</v>
      </c>
      <c r="D7069" s="137" t="s">
        <v>33342</v>
      </c>
      <c r="E7069" s="138" t="s">
        <v>45523</v>
      </c>
      <c r="F7069" s="136" t="s">
        <v>22263</v>
      </c>
      <c r="G7069" s="136" t="s">
        <v>33344</v>
      </c>
      <c r="H7069" s="136"/>
      <c r="I7069" s="137"/>
      <c r="J7069" s="137" t="s">
        <v>45524</v>
      </c>
      <c r="K7069" s="137" t="s">
        <v>45525</v>
      </c>
      <c r="L7069" s="137"/>
      <c r="M7069" s="153" t="s">
        <v>15329</v>
      </c>
      <c r="N7069" s="12"/>
      <c r="O7069" s="12"/>
      <c r="P7069" s="13">
        <f>IFERROR(__xludf.DUMMYFUNCTION("VALUE(SUBSTITUTE((INDEX(SPLIT(A7069,"",""),1)),""."","","",1))"),60.073299)</f>
        <v>60.073299</v>
      </c>
      <c r="Q7069" s="13">
        <f>IFERROR(__xludf.DUMMYFUNCTION("VALUE(SUBSTITUTE((INDEX(SPLIT(A7069,"",""),2)),""."","","",1))"),56.707283)</f>
        <v>56.707283</v>
      </c>
      <c r="R7069" s="14" t="b">
        <f t="shared" si="1"/>
        <v>0</v>
      </c>
      <c r="S7069" s="14" t="str">
        <f t="shared" si="2"/>
        <v>60.073299,56.707283</v>
      </c>
      <c r="T7069" s="12"/>
    </row>
    <row r="7070">
      <c r="A7070" s="146" t="s">
        <v>45526</v>
      </c>
      <c r="B7070" s="147" t="s">
        <v>15800</v>
      </c>
      <c r="C7070" s="147" t="s">
        <v>45527</v>
      </c>
      <c r="D7070" s="147" t="s">
        <v>33342</v>
      </c>
      <c r="E7070" s="148" t="s">
        <v>45528</v>
      </c>
      <c r="F7070" s="146" t="s">
        <v>22263</v>
      </c>
      <c r="G7070" s="146" t="s">
        <v>33344</v>
      </c>
      <c r="H7070" s="146"/>
      <c r="I7070" s="147"/>
      <c r="J7070" s="147" t="s">
        <v>45529</v>
      </c>
      <c r="K7070" s="147" t="s">
        <v>45530</v>
      </c>
      <c r="L7070" s="149" t="s">
        <v>45531</v>
      </c>
      <c r="M7070" s="149" t="s">
        <v>45532</v>
      </c>
      <c r="N7070" s="12"/>
      <c r="O7070" s="12"/>
      <c r="P7070" s="13">
        <f>IFERROR(__xludf.DUMMYFUNCTION("VALUE(SUBSTITUTE((INDEX(SPLIT(A7070,"",""),1)),""."","","",1))"),60.619169)</f>
        <v>60.619169</v>
      </c>
      <c r="Q7070" s="13">
        <f>IFERROR(__xludf.DUMMYFUNCTION("VALUE(SUBSTITUTE((INDEX(SPLIT(A7070,"",""),2)),""."","","",1))"),56.8397)</f>
        <v>56.8397</v>
      </c>
      <c r="R7070" s="14" t="b">
        <f t="shared" si="1"/>
        <v>0</v>
      </c>
      <c r="S7070" s="14" t="str">
        <f t="shared" si="2"/>
        <v>60.619169,56.8397</v>
      </c>
      <c r="T7070" s="12"/>
    </row>
    <row r="7071">
      <c r="A7071" s="142" t="s">
        <v>45533</v>
      </c>
      <c r="B7071" s="143" t="s">
        <v>45534</v>
      </c>
      <c r="C7071" s="143" t="s">
        <v>45535</v>
      </c>
      <c r="D7071" s="143" t="s">
        <v>33342</v>
      </c>
      <c r="E7071" s="144" t="s">
        <v>45536</v>
      </c>
      <c r="F7071" s="142" t="s">
        <v>22263</v>
      </c>
      <c r="G7071" s="142" t="s">
        <v>33344</v>
      </c>
      <c r="H7071" s="142"/>
      <c r="I7071" s="143"/>
      <c r="J7071" s="143" t="s">
        <v>45537</v>
      </c>
      <c r="K7071" s="143" t="s">
        <v>45538</v>
      </c>
      <c r="L7071" s="145" t="s">
        <v>45539</v>
      </c>
      <c r="M7071" s="143"/>
      <c r="N7071" s="12"/>
      <c r="O7071" s="12"/>
      <c r="P7071" s="13">
        <f>IFERROR(__xludf.DUMMYFUNCTION("VALUE(SUBSTITUTE((INDEX(SPLIT(A7071,"",""),1)),""."","","",1))"),60.738052)</f>
        <v>60.738052</v>
      </c>
      <c r="Q7071" s="13">
        <f>IFERROR(__xludf.DUMMYFUNCTION("VALUE(SUBSTITUTE((INDEX(SPLIT(A7071,"",""),2)),""."","","",1))"),56.78885)</f>
        <v>56.78885</v>
      </c>
      <c r="R7071" s="14" t="b">
        <f t="shared" si="1"/>
        <v>0</v>
      </c>
      <c r="S7071" s="14" t="str">
        <f t="shared" si="2"/>
        <v>60.738052,56.78885</v>
      </c>
      <c r="T7071" s="12"/>
    </row>
    <row r="7072">
      <c r="A7072" s="146" t="s">
        <v>30576</v>
      </c>
      <c r="B7072" s="147" t="s">
        <v>45540</v>
      </c>
      <c r="C7072" s="147" t="s">
        <v>45541</v>
      </c>
      <c r="D7072" s="147" t="s">
        <v>33342</v>
      </c>
      <c r="E7072" s="148" t="s">
        <v>45542</v>
      </c>
      <c r="F7072" s="146" t="s">
        <v>22263</v>
      </c>
      <c r="G7072" s="146" t="s">
        <v>33344</v>
      </c>
      <c r="H7072" s="146"/>
      <c r="I7072" s="147"/>
      <c r="J7072" s="147" t="s">
        <v>45543</v>
      </c>
      <c r="K7072" s="147" t="s">
        <v>45544</v>
      </c>
      <c r="L7072" s="150" t="s">
        <v>45545</v>
      </c>
      <c r="M7072" s="147"/>
      <c r="N7072" s="12"/>
      <c r="O7072" s="12"/>
      <c r="P7072" s="13">
        <f>IFERROR(__xludf.DUMMYFUNCTION("VALUE(SUBSTITUTE((INDEX(SPLIT(A7072,"",""),1)),""."","","",1))"),60.833785)</f>
        <v>60.833785</v>
      </c>
      <c r="Q7072" s="13">
        <f>IFERROR(__xludf.DUMMYFUNCTION("VALUE(SUBSTITUTE((INDEX(SPLIT(A7072,"",""),2)),""."","","",1))"),56.508565)</f>
        <v>56.508565</v>
      </c>
      <c r="R7072" s="14" t="b">
        <f t="shared" si="1"/>
        <v>0</v>
      </c>
      <c r="S7072" s="14" t="str">
        <f t="shared" si="2"/>
        <v>60.833785,56.508565</v>
      </c>
      <c r="T7072" s="12"/>
    </row>
    <row r="7073">
      <c r="A7073" s="142" t="s">
        <v>45546</v>
      </c>
      <c r="B7073" s="143" t="s">
        <v>45547</v>
      </c>
      <c r="C7073" s="143" t="s">
        <v>45548</v>
      </c>
      <c r="D7073" s="143" t="s">
        <v>33342</v>
      </c>
      <c r="E7073" s="144" t="s">
        <v>45549</v>
      </c>
      <c r="F7073" s="142" t="s">
        <v>22263</v>
      </c>
      <c r="G7073" s="142" t="s">
        <v>33344</v>
      </c>
      <c r="H7073" s="142"/>
      <c r="I7073" s="155" t="s">
        <v>45550</v>
      </c>
      <c r="J7073" s="143" t="s">
        <v>45551</v>
      </c>
      <c r="K7073" s="143" t="s">
        <v>45552</v>
      </c>
      <c r="L7073" s="145" t="s">
        <v>45553</v>
      </c>
      <c r="M7073" s="145" t="s">
        <v>45554</v>
      </c>
      <c r="N7073" s="12"/>
      <c r="O7073" s="12"/>
      <c r="P7073" s="13">
        <f>IFERROR(__xludf.DUMMYFUNCTION("VALUE(SUBSTITUTE((INDEX(SPLIT(A7073,"",""),1)),""."","","",1))"),60.613114)</f>
        <v>60.613114</v>
      </c>
      <c r="Q7073" s="13">
        <f>IFERROR(__xludf.DUMMYFUNCTION("VALUE(SUBSTITUTE((INDEX(SPLIT(A7073,"",""),2)),""."","","",1))"),56.911127)</f>
        <v>56.911127</v>
      </c>
      <c r="R7073" s="14" t="b">
        <f t="shared" si="1"/>
        <v>0</v>
      </c>
      <c r="S7073" s="14" t="str">
        <f t="shared" si="2"/>
        <v>60.613114,56.911127</v>
      </c>
      <c r="T7073" s="12"/>
    </row>
    <row r="7074">
      <c r="A7074" s="146" t="s">
        <v>45555</v>
      </c>
      <c r="B7074" s="147" t="s">
        <v>45556</v>
      </c>
      <c r="C7074" s="147" t="s">
        <v>45557</v>
      </c>
      <c r="D7074" s="147" t="s">
        <v>33342</v>
      </c>
      <c r="E7074" s="148" t="s">
        <v>45558</v>
      </c>
      <c r="F7074" s="146" t="s">
        <v>22263</v>
      </c>
      <c r="G7074" s="146" t="s">
        <v>33344</v>
      </c>
      <c r="H7074" s="146"/>
      <c r="I7074" s="147"/>
      <c r="J7074" s="147" t="s">
        <v>45559</v>
      </c>
      <c r="K7074" s="147" t="s">
        <v>45560</v>
      </c>
      <c r="L7074" s="149" t="s">
        <v>45561</v>
      </c>
      <c r="M7074" s="149" t="s">
        <v>45562</v>
      </c>
      <c r="N7074" s="12"/>
      <c r="O7074" s="12"/>
      <c r="P7074" s="13">
        <f>IFERROR(__xludf.DUMMYFUNCTION("VALUE(SUBSTITUTE((INDEX(SPLIT(A7074,"",""),1)),""."","","",1))"),60.483137)</f>
        <v>60.483137</v>
      </c>
      <c r="Q7074" s="13">
        <f>IFERROR(__xludf.DUMMYFUNCTION("VALUE(SUBSTITUTE((INDEX(SPLIT(A7074,"",""),2)),""."","","",1))"),57.002564)</f>
        <v>57.002564</v>
      </c>
      <c r="R7074" s="14" t="b">
        <f t="shared" si="1"/>
        <v>0</v>
      </c>
      <c r="S7074" s="14" t="str">
        <f t="shared" si="2"/>
        <v>60.483137,57.002564</v>
      </c>
      <c r="T7074" s="12"/>
    </row>
    <row r="7075">
      <c r="A7075" s="136" t="s">
        <v>45563</v>
      </c>
      <c r="B7075" s="137" t="s">
        <v>45564</v>
      </c>
      <c r="C7075" s="137" t="s">
        <v>45565</v>
      </c>
      <c r="D7075" s="137" t="s">
        <v>33342</v>
      </c>
      <c r="E7075" s="138" t="s">
        <v>45566</v>
      </c>
      <c r="F7075" s="136" t="s">
        <v>22263</v>
      </c>
      <c r="G7075" s="136" t="s">
        <v>33344</v>
      </c>
      <c r="H7075" s="136"/>
      <c r="I7075" s="137"/>
      <c r="J7075" s="137" t="s">
        <v>45567</v>
      </c>
      <c r="K7075" s="137" t="s">
        <v>45568</v>
      </c>
      <c r="L7075" s="137"/>
      <c r="M7075" s="153" t="s">
        <v>45569</v>
      </c>
      <c r="N7075" s="12"/>
      <c r="O7075" s="12"/>
      <c r="P7075" s="13">
        <f>IFERROR(__xludf.DUMMYFUNCTION("VALUE(SUBSTITUTE((INDEX(SPLIT(A7075,"",""),1)),""."","","",1))"),60.566042)</f>
        <v>60.566042</v>
      </c>
      <c r="Q7075" s="13">
        <f>IFERROR(__xludf.DUMMYFUNCTION("VALUE(SUBSTITUTE((INDEX(SPLIT(A7075,"",""),2)),""."","","",1))"),56.871099)</f>
        <v>56.871099</v>
      </c>
      <c r="R7075" s="14" t="b">
        <f t="shared" si="1"/>
        <v>0</v>
      </c>
      <c r="S7075" s="14" t="str">
        <f t="shared" si="2"/>
        <v>60.566042,56.871099</v>
      </c>
      <c r="T7075" s="12"/>
    </row>
    <row r="7076">
      <c r="A7076" s="139" t="s">
        <v>45570</v>
      </c>
      <c r="B7076" s="140" t="s">
        <v>45571</v>
      </c>
      <c r="C7076" s="140" t="s">
        <v>45572</v>
      </c>
      <c r="D7076" s="140" t="s">
        <v>33342</v>
      </c>
      <c r="E7076" s="141" t="s">
        <v>45573</v>
      </c>
      <c r="F7076" s="139" t="s">
        <v>22263</v>
      </c>
      <c r="G7076" s="139" t="s">
        <v>33344</v>
      </c>
      <c r="H7076" s="139"/>
      <c r="I7076" s="140"/>
      <c r="J7076" s="140" t="s">
        <v>45574</v>
      </c>
      <c r="K7076" s="140" t="s">
        <v>45575</v>
      </c>
      <c r="L7076" s="140"/>
      <c r="M7076" s="154" t="s">
        <v>45576</v>
      </c>
      <c r="N7076" s="12"/>
      <c r="O7076" s="12"/>
      <c r="P7076" s="13">
        <f>IFERROR(__xludf.DUMMYFUNCTION("VALUE(SUBSTITUTE((INDEX(SPLIT(A7076,"",""),1)),""."","","",1))"),60.585338)</f>
        <v>60.585338</v>
      </c>
      <c r="Q7076" s="13">
        <f>IFERROR(__xludf.DUMMYFUNCTION("VALUE(SUBSTITUTE((INDEX(SPLIT(A7076,"",""),2)),""."","","",1))"),56.892974)</f>
        <v>56.892974</v>
      </c>
      <c r="R7076" s="14" t="b">
        <f t="shared" si="1"/>
        <v>0</v>
      </c>
      <c r="S7076" s="14" t="str">
        <f t="shared" si="2"/>
        <v>60.585338,56.892974</v>
      </c>
      <c r="T7076" s="12"/>
    </row>
    <row r="7077">
      <c r="A7077" s="136" t="s">
        <v>45577</v>
      </c>
      <c r="B7077" s="137" t="s">
        <v>45578</v>
      </c>
      <c r="C7077" s="137" t="s">
        <v>45579</v>
      </c>
      <c r="D7077" s="137" t="s">
        <v>33342</v>
      </c>
      <c r="E7077" s="138" t="s">
        <v>45580</v>
      </c>
      <c r="F7077" s="136" t="s">
        <v>22263</v>
      </c>
      <c r="G7077" s="136" t="s">
        <v>33344</v>
      </c>
      <c r="H7077" s="136"/>
      <c r="I7077" s="137"/>
      <c r="J7077" s="137" t="s">
        <v>45581</v>
      </c>
      <c r="K7077" s="137" t="s">
        <v>45582</v>
      </c>
      <c r="L7077" s="137"/>
      <c r="M7077" s="153" t="s">
        <v>45583</v>
      </c>
      <c r="N7077" s="12"/>
      <c r="O7077" s="12"/>
      <c r="P7077" s="13">
        <f>IFERROR(__xludf.DUMMYFUNCTION("VALUE(SUBSTITUTE((INDEX(SPLIT(A7077,"",""),1)),""."","","",1))"),60.579912)</f>
        <v>60.579912</v>
      </c>
      <c r="Q7077" s="13">
        <f>IFERROR(__xludf.DUMMYFUNCTION("VALUE(SUBSTITUTE((INDEX(SPLIT(A7077,"",""),2)),""."","","",1))"),56.891273)</f>
        <v>56.891273</v>
      </c>
      <c r="R7077" s="14" t="b">
        <f t="shared" si="1"/>
        <v>0</v>
      </c>
      <c r="S7077" s="14" t="str">
        <f t="shared" si="2"/>
        <v>60.579912,56.891273</v>
      </c>
      <c r="T7077" s="12"/>
    </row>
    <row r="7078">
      <c r="A7078" s="146" t="s">
        <v>45584</v>
      </c>
      <c r="B7078" s="147" t="s">
        <v>45585</v>
      </c>
      <c r="C7078" s="147" t="s">
        <v>45586</v>
      </c>
      <c r="D7078" s="147" t="s">
        <v>33342</v>
      </c>
      <c r="E7078" s="148" t="s">
        <v>45587</v>
      </c>
      <c r="F7078" s="146" t="s">
        <v>5134</v>
      </c>
      <c r="G7078" s="146" t="s">
        <v>33344</v>
      </c>
      <c r="H7078" s="146"/>
      <c r="I7078" s="147"/>
      <c r="J7078" s="147" t="s">
        <v>45588</v>
      </c>
      <c r="K7078" s="147" t="s">
        <v>45589</v>
      </c>
      <c r="L7078" s="149" t="s">
        <v>45590</v>
      </c>
      <c r="M7078" s="149" t="s">
        <v>45591</v>
      </c>
      <c r="N7078" s="12"/>
      <c r="O7078" s="12"/>
      <c r="P7078" s="13">
        <f>IFERROR(__xludf.DUMMYFUNCTION("VALUE(SUBSTITUTE((INDEX(SPLIT(A7078,"",""),1)),""."","","",1))"),55.069329)</f>
        <v>55.069329</v>
      </c>
      <c r="Q7078" s="13">
        <f>IFERROR(__xludf.DUMMYFUNCTION("VALUE(SUBSTITUTE((INDEX(SPLIT(A7078,"",""),2)),""."","","",1))"),32.688004)</f>
        <v>32.688004</v>
      </c>
      <c r="R7078" s="14" t="b">
        <f t="shared" si="1"/>
        <v>0</v>
      </c>
      <c r="S7078" s="14" t="str">
        <f t="shared" si="2"/>
        <v>55.069329,32.688004</v>
      </c>
      <c r="T7078" s="12"/>
    </row>
    <row r="7079">
      <c r="A7079" s="136" t="s">
        <v>45592</v>
      </c>
      <c r="B7079" s="137" t="s">
        <v>45593</v>
      </c>
      <c r="C7079" s="137" t="s">
        <v>45594</v>
      </c>
      <c r="D7079" s="137" t="s">
        <v>33342</v>
      </c>
      <c r="E7079" s="138" t="s">
        <v>45595</v>
      </c>
      <c r="F7079" s="136" t="s">
        <v>5134</v>
      </c>
      <c r="G7079" s="136" t="s">
        <v>33344</v>
      </c>
      <c r="H7079" s="136"/>
      <c r="I7079" s="137"/>
      <c r="J7079" s="137" t="s">
        <v>45596</v>
      </c>
      <c r="K7079" s="137" t="s">
        <v>45597</v>
      </c>
      <c r="L7079" s="137"/>
      <c r="M7079" s="137"/>
      <c r="N7079" s="12"/>
      <c r="O7079" s="12"/>
      <c r="P7079" s="13">
        <f>IFERROR(__xludf.DUMMYFUNCTION("VALUE(SUBSTITUTE((INDEX(SPLIT(A7079,"",""),1)),""."","","",1))"),54.766293)</f>
        <v>54.766293</v>
      </c>
      <c r="Q7079" s="13">
        <f>IFERROR(__xludf.DUMMYFUNCTION("VALUE(SUBSTITUTE((INDEX(SPLIT(A7079,"",""),2)),""."","","",1))"),32.039412)</f>
        <v>32.039412</v>
      </c>
      <c r="R7079" s="14" t="b">
        <f t="shared" si="1"/>
        <v>0</v>
      </c>
      <c r="S7079" s="14" t="str">
        <f t="shared" si="2"/>
        <v>54.766293,32.039412</v>
      </c>
      <c r="T7079" s="12"/>
    </row>
    <row r="7080">
      <c r="A7080" s="146" t="s">
        <v>45598</v>
      </c>
      <c r="B7080" s="147" t="s">
        <v>45599</v>
      </c>
      <c r="C7080" s="147" t="s">
        <v>45600</v>
      </c>
      <c r="D7080" s="147" t="s">
        <v>33342</v>
      </c>
      <c r="E7080" s="148" t="s">
        <v>45601</v>
      </c>
      <c r="F7080" s="146" t="s">
        <v>5134</v>
      </c>
      <c r="G7080" s="146" t="s">
        <v>33344</v>
      </c>
      <c r="H7080" s="146"/>
      <c r="I7080" s="147"/>
      <c r="J7080" s="147" t="s">
        <v>45602</v>
      </c>
      <c r="K7080" s="147" t="s">
        <v>45603</v>
      </c>
      <c r="L7080" s="149" t="s">
        <v>45604</v>
      </c>
      <c r="M7080" s="147"/>
      <c r="N7080" s="12"/>
      <c r="O7080" s="12"/>
      <c r="P7080" s="13">
        <f>IFERROR(__xludf.DUMMYFUNCTION("VALUE(SUBSTITUTE((INDEX(SPLIT(A7080,"",""),1)),""."","","",1))"),54.787614)</f>
        <v>54.787614</v>
      </c>
      <c r="Q7080" s="13">
        <f>IFERROR(__xludf.DUMMYFUNCTION("VALUE(SUBSTITUTE((INDEX(SPLIT(A7080,"",""),2)),""."","","",1))"),32.097685)</f>
        <v>32.097685</v>
      </c>
      <c r="R7080" s="14" t="b">
        <f t="shared" si="1"/>
        <v>0</v>
      </c>
      <c r="S7080" s="14" t="str">
        <f t="shared" si="2"/>
        <v>54.787614,32.097685</v>
      </c>
      <c r="T7080" s="12"/>
    </row>
    <row r="7081">
      <c r="A7081" s="142" t="s">
        <v>45605</v>
      </c>
      <c r="B7081" s="143" t="s">
        <v>45606</v>
      </c>
      <c r="C7081" s="143" t="s">
        <v>45607</v>
      </c>
      <c r="D7081" s="143" t="s">
        <v>33342</v>
      </c>
      <c r="E7081" s="144" t="s">
        <v>45608</v>
      </c>
      <c r="F7081" s="142" t="s">
        <v>5134</v>
      </c>
      <c r="G7081" s="142" t="s">
        <v>33344</v>
      </c>
      <c r="H7081" s="142"/>
      <c r="I7081" s="143"/>
      <c r="J7081" s="143" t="s">
        <v>45609</v>
      </c>
      <c r="K7081" s="143" t="s">
        <v>45610</v>
      </c>
      <c r="L7081" s="145" t="s">
        <v>45611</v>
      </c>
      <c r="M7081" s="143"/>
      <c r="N7081" s="12"/>
      <c r="O7081" s="12"/>
      <c r="P7081" s="13">
        <f>IFERROR(__xludf.DUMMYFUNCTION("VALUE(SUBSTITUTE((INDEX(SPLIT(A7081,"",""),1)),""."","","",1))"),54.77575)</f>
        <v>54.77575</v>
      </c>
      <c r="Q7081" s="13">
        <f>IFERROR(__xludf.DUMMYFUNCTION("VALUE(SUBSTITUTE((INDEX(SPLIT(A7081,"",""),2)),""."","","",1))"),32.076234)</f>
        <v>32.076234</v>
      </c>
      <c r="R7081" s="14" t="b">
        <f t="shared" si="1"/>
        <v>0</v>
      </c>
      <c r="S7081" s="14" t="str">
        <f t="shared" si="2"/>
        <v>54.77575,32.076234</v>
      </c>
      <c r="T7081" s="12"/>
    </row>
    <row r="7082">
      <c r="A7082" s="146" t="s">
        <v>45612</v>
      </c>
      <c r="B7082" s="147" t="s">
        <v>25199</v>
      </c>
      <c r="C7082" s="147" t="s">
        <v>45613</v>
      </c>
      <c r="D7082" s="147" t="s">
        <v>33342</v>
      </c>
      <c r="E7082" s="148" t="s">
        <v>45614</v>
      </c>
      <c r="F7082" s="146" t="s">
        <v>5134</v>
      </c>
      <c r="G7082" s="146" t="s">
        <v>33344</v>
      </c>
      <c r="H7082" s="146"/>
      <c r="I7082" s="147"/>
      <c r="J7082" s="147" t="s">
        <v>45615</v>
      </c>
      <c r="K7082" s="147" t="s">
        <v>45616</v>
      </c>
      <c r="L7082" s="149" t="s">
        <v>45617</v>
      </c>
      <c r="M7082" s="147"/>
      <c r="N7082" s="12"/>
      <c r="O7082" s="12"/>
      <c r="P7082" s="13">
        <f>IFERROR(__xludf.DUMMYFUNCTION("VALUE(SUBSTITUTE((INDEX(SPLIT(A7082,"",""),1)),""."","","",1))"),54.758651)</f>
        <v>54.758651</v>
      </c>
      <c r="Q7082" s="13">
        <f>IFERROR(__xludf.DUMMYFUNCTION("VALUE(SUBSTITUTE((INDEX(SPLIT(A7082,"",""),2)),""."","","",1))"),32.074617)</f>
        <v>32.074617</v>
      </c>
      <c r="R7082" s="14" t="b">
        <f t="shared" si="1"/>
        <v>0</v>
      </c>
      <c r="S7082" s="14" t="str">
        <f t="shared" si="2"/>
        <v>54.758651,32.074617</v>
      </c>
      <c r="T7082" s="12"/>
    </row>
    <row r="7083">
      <c r="A7083" s="136" t="s">
        <v>45618</v>
      </c>
      <c r="B7083" s="137" t="s">
        <v>45619</v>
      </c>
      <c r="C7083" s="137" t="s">
        <v>45620</v>
      </c>
      <c r="D7083" s="137" t="s">
        <v>33342</v>
      </c>
      <c r="E7083" s="138" t="s">
        <v>45621</v>
      </c>
      <c r="F7083" s="136" t="s">
        <v>5134</v>
      </c>
      <c r="G7083" s="136" t="s">
        <v>33344</v>
      </c>
      <c r="H7083" s="136"/>
      <c r="I7083" s="137"/>
      <c r="J7083" s="137" t="s">
        <v>45622</v>
      </c>
      <c r="K7083" s="137" t="s">
        <v>45623</v>
      </c>
      <c r="L7083" s="137"/>
      <c r="M7083" s="137"/>
      <c r="N7083" s="12"/>
      <c r="O7083" s="12"/>
      <c r="P7083" s="13">
        <f>IFERROR(__xludf.DUMMYFUNCTION("VALUE(SUBSTITUTE((INDEX(SPLIT(A7083,"",""),1)),""."","","",1))"),54.753627)</f>
        <v>54.753627</v>
      </c>
      <c r="Q7083" s="13">
        <f>IFERROR(__xludf.DUMMYFUNCTION("VALUE(SUBSTITUTE((INDEX(SPLIT(A7083,"",""),2)),""."","","",1))"),32.107055)</f>
        <v>32.107055</v>
      </c>
      <c r="R7083" s="14" t="b">
        <f t="shared" si="1"/>
        <v>0</v>
      </c>
      <c r="S7083" s="14" t="str">
        <f t="shared" si="2"/>
        <v>54.753627,32.107055</v>
      </c>
      <c r="T7083" s="12"/>
    </row>
    <row r="7084">
      <c r="A7084" s="139" t="s">
        <v>45624</v>
      </c>
      <c r="B7084" s="140" t="s">
        <v>45625</v>
      </c>
      <c r="C7084" s="140" t="s">
        <v>45626</v>
      </c>
      <c r="D7084" s="140" t="s">
        <v>33342</v>
      </c>
      <c r="E7084" s="141" t="s">
        <v>45627</v>
      </c>
      <c r="F7084" s="139" t="s">
        <v>5134</v>
      </c>
      <c r="G7084" s="139" t="s">
        <v>33344</v>
      </c>
      <c r="H7084" s="139"/>
      <c r="I7084" s="140"/>
      <c r="J7084" s="140" t="s">
        <v>45628</v>
      </c>
      <c r="K7084" s="140" t="s">
        <v>45629</v>
      </c>
      <c r="L7084" s="140"/>
      <c r="M7084" s="140"/>
      <c r="N7084" s="12"/>
      <c r="O7084" s="12"/>
      <c r="P7084" s="13">
        <f>IFERROR(__xludf.DUMMYFUNCTION("VALUE(SUBSTITUTE((INDEX(SPLIT(A7084,"",""),1)),""."","","",1))"),54.947837)</f>
        <v>54.947837</v>
      </c>
      <c r="Q7084" s="13">
        <f>IFERROR(__xludf.DUMMYFUNCTION("VALUE(SUBSTITUTE((INDEX(SPLIT(A7084,"",""),2)),""."","","",1))"),31.072753)</f>
        <v>31.072753</v>
      </c>
      <c r="R7084" s="14" t="b">
        <f t="shared" si="1"/>
        <v>0</v>
      </c>
      <c r="S7084" s="14" t="str">
        <f t="shared" si="2"/>
        <v>54.947837,31.072753</v>
      </c>
      <c r="T7084" s="12"/>
    </row>
    <row r="7085">
      <c r="A7085" s="136" t="s">
        <v>45630</v>
      </c>
      <c r="B7085" s="137" t="s">
        <v>45631</v>
      </c>
      <c r="C7085" s="137" t="s">
        <v>45632</v>
      </c>
      <c r="D7085" s="137" t="s">
        <v>33342</v>
      </c>
      <c r="E7085" s="138" t="s">
        <v>45633</v>
      </c>
      <c r="F7085" s="136" t="s">
        <v>5134</v>
      </c>
      <c r="G7085" s="136" t="s">
        <v>33344</v>
      </c>
      <c r="H7085" s="136"/>
      <c r="I7085" s="137"/>
      <c r="J7085" s="137" t="s">
        <v>45634</v>
      </c>
      <c r="K7085" s="137" t="s">
        <v>5203</v>
      </c>
      <c r="L7085" s="137"/>
      <c r="M7085" s="137"/>
      <c r="N7085" s="12"/>
      <c r="O7085" s="12"/>
      <c r="P7085" s="13">
        <f>IFERROR(__xludf.DUMMYFUNCTION("VALUE(SUBSTITUTE((INDEX(SPLIT(A7085,"",""),1)),""."","","",1))"),54.779058)</f>
        <v>54.779058</v>
      </c>
      <c r="Q7085" s="13">
        <f>IFERROR(__xludf.DUMMYFUNCTION("VALUE(SUBSTITUTE((INDEX(SPLIT(A7085,"",""),2)),""."","","",1))"),32.054638)</f>
        <v>32.054638</v>
      </c>
      <c r="R7085" s="14" t="b">
        <f t="shared" si="1"/>
        <v>0</v>
      </c>
      <c r="S7085" s="14" t="str">
        <f t="shared" si="2"/>
        <v>54.779058,32.054638</v>
      </c>
      <c r="T7085" s="12"/>
    </row>
    <row r="7086">
      <c r="A7086" s="146" t="s">
        <v>45635</v>
      </c>
      <c r="B7086" s="147" t="s">
        <v>45636</v>
      </c>
      <c r="C7086" s="147" t="s">
        <v>45637</v>
      </c>
      <c r="D7086" s="147" t="s">
        <v>33342</v>
      </c>
      <c r="E7086" s="148" t="s">
        <v>45638</v>
      </c>
      <c r="F7086" s="146" t="s">
        <v>15475</v>
      </c>
      <c r="G7086" s="146" t="s">
        <v>33344</v>
      </c>
      <c r="H7086" s="146"/>
      <c r="I7086" s="147"/>
      <c r="J7086" s="147" t="s">
        <v>45639</v>
      </c>
      <c r="K7086" s="147" t="s">
        <v>45640</v>
      </c>
      <c r="L7086" s="149" t="s">
        <v>45641</v>
      </c>
      <c r="M7086" s="147"/>
      <c r="N7086" s="12"/>
      <c r="O7086" s="12"/>
      <c r="P7086" s="13">
        <f>IFERROR(__xludf.DUMMYFUNCTION("VALUE(SUBSTITUTE((INDEX(SPLIT(A7086,"",""),1)),""."","","",1))"),52.73078)</f>
        <v>52.73078</v>
      </c>
      <c r="Q7086" s="13">
        <f>IFERROR(__xludf.DUMMYFUNCTION("VALUE(SUBSTITUTE((INDEX(SPLIT(A7086,"",""),2)),""."","","",1))"),41.465946)</f>
        <v>41.465946</v>
      </c>
      <c r="R7086" s="14" t="b">
        <f t="shared" si="1"/>
        <v>0</v>
      </c>
      <c r="S7086" s="14" t="str">
        <f t="shared" si="2"/>
        <v>52.73078,41.465946</v>
      </c>
      <c r="T7086" s="12"/>
    </row>
    <row r="7087">
      <c r="A7087" s="142" t="s">
        <v>45642</v>
      </c>
      <c r="B7087" s="143" t="s">
        <v>45643</v>
      </c>
      <c r="C7087" s="143" t="s">
        <v>45644</v>
      </c>
      <c r="D7087" s="143" t="s">
        <v>33342</v>
      </c>
      <c r="E7087" s="144" t="s">
        <v>45645</v>
      </c>
      <c r="F7087" s="142" t="s">
        <v>15475</v>
      </c>
      <c r="G7087" s="142" t="s">
        <v>33344</v>
      </c>
      <c r="H7087" s="142"/>
      <c r="I7087" s="143"/>
      <c r="J7087" s="143" t="s">
        <v>45646</v>
      </c>
      <c r="K7087" s="143" t="s">
        <v>45647</v>
      </c>
      <c r="L7087" s="145" t="s">
        <v>45648</v>
      </c>
      <c r="M7087" s="145" t="s">
        <v>45649</v>
      </c>
      <c r="N7087" s="12"/>
      <c r="O7087" s="12"/>
      <c r="P7087" s="13">
        <f>IFERROR(__xludf.DUMMYFUNCTION("VALUE(SUBSTITUTE((INDEX(SPLIT(A7087,"",""),1)),""."","","",1))"),52.708241)</f>
        <v>52.708241</v>
      </c>
      <c r="Q7087" s="13">
        <f>IFERROR(__xludf.DUMMYFUNCTION("VALUE(SUBSTITUTE((INDEX(SPLIT(A7087,"",""),2)),""."","","",1))"),41.613719)</f>
        <v>41.613719</v>
      </c>
      <c r="R7087" s="14" t="b">
        <f t="shared" si="1"/>
        <v>0</v>
      </c>
      <c r="S7087" s="14" t="str">
        <f t="shared" si="2"/>
        <v>52.708241,41.613719</v>
      </c>
      <c r="T7087" s="12"/>
    </row>
    <row r="7088">
      <c r="A7088" s="139" t="s">
        <v>16223</v>
      </c>
      <c r="B7088" s="140" t="s">
        <v>45650</v>
      </c>
      <c r="C7088" s="140" t="s">
        <v>45651</v>
      </c>
      <c r="D7088" s="140" t="s">
        <v>33342</v>
      </c>
      <c r="E7088" s="141" t="s">
        <v>45652</v>
      </c>
      <c r="F7088" s="139" t="s">
        <v>15475</v>
      </c>
      <c r="G7088" s="139" t="s">
        <v>33344</v>
      </c>
      <c r="H7088" s="139"/>
      <c r="I7088" s="140"/>
      <c r="J7088" s="140" t="s">
        <v>45653</v>
      </c>
      <c r="K7088" s="140" t="s">
        <v>45654</v>
      </c>
      <c r="L7088" s="140"/>
      <c r="M7088" s="140"/>
      <c r="N7088" s="12"/>
      <c r="O7088" s="12"/>
      <c r="P7088" s="13">
        <f>IFERROR(__xludf.DUMMYFUNCTION("VALUE(SUBSTITUTE((INDEX(SPLIT(A7088,"",""),1)),""."","","",1))"),52.654235)</f>
        <v>52.654235</v>
      </c>
      <c r="Q7088" s="13">
        <f>IFERROR(__xludf.DUMMYFUNCTION("VALUE(SUBSTITUTE((INDEX(SPLIT(A7088,"",""),2)),""."","","",1))"),41.424318)</f>
        <v>41.424318</v>
      </c>
      <c r="R7088" s="14" t="b">
        <f t="shared" si="1"/>
        <v>0</v>
      </c>
      <c r="S7088" s="14" t="str">
        <f t="shared" si="2"/>
        <v>52.654235,41.424318</v>
      </c>
      <c r="T7088" s="12"/>
    </row>
    <row r="7089">
      <c r="A7089" s="142" t="s">
        <v>45655</v>
      </c>
      <c r="B7089" s="143" t="s">
        <v>45656</v>
      </c>
      <c r="C7089" s="143" t="s">
        <v>45657</v>
      </c>
      <c r="D7089" s="143" t="s">
        <v>33342</v>
      </c>
      <c r="E7089" s="144" t="s">
        <v>45658</v>
      </c>
      <c r="F7089" s="142" t="s">
        <v>15475</v>
      </c>
      <c r="G7089" s="142" t="s">
        <v>33344</v>
      </c>
      <c r="H7089" s="142"/>
      <c r="I7089" s="143"/>
      <c r="J7089" s="143" t="s">
        <v>45659</v>
      </c>
      <c r="K7089" s="143" t="s">
        <v>45660</v>
      </c>
      <c r="L7089" s="145" t="s">
        <v>45661</v>
      </c>
      <c r="M7089" s="143"/>
      <c r="N7089" s="12"/>
      <c r="O7089" s="12"/>
      <c r="P7089" s="13">
        <f>IFERROR(__xludf.DUMMYFUNCTION("VALUE(SUBSTITUTE((INDEX(SPLIT(A7089,"",""),1)),""."","","",1))"),52.683245)</f>
        <v>52.683245</v>
      </c>
      <c r="Q7089" s="13">
        <f>IFERROR(__xludf.DUMMYFUNCTION("VALUE(SUBSTITUTE((INDEX(SPLIT(A7089,"",""),2)),""."","","",1))"),41.496974)</f>
        <v>41.496974</v>
      </c>
      <c r="R7089" s="14" t="b">
        <f t="shared" si="1"/>
        <v>0</v>
      </c>
      <c r="S7089" s="14" t="str">
        <f t="shared" si="2"/>
        <v>52.683245,41.496974</v>
      </c>
      <c r="T7089" s="12"/>
    </row>
    <row r="7090">
      <c r="A7090" s="139" t="s">
        <v>45662</v>
      </c>
      <c r="B7090" s="140" t="s">
        <v>45663</v>
      </c>
      <c r="C7090" s="140" t="s">
        <v>45664</v>
      </c>
      <c r="D7090" s="140" t="s">
        <v>33342</v>
      </c>
      <c r="E7090" s="141" t="s">
        <v>45665</v>
      </c>
      <c r="F7090" s="139" t="s">
        <v>15475</v>
      </c>
      <c r="G7090" s="139" t="s">
        <v>33344</v>
      </c>
      <c r="H7090" s="139"/>
      <c r="I7090" s="140"/>
      <c r="J7090" s="140" t="s">
        <v>45666</v>
      </c>
      <c r="K7090" s="140" t="s">
        <v>45667</v>
      </c>
      <c r="L7090" s="140"/>
      <c r="M7090" s="140"/>
      <c r="N7090" s="12"/>
      <c r="O7090" s="12"/>
      <c r="P7090" s="13">
        <f>IFERROR(__xludf.DUMMYFUNCTION("VALUE(SUBSTITUTE((INDEX(SPLIT(A7090,"",""),1)),""."","","",1))"),52.898058)</f>
        <v>52.898058</v>
      </c>
      <c r="Q7090" s="13">
        <f>IFERROR(__xludf.DUMMYFUNCTION("VALUE(SUBSTITUTE((INDEX(SPLIT(A7090,"",""),2)),""."","","",1))"),40.499044)</f>
        <v>40.499044</v>
      </c>
      <c r="R7090" s="14" t="b">
        <f t="shared" si="1"/>
        <v>0</v>
      </c>
      <c r="S7090" s="14" t="str">
        <f t="shared" si="2"/>
        <v>52.898058,40.499044</v>
      </c>
      <c r="T7090" s="12"/>
    </row>
    <row r="7091">
      <c r="A7091" s="142" t="s">
        <v>45668</v>
      </c>
      <c r="B7091" s="143" t="s">
        <v>45669</v>
      </c>
      <c r="C7091" s="143" t="s">
        <v>45670</v>
      </c>
      <c r="D7091" s="143" t="s">
        <v>33342</v>
      </c>
      <c r="E7091" s="144" t="s">
        <v>45671</v>
      </c>
      <c r="F7091" s="142" t="s">
        <v>15475</v>
      </c>
      <c r="G7091" s="142" t="s">
        <v>33344</v>
      </c>
      <c r="H7091" s="142"/>
      <c r="I7091" s="143"/>
      <c r="J7091" s="143" t="s">
        <v>45672</v>
      </c>
      <c r="K7091" s="143" t="s">
        <v>45673</v>
      </c>
      <c r="L7091" s="152" t="s">
        <v>45674</v>
      </c>
      <c r="M7091" s="143"/>
      <c r="N7091" s="12"/>
      <c r="O7091" s="12"/>
      <c r="P7091" s="13">
        <f>IFERROR(__xludf.DUMMYFUNCTION("VALUE(SUBSTITUTE((INDEX(SPLIT(A7091,"",""),1)),""."","","",1))"),52.726979)</f>
        <v>52.726979</v>
      </c>
      <c r="Q7091" s="13">
        <f>IFERROR(__xludf.DUMMYFUNCTION("VALUE(SUBSTITUTE((INDEX(SPLIT(A7091,"",""),2)),""."","","",1))"),41.389131)</f>
        <v>41.389131</v>
      </c>
      <c r="R7091" s="14" t="b">
        <f t="shared" si="1"/>
        <v>0</v>
      </c>
      <c r="S7091" s="14" t="str">
        <f t="shared" si="2"/>
        <v>52.726979,41.389131</v>
      </c>
      <c r="T7091" s="12"/>
    </row>
    <row r="7092">
      <c r="A7092" s="146" t="s">
        <v>45675</v>
      </c>
      <c r="B7092" s="147" t="s">
        <v>45676</v>
      </c>
      <c r="C7092" s="147" t="s">
        <v>45677</v>
      </c>
      <c r="D7092" s="147" t="s">
        <v>33342</v>
      </c>
      <c r="E7092" s="148" t="s">
        <v>45678</v>
      </c>
      <c r="F7092" s="146" t="s">
        <v>15475</v>
      </c>
      <c r="G7092" s="146" t="s">
        <v>33344</v>
      </c>
      <c r="H7092" s="146"/>
      <c r="I7092" s="147"/>
      <c r="J7092" s="147" t="s">
        <v>45679</v>
      </c>
      <c r="K7092" s="147" t="s">
        <v>10670</v>
      </c>
      <c r="L7092" s="150" t="s">
        <v>45680</v>
      </c>
      <c r="M7092" s="147"/>
      <c r="N7092" s="12"/>
      <c r="O7092" s="12"/>
      <c r="P7092" s="13">
        <f>IFERROR(__xludf.DUMMYFUNCTION("VALUE(SUBSTITUTE((INDEX(SPLIT(A7092,"",""),1)),""."","","",1))"),52.754964)</f>
        <v>52.754964</v>
      </c>
      <c r="Q7092" s="13">
        <f>IFERROR(__xludf.DUMMYFUNCTION("VALUE(SUBSTITUTE((INDEX(SPLIT(A7092,"",""),2)),""."","","",1))"),41.456325)</f>
        <v>41.456325</v>
      </c>
      <c r="R7092" s="14" t="b">
        <f t="shared" si="1"/>
        <v>0</v>
      </c>
      <c r="S7092" s="14" t="str">
        <f t="shared" si="2"/>
        <v>52.754964,41.456325</v>
      </c>
      <c r="T7092" s="12"/>
    </row>
    <row r="7093">
      <c r="A7093" s="136" t="s">
        <v>45681</v>
      </c>
      <c r="B7093" s="137" t="s">
        <v>45682</v>
      </c>
      <c r="C7093" s="137" t="s">
        <v>45683</v>
      </c>
      <c r="D7093" s="137" t="s">
        <v>33342</v>
      </c>
      <c r="E7093" s="138" t="s">
        <v>45684</v>
      </c>
      <c r="F7093" s="136" t="s">
        <v>15475</v>
      </c>
      <c r="G7093" s="136" t="s">
        <v>33344</v>
      </c>
      <c r="H7093" s="136"/>
      <c r="I7093" s="137"/>
      <c r="J7093" s="137" t="s">
        <v>45685</v>
      </c>
      <c r="K7093" s="137" t="s">
        <v>45686</v>
      </c>
      <c r="L7093" s="137"/>
      <c r="M7093" s="137"/>
      <c r="N7093" s="12"/>
      <c r="O7093" s="12"/>
      <c r="P7093" s="13">
        <f>IFERROR(__xludf.DUMMYFUNCTION("VALUE(SUBSTITUTE((INDEX(SPLIT(A7093,"",""),1)),""."","","",1))"),52.735633)</f>
        <v>52.735633</v>
      </c>
      <c r="Q7093" s="13">
        <f>IFERROR(__xludf.DUMMYFUNCTION("VALUE(SUBSTITUTE((INDEX(SPLIT(A7093,"",""),2)),""."","","",1))"),41.472153)</f>
        <v>41.472153</v>
      </c>
      <c r="R7093" s="14" t="b">
        <f t="shared" si="1"/>
        <v>0</v>
      </c>
      <c r="S7093" s="14" t="str">
        <f t="shared" si="2"/>
        <v>52.735633,41.472153</v>
      </c>
      <c r="T7093" s="12"/>
    </row>
    <row r="7094">
      <c r="A7094" s="146" t="s">
        <v>16193</v>
      </c>
      <c r="B7094" s="147" t="s">
        <v>45687</v>
      </c>
      <c r="C7094" s="147" t="s">
        <v>45688</v>
      </c>
      <c r="D7094" s="147" t="s">
        <v>33342</v>
      </c>
      <c r="E7094" s="148" t="s">
        <v>45689</v>
      </c>
      <c r="F7094" s="146" t="s">
        <v>15475</v>
      </c>
      <c r="G7094" s="146" t="s">
        <v>33344</v>
      </c>
      <c r="H7094" s="146"/>
      <c r="I7094" s="147"/>
      <c r="J7094" s="147" t="s">
        <v>45690</v>
      </c>
      <c r="K7094" s="147" t="s">
        <v>45691</v>
      </c>
      <c r="L7094" s="149" t="s">
        <v>45692</v>
      </c>
      <c r="M7094" s="147"/>
      <c r="N7094" s="12"/>
      <c r="O7094" s="12"/>
      <c r="P7094" s="13">
        <f>IFERROR(__xludf.DUMMYFUNCTION("VALUE(SUBSTITUTE((INDEX(SPLIT(A7094,"",""),1)),""."","","",1))"),52.738414)</f>
        <v>52.738414</v>
      </c>
      <c r="Q7094" s="13">
        <f>IFERROR(__xludf.DUMMYFUNCTION("VALUE(SUBSTITUTE((INDEX(SPLIT(A7094,"",""),2)),""."","","",1))"),41.382708)</f>
        <v>41.382708</v>
      </c>
      <c r="R7094" s="14" t="b">
        <f t="shared" si="1"/>
        <v>0</v>
      </c>
      <c r="S7094" s="14" t="str">
        <f t="shared" si="2"/>
        <v>52.738414,41.382708</v>
      </c>
      <c r="T7094" s="12"/>
    </row>
    <row r="7095">
      <c r="A7095" s="136" t="s">
        <v>45693</v>
      </c>
      <c r="B7095" s="137" t="s">
        <v>45694</v>
      </c>
      <c r="C7095" s="137" t="s">
        <v>45695</v>
      </c>
      <c r="D7095" s="137" t="s">
        <v>33342</v>
      </c>
      <c r="E7095" s="138" t="s">
        <v>45696</v>
      </c>
      <c r="F7095" s="136" t="s">
        <v>15475</v>
      </c>
      <c r="G7095" s="136" t="s">
        <v>33344</v>
      </c>
      <c r="H7095" s="136"/>
      <c r="I7095" s="137"/>
      <c r="J7095" s="137" t="s">
        <v>45697</v>
      </c>
      <c r="K7095" s="137" t="s">
        <v>34038</v>
      </c>
      <c r="L7095" s="137"/>
      <c r="M7095" s="137"/>
      <c r="N7095" s="12"/>
      <c r="O7095" s="12"/>
      <c r="P7095" s="13">
        <f>IFERROR(__xludf.DUMMYFUNCTION("VALUE(SUBSTITUTE((INDEX(SPLIT(A7095,"",""),1)),""."","","",1))"),52.755983)</f>
        <v>52.755983</v>
      </c>
      <c r="Q7095" s="13">
        <f>IFERROR(__xludf.DUMMYFUNCTION("VALUE(SUBSTITUTE((INDEX(SPLIT(A7095,"",""),2)),""."","","",1))"),41.446237)</f>
        <v>41.446237</v>
      </c>
      <c r="R7095" s="14" t="b">
        <f t="shared" si="1"/>
        <v>0</v>
      </c>
      <c r="S7095" s="14" t="str">
        <f t="shared" si="2"/>
        <v>52.755983,41.446237</v>
      </c>
      <c r="T7095" s="12"/>
    </row>
    <row r="7096">
      <c r="A7096" s="146" t="s">
        <v>45698</v>
      </c>
      <c r="B7096" s="147" t="s">
        <v>45699</v>
      </c>
      <c r="C7096" s="147" t="s">
        <v>45700</v>
      </c>
      <c r="D7096" s="147" t="s">
        <v>33342</v>
      </c>
      <c r="E7096" s="148" t="s">
        <v>45701</v>
      </c>
      <c r="F7096" s="146" t="s">
        <v>15475</v>
      </c>
      <c r="G7096" s="146" t="s">
        <v>33344</v>
      </c>
      <c r="H7096" s="146"/>
      <c r="I7096" s="147"/>
      <c r="J7096" s="147" t="s">
        <v>45702</v>
      </c>
      <c r="K7096" s="147" t="s">
        <v>45703</v>
      </c>
      <c r="L7096" s="149" t="s">
        <v>45704</v>
      </c>
      <c r="M7096" s="147"/>
      <c r="N7096" s="12"/>
      <c r="O7096" s="12"/>
      <c r="P7096" s="13">
        <f>IFERROR(__xludf.DUMMYFUNCTION("VALUE(SUBSTITUTE((INDEX(SPLIT(A7096,"",""),1)),""."","","",1))"),52.763852)</f>
        <v>52.763852</v>
      </c>
      <c r="Q7096" s="13">
        <f>IFERROR(__xludf.DUMMYFUNCTION("VALUE(SUBSTITUTE((INDEX(SPLIT(A7096,"",""),2)),""."","","",1))"),41.43676)</f>
        <v>41.43676</v>
      </c>
      <c r="R7096" s="14" t="b">
        <f t="shared" si="1"/>
        <v>0</v>
      </c>
      <c r="S7096" s="14" t="str">
        <f t="shared" si="2"/>
        <v>52.763852,41.43676</v>
      </c>
      <c r="T7096" s="12"/>
    </row>
    <row r="7097">
      <c r="A7097" s="136" t="s">
        <v>45705</v>
      </c>
      <c r="B7097" s="137" t="s">
        <v>45706</v>
      </c>
      <c r="C7097" s="137" t="s">
        <v>45707</v>
      </c>
      <c r="D7097" s="137" t="s">
        <v>33342</v>
      </c>
      <c r="E7097" s="138" t="s">
        <v>45708</v>
      </c>
      <c r="F7097" s="136" t="s">
        <v>15475</v>
      </c>
      <c r="G7097" s="136" t="s">
        <v>33344</v>
      </c>
      <c r="H7097" s="136"/>
      <c r="I7097" s="137"/>
      <c r="J7097" s="137" t="s">
        <v>45709</v>
      </c>
      <c r="K7097" s="137" t="s">
        <v>16236</v>
      </c>
      <c r="L7097" s="137"/>
      <c r="M7097" s="137"/>
      <c r="N7097" s="12"/>
      <c r="O7097" s="12"/>
      <c r="P7097" s="13">
        <f>IFERROR(__xludf.DUMMYFUNCTION("VALUE(SUBSTITUTE((INDEX(SPLIT(A7097,"",""),1)),""."","","",1))"),52.754822)</f>
        <v>52.754822</v>
      </c>
      <c r="Q7097" s="13">
        <f>IFERROR(__xludf.DUMMYFUNCTION("VALUE(SUBSTITUTE((INDEX(SPLIT(A7097,"",""),2)),""."","","",1))"),41.458517)</f>
        <v>41.458517</v>
      </c>
      <c r="R7097" s="14" t="b">
        <f t="shared" si="1"/>
        <v>0</v>
      </c>
      <c r="S7097" s="14" t="str">
        <f t="shared" si="2"/>
        <v>52.754822,41.458517</v>
      </c>
      <c r="T7097" s="12"/>
    </row>
    <row r="7098">
      <c r="A7098" s="139" t="s">
        <v>45710</v>
      </c>
      <c r="B7098" s="140" t="s">
        <v>45711</v>
      </c>
      <c r="C7098" s="140" t="s">
        <v>45712</v>
      </c>
      <c r="D7098" s="140" t="s">
        <v>33342</v>
      </c>
      <c r="E7098" s="141" t="s">
        <v>45713</v>
      </c>
      <c r="F7098" s="139" t="s">
        <v>15475</v>
      </c>
      <c r="G7098" s="139" t="s">
        <v>33344</v>
      </c>
      <c r="H7098" s="139"/>
      <c r="I7098" s="140"/>
      <c r="J7098" s="140" t="s">
        <v>45714</v>
      </c>
      <c r="K7098" s="140" t="s">
        <v>45715</v>
      </c>
      <c r="L7098" s="140"/>
      <c r="M7098" s="140"/>
      <c r="N7098" s="12"/>
      <c r="O7098" s="12"/>
      <c r="P7098" s="13">
        <f>IFERROR(__xludf.DUMMYFUNCTION("VALUE(SUBSTITUTE((INDEX(SPLIT(A7098,"",""),1)),""."","","",1))"),52.757787)</f>
        <v>52.757787</v>
      </c>
      <c r="Q7098" s="13">
        <f>IFERROR(__xludf.DUMMYFUNCTION("VALUE(SUBSTITUTE((INDEX(SPLIT(A7098,"",""),2)),""."","","",1))"),41.454726)</f>
        <v>41.454726</v>
      </c>
      <c r="R7098" s="14" t="b">
        <f t="shared" si="1"/>
        <v>0</v>
      </c>
      <c r="S7098" s="14" t="str">
        <f t="shared" si="2"/>
        <v>52.757787,41.454726</v>
      </c>
      <c r="T7098" s="12"/>
    </row>
    <row r="7099">
      <c r="A7099" s="142" t="s">
        <v>45716</v>
      </c>
      <c r="B7099" s="143" t="s">
        <v>45717</v>
      </c>
      <c r="C7099" s="143" t="s">
        <v>45718</v>
      </c>
      <c r="D7099" s="143" t="s">
        <v>33342</v>
      </c>
      <c r="E7099" s="144" t="s">
        <v>45719</v>
      </c>
      <c r="F7099" s="142" t="s">
        <v>5788</v>
      </c>
      <c r="G7099" s="142" t="s">
        <v>33344</v>
      </c>
      <c r="H7099" s="142"/>
      <c r="I7099" s="143"/>
      <c r="J7099" s="143" t="s">
        <v>45720</v>
      </c>
      <c r="K7099" s="143" t="s">
        <v>45721</v>
      </c>
      <c r="L7099" s="145" t="s">
        <v>45722</v>
      </c>
      <c r="M7099" s="143"/>
      <c r="N7099" s="12"/>
      <c r="O7099" s="12"/>
      <c r="P7099" s="13">
        <f>IFERROR(__xludf.DUMMYFUNCTION("VALUE(SUBSTITUTE((INDEX(SPLIT(A7099,"",""),1)),""."","","",1))"),56.816646)</f>
        <v>56.816646</v>
      </c>
      <c r="Q7099" s="13">
        <f>IFERROR(__xludf.DUMMYFUNCTION("VALUE(SUBSTITUTE((INDEX(SPLIT(A7099,"",""),2)),""."","","",1))"),35.913828)</f>
        <v>35.913828</v>
      </c>
      <c r="R7099" s="14" t="b">
        <f t="shared" si="1"/>
        <v>0</v>
      </c>
      <c r="S7099" s="14" t="str">
        <f t="shared" si="2"/>
        <v>56.816646,35.913828</v>
      </c>
      <c r="T7099" s="12"/>
    </row>
    <row r="7100">
      <c r="A7100" s="146" t="s">
        <v>45723</v>
      </c>
      <c r="B7100" s="147" t="s">
        <v>45724</v>
      </c>
      <c r="C7100" s="147" t="s">
        <v>45725</v>
      </c>
      <c r="D7100" s="147" t="s">
        <v>33342</v>
      </c>
      <c r="E7100" s="148" t="s">
        <v>45726</v>
      </c>
      <c r="F7100" s="146" t="s">
        <v>5788</v>
      </c>
      <c r="G7100" s="146" t="s">
        <v>33344</v>
      </c>
      <c r="H7100" s="146"/>
      <c r="I7100" s="147"/>
      <c r="J7100" s="147" t="s">
        <v>45727</v>
      </c>
      <c r="K7100" s="147" t="s">
        <v>45728</v>
      </c>
      <c r="L7100" s="149" t="s">
        <v>45729</v>
      </c>
      <c r="M7100" s="147"/>
      <c r="N7100" s="12"/>
      <c r="O7100" s="12"/>
      <c r="P7100" s="13">
        <f>IFERROR(__xludf.DUMMYFUNCTION("VALUE(SUBSTITUTE((INDEX(SPLIT(A7100,"",""),1)),""."","","",1))"),57.577857)</f>
        <v>57.577857</v>
      </c>
      <c r="Q7100" s="13">
        <f>IFERROR(__xludf.DUMMYFUNCTION("VALUE(SUBSTITUTE((INDEX(SPLIT(A7100,"",""),2)),""."","","",1))"),34.57426)</f>
        <v>34.57426</v>
      </c>
      <c r="R7100" s="14" t="b">
        <f t="shared" si="1"/>
        <v>0</v>
      </c>
      <c r="S7100" s="14" t="str">
        <f t="shared" si="2"/>
        <v>57.577857,34.57426</v>
      </c>
      <c r="T7100" s="12"/>
    </row>
    <row r="7101">
      <c r="A7101" s="136" t="s">
        <v>45730</v>
      </c>
      <c r="B7101" s="137" t="s">
        <v>45731</v>
      </c>
      <c r="C7101" s="137" t="s">
        <v>45732</v>
      </c>
      <c r="D7101" s="137" t="s">
        <v>33342</v>
      </c>
      <c r="E7101" s="138" t="s">
        <v>45733</v>
      </c>
      <c r="F7101" s="136" t="s">
        <v>5788</v>
      </c>
      <c r="G7101" s="136" t="s">
        <v>33344</v>
      </c>
      <c r="H7101" s="136"/>
      <c r="I7101" s="137"/>
      <c r="J7101" s="137" t="s">
        <v>45734</v>
      </c>
      <c r="K7101" s="137" t="s">
        <v>45735</v>
      </c>
      <c r="L7101" s="137"/>
      <c r="M7101" s="137"/>
      <c r="N7101" s="12"/>
      <c r="O7101" s="12"/>
      <c r="P7101" s="13">
        <f>IFERROR(__xludf.DUMMYFUNCTION("VALUE(SUBSTITUTE((INDEX(SPLIT(A7101,"",""),1)),""."","","",1))"),57.576921)</f>
        <v>57.576921</v>
      </c>
      <c r="Q7101" s="13">
        <f>IFERROR(__xludf.DUMMYFUNCTION("VALUE(SUBSTITUTE((INDEX(SPLIT(A7101,"",""),2)),""."","","",1))"),34.559554)</f>
        <v>34.559554</v>
      </c>
      <c r="R7101" s="14" t="b">
        <f t="shared" si="1"/>
        <v>0</v>
      </c>
      <c r="S7101" s="14" t="str">
        <f t="shared" si="2"/>
        <v>57.576921,34.559554</v>
      </c>
      <c r="T7101" s="12"/>
    </row>
    <row r="7102">
      <c r="A7102" s="139" t="s">
        <v>45736</v>
      </c>
      <c r="B7102" s="140" t="s">
        <v>45737</v>
      </c>
      <c r="C7102" s="140" t="s">
        <v>45738</v>
      </c>
      <c r="D7102" s="140" t="s">
        <v>33342</v>
      </c>
      <c r="E7102" s="141" t="s">
        <v>45739</v>
      </c>
      <c r="F7102" s="139" t="s">
        <v>5788</v>
      </c>
      <c r="G7102" s="139" t="s">
        <v>33344</v>
      </c>
      <c r="H7102" s="139"/>
      <c r="I7102" s="140"/>
      <c r="J7102" s="140" t="s">
        <v>45740</v>
      </c>
      <c r="K7102" s="140" t="s">
        <v>45741</v>
      </c>
      <c r="L7102" s="140"/>
      <c r="M7102" s="140"/>
      <c r="N7102" s="12"/>
      <c r="O7102" s="12"/>
      <c r="P7102" s="13">
        <f>IFERROR(__xludf.DUMMYFUNCTION("VALUE(SUBSTITUTE((INDEX(SPLIT(A7102,"",""),1)),""."","","",1))"),57.623773)</f>
        <v>57.623773</v>
      </c>
      <c r="Q7102" s="13">
        <f>IFERROR(__xludf.DUMMYFUNCTION("VALUE(SUBSTITUTE((INDEX(SPLIT(A7102,"",""),2)),""."","","",1))"),34.485327)</f>
        <v>34.485327</v>
      </c>
      <c r="R7102" s="14" t="b">
        <f t="shared" si="1"/>
        <v>0</v>
      </c>
      <c r="S7102" s="14" t="str">
        <f t="shared" si="2"/>
        <v>57.623773,34.485327</v>
      </c>
      <c r="T7102" s="12"/>
    </row>
    <row r="7103">
      <c r="A7103" s="142" t="s">
        <v>45742</v>
      </c>
      <c r="B7103" s="143" t="s">
        <v>45743</v>
      </c>
      <c r="C7103" s="143" t="s">
        <v>45744</v>
      </c>
      <c r="D7103" s="143" t="s">
        <v>33342</v>
      </c>
      <c r="E7103" s="144" t="s">
        <v>45745</v>
      </c>
      <c r="F7103" s="142" t="s">
        <v>5788</v>
      </c>
      <c r="G7103" s="142" t="s">
        <v>33344</v>
      </c>
      <c r="H7103" s="142"/>
      <c r="I7103" s="143"/>
      <c r="J7103" s="143" t="s">
        <v>45746</v>
      </c>
      <c r="K7103" s="143" t="s">
        <v>45747</v>
      </c>
      <c r="L7103" s="145" t="s">
        <v>45748</v>
      </c>
      <c r="M7103" s="143"/>
      <c r="N7103" s="12"/>
      <c r="O7103" s="12"/>
      <c r="P7103" s="13">
        <f>IFERROR(__xludf.DUMMYFUNCTION("VALUE(SUBSTITUTE((INDEX(SPLIT(A7103,"",""),1)),""."","","",1))"),56.548713)</f>
        <v>56.548713</v>
      </c>
      <c r="Q7103" s="13">
        <f>IFERROR(__xludf.DUMMYFUNCTION("VALUE(SUBSTITUTE((INDEX(SPLIT(A7103,"",""),2)),""."","","",1))"),36.515465)</f>
        <v>36.515465</v>
      </c>
      <c r="R7103" s="14" t="b">
        <f t="shared" si="1"/>
        <v>0</v>
      </c>
      <c r="S7103" s="14" t="str">
        <f t="shared" si="2"/>
        <v>56.548713,36.515465</v>
      </c>
      <c r="T7103" s="12"/>
    </row>
    <row r="7104">
      <c r="A7104" s="139" t="s">
        <v>45749</v>
      </c>
      <c r="B7104" s="140" t="s">
        <v>45750</v>
      </c>
      <c r="C7104" s="140" t="s">
        <v>45751</v>
      </c>
      <c r="D7104" s="140" t="s">
        <v>33342</v>
      </c>
      <c r="E7104" s="141" t="s">
        <v>45752</v>
      </c>
      <c r="F7104" s="139" t="s">
        <v>5788</v>
      </c>
      <c r="G7104" s="139" t="s">
        <v>33344</v>
      </c>
      <c r="H7104" s="139"/>
      <c r="I7104" s="140"/>
      <c r="J7104" s="140" t="s">
        <v>45753</v>
      </c>
      <c r="K7104" s="140" t="s">
        <v>35145</v>
      </c>
      <c r="L7104" s="140"/>
      <c r="M7104" s="140"/>
      <c r="N7104" s="12"/>
      <c r="O7104" s="12"/>
      <c r="P7104" s="13">
        <f>IFERROR(__xludf.DUMMYFUNCTION("VALUE(SUBSTITUTE((INDEX(SPLIT(A7104,"",""),1)),""."","","",1))"),57.143209)</f>
        <v>57.143209</v>
      </c>
      <c r="Q7104" s="13">
        <f>IFERROR(__xludf.DUMMYFUNCTION("VALUE(SUBSTITUTE((INDEX(SPLIT(A7104,"",""),2)),""."","","",1))"),33.154212)</f>
        <v>33.154212</v>
      </c>
      <c r="R7104" s="14" t="b">
        <f t="shared" si="1"/>
        <v>0</v>
      </c>
      <c r="S7104" s="14" t="str">
        <f t="shared" si="2"/>
        <v>57.143209,33.154212</v>
      </c>
      <c r="T7104" s="12"/>
    </row>
    <row r="7105">
      <c r="A7105" s="142" t="s">
        <v>45754</v>
      </c>
      <c r="B7105" s="143" t="s">
        <v>45755</v>
      </c>
      <c r="C7105" s="143" t="s">
        <v>45756</v>
      </c>
      <c r="D7105" s="143" t="s">
        <v>33342</v>
      </c>
      <c r="E7105" s="144" t="s">
        <v>45757</v>
      </c>
      <c r="F7105" s="142" t="s">
        <v>5788</v>
      </c>
      <c r="G7105" s="142" t="s">
        <v>33344</v>
      </c>
      <c r="H7105" s="142"/>
      <c r="I7105" s="143"/>
      <c r="J7105" s="143" t="s">
        <v>45758</v>
      </c>
      <c r="K7105" s="143" t="s">
        <v>45759</v>
      </c>
      <c r="L7105" s="145" t="s">
        <v>45760</v>
      </c>
      <c r="M7105" s="143"/>
      <c r="N7105" s="12"/>
      <c r="O7105" s="12"/>
      <c r="P7105" s="13">
        <f>IFERROR(__xludf.DUMMYFUNCTION("VALUE(SUBSTITUTE((INDEX(SPLIT(A7105,"",""),1)),""."","","",1))"),57.019423)</f>
        <v>57.019423</v>
      </c>
      <c r="Q7105" s="13">
        <f>IFERROR(__xludf.DUMMYFUNCTION("VALUE(SUBSTITUTE((INDEX(SPLIT(A7105,"",""),2)),""."","","",1))"),34.962512)</f>
        <v>34.962512</v>
      </c>
      <c r="R7105" s="14" t="b">
        <f t="shared" si="1"/>
        <v>0</v>
      </c>
      <c r="S7105" s="14" t="str">
        <f t="shared" si="2"/>
        <v>57.019423,34.962512</v>
      </c>
      <c r="T7105" s="12"/>
    </row>
    <row r="7106">
      <c r="A7106" s="146" t="s">
        <v>45754</v>
      </c>
      <c r="B7106" s="147" t="s">
        <v>45761</v>
      </c>
      <c r="C7106" s="147" t="s">
        <v>45762</v>
      </c>
      <c r="D7106" s="147" t="s">
        <v>33342</v>
      </c>
      <c r="E7106" s="148" t="s">
        <v>45763</v>
      </c>
      <c r="F7106" s="146" t="s">
        <v>5788</v>
      </c>
      <c r="G7106" s="146" t="s">
        <v>33344</v>
      </c>
      <c r="H7106" s="146"/>
      <c r="I7106" s="147"/>
      <c r="J7106" s="147" t="s">
        <v>45764</v>
      </c>
      <c r="K7106" s="147" t="s">
        <v>45765</v>
      </c>
      <c r="L7106" s="149" t="s">
        <v>45766</v>
      </c>
      <c r="M7106" s="147"/>
      <c r="N7106" s="12"/>
      <c r="O7106" s="12"/>
      <c r="P7106" s="13">
        <f>IFERROR(__xludf.DUMMYFUNCTION("VALUE(SUBSTITUTE((INDEX(SPLIT(A7106,"",""),1)),""."","","",1))"),57.019423)</f>
        <v>57.019423</v>
      </c>
      <c r="Q7106" s="13">
        <f>IFERROR(__xludf.DUMMYFUNCTION("VALUE(SUBSTITUTE((INDEX(SPLIT(A7106,"",""),2)),""."","","",1))"),34.962512)</f>
        <v>34.962512</v>
      </c>
      <c r="R7106" s="14" t="b">
        <f t="shared" si="1"/>
        <v>0</v>
      </c>
      <c r="S7106" s="14" t="str">
        <f t="shared" si="2"/>
        <v>57.019423,34.962512</v>
      </c>
      <c r="T7106" s="12"/>
    </row>
    <row r="7107">
      <c r="A7107" s="142" t="s">
        <v>45767</v>
      </c>
      <c r="B7107" s="143" t="s">
        <v>45768</v>
      </c>
      <c r="C7107" s="143" t="s">
        <v>3113</v>
      </c>
      <c r="D7107" s="143" t="s">
        <v>33342</v>
      </c>
      <c r="E7107" s="144" t="s">
        <v>45769</v>
      </c>
      <c r="F7107" s="142" t="s">
        <v>5788</v>
      </c>
      <c r="G7107" s="142" t="s">
        <v>33344</v>
      </c>
      <c r="H7107" s="142"/>
      <c r="I7107" s="143"/>
      <c r="J7107" s="143" t="s">
        <v>45770</v>
      </c>
      <c r="K7107" s="143" t="s">
        <v>45771</v>
      </c>
      <c r="L7107" s="145" t="s">
        <v>45772</v>
      </c>
      <c r="M7107" s="143"/>
      <c r="N7107" s="12"/>
      <c r="O7107" s="12"/>
      <c r="P7107" s="13">
        <f>IFERROR(__xludf.DUMMYFUNCTION("VALUE(SUBSTITUTE((INDEX(SPLIT(A7107,"",""),1)),""."","","",1))"),56.164872)</f>
        <v>56.164872</v>
      </c>
      <c r="Q7107" s="13">
        <f>IFERROR(__xludf.DUMMYFUNCTION("VALUE(SUBSTITUTE((INDEX(SPLIT(A7107,"",""),2)),""."","","",1))"),34.592262)</f>
        <v>34.592262</v>
      </c>
      <c r="R7107" s="14" t="b">
        <f t="shared" si="1"/>
        <v>0</v>
      </c>
      <c r="S7107" s="14" t="str">
        <f t="shared" si="2"/>
        <v>56.164872,34.592262</v>
      </c>
      <c r="T7107" s="12"/>
    </row>
    <row r="7108">
      <c r="A7108" s="139" t="s">
        <v>45773</v>
      </c>
      <c r="B7108" s="140" t="s">
        <v>45774</v>
      </c>
      <c r="C7108" s="140" t="s">
        <v>45775</v>
      </c>
      <c r="D7108" s="140" t="s">
        <v>33342</v>
      </c>
      <c r="E7108" s="141" t="s">
        <v>45776</v>
      </c>
      <c r="F7108" s="139" t="s">
        <v>5788</v>
      </c>
      <c r="G7108" s="139" t="s">
        <v>33344</v>
      </c>
      <c r="H7108" s="139"/>
      <c r="I7108" s="140"/>
      <c r="J7108" s="140" t="s">
        <v>45777</v>
      </c>
      <c r="K7108" s="140" t="s">
        <v>45778</v>
      </c>
      <c r="L7108" s="140"/>
      <c r="M7108" s="140"/>
      <c r="N7108" s="12"/>
      <c r="O7108" s="12"/>
      <c r="P7108" s="13">
        <f>IFERROR(__xludf.DUMMYFUNCTION("VALUE(SUBSTITUTE((INDEX(SPLIT(A7108,"",""),1)),""."","","",1))"),57.233451)</f>
        <v>57.233451</v>
      </c>
      <c r="Q7108" s="13">
        <f>IFERROR(__xludf.DUMMYFUNCTION("VALUE(SUBSTITUTE((INDEX(SPLIT(A7108,"",""),2)),""."","","",1))"),37.810791)</f>
        <v>37.810791</v>
      </c>
      <c r="R7108" s="14" t="b">
        <f t="shared" si="1"/>
        <v>0</v>
      </c>
      <c r="S7108" s="14" t="str">
        <f t="shared" si="2"/>
        <v>57.233451,37.810791</v>
      </c>
      <c r="T7108" s="12"/>
    </row>
    <row r="7109">
      <c r="A7109" s="142" t="s">
        <v>45779</v>
      </c>
      <c r="B7109" s="143" t="s">
        <v>45780</v>
      </c>
      <c r="C7109" s="143" t="s">
        <v>45781</v>
      </c>
      <c r="D7109" s="143" t="s">
        <v>33342</v>
      </c>
      <c r="E7109" s="144" t="s">
        <v>45782</v>
      </c>
      <c r="F7109" s="142" t="s">
        <v>5788</v>
      </c>
      <c r="G7109" s="142" t="s">
        <v>33344</v>
      </c>
      <c r="H7109" s="142"/>
      <c r="I7109" s="143"/>
      <c r="J7109" s="143" t="s">
        <v>45783</v>
      </c>
      <c r="K7109" s="143" t="s">
        <v>45784</v>
      </c>
      <c r="L7109" s="152" t="s">
        <v>45785</v>
      </c>
      <c r="M7109" s="143"/>
      <c r="N7109" s="12"/>
      <c r="O7109" s="12"/>
      <c r="P7109" s="13">
        <f>IFERROR(__xludf.DUMMYFUNCTION("VALUE(SUBSTITUTE((INDEX(SPLIT(A7109,"",""),1)),""."","","",1))"),56.659162)</f>
        <v>56.659162</v>
      </c>
      <c r="Q7109" s="13">
        <f>IFERROR(__xludf.DUMMYFUNCTION("VALUE(SUBSTITUTE((INDEX(SPLIT(A7109,"",""),2)),""."","","",1))"),36.808559)</f>
        <v>36.808559</v>
      </c>
      <c r="R7109" s="14" t="b">
        <f t="shared" si="1"/>
        <v>0</v>
      </c>
      <c r="S7109" s="14" t="str">
        <f t="shared" si="2"/>
        <v>56.659162,36.808559</v>
      </c>
      <c r="T7109" s="12"/>
    </row>
    <row r="7110">
      <c r="A7110" s="139" t="s">
        <v>45786</v>
      </c>
      <c r="B7110" s="140" t="s">
        <v>45787</v>
      </c>
      <c r="C7110" s="140" t="s">
        <v>45788</v>
      </c>
      <c r="D7110" s="140" t="s">
        <v>33342</v>
      </c>
      <c r="E7110" s="141" t="s">
        <v>45789</v>
      </c>
      <c r="F7110" s="139" t="s">
        <v>5788</v>
      </c>
      <c r="G7110" s="139" t="s">
        <v>33344</v>
      </c>
      <c r="H7110" s="139"/>
      <c r="I7110" s="140"/>
      <c r="J7110" s="140" t="s">
        <v>45790</v>
      </c>
      <c r="K7110" s="140" t="s">
        <v>45791</v>
      </c>
      <c r="L7110" s="140"/>
      <c r="M7110" s="140"/>
      <c r="N7110" s="12"/>
      <c r="O7110" s="12"/>
      <c r="P7110" s="13">
        <f>IFERROR(__xludf.DUMMYFUNCTION("VALUE(SUBSTITUTE((INDEX(SPLIT(A7110,"",""),1)),""."","","",1))"),56.791142)</f>
        <v>56.791142</v>
      </c>
      <c r="Q7110" s="13">
        <f>IFERROR(__xludf.DUMMYFUNCTION("VALUE(SUBSTITUTE((INDEX(SPLIT(A7110,"",""),2)),""."","","",1))"),35.910082)</f>
        <v>35.910082</v>
      </c>
      <c r="R7110" s="14" t="b">
        <f t="shared" si="1"/>
        <v>0</v>
      </c>
      <c r="S7110" s="14" t="str">
        <f t="shared" si="2"/>
        <v>56.791142,35.910082</v>
      </c>
      <c r="T7110" s="12"/>
    </row>
    <row r="7111">
      <c r="A7111" s="136" t="s">
        <v>45792</v>
      </c>
      <c r="B7111" s="137" t="s">
        <v>45793</v>
      </c>
      <c r="C7111" s="137" t="s">
        <v>45794</v>
      </c>
      <c r="D7111" s="137" t="s">
        <v>33342</v>
      </c>
      <c r="E7111" s="138" t="s">
        <v>45795</v>
      </c>
      <c r="F7111" s="136" t="s">
        <v>5788</v>
      </c>
      <c r="G7111" s="136" t="s">
        <v>33344</v>
      </c>
      <c r="H7111" s="136"/>
      <c r="I7111" s="137"/>
      <c r="J7111" s="137" t="s">
        <v>45796</v>
      </c>
      <c r="K7111" s="137" t="s">
        <v>45797</v>
      </c>
      <c r="L7111" s="137"/>
      <c r="M7111" s="137"/>
      <c r="N7111" s="12"/>
      <c r="O7111" s="12"/>
      <c r="P7111" s="13">
        <f>IFERROR(__xludf.DUMMYFUNCTION("VALUE(SUBSTITUTE((INDEX(SPLIT(A7111,"",""),1)),""."","","",1))"),56.700222)</f>
        <v>56.700222</v>
      </c>
      <c r="Q7111" s="13">
        <f>IFERROR(__xludf.DUMMYFUNCTION("VALUE(SUBSTITUTE((INDEX(SPLIT(A7111,"",""),2)),""."","","",1))"),36.792982)</f>
        <v>36.792982</v>
      </c>
      <c r="R7111" s="14" t="b">
        <f t="shared" si="1"/>
        <v>0</v>
      </c>
      <c r="S7111" s="14" t="str">
        <f t="shared" si="2"/>
        <v>56.700222,36.792982</v>
      </c>
      <c r="T7111" s="12"/>
    </row>
    <row r="7112">
      <c r="A7112" s="139" t="s">
        <v>45798</v>
      </c>
      <c r="B7112" s="140" t="s">
        <v>45799</v>
      </c>
      <c r="C7112" s="140" t="s">
        <v>45800</v>
      </c>
      <c r="D7112" s="140" t="s">
        <v>33342</v>
      </c>
      <c r="E7112" s="141" t="s">
        <v>45801</v>
      </c>
      <c r="F7112" s="139" t="s">
        <v>5788</v>
      </c>
      <c r="G7112" s="139" t="s">
        <v>33344</v>
      </c>
      <c r="H7112" s="139"/>
      <c r="I7112" s="140"/>
      <c r="J7112" s="140" t="s">
        <v>45802</v>
      </c>
      <c r="K7112" s="140" t="s">
        <v>45803</v>
      </c>
      <c r="L7112" s="140"/>
      <c r="M7112" s="140"/>
      <c r="N7112" s="12"/>
      <c r="O7112" s="12"/>
      <c r="P7112" s="13">
        <f>IFERROR(__xludf.DUMMYFUNCTION("VALUE(SUBSTITUTE((INDEX(SPLIT(A7112,"",""),1)),""."","","",1))"),56.837475)</f>
        <v>56.837475</v>
      </c>
      <c r="Q7112" s="13">
        <f>IFERROR(__xludf.DUMMYFUNCTION("VALUE(SUBSTITUTE((INDEX(SPLIT(A7112,"",""),2)),""."","","",1))"),35.874436)</f>
        <v>35.874436</v>
      </c>
      <c r="R7112" s="14" t="b">
        <f t="shared" si="1"/>
        <v>0</v>
      </c>
      <c r="S7112" s="14" t="str">
        <f t="shared" si="2"/>
        <v>56.837475,35.874436</v>
      </c>
      <c r="T7112" s="12"/>
    </row>
    <row r="7113">
      <c r="A7113" s="136" t="s">
        <v>45804</v>
      </c>
      <c r="B7113" s="137" t="s">
        <v>45805</v>
      </c>
      <c r="C7113" s="137" t="s">
        <v>45806</v>
      </c>
      <c r="D7113" s="137" t="s">
        <v>33342</v>
      </c>
      <c r="E7113" s="138" t="s">
        <v>45807</v>
      </c>
      <c r="F7113" s="136" t="s">
        <v>5788</v>
      </c>
      <c r="G7113" s="136" t="s">
        <v>33344</v>
      </c>
      <c r="H7113" s="136"/>
      <c r="I7113" s="137"/>
      <c r="J7113" s="137" t="s">
        <v>45808</v>
      </c>
      <c r="K7113" s="137" t="s">
        <v>45809</v>
      </c>
      <c r="L7113" s="137"/>
      <c r="M7113" s="137"/>
      <c r="N7113" s="12"/>
      <c r="O7113" s="12"/>
      <c r="P7113" s="13">
        <f>IFERROR(__xludf.DUMMYFUNCTION("VALUE(SUBSTITUTE((INDEX(SPLIT(A7113,"",""),1)),""."","","",1))"),56.837352)</f>
        <v>56.837352</v>
      </c>
      <c r="Q7113" s="13">
        <f>IFERROR(__xludf.DUMMYFUNCTION("VALUE(SUBSTITUTE((INDEX(SPLIT(A7113,"",""),2)),""."","","",1))"),35.817564)</f>
        <v>35.817564</v>
      </c>
      <c r="R7113" s="14" t="b">
        <f t="shared" si="1"/>
        <v>0</v>
      </c>
      <c r="S7113" s="14" t="str">
        <f t="shared" si="2"/>
        <v>56.837352,35.817564</v>
      </c>
      <c r="T7113" s="12"/>
    </row>
    <row r="7114">
      <c r="A7114" s="139" t="s">
        <v>7186</v>
      </c>
      <c r="B7114" s="140" t="s">
        <v>45810</v>
      </c>
      <c r="C7114" s="140" t="s">
        <v>45811</v>
      </c>
      <c r="D7114" s="140" t="s">
        <v>33342</v>
      </c>
      <c r="E7114" s="141" t="s">
        <v>45812</v>
      </c>
      <c r="F7114" s="139" t="s">
        <v>5788</v>
      </c>
      <c r="G7114" s="139" t="s">
        <v>33344</v>
      </c>
      <c r="H7114" s="139"/>
      <c r="I7114" s="140"/>
      <c r="J7114" s="140" t="s">
        <v>45813</v>
      </c>
      <c r="K7114" s="140" t="s">
        <v>45814</v>
      </c>
      <c r="L7114" s="140"/>
      <c r="M7114" s="154" t="s">
        <v>45815</v>
      </c>
      <c r="N7114" s="12"/>
      <c r="O7114" s="12"/>
      <c r="P7114" s="13">
        <f>IFERROR(__xludf.DUMMYFUNCTION("VALUE(SUBSTITUTE((INDEX(SPLIT(A7114,"",""),1)),""."","","",1))"),56.844569)</f>
        <v>56.844569</v>
      </c>
      <c r="Q7114" s="13">
        <f>IFERROR(__xludf.DUMMYFUNCTION("VALUE(SUBSTITUTE((INDEX(SPLIT(A7114,"",""),2)),""."","","",1))"),35.801592)</f>
        <v>35.801592</v>
      </c>
      <c r="R7114" s="14" t="b">
        <f t="shared" si="1"/>
        <v>0</v>
      </c>
      <c r="S7114" s="14" t="str">
        <f t="shared" si="2"/>
        <v>56.844569,35.801592</v>
      </c>
      <c r="T7114" s="12"/>
    </row>
    <row r="7115">
      <c r="A7115" s="142" t="s">
        <v>45816</v>
      </c>
      <c r="B7115" s="143" t="s">
        <v>45817</v>
      </c>
      <c r="C7115" s="143" t="s">
        <v>45818</v>
      </c>
      <c r="D7115" s="143" t="s">
        <v>33342</v>
      </c>
      <c r="E7115" s="144" t="s">
        <v>45819</v>
      </c>
      <c r="F7115" s="142" t="s">
        <v>5788</v>
      </c>
      <c r="G7115" s="142" t="s">
        <v>33344</v>
      </c>
      <c r="H7115" s="142"/>
      <c r="I7115" s="143"/>
      <c r="J7115" s="143" t="s">
        <v>45820</v>
      </c>
      <c r="K7115" s="143" t="s">
        <v>45821</v>
      </c>
      <c r="L7115" s="145" t="s">
        <v>45822</v>
      </c>
      <c r="M7115" s="143"/>
      <c r="N7115" s="12"/>
      <c r="O7115" s="12"/>
      <c r="P7115" s="13">
        <f>IFERROR(__xludf.DUMMYFUNCTION("VALUE(SUBSTITUTE((INDEX(SPLIT(A7115,"",""),1)),""."","","",1))"),56.831127)</f>
        <v>56.831127</v>
      </c>
      <c r="Q7115" s="13">
        <f>IFERROR(__xludf.DUMMYFUNCTION("VALUE(SUBSTITUTE((INDEX(SPLIT(A7115,"",""),2)),""."","","",1))"),35.819415)</f>
        <v>35.819415</v>
      </c>
      <c r="R7115" s="14" t="b">
        <f t="shared" si="1"/>
        <v>0</v>
      </c>
      <c r="S7115" s="14" t="str">
        <f t="shared" si="2"/>
        <v>56.831127,35.819415</v>
      </c>
      <c r="T7115" s="12"/>
    </row>
    <row r="7116">
      <c r="A7116" s="146" t="s">
        <v>45823</v>
      </c>
      <c r="B7116" s="147" t="s">
        <v>45824</v>
      </c>
      <c r="C7116" s="147" t="s">
        <v>45825</v>
      </c>
      <c r="D7116" s="147" t="s">
        <v>33342</v>
      </c>
      <c r="E7116" s="148" t="s">
        <v>45826</v>
      </c>
      <c r="F7116" s="146" t="s">
        <v>5788</v>
      </c>
      <c r="G7116" s="146" t="s">
        <v>33344</v>
      </c>
      <c r="H7116" s="146"/>
      <c r="I7116" s="147"/>
      <c r="J7116" s="147" t="s">
        <v>45827</v>
      </c>
      <c r="K7116" s="147" t="s">
        <v>45828</v>
      </c>
      <c r="L7116" s="149" t="s">
        <v>45829</v>
      </c>
      <c r="M7116" s="147"/>
      <c r="N7116" s="12"/>
      <c r="O7116" s="12"/>
      <c r="P7116" s="13">
        <f>IFERROR(__xludf.DUMMYFUNCTION("VALUE(SUBSTITUTE((INDEX(SPLIT(A7116,"",""),1)),""."","","",1))"),56.846086)</f>
        <v>56.846086</v>
      </c>
      <c r="Q7116" s="13">
        <f>IFERROR(__xludf.DUMMYFUNCTION("VALUE(SUBSTITUTE((INDEX(SPLIT(A7116,"",""),2)),""."","","",1))"),35.817474)</f>
        <v>35.817474</v>
      </c>
      <c r="R7116" s="14" t="b">
        <f t="shared" si="1"/>
        <v>0</v>
      </c>
      <c r="S7116" s="14" t="str">
        <f t="shared" si="2"/>
        <v>56.846086,35.817474</v>
      </c>
      <c r="T7116" s="12"/>
    </row>
    <row r="7117">
      <c r="A7117" s="136" t="s">
        <v>45830</v>
      </c>
      <c r="B7117" s="137" t="s">
        <v>45831</v>
      </c>
      <c r="C7117" s="137" t="s">
        <v>45832</v>
      </c>
      <c r="D7117" s="137" t="s">
        <v>33342</v>
      </c>
      <c r="E7117" s="138" t="s">
        <v>45833</v>
      </c>
      <c r="F7117" s="136" t="s">
        <v>5788</v>
      </c>
      <c r="G7117" s="136" t="s">
        <v>33344</v>
      </c>
      <c r="H7117" s="136"/>
      <c r="I7117" s="137"/>
      <c r="J7117" s="137" t="s">
        <v>45834</v>
      </c>
      <c r="K7117" s="137" t="s">
        <v>45835</v>
      </c>
      <c r="L7117" s="137"/>
      <c r="M7117" s="137"/>
      <c r="N7117" s="12"/>
      <c r="O7117" s="12"/>
      <c r="P7117" s="13">
        <f>IFERROR(__xludf.DUMMYFUNCTION("VALUE(SUBSTITUTE((INDEX(SPLIT(A7117,"",""),1)),""."","","",1))"),56.85621)</f>
        <v>56.85621</v>
      </c>
      <c r="Q7117" s="13">
        <f>IFERROR(__xludf.DUMMYFUNCTION("VALUE(SUBSTITUTE((INDEX(SPLIT(A7117,"",""),2)),""."","","",1))"),35.903793)</f>
        <v>35.903793</v>
      </c>
      <c r="R7117" s="14" t="b">
        <f t="shared" si="1"/>
        <v>0</v>
      </c>
      <c r="S7117" s="14" t="str">
        <f t="shared" si="2"/>
        <v>56.85621,35.903793</v>
      </c>
      <c r="T7117" s="12"/>
    </row>
    <row r="7118">
      <c r="A7118" s="139" t="s">
        <v>7259</v>
      </c>
      <c r="B7118" s="140" t="s">
        <v>22664</v>
      </c>
      <c r="C7118" s="140" t="s">
        <v>45836</v>
      </c>
      <c r="D7118" s="140" t="s">
        <v>33342</v>
      </c>
      <c r="E7118" s="141" t="s">
        <v>45837</v>
      </c>
      <c r="F7118" s="139" t="s">
        <v>5788</v>
      </c>
      <c r="G7118" s="139" t="s">
        <v>33344</v>
      </c>
      <c r="H7118" s="139"/>
      <c r="I7118" s="140"/>
      <c r="J7118" s="140" t="s">
        <v>45838</v>
      </c>
      <c r="K7118" s="140" t="s">
        <v>45839</v>
      </c>
      <c r="L7118" s="140"/>
      <c r="M7118" s="140"/>
      <c r="N7118" s="12"/>
      <c r="O7118" s="12"/>
      <c r="P7118" s="13">
        <f>IFERROR(__xludf.DUMMYFUNCTION("VALUE(SUBSTITUTE((INDEX(SPLIT(A7118,"",""),1)),""."","","",1))"),56.823493)</f>
        <v>56.823493</v>
      </c>
      <c r="Q7118" s="13">
        <f>IFERROR(__xludf.DUMMYFUNCTION("VALUE(SUBSTITUTE((INDEX(SPLIT(A7118,"",""),2)),""."","","",1))"),35.880168)</f>
        <v>35.880168</v>
      </c>
      <c r="R7118" s="14" t="b">
        <f t="shared" si="1"/>
        <v>0</v>
      </c>
      <c r="S7118" s="14" t="str">
        <f t="shared" si="2"/>
        <v>56.823493,35.880168</v>
      </c>
      <c r="T7118" s="12"/>
    </row>
    <row r="7119">
      <c r="A7119" s="136" t="s">
        <v>45840</v>
      </c>
      <c r="B7119" s="137" t="s">
        <v>45841</v>
      </c>
      <c r="C7119" s="137" t="s">
        <v>45842</v>
      </c>
      <c r="D7119" s="137" t="s">
        <v>33342</v>
      </c>
      <c r="E7119" s="138" t="s">
        <v>45843</v>
      </c>
      <c r="F7119" s="136" t="s">
        <v>5788</v>
      </c>
      <c r="G7119" s="136" t="s">
        <v>33344</v>
      </c>
      <c r="H7119" s="136"/>
      <c r="I7119" s="137"/>
      <c r="J7119" s="137" t="s">
        <v>45844</v>
      </c>
      <c r="K7119" s="137" t="s">
        <v>45845</v>
      </c>
      <c r="L7119" s="137"/>
      <c r="M7119" s="137"/>
      <c r="N7119" s="12"/>
      <c r="O7119" s="12"/>
      <c r="P7119" s="13">
        <f>IFERROR(__xludf.DUMMYFUNCTION("VALUE(SUBSTITUTE((INDEX(SPLIT(A7119,"",""),1)),""."","","",1))"),56.852027)</f>
        <v>56.852027</v>
      </c>
      <c r="Q7119" s="13">
        <f>IFERROR(__xludf.DUMMYFUNCTION("VALUE(SUBSTITUTE((INDEX(SPLIT(A7119,"",""),2)),""."","","",1))"),35.858932)</f>
        <v>35.858932</v>
      </c>
      <c r="R7119" s="14" t="b">
        <f t="shared" si="1"/>
        <v>0</v>
      </c>
      <c r="S7119" s="14" t="str">
        <f t="shared" si="2"/>
        <v>56.852027,35.858932</v>
      </c>
      <c r="T7119" s="12"/>
    </row>
    <row r="7120">
      <c r="A7120" s="146" t="s">
        <v>45846</v>
      </c>
      <c r="B7120" s="147" t="s">
        <v>45847</v>
      </c>
      <c r="C7120" s="147" t="s">
        <v>45848</v>
      </c>
      <c r="D7120" s="147" t="s">
        <v>33342</v>
      </c>
      <c r="E7120" s="148" t="s">
        <v>45849</v>
      </c>
      <c r="F7120" s="146" t="s">
        <v>5788</v>
      </c>
      <c r="G7120" s="146" t="s">
        <v>33344</v>
      </c>
      <c r="H7120" s="146"/>
      <c r="I7120" s="147"/>
      <c r="J7120" s="147" t="s">
        <v>45850</v>
      </c>
      <c r="K7120" s="147" t="s">
        <v>45851</v>
      </c>
      <c r="L7120" s="149" t="s">
        <v>45852</v>
      </c>
      <c r="M7120" s="147"/>
      <c r="N7120" s="12"/>
      <c r="O7120" s="12"/>
      <c r="P7120" s="13">
        <f>IFERROR(__xludf.DUMMYFUNCTION("VALUE(SUBSTITUTE((INDEX(SPLIT(A7120,"",""),1)),""."","","",1))"),56.874877)</f>
        <v>56.874877</v>
      </c>
      <c r="Q7120" s="13">
        <f>IFERROR(__xludf.DUMMYFUNCTION("VALUE(SUBSTITUTE((INDEX(SPLIT(A7120,"",""),2)),""."","","",1))"),35.903847)</f>
        <v>35.903847</v>
      </c>
      <c r="R7120" s="14" t="b">
        <f t="shared" si="1"/>
        <v>0</v>
      </c>
      <c r="S7120" s="14" t="str">
        <f t="shared" si="2"/>
        <v>56.874877,35.903847</v>
      </c>
      <c r="T7120" s="12"/>
    </row>
    <row r="7121">
      <c r="A7121" s="136" t="s">
        <v>45853</v>
      </c>
      <c r="B7121" s="137" t="s">
        <v>45854</v>
      </c>
      <c r="C7121" s="137" t="s">
        <v>45855</v>
      </c>
      <c r="D7121" s="137" t="s">
        <v>33342</v>
      </c>
      <c r="E7121" s="138" t="s">
        <v>45856</v>
      </c>
      <c r="F7121" s="136" t="s">
        <v>28210</v>
      </c>
      <c r="G7121" s="136" t="s">
        <v>33344</v>
      </c>
      <c r="H7121" s="136"/>
      <c r="I7121" s="137"/>
      <c r="J7121" s="137" t="s">
        <v>45857</v>
      </c>
      <c r="K7121" s="137" t="s">
        <v>45858</v>
      </c>
      <c r="L7121" s="137"/>
      <c r="M7121" s="137"/>
      <c r="N7121" s="12"/>
      <c r="O7121" s="12"/>
      <c r="P7121" s="13">
        <f>IFERROR(__xludf.DUMMYFUNCTION("VALUE(SUBSTITUTE((INDEX(SPLIT(A7121,"",""),1)),""."","","",1))"),56.601421)</f>
        <v>56.601421</v>
      </c>
      <c r="Q7121" s="13">
        <f>IFERROR(__xludf.DUMMYFUNCTION("VALUE(SUBSTITUTE((INDEX(SPLIT(A7121,"",""),2)),""."","","",1))"),85.352124)</f>
        <v>85.352124</v>
      </c>
      <c r="R7121" s="14" t="b">
        <f t="shared" si="1"/>
        <v>0</v>
      </c>
      <c r="S7121" s="14" t="str">
        <f t="shared" si="2"/>
        <v>56.601421,85.352124</v>
      </c>
      <c r="T7121" s="12"/>
    </row>
    <row r="7122">
      <c r="A7122" s="139" t="s">
        <v>45859</v>
      </c>
      <c r="B7122" s="140" t="s">
        <v>45860</v>
      </c>
      <c r="C7122" s="140" t="s">
        <v>45861</v>
      </c>
      <c r="D7122" s="140" t="s">
        <v>33342</v>
      </c>
      <c r="E7122" s="141" t="s">
        <v>45862</v>
      </c>
      <c r="F7122" s="139" t="s">
        <v>28210</v>
      </c>
      <c r="G7122" s="139" t="s">
        <v>33344</v>
      </c>
      <c r="H7122" s="139"/>
      <c r="I7122" s="140"/>
      <c r="J7122" s="140" t="s">
        <v>45863</v>
      </c>
      <c r="K7122" s="140" t="s">
        <v>45864</v>
      </c>
      <c r="L7122" s="140"/>
      <c r="M7122" s="140"/>
      <c r="N7122" s="12"/>
      <c r="O7122" s="12"/>
      <c r="P7122" s="13">
        <f>IFERROR(__xludf.DUMMYFUNCTION("VALUE(SUBSTITUTE((INDEX(SPLIT(A7122,"",""),1)),""."","","",1))"),56.4937)</f>
        <v>56.4937</v>
      </c>
      <c r="Q7122" s="13">
        <f>IFERROR(__xludf.DUMMYFUNCTION("VALUE(SUBSTITUTE((INDEX(SPLIT(A7122,"",""),2)),""."","","",1))"),84.966397)</f>
        <v>84.966397</v>
      </c>
      <c r="R7122" s="14" t="b">
        <f t="shared" si="1"/>
        <v>0</v>
      </c>
      <c r="S7122" s="14" t="str">
        <f t="shared" si="2"/>
        <v>56.4937,84.966397</v>
      </c>
      <c r="T7122" s="12"/>
    </row>
    <row r="7123">
      <c r="A7123" s="136" t="s">
        <v>45865</v>
      </c>
      <c r="B7123" s="137" t="s">
        <v>45866</v>
      </c>
      <c r="C7123" s="137" t="s">
        <v>45867</v>
      </c>
      <c r="D7123" s="137" t="s">
        <v>33342</v>
      </c>
      <c r="E7123" s="138" t="s">
        <v>45868</v>
      </c>
      <c r="F7123" s="136" t="s">
        <v>28210</v>
      </c>
      <c r="G7123" s="136" t="s">
        <v>33344</v>
      </c>
      <c r="H7123" s="136"/>
      <c r="I7123" s="137"/>
      <c r="J7123" s="137" t="s">
        <v>45869</v>
      </c>
      <c r="K7123" s="137" t="s">
        <v>45870</v>
      </c>
      <c r="L7123" s="137"/>
      <c r="M7123" s="153" t="s">
        <v>45871</v>
      </c>
      <c r="N7123" s="12"/>
      <c r="O7123" s="12"/>
      <c r="P7123" s="13">
        <f>IFERROR(__xludf.DUMMYFUNCTION("VALUE(SUBSTITUTE((INDEX(SPLIT(A7123,"",""),1)),""."","","",1))"),56.510507)</f>
        <v>56.510507</v>
      </c>
      <c r="Q7123" s="13">
        <f>IFERROR(__xludf.DUMMYFUNCTION("VALUE(SUBSTITUTE((INDEX(SPLIT(A7123,"",""),2)),""."","","",1))"),84.937749)</f>
        <v>84.937749</v>
      </c>
      <c r="R7123" s="14" t="b">
        <f t="shared" si="1"/>
        <v>0</v>
      </c>
      <c r="S7123" s="14" t="str">
        <f t="shared" si="2"/>
        <v>56.510507,84.937749</v>
      </c>
      <c r="T7123" s="12"/>
    </row>
    <row r="7124">
      <c r="A7124" s="139" t="s">
        <v>45872</v>
      </c>
      <c r="B7124" s="140" t="s">
        <v>45873</v>
      </c>
      <c r="C7124" s="140" t="s">
        <v>45874</v>
      </c>
      <c r="D7124" s="140" t="s">
        <v>33342</v>
      </c>
      <c r="E7124" s="141" t="s">
        <v>45875</v>
      </c>
      <c r="F7124" s="139" t="s">
        <v>28210</v>
      </c>
      <c r="G7124" s="139" t="s">
        <v>33344</v>
      </c>
      <c r="H7124" s="139"/>
      <c r="I7124" s="140"/>
      <c r="J7124" s="140" t="s">
        <v>45876</v>
      </c>
      <c r="K7124" s="140" t="s">
        <v>45877</v>
      </c>
      <c r="L7124" s="140"/>
      <c r="M7124" s="140"/>
      <c r="N7124" s="12"/>
      <c r="O7124" s="12"/>
      <c r="P7124" s="13">
        <f>IFERROR(__xludf.DUMMYFUNCTION("VALUE(SUBSTITUTE((INDEX(SPLIT(A7124,"",""),1)),""."","","",1))"),56.50475)</f>
        <v>56.50475</v>
      </c>
      <c r="Q7124" s="13">
        <f>IFERROR(__xludf.DUMMYFUNCTION("VALUE(SUBSTITUTE((INDEX(SPLIT(A7124,"",""),2)),""."","","",1))"),84.947146)</f>
        <v>84.947146</v>
      </c>
      <c r="R7124" s="14" t="b">
        <f t="shared" si="1"/>
        <v>0</v>
      </c>
      <c r="S7124" s="14" t="str">
        <f t="shared" si="2"/>
        <v>56.50475,84.947146</v>
      </c>
      <c r="T7124" s="12"/>
    </row>
    <row r="7125">
      <c r="A7125" s="136" t="s">
        <v>45878</v>
      </c>
      <c r="B7125" s="137" t="s">
        <v>45879</v>
      </c>
      <c r="C7125" s="137" t="s">
        <v>45880</v>
      </c>
      <c r="D7125" s="137" t="s">
        <v>33342</v>
      </c>
      <c r="E7125" s="138" t="s">
        <v>45881</v>
      </c>
      <c r="F7125" s="136" t="s">
        <v>28210</v>
      </c>
      <c r="G7125" s="136" t="s">
        <v>33344</v>
      </c>
      <c r="H7125" s="136"/>
      <c r="I7125" s="137"/>
      <c r="J7125" s="137" t="s">
        <v>45882</v>
      </c>
      <c r="K7125" s="137" t="s">
        <v>45883</v>
      </c>
      <c r="L7125" s="137"/>
      <c r="M7125" s="137"/>
      <c r="N7125" s="12"/>
      <c r="O7125" s="12"/>
      <c r="P7125" s="13">
        <f>IFERROR(__xludf.DUMMYFUNCTION("VALUE(SUBSTITUTE((INDEX(SPLIT(A7125,"",""),1)),""."","","",1))"),56.477691)</f>
        <v>56.477691</v>
      </c>
      <c r="Q7125" s="13">
        <f>IFERROR(__xludf.DUMMYFUNCTION("VALUE(SUBSTITUTE((INDEX(SPLIT(A7125,"",""),2)),""."","","",1))"),84.955698)</f>
        <v>84.955698</v>
      </c>
      <c r="R7125" s="14" t="b">
        <f t="shared" si="1"/>
        <v>0</v>
      </c>
      <c r="S7125" s="14" t="str">
        <f t="shared" si="2"/>
        <v>56.477691,84.955698</v>
      </c>
      <c r="T7125" s="12"/>
    </row>
    <row r="7126">
      <c r="A7126" s="139" t="s">
        <v>45884</v>
      </c>
      <c r="B7126" s="140" t="s">
        <v>45885</v>
      </c>
      <c r="C7126" s="140" t="s">
        <v>45886</v>
      </c>
      <c r="D7126" s="140" t="s">
        <v>33342</v>
      </c>
      <c r="E7126" s="141" t="s">
        <v>45887</v>
      </c>
      <c r="F7126" s="139" t="s">
        <v>28210</v>
      </c>
      <c r="G7126" s="139" t="s">
        <v>33344</v>
      </c>
      <c r="H7126" s="139"/>
      <c r="I7126" s="140"/>
      <c r="J7126" s="140" t="s">
        <v>45888</v>
      </c>
      <c r="K7126" s="140" t="s">
        <v>45889</v>
      </c>
      <c r="L7126" s="140"/>
      <c r="M7126" s="140"/>
      <c r="N7126" s="12"/>
      <c r="O7126" s="12"/>
      <c r="P7126" s="13">
        <f>IFERROR(__xludf.DUMMYFUNCTION("VALUE(SUBSTITUTE((INDEX(SPLIT(A7126,"",""),1)),""."","","",1))"),56.524983)</f>
        <v>56.524983</v>
      </c>
      <c r="Q7126" s="13">
        <f>IFERROR(__xludf.DUMMYFUNCTION("VALUE(SUBSTITUTE((INDEX(SPLIT(A7126,"",""),2)),""."","","",1))"),85.006363)</f>
        <v>85.006363</v>
      </c>
      <c r="R7126" s="14" t="b">
        <f t="shared" si="1"/>
        <v>0</v>
      </c>
      <c r="S7126" s="14" t="str">
        <f t="shared" si="2"/>
        <v>56.524983,85.006363</v>
      </c>
      <c r="T7126" s="12"/>
    </row>
    <row r="7127">
      <c r="A7127" s="136" t="s">
        <v>45890</v>
      </c>
      <c r="B7127" s="137" t="s">
        <v>45891</v>
      </c>
      <c r="C7127" s="137" t="s">
        <v>45892</v>
      </c>
      <c r="D7127" s="137" t="s">
        <v>33342</v>
      </c>
      <c r="E7127" s="138" t="s">
        <v>45893</v>
      </c>
      <c r="F7127" s="136" t="s">
        <v>28210</v>
      </c>
      <c r="G7127" s="136" t="s">
        <v>33344</v>
      </c>
      <c r="H7127" s="136"/>
      <c r="I7127" s="137"/>
      <c r="J7127" s="137" t="s">
        <v>45894</v>
      </c>
      <c r="K7127" s="137" t="s">
        <v>45895</v>
      </c>
      <c r="L7127" s="137"/>
      <c r="M7127" s="153" t="s">
        <v>45896</v>
      </c>
      <c r="N7127" s="12"/>
      <c r="O7127" s="12"/>
      <c r="P7127" s="13">
        <f>IFERROR(__xludf.DUMMYFUNCTION("VALUE(SUBSTITUTE((INDEX(SPLIT(A7127,"",""),1)),""."","","",1))"),56.475777)</f>
        <v>56.475777</v>
      </c>
      <c r="Q7127" s="13">
        <f>IFERROR(__xludf.DUMMYFUNCTION("VALUE(SUBSTITUTE((INDEX(SPLIT(A7127,"",""),2)),""."","","",1))"),84.997838)</f>
        <v>84.997838</v>
      </c>
      <c r="R7127" s="14" t="b">
        <f t="shared" si="1"/>
        <v>0</v>
      </c>
      <c r="S7127" s="14" t="str">
        <f t="shared" si="2"/>
        <v>56.475777,84.997838</v>
      </c>
      <c r="T7127" s="12"/>
    </row>
    <row r="7128">
      <c r="A7128" s="139" t="s">
        <v>45897</v>
      </c>
      <c r="B7128" s="140" t="s">
        <v>45898</v>
      </c>
      <c r="C7128" s="140" t="s">
        <v>45899</v>
      </c>
      <c r="D7128" s="140" t="s">
        <v>33342</v>
      </c>
      <c r="E7128" s="141" t="s">
        <v>45900</v>
      </c>
      <c r="F7128" s="139" t="s">
        <v>28210</v>
      </c>
      <c r="G7128" s="139" t="s">
        <v>33344</v>
      </c>
      <c r="H7128" s="139"/>
      <c r="I7128" s="140"/>
      <c r="J7128" s="140" t="s">
        <v>45901</v>
      </c>
      <c r="K7128" s="140" t="s">
        <v>45902</v>
      </c>
      <c r="L7128" s="140"/>
      <c r="M7128" s="140"/>
      <c r="N7128" s="12"/>
      <c r="O7128" s="12"/>
      <c r="P7128" s="13">
        <f>IFERROR(__xludf.DUMMYFUNCTION("VALUE(SUBSTITUTE((INDEX(SPLIT(A7128,"",""),1)),""."","","",1))"),56.740433)</f>
        <v>56.740433</v>
      </c>
      <c r="Q7128" s="13">
        <f>IFERROR(__xludf.DUMMYFUNCTION("VALUE(SUBSTITUTE((INDEX(SPLIT(A7128,"",""),2)),""."","","",1))"),84.700118)</f>
        <v>84.700118</v>
      </c>
      <c r="R7128" s="14" t="b">
        <f t="shared" si="1"/>
        <v>0</v>
      </c>
      <c r="S7128" s="14" t="str">
        <f t="shared" si="2"/>
        <v>56.740433,84.700118</v>
      </c>
      <c r="T7128" s="12"/>
    </row>
    <row r="7129">
      <c r="A7129" s="136" t="s">
        <v>45903</v>
      </c>
      <c r="B7129" s="137" t="s">
        <v>45904</v>
      </c>
      <c r="C7129" s="137" t="s">
        <v>45905</v>
      </c>
      <c r="D7129" s="137" t="s">
        <v>33342</v>
      </c>
      <c r="E7129" s="138" t="s">
        <v>45906</v>
      </c>
      <c r="F7129" s="136" t="s">
        <v>6732</v>
      </c>
      <c r="G7129" s="136" t="s">
        <v>33344</v>
      </c>
      <c r="H7129" s="136"/>
      <c r="I7129" s="137"/>
      <c r="J7129" s="137" t="s">
        <v>45907</v>
      </c>
      <c r="K7129" s="137" t="s">
        <v>45908</v>
      </c>
      <c r="L7129" s="137"/>
      <c r="M7129" s="137"/>
      <c r="N7129" s="12"/>
      <c r="O7129" s="12"/>
      <c r="P7129" s="13">
        <f>IFERROR(__xludf.DUMMYFUNCTION("VALUE(SUBSTITUTE((INDEX(SPLIT(A7129,"",""),1)),""."","","",1))"),54.175234)</f>
        <v>54.175234</v>
      </c>
      <c r="Q7129" s="13">
        <f>IFERROR(__xludf.DUMMYFUNCTION("VALUE(SUBSTITUTE((INDEX(SPLIT(A7129,"",""),2)),""."","","",1))"),37.599175)</f>
        <v>37.599175</v>
      </c>
      <c r="R7129" s="14" t="b">
        <f t="shared" si="1"/>
        <v>0</v>
      </c>
      <c r="S7129" s="14" t="str">
        <f t="shared" si="2"/>
        <v>54.175234,37.599175</v>
      </c>
      <c r="T7129" s="12"/>
    </row>
    <row r="7130">
      <c r="A7130" s="139" t="s">
        <v>45909</v>
      </c>
      <c r="B7130" s="140" t="s">
        <v>45910</v>
      </c>
      <c r="C7130" s="140" t="s">
        <v>45911</v>
      </c>
      <c r="D7130" s="140" t="s">
        <v>33342</v>
      </c>
      <c r="E7130" s="141" t="s">
        <v>45912</v>
      </c>
      <c r="F7130" s="139" t="s">
        <v>6732</v>
      </c>
      <c r="G7130" s="139" t="s">
        <v>33344</v>
      </c>
      <c r="H7130" s="139"/>
      <c r="I7130" s="140"/>
      <c r="J7130" s="140" t="s">
        <v>45913</v>
      </c>
      <c r="K7130" s="140" t="s">
        <v>45914</v>
      </c>
      <c r="L7130" s="140"/>
      <c r="M7130" s="154" t="s">
        <v>45915</v>
      </c>
      <c r="N7130" s="12"/>
      <c r="O7130" s="12"/>
      <c r="P7130" s="13">
        <f>IFERROR(__xludf.DUMMYFUNCTION("VALUE(SUBSTITUTE((INDEX(SPLIT(A7130,"",""),1)),""."","","",1))"),54.20819)</f>
        <v>54.20819</v>
      </c>
      <c r="Q7130" s="13">
        <f>IFERROR(__xludf.DUMMYFUNCTION("VALUE(SUBSTITUTE((INDEX(SPLIT(A7130,"",""),2)),""."","","",1))"),37.631038)</f>
        <v>37.631038</v>
      </c>
      <c r="R7130" s="14" t="b">
        <f t="shared" si="1"/>
        <v>0</v>
      </c>
      <c r="S7130" s="14" t="str">
        <f t="shared" si="2"/>
        <v>54.20819,37.631038</v>
      </c>
      <c r="T7130" s="12"/>
    </row>
    <row r="7131">
      <c r="A7131" s="136" t="s">
        <v>45916</v>
      </c>
      <c r="B7131" s="137" t="s">
        <v>45917</v>
      </c>
      <c r="C7131" s="137" t="s">
        <v>45918</v>
      </c>
      <c r="D7131" s="137" t="s">
        <v>33342</v>
      </c>
      <c r="E7131" s="138" t="s">
        <v>45919</v>
      </c>
      <c r="F7131" s="136" t="s">
        <v>6732</v>
      </c>
      <c r="G7131" s="136" t="s">
        <v>33344</v>
      </c>
      <c r="H7131" s="136"/>
      <c r="I7131" s="137"/>
      <c r="J7131" s="137" t="s">
        <v>45920</v>
      </c>
      <c r="K7131" s="137" t="s">
        <v>45921</v>
      </c>
      <c r="L7131" s="137"/>
      <c r="M7131" s="153" t="s">
        <v>45922</v>
      </c>
      <c r="N7131" s="12"/>
      <c r="O7131" s="12"/>
      <c r="P7131" s="13">
        <f>IFERROR(__xludf.DUMMYFUNCTION("VALUE(SUBSTITUTE((INDEX(SPLIT(A7131,"",""),1)),""."","","",1))"),54.225475)</f>
        <v>54.225475</v>
      </c>
      <c r="Q7131" s="13">
        <f>IFERROR(__xludf.DUMMYFUNCTION("VALUE(SUBSTITUTE((INDEX(SPLIT(A7131,"",""),2)),""."","","",1))"),37.658652)</f>
        <v>37.658652</v>
      </c>
      <c r="R7131" s="14" t="b">
        <f t="shared" si="1"/>
        <v>0</v>
      </c>
      <c r="S7131" s="14" t="str">
        <f t="shared" si="2"/>
        <v>54.225475,37.658652</v>
      </c>
      <c r="T7131" s="12"/>
    </row>
    <row r="7132">
      <c r="A7132" s="146" t="s">
        <v>45923</v>
      </c>
      <c r="B7132" s="147" t="s">
        <v>45924</v>
      </c>
      <c r="C7132" s="147" t="s">
        <v>45925</v>
      </c>
      <c r="D7132" s="147" t="s">
        <v>33342</v>
      </c>
      <c r="E7132" s="148" t="s">
        <v>45926</v>
      </c>
      <c r="F7132" s="146" t="s">
        <v>6732</v>
      </c>
      <c r="G7132" s="146" t="s">
        <v>33344</v>
      </c>
      <c r="H7132" s="146"/>
      <c r="I7132" s="147"/>
      <c r="J7132" s="147" t="s">
        <v>45927</v>
      </c>
      <c r="K7132" s="147" t="s">
        <v>45928</v>
      </c>
      <c r="L7132" s="150" t="s">
        <v>45929</v>
      </c>
      <c r="M7132" s="147"/>
      <c r="N7132" s="12"/>
      <c r="O7132" s="12"/>
      <c r="P7132" s="13">
        <f>IFERROR(__xludf.DUMMYFUNCTION("VALUE(SUBSTITUTE((INDEX(SPLIT(A7132,"",""),1)),""."","","",1))"),54.176109)</f>
        <v>54.176109</v>
      </c>
      <c r="Q7132" s="13">
        <f>IFERROR(__xludf.DUMMYFUNCTION("VALUE(SUBSTITUTE((INDEX(SPLIT(A7132,"",""),2)),""."","","",1))"),37.599453)</f>
        <v>37.599453</v>
      </c>
      <c r="R7132" s="14" t="b">
        <f t="shared" si="1"/>
        <v>0</v>
      </c>
      <c r="S7132" s="14" t="str">
        <f t="shared" si="2"/>
        <v>54.176109,37.599453</v>
      </c>
      <c r="T7132" s="12"/>
    </row>
    <row r="7133">
      <c r="A7133" s="136" t="s">
        <v>45930</v>
      </c>
      <c r="B7133" s="137" t="s">
        <v>45931</v>
      </c>
      <c r="C7133" s="137" t="s">
        <v>45932</v>
      </c>
      <c r="D7133" s="137" t="s">
        <v>33342</v>
      </c>
      <c r="E7133" s="138" t="s">
        <v>45933</v>
      </c>
      <c r="F7133" s="136" t="s">
        <v>6732</v>
      </c>
      <c r="G7133" s="136" t="s">
        <v>33344</v>
      </c>
      <c r="H7133" s="136"/>
      <c r="I7133" s="137"/>
      <c r="J7133" s="137" t="s">
        <v>45934</v>
      </c>
      <c r="K7133" s="137" t="s">
        <v>45935</v>
      </c>
      <c r="L7133" s="137"/>
      <c r="M7133" s="137"/>
      <c r="N7133" s="12"/>
      <c r="O7133" s="12"/>
      <c r="P7133" s="13">
        <f>IFERROR(__xludf.DUMMYFUNCTION("VALUE(SUBSTITUTE((INDEX(SPLIT(A7133,"",""),1)),""."","","",1))"),54.210902)</f>
        <v>54.210902</v>
      </c>
      <c r="Q7133" s="13">
        <f>IFERROR(__xludf.DUMMYFUNCTION("VALUE(SUBSTITUTE((INDEX(SPLIT(A7133,"",""),2)),""."","","",1))"),37.633014)</f>
        <v>37.633014</v>
      </c>
      <c r="R7133" s="14" t="b">
        <f t="shared" si="1"/>
        <v>0</v>
      </c>
      <c r="S7133" s="14" t="str">
        <f t="shared" si="2"/>
        <v>54.210902,37.633014</v>
      </c>
      <c r="T7133" s="12"/>
    </row>
    <row r="7134">
      <c r="A7134" s="139" t="s">
        <v>10459</v>
      </c>
      <c r="B7134" s="140" t="s">
        <v>45936</v>
      </c>
      <c r="C7134" s="140" t="s">
        <v>45937</v>
      </c>
      <c r="D7134" s="140" t="s">
        <v>33342</v>
      </c>
      <c r="E7134" s="141" t="s">
        <v>45938</v>
      </c>
      <c r="F7134" s="139" t="s">
        <v>6732</v>
      </c>
      <c r="G7134" s="139" t="s">
        <v>33344</v>
      </c>
      <c r="H7134" s="139"/>
      <c r="I7134" s="140"/>
      <c r="J7134" s="140" t="s">
        <v>45939</v>
      </c>
      <c r="K7134" s="140" t="s">
        <v>45940</v>
      </c>
      <c r="L7134" s="140"/>
      <c r="M7134" s="140"/>
      <c r="N7134" s="12"/>
      <c r="O7134" s="12"/>
      <c r="P7134" s="13">
        <f>IFERROR(__xludf.DUMMYFUNCTION("VALUE(SUBSTITUTE((INDEX(SPLIT(A7134,"",""),1)),""."","","",1))"),54.193122)</f>
        <v>54.193122</v>
      </c>
      <c r="Q7134" s="13">
        <f>IFERROR(__xludf.DUMMYFUNCTION("VALUE(SUBSTITUTE((INDEX(SPLIT(A7134,"",""),2)),""."","","",1))"),37.617348)</f>
        <v>37.617348</v>
      </c>
      <c r="R7134" s="14" t="b">
        <f t="shared" si="1"/>
        <v>0</v>
      </c>
      <c r="S7134" s="14" t="str">
        <f t="shared" si="2"/>
        <v>54.193122,37.617348</v>
      </c>
      <c r="T7134" s="12"/>
    </row>
    <row r="7135">
      <c r="A7135" s="142" t="s">
        <v>45941</v>
      </c>
      <c r="B7135" s="143" t="s">
        <v>45942</v>
      </c>
      <c r="C7135" s="143" t="s">
        <v>45943</v>
      </c>
      <c r="D7135" s="143" t="s">
        <v>33342</v>
      </c>
      <c r="E7135" s="144" t="s">
        <v>45944</v>
      </c>
      <c r="F7135" s="142" t="s">
        <v>6732</v>
      </c>
      <c r="G7135" s="142" t="s">
        <v>33344</v>
      </c>
      <c r="H7135" s="142"/>
      <c r="I7135" s="143"/>
      <c r="J7135" s="143" t="s">
        <v>45945</v>
      </c>
      <c r="K7135" s="143" t="s">
        <v>45946</v>
      </c>
      <c r="L7135" s="145" t="s">
        <v>45947</v>
      </c>
      <c r="M7135" s="143"/>
      <c r="N7135" s="12"/>
      <c r="O7135" s="12"/>
      <c r="P7135" s="13">
        <f>IFERROR(__xludf.DUMMYFUNCTION("VALUE(SUBSTITUTE((INDEX(SPLIT(A7135,"",""),1)),""."","","",1))"),53.142032)</f>
        <v>53.142032</v>
      </c>
      <c r="Q7135" s="13">
        <f>IFERROR(__xludf.DUMMYFUNCTION("VALUE(SUBSTITUTE((INDEX(SPLIT(A7135,"",""),2)),""."","","",1))"),38.099761)</f>
        <v>38.099761</v>
      </c>
      <c r="R7135" s="14" t="b">
        <f t="shared" si="1"/>
        <v>0</v>
      </c>
      <c r="S7135" s="14" t="str">
        <f t="shared" si="2"/>
        <v>53.142032,38.099761</v>
      </c>
      <c r="T7135" s="12"/>
    </row>
    <row r="7136">
      <c r="A7136" s="139" t="s">
        <v>45948</v>
      </c>
      <c r="B7136" s="140" t="s">
        <v>45949</v>
      </c>
      <c r="C7136" s="140" t="s">
        <v>45950</v>
      </c>
      <c r="D7136" s="140" t="s">
        <v>33342</v>
      </c>
      <c r="E7136" s="141" t="s">
        <v>45951</v>
      </c>
      <c r="F7136" s="139" t="s">
        <v>6732</v>
      </c>
      <c r="G7136" s="139" t="s">
        <v>33344</v>
      </c>
      <c r="H7136" s="139"/>
      <c r="I7136" s="140"/>
      <c r="J7136" s="140" t="s">
        <v>45952</v>
      </c>
      <c r="K7136" s="140" t="s">
        <v>45953</v>
      </c>
      <c r="L7136" s="140"/>
      <c r="M7136" s="140"/>
      <c r="N7136" s="12"/>
      <c r="O7136" s="12"/>
      <c r="P7136" s="13">
        <f>IFERROR(__xludf.DUMMYFUNCTION("VALUE(SUBSTITUTE((INDEX(SPLIT(A7136,"",""),1)),""."","","",1))"),54.189624)</f>
        <v>54.189624</v>
      </c>
      <c r="Q7136" s="13">
        <f>IFERROR(__xludf.DUMMYFUNCTION("VALUE(SUBSTITUTE((INDEX(SPLIT(A7136,"",""),2)),""."","","",1))"),37.599786)</f>
        <v>37.599786</v>
      </c>
      <c r="R7136" s="14" t="b">
        <f t="shared" si="1"/>
        <v>0</v>
      </c>
      <c r="S7136" s="14" t="str">
        <f t="shared" si="2"/>
        <v>54.189624,37.599786</v>
      </c>
      <c r="T7136" s="12"/>
    </row>
    <row r="7137">
      <c r="A7137" s="142" t="s">
        <v>45954</v>
      </c>
      <c r="B7137" s="143" t="s">
        <v>45955</v>
      </c>
      <c r="C7137" s="143" t="s">
        <v>45956</v>
      </c>
      <c r="D7137" s="143" t="s">
        <v>33342</v>
      </c>
      <c r="E7137" s="144" t="s">
        <v>45957</v>
      </c>
      <c r="F7137" s="142" t="s">
        <v>6732</v>
      </c>
      <c r="G7137" s="142" t="s">
        <v>33344</v>
      </c>
      <c r="H7137" s="142"/>
      <c r="I7137" s="155" t="s">
        <v>45958</v>
      </c>
      <c r="J7137" s="143" t="s">
        <v>45959</v>
      </c>
      <c r="K7137" s="143" t="s">
        <v>45960</v>
      </c>
      <c r="L7137" s="145" t="s">
        <v>45961</v>
      </c>
      <c r="M7137" s="143"/>
      <c r="N7137" s="12"/>
      <c r="O7137" s="12"/>
      <c r="P7137" s="13">
        <f>IFERROR(__xludf.DUMMYFUNCTION("VALUE(SUBSTITUTE((INDEX(SPLIT(A7137,"",""),1)),""."","","",1))"),54.157634)</f>
        <v>54.157634</v>
      </c>
      <c r="Q7137" s="13">
        <f>IFERROR(__xludf.DUMMYFUNCTION("VALUE(SUBSTITUTE((INDEX(SPLIT(A7137,"",""),2)),""."","","",1))"),37.633616)</f>
        <v>37.633616</v>
      </c>
      <c r="R7137" s="14" t="b">
        <f t="shared" si="1"/>
        <v>0</v>
      </c>
      <c r="S7137" s="14" t="str">
        <f t="shared" si="2"/>
        <v>54.157634,37.633616</v>
      </c>
      <c r="T7137" s="12"/>
    </row>
    <row r="7138">
      <c r="A7138" s="146" t="s">
        <v>45962</v>
      </c>
      <c r="B7138" s="147" t="s">
        <v>45963</v>
      </c>
      <c r="C7138" s="147" t="s">
        <v>45964</v>
      </c>
      <c r="D7138" s="147" t="s">
        <v>33342</v>
      </c>
      <c r="E7138" s="148" t="s">
        <v>45965</v>
      </c>
      <c r="F7138" s="146" t="s">
        <v>6732</v>
      </c>
      <c r="G7138" s="146" t="s">
        <v>33344</v>
      </c>
      <c r="H7138" s="146"/>
      <c r="I7138" s="147"/>
      <c r="J7138" s="147" t="s">
        <v>45966</v>
      </c>
      <c r="K7138" s="147" t="s">
        <v>45967</v>
      </c>
      <c r="L7138" s="149" t="s">
        <v>45968</v>
      </c>
      <c r="M7138" s="149" t="s">
        <v>45969</v>
      </c>
      <c r="N7138" s="12"/>
      <c r="O7138" s="12"/>
      <c r="P7138" s="13">
        <f>IFERROR(__xludf.DUMMYFUNCTION("VALUE(SUBSTITUTE((INDEX(SPLIT(A7138,"",""),1)),""."","","",1))"),54.180767)</f>
        <v>54.180767</v>
      </c>
      <c r="Q7138" s="13">
        <f>IFERROR(__xludf.DUMMYFUNCTION("VALUE(SUBSTITUTE((INDEX(SPLIT(A7138,"",""),2)),""."","","",1))"),37.628685)</f>
        <v>37.628685</v>
      </c>
      <c r="R7138" s="14" t="b">
        <f t="shared" si="1"/>
        <v>0</v>
      </c>
      <c r="S7138" s="14" t="str">
        <f t="shared" si="2"/>
        <v>54.180767,37.628685</v>
      </c>
      <c r="T7138" s="12"/>
    </row>
    <row r="7139">
      <c r="A7139" s="142" t="s">
        <v>45970</v>
      </c>
      <c r="B7139" s="143" t="s">
        <v>45971</v>
      </c>
      <c r="C7139" s="143" t="s">
        <v>45972</v>
      </c>
      <c r="D7139" s="143" t="s">
        <v>33342</v>
      </c>
      <c r="E7139" s="144" t="s">
        <v>45973</v>
      </c>
      <c r="F7139" s="142" t="s">
        <v>6732</v>
      </c>
      <c r="G7139" s="142" t="s">
        <v>33344</v>
      </c>
      <c r="H7139" s="142"/>
      <c r="I7139" s="143"/>
      <c r="J7139" s="143" t="s">
        <v>45974</v>
      </c>
      <c r="K7139" s="143" t="s">
        <v>45975</v>
      </c>
      <c r="L7139" s="145" t="s">
        <v>45976</v>
      </c>
      <c r="M7139" s="143"/>
      <c r="N7139" s="12"/>
      <c r="O7139" s="12"/>
      <c r="P7139" s="13">
        <f>IFERROR(__xludf.DUMMYFUNCTION("VALUE(SUBSTITUTE((INDEX(SPLIT(A7139,"",""),1)),""."","","",1))"),54.505864)</f>
        <v>54.505864</v>
      </c>
      <c r="Q7139" s="13">
        <f>IFERROR(__xludf.DUMMYFUNCTION("VALUE(SUBSTITUTE((INDEX(SPLIT(A7139,"",""),2)),""."","","",1))"),37.144142)</f>
        <v>37.144142</v>
      </c>
      <c r="R7139" s="14" t="b">
        <f t="shared" si="1"/>
        <v>0</v>
      </c>
      <c r="S7139" s="14" t="str">
        <f t="shared" si="2"/>
        <v>54.505864,37.144142</v>
      </c>
      <c r="T7139" s="12"/>
    </row>
    <row r="7140">
      <c r="A7140" s="146" t="s">
        <v>45977</v>
      </c>
      <c r="B7140" s="147" t="s">
        <v>45978</v>
      </c>
      <c r="C7140" s="147" t="s">
        <v>45979</v>
      </c>
      <c r="D7140" s="147" t="s">
        <v>33342</v>
      </c>
      <c r="E7140" s="148" t="s">
        <v>45980</v>
      </c>
      <c r="F7140" s="146" t="s">
        <v>6732</v>
      </c>
      <c r="G7140" s="146" t="s">
        <v>33344</v>
      </c>
      <c r="H7140" s="146"/>
      <c r="I7140" s="147"/>
      <c r="J7140" s="147" t="s">
        <v>45981</v>
      </c>
      <c r="K7140" s="147" t="s">
        <v>45982</v>
      </c>
      <c r="L7140" s="149" t="s">
        <v>45983</v>
      </c>
      <c r="M7140" s="149" t="s">
        <v>45984</v>
      </c>
      <c r="N7140" s="12"/>
      <c r="O7140" s="12"/>
      <c r="P7140" s="13">
        <f>IFERROR(__xludf.DUMMYFUNCTION("VALUE(SUBSTITUTE((INDEX(SPLIT(A7140,"",""),1)),""."","","",1))"),53.766548)</f>
        <v>53.766548</v>
      </c>
      <c r="Q7140" s="13">
        <f>IFERROR(__xludf.DUMMYFUNCTION("VALUE(SUBSTITUTE((INDEX(SPLIT(A7140,"",""),2)),""."","","",1))"),38.147965)</f>
        <v>38.147965</v>
      </c>
      <c r="R7140" s="14" t="b">
        <f t="shared" si="1"/>
        <v>0</v>
      </c>
      <c r="S7140" s="14" t="str">
        <f t="shared" si="2"/>
        <v>53.766548,38.147965</v>
      </c>
      <c r="T7140" s="12"/>
    </row>
    <row r="7141">
      <c r="A7141" s="142" t="s">
        <v>45985</v>
      </c>
      <c r="B7141" s="143" t="s">
        <v>45986</v>
      </c>
      <c r="C7141" s="143" t="s">
        <v>45987</v>
      </c>
      <c r="D7141" s="143" t="s">
        <v>33342</v>
      </c>
      <c r="E7141" s="144" t="s">
        <v>45988</v>
      </c>
      <c r="F7141" s="142" t="s">
        <v>6732</v>
      </c>
      <c r="G7141" s="142" t="s">
        <v>33344</v>
      </c>
      <c r="H7141" s="142"/>
      <c r="I7141" s="143"/>
      <c r="J7141" s="143" t="s">
        <v>45989</v>
      </c>
      <c r="K7141" s="143" t="s">
        <v>45990</v>
      </c>
      <c r="L7141" s="145" t="s">
        <v>45991</v>
      </c>
      <c r="M7141" s="143"/>
      <c r="N7141" s="12"/>
      <c r="O7141" s="12"/>
      <c r="P7141" s="13">
        <f>IFERROR(__xludf.DUMMYFUNCTION("VALUE(SUBSTITUTE((INDEX(SPLIT(A7141,"",""),1)),""."","","",1))"),53.158871)</f>
        <v>53.158871</v>
      </c>
      <c r="Q7141" s="13">
        <f>IFERROR(__xludf.DUMMYFUNCTION("VALUE(SUBSTITUTE((INDEX(SPLIT(A7141,"",""),2)),""."","","",1))"),38.111556)</f>
        <v>38.111556</v>
      </c>
      <c r="R7141" s="14" t="b">
        <f t="shared" si="1"/>
        <v>0</v>
      </c>
      <c r="S7141" s="14" t="str">
        <f t="shared" si="2"/>
        <v>53.158871,38.111556</v>
      </c>
      <c r="T7141" s="12"/>
    </row>
    <row r="7142">
      <c r="A7142" s="139" t="s">
        <v>45992</v>
      </c>
      <c r="B7142" s="140" t="s">
        <v>45993</v>
      </c>
      <c r="C7142" s="140" t="s">
        <v>45994</v>
      </c>
      <c r="D7142" s="140" t="s">
        <v>33342</v>
      </c>
      <c r="E7142" s="141" t="s">
        <v>45995</v>
      </c>
      <c r="F7142" s="139" t="s">
        <v>6732</v>
      </c>
      <c r="G7142" s="139" t="s">
        <v>33344</v>
      </c>
      <c r="H7142" s="139"/>
      <c r="I7142" s="140"/>
      <c r="J7142" s="140" t="s">
        <v>45996</v>
      </c>
      <c r="K7142" s="140" t="s">
        <v>45997</v>
      </c>
      <c r="L7142" s="140"/>
      <c r="M7142" s="154" t="s">
        <v>45998</v>
      </c>
      <c r="N7142" s="12"/>
      <c r="O7142" s="12"/>
      <c r="P7142" s="13">
        <f>IFERROR(__xludf.DUMMYFUNCTION("VALUE(SUBSTITUTE((INDEX(SPLIT(A7142,"",""),1)),""."","","",1))"),53.139893)</f>
        <v>53.139893</v>
      </c>
      <c r="Q7142" s="13">
        <f>IFERROR(__xludf.DUMMYFUNCTION("VALUE(SUBSTITUTE((INDEX(SPLIT(A7142,"",""),2)),""."","","",1))"),38.117323)</f>
        <v>38.117323</v>
      </c>
      <c r="R7142" s="14" t="b">
        <f t="shared" si="1"/>
        <v>0</v>
      </c>
      <c r="S7142" s="14" t="str">
        <f t="shared" si="2"/>
        <v>53.139893,38.117323</v>
      </c>
      <c r="T7142" s="12"/>
    </row>
    <row r="7143">
      <c r="A7143" s="142" t="s">
        <v>45999</v>
      </c>
      <c r="B7143" s="143" t="s">
        <v>18748</v>
      </c>
      <c r="C7143" s="143" t="s">
        <v>46000</v>
      </c>
      <c r="D7143" s="143" t="s">
        <v>33342</v>
      </c>
      <c r="E7143" s="144" t="s">
        <v>46001</v>
      </c>
      <c r="F7143" s="142" t="s">
        <v>6732</v>
      </c>
      <c r="G7143" s="142" t="s">
        <v>33344</v>
      </c>
      <c r="H7143" s="142"/>
      <c r="I7143" s="143"/>
      <c r="J7143" s="143" t="s">
        <v>46002</v>
      </c>
      <c r="K7143" s="143" t="s">
        <v>46003</v>
      </c>
      <c r="L7143" s="145" t="s">
        <v>46004</v>
      </c>
      <c r="M7143" s="143"/>
      <c r="N7143" s="12"/>
      <c r="O7143" s="12"/>
      <c r="P7143" s="13">
        <f>IFERROR(__xludf.DUMMYFUNCTION("VALUE(SUBSTITUTE((INDEX(SPLIT(A7143,"",""),1)),""."","","",1))"),54.005591)</f>
        <v>54.005591</v>
      </c>
      <c r="Q7143" s="13">
        <f>IFERROR(__xludf.DUMMYFUNCTION("VALUE(SUBSTITUTE((INDEX(SPLIT(A7143,"",""),2)),""."","","",1))"),38.309976)</f>
        <v>38.309976</v>
      </c>
      <c r="R7143" s="14" t="b">
        <f t="shared" si="1"/>
        <v>0</v>
      </c>
      <c r="S7143" s="14" t="str">
        <f t="shared" si="2"/>
        <v>54.005591,38.309976</v>
      </c>
      <c r="T7143" s="12"/>
    </row>
    <row r="7144">
      <c r="A7144" s="146" t="s">
        <v>46005</v>
      </c>
      <c r="B7144" s="147" t="s">
        <v>46006</v>
      </c>
      <c r="C7144" s="147" t="s">
        <v>46007</v>
      </c>
      <c r="D7144" s="147" t="s">
        <v>33342</v>
      </c>
      <c r="E7144" s="148" t="s">
        <v>46008</v>
      </c>
      <c r="F7144" s="146" t="s">
        <v>6732</v>
      </c>
      <c r="G7144" s="146" t="s">
        <v>33344</v>
      </c>
      <c r="H7144" s="146"/>
      <c r="I7144" s="147"/>
      <c r="J7144" s="147" t="s">
        <v>46009</v>
      </c>
      <c r="K7144" s="147" t="s">
        <v>46010</v>
      </c>
      <c r="L7144" s="149" t="s">
        <v>46011</v>
      </c>
      <c r="M7144" s="147"/>
      <c r="N7144" s="12"/>
      <c r="O7144" s="12"/>
      <c r="P7144" s="13">
        <f>IFERROR(__xludf.DUMMYFUNCTION("VALUE(SUBSTITUTE((INDEX(SPLIT(A7144,"",""),1)),""."","","",1))"),54.07944)</f>
        <v>54.07944</v>
      </c>
      <c r="Q7144" s="13">
        <f>IFERROR(__xludf.DUMMYFUNCTION("VALUE(SUBSTITUTE((INDEX(SPLIT(A7144,"",""),2)),""."","","",1))"),38.207298)</f>
        <v>38.207298</v>
      </c>
      <c r="R7144" s="14" t="b">
        <f t="shared" si="1"/>
        <v>0</v>
      </c>
      <c r="S7144" s="14" t="str">
        <f t="shared" si="2"/>
        <v>54.07944,38.207298</v>
      </c>
      <c r="T7144" s="12"/>
    </row>
    <row r="7145">
      <c r="A7145" s="136" t="s">
        <v>46012</v>
      </c>
      <c r="B7145" s="137" t="s">
        <v>46013</v>
      </c>
      <c r="C7145" s="137" t="s">
        <v>46014</v>
      </c>
      <c r="D7145" s="137" t="s">
        <v>33342</v>
      </c>
      <c r="E7145" s="138" t="s">
        <v>46015</v>
      </c>
      <c r="F7145" s="136" t="s">
        <v>6732</v>
      </c>
      <c r="G7145" s="136" t="s">
        <v>33344</v>
      </c>
      <c r="H7145" s="136"/>
      <c r="I7145" s="137"/>
      <c r="J7145" s="137" t="s">
        <v>46016</v>
      </c>
      <c r="K7145" s="137" t="s">
        <v>46017</v>
      </c>
      <c r="L7145" s="137"/>
      <c r="M7145" s="137"/>
      <c r="N7145" s="12"/>
      <c r="O7145" s="12"/>
      <c r="P7145" s="13">
        <f>IFERROR(__xludf.DUMMYFUNCTION("VALUE(SUBSTITUTE((INDEX(SPLIT(A7145,"",""),1)),""."","","",1))"),54.007104)</f>
        <v>54.007104</v>
      </c>
      <c r="Q7145" s="13">
        <f>IFERROR(__xludf.DUMMYFUNCTION("VALUE(SUBSTITUTE((INDEX(SPLIT(A7145,"",""),2)),""."","","",1))"),38.28679)</f>
        <v>38.28679</v>
      </c>
      <c r="R7145" s="14" t="b">
        <f t="shared" si="1"/>
        <v>0</v>
      </c>
      <c r="S7145" s="14" t="str">
        <f t="shared" si="2"/>
        <v>54.007104,38.28679</v>
      </c>
      <c r="T7145" s="12"/>
    </row>
    <row r="7146">
      <c r="A7146" s="139" t="s">
        <v>46018</v>
      </c>
      <c r="B7146" s="140" t="s">
        <v>46019</v>
      </c>
      <c r="C7146" s="140" t="s">
        <v>46020</v>
      </c>
      <c r="D7146" s="140" t="s">
        <v>33342</v>
      </c>
      <c r="E7146" s="141" t="s">
        <v>46021</v>
      </c>
      <c r="F7146" s="139" t="s">
        <v>6732</v>
      </c>
      <c r="G7146" s="139" t="s">
        <v>33344</v>
      </c>
      <c r="H7146" s="139"/>
      <c r="I7146" s="140"/>
      <c r="J7146" s="140" t="s">
        <v>46022</v>
      </c>
      <c r="K7146" s="140" t="s">
        <v>46023</v>
      </c>
      <c r="L7146" s="140"/>
      <c r="M7146" s="140"/>
      <c r="N7146" s="12"/>
      <c r="O7146" s="12"/>
      <c r="P7146" s="13">
        <f>IFERROR(__xludf.DUMMYFUNCTION("VALUE(SUBSTITUTE((INDEX(SPLIT(A7146,"",""),1)),""."","","",1))"),54.007967)</f>
        <v>54.007967</v>
      </c>
      <c r="Q7146" s="13">
        <f>IFERROR(__xludf.DUMMYFUNCTION("VALUE(SUBSTITUTE((INDEX(SPLIT(A7146,"",""),2)),""."","","",1))"),38.254253)</f>
        <v>38.254253</v>
      </c>
      <c r="R7146" s="14" t="b">
        <f t="shared" si="1"/>
        <v>0</v>
      </c>
      <c r="S7146" s="14" t="str">
        <f t="shared" si="2"/>
        <v>54.007967,38.254253</v>
      </c>
      <c r="T7146" s="12"/>
    </row>
    <row r="7147">
      <c r="A7147" s="142" t="s">
        <v>46024</v>
      </c>
      <c r="B7147" s="143" t="s">
        <v>46025</v>
      </c>
      <c r="C7147" s="143" t="s">
        <v>46026</v>
      </c>
      <c r="D7147" s="143" t="s">
        <v>33342</v>
      </c>
      <c r="E7147" s="144" t="s">
        <v>46027</v>
      </c>
      <c r="F7147" s="142" t="s">
        <v>6732</v>
      </c>
      <c r="G7147" s="142" t="s">
        <v>33344</v>
      </c>
      <c r="H7147" s="142"/>
      <c r="I7147" s="143"/>
      <c r="J7147" s="143" t="s">
        <v>46028</v>
      </c>
      <c r="K7147" s="143" t="s">
        <v>46029</v>
      </c>
      <c r="L7147" s="145" t="s">
        <v>46030</v>
      </c>
      <c r="M7147" s="145" t="s">
        <v>46031</v>
      </c>
      <c r="N7147" s="12"/>
      <c r="O7147" s="12"/>
      <c r="P7147" s="13">
        <f>IFERROR(__xludf.DUMMYFUNCTION("VALUE(SUBSTITUTE((INDEX(SPLIT(A7147,"",""),1)),""."","","",1))"),54.048009)</f>
        <v>54.048009</v>
      </c>
      <c r="Q7147" s="13">
        <f>IFERROR(__xludf.DUMMYFUNCTION("VALUE(SUBSTITUTE((INDEX(SPLIT(A7147,"",""),2)),""."","","",1))"),38.260317)</f>
        <v>38.260317</v>
      </c>
      <c r="R7147" s="14" t="b">
        <f t="shared" si="1"/>
        <v>0</v>
      </c>
      <c r="S7147" s="14" t="str">
        <f t="shared" si="2"/>
        <v>54.048009,38.260317</v>
      </c>
      <c r="T7147" s="12"/>
    </row>
    <row r="7148">
      <c r="A7148" s="139" t="s">
        <v>46032</v>
      </c>
      <c r="B7148" s="140" t="s">
        <v>30645</v>
      </c>
      <c r="C7148" s="140" t="s">
        <v>46033</v>
      </c>
      <c r="D7148" s="140" t="s">
        <v>33342</v>
      </c>
      <c r="E7148" s="141" t="s">
        <v>46034</v>
      </c>
      <c r="F7148" s="139" t="s">
        <v>6732</v>
      </c>
      <c r="G7148" s="139" t="s">
        <v>33344</v>
      </c>
      <c r="H7148" s="139"/>
      <c r="I7148" s="140"/>
      <c r="J7148" s="140" t="s">
        <v>46035</v>
      </c>
      <c r="K7148" s="140" t="s">
        <v>46036</v>
      </c>
      <c r="L7148" s="140"/>
      <c r="M7148" s="140"/>
      <c r="N7148" s="12"/>
      <c r="O7148" s="12"/>
      <c r="P7148" s="13">
        <f>IFERROR(__xludf.DUMMYFUNCTION("VALUE(SUBSTITUTE((INDEX(SPLIT(A7148,"",""),1)),""."","","",1))"),54.163607)</f>
        <v>54.163607</v>
      </c>
      <c r="Q7148" s="13">
        <f>IFERROR(__xludf.DUMMYFUNCTION("VALUE(SUBSTITUTE((INDEX(SPLIT(A7148,"",""),2)),""."","","",1))"),37.594531)</f>
        <v>37.594531</v>
      </c>
      <c r="R7148" s="14" t="b">
        <f t="shared" si="1"/>
        <v>0</v>
      </c>
      <c r="S7148" s="14" t="str">
        <f t="shared" si="2"/>
        <v>54.163607,37.594531</v>
      </c>
      <c r="T7148" s="12"/>
    </row>
    <row r="7149">
      <c r="A7149" s="136" t="s">
        <v>46037</v>
      </c>
      <c r="B7149" s="137" t="s">
        <v>46038</v>
      </c>
      <c r="C7149" s="137" t="s">
        <v>46039</v>
      </c>
      <c r="D7149" s="137" t="s">
        <v>33342</v>
      </c>
      <c r="E7149" s="138" t="s">
        <v>46040</v>
      </c>
      <c r="F7149" s="136" t="s">
        <v>6732</v>
      </c>
      <c r="G7149" s="136" t="s">
        <v>33344</v>
      </c>
      <c r="H7149" s="136"/>
      <c r="I7149" s="137"/>
      <c r="J7149" s="137" t="s">
        <v>46041</v>
      </c>
      <c r="K7149" s="137" t="s">
        <v>46042</v>
      </c>
      <c r="L7149" s="137"/>
      <c r="M7149" s="137"/>
      <c r="N7149" s="12"/>
      <c r="O7149" s="12"/>
      <c r="P7149" s="13">
        <f>IFERROR(__xludf.DUMMYFUNCTION("VALUE(SUBSTITUTE((INDEX(SPLIT(A7149,"",""),1)),""."","","",1))"),54.736816)</f>
        <v>54.736816</v>
      </c>
      <c r="Q7149" s="13">
        <f>IFERROR(__xludf.DUMMYFUNCTION("VALUE(SUBSTITUTE((INDEX(SPLIT(A7149,"",""),2)),""."","","",1))"),37.395805)</f>
        <v>37.395805</v>
      </c>
      <c r="R7149" s="14" t="b">
        <f t="shared" si="1"/>
        <v>0</v>
      </c>
      <c r="S7149" s="14" t="str">
        <f t="shared" si="2"/>
        <v>54.736816,37.395805</v>
      </c>
      <c r="T7149" s="12"/>
    </row>
    <row r="7150">
      <c r="A7150" s="139" t="s">
        <v>46043</v>
      </c>
      <c r="B7150" s="140" t="s">
        <v>46044</v>
      </c>
      <c r="C7150" s="140" t="s">
        <v>46045</v>
      </c>
      <c r="D7150" s="140" t="s">
        <v>33342</v>
      </c>
      <c r="E7150" s="141" t="s">
        <v>46046</v>
      </c>
      <c r="F7150" s="139" t="s">
        <v>18995</v>
      </c>
      <c r="G7150" s="139" t="s">
        <v>33344</v>
      </c>
      <c r="H7150" s="139"/>
      <c r="I7150" s="140"/>
      <c r="J7150" s="140" t="s">
        <v>46047</v>
      </c>
      <c r="K7150" s="140" t="s">
        <v>46048</v>
      </c>
      <c r="L7150" s="140"/>
      <c r="M7150" s="154" t="s">
        <v>46049</v>
      </c>
      <c r="N7150" s="12"/>
      <c r="O7150" s="12"/>
      <c r="P7150" s="13">
        <f>IFERROR(__xludf.DUMMYFUNCTION("VALUE(SUBSTITUTE((INDEX(SPLIT(A7150,"",""),1)),""."","","",1))"),57.113008)</f>
        <v>57.113008</v>
      </c>
      <c r="Q7150" s="13">
        <f>IFERROR(__xludf.DUMMYFUNCTION("VALUE(SUBSTITUTE((INDEX(SPLIT(A7150,"",""),2)),""."","","",1))"),65.631346)</f>
        <v>65.631346</v>
      </c>
      <c r="R7150" s="14" t="b">
        <f t="shared" si="1"/>
        <v>0</v>
      </c>
      <c r="S7150" s="14" t="str">
        <f t="shared" si="2"/>
        <v>57.113008,65.631346</v>
      </c>
      <c r="T7150" s="12"/>
    </row>
    <row r="7151">
      <c r="A7151" s="136" t="s">
        <v>46050</v>
      </c>
      <c r="B7151" s="137" t="s">
        <v>46051</v>
      </c>
      <c r="C7151" s="137" t="s">
        <v>46052</v>
      </c>
      <c r="D7151" s="137" t="s">
        <v>33342</v>
      </c>
      <c r="E7151" s="138" t="s">
        <v>46053</v>
      </c>
      <c r="F7151" s="136" t="s">
        <v>18995</v>
      </c>
      <c r="G7151" s="136" t="s">
        <v>33344</v>
      </c>
      <c r="H7151" s="136"/>
      <c r="I7151" s="137"/>
      <c r="J7151" s="137" t="s">
        <v>46054</v>
      </c>
      <c r="K7151" s="137" t="s">
        <v>46055</v>
      </c>
      <c r="L7151" s="137"/>
      <c r="M7151" s="137"/>
      <c r="N7151" s="12"/>
      <c r="O7151" s="12"/>
      <c r="P7151" s="13">
        <f>IFERROR(__xludf.DUMMYFUNCTION("VALUE(SUBSTITUTE((INDEX(SPLIT(A7151,"",""),1)),""."","","",1))"),60.940258)</f>
        <v>60.940258</v>
      </c>
      <c r="Q7151" s="13">
        <f>IFERROR(__xludf.DUMMYFUNCTION("VALUE(SUBSTITUTE((INDEX(SPLIT(A7151,"",""),2)),""."","","",1))"),76.609289)</f>
        <v>76.609289</v>
      </c>
      <c r="R7151" s="14" t="b">
        <f t="shared" si="1"/>
        <v>0</v>
      </c>
      <c r="S7151" s="14" t="str">
        <f t="shared" si="2"/>
        <v>60.940258,76.609289</v>
      </c>
      <c r="T7151" s="12"/>
    </row>
    <row r="7152">
      <c r="A7152" s="146" t="s">
        <v>46056</v>
      </c>
      <c r="B7152" s="147" t="s">
        <v>46057</v>
      </c>
      <c r="C7152" s="147" t="s">
        <v>46058</v>
      </c>
      <c r="D7152" s="147" t="s">
        <v>33342</v>
      </c>
      <c r="E7152" s="148" t="s">
        <v>46059</v>
      </c>
      <c r="F7152" s="146" t="s">
        <v>18995</v>
      </c>
      <c r="G7152" s="146" t="s">
        <v>33344</v>
      </c>
      <c r="H7152" s="146"/>
      <c r="I7152" s="147"/>
      <c r="J7152" s="147" t="s">
        <v>46060</v>
      </c>
      <c r="K7152" s="147" t="s">
        <v>46061</v>
      </c>
      <c r="L7152" s="149" t="s">
        <v>46062</v>
      </c>
      <c r="M7152" s="149" t="s">
        <v>46063</v>
      </c>
      <c r="N7152" s="12"/>
      <c r="O7152" s="12"/>
      <c r="P7152" s="13">
        <f>IFERROR(__xludf.DUMMYFUNCTION("VALUE(SUBSTITUTE((INDEX(SPLIT(A7152,"",""),1)),""."","","",1))"),57.108257)</f>
        <v>57.108257</v>
      </c>
      <c r="Q7152" s="13">
        <f>IFERROR(__xludf.DUMMYFUNCTION("VALUE(SUBSTITUTE((INDEX(SPLIT(A7152,"",""),2)),""."","","",1))"),65.5692)</f>
        <v>65.5692</v>
      </c>
      <c r="R7152" s="14" t="b">
        <f t="shared" si="1"/>
        <v>0</v>
      </c>
      <c r="S7152" s="14" t="str">
        <f t="shared" si="2"/>
        <v>57.108257,65.5692</v>
      </c>
      <c r="T7152" s="12"/>
    </row>
    <row r="7153">
      <c r="A7153" s="142" t="s">
        <v>46064</v>
      </c>
      <c r="B7153" s="143" t="s">
        <v>46065</v>
      </c>
      <c r="C7153" s="143" t="s">
        <v>46066</v>
      </c>
      <c r="D7153" s="143" t="s">
        <v>33342</v>
      </c>
      <c r="E7153" s="144" t="s">
        <v>46067</v>
      </c>
      <c r="F7153" s="142" t="s">
        <v>18995</v>
      </c>
      <c r="G7153" s="142" t="s">
        <v>33344</v>
      </c>
      <c r="H7153" s="142"/>
      <c r="I7153" s="143"/>
      <c r="J7153" s="143" t="s">
        <v>46068</v>
      </c>
      <c r="K7153" s="143" t="s">
        <v>46069</v>
      </c>
      <c r="L7153" s="145" t="s">
        <v>46070</v>
      </c>
      <c r="M7153" s="143"/>
      <c r="N7153" s="12"/>
      <c r="O7153" s="12"/>
      <c r="P7153" s="13">
        <f>IFERROR(__xludf.DUMMYFUNCTION("VALUE(SUBSTITUTE((INDEX(SPLIT(A7153,"",""),1)),""."","","",1))"),57.148459)</f>
        <v>57.148459</v>
      </c>
      <c r="Q7153" s="13">
        <f>IFERROR(__xludf.DUMMYFUNCTION("VALUE(SUBSTITUTE((INDEX(SPLIT(A7153,"",""),2)),""."","","",1))"),65.562131)</f>
        <v>65.562131</v>
      </c>
      <c r="R7153" s="14" t="b">
        <f t="shared" si="1"/>
        <v>0</v>
      </c>
      <c r="S7153" s="14" t="str">
        <f t="shared" si="2"/>
        <v>57.148459,65.562131</v>
      </c>
      <c r="T7153" s="12"/>
    </row>
    <row r="7154">
      <c r="A7154" s="146" t="s">
        <v>46071</v>
      </c>
      <c r="B7154" s="147" t="s">
        <v>46072</v>
      </c>
      <c r="C7154" s="147" t="s">
        <v>46073</v>
      </c>
      <c r="D7154" s="147" t="s">
        <v>33342</v>
      </c>
      <c r="E7154" s="148" t="s">
        <v>46074</v>
      </c>
      <c r="F7154" s="146" t="s">
        <v>18995</v>
      </c>
      <c r="G7154" s="146" t="s">
        <v>33344</v>
      </c>
      <c r="H7154" s="146"/>
      <c r="I7154" s="147"/>
      <c r="J7154" s="147" t="s">
        <v>46075</v>
      </c>
      <c r="K7154" s="147" t="s">
        <v>46076</v>
      </c>
      <c r="L7154" s="149" t="s">
        <v>46077</v>
      </c>
      <c r="M7154" s="149" t="s">
        <v>46078</v>
      </c>
      <c r="N7154" s="12"/>
      <c r="O7154" s="12"/>
      <c r="P7154" s="13">
        <f>IFERROR(__xludf.DUMMYFUNCTION("VALUE(SUBSTITUTE((INDEX(SPLIT(A7154,"",""),1)),""."","","",1))"),57.150753)</f>
        <v>57.150753</v>
      </c>
      <c r="Q7154" s="13">
        <f>IFERROR(__xludf.DUMMYFUNCTION("VALUE(SUBSTITUTE((INDEX(SPLIT(A7154,"",""),2)),""."","","",1))"),65.583933)</f>
        <v>65.583933</v>
      </c>
      <c r="R7154" s="14" t="b">
        <f t="shared" si="1"/>
        <v>0</v>
      </c>
      <c r="S7154" s="14" t="str">
        <f t="shared" si="2"/>
        <v>57.150753,65.583933</v>
      </c>
      <c r="T7154" s="12"/>
    </row>
    <row r="7155">
      <c r="A7155" s="142" t="s">
        <v>46079</v>
      </c>
      <c r="B7155" s="143" t="s">
        <v>46080</v>
      </c>
      <c r="C7155" s="143" t="s">
        <v>46081</v>
      </c>
      <c r="D7155" s="143" t="s">
        <v>33342</v>
      </c>
      <c r="E7155" s="144" t="s">
        <v>46082</v>
      </c>
      <c r="F7155" s="142" t="s">
        <v>18995</v>
      </c>
      <c r="G7155" s="142" t="s">
        <v>33344</v>
      </c>
      <c r="H7155" s="142"/>
      <c r="I7155" s="143"/>
      <c r="J7155" s="143" t="s">
        <v>46083</v>
      </c>
      <c r="K7155" s="143" t="s">
        <v>46084</v>
      </c>
      <c r="L7155" s="145" t="s">
        <v>46085</v>
      </c>
      <c r="M7155" s="143"/>
      <c r="N7155" s="12"/>
      <c r="O7155" s="12"/>
      <c r="P7155" s="13">
        <f>IFERROR(__xludf.DUMMYFUNCTION("VALUE(SUBSTITUTE((INDEX(SPLIT(A7155,"",""),1)),""."","","",1))"),57.18508)</f>
        <v>57.18508</v>
      </c>
      <c r="Q7155" s="13">
        <f>IFERROR(__xludf.DUMMYFUNCTION("VALUE(SUBSTITUTE((INDEX(SPLIT(A7155,"",""),2)),""."","","",1))"),65.595305)</f>
        <v>65.595305</v>
      </c>
      <c r="R7155" s="14" t="b">
        <f t="shared" si="1"/>
        <v>0</v>
      </c>
      <c r="S7155" s="14" t="str">
        <f t="shared" si="2"/>
        <v>57.18508,65.595305</v>
      </c>
      <c r="T7155" s="12"/>
    </row>
    <row r="7156">
      <c r="A7156" s="146" t="s">
        <v>46086</v>
      </c>
      <c r="B7156" s="147" t="s">
        <v>46087</v>
      </c>
      <c r="C7156" s="147" t="s">
        <v>46088</v>
      </c>
      <c r="D7156" s="147" t="s">
        <v>33342</v>
      </c>
      <c r="E7156" s="148" t="s">
        <v>46089</v>
      </c>
      <c r="F7156" s="146" t="s">
        <v>18995</v>
      </c>
      <c r="G7156" s="146" t="s">
        <v>33344</v>
      </c>
      <c r="H7156" s="146"/>
      <c r="I7156" s="147"/>
      <c r="J7156" s="147" t="s">
        <v>46090</v>
      </c>
      <c r="K7156" s="147" t="s">
        <v>46091</v>
      </c>
      <c r="L7156" s="150" t="s">
        <v>46092</v>
      </c>
      <c r="M7156" s="147"/>
      <c r="N7156" s="12"/>
      <c r="O7156" s="12"/>
      <c r="P7156" s="13">
        <f>IFERROR(__xludf.DUMMYFUNCTION("VALUE(SUBSTITUTE((INDEX(SPLIT(A7156,"",""),1)),""."","","",1))"),57.118315)</f>
        <v>57.118315</v>
      </c>
      <c r="Q7156" s="13">
        <f>IFERROR(__xludf.DUMMYFUNCTION("VALUE(SUBSTITUTE((INDEX(SPLIT(A7156,"",""),2)),""."","","",1))"),65.602393)</f>
        <v>65.602393</v>
      </c>
      <c r="R7156" s="14" t="b">
        <f t="shared" si="1"/>
        <v>0</v>
      </c>
      <c r="S7156" s="14" t="str">
        <f t="shared" si="2"/>
        <v>57.118315,65.602393</v>
      </c>
      <c r="T7156" s="12"/>
    </row>
    <row r="7157">
      <c r="A7157" s="142" t="s">
        <v>46093</v>
      </c>
      <c r="B7157" s="143" t="s">
        <v>46094</v>
      </c>
      <c r="C7157" s="143" t="s">
        <v>46095</v>
      </c>
      <c r="D7157" s="143" t="s">
        <v>33342</v>
      </c>
      <c r="E7157" s="144" t="s">
        <v>46096</v>
      </c>
      <c r="F7157" s="142" t="s">
        <v>18995</v>
      </c>
      <c r="G7157" s="142" t="s">
        <v>33344</v>
      </c>
      <c r="H7157" s="142"/>
      <c r="I7157" s="143"/>
      <c r="J7157" s="143" t="s">
        <v>46097</v>
      </c>
      <c r="K7157" s="143" t="s">
        <v>46098</v>
      </c>
      <c r="L7157" s="145" t="s">
        <v>46099</v>
      </c>
      <c r="M7157" s="143"/>
      <c r="N7157" s="12"/>
      <c r="O7157" s="12"/>
      <c r="P7157" s="13">
        <f>IFERROR(__xludf.DUMMYFUNCTION("VALUE(SUBSTITUTE((INDEX(SPLIT(A7157,"",""),1)),""."","","",1))"),57.149665)</f>
        <v>57.149665</v>
      </c>
      <c r="Q7157" s="13">
        <f>IFERROR(__xludf.DUMMYFUNCTION("VALUE(SUBSTITUTE((INDEX(SPLIT(A7157,"",""),2)),""."","","",1))"),65.532271)</f>
        <v>65.532271</v>
      </c>
      <c r="R7157" s="14" t="b">
        <f t="shared" si="1"/>
        <v>0</v>
      </c>
      <c r="S7157" s="14" t="str">
        <f t="shared" si="2"/>
        <v>57.149665,65.532271</v>
      </c>
      <c r="T7157" s="12"/>
    </row>
    <row r="7158">
      <c r="A7158" s="146" t="s">
        <v>46100</v>
      </c>
      <c r="B7158" s="147" t="s">
        <v>46101</v>
      </c>
      <c r="C7158" s="147" t="s">
        <v>46102</v>
      </c>
      <c r="D7158" s="147" t="s">
        <v>33342</v>
      </c>
      <c r="E7158" s="148" t="s">
        <v>46103</v>
      </c>
      <c r="F7158" s="146" t="s">
        <v>18995</v>
      </c>
      <c r="G7158" s="146" t="s">
        <v>33344</v>
      </c>
      <c r="H7158" s="146"/>
      <c r="I7158" s="147"/>
      <c r="J7158" s="147" t="s">
        <v>46104</v>
      </c>
      <c r="K7158" s="147" t="s">
        <v>35139</v>
      </c>
      <c r="L7158" s="149" t="s">
        <v>46105</v>
      </c>
      <c r="M7158" s="149" t="s">
        <v>46106</v>
      </c>
      <c r="N7158" s="12"/>
      <c r="O7158" s="12"/>
      <c r="P7158" s="13">
        <f>IFERROR(__xludf.DUMMYFUNCTION("VALUE(SUBSTITUTE((INDEX(SPLIT(A7158,"",""),1)),""."","","",1))"),57.116101)</f>
        <v>57.116101</v>
      </c>
      <c r="Q7158" s="13">
        <f>IFERROR(__xludf.DUMMYFUNCTION("VALUE(SUBSTITUTE((INDEX(SPLIT(A7158,"",""),2)),""."","","",1))"),65.606687)</f>
        <v>65.606687</v>
      </c>
      <c r="R7158" s="14" t="b">
        <f t="shared" si="1"/>
        <v>0</v>
      </c>
      <c r="S7158" s="14" t="str">
        <f t="shared" si="2"/>
        <v>57.116101,65.606687</v>
      </c>
      <c r="T7158" s="12"/>
    </row>
    <row r="7159">
      <c r="A7159" s="142" t="s">
        <v>46107</v>
      </c>
      <c r="B7159" s="143" t="s">
        <v>46108</v>
      </c>
      <c r="C7159" s="143" t="s">
        <v>46109</v>
      </c>
      <c r="D7159" s="143" t="s">
        <v>33342</v>
      </c>
      <c r="E7159" s="144" t="s">
        <v>46110</v>
      </c>
      <c r="F7159" s="142" t="s">
        <v>18995</v>
      </c>
      <c r="G7159" s="142" t="s">
        <v>33344</v>
      </c>
      <c r="H7159" s="142"/>
      <c r="I7159" s="143"/>
      <c r="J7159" s="143" t="s">
        <v>46111</v>
      </c>
      <c r="K7159" s="143" t="s">
        <v>46112</v>
      </c>
      <c r="L7159" s="145" t="s">
        <v>46113</v>
      </c>
      <c r="M7159" s="143"/>
      <c r="N7159" s="12"/>
      <c r="O7159" s="12"/>
      <c r="P7159" s="13">
        <f>IFERROR(__xludf.DUMMYFUNCTION("VALUE(SUBSTITUTE((INDEX(SPLIT(A7159,"",""),1)),""."","","",1))"),47.136283)</f>
        <v>47.136283</v>
      </c>
      <c r="Q7159" s="13">
        <f>IFERROR(__xludf.DUMMYFUNCTION("VALUE(SUBSTITUTE((INDEX(SPLIT(A7159,"",""),2)),""."","","",1))"),52.6914)</f>
        <v>52.6914</v>
      </c>
      <c r="R7159" s="14" t="b">
        <f t="shared" si="1"/>
        <v>0</v>
      </c>
      <c r="S7159" s="14" t="str">
        <f t="shared" si="2"/>
        <v>47.136283,52.6914</v>
      </c>
      <c r="T7159" s="12"/>
    </row>
    <row r="7160">
      <c r="A7160" s="146" t="s">
        <v>26607</v>
      </c>
      <c r="B7160" s="147" t="s">
        <v>46114</v>
      </c>
      <c r="C7160" s="147" t="s">
        <v>46115</v>
      </c>
      <c r="D7160" s="147" t="s">
        <v>33342</v>
      </c>
      <c r="E7160" s="148" t="s">
        <v>46116</v>
      </c>
      <c r="F7160" s="146" t="s">
        <v>18995</v>
      </c>
      <c r="G7160" s="146" t="s">
        <v>33344</v>
      </c>
      <c r="H7160" s="146"/>
      <c r="I7160" s="147"/>
      <c r="J7160" s="147" t="s">
        <v>46117</v>
      </c>
      <c r="K7160" s="147" t="s">
        <v>46118</v>
      </c>
      <c r="L7160" s="149" t="s">
        <v>46119</v>
      </c>
      <c r="M7160" s="147"/>
      <c r="N7160" s="12"/>
      <c r="O7160" s="12"/>
      <c r="P7160" s="13">
        <f>IFERROR(__xludf.DUMMYFUNCTION("VALUE(SUBSTITUTE((INDEX(SPLIT(A7160,"",""),1)),""."","","",1))"),57.095067)</f>
        <v>57.095067</v>
      </c>
      <c r="Q7160" s="13">
        <f>IFERROR(__xludf.DUMMYFUNCTION("VALUE(SUBSTITUTE((INDEX(SPLIT(A7160,"",""),2)),""."","","",1))"),65.478489)</f>
        <v>65.478489</v>
      </c>
      <c r="R7160" s="14" t="b">
        <f t="shared" si="1"/>
        <v>0</v>
      </c>
      <c r="S7160" s="14" t="str">
        <f t="shared" si="2"/>
        <v>57.095067,65.478489</v>
      </c>
      <c r="T7160" s="12"/>
    </row>
    <row r="7161">
      <c r="A7161" s="136" t="s">
        <v>46120</v>
      </c>
      <c r="B7161" s="137" t="s">
        <v>46121</v>
      </c>
      <c r="C7161" s="137" t="s">
        <v>46122</v>
      </c>
      <c r="D7161" s="137" t="s">
        <v>33342</v>
      </c>
      <c r="E7161" s="138" t="s">
        <v>46123</v>
      </c>
      <c r="F7161" s="136" t="s">
        <v>18995</v>
      </c>
      <c r="G7161" s="136" t="s">
        <v>33344</v>
      </c>
      <c r="H7161" s="136"/>
      <c r="I7161" s="137"/>
      <c r="J7161" s="137" t="s">
        <v>46124</v>
      </c>
      <c r="K7161" s="137" t="s">
        <v>46125</v>
      </c>
      <c r="L7161" s="137"/>
      <c r="M7161" s="137"/>
      <c r="N7161" s="12"/>
      <c r="O7161" s="12"/>
      <c r="P7161" s="13">
        <f>IFERROR(__xludf.DUMMYFUNCTION("VALUE(SUBSTITUTE((INDEX(SPLIT(A7161,"",""),1)),""."","","",1))"),57.112324)</f>
        <v>57.112324</v>
      </c>
      <c r="Q7161" s="13">
        <f>IFERROR(__xludf.DUMMYFUNCTION("VALUE(SUBSTITUTE((INDEX(SPLIT(A7161,"",""),2)),""."","","",1))"),65.590059)</f>
        <v>65.590059</v>
      </c>
      <c r="R7161" s="14" t="b">
        <f t="shared" si="1"/>
        <v>0</v>
      </c>
      <c r="S7161" s="14" t="str">
        <f t="shared" si="2"/>
        <v>57.112324,65.590059</v>
      </c>
      <c r="T7161" s="12"/>
    </row>
    <row r="7162">
      <c r="A7162" s="146" t="s">
        <v>46126</v>
      </c>
      <c r="B7162" s="147" t="s">
        <v>18860</v>
      </c>
      <c r="C7162" s="147" t="s">
        <v>46127</v>
      </c>
      <c r="D7162" s="147" t="s">
        <v>33342</v>
      </c>
      <c r="E7162" s="148" t="s">
        <v>46128</v>
      </c>
      <c r="F7162" s="146" t="s">
        <v>18995</v>
      </c>
      <c r="G7162" s="146" t="s">
        <v>33344</v>
      </c>
      <c r="H7162" s="146"/>
      <c r="I7162" s="147"/>
      <c r="J7162" s="147" t="s">
        <v>46129</v>
      </c>
      <c r="K7162" s="147" t="s">
        <v>46130</v>
      </c>
      <c r="L7162" s="149" t="s">
        <v>46131</v>
      </c>
      <c r="M7162" s="149" t="s">
        <v>46132</v>
      </c>
      <c r="N7162" s="12"/>
      <c r="O7162" s="12"/>
      <c r="P7162" s="13">
        <f>IFERROR(__xludf.DUMMYFUNCTION("VALUE(SUBSTITUTE((INDEX(SPLIT(A7162,"",""),1)),""."","","",1))"),57.104865)</f>
        <v>57.104865</v>
      </c>
      <c r="Q7162" s="13">
        <f>IFERROR(__xludf.DUMMYFUNCTION("VALUE(SUBSTITUTE((INDEX(SPLIT(A7162,"",""),2)),""."","","",1))"),65.588918)</f>
        <v>65.588918</v>
      </c>
      <c r="R7162" s="14" t="b">
        <f t="shared" si="1"/>
        <v>0</v>
      </c>
      <c r="S7162" s="14" t="str">
        <f t="shared" si="2"/>
        <v>57.104865,65.588918</v>
      </c>
      <c r="T7162" s="12"/>
    </row>
    <row r="7163">
      <c r="A7163" s="142" t="s">
        <v>46133</v>
      </c>
      <c r="B7163" s="143" t="s">
        <v>46134</v>
      </c>
      <c r="C7163" s="143" t="s">
        <v>46135</v>
      </c>
      <c r="D7163" s="143" t="s">
        <v>33342</v>
      </c>
      <c r="E7163" s="144" t="s">
        <v>46136</v>
      </c>
      <c r="F7163" s="142" t="s">
        <v>18995</v>
      </c>
      <c r="G7163" s="142" t="s">
        <v>33344</v>
      </c>
      <c r="H7163" s="142"/>
      <c r="I7163" s="143"/>
      <c r="J7163" s="143" t="s">
        <v>46137</v>
      </c>
      <c r="K7163" s="143" t="s">
        <v>28560</v>
      </c>
      <c r="L7163" s="145" t="s">
        <v>46138</v>
      </c>
      <c r="M7163" s="145" t="s">
        <v>46139</v>
      </c>
      <c r="N7163" s="12"/>
      <c r="O7163" s="12"/>
      <c r="P7163" s="13">
        <f>IFERROR(__xludf.DUMMYFUNCTION("VALUE(SUBSTITUTE((INDEX(SPLIT(A7163,"",""),1)),""."","","",1))"),57.139605)</f>
        <v>57.139605</v>
      </c>
      <c r="Q7163" s="13">
        <f>IFERROR(__xludf.DUMMYFUNCTION("VALUE(SUBSTITUTE((INDEX(SPLIT(A7163,"",""),2)),""."","","",1))"),65.59394)</f>
        <v>65.59394</v>
      </c>
      <c r="R7163" s="14" t="b">
        <f t="shared" si="1"/>
        <v>0</v>
      </c>
      <c r="S7163" s="14" t="str">
        <f t="shared" si="2"/>
        <v>57.139605,65.59394</v>
      </c>
      <c r="T7163" s="12"/>
    </row>
    <row r="7164">
      <c r="A7164" s="146" t="s">
        <v>46140</v>
      </c>
      <c r="B7164" s="147" t="s">
        <v>46141</v>
      </c>
      <c r="C7164" s="147" t="s">
        <v>46142</v>
      </c>
      <c r="D7164" s="147" t="s">
        <v>33342</v>
      </c>
      <c r="E7164" s="148" t="s">
        <v>46143</v>
      </c>
      <c r="F7164" s="146" t="s">
        <v>18995</v>
      </c>
      <c r="G7164" s="146" t="s">
        <v>33344</v>
      </c>
      <c r="H7164" s="146"/>
      <c r="I7164" s="147"/>
      <c r="J7164" s="147" t="s">
        <v>46144</v>
      </c>
      <c r="K7164" s="147" t="s">
        <v>46055</v>
      </c>
      <c r="L7164" s="149" t="s">
        <v>46145</v>
      </c>
      <c r="M7164" s="147"/>
      <c r="N7164" s="12"/>
      <c r="O7164" s="12"/>
      <c r="P7164" s="13">
        <f>IFERROR(__xludf.DUMMYFUNCTION("VALUE(SUBSTITUTE((INDEX(SPLIT(A7164,"",""),1)),""."","","",1))"),57.156182)</f>
        <v>57.156182</v>
      </c>
      <c r="Q7164" s="13">
        <f>IFERROR(__xludf.DUMMYFUNCTION("VALUE(SUBSTITUTE((INDEX(SPLIT(A7164,"",""),2)),""."","","",1))"),65.54588)</f>
        <v>65.54588</v>
      </c>
      <c r="R7164" s="14" t="b">
        <f t="shared" si="1"/>
        <v>0</v>
      </c>
      <c r="S7164" s="14" t="str">
        <f t="shared" si="2"/>
        <v>57.156182,65.54588</v>
      </c>
      <c r="T7164" s="12"/>
    </row>
    <row r="7165">
      <c r="A7165" s="136" t="s">
        <v>46146</v>
      </c>
      <c r="B7165" s="137" t="s">
        <v>46147</v>
      </c>
      <c r="C7165" s="137" t="s">
        <v>46148</v>
      </c>
      <c r="D7165" s="137" t="s">
        <v>33342</v>
      </c>
      <c r="E7165" s="138" t="s">
        <v>46149</v>
      </c>
      <c r="F7165" s="136" t="s">
        <v>18995</v>
      </c>
      <c r="G7165" s="136" t="s">
        <v>33344</v>
      </c>
      <c r="H7165" s="136"/>
      <c r="I7165" s="137"/>
      <c r="J7165" s="137" t="s">
        <v>46150</v>
      </c>
      <c r="K7165" s="137" t="s">
        <v>46151</v>
      </c>
      <c r="L7165" s="137"/>
      <c r="M7165" s="153" t="s">
        <v>46152</v>
      </c>
      <c r="N7165" s="12"/>
      <c r="O7165" s="12"/>
      <c r="P7165" s="13">
        <f>IFERROR(__xludf.DUMMYFUNCTION("VALUE(SUBSTITUTE((INDEX(SPLIT(A7165,"",""),1)),""."","","",1))"),57.110862)</f>
        <v>57.110862</v>
      </c>
      <c r="Q7165" s="13">
        <f>IFERROR(__xludf.DUMMYFUNCTION("VALUE(SUBSTITUTE((INDEX(SPLIT(A7165,"",""),2)),""."","","",1))"),65.578139)</f>
        <v>65.578139</v>
      </c>
      <c r="R7165" s="14" t="b">
        <f t="shared" si="1"/>
        <v>0</v>
      </c>
      <c r="S7165" s="14" t="str">
        <f t="shared" si="2"/>
        <v>57.110862,65.578139</v>
      </c>
      <c r="T7165" s="12"/>
    </row>
    <row r="7166">
      <c r="A7166" s="139" t="s">
        <v>46153</v>
      </c>
      <c r="B7166" s="140" t="s">
        <v>11937</v>
      </c>
      <c r="C7166" s="140" t="s">
        <v>46154</v>
      </c>
      <c r="D7166" s="140" t="s">
        <v>33342</v>
      </c>
      <c r="E7166" s="141" t="s">
        <v>46155</v>
      </c>
      <c r="F7166" s="139" t="s">
        <v>18995</v>
      </c>
      <c r="G7166" s="139" t="s">
        <v>33344</v>
      </c>
      <c r="H7166" s="139"/>
      <c r="I7166" s="140"/>
      <c r="J7166" s="140" t="s">
        <v>46156</v>
      </c>
      <c r="K7166" s="140" t="s">
        <v>46157</v>
      </c>
      <c r="L7166" s="140"/>
      <c r="M7166" s="154" t="s">
        <v>46158</v>
      </c>
      <c r="N7166" s="12"/>
      <c r="O7166" s="12"/>
      <c r="P7166" s="13">
        <f>IFERROR(__xludf.DUMMYFUNCTION("VALUE(SUBSTITUTE((INDEX(SPLIT(A7166,"",""),1)),""."","","",1))"),57.157085)</f>
        <v>57.157085</v>
      </c>
      <c r="Q7166" s="13">
        <f>IFERROR(__xludf.DUMMYFUNCTION("VALUE(SUBSTITUTE((INDEX(SPLIT(A7166,"",""),2)),""."","","",1))"),65.365957)</f>
        <v>65.365957</v>
      </c>
      <c r="R7166" s="14" t="b">
        <f t="shared" si="1"/>
        <v>0</v>
      </c>
      <c r="S7166" s="14" t="str">
        <f t="shared" si="2"/>
        <v>57.157085,65.365957</v>
      </c>
      <c r="T7166" s="12"/>
    </row>
    <row r="7167">
      <c r="A7167" s="136" t="s">
        <v>46159</v>
      </c>
      <c r="B7167" s="137" t="s">
        <v>46160</v>
      </c>
      <c r="C7167" s="137" t="s">
        <v>46161</v>
      </c>
      <c r="D7167" s="137" t="s">
        <v>33342</v>
      </c>
      <c r="E7167" s="138" t="s">
        <v>46162</v>
      </c>
      <c r="F7167" s="136" t="s">
        <v>18995</v>
      </c>
      <c r="G7167" s="136" t="s">
        <v>33344</v>
      </c>
      <c r="H7167" s="136"/>
      <c r="I7167" s="137"/>
      <c r="J7167" s="137" t="s">
        <v>46163</v>
      </c>
      <c r="K7167" s="137" t="s">
        <v>46164</v>
      </c>
      <c r="L7167" s="137"/>
      <c r="M7167" s="153" t="s">
        <v>46165</v>
      </c>
      <c r="N7167" s="12"/>
      <c r="O7167" s="12"/>
      <c r="P7167" s="13">
        <f>IFERROR(__xludf.DUMMYFUNCTION("VALUE(SUBSTITUTE((INDEX(SPLIT(A7167,"",""),1)),""."","","",1))"),57.144928)</f>
        <v>57.144928</v>
      </c>
      <c r="Q7167" s="13">
        <f>IFERROR(__xludf.DUMMYFUNCTION("VALUE(SUBSTITUTE((INDEX(SPLIT(A7167,"",""),2)),""."","","",1))"),65.545233)</f>
        <v>65.545233</v>
      </c>
      <c r="R7167" s="14" t="b">
        <f t="shared" si="1"/>
        <v>0</v>
      </c>
      <c r="S7167" s="14" t="str">
        <f t="shared" si="2"/>
        <v>57.144928,65.545233</v>
      </c>
      <c r="T7167" s="12"/>
    </row>
    <row r="7168">
      <c r="A7168" s="139" t="s">
        <v>46166</v>
      </c>
      <c r="B7168" s="140" t="s">
        <v>46167</v>
      </c>
      <c r="C7168" s="140" t="s">
        <v>46168</v>
      </c>
      <c r="D7168" s="140" t="s">
        <v>33342</v>
      </c>
      <c r="E7168" s="141" t="s">
        <v>46169</v>
      </c>
      <c r="F7168" s="139" t="s">
        <v>18995</v>
      </c>
      <c r="G7168" s="139" t="s">
        <v>33344</v>
      </c>
      <c r="H7168" s="139"/>
      <c r="I7168" s="140"/>
      <c r="J7168" s="140" t="s">
        <v>46170</v>
      </c>
      <c r="K7168" s="140" t="s">
        <v>35193</v>
      </c>
      <c r="L7168" s="140"/>
      <c r="M7168" s="140"/>
      <c r="N7168" s="12"/>
      <c r="O7168" s="12"/>
      <c r="P7168" s="13">
        <f>IFERROR(__xludf.DUMMYFUNCTION("VALUE(SUBSTITUTE((INDEX(SPLIT(A7168,"",""),1)),""."","","",1))"),57.129015)</f>
        <v>57.129015</v>
      </c>
      <c r="Q7168" s="13">
        <f>IFERROR(__xludf.DUMMYFUNCTION("VALUE(SUBSTITUTE((INDEX(SPLIT(A7168,"",""),2)),""."","","",1))"),65.618823)</f>
        <v>65.618823</v>
      </c>
      <c r="R7168" s="14" t="b">
        <f t="shared" si="1"/>
        <v>0</v>
      </c>
      <c r="S7168" s="14" t="str">
        <f t="shared" si="2"/>
        <v>57.129015,65.618823</v>
      </c>
      <c r="T7168" s="12"/>
    </row>
    <row r="7169">
      <c r="A7169" s="136" t="s">
        <v>46171</v>
      </c>
      <c r="B7169" s="137" t="s">
        <v>46172</v>
      </c>
      <c r="C7169" s="137" t="s">
        <v>46173</v>
      </c>
      <c r="D7169" s="137" t="s">
        <v>33342</v>
      </c>
      <c r="E7169" s="138" t="s">
        <v>46174</v>
      </c>
      <c r="F7169" s="136" t="s">
        <v>18995</v>
      </c>
      <c r="G7169" s="136" t="s">
        <v>33344</v>
      </c>
      <c r="H7169" s="136"/>
      <c r="I7169" s="137"/>
      <c r="J7169" s="137" t="s">
        <v>46175</v>
      </c>
      <c r="K7169" s="137" t="s">
        <v>46176</v>
      </c>
      <c r="L7169" s="137"/>
      <c r="M7169" s="137"/>
      <c r="N7169" s="12"/>
      <c r="O7169" s="12"/>
      <c r="P7169" s="13">
        <f>IFERROR(__xludf.DUMMYFUNCTION("VALUE(SUBSTITUTE((INDEX(SPLIT(A7169,"",""),1)),""."","","",1))"),57.135014)</f>
        <v>57.135014</v>
      </c>
      <c r="Q7169" s="13">
        <f>IFERROR(__xludf.DUMMYFUNCTION("VALUE(SUBSTITUTE((INDEX(SPLIT(A7169,"",""),2)),""."","","",1))"),65.5571)</f>
        <v>65.5571</v>
      </c>
      <c r="R7169" s="14" t="b">
        <f t="shared" si="1"/>
        <v>0</v>
      </c>
      <c r="S7169" s="14" t="str">
        <f t="shared" si="2"/>
        <v>57.135014,65.5571</v>
      </c>
      <c r="T7169" s="12"/>
    </row>
    <row r="7170">
      <c r="A7170" s="139" t="s">
        <v>46177</v>
      </c>
      <c r="B7170" s="140" t="s">
        <v>35129</v>
      </c>
      <c r="C7170" s="140" t="s">
        <v>35130</v>
      </c>
      <c r="D7170" s="140" t="s">
        <v>33342</v>
      </c>
      <c r="E7170" s="141" t="s">
        <v>46178</v>
      </c>
      <c r="F7170" s="139" t="s">
        <v>18995</v>
      </c>
      <c r="G7170" s="139" t="s">
        <v>33344</v>
      </c>
      <c r="H7170" s="139"/>
      <c r="I7170" s="140"/>
      <c r="J7170" s="140" t="s">
        <v>46179</v>
      </c>
      <c r="K7170" s="140" t="s">
        <v>46180</v>
      </c>
      <c r="L7170" s="140"/>
      <c r="M7170" s="140"/>
      <c r="N7170" s="12"/>
      <c r="O7170" s="12"/>
      <c r="P7170" s="13">
        <f>IFERROR(__xludf.DUMMYFUNCTION("VALUE(SUBSTITUTE((INDEX(SPLIT(A7170,"",""),1)),""."","","",1))"),56.101328)</f>
        <v>56.101328</v>
      </c>
      <c r="Q7170" s="13">
        <f>IFERROR(__xludf.DUMMYFUNCTION("VALUE(SUBSTITUTE((INDEX(SPLIT(A7170,"",""),2)),""."","","",1))"),69.401377)</f>
        <v>69.401377</v>
      </c>
      <c r="R7170" s="14" t="b">
        <f t="shared" si="1"/>
        <v>0</v>
      </c>
      <c r="S7170" s="14" t="str">
        <f t="shared" si="2"/>
        <v>56.101328,69.401377</v>
      </c>
      <c r="T7170" s="12"/>
    </row>
    <row r="7171">
      <c r="A7171" s="142" t="s">
        <v>46181</v>
      </c>
      <c r="B7171" s="143" t="s">
        <v>46182</v>
      </c>
      <c r="C7171" s="143" t="s">
        <v>46183</v>
      </c>
      <c r="D7171" s="143" t="s">
        <v>33342</v>
      </c>
      <c r="E7171" s="144" t="s">
        <v>46184</v>
      </c>
      <c r="F7171" s="142" t="s">
        <v>18995</v>
      </c>
      <c r="G7171" s="142" t="s">
        <v>33344</v>
      </c>
      <c r="H7171" s="142"/>
      <c r="I7171" s="143"/>
      <c r="J7171" s="143" t="s">
        <v>46185</v>
      </c>
      <c r="K7171" s="143" t="s">
        <v>46186</v>
      </c>
      <c r="L7171" s="145" t="s">
        <v>46187</v>
      </c>
      <c r="M7171" s="143"/>
      <c r="N7171" s="12"/>
      <c r="O7171" s="12"/>
      <c r="P7171" s="13">
        <f>IFERROR(__xludf.DUMMYFUNCTION("VALUE(SUBSTITUTE((INDEX(SPLIT(A7171,"",""),1)),""."","","",1))"),58.280655)</f>
        <v>58.280655</v>
      </c>
      <c r="Q7171" s="13">
        <f>IFERROR(__xludf.DUMMYFUNCTION("VALUE(SUBSTITUTE((INDEX(SPLIT(A7171,"",""),2)),""."","","",1))"),68.261856)</f>
        <v>68.261856</v>
      </c>
      <c r="R7171" s="14" t="b">
        <f t="shared" si="1"/>
        <v>0</v>
      </c>
      <c r="S7171" s="14" t="str">
        <f t="shared" si="2"/>
        <v>58.280655,68.261856</v>
      </c>
      <c r="T7171" s="12"/>
    </row>
    <row r="7172">
      <c r="A7172" s="139" t="s">
        <v>46188</v>
      </c>
      <c r="B7172" s="140" t="s">
        <v>46189</v>
      </c>
      <c r="C7172" s="140" t="s">
        <v>46190</v>
      </c>
      <c r="D7172" s="140" t="s">
        <v>33342</v>
      </c>
      <c r="E7172" s="141" t="s">
        <v>46191</v>
      </c>
      <c r="F7172" s="139" t="s">
        <v>18995</v>
      </c>
      <c r="G7172" s="139" t="s">
        <v>33344</v>
      </c>
      <c r="H7172" s="139"/>
      <c r="I7172" s="140"/>
      <c r="J7172" s="140" t="s">
        <v>46192</v>
      </c>
      <c r="K7172" s="140" t="s">
        <v>46193</v>
      </c>
      <c r="L7172" s="140"/>
      <c r="M7172" s="154" t="s">
        <v>46194</v>
      </c>
      <c r="N7172" s="12"/>
      <c r="O7172" s="12"/>
      <c r="P7172" s="13">
        <f>IFERROR(__xludf.DUMMYFUNCTION("VALUE(SUBSTITUTE((INDEX(SPLIT(A7172,"",""),1)),""."","","",1))"),58.222084)</f>
        <v>58.222084</v>
      </c>
      <c r="Q7172" s="13">
        <f>IFERROR(__xludf.DUMMYFUNCTION("VALUE(SUBSTITUTE((INDEX(SPLIT(A7172,"",""),2)),""."","","",1))"),68.421064)</f>
        <v>68.421064</v>
      </c>
      <c r="R7172" s="14" t="b">
        <f t="shared" si="1"/>
        <v>0</v>
      </c>
      <c r="S7172" s="14" t="str">
        <f t="shared" si="2"/>
        <v>58.222084,68.421064</v>
      </c>
      <c r="T7172" s="12"/>
    </row>
    <row r="7173">
      <c r="A7173" s="142" t="s">
        <v>46195</v>
      </c>
      <c r="B7173" s="143" t="s">
        <v>46196</v>
      </c>
      <c r="C7173" s="143" t="s">
        <v>46197</v>
      </c>
      <c r="D7173" s="143" t="s">
        <v>33342</v>
      </c>
      <c r="E7173" s="144" t="s">
        <v>46198</v>
      </c>
      <c r="F7173" s="142" t="s">
        <v>18995</v>
      </c>
      <c r="G7173" s="142" t="s">
        <v>33344</v>
      </c>
      <c r="H7173" s="142"/>
      <c r="I7173" s="143"/>
      <c r="J7173" s="143" t="s">
        <v>46199</v>
      </c>
      <c r="K7173" s="143" t="s">
        <v>46200</v>
      </c>
      <c r="L7173" s="145" t="s">
        <v>46201</v>
      </c>
      <c r="M7173" s="143"/>
      <c r="N7173" s="12"/>
      <c r="O7173" s="12"/>
      <c r="P7173" s="13">
        <f>IFERROR(__xludf.DUMMYFUNCTION("VALUE(SUBSTITUTE((INDEX(SPLIT(A7173,"",""),1)),""."","","",1))"),57.179763)</f>
        <v>57.179763</v>
      </c>
      <c r="Q7173" s="13">
        <f>IFERROR(__xludf.DUMMYFUNCTION("VALUE(SUBSTITUTE((INDEX(SPLIT(A7173,"",""),2)),""."","","",1))"),65.515409)</f>
        <v>65.515409</v>
      </c>
      <c r="R7173" s="14" t="b">
        <f t="shared" si="1"/>
        <v>0</v>
      </c>
      <c r="S7173" s="14" t="str">
        <f t="shared" si="2"/>
        <v>57.179763,65.515409</v>
      </c>
      <c r="T7173" s="12"/>
    </row>
    <row r="7174">
      <c r="A7174" s="139" t="s">
        <v>46202</v>
      </c>
      <c r="B7174" s="140" t="s">
        <v>46203</v>
      </c>
      <c r="C7174" s="140" t="s">
        <v>46204</v>
      </c>
      <c r="D7174" s="140" t="s">
        <v>33342</v>
      </c>
      <c r="E7174" s="141" t="s">
        <v>46205</v>
      </c>
      <c r="F7174" s="139" t="s">
        <v>18995</v>
      </c>
      <c r="G7174" s="139" t="s">
        <v>33344</v>
      </c>
      <c r="H7174" s="139"/>
      <c r="I7174" s="140"/>
      <c r="J7174" s="140" t="s">
        <v>46206</v>
      </c>
      <c r="K7174" s="140" t="s">
        <v>46207</v>
      </c>
      <c r="L7174" s="140"/>
      <c r="M7174" s="154" t="s">
        <v>46208</v>
      </c>
      <c r="N7174" s="12"/>
      <c r="O7174" s="12"/>
      <c r="P7174" s="13">
        <f>IFERROR(__xludf.DUMMYFUNCTION("VALUE(SUBSTITUTE((INDEX(SPLIT(A7174,"",""),1)),""."","","",1))"),57.031714)</f>
        <v>57.031714</v>
      </c>
      <c r="Q7174" s="13">
        <f>IFERROR(__xludf.DUMMYFUNCTION("VALUE(SUBSTITUTE((INDEX(SPLIT(A7174,"",""),2)),""."","","",1))"),65.721734)</f>
        <v>65.721734</v>
      </c>
      <c r="R7174" s="14" t="b">
        <f t="shared" si="1"/>
        <v>0</v>
      </c>
      <c r="S7174" s="14" t="str">
        <f t="shared" si="2"/>
        <v>57.031714,65.721734</v>
      </c>
      <c r="T7174" s="12"/>
    </row>
    <row r="7175">
      <c r="A7175" s="136" t="s">
        <v>46209</v>
      </c>
      <c r="B7175" s="137" t="s">
        <v>46210</v>
      </c>
      <c r="C7175" s="137" t="s">
        <v>46211</v>
      </c>
      <c r="D7175" s="137" t="s">
        <v>33342</v>
      </c>
      <c r="E7175" s="138" t="s">
        <v>46212</v>
      </c>
      <c r="F7175" s="136" t="s">
        <v>20160</v>
      </c>
      <c r="G7175" s="136" t="s">
        <v>33344</v>
      </c>
      <c r="H7175" s="136"/>
      <c r="I7175" s="137"/>
      <c r="J7175" s="137" t="s">
        <v>46213</v>
      </c>
      <c r="K7175" s="137" t="s">
        <v>46214</v>
      </c>
      <c r="L7175" s="137"/>
      <c r="M7175" s="153" t="s">
        <v>46215</v>
      </c>
      <c r="N7175" s="12"/>
      <c r="O7175" s="12"/>
      <c r="P7175" s="13">
        <f>IFERROR(__xludf.DUMMYFUNCTION("VALUE(SUBSTITUTE((INDEX(SPLIT(A7175,"",""),1)),""."","","",1))"),48.644761)</f>
        <v>48.644761</v>
      </c>
      <c r="Q7175" s="13">
        <f>IFERROR(__xludf.DUMMYFUNCTION("VALUE(SUBSTITUTE((INDEX(SPLIT(A7175,"",""),2)),""."","","",1))"),54.43326)</f>
        <v>54.43326</v>
      </c>
      <c r="R7175" s="14" t="b">
        <f t="shared" si="1"/>
        <v>0</v>
      </c>
      <c r="S7175" s="14" t="str">
        <f t="shared" si="2"/>
        <v>48.644761,54.43326</v>
      </c>
      <c r="T7175" s="12"/>
    </row>
    <row r="7176">
      <c r="A7176" s="139" t="s">
        <v>46216</v>
      </c>
      <c r="B7176" s="140" t="s">
        <v>46217</v>
      </c>
      <c r="C7176" s="140" t="s">
        <v>46218</v>
      </c>
      <c r="D7176" s="140" t="s">
        <v>33342</v>
      </c>
      <c r="E7176" s="141" t="s">
        <v>46219</v>
      </c>
      <c r="F7176" s="139" t="s">
        <v>20160</v>
      </c>
      <c r="G7176" s="139" t="s">
        <v>33344</v>
      </c>
      <c r="H7176" s="139"/>
      <c r="I7176" s="140"/>
      <c r="J7176" s="140" t="s">
        <v>46220</v>
      </c>
      <c r="K7176" s="140" t="s">
        <v>46221</v>
      </c>
      <c r="L7176" s="140"/>
      <c r="M7176" s="154" t="s">
        <v>46222</v>
      </c>
      <c r="N7176" s="12"/>
      <c r="O7176" s="12"/>
      <c r="P7176" s="13">
        <f>IFERROR(__xludf.DUMMYFUNCTION("VALUE(SUBSTITUTE((INDEX(SPLIT(A7176,"",""),1)),""."","","",1))"),48.303275)</f>
        <v>48.303275</v>
      </c>
      <c r="Q7176" s="13">
        <f>IFERROR(__xludf.DUMMYFUNCTION("VALUE(SUBSTITUTE((INDEX(SPLIT(A7176,"",""),2)),""."","","",1))"),54.235337)</f>
        <v>54.235337</v>
      </c>
      <c r="R7176" s="14" t="b">
        <f t="shared" si="1"/>
        <v>0</v>
      </c>
      <c r="S7176" s="14" t="str">
        <f t="shared" si="2"/>
        <v>48.303275,54.235337</v>
      </c>
      <c r="T7176" s="12"/>
    </row>
    <row r="7177">
      <c r="A7177" s="136" t="s">
        <v>46223</v>
      </c>
      <c r="B7177" s="137" t="s">
        <v>46224</v>
      </c>
      <c r="C7177" s="137" t="s">
        <v>46225</v>
      </c>
      <c r="D7177" s="137" t="s">
        <v>33342</v>
      </c>
      <c r="E7177" s="138" t="s">
        <v>46226</v>
      </c>
      <c r="F7177" s="136" t="s">
        <v>20160</v>
      </c>
      <c r="G7177" s="136" t="s">
        <v>33344</v>
      </c>
      <c r="H7177" s="136"/>
      <c r="I7177" s="137"/>
      <c r="J7177" s="137" t="s">
        <v>46227</v>
      </c>
      <c r="K7177" s="137" t="s">
        <v>46228</v>
      </c>
      <c r="L7177" s="137"/>
      <c r="M7177" s="137"/>
      <c r="N7177" s="12"/>
      <c r="O7177" s="12"/>
      <c r="P7177" s="13">
        <f>IFERROR(__xludf.DUMMYFUNCTION("VALUE(SUBSTITUTE((INDEX(SPLIT(A7177,"",""),1)),""."","","",1))"),48.3611)</f>
        <v>48.3611</v>
      </c>
      <c r="Q7177" s="13">
        <f>IFERROR(__xludf.DUMMYFUNCTION("VALUE(SUBSTITUTE((INDEX(SPLIT(A7177,"",""),2)),""."","","",1))"),54.298421)</f>
        <v>54.298421</v>
      </c>
      <c r="R7177" s="14" t="b">
        <f t="shared" si="1"/>
        <v>0</v>
      </c>
      <c r="S7177" s="14" t="str">
        <f t="shared" si="2"/>
        <v>48.3611,54.298421</v>
      </c>
      <c r="T7177" s="12"/>
    </row>
    <row r="7178">
      <c r="A7178" s="146" t="s">
        <v>46229</v>
      </c>
      <c r="B7178" s="147" t="s">
        <v>46230</v>
      </c>
      <c r="C7178" s="147" t="s">
        <v>46231</v>
      </c>
      <c r="D7178" s="147" t="s">
        <v>33342</v>
      </c>
      <c r="E7178" s="148" t="s">
        <v>46232</v>
      </c>
      <c r="F7178" s="146" t="s">
        <v>20160</v>
      </c>
      <c r="G7178" s="146" t="s">
        <v>33344</v>
      </c>
      <c r="H7178" s="146"/>
      <c r="I7178" s="147"/>
      <c r="J7178" s="147" t="s">
        <v>46233</v>
      </c>
      <c r="K7178" s="147" t="s">
        <v>46234</v>
      </c>
      <c r="L7178" s="150" t="s">
        <v>46235</v>
      </c>
      <c r="M7178" s="147"/>
      <c r="N7178" s="12"/>
      <c r="O7178" s="12"/>
      <c r="P7178" s="13">
        <f>IFERROR(__xludf.DUMMYFUNCTION("VALUE(SUBSTITUTE((INDEX(SPLIT(A7178,"",""),1)),""."","","",1))"),48.332515)</f>
        <v>48.332515</v>
      </c>
      <c r="Q7178" s="13">
        <f>IFERROR(__xludf.DUMMYFUNCTION("VALUE(SUBSTITUTE((INDEX(SPLIT(A7178,"",""),2)),""."","","",1))"),54.010104)</f>
        <v>54.010104</v>
      </c>
      <c r="R7178" s="14" t="b">
        <f t="shared" si="1"/>
        <v>0</v>
      </c>
      <c r="S7178" s="14" t="str">
        <f t="shared" si="2"/>
        <v>48.332515,54.010104</v>
      </c>
      <c r="T7178" s="12"/>
    </row>
    <row r="7179">
      <c r="A7179" s="136" t="s">
        <v>46236</v>
      </c>
      <c r="B7179" s="137" t="s">
        <v>46237</v>
      </c>
      <c r="C7179" s="137" t="s">
        <v>46238</v>
      </c>
      <c r="D7179" s="137" t="s">
        <v>33342</v>
      </c>
      <c r="E7179" s="138" t="s">
        <v>46239</v>
      </c>
      <c r="F7179" s="136" t="s">
        <v>20160</v>
      </c>
      <c r="G7179" s="136" t="s">
        <v>33344</v>
      </c>
      <c r="H7179" s="136"/>
      <c r="I7179" s="137"/>
      <c r="J7179" s="137" t="s">
        <v>46240</v>
      </c>
      <c r="K7179" s="137" t="s">
        <v>46241</v>
      </c>
      <c r="L7179" s="137"/>
      <c r="M7179" s="137"/>
      <c r="N7179" s="12"/>
      <c r="O7179" s="12"/>
      <c r="P7179" s="13">
        <f>IFERROR(__xludf.DUMMYFUNCTION("VALUE(SUBSTITUTE((INDEX(SPLIT(A7179,"",""),1)),""."","","",1))"),48.263677)</f>
        <v>48.263677</v>
      </c>
      <c r="Q7179" s="13">
        <f>IFERROR(__xludf.DUMMYFUNCTION("VALUE(SUBSTITUTE((INDEX(SPLIT(A7179,"",""),2)),""."","","",1))"),54.271905)</f>
        <v>54.271905</v>
      </c>
      <c r="R7179" s="14" t="b">
        <f t="shared" si="1"/>
        <v>0</v>
      </c>
      <c r="S7179" s="14" t="str">
        <f t="shared" si="2"/>
        <v>48.263677,54.271905</v>
      </c>
      <c r="T7179" s="12"/>
    </row>
    <row r="7180">
      <c r="A7180" s="139" t="s">
        <v>46242</v>
      </c>
      <c r="B7180" s="140" t="s">
        <v>46243</v>
      </c>
      <c r="C7180" s="140" t="s">
        <v>46244</v>
      </c>
      <c r="D7180" s="140" t="s">
        <v>33342</v>
      </c>
      <c r="E7180" s="141" t="s">
        <v>46245</v>
      </c>
      <c r="F7180" s="139" t="s">
        <v>20160</v>
      </c>
      <c r="G7180" s="139" t="s">
        <v>33344</v>
      </c>
      <c r="H7180" s="139"/>
      <c r="I7180" s="140"/>
      <c r="J7180" s="140" t="s">
        <v>46246</v>
      </c>
      <c r="K7180" s="140" t="s">
        <v>46247</v>
      </c>
      <c r="L7180" s="140"/>
      <c r="M7180" s="140"/>
      <c r="N7180" s="12"/>
      <c r="O7180" s="12"/>
      <c r="P7180" s="13">
        <f>IFERROR(__xludf.DUMMYFUNCTION("VALUE(SUBSTITUTE((INDEX(SPLIT(A7180,"",""),1)),""."","","",1))"),48.347562)</f>
        <v>48.347562</v>
      </c>
      <c r="Q7180" s="13">
        <f>IFERROR(__xludf.DUMMYFUNCTION("VALUE(SUBSTITUTE((INDEX(SPLIT(A7180,"",""),2)),""."","","",1))"),54.346034)</f>
        <v>54.346034</v>
      </c>
      <c r="R7180" s="14" t="b">
        <f t="shared" si="1"/>
        <v>0</v>
      </c>
      <c r="S7180" s="14" t="str">
        <f t="shared" si="2"/>
        <v>48.347562,54.346034</v>
      </c>
      <c r="T7180" s="12"/>
    </row>
    <row r="7181">
      <c r="A7181" s="142" t="s">
        <v>46248</v>
      </c>
      <c r="B7181" s="143" t="s">
        <v>9115</v>
      </c>
      <c r="C7181" s="143" t="s">
        <v>46249</v>
      </c>
      <c r="D7181" s="143" t="s">
        <v>33342</v>
      </c>
      <c r="E7181" s="144" t="s">
        <v>46250</v>
      </c>
      <c r="F7181" s="142" t="s">
        <v>20160</v>
      </c>
      <c r="G7181" s="142" t="s">
        <v>33344</v>
      </c>
      <c r="H7181" s="142"/>
      <c r="I7181" s="143"/>
      <c r="J7181" s="143" t="s">
        <v>46251</v>
      </c>
      <c r="K7181" s="143" t="s">
        <v>46252</v>
      </c>
      <c r="L7181" s="145" t="s">
        <v>46253</v>
      </c>
      <c r="M7181" s="143"/>
      <c r="N7181" s="12"/>
      <c r="O7181" s="12"/>
      <c r="P7181" s="13">
        <f>IFERROR(__xludf.DUMMYFUNCTION("VALUE(SUBSTITUTE((INDEX(SPLIT(A7181,"",""),1)),""."","","",1))"),48.403132)</f>
        <v>48.403132</v>
      </c>
      <c r="Q7181" s="13">
        <f>IFERROR(__xludf.DUMMYFUNCTION("VALUE(SUBSTITUTE((INDEX(SPLIT(A7181,"",""),2)),""."","","",1))"),54.314192)</f>
        <v>54.314192</v>
      </c>
      <c r="R7181" s="14" t="b">
        <f t="shared" si="1"/>
        <v>0</v>
      </c>
      <c r="S7181" s="14" t="str">
        <f t="shared" si="2"/>
        <v>48.403132,54.314192</v>
      </c>
      <c r="T7181" s="12"/>
    </row>
    <row r="7182">
      <c r="A7182" s="139" t="s">
        <v>46254</v>
      </c>
      <c r="B7182" s="140" t="s">
        <v>46255</v>
      </c>
      <c r="C7182" s="140" t="s">
        <v>46256</v>
      </c>
      <c r="D7182" s="140" t="s">
        <v>33342</v>
      </c>
      <c r="E7182" s="141" t="s">
        <v>46257</v>
      </c>
      <c r="F7182" s="139" t="s">
        <v>20160</v>
      </c>
      <c r="G7182" s="139" t="s">
        <v>33344</v>
      </c>
      <c r="H7182" s="139"/>
      <c r="I7182" s="140"/>
      <c r="J7182" s="140" t="s">
        <v>46258</v>
      </c>
      <c r="K7182" s="140" t="s">
        <v>46259</v>
      </c>
      <c r="L7182" s="140"/>
      <c r="M7182" s="140"/>
      <c r="N7182" s="12"/>
      <c r="O7182" s="12"/>
      <c r="P7182" s="13">
        <f>IFERROR(__xludf.DUMMYFUNCTION("VALUE(SUBSTITUTE((INDEX(SPLIT(A7182,"",""),1)),""."","","",1))"),48.296924)</f>
        <v>48.296924</v>
      </c>
      <c r="Q7182" s="13">
        <f>IFERROR(__xludf.DUMMYFUNCTION("VALUE(SUBSTITUTE((INDEX(SPLIT(A7182,"",""),2)),""."","","",1))"),54.298805)</f>
        <v>54.298805</v>
      </c>
      <c r="R7182" s="14" t="b">
        <f t="shared" si="1"/>
        <v>0</v>
      </c>
      <c r="S7182" s="14" t="str">
        <f t="shared" si="2"/>
        <v>48.296924,54.298805</v>
      </c>
      <c r="T7182" s="12"/>
    </row>
    <row r="7183">
      <c r="A7183" s="142" t="s">
        <v>46260</v>
      </c>
      <c r="B7183" s="143" t="s">
        <v>46261</v>
      </c>
      <c r="C7183" s="143" t="s">
        <v>46262</v>
      </c>
      <c r="D7183" s="143" t="s">
        <v>33342</v>
      </c>
      <c r="E7183" s="144" t="s">
        <v>46263</v>
      </c>
      <c r="F7183" s="142" t="s">
        <v>20160</v>
      </c>
      <c r="G7183" s="142" t="s">
        <v>33344</v>
      </c>
      <c r="H7183" s="142"/>
      <c r="I7183" s="143"/>
      <c r="J7183" s="143" t="s">
        <v>46264</v>
      </c>
      <c r="K7183" s="143" t="s">
        <v>46265</v>
      </c>
      <c r="L7183" s="145" t="s">
        <v>46266</v>
      </c>
      <c r="M7183" s="143"/>
      <c r="N7183" s="12"/>
      <c r="O7183" s="12"/>
      <c r="P7183" s="13">
        <f>IFERROR(__xludf.DUMMYFUNCTION("VALUE(SUBSTITUTE((INDEX(SPLIT(A7183,"",""),1)),""."","","",1))"),48.569527)</f>
        <v>48.569527</v>
      </c>
      <c r="Q7183" s="13">
        <f>IFERROR(__xludf.DUMMYFUNCTION("VALUE(SUBSTITUTE((INDEX(SPLIT(A7183,"",""),2)),""."","","",1))"),54.346008)</f>
        <v>54.346008</v>
      </c>
      <c r="R7183" s="14" t="b">
        <f t="shared" si="1"/>
        <v>0</v>
      </c>
      <c r="S7183" s="14" t="str">
        <f t="shared" si="2"/>
        <v>48.569527,54.346008</v>
      </c>
      <c r="T7183" s="12"/>
    </row>
    <row r="7184">
      <c r="A7184" s="139" t="s">
        <v>46267</v>
      </c>
      <c r="B7184" s="140" t="s">
        <v>46268</v>
      </c>
      <c r="C7184" s="140" t="s">
        <v>46269</v>
      </c>
      <c r="D7184" s="140" t="s">
        <v>33342</v>
      </c>
      <c r="E7184" s="141" t="s">
        <v>46270</v>
      </c>
      <c r="F7184" s="139" t="s">
        <v>20160</v>
      </c>
      <c r="G7184" s="139" t="s">
        <v>33344</v>
      </c>
      <c r="H7184" s="139"/>
      <c r="I7184" s="140"/>
      <c r="J7184" s="140" t="s">
        <v>46271</v>
      </c>
      <c r="K7184" s="140" t="s">
        <v>46272</v>
      </c>
      <c r="L7184" s="140"/>
      <c r="M7184" s="154" t="s">
        <v>46273</v>
      </c>
      <c r="N7184" s="12"/>
      <c r="O7184" s="12"/>
      <c r="P7184" s="13">
        <f>IFERROR(__xludf.DUMMYFUNCTION("VALUE(SUBSTITUTE((INDEX(SPLIT(A7184,"",""),1)),""."","","",1))"),48.555199)</f>
        <v>48.555199</v>
      </c>
      <c r="Q7184" s="13">
        <f>IFERROR(__xludf.DUMMYFUNCTION("VALUE(SUBSTITUTE((INDEX(SPLIT(A7184,"",""),2)),""."","","",1))"),54.382687)</f>
        <v>54.382687</v>
      </c>
      <c r="R7184" s="14" t="b">
        <f t="shared" si="1"/>
        <v>0</v>
      </c>
      <c r="S7184" s="14" t="str">
        <f t="shared" si="2"/>
        <v>48.555199,54.382687</v>
      </c>
      <c r="T7184" s="12"/>
    </row>
    <row r="7185">
      <c r="A7185" s="142" t="s">
        <v>46274</v>
      </c>
      <c r="B7185" s="143" t="s">
        <v>46275</v>
      </c>
      <c r="C7185" s="143" t="s">
        <v>46276</v>
      </c>
      <c r="D7185" s="143" t="s">
        <v>33342</v>
      </c>
      <c r="E7185" s="144" t="s">
        <v>46277</v>
      </c>
      <c r="F7185" s="142" t="s">
        <v>20160</v>
      </c>
      <c r="G7185" s="142" t="s">
        <v>33344</v>
      </c>
      <c r="H7185" s="142"/>
      <c r="I7185" s="143" t="s">
        <v>46278</v>
      </c>
      <c r="J7185" s="143" t="s">
        <v>46279</v>
      </c>
      <c r="K7185" s="143" t="s">
        <v>46265</v>
      </c>
      <c r="L7185" s="203" t="s">
        <v>46280</v>
      </c>
      <c r="M7185" s="143"/>
      <c r="N7185" s="12"/>
      <c r="O7185" s="12"/>
      <c r="P7185" s="13">
        <f>IFERROR(__xludf.DUMMYFUNCTION("VALUE(SUBSTITUTE((INDEX(SPLIT(A7185,"",""),1)),""."","","",1))"),54.346008)</f>
        <v>54.346008</v>
      </c>
      <c r="Q7185" s="13">
        <f>IFERROR(__xludf.DUMMYFUNCTION("VALUE(SUBSTITUTE((INDEX(SPLIT(A7185,"",""),2)),""."","","",1))"),48.569527)</f>
        <v>48.569527</v>
      </c>
      <c r="R7185" s="14" t="b">
        <f t="shared" si="1"/>
        <v>0</v>
      </c>
      <c r="S7185" s="14" t="str">
        <f t="shared" si="2"/>
        <v>54.346008,48.569527</v>
      </c>
      <c r="T7185" s="12"/>
    </row>
    <row r="7186">
      <c r="A7186" s="146" t="s">
        <v>46281</v>
      </c>
      <c r="B7186" s="147" t="s">
        <v>46282</v>
      </c>
      <c r="C7186" s="147" t="s">
        <v>46283</v>
      </c>
      <c r="D7186" s="147" t="s">
        <v>33342</v>
      </c>
      <c r="E7186" s="148" t="s">
        <v>46284</v>
      </c>
      <c r="F7186" s="146" t="s">
        <v>20160</v>
      </c>
      <c r="G7186" s="146" t="s">
        <v>33344</v>
      </c>
      <c r="H7186" s="146"/>
      <c r="I7186" s="147"/>
      <c r="J7186" s="147" t="s">
        <v>46285</v>
      </c>
      <c r="K7186" s="147" t="s">
        <v>46286</v>
      </c>
      <c r="L7186" s="149" t="s">
        <v>46287</v>
      </c>
      <c r="M7186" s="147"/>
      <c r="N7186" s="12"/>
      <c r="O7186" s="12"/>
      <c r="P7186" s="13">
        <f>IFERROR(__xludf.DUMMYFUNCTION("VALUE(SUBSTITUTE((INDEX(SPLIT(A7186,"",""),1)),""."","","",1))"),48.593557)</f>
        <v>48.593557</v>
      </c>
      <c r="Q7186" s="13">
        <f>IFERROR(__xludf.DUMMYFUNCTION("VALUE(SUBSTITUTE((INDEX(SPLIT(A7186,"",""),2)),""."","","",1))"),54.348627)</f>
        <v>54.348627</v>
      </c>
      <c r="R7186" s="14" t="b">
        <f t="shared" si="1"/>
        <v>0</v>
      </c>
      <c r="S7186" s="14" t="str">
        <f t="shared" si="2"/>
        <v>48.593557,54.348627</v>
      </c>
      <c r="T7186" s="12"/>
    </row>
    <row r="7187">
      <c r="A7187" s="142" t="s">
        <v>46288</v>
      </c>
      <c r="B7187" s="143" t="s">
        <v>46289</v>
      </c>
      <c r="C7187" s="143" t="s">
        <v>46290</v>
      </c>
      <c r="D7187" s="143" t="s">
        <v>33342</v>
      </c>
      <c r="E7187" s="144" t="s">
        <v>46291</v>
      </c>
      <c r="F7187" s="142" t="s">
        <v>20160</v>
      </c>
      <c r="G7187" s="142" t="s">
        <v>33344</v>
      </c>
      <c r="H7187" s="142"/>
      <c r="I7187" s="143"/>
      <c r="J7187" s="143" t="s">
        <v>46292</v>
      </c>
      <c r="K7187" s="143" t="s">
        <v>46293</v>
      </c>
      <c r="L7187" s="145" t="s">
        <v>46294</v>
      </c>
      <c r="M7187" s="143"/>
      <c r="N7187" s="12"/>
      <c r="O7187" s="12"/>
      <c r="P7187" s="13">
        <f>IFERROR(__xludf.DUMMYFUNCTION("VALUE(SUBSTITUTE((INDEX(SPLIT(A7187,"",""),1)),""."","","",1))"),49.563576)</f>
        <v>49.563576</v>
      </c>
      <c r="Q7187" s="13">
        <f>IFERROR(__xludf.DUMMYFUNCTION("VALUE(SUBSTITUTE((INDEX(SPLIT(A7187,"",""),2)),""."","","",1))"),54.223459)</f>
        <v>54.223459</v>
      </c>
      <c r="R7187" s="14" t="b">
        <f t="shared" si="1"/>
        <v>0</v>
      </c>
      <c r="S7187" s="14" t="str">
        <f t="shared" si="2"/>
        <v>49.563576,54.223459</v>
      </c>
      <c r="T7187" s="12"/>
    </row>
    <row r="7188">
      <c r="A7188" s="146" t="s">
        <v>46295</v>
      </c>
      <c r="B7188" s="147" t="s">
        <v>46296</v>
      </c>
      <c r="C7188" s="147" t="s">
        <v>46297</v>
      </c>
      <c r="D7188" s="147" t="s">
        <v>33342</v>
      </c>
      <c r="E7188" s="148" t="s">
        <v>46298</v>
      </c>
      <c r="F7188" s="146" t="s">
        <v>20160</v>
      </c>
      <c r="G7188" s="146" t="s">
        <v>33344</v>
      </c>
      <c r="H7188" s="146"/>
      <c r="I7188" s="147"/>
      <c r="J7188" s="147" t="s">
        <v>46299</v>
      </c>
      <c r="K7188" s="147" t="s">
        <v>46300</v>
      </c>
      <c r="L7188" s="149" t="s">
        <v>46301</v>
      </c>
      <c r="M7188" s="149" t="s">
        <v>46302</v>
      </c>
      <c r="N7188" s="12"/>
      <c r="O7188" s="12"/>
      <c r="P7188" s="13">
        <f>IFERROR(__xludf.DUMMYFUNCTION("VALUE(SUBSTITUTE((INDEX(SPLIT(A7188,"",""),1)),""."","","",1))"),49.566801)</f>
        <v>49.566801</v>
      </c>
      <c r="Q7188" s="13">
        <f>IFERROR(__xludf.DUMMYFUNCTION("VALUE(SUBSTITUTE((INDEX(SPLIT(A7188,"",""),2)),""."","","",1))"),54.211102)</f>
        <v>54.211102</v>
      </c>
      <c r="R7188" s="14" t="b">
        <f t="shared" si="1"/>
        <v>0</v>
      </c>
      <c r="S7188" s="14" t="str">
        <f t="shared" si="2"/>
        <v>49.566801,54.211102</v>
      </c>
      <c r="T7188" s="12"/>
    </row>
    <row r="7189">
      <c r="A7189" s="142" t="s">
        <v>46303</v>
      </c>
      <c r="B7189" s="143" t="s">
        <v>46304</v>
      </c>
      <c r="C7189" s="143" t="s">
        <v>46305</v>
      </c>
      <c r="D7189" s="143" t="s">
        <v>33342</v>
      </c>
      <c r="E7189" s="144" t="s">
        <v>46306</v>
      </c>
      <c r="F7189" s="142" t="s">
        <v>20160</v>
      </c>
      <c r="G7189" s="142" t="s">
        <v>33344</v>
      </c>
      <c r="H7189" s="142"/>
      <c r="I7189" s="143"/>
      <c r="J7189" s="143" t="s">
        <v>46307</v>
      </c>
      <c r="K7189" s="143" t="s">
        <v>46308</v>
      </c>
      <c r="L7189" s="145" t="s">
        <v>46309</v>
      </c>
      <c r="M7189" s="145" t="s">
        <v>46310</v>
      </c>
      <c r="N7189" s="12"/>
      <c r="O7189" s="12"/>
      <c r="P7189" s="13">
        <f>IFERROR(__xludf.DUMMYFUNCTION("VALUE(SUBSTITUTE((INDEX(SPLIT(A7189,"",""),1)),""."","","",1))"),48.834934)</f>
        <v>48.834934</v>
      </c>
      <c r="Q7189" s="13">
        <f>IFERROR(__xludf.DUMMYFUNCTION("VALUE(SUBSTITUTE((INDEX(SPLIT(A7189,"",""),2)),""."","","",1))"),54.379378)</f>
        <v>54.379378</v>
      </c>
      <c r="R7189" s="14" t="b">
        <f t="shared" si="1"/>
        <v>0</v>
      </c>
      <c r="S7189" s="14" t="str">
        <f t="shared" si="2"/>
        <v>48.834934,54.379378</v>
      </c>
      <c r="T7189" s="12"/>
    </row>
    <row r="7190">
      <c r="A7190" s="139" t="s">
        <v>46311</v>
      </c>
      <c r="B7190" s="140" t="s">
        <v>46312</v>
      </c>
      <c r="C7190" s="140" t="s">
        <v>46313</v>
      </c>
      <c r="D7190" s="140" t="s">
        <v>33342</v>
      </c>
      <c r="E7190" s="141" t="s">
        <v>46314</v>
      </c>
      <c r="F7190" s="139" t="s">
        <v>20160</v>
      </c>
      <c r="G7190" s="139" t="s">
        <v>33344</v>
      </c>
      <c r="H7190" s="139"/>
      <c r="I7190" s="140"/>
      <c r="J7190" s="140" t="s">
        <v>46315</v>
      </c>
      <c r="K7190" s="140" t="s">
        <v>46316</v>
      </c>
      <c r="L7190" s="140"/>
      <c r="M7190" s="140"/>
      <c r="N7190" s="12"/>
      <c r="O7190" s="12"/>
      <c r="P7190" s="13">
        <f>IFERROR(__xludf.DUMMYFUNCTION("VALUE(SUBSTITUTE((INDEX(SPLIT(A7190,"",""),1)),""."","","",1))"),48.603043)</f>
        <v>48.603043</v>
      </c>
      <c r="Q7190" s="13">
        <f>IFERROR(__xludf.DUMMYFUNCTION("VALUE(SUBSTITUTE((INDEX(SPLIT(A7190,"",""),2)),""."","","",1))"),54.382556)</f>
        <v>54.382556</v>
      </c>
      <c r="R7190" s="14" t="b">
        <f t="shared" si="1"/>
        <v>0</v>
      </c>
      <c r="S7190" s="14" t="str">
        <f t="shared" si="2"/>
        <v>48.603043,54.382556</v>
      </c>
      <c r="T7190" s="12"/>
    </row>
    <row r="7191">
      <c r="A7191" s="142" t="s">
        <v>46317</v>
      </c>
      <c r="B7191" s="143" t="s">
        <v>46318</v>
      </c>
      <c r="C7191" s="143" t="s">
        <v>46319</v>
      </c>
      <c r="D7191" s="143" t="s">
        <v>33342</v>
      </c>
      <c r="E7191" s="144" t="s">
        <v>46320</v>
      </c>
      <c r="F7191" s="142" t="s">
        <v>23544</v>
      </c>
      <c r="G7191" s="142" t="s">
        <v>33344</v>
      </c>
      <c r="H7191" s="142"/>
      <c r="I7191" s="143"/>
      <c r="J7191" s="143" t="s">
        <v>46321</v>
      </c>
      <c r="K7191" s="143" t="s">
        <v>46322</v>
      </c>
      <c r="L7191" s="145" t="s">
        <v>43983</v>
      </c>
      <c r="M7191" s="143"/>
      <c r="N7191" s="12"/>
      <c r="O7191" s="12"/>
      <c r="P7191" s="13">
        <f>IFERROR(__xludf.DUMMYFUNCTION("VALUE(SUBSTITUTE((INDEX(SPLIT(A7191,"",""),1)),""."","","",1))"),49.327651)</f>
        <v>49.327651</v>
      </c>
      <c r="Q7191" s="13">
        <f>IFERROR(__xludf.DUMMYFUNCTION("VALUE(SUBSTITUTE((INDEX(SPLIT(A7191,"",""),2)),""."","","",1))"),53.546268)</f>
        <v>53.546268</v>
      </c>
      <c r="R7191" s="14" t="b">
        <f t="shared" si="1"/>
        <v>0</v>
      </c>
      <c r="S7191" s="14" t="str">
        <f t="shared" si="2"/>
        <v>49.327651,53.546268</v>
      </c>
      <c r="T7191" s="12"/>
    </row>
    <row r="7192">
      <c r="A7192" s="139" t="s">
        <v>46323</v>
      </c>
      <c r="B7192" s="140" t="s">
        <v>46324</v>
      </c>
      <c r="C7192" s="140" t="s">
        <v>46325</v>
      </c>
      <c r="D7192" s="140" t="s">
        <v>33342</v>
      </c>
      <c r="E7192" s="141" t="s">
        <v>46326</v>
      </c>
      <c r="F7192" s="139" t="s">
        <v>23544</v>
      </c>
      <c r="G7192" s="139" t="s">
        <v>33344</v>
      </c>
      <c r="H7192" s="139"/>
      <c r="I7192" s="140"/>
      <c r="J7192" s="140" t="s">
        <v>46327</v>
      </c>
      <c r="K7192" s="140" t="s">
        <v>46328</v>
      </c>
      <c r="L7192" s="140"/>
      <c r="M7192" s="154" t="s">
        <v>46329</v>
      </c>
      <c r="N7192" s="12"/>
      <c r="O7192" s="12"/>
      <c r="P7192" s="13">
        <f>IFERROR(__xludf.DUMMYFUNCTION("VALUE(SUBSTITUTE((INDEX(SPLIT(A7192,"",""),1)),""."","","",1))"),60.21596)</f>
        <v>60.21596</v>
      </c>
      <c r="Q7192" s="13">
        <f>IFERROR(__xludf.DUMMYFUNCTION("VALUE(SUBSTITUTE((INDEX(SPLIT(A7192,"",""),2)),""."","","",1))"),55.480786)</f>
        <v>55.480786</v>
      </c>
      <c r="R7192" s="14" t="b">
        <f t="shared" si="1"/>
        <v>0</v>
      </c>
      <c r="S7192" s="14" t="str">
        <f t="shared" si="2"/>
        <v>60.21596,55.480786</v>
      </c>
      <c r="T7192" s="12"/>
    </row>
    <row r="7193">
      <c r="A7193" s="142" t="s">
        <v>46330</v>
      </c>
      <c r="B7193" s="143" t="s">
        <v>46331</v>
      </c>
      <c r="C7193" s="143" t="s">
        <v>46332</v>
      </c>
      <c r="D7193" s="143" t="s">
        <v>33342</v>
      </c>
      <c r="E7193" s="144" t="s">
        <v>46333</v>
      </c>
      <c r="F7193" s="142" t="s">
        <v>23544</v>
      </c>
      <c r="G7193" s="142" t="s">
        <v>33344</v>
      </c>
      <c r="H7193" s="142"/>
      <c r="I7193" s="143"/>
      <c r="J7193" s="143" t="s">
        <v>46334</v>
      </c>
      <c r="K7193" s="143" t="s">
        <v>46335</v>
      </c>
      <c r="L7193" s="145" t="s">
        <v>46336</v>
      </c>
      <c r="M7193" s="143"/>
      <c r="N7193" s="12"/>
      <c r="O7193" s="12"/>
      <c r="P7193" s="13">
        <f>IFERROR(__xludf.DUMMYFUNCTION("VALUE(SUBSTITUTE((INDEX(SPLIT(A7193,"",""),1)),""."","","",1))"),60.696595)</f>
        <v>60.696595</v>
      </c>
      <c r="Q7193" s="13">
        <f>IFERROR(__xludf.DUMMYFUNCTION("VALUE(SUBSTITUTE((INDEX(SPLIT(A7193,"",""),2)),""."","","",1))"),55.752673)</f>
        <v>55.752673</v>
      </c>
      <c r="R7193" s="14" t="b">
        <f t="shared" si="1"/>
        <v>0</v>
      </c>
      <c r="S7193" s="14" t="str">
        <f t="shared" si="2"/>
        <v>60.696595,55.752673</v>
      </c>
      <c r="T7193" s="12"/>
    </row>
    <row r="7194">
      <c r="A7194" s="146" t="s">
        <v>46337</v>
      </c>
      <c r="B7194" s="147" t="s">
        <v>46338</v>
      </c>
      <c r="C7194" s="147" t="s">
        <v>46339</v>
      </c>
      <c r="D7194" s="147" t="s">
        <v>33342</v>
      </c>
      <c r="E7194" s="148" t="s">
        <v>46340</v>
      </c>
      <c r="F7194" s="146" t="s">
        <v>23544</v>
      </c>
      <c r="G7194" s="146" t="s">
        <v>33344</v>
      </c>
      <c r="H7194" s="146"/>
      <c r="I7194" s="147"/>
      <c r="J7194" s="147" t="s">
        <v>46341</v>
      </c>
      <c r="K7194" s="147" t="s">
        <v>46342</v>
      </c>
      <c r="L7194" s="150" t="s">
        <v>46343</v>
      </c>
      <c r="M7194" s="147"/>
      <c r="N7194" s="12"/>
      <c r="O7194" s="12"/>
      <c r="P7194" s="13">
        <f>IFERROR(__xludf.DUMMYFUNCTION("VALUE(SUBSTITUTE((INDEX(SPLIT(A7194,"",""),1)),""."","","",1))"),60.737639)</f>
        <v>60.737639</v>
      </c>
      <c r="Q7194" s="13">
        <f>IFERROR(__xludf.DUMMYFUNCTION("VALUE(SUBSTITUTE((INDEX(SPLIT(A7194,"",""),2)),""."","","",1))"),56.068937)</f>
        <v>56.068937</v>
      </c>
      <c r="R7194" s="14" t="b">
        <f t="shared" si="1"/>
        <v>0</v>
      </c>
      <c r="S7194" s="14" t="str">
        <f t="shared" si="2"/>
        <v>60.737639,56.068937</v>
      </c>
      <c r="T7194" s="12"/>
    </row>
    <row r="7195">
      <c r="A7195" s="142" t="s">
        <v>46344</v>
      </c>
      <c r="B7195" s="143" t="s">
        <v>46345</v>
      </c>
      <c r="C7195" s="143" t="s">
        <v>46346</v>
      </c>
      <c r="D7195" s="143" t="s">
        <v>33342</v>
      </c>
      <c r="E7195" s="144" t="s">
        <v>46347</v>
      </c>
      <c r="F7195" s="142" t="s">
        <v>23544</v>
      </c>
      <c r="G7195" s="142" t="s">
        <v>33344</v>
      </c>
      <c r="H7195" s="142"/>
      <c r="I7195" s="143"/>
      <c r="J7195" s="143" t="s">
        <v>46348</v>
      </c>
      <c r="K7195" s="143" t="s">
        <v>46349</v>
      </c>
      <c r="L7195" s="145" t="s">
        <v>46350</v>
      </c>
      <c r="M7195" s="145" t="s">
        <v>2269</v>
      </c>
      <c r="N7195" s="12"/>
      <c r="O7195" s="12"/>
      <c r="P7195" s="13">
        <f>IFERROR(__xludf.DUMMYFUNCTION("VALUE(SUBSTITUTE((INDEX(SPLIT(A7195,"",""),1)),""."","","",1))"),61.543347)</f>
        <v>61.543347</v>
      </c>
      <c r="Q7195" s="13">
        <f>IFERROR(__xludf.DUMMYFUNCTION("VALUE(SUBSTITUTE((INDEX(SPLIT(A7195,"",""),2)),""."","","",1))"),55.049937)</f>
        <v>55.049937</v>
      </c>
      <c r="R7195" s="14" t="b">
        <f t="shared" si="1"/>
        <v>0</v>
      </c>
      <c r="S7195" s="14" t="str">
        <f t="shared" si="2"/>
        <v>61.543347,55.049937</v>
      </c>
      <c r="T7195" s="12"/>
    </row>
    <row r="7196">
      <c r="A7196" s="139" t="s">
        <v>46351</v>
      </c>
      <c r="B7196" s="140" t="s">
        <v>46352</v>
      </c>
      <c r="C7196" s="140" t="s">
        <v>46353</v>
      </c>
      <c r="D7196" s="140" t="s">
        <v>33342</v>
      </c>
      <c r="E7196" s="141" t="s">
        <v>46354</v>
      </c>
      <c r="F7196" s="139" t="s">
        <v>23544</v>
      </c>
      <c r="G7196" s="139" t="s">
        <v>33344</v>
      </c>
      <c r="H7196" s="139"/>
      <c r="I7196" s="140"/>
      <c r="J7196" s="140" t="s">
        <v>46355</v>
      </c>
      <c r="K7196" s="140" t="s">
        <v>46356</v>
      </c>
      <c r="L7196" s="140"/>
      <c r="M7196" s="140"/>
      <c r="N7196" s="12"/>
      <c r="O7196" s="12"/>
      <c r="P7196" s="13">
        <f>IFERROR(__xludf.DUMMYFUNCTION("VALUE(SUBSTITUTE((INDEX(SPLIT(A7196,"",""),1)),""."","","",1))"),59.049722)</f>
        <v>59.049722</v>
      </c>
      <c r="Q7196" s="13">
        <f>IFERROR(__xludf.DUMMYFUNCTION("VALUE(SUBSTITUTE((INDEX(SPLIT(A7196,"",""),2)),""."","","",1))"),53.40151)</f>
        <v>53.40151</v>
      </c>
      <c r="R7196" s="14" t="b">
        <f t="shared" si="1"/>
        <v>0</v>
      </c>
      <c r="S7196" s="14" t="str">
        <f t="shared" si="2"/>
        <v>59.049722,53.40151</v>
      </c>
      <c r="T7196" s="12"/>
    </row>
    <row r="7197">
      <c r="A7197" s="142" t="s">
        <v>46357</v>
      </c>
      <c r="B7197" s="143" t="s">
        <v>46358</v>
      </c>
      <c r="C7197" s="143" t="s">
        <v>46359</v>
      </c>
      <c r="D7197" s="143" t="s">
        <v>33342</v>
      </c>
      <c r="E7197" s="144" t="s">
        <v>46360</v>
      </c>
      <c r="F7197" s="142" t="s">
        <v>23544</v>
      </c>
      <c r="G7197" s="142" t="s">
        <v>33344</v>
      </c>
      <c r="H7197" s="142"/>
      <c r="I7197" s="143"/>
      <c r="J7197" s="143" t="s">
        <v>46361</v>
      </c>
      <c r="K7197" s="143" t="s">
        <v>46362</v>
      </c>
      <c r="L7197" s="152" t="s">
        <v>46363</v>
      </c>
      <c r="M7197" s="143"/>
      <c r="N7197" s="12"/>
      <c r="O7197" s="12"/>
      <c r="P7197" s="13">
        <f>IFERROR(__xludf.DUMMYFUNCTION("VALUE(SUBSTITUTE((INDEX(SPLIT(A7197,"",""),1)),""."","","",1))"),58.992023)</f>
        <v>58.992023</v>
      </c>
      <c r="Q7197" s="13">
        <f>IFERROR(__xludf.DUMMYFUNCTION("VALUE(SUBSTITUTE((INDEX(SPLIT(A7197,"",""),2)),""."","","",1))"),53.362892)</f>
        <v>53.362892</v>
      </c>
      <c r="R7197" s="14" t="b">
        <f t="shared" si="1"/>
        <v>0</v>
      </c>
      <c r="S7197" s="14" t="str">
        <f t="shared" si="2"/>
        <v>58.992023,53.362892</v>
      </c>
      <c r="T7197" s="12"/>
    </row>
    <row r="7198">
      <c r="A7198" s="146" t="s">
        <v>46364</v>
      </c>
      <c r="B7198" s="147" t="s">
        <v>46365</v>
      </c>
      <c r="C7198" s="147" t="s">
        <v>46366</v>
      </c>
      <c r="D7198" s="147" t="s">
        <v>33342</v>
      </c>
      <c r="E7198" s="148" t="s">
        <v>46367</v>
      </c>
      <c r="F7198" s="146" t="s">
        <v>23544</v>
      </c>
      <c r="G7198" s="146" t="s">
        <v>33344</v>
      </c>
      <c r="H7198" s="146"/>
      <c r="I7198" s="147"/>
      <c r="J7198" s="147" t="s">
        <v>46368</v>
      </c>
      <c r="K7198" s="147" t="s">
        <v>46369</v>
      </c>
      <c r="L7198" s="150" t="s">
        <v>46370</v>
      </c>
      <c r="M7198" s="147"/>
      <c r="N7198" s="12"/>
      <c r="O7198" s="12"/>
      <c r="P7198" s="13">
        <f>IFERROR(__xludf.DUMMYFUNCTION("VALUE(SUBSTITUTE((INDEX(SPLIT(A7198,"",""),1)),""."","","",1))"),61.447586)</f>
        <v>61.447586</v>
      </c>
      <c r="Q7198" s="13">
        <f>IFERROR(__xludf.DUMMYFUNCTION("VALUE(SUBSTITUTE((INDEX(SPLIT(A7198,"",""),2)),""."","","",1))"),55.215637)</f>
        <v>55.215637</v>
      </c>
      <c r="R7198" s="14" t="b">
        <f t="shared" si="1"/>
        <v>0</v>
      </c>
      <c r="S7198" s="14" t="str">
        <f t="shared" si="2"/>
        <v>61.447586,55.215637</v>
      </c>
      <c r="T7198" s="12"/>
    </row>
    <row r="7199">
      <c r="A7199" s="142" t="s">
        <v>46371</v>
      </c>
      <c r="B7199" s="143" t="s">
        <v>46372</v>
      </c>
      <c r="C7199" s="143" t="s">
        <v>46373</v>
      </c>
      <c r="D7199" s="143" t="s">
        <v>33342</v>
      </c>
      <c r="E7199" s="144" t="s">
        <v>46374</v>
      </c>
      <c r="F7199" s="142" t="s">
        <v>23544</v>
      </c>
      <c r="G7199" s="142" t="s">
        <v>33344</v>
      </c>
      <c r="H7199" s="142"/>
      <c r="I7199" s="143"/>
      <c r="J7199" s="143" t="s">
        <v>46375</v>
      </c>
      <c r="K7199" s="143" t="s">
        <v>46376</v>
      </c>
      <c r="L7199" s="145" t="s">
        <v>46377</v>
      </c>
      <c r="M7199" s="145" t="s">
        <v>46378</v>
      </c>
      <c r="N7199" s="12"/>
      <c r="O7199" s="12"/>
      <c r="P7199" s="13">
        <f>IFERROR(__xludf.DUMMYFUNCTION("VALUE(SUBSTITUTE((INDEX(SPLIT(A7199,"",""),1)),""."","","",1))"),61.449805)</f>
        <v>61.449805</v>
      </c>
      <c r="Q7199" s="13">
        <f>IFERROR(__xludf.DUMMYFUNCTION("VALUE(SUBSTITUTE((INDEX(SPLIT(A7199,"",""),2)),""."","","",1))"),55.204664)</f>
        <v>55.204664</v>
      </c>
      <c r="R7199" s="14" t="b">
        <f t="shared" si="1"/>
        <v>0</v>
      </c>
      <c r="S7199" s="14" t="str">
        <f t="shared" si="2"/>
        <v>61.449805,55.204664</v>
      </c>
      <c r="T7199" s="12"/>
    </row>
    <row r="7200">
      <c r="A7200" s="146" t="s">
        <v>46379</v>
      </c>
      <c r="B7200" s="147" t="s">
        <v>46380</v>
      </c>
      <c r="C7200" s="147" t="s">
        <v>46381</v>
      </c>
      <c r="D7200" s="147" t="s">
        <v>33342</v>
      </c>
      <c r="E7200" s="148" t="s">
        <v>46382</v>
      </c>
      <c r="F7200" s="146" t="s">
        <v>23544</v>
      </c>
      <c r="G7200" s="146" t="s">
        <v>33344</v>
      </c>
      <c r="H7200" s="146"/>
      <c r="I7200" s="147"/>
      <c r="J7200" s="147" t="s">
        <v>46383</v>
      </c>
      <c r="K7200" s="147" t="s">
        <v>46384</v>
      </c>
      <c r="L7200" s="149" t="s">
        <v>31006</v>
      </c>
      <c r="M7200" s="147"/>
      <c r="N7200" s="12"/>
      <c r="O7200" s="12"/>
      <c r="P7200" s="13">
        <f>IFERROR(__xludf.DUMMYFUNCTION("VALUE(SUBSTITUTE((INDEX(SPLIT(A7200,"",""),1)),""."","","",1))"),61.387884)</f>
        <v>61.387884</v>
      </c>
      <c r="Q7200" s="13">
        <f>IFERROR(__xludf.DUMMYFUNCTION("VALUE(SUBSTITUTE((INDEX(SPLIT(A7200,"",""),2)),""."","","",1))"),55.191109)</f>
        <v>55.191109</v>
      </c>
      <c r="R7200" s="14" t="b">
        <f t="shared" si="1"/>
        <v>0</v>
      </c>
      <c r="S7200" s="14" t="str">
        <f t="shared" si="2"/>
        <v>61.387884,55.191109</v>
      </c>
      <c r="T7200" s="12"/>
    </row>
    <row r="7201">
      <c r="A7201" s="142" t="s">
        <v>46385</v>
      </c>
      <c r="B7201" s="143" t="s">
        <v>46386</v>
      </c>
      <c r="C7201" s="143" t="s">
        <v>46387</v>
      </c>
      <c r="D7201" s="143" t="s">
        <v>33342</v>
      </c>
      <c r="E7201" s="144" t="s">
        <v>46388</v>
      </c>
      <c r="F7201" s="142" t="s">
        <v>23544</v>
      </c>
      <c r="G7201" s="142" t="s">
        <v>33344</v>
      </c>
      <c r="H7201" s="142"/>
      <c r="I7201" s="155" t="s">
        <v>46389</v>
      </c>
      <c r="J7201" s="143" t="s">
        <v>46390</v>
      </c>
      <c r="K7201" s="143" t="s">
        <v>46391</v>
      </c>
      <c r="L7201" s="145" t="s">
        <v>46392</v>
      </c>
      <c r="M7201" s="145" t="s">
        <v>46393</v>
      </c>
      <c r="N7201" s="12"/>
      <c r="O7201" s="12"/>
      <c r="P7201" s="13">
        <f>IFERROR(__xludf.DUMMYFUNCTION("VALUE(SUBSTITUTE((INDEX(SPLIT(A7201,"",""),1)),""."","","",1))"),61.31937)</f>
        <v>61.31937</v>
      </c>
      <c r="Q7201" s="13">
        <f>IFERROR(__xludf.DUMMYFUNCTION("VALUE(SUBSTITUTE((INDEX(SPLIT(A7201,"",""),2)),""."","","",1))"),55.199419)</f>
        <v>55.199419</v>
      </c>
      <c r="R7201" s="14" t="b">
        <f t="shared" si="1"/>
        <v>0</v>
      </c>
      <c r="S7201" s="14" t="str">
        <f t="shared" si="2"/>
        <v>61.31937,55.199419</v>
      </c>
      <c r="T7201" s="12"/>
    </row>
    <row r="7202">
      <c r="A7202" s="146" t="s">
        <v>46394</v>
      </c>
      <c r="B7202" s="147" t="s">
        <v>46395</v>
      </c>
      <c r="C7202" s="147" t="s">
        <v>46396</v>
      </c>
      <c r="D7202" s="147" t="s">
        <v>33342</v>
      </c>
      <c r="E7202" s="148" t="s">
        <v>46397</v>
      </c>
      <c r="F7202" s="146" t="s">
        <v>23544</v>
      </c>
      <c r="G7202" s="146" t="s">
        <v>33344</v>
      </c>
      <c r="H7202" s="146"/>
      <c r="I7202" s="147"/>
      <c r="J7202" s="147" t="s">
        <v>46398</v>
      </c>
      <c r="K7202" s="147" t="s">
        <v>46399</v>
      </c>
      <c r="L7202" s="150" t="s">
        <v>46400</v>
      </c>
      <c r="M7202" s="147"/>
      <c r="N7202" s="12"/>
      <c r="O7202" s="12"/>
      <c r="P7202" s="13">
        <f>IFERROR(__xludf.DUMMYFUNCTION("VALUE(SUBSTITUTE((INDEX(SPLIT(A7202,"",""),1)),""."","","",1))"),61.37741)</f>
        <v>61.37741</v>
      </c>
      <c r="Q7202" s="13">
        <f>IFERROR(__xludf.DUMMYFUNCTION("VALUE(SUBSTITUTE((INDEX(SPLIT(A7202,"",""),2)),""."","","",1))"),55.188031)</f>
        <v>55.188031</v>
      </c>
      <c r="R7202" s="14" t="b">
        <f t="shared" si="1"/>
        <v>0</v>
      </c>
      <c r="S7202" s="14" t="str">
        <f t="shared" si="2"/>
        <v>61.37741,55.188031</v>
      </c>
      <c r="T7202" s="12"/>
    </row>
    <row r="7203">
      <c r="A7203" s="136" t="s">
        <v>46401</v>
      </c>
      <c r="B7203" s="137" t="s">
        <v>46402</v>
      </c>
      <c r="C7203" s="137" t="s">
        <v>46403</v>
      </c>
      <c r="D7203" s="137" t="s">
        <v>33342</v>
      </c>
      <c r="E7203" s="138" t="s">
        <v>46404</v>
      </c>
      <c r="F7203" s="136" t="s">
        <v>23544</v>
      </c>
      <c r="G7203" s="136" t="s">
        <v>33344</v>
      </c>
      <c r="H7203" s="136"/>
      <c r="I7203" s="137"/>
      <c r="J7203" s="137" t="s">
        <v>46405</v>
      </c>
      <c r="K7203" s="137" t="s">
        <v>46406</v>
      </c>
      <c r="L7203" s="137"/>
      <c r="M7203" s="137"/>
      <c r="N7203" s="12"/>
      <c r="O7203" s="12"/>
      <c r="P7203" s="13">
        <f>IFERROR(__xludf.DUMMYFUNCTION("VALUE(SUBSTITUTE((INDEX(SPLIT(A7203,"",""),1)),""."","","",1))"),61.283904)</f>
        <v>61.283904</v>
      </c>
      <c r="Q7203" s="13">
        <f>IFERROR(__xludf.DUMMYFUNCTION("VALUE(SUBSTITUTE((INDEX(SPLIT(A7203,"",""),2)),""."","","",1))"),55.235493)</f>
        <v>55.235493</v>
      </c>
      <c r="R7203" s="14" t="b">
        <f t="shared" si="1"/>
        <v>0</v>
      </c>
      <c r="S7203" s="14" t="str">
        <f t="shared" si="2"/>
        <v>61.283904,55.235493</v>
      </c>
      <c r="T7203" s="12"/>
    </row>
    <row r="7204">
      <c r="A7204" s="146" t="s">
        <v>46407</v>
      </c>
      <c r="B7204" s="147" t="s">
        <v>46408</v>
      </c>
      <c r="C7204" s="147" t="s">
        <v>46409</v>
      </c>
      <c r="D7204" s="147" t="s">
        <v>33342</v>
      </c>
      <c r="E7204" s="148" t="s">
        <v>46410</v>
      </c>
      <c r="F7204" s="146" t="s">
        <v>23544</v>
      </c>
      <c r="G7204" s="146" t="s">
        <v>33344</v>
      </c>
      <c r="H7204" s="146"/>
      <c r="I7204" s="147"/>
      <c r="J7204" s="147" t="s">
        <v>46411</v>
      </c>
      <c r="K7204" s="147" t="s">
        <v>46412</v>
      </c>
      <c r="L7204" s="150" t="s">
        <v>46413</v>
      </c>
      <c r="M7204" s="147"/>
      <c r="N7204" s="12"/>
      <c r="O7204" s="12"/>
      <c r="P7204" s="13">
        <f>IFERROR(__xludf.DUMMYFUNCTION("VALUE(SUBSTITUTE((INDEX(SPLIT(A7204,"",""),1)),""."","","",1))"),61.433923)</f>
        <v>61.433923</v>
      </c>
      <c r="Q7204" s="13">
        <f>IFERROR(__xludf.DUMMYFUNCTION("VALUE(SUBSTITUTE((INDEX(SPLIT(A7204,"",""),2)),""."","","",1))"),55.130503)</f>
        <v>55.130503</v>
      </c>
      <c r="R7204" s="14" t="b">
        <f t="shared" si="1"/>
        <v>0</v>
      </c>
      <c r="S7204" s="14" t="str">
        <f t="shared" si="2"/>
        <v>61.433923,55.130503</v>
      </c>
      <c r="T7204" s="12"/>
    </row>
    <row r="7205">
      <c r="A7205" s="142" t="s">
        <v>46414</v>
      </c>
      <c r="B7205" s="143" t="s">
        <v>46415</v>
      </c>
      <c r="C7205" s="143" t="s">
        <v>46416</v>
      </c>
      <c r="D7205" s="143" t="s">
        <v>33342</v>
      </c>
      <c r="E7205" s="144" t="s">
        <v>46417</v>
      </c>
      <c r="F7205" s="142" t="s">
        <v>23544</v>
      </c>
      <c r="G7205" s="142" t="s">
        <v>33344</v>
      </c>
      <c r="H7205" s="142"/>
      <c r="I7205" s="143"/>
      <c r="J7205" s="143" t="s">
        <v>46418</v>
      </c>
      <c r="K7205" s="143" t="s">
        <v>46419</v>
      </c>
      <c r="L7205" s="152" t="s">
        <v>46420</v>
      </c>
      <c r="M7205" s="143"/>
      <c r="N7205" s="12"/>
      <c r="O7205" s="12"/>
      <c r="P7205" s="13">
        <f>IFERROR(__xludf.DUMMYFUNCTION("VALUE(SUBSTITUTE((INDEX(SPLIT(A7205,"",""),1)),""."","","",1))"),60.588716)</f>
        <v>60.588716</v>
      </c>
      <c r="Q7205" s="13">
        <f>IFERROR(__xludf.DUMMYFUNCTION("VALUE(SUBSTITUTE((INDEX(SPLIT(A7205,"",""),2)),""."","","",1))"),56.831433)</f>
        <v>56.831433</v>
      </c>
      <c r="R7205" s="14" t="b">
        <f t="shared" si="1"/>
        <v>0</v>
      </c>
      <c r="S7205" s="14" t="str">
        <f t="shared" si="2"/>
        <v>60.588716,56.831433</v>
      </c>
      <c r="T7205" s="12"/>
    </row>
    <row r="7206">
      <c r="A7206" s="146" t="s">
        <v>46421</v>
      </c>
      <c r="B7206" s="147" t="s">
        <v>46422</v>
      </c>
      <c r="C7206" s="147" t="s">
        <v>46423</v>
      </c>
      <c r="D7206" s="147" t="s">
        <v>33342</v>
      </c>
      <c r="E7206" s="148" t="s">
        <v>46424</v>
      </c>
      <c r="F7206" s="146" t="s">
        <v>23544</v>
      </c>
      <c r="G7206" s="146" t="s">
        <v>33344</v>
      </c>
      <c r="H7206" s="146"/>
      <c r="I7206" s="147"/>
      <c r="J7206" s="147" t="s">
        <v>46425</v>
      </c>
      <c r="K7206" s="147" t="s">
        <v>34118</v>
      </c>
      <c r="L7206" s="150" t="s">
        <v>46426</v>
      </c>
      <c r="M7206" s="147"/>
      <c r="N7206" s="12"/>
      <c r="O7206" s="12"/>
      <c r="P7206" s="13">
        <f>IFERROR(__xludf.DUMMYFUNCTION("VALUE(SUBSTITUTE((INDEX(SPLIT(A7206,"",""),1)),""."","","",1))"),61.413262)</f>
        <v>61.413262</v>
      </c>
      <c r="Q7206" s="13">
        <f>IFERROR(__xludf.DUMMYFUNCTION("VALUE(SUBSTITUTE((INDEX(SPLIT(A7206,"",""),2)),""."","","",1))"),55.155335)</f>
        <v>55.155335</v>
      </c>
      <c r="R7206" s="14" t="b">
        <f t="shared" si="1"/>
        <v>0</v>
      </c>
      <c r="S7206" s="14" t="str">
        <f t="shared" si="2"/>
        <v>61.413262,55.155335</v>
      </c>
      <c r="T7206" s="12"/>
    </row>
    <row r="7207">
      <c r="A7207" s="142" t="s">
        <v>46427</v>
      </c>
      <c r="B7207" s="143" t="s">
        <v>46428</v>
      </c>
      <c r="C7207" s="143" t="s">
        <v>46429</v>
      </c>
      <c r="D7207" s="143" t="s">
        <v>33342</v>
      </c>
      <c r="E7207" s="144" t="s">
        <v>46430</v>
      </c>
      <c r="F7207" s="142" t="s">
        <v>23544</v>
      </c>
      <c r="G7207" s="142" t="s">
        <v>33344</v>
      </c>
      <c r="H7207" s="142"/>
      <c r="I7207" s="143"/>
      <c r="J7207" s="143" t="s">
        <v>46431</v>
      </c>
      <c r="K7207" s="143" t="s">
        <v>39837</v>
      </c>
      <c r="L7207" s="152" t="s">
        <v>46432</v>
      </c>
      <c r="M7207" s="143"/>
      <c r="N7207" s="12"/>
      <c r="O7207" s="12"/>
      <c r="P7207" s="13">
        <f>IFERROR(__xludf.DUMMYFUNCTION("VALUE(SUBSTITUTE((INDEX(SPLIT(A7207,"",""),1)),""."","","",1))"),61.364744)</f>
        <v>61.364744</v>
      </c>
      <c r="Q7207" s="13">
        <f>IFERROR(__xludf.DUMMYFUNCTION("VALUE(SUBSTITUTE((INDEX(SPLIT(A7207,"",""),2)),""."","","",1))"),55.091603)</f>
        <v>55.091603</v>
      </c>
      <c r="R7207" s="14" t="b">
        <f t="shared" si="1"/>
        <v>0</v>
      </c>
      <c r="S7207" s="14" t="str">
        <f t="shared" si="2"/>
        <v>61.364744,55.091603</v>
      </c>
      <c r="T7207" s="12"/>
    </row>
    <row r="7208">
      <c r="A7208" s="146" t="s">
        <v>46433</v>
      </c>
      <c r="B7208" s="147" t="s">
        <v>46434</v>
      </c>
      <c r="C7208" s="147" t="s">
        <v>46435</v>
      </c>
      <c r="D7208" s="147" t="s">
        <v>33342</v>
      </c>
      <c r="E7208" s="148" t="s">
        <v>46436</v>
      </c>
      <c r="F7208" s="146" t="s">
        <v>23544</v>
      </c>
      <c r="G7208" s="146" t="s">
        <v>33344</v>
      </c>
      <c r="H7208" s="146"/>
      <c r="I7208" s="147"/>
      <c r="J7208" s="147" t="s">
        <v>46437</v>
      </c>
      <c r="K7208" s="147" t="s">
        <v>46438</v>
      </c>
      <c r="L7208" s="150" t="s">
        <v>46439</v>
      </c>
      <c r="M7208" s="147"/>
      <c r="N7208" s="12"/>
      <c r="O7208" s="12"/>
      <c r="P7208" s="13">
        <f>IFERROR(__xludf.DUMMYFUNCTION("VALUE(SUBSTITUTE((INDEX(SPLIT(A7208,"",""),1)),""."","","",1))"),61.396041)</f>
        <v>61.396041</v>
      </c>
      <c r="Q7208" s="13">
        <f>IFERROR(__xludf.DUMMYFUNCTION("VALUE(SUBSTITUTE((INDEX(SPLIT(A7208,"",""),2)),""."","","",1))"),55.144824)</f>
        <v>55.144824</v>
      </c>
      <c r="R7208" s="14" t="b">
        <f t="shared" si="1"/>
        <v>0</v>
      </c>
      <c r="S7208" s="14" t="str">
        <f t="shared" si="2"/>
        <v>61.396041,55.144824</v>
      </c>
      <c r="T7208" s="12"/>
    </row>
    <row r="7209">
      <c r="A7209" s="142" t="s">
        <v>46440</v>
      </c>
      <c r="B7209" s="143" t="s">
        <v>46441</v>
      </c>
      <c r="C7209" s="143" t="s">
        <v>46442</v>
      </c>
      <c r="D7209" s="143" t="s">
        <v>33342</v>
      </c>
      <c r="E7209" s="144" t="s">
        <v>46443</v>
      </c>
      <c r="F7209" s="142" t="s">
        <v>23544</v>
      </c>
      <c r="G7209" s="142" t="s">
        <v>33344</v>
      </c>
      <c r="H7209" s="142"/>
      <c r="I7209" s="143"/>
      <c r="J7209" s="143" t="s">
        <v>46444</v>
      </c>
      <c r="K7209" s="143" t="s">
        <v>46445</v>
      </c>
      <c r="L7209" s="145" t="s">
        <v>46446</v>
      </c>
      <c r="M7209" s="145" t="s">
        <v>46447</v>
      </c>
      <c r="N7209" s="12"/>
      <c r="O7209" s="12"/>
      <c r="P7209" s="13">
        <f>IFERROR(__xludf.DUMMYFUNCTION("VALUE(SUBSTITUTE((INDEX(SPLIT(A7209,"",""),1)),""."","","",1))"),61.257287)</f>
        <v>61.257287</v>
      </c>
      <c r="Q7209" s="13">
        <f>IFERROR(__xludf.DUMMYFUNCTION("VALUE(SUBSTITUTE((INDEX(SPLIT(A7209,"",""),2)),""."","","",1))"),55.014706)</f>
        <v>55.014706</v>
      </c>
      <c r="R7209" s="14" t="b">
        <f t="shared" si="1"/>
        <v>0</v>
      </c>
      <c r="S7209" s="14" t="str">
        <f t="shared" si="2"/>
        <v>61.257287,55.014706</v>
      </c>
      <c r="T7209" s="12"/>
    </row>
    <row r="7210">
      <c r="A7210" s="146" t="s">
        <v>46448</v>
      </c>
      <c r="B7210" s="147" t="s">
        <v>46449</v>
      </c>
      <c r="C7210" s="147" t="s">
        <v>46450</v>
      </c>
      <c r="D7210" s="147" t="s">
        <v>33342</v>
      </c>
      <c r="E7210" s="148" t="s">
        <v>46451</v>
      </c>
      <c r="F7210" s="146" t="s">
        <v>23544</v>
      </c>
      <c r="G7210" s="146" t="s">
        <v>33344</v>
      </c>
      <c r="H7210" s="146"/>
      <c r="I7210" s="151" t="s">
        <v>46452</v>
      </c>
      <c r="J7210" s="147" t="s">
        <v>46453</v>
      </c>
      <c r="K7210" s="147" t="s">
        <v>46454</v>
      </c>
      <c r="L7210" s="149" t="s">
        <v>46455</v>
      </c>
      <c r="M7210" s="147"/>
      <c r="N7210" s="12"/>
      <c r="O7210" s="12"/>
      <c r="P7210" s="13">
        <f>IFERROR(__xludf.DUMMYFUNCTION("VALUE(SUBSTITUTE((INDEX(SPLIT(A7210,"",""),1)),""."","","",1))"),61.3979)</f>
        <v>61.3979</v>
      </c>
      <c r="Q7210" s="13">
        <f>IFERROR(__xludf.DUMMYFUNCTION("VALUE(SUBSTITUTE((INDEX(SPLIT(A7210,"",""),2)),""."","","",1))"),55.152907)</f>
        <v>55.152907</v>
      </c>
      <c r="R7210" s="14" t="b">
        <f t="shared" si="1"/>
        <v>0</v>
      </c>
      <c r="S7210" s="14" t="str">
        <f t="shared" si="2"/>
        <v>61.3979,55.152907</v>
      </c>
      <c r="T7210" s="12"/>
    </row>
    <row r="7211">
      <c r="A7211" s="142" t="s">
        <v>46456</v>
      </c>
      <c r="B7211" s="143" t="s">
        <v>46457</v>
      </c>
      <c r="C7211" s="143" t="s">
        <v>46458</v>
      </c>
      <c r="D7211" s="143" t="s">
        <v>33342</v>
      </c>
      <c r="E7211" s="144" t="s">
        <v>46459</v>
      </c>
      <c r="F7211" s="142" t="s">
        <v>23544</v>
      </c>
      <c r="G7211" s="142" t="s">
        <v>33344</v>
      </c>
      <c r="H7211" s="142"/>
      <c r="I7211" s="143"/>
      <c r="J7211" s="143" t="s">
        <v>46460</v>
      </c>
      <c r="K7211" s="143" t="s">
        <v>46461</v>
      </c>
      <c r="L7211" s="152" t="s">
        <v>46462</v>
      </c>
      <c r="M7211" s="143"/>
      <c r="N7211" s="12"/>
      <c r="O7211" s="12"/>
      <c r="P7211" s="13">
        <f>IFERROR(__xludf.DUMMYFUNCTION("VALUE(SUBSTITUTE((INDEX(SPLIT(A7211,"",""),1)),""."","","",1))"),61.388971)</f>
        <v>61.388971</v>
      </c>
      <c r="Q7211" s="13">
        <f>IFERROR(__xludf.DUMMYFUNCTION("VALUE(SUBSTITUTE((INDEX(SPLIT(A7211,"",""),2)),""."","","",1))"),55.153277)</f>
        <v>55.153277</v>
      </c>
      <c r="R7211" s="14" t="b">
        <f t="shared" si="1"/>
        <v>0</v>
      </c>
      <c r="S7211" s="14" t="str">
        <f t="shared" si="2"/>
        <v>61.388971,55.153277</v>
      </c>
      <c r="T7211" s="12"/>
    </row>
    <row r="7212">
      <c r="A7212" s="139" t="s">
        <v>46463</v>
      </c>
      <c r="B7212" s="140" t="s">
        <v>46464</v>
      </c>
      <c r="C7212" s="140" t="s">
        <v>46465</v>
      </c>
      <c r="D7212" s="140" t="s">
        <v>33342</v>
      </c>
      <c r="E7212" s="141" t="s">
        <v>46466</v>
      </c>
      <c r="F7212" s="139" t="s">
        <v>23544</v>
      </c>
      <c r="G7212" s="139" t="s">
        <v>33344</v>
      </c>
      <c r="H7212" s="139"/>
      <c r="I7212" s="140"/>
      <c r="J7212" s="140" t="s">
        <v>46467</v>
      </c>
      <c r="K7212" s="140" t="s">
        <v>46468</v>
      </c>
      <c r="L7212" s="140"/>
      <c r="M7212" s="154" t="s">
        <v>46469</v>
      </c>
      <c r="N7212" s="12"/>
      <c r="O7212" s="12"/>
      <c r="P7212" s="13">
        <f>IFERROR(__xludf.DUMMYFUNCTION("VALUE(SUBSTITUTE((INDEX(SPLIT(A7212,"",""),1)),""."","","",1))"),61.347181)</f>
        <v>61.347181</v>
      </c>
      <c r="Q7212" s="13">
        <f>IFERROR(__xludf.DUMMYFUNCTION("VALUE(SUBSTITUTE((INDEX(SPLIT(A7212,"",""),2)),""."","","",1))"),55.100917)</f>
        <v>55.100917</v>
      </c>
      <c r="R7212" s="14" t="b">
        <f t="shared" si="1"/>
        <v>0</v>
      </c>
      <c r="S7212" s="14" t="str">
        <f t="shared" si="2"/>
        <v>61.347181,55.100917</v>
      </c>
      <c r="T7212" s="12"/>
    </row>
    <row r="7213">
      <c r="A7213" s="136" t="s">
        <v>46470</v>
      </c>
      <c r="B7213" s="137" t="s">
        <v>46471</v>
      </c>
      <c r="C7213" s="137" t="s">
        <v>46472</v>
      </c>
      <c r="D7213" s="137" t="s">
        <v>33342</v>
      </c>
      <c r="E7213" s="138" t="s">
        <v>46473</v>
      </c>
      <c r="F7213" s="136" t="s">
        <v>23544</v>
      </c>
      <c r="G7213" s="136" t="s">
        <v>33344</v>
      </c>
      <c r="H7213" s="136"/>
      <c r="I7213" s="137"/>
      <c r="J7213" s="137" t="s">
        <v>46474</v>
      </c>
      <c r="K7213" s="137" t="s">
        <v>46475</v>
      </c>
      <c r="L7213" s="137"/>
      <c r="M7213" s="153" t="s">
        <v>46476</v>
      </c>
      <c r="N7213" s="12"/>
      <c r="O7213" s="12"/>
      <c r="P7213" s="13">
        <f>IFERROR(__xludf.DUMMYFUNCTION("VALUE(SUBSTITUTE((INDEX(SPLIT(A7213,"",""),1)),""."","","",1))"),61.388342)</f>
        <v>61.388342</v>
      </c>
      <c r="Q7213" s="13">
        <f>IFERROR(__xludf.DUMMYFUNCTION("VALUE(SUBSTITUTE((INDEX(SPLIT(A7213,"",""),2)),""."","","",1))"),55.046352)</f>
        <v>55.046352</v>
      </c>
      <c r="R7213" s="14" t="b">
        <f t="shared" si="1"/>
        <v>0</v>
      </c>
      <c r="S7213" s="14" t="str">
        <f t="shared" si="2"/>
        <v>61.388342,55.046352</v>
      </c>
      <c r="T7213" s="12"/>
    </row>
    <row r="7214">
      <c r="A7214" s="146" t="s">
        <v>46477</v>
      </c>
      <c r="B7214" s="147" t="s">
        <v>46478</v>
      </c>
      <c r="C7214" s="147" t="s">
        <v>46479</v>
      </c>
      <c r="D7214" s="147" t="s">
        <v>33342</v>
      </c>
      <c r="E7214" s="148" t="s">
        <v>46480</v>
      </c>
      <c r="F7214" s="146" t="s">
        <v>23544</v>
      </c>
      <c r="G7214" s="146" t="s">
        <v>33344</v>
      </c>
      <c r="H7214" s="146"/>
      <c r="I7214" s="147"/>
      <c r="J7214" s="147" t="s">
        <v>46481</v>
      </c>
      <c r="K7214" s="147" t="s">
        <v>46482</v>
      </c>
      <c r="L7214" s="149" t="s">
        <v>46483</v>
      </c>
      <c r="M7214" s="149" t="s">
        <v>46484</v>
      </c>
      <c r="N7214" s="12"/>
      <c r="O7214" s="12"/>
      <c r="P7214" s="13">
        <f>IFERROR(__xludf.DUMMYFUNCTION("VALUE(SUBSTITUTE((INDEX(SPLIT(A7214,"",""),1)),""."","","",1))"),61.494604)</f>
        <v>61.494604</v>
      </c>
      <c r="Q7214" s="13">
        <f>IFERROR(__xludf.DUMMYFUNCTION("VALUE(SUBSTITUTE((INDEX(SPLIT(A7214,"",""),2)),""."","","",1))"),55.159048)</f>
        <v>55.159048</v>
      </c>
      <c r="R7214" s="14" t="b">
        <f t="shared" si="1"/>
        <v>0</v>
      </c>
      <c r="S7214" s="14" t="str">
        <f t="shared" si="2"/>
        <v>61.494604,55.159048</v>
      </c>
      <c r="T7214" s="12"/>
    </row>
    <row r="7215">
      <c r="A7215" s="142" t="s">
        <v>46485</v>
      </c>
      <c r="B7215" s="143" t="s">
        <v>46486</v>
      </c>
      <c r="C7215" s="143" t="s">
        <v>46487</v>
      </c>
      <c r="D7215" s="143" t="s">
        <v>33342</v>
      </c>
      <c r="E7215" s="144" t="s">
        <v>46488</v>
      </c>
      <c r="F7215" s="142" t="s">
        <v>23544</v>
      </c>
      <c r="G7215" s="142" t="s">
        <v>33344</v>
      </c>
      <c r="H7215" s="142"/>
      <c r="I7215" s="143"/>
      <c r="J7215" s="143" t="s">
        <v>46489</v>
      </c>
      <c r="K7215" s="143" t="s">
        <v>46490</v>
      </c>
      <c r="L7215" s="145" t="s">
        <v>46491</v>
      </c>
      <c r="M7215" s="145" t="s">
        <v>46492</v>
      </c>
      <c r="N7215" s="12"/>
      <c r="O7215" s="12"/>
      <c r="P7215" s="13">
        <f>IFERROR(__xludf.DUMMYFUNCTION("VALUE(SUBSTITUTE((INDEX(SPLIT(A7215,"",""),1)),""."","","",1))"),55.245774)</f>
        <v>55.245774</v>
      </c>
      <c r="Q7215" s="13">
        <f>IFERROR(__xludf.DUMMYFUNCTION("VALUE(SUBSTITUTE((INDEX(SPLIT(A7215,"",""),2)),""."","","",1))"),61.923648)</f>
        <v>61.923648</v>
      </c>
      <c r="R7215" s="14" t="b">
        <f t="shared" si="1"/>
        <v>0</v>
      </c>
      <c r="S7215" s="14" t="str">
        <f t="shared" si="2"/>
        <v>55.245774,61.923648</v>
      </c>
      <c r="T7215" s="12"/>
    </row>
    <row r="7216">
      <c r="A7216" s="146" t="s">
        <v>46493</v>
      </c>
      <c r="B7216" s="147" t="s">
        <v>46494</v>
      </c>
      <c r="C7216" s="147" t="s">
        <v>46495</v>
      </c>
      <c r="D7216" s="147" t="s">
        <v>33342</v>
      </c>
      <c r="E7216" s="148" t="s">
        <v>46496</v>
      </c>
      <c r="F7216" s="146" t="s">
        <v>23544</v>
      </c>
      <c r="G7216" s="146" t="s">
        <v>33344</v>
      </c>
      <c r="H7216" s="146"/>
      <c r="I7216" s="147"/>
      <c r="J7216" s="147" t="s">
        <v>46497</v>
      </c>
      <c r="K7216" s="147" t="s">
        <v>46498</v>
      </c>
      <c r="L7216" s="150" t="s">
        <v>46499</v>
      </c>
      <c r="M7216" s="147"/>
      <c r="N7216" s="12"/>
      <c r="O7216" s="12"/>
      <c r="P7216" s="13">
        <f>IFERROR(__xludf.DUMMYFUNCTION("VALUE(SUBSTITUTE((INDEX(SPLIT(A7216,"",""),1)),""."","","",1))"),61.472362)</f>
        <v>61.472362</v>
      </c>
      <c r="Q7216" s="13">
        <f>IFERROR(__xludf.DUMMYFUNCTION("VALUE(SUBSTITUTE((INDEX(SPLIT(A7216,"",""),2)),""."","","",1))"),55.159974)</f>
        <v>55.159974</v>
      </c>
      <c r="R7216" s="14" t="b">
        <f t="shared" si="1"/>
        <v>0</v>
      </c>
      <c r="S7216" s="14" t="str">
        <f t="shared" si="2"/>
        <v>61.472362,55.159974</v>
      </c>
      <c r="T7216" s="12"/>
    </row>
    <row r="7217">
      <c r="A7217" s="142" t="s">
        <v>46500</v>
      </c>
      <c r="B7217" s="143" t="s">
        <v>46501</v>
      </c>
      <c r="C7217" s="143" t="s">
        <v>46502</v>
      </c>
      <c r="D7217" s="143" t="s">
        <v>33342</v>
      </c>
      <c r="E7217" s="144" t="s">
        <v>46503</v>
      </c>
      <c r="F7217" s="142" t="s">
        <v>23544</v>
      </c>
      <c r="G7217" s="142" t="s">
        <v>33344</v>
      </c>
      <c r="H7217" s="142"/>
      <c r="I7217" s="143"/>
      <c r="J7217" s="143" t="s">
        <v>46504</v>
      </c>
      <c r="K7217" s="143" t="s">
        <v>46505</v>
      </c>
      <c r="L7217" s="145" t="s">
        <v>46506</v>
      </c>
      <c r="M7217" s="143"/>
      <c r="N7217" s="12"/>
      <c r="O7217" s="12"/>
      <c r="P7217" s="13">
        <f>IFERROR(__xludf.DUMMYFUNCTION("VALUE(SUBSTITUTE((INDEX(SPLIT(A7217,"",""),1)),""."","","",1))"),61.519281)</f>
        <v>61.519281</v>
      </c>
      <c r="Q7217" s="13">
        <f>IFERROR(__xludf.DUMMYFUNCTION("VALUE(SUBSTITUTE((INDEX(SPLIT(A7217,"",""),2)),""."","","",1))"),55.158658)</f>
        <v>55.158658</v>
      </c>
      <c r="R7217" s="14" t="b">
        <f t="shared" si="1"/>
        <v>0</v>
      </c>
      <c r="S7217" s="14" t="str">
        <f t="shared" si="2"/>
        <v>61.519281,55.158658</v>
      </c>
      <c r="T7217" s="12"/>
    </row>
    <row r="7218">
      <c r="A7218" s="146" t="s">
        <v>46507</v>
      </c>
      <c r="B7218" s="147" t="s">
        <v>46508</v>
      </c>
      <c r="C7218" s="147" t="s">
        <v>46509</v>
      </c>
      <c r="D7218" s="147" t="s">
        <v>33342</v>
      </c>
      <c r="E7218" s="148" t="s">
        <v>46510</v>
      </c>
      <c r="F7218" s="146" t="s">
        <v>23544</v>
      </c>
      <c r="G7218" s="146" t="s">
        <v>33344</v>
      </c>
      <c r="H7218" s="146"/>
      <c r="I7218" s="147"/>
      <c r="J7218" s="147" t="s">
        <v>46511</v>
      </c>
      <c r="K7218" s="147" t="s">
        <v>30892</v>
      </c>
      <c r="L7218" s="149" t="s">
        <v>46512</v>
      </c>
      <c r="M7218" s="147"/>
      <c r="N7218" s="12"/>
      <c r="O7218" s="12"/>
      <c r="P7218" s="13">
        <f>IFERROR(__xludf.DUMMYFUNCTION("VALUE(SUBSTITUTE((INDEX(SPLIT(A7218,"",""),1)),""."","","",1))"),61.417358)</f>
        <v>61.417358</v>
      </c>
      <c r="Q7218" s="13">
        <f>IFERROR(__xludf.DUMMYFUNCTION("VALUE(SUBSTITUTE((INDEX(SPLIT(A7218,"",""),2)),""."","","",1))"),55.166927)</f>
        <v>55.166927</v>
      </c>
      <c r="R7218" s="14" t="b">
        <f t="shared" si="1"/>
        <v>0</v>
      </c>
      <c r="S7218" s="14" t="str">
        <f t="shared" si="2"/>
        <v>61.417358,55.166927</v>
      </c>
      <c r="T7218" s="12"/>
    </row>
    <row r="7219">
      <c r="A7219" s="142" t="s">
        <v>46513</v>
      </c>
      <c r="B7219" s="143" t="s">
        <v>46514</v>
      </c>
      <c r="C7219" s="143" t="s">
        <v>46515</v>
      </c>
      <c r="D7219" s="143" t="s">
        <v>33342</v>
      </c>
      <c r="E7219" s="144" t="s">
        <v>46516</v>
      </c>
      <c r="F7219" s="142" t="s">
        <v>23544</v>
      </c>
      <c r="G7219" s="142" t="s">
        <v>33344</v>
      </c>
      <c r="H7219" s="142"/>
      <c r="I7219" s="143"/>
      <c r="J7219" s="143" t="s">
        <v>46517</v>
      </c>
      <c r="K7219" s="143" t="s">
        <v>46518</v>
      </c>
      <c r="L7219" s="145" t="s">
        <v>46519</v>
      </c>
      <c r="M7219" s="145" t="s">
        <v>46520</v>
      </c>
      <c r="N7219" s="12"/>
      <c r="O7219" s="12"/>
      <c r="P7219" s="13">
        <f>IFERROR(__xludf.DUMMYFUNCTION("VALUE(SUBSTITUTE((INDEX(SPLIT(A7219,"",""),1)),""."","","",1))"),61.405096)</f>
        <v>61.405096</v>
      </c>
      <c r="Q7219" s="13">
        <f>IFERROR(__xludf.DUMMYFUNCTION("VALUE(SUBSTITUTE((INDEX(SPLIT(A7219,"",""),2)),""."","","",1))"),55.173992)</f>
        <v>55.173992</v>
      </c>
      <c r="R7219" s="14" t="b">
        <f t="shared" si="1"/>
        <v>0</v>
      </c>
      <c r="S7219" s="14" t="str">
        <f t="shared" si="2"/>
        <v>61.405096,55.173992</v>
      </c>
      <c r="T7219" s="12"/>
    </row>
    <row r="7220">
      <c r="A7220" s="139" t="s">
        <v>46521</v>
      </c>
      <c r="B7220" s="140" t="s">
        <v>46522</v>
      </c>
      <c r="C7220" s="140" t="s">
        <v>46523</v>
      </c>
      <c r="D7220" s="140" t="s">
        <v>33342</v>
      </c>
      <c r="E7220" s="141" t="s">
        <v>46524</v>
      </c>
      <c r="F7220" s="139" t="s">
        <v>23544</v>
      </c>
      <c r="G7220" s="139" t="s">
        <v>33344</v>
      </c>
      <c r="H7220" s="139"/>
      <c r="I7220" s="140"/>
      <c r="J7220" s="140" t="s">
        <v>46525</v>
      </c>
      <c r="K7220" s="140" t="s">
        <v>46526</v>
      </c>
      <c r="L7220" s="140"/>
      <c r="M7220" s="140"/>
      <c r="N7220" s="12"/>
      <c r="O7220" s="12"/>
      <c r="P7220" s="13">
        <f>IFERROR(__xludf.DUMMYFUNCTION("VALUE(SUBSTITUTE((INDEX(SPLIT(A7220,"",""),1)),""."","","",1))"),61.251735)</f>
        <v>61.251735</v>
      </c>
      <c r="Q7220" s="13">
        <f>IFERROR(__xludf.DUMMYFUNCTION("VALUE(SUBSTITUTE((INDEX(SPLIT(A7220,"",""),2)),""."","","",1))"),55.155767)</f>
        <v>55.155767</v>
      </c>
      <c r="R7220" s="14" t="b">
        <f t="shared" si="1"/>
        <v>0</v>
      </c>
      <c r="S7220" s="14" t="str">
        <f t="shared" si="2"/>
        <v>61.251735,55.155767</v>
      </c>
      <c r="T7220" s="12"/>
    </row>
    <row r="7221">
      <c r="A7221" s="142" t="s">
        <v>46527</v>
      </c>
      <c r="B7221" s="143" t="s">
        <v>46528</v>
      </c>
      <c r="C7221" s="143" t="s">
        <v>46529</v>
      </c>
      <c r="D7221" s="143" t="s">
        <v>33342</v>
      </c>
      <c r="E7221" s="144" t="s">
        <v>46530</v>
      </c>
      <c r="F7221" s="142" t="s">
        <v>23544</v>
      </c>
      <c r="G7221" s="142" t="s">
        <v>33344</v>
      </c>
      <c r="H7221" s="142"/>
      <c r="I7221" s="143"/>
      <c r="J7221" s="143" t="s">
        <v>46531</v>
      </c>
      <c r="K7221" s="143" t="s">
        <v>46532</v>
      </c>
      <c r="L7221" s="145" t="s">
        <v>46533</v>
      </c>
      <c r="M7221" s="143"/>
      <c r="N7221" s="12"/>
      <c r="O7221" s="12"/>
      <c r="P7221" s="13">
        <f>IFERROR(__xludf.DUMMYFUNCTION("VALUE(SUBSTITUTE((INDEX(SPLIT(A7221,"",""),1)),""."","","",1))"),58.977749)</f>
        <v>58.977749</v>
      </c>
      <c r="Q7221" s="13">
        <f>IFERROR(__xludf.DUMMYFUNCTION("VALUE(SUBSTITUTE((INDEX(SPLIT(A7221,"",""),2)),""."","","",1))"),53.430013)</f>
        <v>53.430013</v>
      </c>
      <c r="R7221" s="14" t="b">
        <f t="shared" si="1"/>
        <v>0</v>
      </c>
      <c r="S7221" s="14" t="str">
        <f t="shared" si="2"/>
        <v>58.977749,53.430013</v>
      </c>
      <c r="T7221" s="12"/>
    </row>
    <row r="7222">
      <c r="A7222" s="139" t="s">
        <v>46534</v>
      </c>
      <c r="B7222" s="140" t="s">
        <v>46535</v>
      </c>
      <c r="C7222" s="140" t="s">
        <v>46536</v>
      </c>
      <c r="D7222" s="140" t="s">
        <v>33342</v>
      </c>
      <c r="E7222" s="141" t="s">
        <v>46537</v>
      </c>
      <c r="F7222" s="139" t="s">
        <v>23544</v>
      </c>
      <c r="G7222" s="139" t="s">
        <v>33344</v>
      </c>
      <c r="H7222" s="139"/>
      <c r="I7222" s="140"/>
      <c r="J7222" s="140" t="s">
        <v>46538</v>
      </c>
      <c r="K7222" s="140" t="s">
        <v>46539</v>
      </c>
      <c r="L7222" s="140"/>
      <c r="M7222" s="140"/>
      <c r="N7222" s="12"/>
      <c r="O7222" s="12"/>
      <c r="P7222" s="13">
        <f>IFERROR(__xludf.DUMMYFUNCTION("VALUE(SUBSTITUTE((INDEX(SPLIT(A7222,"",""),1)),""."","","",1))"),59.005202)</f>
        <v>59.005202</v>
      </c>
      <c r="Q7222" s="13">
        <f>IFERROR(__xludf.DUMMYFUNCTION("VALUE(SUBSTITUTE((INDEX(SPLIT(A7222,"",""),2)),""."","","",1))"),53.362129)</f>
        <v>53.362129</v>
      </c>
      <c r="R7222" s="14" t="b">
        <f t="shared" si="1"/>
        <v>0</v>
      </c>
      <c r="S7222" s="14" t="str">
        <f t="shared" si="2"/>
        <v>59.005202,53.362129</v>
      </c>
      <c r="T7222" s="12"/>
    </row>
    <row r="7223">
      <c r="A7223" s="142" t="s">
        <v>46540</v>
      </c>
      <c r="B7223" s="143" t="s">
        <v>46541</v>
      </c>
      <c r="C7223" s="143" t="s">
        <v>46542</v>
      </c>
      <c r="D7223" s="143" t="s">
        <v>33342</v>
      </c>
      <c r="E7223" s="144" t="s">
        <v>46543</v>
      </c>
      <c r="F7223" s="142" t="s">
        <v>23544</v>
      </c>
      <c r="G7223" s="142" t="s">
        <v>33344</v>
      </c>
      <c r="H7223" s="142"/>
      <c r="I7223" s="143"/>
      <c r="J7223" s="143" t="s">
        <v>46544</v>
      </c>
      <c r="K7223" s="143" t="s">
        <v>35639</v>
      </c>
      <c r="L7223" s="145" t="s">
        <v>46545</v>
      </c>
      <c r="M7223" s="145" t="s">
        <v>46546</v>
      </c>
      <c r="N7223" s="12"/>
      <c r="O7223" s="12"/>
      <c r="P7223" s="13">
        <f>IFERROR(__xludf.DUMMYFUNCTION("VALUE(SUBSTITUTE((INDEX(SPLIT(A7223,"",""),1)),""."","","",1))"),59.069135)</f>
        <v>59.069135</v>
      </c>
      <c r="Q7223" s="13">
        <f>IFERROR(__xludf.DUMMYFUNCTION("VALUE(SUBSTITUTE((INDEX(SPLIT(A7223,"",""),2)),""."","","",1))"),53.445065)</f>
        <v>53.445065</v>
      </c>
      <c r="R7223" s="14" t="b">
        <f t="shared" si="1"/>
        <v>0</v>
      </c>
      <c r="S7223" s="14" t="str">
        <f t="shared" si="2"/>
        <v>59.069135,53.445065</v>
      </c>
      <c r="T7223" s="12"/>
    </row>
    <row r="7224">
      <c r="A7224" s="146" t="s">
        <v>46547</v>
      </c>
      <c r="B7224" s="147" t="s">
        <v>46548</v>
      </c>
      <c r="C7224" s="147" t="s">
        <v>46549</v>
      </c>
      <c r="D7224" s="147" t="s">
        <v>33342</v>
      </c>
      <c r="E7224" s="148" t="s">
        <v>46550</v>
      </c>
      <c r="F7224" s="146" t="s">
        <v>23544</v>
      </c>
      <c r="G7224" s="146" t="s">
        <v>33344</v>
      </c>
      <c r="H7224" s="146"/>
      <c r="I7224" s="147"/>
      <c r="J7224" s="147" t="s">
        <v>46551</v>
      </c>
      <c r="K7224" s="147" t="s">
        <v>46552</v>
      </c>
      <c r="L7224" s="150" t="s">
        <v>46553</v>
      </c>
      <c r="M7224" s="147"/>
      <c r="N7224" s="12"/>
      <c r="O7224" s="12"/>
      <c r="P7224" s="13">
        <f>IFERROR(__xludf.DUMMYFUNCTION("VALUE(SUBSTITUTE((INDEX(SPLIT(A7224,"",""),1)),""."","","",1))"),59.073941)</f>
        <v>59.073941</v>
      </c>
      <c r="Q7224" s="13">
        <f>IFERROR(__xludf.DUMMYFUNCTION("VALUE(SUBSTITUTE((INDEX(SPLIT(A7224,"",""),2)),""."","","",1))"),53.426585)</f>
        <v>53.426585</v>
      </c>
      <c r="R7224" s="14" t="b">
        <f t="shared" si="1"/>
        <v>0</v>
      </c>
      <c r="S7224" s="14" t="str">
        <f t="shared" si="2"/>
        <v>59.073941,53.426585</v>
      </c>
      <c r="T7224" s="12"/>
    </row>
    <row r="7225">
      <c r="A7225" s="136" t="s">
        <v>46554</v>
      </c>
      <c r="B7225" s="137" t="s">
        <v>24400</v>
      </c>
      <c r="C7225" s="137" t="s">
        <v>46555</v>
      </c>
      <c r="D7225" s="137" t="s">
        <v>33342</v>
      </c>
      <c r="E7225" s="138" t="s">
        <v>46556</v>
      </c>
      <c r="F7225" s="136" t="s">
        <v>23544</v>
      </c>
      <c r="G7225" s="136" t="s">
        <v>33344</v>
      </c>
      <c r="H7225" s="136"/>
      <c r="I7225" s="137"/>
      <c r="J7225" s="137" t="s">
        <v>46557</v>
      </c>
      <c r="K7225" s="137" t="s">
        <v>46558</v>
      </c>
      <c r="L7225" s="137"/>
      <c r="M7225" s="137"/>
      <c r="N7225" s="12"/>
      <c r="O7225" s="12"/>
      <c r="P7225" s="13">
        <f>IFERROR(__xludf.DUMMYFUNCTION("VALUE(SUBSTITUTE((INDEX(SPLIT(A7225,"",""),1)),""."","","",1))"),59.095339)</f>
        <v>59.095339</v>
      </c>
      <c r="Q7225" s="13">
        <f>IFERROR(__xludf.DUMMYFUNCTION("VALUE(SUBSTITUTE((INDEX(SPLIT(A7225,"",""),2)),""."","","",1))"),53.413362)</f>
        <v>53.413362</v>
      </c>
      <c r="R7225" s="14" t="b">
        <f t="shared" si="1"/>
        <v>0</v>
      </c>
      <c r="S7225" s="14" t="str">
        <f t="shared" si="2"/>
        <v>59.095339,53.413362</v>
      </c>
      <c r="T7225" s="12"/>
    </row>
    <row r="7226">
      <c r="A7226" s="146" t="s">
        <v>46559</v>
      </c>
      <c r="B7226" s="147" t="s">
        <v>46560</v>
      </c>
      <c r="C7226" s="147" t="s">
        <v>46561</v>
      </c>
      <c r="D7226" s="147" t="s">
        <v>33342</v>
      </c>
      <c r="E7226" s="148" t="s">
        <v>46562</v>
      </c>
      <c r="F7226" s="146" t="s">
        <v>23544</v>
      </c>
      <c r="G7226" s="146" t="s">
        <v>33344</v>
      </c>
      <c r="H7226" s="146"/>
      <c r="I7226" s="147"/>
      <c r="J7226" s="147" t="s">
        <v>46563</v>
      </c>
      <c r="K7226" s="147" t="s">
        <v>46564</v>
      </c>
      <c r="L7226" s="149" t="s">
        <v>46565</v>
      </c>
      <c r="M7226" s="147"/>
      <c r="N7226" s="12"/>
      <c r="O7226" s="12"/>
      <c r="P7226" s="13">
        <f>IFERROR(__xludf.DUMMYFUNCTION("VALUE(SUBSTITUTE((INDEX(SPLIT(A7226,"",""),1)),""."","","",1))"),59.124363)</f>
        <v>59.124363</v>
      </c>
      <c r="Q7226" s="13">
        <f>IFERROR(__xludf.DUMMYFUNCTION("VALUE(SUBSTITUTE((INDEX(SPLIT(A7226,"",""),2)),""."","","",1))"),53.295353)</f>
        <v>53.295353</v>
      </c>
      <c r="R7226" s="14" t="b">
        <f t="shared" si="1"/>
        <v>0</v>
      </c>
      <c r="S7226" s="14" t="str">
        <f t="shared" si="2"/>
        <v>59.124363,53.295353</v>
      </c>
      <c r="T7226" s="12"/>
    </row>
    <row r="7227">
      <c r="A7227" s="142" t="s">
        <v>46566</v>
      </c>
      <c r="B7227" s="143" t="s">
        <v>46567</v>
      </c>
      <c r="C7227" s="143" t="s">
        <v>46568</v>
      </c>
      <c r="D7227" s="143" t="s">
        <v>33342</v>
      </c>
      <c r="E7227" s="144" t="s">
        <v>46569</v>
      </c>
      <c r="F7227" s="142" t="s">
        <v>23544</v>
      </c>
      <c r="G7227" s="142" t="s">
        <v>33344</v>
      </c>
      <c r="H7227" s="142"/>
      <c r="I7227" s="143"/>
      <c r="J7227" s="143" t="s">
        <v>46570</v>
      </c>
      <c r="K7227" s="143" t="s">
        <v>46571</v>
      </c>
      <c r="L7227" s="152" t="s">
        <v>46572</v>
      </c>
      <c r="M7227" s="143"/>
      <c r="N7227" s="12"/>
      <c r="O7227" s="12"/>
      <c r="P7227" s="13">
        <f>IFERROR(__xludf.DUMMYFUNCTION("VALUE(SUBSTITUTE((INDEX(SPLIT(A7227,"",""),1)),""."","","",1))"),59.048833)</f>
        <v>59.048833</v>
      </c>
      <c r="Q7227" s="13">
        <f>IFERROR(__xludf.DUMMYFUNCTION("VALUE(SUBSTITUTE((INDEX(SPLIT(A7227,"",""),2)),""."","","",1))"),53.43762)</f>
        <v>53.43762</v>
      </c>
      <c r="R7227" s="14" t="b">
        <f t="shared" si="1"/>
        <v>0</v>
      </c>
      <c r="S7227" s="14" t="str">
        <f t="shared" si="2"/>
        <v>59.048833,53.43762</v>
      </c>
      <c r="T7227" s="12"/>
    </row>
    <row r="7228">
      <c r="A7228" s="139" t="s">
        <v>46573</v>
      </c>
      <c r="B7228" s="140" t="s">
        <v>29145</v>
      </c>
      <c r="C7228" s="140" t="s">
        <v>46574</v>
      </c>
      <c r="D7228" s="140" t="s">
        <v>33342</v>
      </c>
      <c r="E7228" s="141" t="s">
        <v>29147</v>
      </c>
      <c r="F7228" s="139" t="s">
        <v>23544</v>
      </c>
      <c r="G7228" s="139" t="s">
        <v>33344</v>
      </c>
      <c r="H7228" s="139"/>
      <c r="I7228" s="140"/>
      <c r="J7228" s="140" t="s">
        <v>46575</v>
      </c>
      <c r="K7228" s="140" t="s">
        <v>46576</v>
      </c>
      <c r="L7228" s="140"/>
      <c r="M7228" s="154" t="s">
        <v>46577</v>
      </c>
      <c r="N7228" s="12"/>
      <c r="O7228" s="12"/>
      <c r="P7228" s="13">
        <f>IFERROR(__xludf.DUMMYFUNCTION("VALUE(SUBSTITUTE((INDEX(SPLIT(A7228,"",""),1)),""."","","",1))"),59.11335)</f>
        <v>59.11335</v>
      </c>
      <c r="Q7228" s="13">
        <f>IFERROR(__xludf.DUMMYFUNCTION("VALUE(SUBSTITUTE((INDEX(SPLIT(A7228,"",""),2)),""."","","",1))"),53.404962)</f>
        <v>53.404962</v>
      </c>
      <c r="R7228" s="14" t="b">
        <f t="shared" si="1"/>
        <v>0</v>
      </c>
      <c r="S7228" s="14" t="str">
        <f t="shared" si="2"/>
        <v>59.11335,53.404962</v>
      </c>
      <c r="T7228" s="12"/>
    </row>
    <row r="7229">
      <c r="A7229" s="136" t="s">
        <v>46578</v>
      </c>
      <c r="B7229" s="137" t="s">
        <v>46579</v>
      </c>
      <c r="C7229" s="137" t="s">
        <v>46580</v>
      </c>
      <c r="D7229" s="137" t="s">
        <v>33342</v>
      </c>
      <c r="E7229" s="138" t="s">
        <v>46581</v>
      </c>
      <c r="F7229" s="136" t="s">
        <v>23544</v>
      </c>
      <c r="G7229" s="136" t="s">
        <v>33344</v>
      </c>
      <c r="H7229" s="136"/>
      <c r="I7229" s="137"/>
      <c r="J7229" s="137" t="s">
        <v>46582</v>
      </c>
      <c r="K7229" s="137" t="s">
        <v>46583</v>
      </c>
      <c r="L7229" s="137"/>
      <c r="M7229" s="153" t="s">
        <v>46584</v>
      </c>
      <c r="N7229" s="12"/>
      <c r="O7229" s="12"/>
      <c r="P7229" s="13">
        <f>IFERROR(__xludf.DUMMYFUNCTION("VALUE(SUBSTITUTE((INDEX(SPLIT(A7229,"",""),1)),""."","","",1))"),59.142743)</f>
        <v>59.142743</v>
      </c>
      <c r="Q7229" s="13">
        <f>IFERROR(__xludf.DUMMYFUNCTION("VALUE(SUBSTITUTE((INDEX(SPLIT(A7229,"",""),2)),""."","","",1))"),53.304227)</f>
        <v>53.304227</v>
      </c>
      <c r="R7229" s="14" t="b">
        <f t="shared" si="1"/>
        <v>0</v>
      </c>
      <c r="S7229" s="14" t="str">
        <f t="shared" si="2"/>
        <v>59.142743,53.304227</v>
      </c>
      <c r="T7229" s="12"/>
    </row>
    <row r="7230">
      <c r="A7230" s="146" t="s">
        <v>46585</v>
      </c>
      <c r="B7230" s="147" t="s">
        <v>46586</v>
      </c>
      <c r="C7230" s="147" t="s">
        <v>46587</v>
      </c>
      <c r="D7230" s="147" t="s">
        <v>33342</v>
      </c>
      <c r="E7230" s="148" t="s">
        <v>46588</v>
      </c>
      <c r="F7230" s="146" t="s">
        <v>23544</v>
      </c>
      <c r="G7230" s="146" t="s">
        <v>33344</v>
      </c>
      <c r="H7230" s="146"/>
      <c r="I7230" s="147"/>
      <c r="J7230" s="147" t="s">
        <v>46589</v>
      </c>
      <c r="K7230" s="147" t="s">
        <v>46590</v>
      </c>
      <c r="L7230" s="150" t="s">
        <v>46591</v>
      </c>
      <c r="M7230" s="147"/>
      <c r="N7230" s="12"/>
      <c r="O7230" s="12"/>
      <c r="P7230" s="13">
        <f>IFERROR(__xludf.DUMMYFUNCTION("VALUE(SUBSTITUTE((INDEX(SPLIT(A7230,"",""),1)),""."","","",1))"),58.927174)</f>
        <v>58.927174</v>
      </c>
      <c r="Q7230" s="13">
        <f>IFERROR(__xludf.DUMMYFUNCTION("VALUE(SUBSTITUTE((INDEX(SPLIT(A7230,"",""),2)),""."","","",1))"),53.41669)</f>
        <v>53.41669</v>
      </c>
      <c r="R7230" s="14" t="b">
        <f t="shared" si="1"/>
        <v>0</v>
      </c>
      <c r="S7230" s="14" t="str">
        <f t="shared" si="2"/>
        <v>58.927174,53.41669</v>
      </c>
      <c r="T7230" s="12"/>
    </row>
    <row r="7231">
      <c r="A7231" s="142" t="s">
        <v>46592</v>
      </c>
      <c r="B7231" s="143" t="s">
        <v>46593</v>
      </c>
      <c r="C7231" s="143" t="s">
        <v>46594</v>
      </c>
      <c r="D7231" s="143" t="s">
        <v>33342</v>
      </c>
      <c r="E7231" s="144" t="s">
        <v>46595</v>
      </c>
      <c r="F7231" s="142" t="s">
        <v>23544</v>
      </c>
      <c r="G7231" s="142" t="s">
        <v>33344</v>
      </c>
      <c r="H7231" s="142"/>
      <c r="I7231" s="143"/>
      <c r="J7231" s="143" t="s">
        <v>46596</v>
      </c>
      <c r="K7231" s="143" t="s">
        <v>46597</v>
      </c>
      <c r="L7231" s="145" t="s">
        <v>46598</v>
      </c>
      <c r="M7231" s="143"/>
      <c r="N7231" s="12"/>
      <c r="O7231" s="12"/>
      <c r="P7231" s="13">
        <f>IFERROR(__xludf.DUMMYFUNCTION("VALUE(SUBSTITUTE((INDEX(SPLIT(A7231,"",""),1)),""."","","",1))"),61.375308)</f>
        <v>61.375308</v>
      </c>
      <c r="Q7231" s="13">
        <f>IFERROR(__xludf.DUMMYFUNCTION("VALUE(SUBSTITUTE((INDEX(SPLIT(A7231,"",""),2)),""."","","",1))"),55.156862)</f>
        <v>55.156862</v>
      </c>
      <c r="R7231" s="14" t="b">
        <f t="shared" si="1"/>
        <v>0</v>
      </c>
      <c r="S7231" s="14" t="str">
        <f t="shared" si="2"/>
        <v>61.375308,55.156862</v>
      </c>
      <c r="T7231" s="12"/>
    </row>
    <row r="7232">
      <c r="A7232" s="139" t="s">
        <v>46599</v>
      </c>
      <c r="B7232" s="140" t="s">
        <v>46600</v>
      </c>
      <c r="C7232" s="140" t="s">
        <v>46601</v>
      </c>
      <c r="D7232" s="140" t="s">
        <v>33342</v>
      </c>
      <c r="E7232" s="141" t="s">
        <v>46602</v>
      </c>
      <c r="F7232" s="139" t="s">
        <v>23544</v>
      </c>
      <c r="G7232" s="139" t="s">
        <v>33344</v>
      </c>
      <c r="H7232" s="139"/>
      <c r="I7232" s="140"/>
      <c r="J7232" s="140" t="s">
        <v>46603</v>
      </c>
      <c r="K7232" s="140" t="s">
        <v>46604</v>
      </c>
      <c r="L7232" s="140"/>
      <c r="M7232" s="154" t="s">
        <v>46605</v>
      </c>
      <c r="N7232" s="12"/>
      <c r="O7232" s="12"/>
      <c r="P7232" s="13">
        <f>IFERROR(__xludf.DUMMYFUNCTION("VALUE(SUBSTITUTE((INDEX(SPLIT(A7232,"",""),1)),""."","","",1))"),58.998599)</f>
        <v>58.998599</v>
      </c>
      <c r="Q7232" s="13">
        <f>IFERROR(__xludf.DUMMYFUNCTION("VALUE(SUBSTITUTE((INDEX(SPLIT(A7232,"",""),2)),""."","","",1))"),53.420039)</f>
        <v>53.420039</v>
      </c>
      <c r="R7232" s="14" t="b">
        <f t="shared" si="1"/>
        <v>0</v>
      </c>
      <c r="S7232" s="14" t="str">
        <f t="shared" si="2"/>
        <v>58.998599,53.420039</v>
      </c>
      <c r="T7232" s="12"/>
    </row>
    <row r="7233">
      <c r="A7233" s="142" t="s">
        <v>46606</v>
      </c>
      <c r="B7233" s="143" t="s">
        <v>46607</v>
      </c>
      <c r="C7233" s="143" t="s">
        <v>46608</v>
      </c>
      <c r="D7233" s="143" t="s">
        <v>33342</v>
      </c>
      <c r="E7233" s="144" t="s">
        <v>46609</v>
      </c>
      <c r="F7233" s="142" t="s">
        <v>23544</v>
      </c>
      <c r="G7233" s="142" t="s">
        <v>33344</v>
      </c>
      <c r="H7233" s="142"/>
      <c r="I7233" s="143"/>
      <c r="J7233" s="143" t="s">
        <v>46610</v>
      </c>
      <c r="K7233" s="143" t="s">
        <v>46611</v>
      </c>
      <c r="L7233" s="152" t="s">
        <v>46612</v>
      </c>
      <c r="M7233" s="143"/>
      <c r="N7233" s="12"/>
      <c r="O7233" s="12"/>
      <c r="P7233" s="13">
        <f>IFERROR(__xludf.DUMMYFUNCTION("VALUE(SUBSTITUTE((INDEX(SPLIT(A7233,"",""),1)),""."","","",1))"),58.976833)</f>
        <v>58.976833</v>
      </c>
      <c r="Q7233" s="13">
        <f>IFERROR(__xludf.DUMMYFUNCTION("VALUE(SUBSTITUTE((INDEX(SPLIT(A7233,"",""),2)),""."","","",1))"),55.033084)</f>
        <v>55.033084</v>
      </c>
      <c r="R7233" s="14" t="b">
        <f t="shared" si="1"/>
        <v>0</v>
      </c>
      <c r="S7233" s="14" t="str">
        <f t="shared" si="2"/>
        <v>58.976833,55.033084</v>
      </c>
      <c r="T7233" s="12"/>
    </row>
    <row r="7234">
      <c r="A7234" s="146" t="s">
        <v>26198</v>
      </c>
      <c r="B7234" s="147" t="s">
        <v>46613</v>
      </c>
      <c r="C7234" s="147" t="s">
        <v>46614</v>
      </c>
      <c r="D7234" s="147" t="s">
        <v>33342</v>
      </c>
      <c r="E7234" s="148" t="s">
        <v>46615</v>
      </c>
      <c r="F7234" s="146" t="s">
        <v>23544</v>
      </c>
      <c r="G7234" s="146" t="s">
        <v>33344</v>
      </c>
      <c r="H7234" s="146"/>
      <c r="I7234" s="147"/>
      <c r="J7234" s="147" t="s">
        <v>46616</v>
      </c>
      <c r="K7234" s="147" t="s">
        <v>46617</v>
      </c>
      <c r="L7234" s="149" t="s">
        <v>46618</v>
      </c>
      <c r="M7234" s="149" t="s">
        <v>46619</v>
      </c>
      <c r="N7234" s="12"/>
      <c r="O7234" s="12"/>
      <c r="P7234" s="13">
        <f>IFERROR(__xludf.DUMMYFUNCTION("VALUE(SUBSTITUTE((INDEX(SPLIT(A7234,"",""),1)),""."","","",1))"),55.255021)</f>
        <v>55.255021</v>
      </c>
      <c r="Q7234" s="13">
        <f>IFERROR(__xludf.DUMMYFUNCTION("VALUE(SUBSTITUTE((INDEX(SPLIT(A7234,"",""),2)),""."","","",1))"),61.412264)</f>
        <v>61.412264</v>
      </c>
      <c r="R7234" s="14" t="b">
        <f t="shared" si="1"/>
        <v>0</v>
      </c>
      <c r="S7234" s="14" t="str">
        <f t="shared" si="2"/>
        <v>55.255021,61.412264</v>
      </c>
      <c r="T7234" s="12"/>
    </row>
    <row r="7235">
      <c r="A7235" s="142" t="s">
        <v>46620</v>
      </c>
      <c r="B7235" s="143" t="s">
        <v>46621</v>
      </c>
      <c r="C7235" s="143" t="s">
        <v>46622</v>
      </c>
      <c r="D7235" s="143" t="s">
        <v>33342</v>
      </c>
      <c r="E7235" s="144" t="s">
        <v>46623</v>
      </c>
      <c r="F7235" s="142" t="s">
        <v>23544</v>
      </c>
      <c r="G7235" s="142" t="s">
        <v>33344</v>
      </c>
      <c r="H7235" s="142"/>
      <c r="I7235" s="143"/>
      <c r="J7235" s="143" t="s">
        <v>46624</v>
      </c>
      <c r="K7235" s="143" t="s">
        <v>46625</v>
      </c>
      <c r="L7235" s="152" t="s">
        <v>46626</v>
      </c>
      <c r="M7235" s="143"/>
      <c r="N7235" s="12"/>
      <c r="O7235" s="12"/>
      <c r="P7235" s="13">
        <f>IFERROR(__xludf.DUMMYFUNCTION("VALUE(SUBSTITUTE((INDEX(SPLIT(A7235,"",""),1)),""."","","",1))"),60.697125)</f>
        <v>60.697125</v>
      </c>
      <c r="Q7235" s="13">
        <f>IFERROR(__xludf.DUMMYFUNCTION("VALUE(SUBSTITUTE((INDEX(SPLIT(A7235,"",""),2)),""."","","",1))"),55.758509)</f>
        <v>55.758509</v>
      </c>
      <c r="R7235" s="14" t="b">
        <f t="shared" si="1"/>
        <v>0</v>
      </c>
      <c r="S7235" s="14" t="str">
        <f t="shared" si="2"/>
        <v>60.697125,55.758509</v>
      </c>
      <c r="T7235" s="12"/>
    </row>
    <row r="7236">
      <c r="A7236" s="146" t="s">
        <v>46627</v>
      </c>
      <c r="B7236" s="147" t="s">
        <v>46628</v>
      </c>
      <c r="C7236" s="147" t="s">
        <v>46629</v>
      </c>
      <c r="D7236" s="147" t="s">
        <v>33342</v>
      </c>
      <c r="E7236" s="148" t="s">
        <v>46630</v>
      </c>
      <c r="F7236" s="146" t="s">
        <v>23544</v>
      </c>
      <c r="G7236" s="146" t="s">
        <v>33344</v>
      </c>
      <c r="H7236" s="146"/>
      <c r="I7236" s="147"/>
      <c r="J7236" s="147" t="s">
        <v>46631</v>
      </c>
      <c r="K7236" s="147" t="s">
        <v>46632</v>
      </c>
      <c r="L7236" s="150" t="s">
        <v>46633</v>
      </c>
      <c r="M7236" s="147"/>
      <c r="N7236" s="12"/>
      <c r="O7236" s="12"/>
      <c r="P7236" s="13">
        <f>IFERROR(__xludf.DUMMYFUNCTION("VALUE(SUBSTITUTE((INDEX(SPLIT(A7236,"",""),1)),""."","","",1))"),55.247837)</f>
        <v>55.247837</v>
      </c>
      <c r="Q7236" s="13">
        <f>IFERROR(__xludf.DUMMYFUNCTION("VALUE(SUBSTITUTE((INDEX(SPLIT(A7236,"",""),2)),""."","","",1))"),61.480905)</f>
        <v>61.480905</v>
      </c>
      <c r="R7236" s="14" t="b">
        <f t="shared" si="1"/>
        <v>0</v>
      </c>
      <c r="S7236" s="14" t="str">
        <f t="shared" si="2"/>
        <v>55.247837,61.480905</v>
      </c>
      <c r="T7236" s="12"/>
    </row>
    <row r="7237">
      <c r="A7237" s="142" t="s">
        <v>46634</v>
      </c>
      <c r="B7237" s="143" t="s">
        <v>46635</v>
      </c>
      <c r="C7237" s="143" t="s">
        <v>46636</v>
      </c>
      <c r="D7237" s="143" t="s">
        <v>33342</v>
      </c>
      <c r="E7237" s="144" t="s">
        <v>46637</v>
      </c>
      <c r="F7237" s="142" t="s">
        <v>23544</v>
      </c>
      <c r="G7237" s="142" t="s">
        <v>33344</v>
      </c>
      <c r="H7237" s="142"/>
      <c r="I7237" s="143"/>
      <c r="J7237" s="143" t="s">
        <v>46638</v>
      </c>
      <c r="K7237" s="143" t="s">
        <v>46639</v>
      </c>
      <c r="L7237" s="145" t="s">
        <v>46640</v>
      </c>
      <c r="M7237" s="143"/>
      <c r="N7237" s="12"/>
      <c r="O7237" s="12"/>
      <c r="P7237" s="13">
        <f>IFERROR(__xludf.DUMMYFUNCTION("VALUE(SUBSTITUTE((INDEX(SPLIT(A7237,"",""),1)),""."","","",1))"),55.250875)</f>
        <v>55.250875</v>
      </c>
      <c r="Q7237" s="13">
        <f>IFERROR(__xludf.DUMMYFUNCTION("VALUE(SUBSTITUTE((INDEX(SPLIT(A7237,"",""),2)),""."","","",1))"),61.39525)</f>
        <v>61.39525</v>
      </c>
      <c r="R7237" s="14" t="b">
        <f t="shared" si="1"/>
        <v>0</v>
      </c>
      <c r="S7237" s="14" t="str">
        <f t="shared" si="2"/>
        <v>55.250875,61.39525</v>
      </c>
      <c r="T7237" s="12"/>
    </row>
    <row r="7238">
      <c r="A7238" s="139" t="s">
        <v>46641</v>
      </c>
      <c r="B7238" s="140" t="s">
        <v>46642</v>
      </c>
      <c r="C7238" s="140" t="s">
        <v>46643</v>
      </c>
      <c r="D7238" s="140" t="s">
        <v>33342</v>
      </c>
      <c r="E7238" s="141" t="s">
        <v>46644</v>
      </c>
      <c r="F7238" s="139" t="s">
        <v>23544</v>
      </c>
      <c r="G7238" s="139" t="s">
        <v>33344</v>
      </c>
      <c r="H7238" s="139"/>
      <c r="I7238" s="140"/>
      <c r="J7238" s="140" t="s">
        <v>46645</v>
      </c>
      <c r="K7238" s="140" t="s">
        <v>46646</v>
      </c>
      <c r="L7238" s="140"/>
      <c r="M7238" s="154" t="s">
        <v>46647</v>
      </c>
      <c r="N7238" s="12"/>
      <c r="O7238" s="12"/>
      <c r="P7238" s="13">
        <f>IFERROR(__xludf.DUMMYFUNCTION("VALUE(SUBSTITUTE((INDEX(SPLIT(A7238,"",""),1)),""."","","",1))"),61.131712)</f>
        <v>61.131712</v>
      </c>
      <c r="Q7238" s="13">
        <f>IFERROR(__xludf.DUMMYFUNCTION("VALUE(SUBSTITUTE((INDEX(SPLIT(A7238,"",""),2)),""."","","",1))"),55.16956)</f>
        <v>55.16956</v>
      </c>
      <c r="R7238" s="14" t="b">
        <f t="shared" si="1"/>
        <v>0</v>
      </c>
      <c r="S7238" s="14" t="str">
        <f t="shared" si="2"/>
        <v>61.131712,55.16956</v>
      </c>
      <c r="T7238" s="12"/>
    </row>
    <row r="7239">
      <c r="A7239" s="136" t="s">
        <v>46648</v>
      </c>
      <c r="B7239" s="137" t="s">
        <v>10128</v>
      </c>
      <c r="C7239" s="137" t="s">
        <v>46649</v>
      </c>
      <c r="D7239" s="137" t="s">
        <v>33342</v>
      </c>
      <c r="E7239" s="138" t="s">
        <v>46650</v>
      </c>
      <c r="F7239" s="136" t="s">
        <v>23544</v>
      </c>
      <c r="G7239" s="136" t="s">
        <v>33344</v>
      </c>
      <c r="H7239" s="136"/>
      <c r="I7239" s="137"/>
      <c r="J7239" s="137" t="s">
        <v>46651</v>
      </c>
      <c r="K7239" s="137" t="s">
        <v>46652</v>
      </c>
      <c r="L7239" s="137"/>
      <c r="M7239" s="153" t="s">
        <v>46653</v>
      </c>
      <c r="N7239" s="12"/>
      <c r="O7239" s="12"/>
      <c r="P7239" s="13">
        <f>IFERROR(__xludf.DUMMYFUNCTION("VALUE(SUBSTITUTE((INDEX(SPLIT(A7239,"",""),1)),""."","","",1))"),61.26689)</f>
        <v>61.26689</v>
      </c>
      <c r="Q7239" s="13">
        <f>IFERROR(__xludf.DUMMYFUNCTION("VALUE(SUBSTITUTE((INDEX(SPLIT(A7239,"",""),2)),""."","","",1))"),55.129437)</f>
        <v>55.129437</v>
      </c>
      <c r="R7239" s="14" t="b">
        <f t="shared" si="1"/>
        <v>0</v>
      </c>
      <c r="S7239" s="14" t="str">
        <f t="shared" si="2"/>
        <v>61.26689,55.129437</v>
      </c>
      <c r="T7239" s="12"/>
    </row>
    <row r="7240">
      <c r="A7240" s="142" t="s">
        <v>46654</v>
      </c>
      <c r="B7240" s="143" t="s">
        <v>46655</v>
      </c>
      <c r="C7240" s="143" t="s">
        <v>46656</v>
      </c>
      <c r="D7240" s="143" t="s">
        <v>33342</v>
      </c>
      <c r="E7240" s="144" t="s">
        <v>46657</v>
      </c>
      <c r="F7240" s="142" t="s">
        <v>12763</v>
      </c>
      <c r="G7240" s="142" t="s">
        <v>33344</v>
      </c>
      <c r="H7240" s="142"/>
      <c r="I7240" s="143"/>
      <c r="J7240" s="143" t="s">
        <v>46658</v>
      </c>
      <c r="K7240" s="143" t="s">
        <v>46659</v>
      </c>
      <c r="L7240" s="145" t="s">
        <v>46660</v>
      </c>
      <c r="M7240" s="143"/>
      <c r="N7240" s="12"/>
      <c r="O7240" s="12"/>
      <c r="P7240" s="13">
        <f>IFERROR(__xludf.DUMMYFUNCTION("VALUE(SUBSTITUTE((INDEX(SPLIT(A7240,"",""),1)),""."","","",1))"),57.66385)</f>
        <v>57.66385</v>
      </c>
      <c r="Q7240" s="13">
        <f>IFERROR(__xludf.DUMMYFUNCTION("VALUE(SUBSTITUTE((INDEX(SPLIT(A7240,"",""),2)),""."","","",1))"),39.847182)</f>
        <v>39.847182</v>
      </c>
      <c r="R7240" s="14" t="b">
        <f t="shared" si="1"/>
        <v>0</v>
      </c>
      <c r="S7240" s="14" t="str">
        <f t="shared" si="2"/>
        <v>57.66385,39.847182</v>
      </c>
      <c r="T7240" s="12"/>
    </row>
    <row r="7241">
      <c r="A7241" s="139" t="s">
        <v>46661</v>
      </c>
      <c r="B7241" s="140" t="s">
        <v>46662</v>
      </c>
      <c r="C7241" s="140" t="s">
        <v>46663</v>
      </c>
      <c r="D7241" s="140" t="s">
        <v>33342</v>
      </c>
      <c r="E7241" s="141" t="s">
        <v>46664</v>
      </c>
      <c r="F7241" s="139" t="s">
        <v>12763</v>
      </c>
      <c r="G7241" s="139" t="s">
        <v>33344</v>
      </c>
      <c r="H7241" s="139"/>
      <c r="I7241" s="140"/>
      <c r="J7241" s="140" t="s">
        <v>46665</v>
      </c>
      <c r="K7241" s="140" t="s">
        <v>46666</v>
      </c>
      <c r="L7241" s="140"/>
      <c r="M7241" s="154" t="s">
        <v>46667</v>
      </c>
      <c r="N7241" s="12"/>
      <c r="O7241" s="12"/>
      <c r="P7241" s="13">
        <f>IFERROR(__xludf.DUMMYFUNCTION("VALUE(SUBSTITUTE((INDEX(SPLIT(A7241,"",""),1)),""."","","",1))"),57.661351)</f>
        <v>57.661351</v>
      </c>
      <c r="Q7241" s="13">
        <f>IFERROR(__xludf.DUMMYFUNCTION("VALUE(SUBSTITUTE((INDEX(SPLIT(A7241,"",""),2)),""."","","",1))"),39.817627)</f>
        <v>39.817627</v>
      </c>
      <c r="R7241" s="14" t="b">
        <f t="shared" si="1"/>
        <v>0</v>
      </c>
      <c r="S7241" s="14" t="str">
        <f t="shared" si="2"/>
        <v>57.661351,39.817627</v>
      </c>
      <c r="T7241" s="12"/>
    </row>
    <row r="7242">
      <c r="A7242" s="136" t="s">
        <v>46668</v>
      </c>
      <c r="B7242" s="137" t="s">
        <v>46669</v>
      </c>
      <c r="C7242" s="137" t="s">
        <v>46670</v>
      </c>
      <c r="D7242" s="137" t="s">
        <v>33342</v>
      </c>
      <c r="E7242" s="138" t="s">
        <v>46671</v>
      </c>
      <c r="F7242" s="136" t="s">
        <v>12763</v>
      </c>
      <c r="G7242" s="136" t="s">
        <v>33344</v>
      </c>
      <c r="H7242" s="136"/>
      <c r="I7242" s="137"/>
      <c r="J7242" s="137" t="s">
        <v>46672</v>
      </c>
      <c r="K7242" s="137" t="s">
        <v>46673</v>
      </c>
      <c r="L7242" s="137"/>
      <c r="M7242" s="153" t="s">
        <v>46674</v>
      </c>
      <c r="N7242" s="12"/>
      <c r="O7242" s="12"/>
      <c r="P7242" s="13">
        <f>IFERROR(__xludf.DUMMYFUNCTION("VALUE(SUBSTITUTE((INDEX(SPLIT(A7242,"",""),1)),""."","","",1))"),57.72986)</f>
        <v>57.72986</v>
      </c>
      <c r="Q7242" s="13">
        <f>IFERROR(__xludf.DUMMYFUNCTION("VALUE(SUBSTITUTE((INDEX(SPLIT(A7242,"",""),2)),""."","","",1))"),39.757288)</f>
        <v>39.757288</v>
      </c>
      <c r="R7242" s="14" t="b">
        <f t="shared" si="1"/>
        <v>0</v>
      </c>
      <c r="S7242" s="14" t="str">
        <f t="shared" si="2"/>
        <v>57.72986,39.757288</v>
      </c>
      <c r="T7242" s="12"/>
    </row>
    <row r="7243">
      <c r="A7243" s="146" t="s">
        <v>46675</v>
      </c>
      <c r="B7243" s="147" t="s">
        <v>46676</v>
      </c>
      <c r="C7243" s="147" t="s">
        <v>46677</v>
      </c>
      <c r="D7243" s="147" t="s">
        <v>33342</v>
      </c>
      <c r="E7243" s="148" t="s">
        <v>46678</v>
      </c>
      <c r="F7243" s="146" t="s">
        <v>12763</v>
      </c>
      <c r="G7243" s="146" t="s">
        <v>33344</v>
      </c>
      <c r="H7243" s="146"/>
      <c r="I7243" s="147"/>
      <c r="J7243" s="147" t="s">
        <v>46679</v>
      </c>
      <c r="K7243" s="147" t="s">
        <v>46680</v>
      </c>
      <c r="L7243" s="149" t="s">
        <v>46681</v>
      </c>
      <c r="M7243" s="147"/>
      <c r="N7243" s="12"/>
      <c r="O7243" s="12"/>
      <c r="P7243" s="13">
        <f>IFERROR(__xludf.DUMMYFUNCTION("VALUE(SUBSTITUTE((INDEX(SPLIT(A7243,"",""),1)),""."","","",1))"),57.689029)</f>
        <v>57.689029</v>
      </c>
      <c r="Q7243" s="13">
        <f>IFERROR(__xludf.DUMMYFUNCTION("VALUE(SUBSTITUTE((INDEX(SPLIT(A7243,"",""),2)),""."","","",1))"),39.803668)</f>
        <v>39.803668</v>
      </c>
      <c r="R7243" s="14" t="b">
        <f t="shared" si="1"/>
        <v>0</v>
      </c>
      <c r="S7243" s="14" t="str">
        <f t="shared" si="2"/>
        <v>57.689029,39.803668</v>
      </c>
      <c r="T7243" s="12"/>
    </row>
    <row r="7244">
      <c r="A7244" s="136" t="s">
        <v>46682</v>
      </c>
      <c r="B7244" s="137" t="s">
        <v>46683</v>
      </c>
      <c r="C7244" s="137" t="s">
        <v>46684</v>
      </c>
      <c r="D7244" s="137" t="s">
        <v>33342</v>
      </c>
      <c r="E7244" s="138" t="s">
        <v>46685</v>
      </c>
      <c r="F7244" s="136" t="s">
        <v>12763</v>
      </c>
      <c r="G7244" s="136" t="s">
        <v>33344</v>
      </c>
      <c r="H7244" s="136"/>
      <c r="I7244" s="137"/>
      <c r="J7244" s="137" t="s">
        <v>46686</v>
      </c>
      <c r="K7244" s="137" t="s">
        <v>46687</v>
      </c>
      <c r="L7244" s="137"/>
      <c r="M7244" s="137"/>
      <c r="N7244" s="12"/>
      <c r="O7244" s="12"/>
      <c r="P7244" s="13">
        <f>IFERROR(__xludf.DUMMYFUNCTION("VALUE(SUBSTITUTE((INDEX(SPLIT(A7244,"",""),1)),""."","","",1))"),57.648822)</f>
        <v>57.648822</v>
      </c>
      <c r="Q7244" s="13">
        <f>IFERROR(__xludf.DUMMYFUNCTION("VALUE(SUBSTITUTE((INDEX(SPLIT(A7244,"",""),2)),""."","","",1))"),39.938648)</f>
        <v>39.938648</v>
      </c>
      <c r="R7244" s="14" t="b">
        <f t="shared" si="1"/>
        <v>0</v>
      </c>
      <c r="S7244" s="14" t="str">
        <f t="shared" si="2"/>
        <v>57.648822,39.938648</v>
      </c>
      <c r="T7244" s="12"/>
    </row>
    <row r="7245">
      <c r="A7245" s="146" t="s">
        <v>14845</v>
      </c>
      <c r="B7245" s="147" t="s">
        <v>46688</v>
      </c>
      <c r="C7245" s="147" t="s">
        <v>46689</v>
      </c>
      <c r="D7245" s="147" t="s">
        <v>33342</v>
      </c>
      <c r="E7245" s="148" t="s">
        <v>46690</v>
      </c>
      <c r="F7245" s="146" t="s">
        <v>12763</v>
      </c>
      <c r="G7245" s="146" t="s">
        <v>33344</v>
      </c>
      <c r="H7245" s="146"/>
      <c r="I7245" s="147"/>
      <c r="J7245" s="147" t="s">
        <v>46691</v>
      </c>
      <c r="K7245" s="147" t="s">
        <v>46692</v>
      </c>
      <c r="L7245" s="149" t="s">
        <v>46693</v>
      </c>
      <c r="M7245" s="149" t="s">
        <v>46694</v>
      </c>
      <c r="N7245" s="12"/>
      <c r="O7245" s="12"/>
      <c r="P7245" s="13">
        <f>IFERROR(__xludf.DUMMYFUNCTION("VALUE(SUBSTITUTE((INDEX(SPLIT(A7245,"",""),1)),""."","","",1))"),57.631768)</f>
        <v>57.631768</v>
      </c>
      <c r="Q7245" s="13">
        <f>IFERROR(__xludf.DUMMYFUNCTION("VALUE(SUBSTITUTE((INDEX(SPLIT(A7245,"",""),2)),""."","","",1))"),39.872209)</f>
        <v>39.872209</v>
      </c>
      <c r="R7245" s="14" t="b">
        <f t="shared" si="1"/>
        <v>0</v>
      </c>
      <c r="S7245" s="14" t="str">
        <f t="shared" si="2"/>
        <v>57.631768,39.872209</v>
      </c>
      <c r="T7245" s="12"/>
    </row>
    <row r="7246">
      <c r="A7246" s="136" t="s">
        <v>46695</v>
      </c>
      <c r="B7246" s="137" t="s">
        <v>46696</v>
      </c>
      <c r="C7246" s="137" t="s">
        <v>46697</v>
      </c>
      <c r="D7246" s="137" t="s">
        <v>33342</v>
      </c>
      <c r="E7246" s="138" t="s">
        <v>46698</v>
      </c>
      <c r="F7246" s="136" t="s">
        <v>12763</v>
      </c>
      <c r="G7246" s="136" t="s">
        <v>33344</v>
      </c>
      <c r="H7246" s="136"/>
      <c r="I7246" s="137"/>
      <c r="J7246" s="137" t="s">
        <v>46699</v>
      </c>
      <c r="K7246" s="137" t="s">
        <v>14694</v>
      </c>
      <c r="L7246" s="137"/>
      <c r="M7246" s="137"/>
      <c r="N7246" s="12"/>
      <c r="O7246" s="12"/>
      <c r="P7246" s="13">
        <f>IFERROR(__xludf.DUMMYFUNCTION("VALUE(SUBSTITUTE((INDEX(SPLIT(A7246,"",""),1)),""."","","",1))"),57.480073)</f>
        <v>57.480073</v>
      </c>
      <c r="Q7246" s="13">
        <f>IFERROR(__xludf.DUMMYFUNCTION("VALUE(SUBSTITUTE((INDEX(SPLIT(A7246,"",""),2)),""."","","",1))"),40.00957)</f>
        <v>40.00957</v>
      </c>
      <c r="R7246" s="14" t="b">
        <f t="shared" si="1"/>
        <v>0</v>
      </c>
      <c r="S7246" s="14" t="str">
        <f t="shared" si="2"/>
        <v>57.480073,40.009570</v>
      </c>
      <c r="T7246" s="12"/>
    </row>
    <row r="7247">
      <c r="A7247" s="139" t="s">
        <v>46700</v>
      </c>
      <c r="B7247" s="140" t="s">
        <v>46701</v>
      </c>
      <c r="C7247" s="140" t="s">
        <v>46702</v>
      </c>
      <c r="D7247" s="140" t="s">
        <v>33342</v>
      </c>
      <c r="E7247" s="141" t="s">
        <v>46703</v>
      </c>
      <c r="F7247" s="139" t="s">
        <v>12763</v>
      </c>
      <c r="G7247" s="139" t="s">
        <v>33344</v>
      </c>
      <c r="H7247" s="139"/>
      <c r="I7247" s="140"/>
      <c r="J7247" s="140" t="s">
        <v>46704</v>
      </c>
      <c r="K7247" s="140" t="s">
        <v>46705</v>
      </c>
      <c r="L7247" s="140"/>
      <c r="M7247" s="140"/>
      <c r="N7247" s="12"/>
      <c r="O7247" s="12"/>
      <c r="P7247" s="13">
        <f>IFERROR(__xludf.DUMMYFUNCTION("VALUE(SUBSTITUTE((INDEX(SPLIT(A7247,"",""),1)),""."","","",1))"),57.601042)</f>
        <v>57.601042</v>
      </c>
      <c r="Q7247" s="13">
        <f>IFERROR(__xludf.DUMMYFUNCTION("VALUE(SUBSTITUTE((INDEX(SPLIT(A7247,"",""),2)),""."","","",1))"),39.876997)</f>
        <v>39.876997</v>
      </c>
      <c r="R7247" s="14" t="b">
        <f t="shared" si="1"/>
        <v>0</v>
      </c>
      <c r="S7247" s="14" t="str">
        <f t="shared" si="2"/>
        <v>57.601042,39.876997</v>
      </c>
      <c r="T7247" s="12"/>
    </row>
    <row r="7248">
      <c r="A7248" s="136" t="s">
        <v>46706</v>
      </c>
      <c r="B7248" s="137" t="s">
        <v>46707</v>
      </c>
      <c r="C7248" s="137" t="s">
        <v>46708</v>
      </c>
      <c r="D7248" s="137" t="s">
        <v>33342</v>
      </c>
      <c r="E7248" s="138" t="s">
        <v>46709</v>
      </c>
      <c r="F7248" s="136" t="s">
        <v>12763</v>
      </c>
      <c r="G7248" s="136" t="s">
        <v>33344</v>
      </c>
      <c r="H7248" s="136"/>
      <c r="I7248" s="137"/>
      <c r="J7248" s="137" t="s">
        <v>46710</v>
      </c>
      <c r="K7248" s="137" t="s">
        <v>46711</v>
      </c>
      <c r="L7248" s="137"/>
      <c r="M7248" s="137"/>
      <c r="N7248" s="12"/>
      <c r="O7248" s="12"/>
      <c r="P7248" s="13">
        <f>IFERROR(__xludf.DUMMYFUNCTION("VALUE(SUBSTITUTE((INDEX(SPLIT(A7248,"",""),1)),""."","","",1))"),57.573504)</f>
        <v>57.573504</v>
      </c>
      <c r="Q7248" s="13">
        <f>IFERROR(__xludf.DUMMYFUNCTION("VALUE(SUBSTITUTE((INDEX(SPLIT(A7248,"",""),2)),""."","","",1))"),39.810342)</f>
        <v>39.810342</v>
      </c>
      <c r="R7248" s="14" t="b">
        <f t="shared" si="1"/>
        <v>0</v>
      </c>
      <c r="S7248" s="14" t="str">
        <f t="shared" si="2"/>
        <v>57.573504,39.810342</v>
      </c>
      <c r="T7248" s="12"/>
    </row>
    <row r="7249">
      <c r="A7249" s="139" t="s">
        <v>46712</v>
      </c>
      <c r="B7249" s="140" t="s">
        <v>20182</v>
      </c>
      <c r="C7249" s="140" t="s">
        <v>46713</v>
      </c>
      <c r="D7249" s="140" t="s">
        <v>33342</v>
      </c>
      <c r="E7249" s="141" t="s">
        <v>46714</v>
      </c>
      <c r="F7249" s="139" t="s">
        <v>12763</v>
      </c>
      <c r="G7249" s="139" t="s">
        <v>33344</v>
      </c>
      <c r="H7249" s="139"/>
      <c r="I7249" s="140"/>
      <c r="J7249" s="140" t="s">
        <v>46715</v>
      </c>
      <c r="K7249" s="140" t="s">
        <v>46716</v>
      </c>
      <c r="L7249" s="140"/>
      <c r="M7249" s="140"/>
      <c r="N7249" s="12"/>
      <c r="O7249" s="12"/>
      <c r="P7249" s="13">
        <f>IFERROR(__xludf.DUMMYFUNCTION("VALUE(SUBSTITUTE((INDEX(SPLIT(A7249,"",""),1)),""."","","",1))"),57.551075)</f>
        <v>57.551075</v>
      </c>
      <c r="Q7249" s="13">
        <f>IFERROR(__xludf.DUMMYFUNCTION("VALUE(SUBSTITUTE((INDEX(SPLIT(A7249,"",""),2)),""."","","",1))"),39.957217)</f>
        <v>39.957217</v>
      </c>
      <c r="R7249" s="14" t="b">
        <f t="shared" si="1"/>
        <v>0</v>
      </c>
      <c r="S7249" s="14" t="str">
        <f t="shared" si="2"/>
        <v>57.551075,39.957217</v>
      </c>
      <c r="T7249" s="12"/>
    </row>
    <row r="7250">
      <c r="A7250" s="136" t="s">
        <v>46717</v>
      </c>
      <c r="B7250" s="137" t="s">
        <v>46718</v>
      </c>
      <c r="C7250" s="137" t="s">
        <v>46719</v>
      </c>
      <c r="D7250" s="137" t="s">
        <v>33342</v>
      </c>
      <c r="E7250" s="138" t="s">
        <v>46720</v>
      </c>
      <c r="F7250" s="136" t="s">
        <v>12763</v>
      </c>
      <c r="G7250" s="136" t="s">
        <v>33344</v>
      </c>
      <c r="H7250" s="136"/>
      <c r="I7250" s="137"/>
      <c r="J7250" s="137" t="s">
        <v>46721</v>
      </c>
      <c r="K7250" s="137" t="s">
        <v>46722</v>
      </c>
      <c r="L7250" s="137"/>
      <c r="M7250" s="137"/>
      <c r="N7250" s="12"/>
      <c r="O7250" s="12"/>
      <c r="P7250" s="13">
        <f>IFERROR(__xludf.DUMMYFUNCTION("VALUE(SUBSTITUTE((INDEX(SPLIT(A7250,"",""),1)),""."","","",1))"),57.619142)</f>
        <v>57.619142</v>
      </c>
      <c r="Q7250" s="13">
        <f>IFERROR(__xludf.DUMMYFUNCTION("VALUE(SUBSTITUTE((INDEX(SPLIT(A7250,"",""),2)),""."","","",1))"),39.850524)</f>
        <v>39.850524</v>
      </c>
      <c r="R7250" s="14" t="b">
        <f t="shared" si="1"/>
        <v>0</v>
      </c>
      <c r="S7250" s="14" t="str">
        <f t="shared" si="2"/>
        <v>57.619142,39.850524</v>
      </c>
      <c r="T7250" s="12"/>
    </row>
    <row r="7251">
      <c r="A7251" s="139" t="s">
        <v>46723</v>
      </c>
      <c r="B7251" s="140" t="s">
        <v>46724</v>
      </c>
      <c r="C7251" s="140" t="s">
        <v>46725</v>
      </c>
      <c r="D7251" s="140" t="s">
        <v>33342</v>
      </c>
      <c r="E7251" s="141" t="s">
        <v>46726</v>
      </c>
      <c r="F7251" s="139" t="s">
        <v>12763</v>
      </c>
      <c r="G7251" s="139" t="s">
        <v>33344</v>
      </c>
      <c r="H7251" s="139"/>
      <c r="I7251" s="140"/>
      <c r="J7251" s="140" t="s">
        <v>46727</v>
      </c>
      <c r="K7251" s="140" t="s">
        <v>46728</v>
      </c>
      <c r="L7251" s="140"/>
      <c r="M7251" s="154" t="s">
        <v>46729</v>
      </c>
      <c r="N7251" s="12"/>
      <c r="O7251" s="12"/>
      <c r="P7251" s="13">
        <f>IFERROR(__xludf.DUMMYFUNCTION("VALUE(SUBSTITUTE((INDEX(SPLIT(A7251,"",""),1)),""."","","",1))"),57.592452)</f>
        <v>57.592452</v>
      </c>
      <c r="Q7251" s="13">
        <f>IFERROR(__xludf.DUMMYFUNCTION("VALUE(SUBSTITUTE((INDEX(SPLIT(A7251,"",""),2)),""."","","",1))"),39.867331)</f>
        <v>39.867331</v>
      </c>
      <c r="R7251" s="14" t="b">
        <f t="shared" si="1"/>
        <v>0</v>
      </c>
      <c r="S7251" s="14" t="str">
        <f t="shared" si="2"/>
        <v>57.592452,39.867331</v>
      </c>
      <c r="T7251" s="12"/>
    </row>
    <row r="7252">
      <c r="A7252" s="136" t="s">
        <v>14648</v>
      </c>
      <c r="B7252" s="137" t="s">
        <v>46730</v>
      </c>
      <c r="C7252" s="137" t="s">
        <v>46731</v>
      </c>
      <c r="D7252" s="137" t="s">
        <v>33342</v>
      </c>
      <c r="E7252" s="138" t="s">
        <v>46732</v>
      </c>
      <c r="F7252" s="136" t="s">
        <v>12763</v>
      </c>
      <c r="G7252" s="136" t="s">
        <v>33344</v>
      </c>
      <c r="H7252" s="136"/>
      <c r="I7252" s="137"/>
      <c r="J7252" s="137" t="s">
        <v>46733</v>
      </c>
      <c r="K7252" s="137" t="s">
        <v>46734</v>
      </c>
      <c r="L7252" s="137"/>
      <c r="M7252" s="137"/>
      <c r="N7252" s="12"/>
      <c r="O7252" s="12"/>
      <c r="P7252" s="13">
        <f>IFERROR(__xludf.DUMMYFUNCTION("VALUE(SUBSTITUTE((INDEX(SPLIT(A7252,"",""),1)),""."","","",1))"),57.571776)</f>
        <v>57.571776</v>
      </c>
      <c r="Q7252" s="13">
        <f>IFERROR(__xludf.DUMMYFUNCTION("VALUE(SUBSTITUTE((INDEX(SPLIT(A7252,"",""),2)),""."","","",1))"),39.797254)</f>
        <v>39.797254</v>
      </c>
      <c r="R7252" s="14" t="b">
        <f t="shared" si="1"/>
        <v>0</v>
      </c>
      <c r="S7252" s="14" t="str">
        <f t="shared" si="2"/>
        <v>57.571776,39.797254</v>
      </c>
      <c r="T7252" s="12"/>
    </row>
    <row r="7253">
      <c r="A7253" s="146" t="s">
        <v>46735</v>
      </c>
      <c r="B7253" s="147" t="s">
        <v>46736</v>
      </c>
      <c r="C7253" s="147" t="s">
        <v>46737</v>
      </c>
      <c r="D7253" s="147" t="s">
        <v>33342</v>
      </c>
      <c r="E7253" s="148" t="s">
        <v>46738</v>
      </c>
      <c r="F7253" s="146" t="s">
        <v>12763</v>
      </c>
      <c r="G7253" s="146" t="s">
        <v>33344</v>
      </c>
      <c r="H7253" s="146"/>
      <c r="I7253" s="147"/>
      <c r="J7253" s="147" t="s">
        <v>46739</v>
      </c>
      <c r="K7253" s="147" t="s">
        <v>46740</v>
      </c>
      <c r="L7253" s="149" t="s">
        <v>46741</v>
      </c>
      <c r="M7253" s="149" t="s">
        <v>46742</v>
      </c>
      <c r="N7253" s="12"/>
      <c r="O7253" s="12"/>
      <c r="P7253" s="13">
        <f>IFERROR(__xludf.DUMMYFUNCTION("VALUE(SUBSTITUTE((INDEX(SPLIT(A7253,"",""),1)),""."","","",1))"),57.542675)</f>
        <v>57.542675</v>
      </c>
      <c r="Q7253" s="13">
        <f>IFERROR(__xludf.DUMMYFUNCTION("VALUE(SUBSTITUTE((INDEX(SPLIT(A7253,"",""),2)),""."","","",1))"),39.977177)</f>
        <v>39.977177</v>
      </c>
      <c r="R7253" s="14" t="b">
        <f t="shared" si="1"/>
        <v>0</v>
      </c>
      <c r="S7253" s="14" t="str">
        <f t="shared" si="2"/>
        <v>57.542675,39.977177</v>
      </c>
      <c r="T7253" s="12"/>
    </row>
    <row r="7254">
      <c r="A7254" s="136" t="s">
        <v>14689</v>
      </c>
      <c r="B7254" s="137" t="s">
        <v>46743</v>
      </c>
      <c r="C7254" s="137" t="s">
        <v>46744</v>
      </c>
      <c r="D7254" s="137" t="s">
        <v>33342</v>
      </c>
      <c r="E7254" s="138" t="s">
        <v>46745</v>
      </c>
      <c r="F7254" s="136" t="s">
        <v>12763</v>
      </c>
      <c r="G7254" s="136" t="s">
        <v>33344</v>
      </c>
      <c r="H7254" s="136"/>
      <c r="I7254" s="137"/>
      <c r="J7254" s="137" t="s">
        <v>46746</v>
      </c>
      <c r="K7254" s="137" t="s">
        <v>14694</v>
      </c>
      <c r="L7254" s="137"/>
      <c r="M7254" s="153" t="s">
        <v>46747</v>
      </c>
      <c r="N7254" s="12"/>
      <c r="O7254" s="12"/>
      <c r="P7254" s="13">
        <f>IFERROR(__xludf.DUMMYFUNCTION("VALUE(SUBSTITUTE((INDEX(SPLIT(A7254,"",""),1)),""."","","",1))"),57.669299)</f>
        <v>57.669299</v>
      </c>
      <c r="Q7254" s="13">
        <f>IFERROR(__xludf.DUMMYFUNCTION("VALUE(SUBSTITUTE((INDEX(SPLIT(A7254,"",""),2)),""."","","",1))"),39.823197)</f>
        <v>39.823197</v>
      </c>
      <c r="R7254" s="14" t="b">
        <f t="shared" si="1"/>
        <v>0</v>
      </c>
      <c r="S7254" s="14" t="str">
        <f t="shared" si="2"/>
        <v>57.669299,39.823197</v>
      </c>
      <c r="T7254" s="12"/>
    </row>
    <row r="7255">
      <c r="A7255" s="146" t="s">
        <v>46748</v>
      </c>
      <c r="B7255" s="147" t="s">
        <v>46749</v>
      </c>
      <c r="C7255" s="147" t="s">
        <v>46750</v>
      </c>
      <c r="D7255" s="147" t="s">
        <v>33342</v>
      </c>
      <c r="E7255" s="148" t="s">
        <v>46751</v>
      </c>
      <c r="F7255" s="146" t="s">
        <v>12763</v>
      </c>
      <c r="G7255" s="146" t="s">
        <v>33344</v>
      </c>
      <c r="H7255" s="146"/>
      <c r="I7255" s="147"/>
      <c r="J7255" s="147" t="s">
        <v>46752</v>
      </c>
      <c r="K7255" s="147" t="s">
        <v>46753</v>
      </c>
      <c r="L7255" s="149" t="s">
        <v>46754</v>
      </c>
      <c r="M7255" s="147"/>
      <c r="N7255" s="12"/>
      <c r="O7255" s="12"/>
      <c r="P7255" s="13">
        <f>IFERROR(__xludf.DUMMYFUNCTION("VALUE(SUBSTITUTE((INDEX(SPLIT(A7255,"",""),1)),""."","","",1))"),56.751884)</f>
        <v>56.751884</v>
      </c>
      <c r="Q7255" s="13">
        <f>IFERROR(__xludf.DUMMYFUNCTION("VALUE(SUBSTITUTE((INDEX(SPLIT(A7255,"",""),2)),""."","","",1))"),38.899405)</f>
        <v>38.899405</v>
      </c>
      <c r="R7255" s="14" t="b">
        <f t="shared" si="1"/>
        <v>0</v>
      </c>
      <c r="S7255" s="14" t="str">
        <f t="shared" si="2"/>
        <v>56.751884,38.899405</v>
      </c>
      <c r="T7255" s="12"/>
    </row>
    <row r="7256">
      <c r="A7256" s="142" t="s">
        <v>46755</v>
      </c>
      <c r="B7256" s="143" t="s">
        <v>46756</v>
      </c>
      <c r="C7256" s="143" t="s">
        <v>46757</v>
      </c>
      <c r="D7256" s="143" t="s">
        <v>33342</v>
      </c>
      <c r="E7256" s="144" t="s">
        <v>46758</v>
      </c>
      <c r="F7256" s="142" t="s">
        <v>12763</v>
      </c>
      <c r="G7256" s="142" t="s">
        <v>33344</v>
      </c>
      <c r="H7256" s="142"/>
      <c r="I7256" s="143"/>
      <c r="J7256" s="143" t="s">
        <v>46759</v>
      </c>
      <c r="K7256" s="143" t="s">
        <v>46760</v>
      </c>
      <c r="L7256" s="145" t="s">
        <v>46761</v>
      </c>
      <c r="M7256" s="143"/>
      <c r="N7256" s="12"/>
      <c r="O7256" s="12"/>
      <c r="P7256" s="13">
        <f>IFERROR(__xludf.DUMMYFUNCTION("VALUE(SUBSTITUTE((INDEX(SPLIT(A7256,"",""),1)),""."","","",1))"),58.037689)</f>
        <v>58.037689</v>
      </c>
      <c r="Q7256" s="13">
        <f>IFERROR(__xludf.DUMMYFUNCTION("VALUE(SUBSTITUTE((INDEX(SPLIT(A7256,"",""),2)),""."","","",1))"),40.359922)</f>
        <v>40.359922</v>
      </c>
      <c r="R7256" s="14" t="b">
        <f t="shared" si="1"/>
        <v>0</v>
      </c>
      <c r="S7256" s="14" t="str">
        <f t="shared" si="2"/>
        <v>58.037689,40.359922</v>
      </c>
      <c r="T7256" s="12"/>
    </row>
    <row r="7257">
      <c r="A7257" s="139" t="s">
        <v>14013</v>
      </c>
      <c r="B7257" s="140" t="s">
        <v>46762</v>
      </c>
      <c r="C7257" s="140" t="s">
        <v>46763</v>
      </c>
      <c r="D7257" s="140" t="s">
        <v>33342</v>
      </c>
      <c r="E7257" s="141" t="s">
        <v>46764</v>
      </c>
      <c r="F7257" s="139" t="s">
        <v>12763</v>
      </c>
      <c r="G7257" s="139" t="s">
        <v>33344</v>
      </c>
      <c r="H7257" s="139"/>
      <c r="I7257" s="140"/>
      <c r="J7257" s="140" t="s">
        <v>46765</v>
      </c>
      <c r="K7257" s="140" t="s">
        <v>46766</v>
      </c>
      <c r="L7257" s="140"/>
      <c r="M7257" s="140"/>
      <c r="N7257" s="12"/>
      <c r="O7257" s="12"/>
      <c r="P7257" s="13">
        <f>IFERROR(__xludf.DUMMYFUNCTION("VALUE(SUBSTITUTE((INDEX(SPLIT(A7257,"",""),1)),""."","","",1))"),57.276889)</f>
        <v>57.276889</v>
      </c>
      <c r="Q7257" s="13">
        <f>IFERROR(__xludf.DUMMYFUNCTION("VALUE(SUBSTITUTE((INDEX(SPLIT(A7257,"",""),2)),""."","","",1))"),39.535952)</f>
        <v>39.535952</v>
      </c>
      <c r="R7257" s="14" t="b">
        <f t="shared" si="1"/>
        <v>0</v>
      </c>
      <c r="S7257" s="14" t="str">
        <f t="shared" si="2"/>
        <v>57.276889,39.535952</v>
      </c>
      <c r="T7257" s="12"/>
    </row>
    <row r="7258">
      <c r="A7258" s="136" t="s">
        <v>46767</v>
      </c>
      <c r="B7258" s="137" t="s">
        <v>46768</v>
      </c>
      <c r="C7258" s="137" t="s">
        <v>46769</v>
      </c>
      <c r="D7258" s="137" t="s">
        <v>33342</v>
      </c>
      <c r="E7258" s="138" t="s">
        <v>46770</v>
      </c>
      <c r="F7258" s="136" t="s">
        <v>12763</v>
      </c>
      <c r="G7258" s="136" t="s">
        <v>33344</v>
      </c>
      <c r="H7258" s="136"/>
      <c r="I7258" s="137"/>
      <c r="J7258" s="137" t="s">
        <v>46771</v>
      </c>
      <c r="K7258" s="137" t="s">
        <v>46772</v>
      </c>
      <c r="L7258" s="137"/>
      <c r="M7258" s="137"/>
      <c r="N7258" s="12"/>
      <c r="O7258" s="12"/>
      <c r="P7258" s="13">
        <f>IFERROR(__xludf.DUMMYFUNCTION("VALUE(SUBSTITUTE((INDEX(SPLIT(A7258,"",""),1)),""."","","",1))"),58.056455)</f>
        <v>58.056455</v>
      </c>
      <c r="Q7258" s="13">
        <f>IFERROR(__xludf.DUMMYFUNCTION("VALUE(SUBSTITUTE((INDEX(SPLIT(A7258,"",""),2)),""."","","",1))"),38.806717)</f>
        <v>38.806717</v>
      </c>
      <c r="R7258" s="14" t="b">
        <f t="shared" si="1"/>
        <v>0</v>
      </c>
      <c r="S7258" s="14" t="str">
        <f t="shared" si="2"/>
        <v>58.056455,38.806717</v>
      </c>
      <c r="T7258" s="12"/>
    </row>
    <row r="7259">
      <c r="A7259" s="146" t="s">
        <v>46773</v>
      </c>
      <c r="B7259" s="147" t="s">
        <v>46774</v>
      </c>
      <c r="C7259" s="147" t="s">
        <v>46775</v>
      </c>
      <c r="D7259" s="147" t="s">
        <v>33342</v>
      </c>
      <c r="E7259" s="148" t="s">
        <v>46776</v>
      </c>
      <c r="F7259" s="146" t="s">
        <v>12763</v>
      </c>
      <c r="G7259" s="146" t="s">
        <v>33344</v>
      </c>
      <c r="H7259" s="146"/>
      <c r="I7259" s="147"/>
      <c r="J7259" s="147" t="s">
        <v>46777</v>
      </c>
      <c r="K7259" s="147" t="s">
        <v>46778</v>
      </c>
      <c r="L7259" s="150" t="s">
        <v>46779</v>
      </c>
      <c r="M7259" s="147"/>
      <c r="N7259" s="12"/>
      <c r="O7259" s="12"/>
      <c r="P7259" s="13">
        <f>IFERROR(__xludf.DUMMYFUNCTION("VALUE(SUBSTITUTE((INDEX(SPLIT(A7259,"",""),1)),""."","","",1))"),58.056846)</f>
        <v>58.056846</v>
      </c>
      <c r="Q7259" s="13">
        <f>IFERROR(__xludf.DUMMYFUNCTION("VALUE(SUBSTITUTE((INDEX(SPLIT(A7259,"",""),2)),""."","","",1))"),38.825564)</f>
        <v>38.825564</v>
      </c>
      <c r="R7259" s="14" t="b">
        <f t="shared" si="1"/>
        <v>0</v>
      </c>
      <c r="S7259" s="14" t="str">
        <f t="shared" si="2"/>
        <v>58.056846,38.825564</v>
      </c>
      <c r="T7259" s="12"/>
    </row>
    <row r="7260">
      <c r="A7260" s="136" t="s">
        <v>46780</v>
      </c>
      <c r="B7260" s="137" t="s">
        <v>46781</v>
      </c>
      <c r="C7260" s="137" t="s">
        <v>46782</v>
      </c>
      <c r="D7260" s="137" t="s">
        <v>33342</v>
      </c>
      <c r="E7260" s="138" t="s">
        <v>46783</v>
      </c>
      <c r="F7260" s="136" t="s">
        <v>12763</v>
      </c>
      <c r="G7260" s="136" t="s">
        <v>33344</v>
      </c>
      <c r="H7260" s="136"/>
      <c r="I7260" s="137"/>
      <c r="J7260" s="137" t="s">
        <v>46784</v>
      </c>
      <c r="K7260" s="137" t="s">
        <v>35268</v>
      </c>
      <c r="L7260" s="137"/>
      <c r="M7260" s="137"/>
      <c r="N7260" s="12"/>
      <c r="O7260" s="12"/>
      <c r="P7260" s="13">
        <f>IFERROR(__xludf.DUMMYFUNCTION("VALUE(SUBSTITUTE((INDEX(SPLIT(A7260,"",""),1)),""."","","",1))"),58.497072)</f>
        <v>58.497072</v>
      </c>
      <c r="Q7260" s="13">
        <f>IFERROR(__xludf.DUMMYFUNCTION("VALUE(SUBSTITUTE((INDEX(SPLIT(A7260,"",""),2)),""."","","",1))"),39.104293)</f>
        <v>39.104293</v>
      </c>
      <c r="R7260" s="14" t="b">
        <f t="shared" si="1"/>
        <v>0</v>
      </c>
      <c r="S7260" s="14" t="str">
        <f t="shared" si="2"/>
        <v>58.497072,39.104293</v>
      </c>
      <c r="T7260" s="12"/>
    </row>
    <row r="7261">
      <c r="A7261" s="146" t="s">
        <v>46785</v>
      </c>
      <c r="B7261" s="147" t="s">
        <v>46786</v>
      </c>
      <c r="C7261" s="147" t="s">
        <v>46787</v>
      </c>
      <c r="D7261" s="147" t="s">
        <v>33342</v>
      </c>
      <c r="E7261" s="148" t="s">
        <v>46788</v>
      </c>
      <c r="F7261" s="146" t="s">
        <v>12763</v>
      </c>
      <c r="G7261" s="146" t="s">
        <v>33344</v>
      </c>
      <c r="H7261" s="146"/>
      <c r="I7261" s="147"/>
      <c r="J7261" s="147" t="s">
        <v>46789</v>
      </c>
      <c r="K7261" s="147" t="s">
        <v>46790</v>
      </c>
      <c r="L7261" s="149" t="s">
        <v>46791</v>
      </c>
      <c r="M7261" s="147"/>
      <c r="N7261" s="12"/>
      <c r="O7261" s="12"/>
      <c r="P7261" s="13">
        <f>IFERROR(__xludf.DUMMYFUNCTION("VALUE(SUBSTITUTE((INDEX(SPLIT(A7261,"",""),1)),""."","","",1))"),57.685426)</f>
        <v>57.685426</v>
      </c>
      <c r="Q7261" s="13">
        <f>IFERROR(__xludf.DUMMYFUNCTION("VALUE(SUBSTITUTE((INDEX(SPLIT(A7261,"",""),2)),""."","","",1))"),39.930447)</f>
        <v>39.930447</v>
      </c>
      <c r="R7261" s="14" t="b">
        <f t="shared" si="1"/>
        <v>0</v>
      </c>
      <c r="S7261" s="14" t="str">
        <f t="shared" si="2"/>
        <v>57.685426,39.930447</v>
      </c>
      <c r="T7261" s="12"/>
    </row>
    <row r="7262">
      <c r="A7262" s="136" t="s">
        <v>46792</v>
      </c>
      <c r="B7262" s="137" t="s">
        <v>46793</v>
      </c>
      <c r="C7262" s="137" t="s">
        <v>46794</v>
      </c>
      <c r="D7262" s="137" t="s">
        <v>33342</v>
      </c>
      <c r="E7262" s="138" t="s">
        <v>46795</v>
      </c>
      <c r="F7262" s="136" t="s">
        <v>12763</v>
      </c>
      <c r="G7262" s="136" t="s">
        <v>33344</v>
      </c>
      <c r="H7262" s="136"/>
      <c r="I7262" s="137"/>
      <c r="J7262" s="137" t="s">
        <v>46796</v>
      </c>
      <c r="K7262" s="137" t="s">
        <v>46797</v>
      </c>
      <c r="L7262" s="137"/>
      <c r="M7262" s="153" t="s">
        <v>46798</v>
      </c>
      <c r="N7262" s="12"/>
      <c r="O7262" s="12"/>
      <c r="P7262" s="13">
        <f>IFERROR(__xludf.DUMMYFUNCTION("VALUE(SUBSTITUTE((INDEX(SPLIT(A7262,"",""),1)),""."","","",1))"),57.684131)</f>
        <v>57.684131</v>
      </c>
      <c r="Q7262" s="13">
        <f>IFERROR(__xludf.DUMMYFUNCTION("VALUE(SUBSTITUTE((INDEX(SPLIT(A7262,"",""),2)),""."","","",1))"),39.895394)</f>
        <v>39.895394</v>
      </c>
      <c r="R7262" s="14" t="b">
        <f t="shared" si="1"/>
        <v>0</v>
      </c>
      <c r="S7262" s="14" t="str">
        <f t="shared" si="2"/>
        <v>57.684131,39.895394</v>
      </c>
      <c r="T7262" s="12"/>
    </row>
    <row r="7263">
      <c r="A7263" s="139" t="s">
        <v>46799</v>
      </c>
      <c r="B7263" s="140" t="s">
        <v>46800</v>
      </c>
      <c r="C7263" s="140" t="s">
        <v>46801</v>
      </c>
      <c r="D7263" s="140" t="s">
        <v>33342</v>
      </c>
      <c r="E7263" s="141" t="s">
        <v>46802</v>
      </c>
      <c r="F7263" s="139" t="s">
        <v>3883</v>
      </c>
      <c r="G7263" s="139" t="s">
        <v>33344</v>
      </c>
      <c r="H7263" s="139"/>
      <c r="I7263" s="140"/>
      <c r="J7263" s="140" t="s">
        <v>46803</v>
      </c>
      <c r="K7263" s="140" t="s">
        <v>46804</v>
      </c>
      <c r="L7263" s="140"/>
      <c r="M7263" s="140"/>
      <c r="N7263" s="12"/>
      <c r="O7263" s="12"/>
      <c r="P7263" s="13">
        <f>IFERROR(__xludf.DUMMYFUNCTION("VALUE(SUBSTITUTE((INDEX(SPLIT(A7263,"",""),1)),""."","","",1))"),55.778011)</f>
        <v>55.778011</v>
      </c>
      <c r="Q7263" s="13">
        <f>IFERROR(__xludf.DUMMYFUNCTION("VALUE(SUBSTITUTE((INDEX(SPLIT(A7263,"",""),2)),""."","","",1))"),37.693202)</f>
        <v>37.693202</v>
      </c>
      <c r="R7263" s="14" t="b">
        <f t="shared" si="1"/>
        <v>0</v>
      </c>
      <c r="S7263" s="14" t="str">
        <f t="shared" si="2"/>
        <v>55.778011,37.693202</v>
      </c>
      <c r="T7263" s="12"/>
    </row>
    <row r="7264">
      <c r="A7264" s="142" t="s">
        <v>46805</v>
      </c>
      <c r="B7264" s="143" t="s">
        <v>46806</v>
      </c>
      <c r="C7264" s="143" t="s">
        <v>46807</v>
      </c>
      <c r="D7264" s="143" t="s">
        <v>33342</v>
      </c>
      <c r="E7264" s="144" t="s">
        <v>46808</v>
      </c>
      <c r="F7264" s="142" t="s">
        <v>3883</v>
      </c>
      <c r="G7264" s="142" t="s">
        <v>33344</v>
      </c>
      <c r="H7264" s="142"/>
      <c r="I7264" s="143"/>
      <c r="J7264" s="143" t="s">
        <v>46809</v>
      </c>
      <c r="K7264" s="143" t="s">
        <v>46810</v>
      </c>
      <c r="L7264" s="145" t="s">
        <v>46811</v>
      </c>
      <c r="M7264" s="143"/>
      <c r="N7264" s="12"/>
      <c r="O7264" s="12"/>
      <c r="P7264" s="13">
        <f>IFERROR(__xludf.DUMMYFUNCTION("VALUE(SUBSTITUTE((INDEX(SPLIT(A7264,"",""),1)),""."","","",1))"),55.784091)</f>
        <v>55.784091</v>
      </c>
      <c r="Q7264" s="13">
        <f>IFERROR(__xludf.DUMMYFUNCTION("VALUE(SUBSTITUTE((INDEX(SPLIT(A7264,"",""),2)),""."","","",1))"),37.637407)</f>
        <v>37.637407</v>
      </c>
      <c r="R7264" s="14" t="b">
        <f t="shared" si="1"/>
        <v>0</v>
      </c>
      <c r="S7264" s="14" t="str">
        <f t="shared" si="2"/>
        <v>55.784091,37.637407</v>
      </c>
      <c r="T7264" s="12"/>
    </row>
    <row r="7265">
      <c r="A7265" s="146" t="s">
        <v>46812</v>
      </c>
      <c r="B7265" s="147" t="s">
        <v>46813</v>
      </c>
      <c r="C7265" s="147" t="s">
        <v>46814</v>
      </c>
      <c r="D7265" s="147" t="s">
        <v>33342</v>
      </c>
      <c r="E7265" s="148" t="s">
        <v>46815</v>
      </c>
      <c r="F7265" s="146" t="s">
        <v>3883</v>
      </c>
      <c r="G7265" s="146" t="s">
        <v>33344</v>
      </c>
      <c r="H7265" s="146"/>
      <c r="I7265" s="147"/>
      <c r="J7265" s="147" t="s">
        <v>46816</v>
      </c>
      <c r="K7265" s="147" t="s">
        <v>46817</v>
      </c>
      <c r="L7265" s="150" t="s">
        <v>46818</v>
      </c>
      <c r="M7265" s="147"/>
      <c r="N7265" s="12"/>
      <c r="O7265" s="12"/>
      <c r="P7265" s="13">
        <f>IFERROR(__xludf.DUMMYFUNCTION("VALUE(SUBSTITUTE((INDEX(SPLIT(A7265,"",""),1)),""."","","",1))"),55.764075)</f>
        <v>55.764075</v>
      </c>
      <c r="Q7265" s="13">
        <f>IFERROR(__xludf.DUMMYFUNCTION("VALUE(SUBSTITUTE((INDEX(SPLIT(A7265,"",""),2)),""."","","",1))"),37.609164)</f>
        <v>37.609164</v>
      </c>
      <c r="R7265" s="14" t="b">
        <f t="shared" si="1"/>
        <v>0</v>
      </c>
      <c r="S7265" s="14" t="str">
        <f t="shared" si="2"/>
        <v>55.764075,37.609164</v>
      </c>
      <c r="T7265" s="12"/>
    </row>
    <row r="7266">
      <c r="A7266" s="136" t="s">
        <v>46819</v>
      </c>
      <c r="B7266" s="137" t="s">
        <v>46820</v>
      </c>
      <c r="C7266" s="137" t="s">
        <v>46821</v>
      </c>
      <c r="D7266" s="137" t="s">
        <v>33342</v>
      </c>
      <c r="E7266" s="138" t="s">
        <v>46822</v>
      </c>
      <c r="F7266" s="136" t="s">
        <v>3883</v>
      </c>
      <c r="G7266" s="136" t="s">
        <v>33344</v>
      </c>
      <c r="H7266" s="136"/>
      <c r="I7266" s="137"/>
      <c r="J7266" s="137" t="s">
        <v>46823</v>
      </c>
      <c r="K7266" s="137" t="s">
        <v>46824</v>
      </c>
      <c r="L7266" s="137"/>
      <c r="M7266" s="137"/>
      <c r="N7266" s="12"/>
      <c r="O7266" s="12"/>
      <c r="P7266" s="13">
        <f>IFERROR(__xludf.DUMMYFUNCTION("VALUE(SUBSTITUTE((INDEX(SPLIT(A7266,"",""),1)),""."","","",1))"),55.756584)</f>
        <v>55.756584</v>
      </c>
      <c r="Q7266" s="13">
        <f>IFERROR(__xludf.DUMMYFUNCTION("VALUE(SUBSTITUTE((INDEX(SPLIT(A7266,"",""),2)),""."","","",1))"),37.552103)</f>
        <v>37.552103</v>
      </c>
      <c r="R7266" s="14" t="b">
        <f t="shared" si="1"/>
        <v>0</v>
      </c>
      <c r="S7266" s="14" t="str">
        <f t="shared" si="2"/>
        <v>55.756584,37.552103</v>
      </c>
      <c r="T7266" s="12"/>
    </row>
    <row r="7267">
      <c r="A7267" s="139" t="s">
        <v>46825</v>
      </c>
      <c r="B7267" s="140" t="s">
        <v>46826</v>
      </c>
      <c r="C7267" s="140" t="s">
        <v>46827</v>
      </c>
      <c r="D7267" s="140" t="s">
        <v>33342</v>
      </c>
      <c r="E7267" s="141" t="s">
        <v>46828</v>
      </c>
      <c r="F7267" s="139" t="s">
        <v>3883</v>
      </c>
      <c r="G7267" s="139" t="s">
        <v>33344</v>
      </c>
      <c r="H7267" s="139"/>
      <c r="I7267" s="140"/>
      <c r="J7267" s="140" t="s">
        <v>46829</v>
      </c>
      <c r="K7267" s="140" t="s">
        <v>46830</v>
      </c>
      <c r="L7267" s="140"/>
      <c r="M7267" s="140"/>
      <c r="N7267" s="12"/>
      <c r="O7267" s="12"/>
      <c r="P7267" s="13">
        <f>IFERROR(__xludf.DUMMYFUNCTION("VALUE(SUBSTITUTE((INDEX(SPLIT(A7267,"",""),1)),""."","","",1))"),55.749633)</f>
        <v>55.749633</v>
      </c>
      <c r="Q7267" s="13">
        <f>IFERROR(__xludf.DUMMYFUNCTION("VALUE(SUBSTITUTE((INDEX(SPLIT(A7267,"",""),2)),""."","","",1))"),37.537434)</f>
        <v>37.537434</v>
      </c>
      <c r="R7267" s="14" t="b">
        <f t="shared" si="1"/>
        <v>0</v>
      </c>
      <c r="S7267" s="14" t="str">
        <f t="shared" si="2"/>
        <v>55.749633,37.537434</v>
      </c>
      <c r="T7267" s="12"/>
    </row>
    <row r="7268">
      <c r="A7268" s="136" t="s">
        <v>46831</v>
      </c>
      <c r="B7268" s="137" t="s">
        <v>46832</v>
      </c>
      <c r="C7268" s="137" t="s">
        <v>46833</v>
      </c>
      <c r="D7268" s="137" t="s">
        <v>33342</v>
      </c>
      <c r="E7268" s="138" t="s">
        <v>46834</v>
      </c>
      <c r="F7268" s="136" t="s">
        <v>3883</v>
      </c>
      <c r="G7268" s="136" t="s">
        <v>33344</v>
      </c>
      <c r="H7268" s="136"/>
      <c r="I7268" s="137"/>
      <c r="J7268" s="137" t="s">
        <v>46835</v>
      </c>
      <c r="K7268" s="137" t="s">
        <v>46836</v>
      </c>
      <c r="L7268" s="137"/>
      <c r="M7268" s="153" t="s">
        <v>46837</v>
      </c>
      <c r="N7268" s="12"/>
      <c r="O7268" s="12"/>
      <c r="P7268" s="13">
        <f>IFERROR(__xludf.DUMMYFUNCTION("VALUE(SUBSTITUTE((INDEX(SPLIT(A7268,"",""),1)),""."","","",1))"),55.765706)</f>
        <v>55.765706</v>
      </c>
      <c r="Q7268" s="13">
        <f>IFERROR(__xludf.DUMMYFUNCTION("VALUE(SUBSTITUTE((INDEX(SPLIT(A7268,"",""),2)),""."","","",1))"),37.579286)</f>
        <v>37.579286</v>
      </c>
      <c r="R7268" s="14" t="b">
        <f t="shared" si="1"/>
        <v>0</v>
      </c>
      <c r="S7268" s="14" t="str">
        <f t="shared" si="2"/>
        <v>55.765706,37.579286</v>
      </c>
      <c r="T7268" s="12"/>
    </row>
    <row r="7269">
      <c r="A7269" s="139" t="s">
        <v>46838</v>
      </c>
      <c r="B7269" s="140" t="s">
        <v>46839</v>
      </c>
      <c r="C7269" s="140" t="s">
        <v>46840</v>
      </c>
      <c r="D7269" s="140" t="s">
        <v>33342</v>
      </c>
      <c r="E7269" s="141" t="s">
        <v>46841</v>
      </c>
      <c r="F7269" s="139" t="s">
        <v>3883</v>
      </c>
      <c r="G7269" s="139" t="s">
        <v>33344</v>
      </c>
      <c r="H7269" s="139"/>
      <c r="I7269" s="140"/>
      <c r="J7269" s="140" t="s">
        <v>46842</v>
      </c>
      <c r="K7269" s="140" t="s">
        <v>46843</v>
      </c>
      <c r="L7269" s="140"/>
      <c r="M7269" s="140"/>
      <c r="N7269" s="12"/>
      <c r="O7269" s="12"/>
      <c r="P7269" s="13">
        <f>IFERROR(__xludf.DUMMYFUNCTION("VALUE(SUBSTITUTE((INDEX(SPLIT(A7269,"",""),1)),""."","","",1))"),55.767246)</f>
        <v>55.767246</v>
      </c>
      <c r="Q7269" s="13">
        <f>IFERROR(__xludf.DUMMYFUNCTION("VALUE(SUBSTITUTE((INDEX(SPLIT(A7269,"",""),2)),""."","","",1))"),37.566297)</f>
        <v>37.566297</v>
      </c>
      <c r="R7269" s="14" t="b">
        <f t="shared" si="1"/>
        <v>0</v>
      </c>
      <c r="S7269" s="14" t="str">
        <f t="shared" si="2"/>
        <v>55.767246,37.566297</v>
      </c>
      <c r="T7269" s="12"/>
    </row>
    <row r="7270">
      <c r="A7270" s="136" t="s">
        <v>46844</v>
      </c>
      <c r="B7270" s="137" t="s">
        <v>46845</v>
      </c>
      <c r="C7270" s="137" t="s">
        <v>46846</v>
      </c>
      <c r="D7270" s="137" t="s">
        <v>33342</v>
      </c>
      <c r="E7270" s="138" t="s">
        <v>46847</v>
      </c>
      <c r="F7270" s="136" t="s">
        <v>3883</v>
      </c>
      <c r="G7270" s="136" t="s">
        <v>33344</v>
      </c>
      <c r="H7270" s="136"/>
      <c r="I7270" s="137"/>
      <c r="J7270" s="137" t="s">
        <v>46848</v>
      </c>
      <c r="K7270" s="137" t="s">
        <v>46849</v>
      </c>
      <c r="L7270" s="137"/>
      <c r="M7270" s="137"/>
      <c r="N7270" s="12"/>
      <c r="O7270" s="12"/>
      <c r="P7270" s="13">
        <f>IFERROR(__xludf.DUMMYFUNCTION("VALUE(SUBSTITUTE((INDEX(SPLIT(A7270,"",""),1)),""."","","",1))"),55.76363)</f>
        <v>55.76363</v>
      </c>
      <c r="Q7270" s="13">
        <f>IFERROR(__xludf.DUMMYFUNCTION("VALUE(SUBSTITUTE((INDEX(SPLIT(A7270,"",""),2)),""."","","",1))"),37.552319)</f>
        <v>37.552319</v>
      </c>
      <c r="R7270" s="14" t="b">
        <f t="shared" si="1"/>
        <v>0</v>
      </c>
      <c r="S7270" s="14" t="str">
        <f t="shared" si="2"/>
        <v>55.76363,37.552319</v>
      </c>
      <c r="T7270" s="12"/>
    </row>
    <row r="7271">
      <c r="A7271" s="139" t="s">
        <v>46850</v>
      </c>
      <c r="B7271" s="140" t="s">
        <v>46851</v>
      </c>
      <c r="C7271" s="140" t="s">
        <v>46852</v>
      </c>
      <c r="D7271" s="140" t="s">
        <v>33342</v>
      </c>
      <c r="E7271" s="141" t="s">
        <v>46853</v>
      </c>
      <c r="F7271" s="139" t="s">
        <v>3883</v>
      </c>
      <c r="G7271" s="139" t="s">
        <v>33344</v>
      </c>
      <c r="H7271" s="139"/>
      <c r="I7271" s="140"/>
      <c r="J7271" s="140" t="s">
        <v>46854</v>
      </c>
      <c r="K7271" s="140" t="s">
        <v>46855</v>
      </c>
      <c r="L7271" s="140"/>
      <c r="M7271" s="154" t="s">
        <v>46856</v>
      </c>
      <c r="N7271" s="12"/>
      <c r="O7271" s="12"/>
      <c r="P7271" s="13">
        <f>IFERROR(__xludf.DUMMYFUNCTION("VALUE(SUBSTITUTE((INDEX(SPLIT(A7271,"",""),1)),""."","","",1))"),55.756665)</f>
        <v>55.756665</v>
      </c>
      <c r="Q7271" s="13">
        <f>IFERROR(__xludf.DUMMYFUNCTION("VALUE(SUBSTITUTE((INDEX(SPLIT(A7271,"",""),2)),""."","","",1))"),37.5872)</f>
        <v>37.5872</v>
      </c>
      <c r="R7271" s="14" t="b">
        <f t="shared" si="1"/>
        <v>0</v>
      </c>
      <c r="S7271" s="14" t="str">
        <f t="shared" si="2"/>
        <v>55.756665,37.587200</v>
      </c>
      <c r="T7271" s="12"/>
    </row>
    <row r="7272">
      <c r="A7272" s="142" t="s">
        <v>46857</v>
      </c>
      <c r="B7272" s="143" t="s">
        <v>46858</v>
      </c>
      <c r="C7272" s="143" t="s">
        <v>46859</v>
      </c>
      <c r="D7272" s="143" t="s">
        <v>33342</v>
      </c>
      <c r="E7272" s="144" t="s">
        <v>46860</v>
      </c>
      <c r="F7272" s="142" t="s">
        <v>3883</v>
      </c>
      <c r="G7272" s="142" t="s">
        <v>33344</v>
      </c>
      <c r="H7272" s="142"/>
      <c r="I7272" s="143"/>
      <c r="J7272" s="143" t="s">
        <v>46861</v>
      </c>
      <c r="K7272" s="143" t="s">
        <v>46862</v>
      </c>
      <c r="L7272" s="152" t="s">
        <v>46863</v>
      </c>
      <c r="M7272" s="143"/>
      <c r="N7272" s="12"/>
      <c r="O7272" s="12"/>
      <c r="P7272" s="13">
        <f>IFERROR(__xludf.DUMMYFUNCTION("VALUE(SUBSTITUTE((INDEX(SPLIT(A7272,"",""),1)),""."","","",1))"),55.673905)</f>
        <v>55.673905</v>
      </c>
      <c r="Q7272" s="13">
        <f>IFERROR(__xludf.DUMMYFUNCTION("VALUE(SUBSTITUTE((INDEX(SPLIT(A7272,"",""),2)),""."","","",1))"),37.440308)</f>
        <v>37.440308</v>
      </c>
      <c r="R7272" s="14" t="b">
        <f t="shared" si="1"/>
        <v>0</v>
      </c>
      <c r="S7272" s="14" t="str">
        <f t="shared" si="2"/>
        <v>55.673905,37.440308</v>
      </c>
      <c r="T7272" s="12"/>
    </row>
    <row r="7273">
      <c r="A7273" s="146" t="s">
        <v>10482</v>
      </c>
      <c r="B7273" s="147" t="s">
        <v>46864</v>
      </c>
      <c r="C7273" s="147" t="s">
        <v>46865</v>
      </c>
      <c r="D7273" s="147" t="s">
        <v>33342</v>
      </c>
      <c r="E7273" s="148" t="s">
        <v>46866</v>
      </c>
      <c r="F7273" s="146" t="s">
        <v>3883</v>
      </c>
      <c r="G7273" s="146" t="s">
        <v>33344</v>
      </c>
      <c r="H7273" s="146"/>
      <c r="I7273" s="147"/>
      <c r="J7273" s="147" t="s">
        <v>46867</v>
      </c>
      <c r="K7273" s="147" t="s">
        <v>46868</v>
      </c>
      <c r="L7273" s="149" t="s">
        <v>46869</v>
      </c>
      <c r="M7273" s="149" t="s">
        <v>46870</v>
      </c>
      <c r="N7273" s="12"/>
      <c r="O7273" s="12"/>
      <c r="P7273" s="13">
        <f>IFERROR(__xludf.DUMMYFUNCTION("VALUE(SUBSTITUTE((INDEX(SPLIT(A7273,"",""),1)),""."","","",1))"),55.755819)</f>
        <v>55.755819</v>
      </c>
      <c r="Q7273" s="13">
        <f>IFERROR(__xludf.DUMMYFUNCTION("VALUE(SUBSTITUTE((INDEX(SPLIT(A7273,"",""),2)),""."","","",1))"),37.617644)</f>
        <v>37.617644</v>
      </c>
      <c r="R7273" s="14" t="b">
        <f t="shared" si="1"/>
        <v>0</v>
      </c>
      <c r="S7273" s="14" t="str">
        <f t="shared" si="2"/>
        <v>55.755819,37.617644</v>
      </c>
      <c r="T7273" s="12"/>
    </row>
    <row r="7274">
      <c r="A7274" s="136" t="s">
        <v>46871</v>
      </c>
      <c r="B7274" s="137" t="s">
        <v>46872</v>
      </c>
      <c r="C7274" s="137" t="s">
        <v>46873</v>
      </c>
      <c r="D7274" s="137" t="s">
        <v>33342</v>
      </c>
      <c r="E7274" s="138" t="s">
        <v>46874</v>
      </c>
      <c r="F7274" s="136" t="s">
        <v>3883</v>
      </c>
      <c r="G7274" s="136" t="s">
        <v>33344</v>
      </c>
      <c r="H7274" s="136"/>
      <c r="I7274" s="137"/>
      <c r="J7274" s="137" t="s">
        <v>46875</v>
      </c>
      <c r="K7274" s="137" t="s">
        <v>46876</v>
      </c>
      <c r="L7274" s="137"/>
      <c r="M7274" s="137"/>
      <c r="N7274" s="12"/>
      <c r="O7274" s="12"/>
      <c r="P7274" s="13">
        <f>IFERROR(__xludf.DUMMYFUNCTION("VALUE(SUBSTITUTE((INDEX(SPLIT(A7274,"",""),1)),""."","","",1))"),55.697661)</f>
        <v>55.697661</v>
      </c>
      <c r="Q7274" s="13">
        <f>IFERROR(__xludf.DUMMYFUNCTION("VALUE(SUBSTITUTE((INDEX(SPLIT(A7274,"",""),2)),""."","","",1))"),37.623564)</f>
        <v>37.623564</v>
      </c>
      <c r="R7274" s="14" t="b">
        <f t="shared" si="1"/>
        <v>0</v>
      </c>
      <c r="S7274" s="14" t="str">
        <f t="shared" si="2"/>
        <v>55.697661,37.623564</v>
      </c>
      <c r="T7274" s="12"/>
    </row>
    <row r="7275">
      <c r="A7275" s="146" t="s">
        <v>46877</v>
      </c>
      <c r="B7275" s="147" t="s">
        <v>46878</v>
      </c>
      <c r="C7275" s="147" t="s">
        <v>46878</v>
      </c>
      <c r="D7275" s="147" t="s">
        <v>33342</v>
      </c>
      <c r="E7275" s="148" t="s">
        <v>46879</v>
      </c>
      <c r="F7275" s="146" t="s">
        <v>3883</v>
      </c>
      <c r="G7275" s="146" t="s">
        <v>33344</v>
      </c>
      <c r="H7275" s="146"/>
      <c r="I7275" s="147"/>
      <c r="J7275" s="147" t="s">
        <v>46880</v>
      </c>
      <c r="K7275" s="147" t="s">
        <v>46881</v>
      </c>
      <c r="L7275" s="150" t="s">
        <v>46882</v>
      </c>
      <c r="M7275" s="147"/>
      <c r="N7275" s="12"/>
      <c r="O7275" s="12"/>
      <c r="P7275" s="13">
        <f>IFERROR(__xludf.DUMMYFUNCTION("VALUE(SUBSTITUTE((INDEX(SPLIT(A7275,"",""),1)),""."","","",1))"),55.79013)</f>
        <v>55.79013</v>
      </c>
      <c r="Q7275" s="13">
        <f>IFERROR(__xludf.DUMMYFUNCTION("VALUE(SUBSTITUTE((INDEX(SPLIT(A7275,"",""),2)),""."","","",1))"),37.380363)</f>
        <v>37.380363</v>
      </c>
      <c r="R7275" s="14" t="b">
        <f t="shared" si="1"/>
        <v>0</v>
      </c>
      <c r="S7275" s="14" t="str">
        <f t="shared" si="2"/>
        <v>55.79013,37.380363</v>
      </c>
      <c r="T7275" s="12"/>
    </row>
    <row r="7276">
      <c r="A7276" s="142" t="s">
        <v>46883</v>
      </c>
      <c r="B7276" s="143" t="s">
        <v>46884</v>
      </c>
      <c r="C7276" s="143" t="s">
        <v>46885</v>
      </c>
      <c r="D7276" s="143" t="s">
        <v>33342</v>
      </c>
      <c r="E7276" s="144" t="s">
        <v>46886</v>
      </c>
      <c r="F7276" s="142" t="s">
        <v>3883</v>
      </c>
      <c r="G7276" s="142" t="s">
        <v>33344</v>
      </c>
      <c r="H7276" s="142"/>
      <c r="I7276" s="143"/>
      <c r="J7276" s="143" t="s">
        <v>46887</v>
      </c>
      <c r="K7276" s="143" t="s">
        <v>46888</v>
      </c>
      <c r="L7276" s="145" t="s">
        <v>46889</v>
      </c>
      <c r="M7276" s="143"/>
      <c r="N7276" s="12"/>
      <c r="O7276" s="12"/>
      <c r="P7276" s="13">
        <f>IFERROR(__xludf.DUMMYFUNCTION("VALUE(SUBSTITUTE((INDEX(SPLIT(A7276,"",""),1)),""."","","",1))"),55.723009)</f>
        <v>55.723009</v>
      </c>
      <c r="Q7276" s="13">
        <f>IFERROR(__xludf.DUMMYFUNCTION("VALUE(SUBSTITUTE((INDEX(SPLIT(A7276,"",""),2)),""."","","",1))"),37.571462)</f>
        <v>37.571462</v>
      </c>
      <c r="R7276" s="14" t="b">
        <f t="shared" si="1"/>
        <v>0</v>
      </c>
      <c r="S7276" s="14" t="str">
        <f t="shared" si="2"/>
        <v>55.723009,37.571462</v>
      </c>
      <c r="T7276" s="12"/>
    </row>
    <row r="7277">
      <c r="A7277" s="139" t="s">
        <v>46890</v>
      </c>
      <c r="B7277" s="140" t="s">
        <v>46891</v>
      </c>
      <c r="C7277" s="140" t="s">
        <v>46892</v>
      </c>
      <c r="D7277" s="140" t="s">
        <v>33342</v>
      </c>
      <c r="E7277" s="141" t="s">
        <v>46893</v>
      </c>
      <c r="F7277" s="139" t="s">
        <v>3883</v>
      </c>
      <c r="G7277" s="139" t="s">
        <v>33344</v>
      </c>
      <c r="H7277" s="139"/>
      <c r="I7277" s="140"/>
      <c r="J7277" s="140" t="s">
        <v>46894</v>
      </c>
      <c r="K7277" s="140" t="s">
        <v>46895</v>
      </c>
      <c r="L7277" s="140"/>
      <c r="M7277" s="154" t="s">
        <v>46896</v>
      </c>
      <c r="N7277" s="12"/>
      <c r="O7277" s="12"/>
      <c r="P7277" s="13">
        <f>IFERROR(__xludf.DUMMYFUNCTION("VALUE(SUBSTITUTE((INDEX(SPLIT(A7277,"",""),1)),""."","","",1))"),55.724702)</f>
        <v>55.724702</v>
      </c>
      <c r="Q7277" s="13">
        <f>IFERROR(__xludf.DUMMYFUNCTION("VALUE(SUBSTITUTE((INDEX(SPLIT(A7277,"",""),2)),""."","","",1))"),37.607889)</f>
        <v>37.607889</v>
      </c>
      <c r="R7277" s="14" t="b">
        <f t="shared" si="1"/>
        <v>0</v>
      </c>
      <c r="S7277" s="14" t="str">
        <f t="shared" si="2"/>
        <v>55.724702,37.607889</v>
      </c>
      <c r="T7277" s="12"/>
    </row>
    <row r="7278">
      <c r="A7278" s="136" t="s">
        <v>7797</v>
      </c>
      <c r="B7278" s="137" t="s">
        <v>46897</v>
      </c>
      <c r="C7278" s="137" t="s">
        <v>46898</v>
      </c>
      <c r="D7278" s="137" t="s">
        <v>33342</v>
      </c>
      <c r="E7278" s="138" t="s">
        <v>46899</v>
      </c>
      <c r="F7278" s="136" t="s">
        <v>3883</v>
      </c>
      <c r="G7278" s="136" t="s">
        <v>33344</v>
      </c>
      <c r="H7278" s="136"/>
      <c r="I7278" s="137"/>
      <c r="J7278" s="137" t="s">
        <v>46900</v>
      </c>
      <c r="K7278" s="137" t="s">
        <v>46901</v>
      </c>
      <c r="L7278" s="137"/>
      <c r="M7278" s="137"/>
      <c r="N7278" s="12"/>
      <c r="O7278" s="12"/>
      <c r="P7278" s="13">
        <f>IFERROR(__xludf.DUMMYFUNCTION("VALUE(SUBSTITUTE((INDEX(SPLIT(A7278,"",""),1)),""."","","",1))"),55.944314)</f>
        <v>55.944314</v>
      </c>
      <c r="Q7278" s="13">
        <f>IFERROR(__xludf.DUMMYFUNCTION("VALUE(SUBSTITUTE((INDEX(SPLIT(A7278,"",""),2)),""."","","",1))"),36.407084)</f>
        <v>36.407084</v>
      </c>
      <c r="R7278" s="14" t="b">
        <f t="shared" si="1"/>
        <v>0</v>
      </c>
      <c r="S7278" s="14" t="str">
        <f t="shared" si="2"/>
        <v>55.944314,36.407084</v>
      </c>
      <c r="T7278" s="12"/>
    </row>
    <row r="7279">
      <c r="A7279" s="139" t="s">
        <v>46902</v>
      </c>
      <c r="B7279" s="140" t="s">
        <v>46903</v>
      </c>
      <c r="C7279" s="140" t="s">
        <v>46904</v>
      </c>
      <c r="D7279" s="140" t="s">
        <v>33342</v>
      </c>
      <c r="E7279" s="141" t="s">
        <v>46905</v>
      </c>
      <c r="F7279" s="139" t="s">
        <v>3883</v>
      </c>
      <c r="G7279" s="139" t="s">
        <v>33344</v>
      </c>
      <c r="H7279" s="139"/>
      <c r="I7279" s="140"/>
      <c r="J7279" s="140" t="s">
        <v>46906</v>
      </c>
      <c r="K7279" s="140" t="s">
        <v>46907</v>
      </c>
      <c r="L7279" s="140"/>
      <c r="M7279" s="140"/>
      <c r="N7279" s="12"/>
      <c r="O7279" s="12"/>
      <c r="P7279" s="13">
        <f>IFERROR(__xludf.DUMMYFUNCTION("VALUE(SUBSTITUTE((INDEX(SPLIT(A7279,"",""),1)),""."","","",1))"),55.788712)</f>
        <v>55.788712</v>
      </c>
      <c r="Q7279" s="13">
        <f>IFERROR(__xludf.DUMMYFUNCTION("VALUE(SUBSTITUTE((INDEX(SPLIT(A7279,"",""),2)),""."","","",1))"),37.595276)</f>
        <v>37.595276</v>
      </c>
      <c r="R7279" s="14" t="b">
        <f t="shared" si="1"/>
        <v>0</v>
      </c>
      <c r="S7279" s="14" t="str">
        <f t="shared" si="2"/>
        <v>55.788712,37.595276</v>
      </c>
      <c r="T7279" s="12"/>
    </row>
    <row r="7280">
      <c r="A7280" s="142" t="s">
        <v>46908</v>
      </c>
      <c r="B7280" s="143" t="s">
        <v>46909</v>
      </c>
      <c r="C7280" s="143" t="s">
        <v>46909</v>
      </c>
      <c r="D7280" s="143" t="s">
        <v>33342</v>
      </c>
      <c r="E7280" s="144" t="s">
        <v>46910</v>
      </c>
      <c r="F7280" s="142" t="s">
        <v>3883</v>
      </c>
      <c r="G7280" s="142" t="s">
        <v>33344</v>
      </c>
      <c r="H7280" s="142"/>
      <c r="I7280" s="143"/>
      <c r="J7280" s="143" t="s">
        <v>46911</v>
      </c>
      <c r="K7280" s="143" t="s">
        <v>46912</v>
      </c>
      <c r="L7280" s="152" t="s">
        <v>46913</v>
      </c>
      <c r="M7280" s="143"/>
      <c r="N7280" s="12"/>
      <c r="O7280" s="12"/>
      <c r="P7280" s="13">
        <f>IFERROR(__xludf.DUMMYFUNCTION("VALUE(SUBSTITUTE((INDEX(SPLIT(A7280,"",""),1)),""."","","",1))"),55.71024)</f>
        <v>55.71024</v>
      </c>
      <c r="Q7280" s="13">
        <f>IFERROR(__xludf.DUMMYFUNCTION("VALUE(SUBSTITUTE((INDEX(SPLIT(A7280,"",""),2)),""."","","",1))"),37.590704)</f>
        <v>37.590704</v>
      </c>
      <c r="R7280" s="14" t="b">
        <f t="shared" si="1"/>
        <v>0</v>
      </c>
      <c r="S7280" s="14" t="str">
        <f t="shared" si="2"/>
        <v>55.71024,37.590704</v>
      </c>
      <c r="T7280" s="12"/>
    </row>
    <row r="7281">
      <c r="A7281" s="139" t="s">
        <v>46914</v>
      </c>
      <c r="B7281" s="140" t="s">
        <v>46915</v>
      </c>
      <c r="C7281" s="140" t="s">
        <v>46916</v>
      </c>
      <c r="D7281" s="140" t="s">
        <v>33342</v>
      </c>
      <c r="E7281" s="141" t="s">
        <v>46917</v>
      </c>
      <c r="F7281" s="139" t="s">
        <v>3883</v>
      </c>
      <c r="G7281" s="139" t="s">
        <v>33344</v>
      </c>
      <c r="H7281" s="139"/>
      <c r="I7281" s="140"/>
      <c r="J7281" s="140" t="s">
        <v>46918</v>
      </c>
      <c r="K7281" s="140" t="s">
        <v>46919</v>
      </c>
      <c r="L7281" s="140"/>
      <c r="M7281" s="154" t="s">
        <v>46920</v>
      </c>
      <c r="N7281" s="12"/>
      <c r="O7281" s="12"/>
      <c r="P7281" s="13">
        <f>IFERROR(__xludf.DUMMYFUNCTION("VALUE(SUBSTITUTE((INDEX(SPLIT(A7281,"",""),1)),""."","","",1))"),55.675301)</f>
        <v>55.675301</v>
      </c>
      <c r="Q7281" s="13">
        <f>IFERROR(__xludf.DUMMYFUNCTION("VALUE(SUBSTITUTE((INDEX(SPLIT(A7281,"",""),2)),""."","","",1))"),37.58438)</f>
        <v>37.58438</v>
      </c>
      <c r="R7281" s="14" t="b">
        <f t="shared" si="1"/>
        <v>0</v>
      </c>
      <c r="S7281" s="14" t="str">
        <f t="shared" si="2"/>
        <v>55.675301,37.58438</v>
      </c>
      <c r="T7281" s="12"/>
    </row>
    <row r="7282">
      <c r="A7282" s="136" t="s">
        <v>46921</v>
      </c>
      <c r="B7282" s="137" t="s">
        <v>46922</v>
      </c>
      <c r="C7282" s="137" t="s">
        <v>46923</v>
      </c>
      <c r="D7282" s="137" t="s">
        <v>33342</v>
      </c>
      <c r="E7282" s="138" t="s">
        <v>46924</v>
      </c>
      <c r="F7282" s="136" t="s">
        <v>3883</v>
      </c>
      <c r="G7282" s="136" t="s">
        <v>33344</v>
      </c>
      <c r="H7282" s="136"/>
      <c r="I7282" s="137"/>
      <c r="J7282" s="137" t="s">
        <v>46925</v>
      </c>
      <c r="K7282" s="137" t="s">
        <v>46926</v>
      </c>
      <c r="L7282" s="137"/>
      <c r="M7282" s="137"/>
      <c r="N7282" s="12"/>
      <c r="O7282" s="12"/>
      <c r="P7282" s="13">
        <f>IFERROR(__xludf.DUMMYFUNCTION("VALUE(SUBSTITUTE((INDEX(SPLIT(A7282,"",""),1)),""."","","",1))"),55.775864)</f>
        <v>55.775864</v>
      </c>
      <c r="Q7282" s="13">
        <f>IFERROR(__xludf.DUMMYFUNCTION("VALUE(SUBSTITUTE((INDEX(SPLIT(A7282,"",""),2)),""."","","",1))"),37.660413)</f>
        <v>37.660413</v>
      </c>
      <c r="R7282" s="14" t="b">
        <f t="shared" si="1"/>
        <v>0</v>
      </c>
      <c r="S7282" s="14" t="str">
        <f t="shared" si="2"/>
        <v>55.775864,37.660413</v>
      </c>
      <c r="T7282" s="12"/>
    </row>
    <row r="7283">
      <c r="A7283" s="139" t="s">
        <v>46927</v>
      </c>
      <c r="B7283" s="140" t="s">
        <v>46928</v>
      </c>
      <c r="C7283" s="140" t="s">
        <v>46929</v>
      </c>
      <c r="D7283" s="140" t="s">
        <v>33342</v>
      </c>
      <c r="E7283" s="141" t="s">
        <v>46930</v>
      </c>
      <c r="F7283" s="139" t="s">
        <v>3883</v>
      </c>
      <c r="G7283" s="139" t="s">
        <v>33344</v>
      </c>
      <c r="H7283" s="139"/>
      <c r="I7283" s="140"/>
      <c r="J7283" s="140" t="s">
        <v>46931</v>
      </c>
      <c r="K7283" s="140" t="s">
        <v>46932</v>
      </c>
      <c r="L7283" s="140"/>
      <c r="M7283" s="140"/>
      <c r="N7283" s="12"/>
      <c r="O7283" s="12"/>
      <c r="P7283" s="13">
        <f>IFERROR(__xludf.DUMMYFUNCTION("VALUE(SUBSTITUTE((INDEX(SPLIT(A7283,"",""),1)),""."","","",1))"),55.712715)</f>
        <v>55.712715</v>
      </c>
      <c r="Q7283" s="13">
        <f>IFERROR(__xludf.DUMMYFUNCTION("VALUE(SUBSTITUTE((INDEX(SPLIT(A7283,"",""),2)),""."","","",1))"),37.644486)</f>
        <v>37.644486</v>
      </c>
      <c r="R7283" s="14" t="b">
        <f t="shared" si="1"/>
        <v>0</v>
      </c>
      <c r="S7283" s="14" t="str">
        <f t="shared" si="2"/>
        <v>55.712715,37.644486</v>
      </c>
      <c r="T7283" s="12"/>
    </row>
    <row r="7284">
      <c r="A7284" s="136" t="s">
        <v>46933</v>
      </c>
      <c r="B7284" s="137" t="s">
        <v>46934</v>
      </c>
      <c r="C7284" s="137" t="s">
        <v>46935</v>
      </c>
      <c r="D7284" s="137" t="s">
        <v>33342</v>
      </c>
      <c r="E7284" s="138" t="s">
        <v>46936</v>
      </c>
      <c r="F7284" s="136" t="s">
        <v>3883</v>
      </c>
      <c r="G7284" s="136" t="s">
        <v>33344</v>
      </c>
      <c r="H7284" s="136"/>
      <c r="I7284" s="137"/>
      <c r="J7284" s="137" t="s">
        <v>46937</v>
      </c>
      <c r="K7284" s="137" t="s">
        <v>46938</v>
      </c>
      <c r="L7284" s="137"/>
      <c r="M7284" s="153" t="s">
        <v>46939</v>
      </c>
      <c r="N7284" s="12"/>
      <c r="O7284" s="12"/>
      <c r="P7284" s="13">
        <f>IFERROR(__xludf.DUMMYFUNCTION("VALUE(SUBSTITUTE((INDEX(SPLIT(A7284,"",""),1)),""."","","",1))"),55.7816)</f>
        <v>55.7816</v>
      </c>
      <c r="Q7284" s="13">
        <f>IFERROR(__xludf.DUMMYFUNCTION("VALUE(SUBSTITUTE((INDEX(SPLIT(A7284,"",""),2)),""."","","",1))"),37.661626)</f>
        <v>37.661626</v>
      </c>
      <c r="R7284" s="14" t="b">
        <f t="shared" si="1"/>
        <v>0</v>
      </c>
      <c r="S7284" s="14" t="str">
        <f t="shared" si="2"/>
        <v>55.7816,37.661626</v>
      </c>
      <c r="T7284" s="12"/>
    </row>
    <row r="7285">
      <c r="A7285" s="139" t="s">
        <v>46940</v>
      </c>
      <c r="B7285" s="140" t="s">
        <v>46941</v>
      </c>
      <c r="C7285" s="140" t="s">
        <v>46942</v>
      </c>
      <c r="D7285" s="140" t="s">
        <v>33342</v>
      </c>
      <c r="E7285" s="141" t="s">
        <v>46943</v>
      </c>
      <c r="F7285" s="139" t="s">
        <v>3883</v>
      </c>
      <c r="G7285" s="139" t="s">
        <v>33344</v>
      </c>
      <c r="H7285" s="139"/>
      <c r="I7285" s="140"/>
      <c r="J7285" s="140" t="s">
        <v>46944</v>
      </c>
      <c r="K7285" s="140" t="s">
        <v>46945</v>
      </c>
      <c r="L7285" s="140"/>
      <c r="M7285" s="140"/>
      <c r="N7285" s="12"/>
      <c r="O7285" s="12"/>
      <c r="P7285" s="13">
        <f>IFERROR(__xludf.DUMMYFUNCTION("VALUE(SUBSTITUTE((INDEX(SPLIT(A7285,"",""),1)),""."","","",1))"),55.786085)</f>
        <v>55.786085</v>
      </c>
      <c r="Q7285" s="13">
        <f>IFERROR(__xludf.DUMMYFUNCTION("VALUE(SUBSTITUTE((INDEX(SPLIT(A7285,"",""),2)),""."","","",1))"),37.657799)</f>
        <v>37.657799</v>
      </c>
      <c r="R7285" s="14" t="b">
        <f t="shared" si="1"/>
        <v>0</v>
      </c>
      <c r="S7285" s="14" t="str">
        <f t="shared" si="2"/>
        <v>55.786085,37.657799</v>
      </c>
      <c r="T7285" s="12"/>
    </row>
    <row r="7286">
      <c r="A7286" s="136" t="s">
        <v>46946</v>
      </c>
      <c r="B7286" s="137" t="s">
        <v>809</v>
      </c>
      <c r="C7286" s="137" t="s">
        <v>46947</v>
      </c>
      <c r="D7286" s="137" t="s">
        <v>33342</v>
      </c>
      <c r="E7286" s="138" t="s">
        <v>46948</v>
      </c>
      <c r="F7286" s="136" t="s">
        <v>3883</v>
      </c>
      <c r="G7286" s="136" t="s">
        <v>33344</v>
      </c>
      <c r="H7286" s="136"/>
      <c r="I7286" s="137"/>
      <c r="J7286" s="137" t="s">
        <v>46949</v>
      </c>
      <c r="K7286" s="137" t="s">
        <v>46950</v>
      </c>
      <c r="L7286" s="137"/>
      <c r="M7286" s="137"/>
      <c r="N7286" s="12"/>
      <c r="O7286" s="12"/>
      <c r="P7286" s="13">
        <f>IFERROR(__xludf.DUMMYFUNCTION("VALUE(SUBSTITUTE((INDEX(SPLIT(A7286,"",""),1)),""."","","",1))"),55.747789)</f>
        <v>55.747789</v>
      </c>
      <c r="Q7286" s="13">
        <f>IFERROR(__xludf.DUMMYFUNCTION("VALUE(SUBSTITUTE((INDEX(SPLIT(A7286,"",""),2)),""."","","",1))"),37.656164)</f>
        <v>37.656164</v>
      </c>
      <c r="R7286" s="14" t="b">
        <f t="shared" si="1"/>
        <v>0</v>
      </c>
      <c r="S7286" s="14" t="str">
        <f t="shared" si="2"/>
        <v>55.747789,37.656164</v>
      </c>
      <c r="T7286" s="12"/>
    </row>
    <row r="7287">
      <c r="A7287" s="146" t="s">
        <v>46951</v>
      </c>
      <c r="B7287" s="147" t="s">
        <v>46952</v>
      </c>
      <c r="C7287" s="147" t="s">
        <v>46953</v>
      </c>
      <c r="D7287" s="147" t="s">
        <v>33342</v>
      </c>
      <c r="E7287" s="148" t="s">
        <v>46954</v>
      </c>
      <c r="F7287" s="146" t="s">
        <v>3883</v>
      </c>
      <c r="G7287" s="146" t="s">
        <v>33344</v>
      </c>
      <c r="H7287" s="146"/>
      <c r="I7287" s="147"/>
      <c r="J7287" s="147" t="s">
        <v>46955</v>
      </c>
      <c r="K7287" s="147" t="s">
        <v>46956</v>
      </c>
      <c r="L7287" s="149" t="s">
        <v>46957</v>
      </c>
      <c r="M7287" s="147"/>
      <c r="N7287" s="12"/>
      <c r="O7287" s="12"/>
      <c r="P7287" s="13">
        <f>IFERROR(__xludf.DUMMYFUNCTION("VALUE(SUBSTITUTE((INDEX(SPLIT(A7287,"",""),1)),""."","","",1))"),55.87688)</f>
        <v>55.87688</v>
      </c>
      <c r="Q7287" s="13">
        <f>IFERROR(__xludf.DUMMYFUNCTION("VALUE(SUBSTITUTE((INDEX(SPLIT(A7287,"",""),2)),""."","","",1))"),37.497252)</f>
        <v>37.497252</v>
      </c>
      <c r="R7287" s="14" t="b">
        <f t="shared" si="1"/>
        <v>0</v>
      </c>
      <c r="S7287" s="14" t="str">
        <f t="shared" si="2"/>
        <v>55.87688,37.497252</v>
      </c>
      <c r="T7287" s="12"/>
    </row>
    <row r="7288">
      <c r="A7288" s="142" t="s">
        <v>46958</v>
      </c>
      <c r="B7288" s="143" t="s">
        <v>46959</v>
      </c>
      <c r="C7288" s="143" t="s">
        <v>46960</v>
      </c>
      <c r="D7288" s="143" t="s">
        <v>33342</v>
      </c>
      <c r="E7288" s="144" t="s">
        <v>46961</v>
      </c>
      <c r="F7288" s="142" t="s">
        <v>3883</v>
      </c>
      <c r="G7288" s="142" t="s">
        <v>33344</v>
      </c>
      <c r="H7288" s="142"/>
      <c r="I7288" s="143"/>
      <c r="J7288" s="143" t="s">
        <v>46962</v>
      </c>
      <c r="K7288" s="143" t="s">
        <v>46963</v>
      </c>
      <c r="L7288" s="145" t="s">
        <v>46964</v>
      </c>
      <c r="M7288" s="145" t="s">
        <v>11715</v>
      </c>
      <c r="N7288" s="12"/>
      <c r="O7288" s="12"/>
      <c r="P7288" s="13">
        <f>IFERROR(__xludf.DUMMYFUNCTION("VALUE(SUBSTITUTE((INDEX(SPLIT(A7288,"",""),1)),""."","","",1))"),55.858013)</f>
        <v>55.858013</v>
      </c>
      <c r="Q7288" s="13">
        <f>IFERROR(__xludf.DUMMYFUNCTION("VALUE(SUBSTITUTE((INDEX(SPLIT(A7288,"",""),2)),""."","","",1))"),37.560817)</f>
        <v>37.560817</v>
      </c>
      <c r="R7288" s="14" t="b">
        <f t="shared" si="1"/>
        <v>0</v>
      </c>
      <c r="S7288" s="14" t="str">
        <f t="shared" si="2"/>
        <v>55.858013,37.560817</v>
      </c>
      <c r="T7288" s="12"/>
    </row>
    <row r="7289">
      <c r="A7289" s="146" t="s">
        <v>46965</v>
      </c>
      <c r="B7289" s="147" t="s">
        <v>46966</v>
      </c>
      <c r="C7289" s="147" t="s">
        <v>46967</v>
      </c>
      <c r="D7289" s="147" t="s">
        <v>33342</v>
      </c>
      <c r="E7289" s="148" t="s">
        <v>46968</v>
      </c>
      <c r="F7289" s="146" t="s">
        <v>3883</v>
      </c>
      <c r="G7289" s="146" t="s">
        <v>33344</v>
      </c>
      <c r="H7289" s="146"/>
      <c r="I7289" s="147"/>
      <c r="J7289" s="147" t="s">
        <v>46969</v>
      </c>
      <c r="K7289" s="147" t="s">
        <v>46970</v>
      </c>
      <c r="L7289" s="149" t="s">
        <v>46971</v>
      </c>
      <c r="M7289" s="147"/>
      <c r="N7289" s="12"/>
      <c r="O7289" s="12"/>
      <c r="P7289" s="13">
        <f>IFERROR(__xludf.DUMMYFUNCTION("VALUE(SUBSTITUTE((INDEX(SPLIT(A7289,"",""),1)),""."","","",1))"),55.826347)</f>
        <v>55.826347</v>
      </c>
      <c r="Q7289" s="13">
        <f>IFERROR(__xludf.DUMMYFUNCTION("VALUE(SUBSTITUTE((INDEX(SPLIT(A7289,"",""),2)),""."","","",1))"),37.571022)</f>
        <v>37.571022</v>
      </c>
      <c r="R7289" s="14" t="b">
        <f t="shared" si="1"/>
        <v>0</v>
      </c>
      <c r="S7289" s="14" t="str">
        <f t="shared" si="2"/>
        <v>55.826347,37.571022</v>
      </c>
      <c r="T7289" s="12"/>
    </row>
    <row r="7290">
      <c r="A7290" s="142" t="s">
        <v>46972</v>
      </c>
      <c r="B7290" s="143" t="s">
        <v>46973</v>
      </c>
      <c r="C7290" s="143" t="s">
        <v>46974</v>
      </c>
      <c r="D7290" s="143" t="s">
        <v>33342</v>
      </c>
      <c r="E7290" s="144" t="s">
        <v>46975</v>
      </c>
      <c r="F7290" s="142" t="s">
        <v>3883</v>
      </c>
      <c r="G7290" s="142" t="s">
        <v>33344</v>
      </c>
      <c r="H7290" s="142"/>
      <c r="I7290" s="143"/>
      <c r="J7290" s="143" t="s">
        <v>46976</v>
      </c>
      <c r="K7290" s="143" t="s">
        <v>46977</v>
      </c>
      <c r="L7290" s="145" t="s">
        <v>46978</v>
      </c>
      <c r="M7290" s="143"/>
      <c r="N7290" s="12"/>
      <c r="O7290" s="12"/>
      <c r="P7290" s="13">
        <f>IFERROR(__xludf.DUMMYFUNCTION("VALUE(SUBSTITUTE((INDEX(SPLIT(A7290,"",""),1)),""."","","",1))"),55.805801)</f>
        <v>55.805801</v>
      </c>
      <c r="Q7290" s="13">
        <f>IFERROR(__xludf.DUMMYFUNCTION("VALUE(SUBSTITUTE((INDEX(SPLIT(A7290,"",""),2)),""."","","",1))"),37.601448)</f>
        <v>37.601448</v>
      </c>
      <c r="R7290" s="14" t="b">
        <f t="shared" si="1"/>
        <v>0</v>
      </c>
      <c r="S7290" s="14" t="str">
        <f t="shared" si="2"/>
        <v>55.805801,37.601448</v>
      </c>
      <c r="T7290" s="12"/>
    </row>
    <row r="7291">
      <c r="A7291" s="139" t="s">
        <v>46979</v>
      </c>
      <c r="B7291" s="140" t="s">
        <v>46980</v>
      </c>
      <c r="C7291" s="140" t="s">
        <v>46981</v>
      </c>
      <c r="D7291" s="140" t="s">
        <v>33342</v>
      </c>
      <c r="E7291" s="141" t="s">
        <v>46982</v>
      </c>
      <c r="F7291" s="139" t="s">
        <v>3883</v>
      </c>
      <c r="G7291" s="139" t="s">
        <v>33344</v>
      </c>
      <c r="H7291" s="139"/>
      <c r="I7291" s="140"/>
      <c r="J7291" s="140" t="s">
        <v>46983</v>
      </c>
      <c r="K7291" s="140" t="s">
        <v>46984</v>
      </c>
      <c r="L7291" s="140"/>
      <c r="M7291" s="140"/>
      <c r="N7291" s="12"/>
      <c r="O7291" s="12"/>
      <c r="P7291" s="13">
        <f>IFERROR(__xludf.DUMMYFUNCTION("VALUE(SUBSTITUTE((INDEX(SPLIT(A7291,"",""),1)),""."","","",1))"),55.800554)</f>
        <v>55.800554</v>
      </c>
      <c r="Q7291" s="13">
        <f>IFERROR(__xludf.DUMMYFUNCTION("VALUE(SUBSTITUTE((INDEX(SPLIT(A7291,"",""),2)),""."","","",1))"),37.524345)</f>
        <v>37.524345</v>
      </c>
      <c r="R7291" s="14" t="b">
        <f t="shared" si="1"/>
        <v>0</v>
      </c>
      <c r="S7291" s="14" t="str">
        <f t="shared" si="2"/>
        <v>55.800554,37.524345</v>
      </c>
      <c r="T7291" s="12"/>
    </row>
    <row r="7292">
      <c r="A7292" s="142" t="s">
        <v>46985</v>
      </c>
      <c r="B7292" s="143" t="s">
        <v>46986</v>
      </c>
      <c r="C7292" s="143" t="s">
        <v>46987</v>
      </c>
      <c r="D7292" s="143" t="s">
        <v>33342</v>
      </c>
      <c r="E7292" s="144" t="s">
        <v>46988</v>
      </c>
      <c r="F7292" s="142" t="s">
        <v>3883</v>
      </c>
      <c r="G7292" s="142" t="s">
        <v>33344</v>
      </c>
      <c r="H7292" s="142"/>
      <c r="I7292" s="143"/>
      <c r="J7292" s="143" t="s">
        <v>46989</v>
      </c>
      <c r="K7292" s="143" t="s">
        <v>46990</v>
      </c>
      <c r="L7292" s="145" t="s">
        <v>46991</v>
      </c>
      <c r="M7292" s="143"/>
      <c r="N7292" s="12"/>
      <c r="O7292" s="12"/>
      <c r="P7292" s="13">
        <f>IFERROR(__xludf.DUMMYFUNCTION("VALUE(SUBSTITUTE((INDEX(SPLIT(A7292,"",""),1)),""."","","",1))"),55.712284)</f>
        <v>55.712284</v>
      </c>
      <c r="Q7292" s="13">
        <f>IFERROR(__xludf.DUMMYFUNCTION("VALUE(SUBSTITUTE((INDEX(SPLIT(A7292,"",""),2)),""."","","",1))"),37.518461)</f>
        <v>37.518461</v>
      </c>
      <c r="R7292" s="14" t="b">
        <f t="shared" si="1"/>
        <v>0</v>
      </c>
      <c r="S7292" s="14" t="str">
        <f t="shared" si="2"/>
        <v>55.712284,37.518461</v>
      </c>
      <c r="T7292" s="12"/>
    </row>
    <row r="7293">
      <c r="A7293" s="139" t="s">
        <v>46992</v>
      </c>
      <c r="B7293" s="140" t="s">
        <v>46993</v>
      </c>
      <c r="C7293" s="140" t="s">
        <v>46994</v>
      </c>
      <c r="D7293" s="140" t="s">
        <v>33342</v>
      </c>
      <c r="E7293" s="141" t="s">
        <v>46995</v>
      </c>
      <c r="F7293" s="139" t="s">
        <v>3883</v>
      </c>
      <c r="G7293" s="139" t="s">
        <v>33344</v>
      </c>
      <c r="H7293" s="139"/>
      <c r="I7293" s="140"/>
      <c r="J7293" s="140" t="s">
        <v>46996</v>
      </c>
      <c r="K7293" s="140" t="s">
        <v>46997</v>
      </c>
      <c r="L7293" s="140"/>
      <c r="M7293" s="140"/>
      <c r="N7293" s="12"/>
      <c r="O7293" s="12"/>
      <c r="P7293" s="13">
        <f>IFERROR(__xludf.DUMMYFUNCTION("VALUE(SUBSTITUTE((INDEX(SPLIT(A7293,"",""),1)),""."","","",1))"),55.871905)</f>
        <v>55.871905</v>
      </c>
      <c r="Q7293" s="13">
        <f>IFERROR(__xludf.DUMMYFUNCTION("VALUE(SUBSTITUTE((INDEX(SPLIT(A7293,"",""),2)),""."","","",1))"),37.512982)</f>
        <v>37.512982</v>
      </c>
      <c r="R7293" s="14" t="b">
        <f t="shared" si="1"/>
        <v>0</v>
      </c>
      <c r="S7293" s="14" t="str">
        <f t="shared" si="2"/>
        <v>55.871905,37.512982</v>
      </c>
      <c r="T7293" s="12"/>
    </row>
    <row r="7294">
      <c r="A7294" s="142" t="s">
        <v>46998</v>
      </c>
      <c r="B7294" s="143" t="s">
        <v>46999</v>
      </c>
      <c r="C7294" s="143" t="s">
        <v>47000</v>
      </c>
      <c r="D7294" s="143" t="s">
        <v>33342</v>
      </c>
      <c r="E7294" s="144" t="s">
        <v>47001</v>
      </c>
      <c r="F7294" s="142" t="s">
        <v>3883</v>
      </c>
      <c r="G7294" s="142" t="s">
        <v>33344</v>
      </c>
      <c r="H7294" s="142"/>
      <c r="I7294" s="143"/>
      <c r="J7294" s="143" t="s">
        <v>47002</v>
      </c>
      <c r="K7294" s="143" t="s">
        <v>47003</v>
      </c>
      <c r="L7294" s="145" t="s">
        <v>47004</v>
      </c>
      <c r="M7294" s="143"/>
      <c r="N7294" s="12"/>
      <c r="O7294" s="12"/>
      <c r="P7294" s="13">
        <f>IFERROR(__xludf.DUMMYFUNCTION("VALUE(SUBSTITUTE((INDEX(SPLIT(A7294,"",""),1)),""."","","",1))"),55.868662)</f>
        <v>55.868662</v>
      </c>
      <c r="Q7294" s="13">
        <f>IFERROR(__xludf.DUMMYFUNCTION("VALUE(SUBSTITUTE((INDEX(SPLIT(A7294,"",""),2)),""."","","",1))"),37.658796)</f>
        <v>37.658796</v>
      </c>
      <c r="R7294" s="14" t="b">
        <f t="shared" si="1"/>
        <v>0</v>
      </c>
      <c r="S7294" s="14" t="str">
        <f t="shared" si="2"/>
        <v>55.868662,37.658796</v>
      </c>
      <c r="T7294" s="12"/>
    </row>
    <row r="7295">
      <c r="A7295" s="146" t="s">
        <v>47005</v>
      </c>
      <c r="B7295" s="147" t="s">
        <v>47006</v>
      </c>
      <c r="C7295" s="147" t="s">
        <v>47007</v>
      </c>
      <c r="D7295" s="147" t="s">
        <v>33342</v>
      </c>
      <c r="E7295" s="148" t="s">
        <v>47008</v>
      </c>
      <c r="F7295" s="146" t="s">
        <v>3883</v>
      </c>
      <c r="G7295" s="146" t="s">
        <v>33344</v>
      </c>
      <c r="H7295" s="146"/>
      <c r="I7295" s="147"/>
      <c r="J7295" s="147" t="s">
        <v>47009</v>
      </c>
      <c r="K7295" s="147" t="s">
        <v>26459</v>
      </c>
      <c r="L7295" s="149" t="s">
        <v>47010</v>
      </c>
      <c r="M7295" s="147"/>
      <c r="N7295" s="12"/>
      <c r="O7295" s="12"/>
      <c r="P7295" s="13">
        <f>IFERROR(__xludf.DUMMYFUNCTION("VALUE(SUBSTITUTE((INDEX(SPLIT(A7295,"",""),1)),""."","","",1))"),55.858554)</f>
        <v>55.858554</v>
      </c>
      <c r="Q7295" s="13">
        <f>IFERROR(__xludf.DUMMYFUNCTION("VALUE(SUBSTITUTE((INDEX(SPLIT(A7295,"",""),2)),""."","","",1))"),37.657592)</f>
        <v>37.657592</v>
      </c>
      <c r="R7295" s="14" t="b">
        <f t="shared" si="1"/>
        <v>0</v>
      </c>
      <c r="S7295" s="14" t="str">
        <f t="shared" si="2"/>
        <v>55.858554,37.657592</v>
      </c>
      <c r="T7295" s="12"/>
    </row>
    <row r="7296">
      <c r="A7296" s="136" t="s">
        <v>47011</v>
      </c>
      <c r="B7296" s="137" t="s">
        <v>47012</v>
      </c>
      <c r="C7296" s="137" t="s">
        <v>47013</v>
      </c>
      <c r="D7296" s="137" t="s">
        <v>33342</v>
      </c>
      <c r="E7296" s="138" t="s">
        <v>47014</v>
      </c>
      <c r="F7296" s="136" t="s">
        <v>3883</v>
      </c>
      <c r="G7296" s="136" t="s">
        <v>33344</v>
      </c>
      <c r="H7296" s="136"/>
      <c r="I7296" s="137"/>
      <c r="J7296" s="137" t="s">
        <v>47015</v>
      </c>
      <c r="K7296" s="137" t="s">
        <v>47016</v>
      </c>
      <c r="L7296" s="137"/>
      <c r="M7296" s="137"/>
      <c r="N7296" s="12"/>
      <c r="O7296" s="12"/>
      <c r="P7296" s="13">
        <f>IFERROR(__xludf.DUMMYFUNCTION("VALUE(SUBSTITUTE((INDEX(SPLIT(A7296,"",""),1)),""."","","",1))"),55.837277)</f>
        <v>55.837277</v>
      </c>
      <c r="Q7296" s="13">
        <f>IFERROR(__xludf.DUMMYFUNCTION("VALUE(SUBSTITUTE((INDEX(SPLIT(A7296,"",""),2)),""."","","",1))"),37.415631)</f>
        <v>37.415631</v>
      </c>
      <c r="R7296" s="14" t="b">
        <f t="shared" si="1"/>
        <v>0</v>
      </c>
      <c r="S7296" s="14" t="str">
        <f t="shared" si="2"/>
        <v>55.837277,37.415631</v>
      </c>
      <c r="T7296" s="12"/>
    </row>
    <row r="7297">
      <c r="A7297" s="146" t="s">
        <v>47017</v>
      </c>
      <c r="B7297" s="147" t="s">
        <v>47018</v>
      </c>
      <c r="C7297" s="147" t="s">
        <v>47019</v>
      </c>
      <c r="D7297" s="147" t="s">
        <v>33342</v>
      </c>
      <c r="E7297" s="148" t="s">
        <v>47020</v>
      </c>
      <c r="F7297" s="146" t="s">
        <v>3883</v>
      </c>
      <c r="G7297" s="146" t="s">
        <v>33344</v>
      </c>
      <c r="H7297" s="146"/>
      <c r="I7297" s="147"/>
      <c r="J7297" s="147" t="s">
        <v>47021</v>
      </c>
      <c r="K7297" s="147" t="s">
        <v>34764</v>
      </c>
      <c r="L7297" s="149" t="s">
        <v>47022</v>
      </c>
      <c r="M7297" s="147"/>
      <c r="N7297" s="12"/>
      <c r="O7297" s="12"/>
      <c r="P7297" s="13">
        <f>IFERROR(__xludf.DUMMYFUNCTION("VALUE(SUBSTITUTE((INDEX(SPLIT(A7297,"",""),1)),""."","","",1))"),55.728636)</f>
        <v>55.728636</v>
      </c>
      <c r="Q7297" s="13">
        <f>IFERROR(__xludf.DUMMYFUNCTION("VALUE(SUBSTITUTE((INDEX(SPLIT(A7297,"",""),2)),""."","","",1))"),37.662695)</f>
        <v>37.662695</v>
      </c>
      <c r="R7297" s="14" t="b">
        <f t="shared" si="1"/>
        <v>0</v>
      </c>
      <c r="S7297" s="14" t="str">
        <f t="shared" si="2"/>
        <v>55.728636,37.662695</v>
      </c>
      <c r="T7297" s="12"/>
    </row>
    <row r="7298">
      <c r="A7298" s="142" t="s">
        <v>47023</v>
      </c>
      <c r="B7298" s="143" t="s">
        <v>47024</v>
      </c>
      <c r="C7298" s="143" t="s">
        <v>47025</v>
      </c>
      <c r="D7298" s="143" t="s">
        <v>33342</v>
      </c>
      <c r="E7298" s="144" t="s">
        <v>47026</v>
      </c>
      <c r="F7298" s="142" t="s">
        <v>3883</v>
      </c>
      <c r="G7298" s="142" t="s">
        <v>33344</v>
      </c>
      <c r="H7298" s="142"/>
      <c r="I7298" s="155" t="s">
        <v>47027</v>
      </c>
      <c r="J7298" s="143" t="s">
        <v>47028</v>
      </c>
      <c r="K7298" s="143" t="s">
        <v>47029</v>
      </c>
      <c r="L7298" s="152" t="s">
        <v>47030</v>
      </c>
      <c r="M7298" s="143"/>
      <c r="N7298" s="12"/>
      <c r="O7298" s="12"/>
      <c r="P7298" s="13">
        <f>IFERROR(__xludf.DUMMYFUNCTION("VALUE(SUBSTITUTE((INDEX(SPLIT(A7298,"",""),1)),""."","","",1))"),55.811412)</f>
        <v>55.811412</v>
      </c>
      <c r="Q7298" s="13">
        <f>IFERROR(__xludf.DUMMYFUNCTION("VALUE(SUBSTITUTE((INDEX(SPLIT(A7298,"",""),2)),""."","","",1))"),37.758222)</f>
        <v>37.758222</v>
      </c>
      <c r="R7298" s="14" t="b">
        <f t="shared" si="1"/>
        <v>0</v>
      </c>
      <c r="S7298" s="14" t="str">
        <f t="shared" si="2"/>
        <v>55.811412,37.758222</v>
      </c>
      <c r="T7298" s="12"/>
    </row>
    <row r="7299">
      <c r="A7299" s="139" t="s">
        <v>47031</v>
      </c>
      <c r="B7299" s="140" t="s">
        <v>47032</v>
      </c>
      <c r="C7299" s="140" t="s">
        <v>47033</v>
      </c>
      <c r="D7299" s="140" t="s">
        <v>33342</v>
      </c>
      <c r="E7299" s="141" t="s">
        <v>47034</v>
      </c>
      <c r="F7299" s="139" t="s">
        <v>3883</v>
      </c>
      <c r="G7299" s="139" t="s">
        <v>33344</v>
      </c>
      <c r="H7299" s="139"/>
      <c r="I7299" s="140"/>
      <c r="J7299" s="140" t="s">
        <v>47035</v>
      </c>
      <c r="K7299" s="140" t="s">
        <v>47036</v>
      </c>
      <c r="L7299" s="140"/>
      <c r="M7299" s="140"/>
      <c r="N7299" s="12"/>
      <c r="O7299" s="12"/>
      <c r="P7299" s="13">
        <f>IFERROR(__xludf.DUMMYFUNCTION("VALUE(SUBSTITUTE((INDEX(SPLIT(A7299,"",""),1)),""."","","",1))"),55.779499)</f>
        <v>55.779499</v>
      </c>
      <c r="Q7299" s="13">
        <f>IFERROR(__xludf.DUMMYFUNCTION("VALUE(SUBSTITUTE((INDEX(SPLIT(A7299,"",""),2)),""."","","",1))"),37.827643)</f>
        <v>37.827643</v>
      </c>
      <c r="R7299" s="14" t="b">
        <f t="shared" si="1"/>
        <v>0</v>
      </c>
      <c r="S7299" s="14" t="str">
        <f t="shared" si="2"/>
        <v>55.779499,37.827643</v>
      </c>
      <c r="T7299" s="12"/>
    </row>
    <row r="7300">
      <c r="A7300" s="136" t="s">
        <v>47037</v>
      </c>
      <c r="B7300" s="137" t="s">
        <v>47038</v>
      </c>
      <c r="C7300" s="137" t="s">
        <v>47039</v>
      </c>
      <c r="D7300" s="137" t="s">
        <v>33342</v>
      </c>
      <c r="E7300" s="138" t="s">
        <v>47040</v>
      </c>
      <c r="F7300" s="136" t="s">
        <v>3883</v>
      </c>
      <c r="G7300" s="136" t="s">
        <v>33344</v>
      </c>
      <c r="H7300" s="136"/>
      <c r="I7300" s="137"/>
      <c r="J7300" s="137" t="s">
        <v>47041</v>
      </c>
      <c r="K7300" s="137" t="s">
        <v>47042</v>
      </c>
      <c r="L7300" s="137"/>
      <c r="M7300" s="137"/>
      <c r="N7300" s="12"/>
      <c r="O7300" s="12"/>
      <c r="P7300" s="13">
        <f>IFERROR(__xludf.DUMMYFUNCTION("VALUE(SUBSTITUTE((INDEX(SPLIT(A7300,"",""),1)),""."","","",1))"),55.765701)</f>
        <v>55.765701</v>
      </c>
      <c r="Q7300" s="13">
        <f>IFERROR(__xludf.DUMMYFUNCTION("VALUE(SUBSTITUTE((INDEX(SPLIT(A7300,"",""),2)),""."","","",1))"),37.738333)</f>
        <v>37.738333</v>
      </c>
      <c r="R7300" s="14" t="b">
        <f t="shared" si="1"/>
        <v>0</v>
      </c>
      <c r="S7300" s="14" t="str">
        <f t="shared" si="2"/>
        <v>55.765701,37.738333</v>
      </c>
      <c r="T7300" s="12"/>
    </row>
    <row r="7301">
      <c r="A7301" s="146" t="s">
        <v>47043</v>
      </c>
      <c r="B7301" s="147" t="s">
        <v>47044</v>
      </c>
      <c r="C7301" s="147" t="s">
        <v>47045</v>
      </c>
      <c r="D7301" s="147" t="s">
        <v>33342</v>
      </c>
      <c r="E7301" s="148" t="s">
        <v>47046</v>
      </c>
      <c r="F7301" s="146" t="s">
        <v>3883</v>
      </c>
      <c r="G7301" s="146" t="s">
        <v>33344</v>
      </c>
      <c r="H7301" s="146"/>
      <c r="I7301" s="147"/>
      <c r="J7301" s="147" t="s">
        <v>47047</v>
      </c>
      <c r="K7301" s="147" t="s">
        <v>47048</v>
      </c>
      <c r="L7301" s="149" t="s">
        <v>47049</v>
      </c>
      <c r="M7301" s="149" t="s">
        <v>47050</v>
      </c>
      <c r="N7301" s="12"/>
      <c r="O7301" s="12"/>
      <c r="P7301" s="13">
        <f>IFERROR(__xludf.DUMMYFUNCTION("VALUE(SUBSTITUTE((INDEX(SPLIT(A7301,"",""),1)),""."","","",1))"),55.668924)</f>
        <v>55.668924</v>
      </c>
      <c r="Q7301" s="13">
        <f>IFERROR(__xludf.DUMMYFUNCTION("VALUE(SUBSTITUTE((INDEX(SPLIT(A7301,"",""),2)),""."","","",1))"),37.738827)</f>
        <v>37.738827</v>
      </c>
      <c r="R7301" s="14" t="b">
        <f t="shared" si="1"/>
        <v>0</v>
      </c>
      <c r="S7301" s="14" t="str">
        <f t="shared" si="2"/>
        <v>55.668924,37.738827</v>
      </c>
      <c r="T7301" s="12"/>
    </row>
    <row r="7302">
      <c r="A7302" s="136" t="s">
        <v>47051</v>
      </c>
      <c r="B7302" s="137" t="s">
        <v>47052</v>
      </c>
      <c r="C7302" s="137" t="s">
        <v>47053</v>
      </c>
      <c r="D7302" s="137" t="s">
        <v>33342</v>
      </c>
      <c r="E7302" s="138" t="s">
        <v>47054</v>
      </c>
      <c r="F7302" s="136" t="s">
        <v>3883</v>
      </c>
      <c r="G7302" s="136" t="s">
        <v>33344</v>
      </c>
      <c r="H7302" s="136"/>
      <c r="I7302" s="137"/>
      <c r="J7302" s="137" t="s">
        <v>47055</v>
      </c>
      <c r="K7302" s="137" t="s">
        <v>47056</v>
      </c>
      <c r="L7302" s="137"/>
      <c r="M7302" s="137"/>
      <c r="N7302" s="12"/>
      <c r="O7302" s="12"/>
      <c r="P7302" s="13">
        <f>IFERROR(__xludf.DUMMYFUNCTION("VALUE(SUBSTITUTE((INDEX(SPLIT(A7302,"",""),1)),""."","","",1))"),55.76285)</f>
        <v>55.76285</v>
      </c>
      <c r="Q7302" s="13">
        <f>IFERROR(__xludf.DUMMYFUNCTION("VALUE(SUBSTITUTE((INDEX(SPLIT(A7302,"",""),2)),""."","","",1))"),37.6327)</f>
        <v>37.6327</v>
      </c>
      <c r="R7302" s="14" t="b">
        <f t="shared" si="1"/>
        <v>0</v>
      </c>
      <c r="S7302" s="14" t="str">
        <f t="shared" si="2"/>
        <v>55.76285,37.6327</v>
      </c>
      <c r="T7302" s="12"/>
    </row>
    <row r="7303">
      <c r="A7303" s="139" t="s">
        <v>47057</v>
      </c>
      <c r="B7303" s="140" t="s">
        <v>47058</v>
      </c>
      <c r="C7303" s="140" t="s">
        <v>47059</v>
      </c>
      <c r="D7303" s="140" t="s">
        <v>33342</v>
      </c>
      <c r="E7303" s="141" t="s">
        <v>47060</v>
      </c>
      <c r="F7303" s="139" t="s">
        <v>3883</v>
      </c>
      <c r="G7303" s="139" t="s">
        <v>33344</v>
      </c>
      <c r="H7303" s="139"/>
      <c r="I7303" s="140"/>
      <c r="J7303" s="140" t="s">
        <v>47061</v>
      </c>
      <c r="K7303" s="140" t="s">
        <v>47062</v>
      </c>
      <c r="L7303" s="140"/>
      <c r="M7303" s="140"/>
      <c r="N7303" s="12"/>
      <c r="O7303" s="12"/>
      <c r="P7303" s="13">
        <f>IFERROR(__xludf.DUMMYFUNCTION("VALUE(SUBSTITUTE((INDEX(SPLIT(A7303,"",""),1)),""."","","",1))"),55.751999)</f>
        <v>55.751999</v>
      </c>
      <c r="Q7303" s="13">
        <f>IFERROR(__xludf.DUMMYFUNCTION("VALUE(SUBSTITUTE((INDEX(SPLIT(A7303,"",""),2)),""."","","",1))"),37.767456)</f>
        <v>37.767456</v>
      </c>
      <c r="R7303" s="14" t="b">
        <f t="shared" si="1"/>
        <v>0</v>
      </c>
      <c r="S7303" s="14" t="str">
        <f t="shared" si="2"/>
        <v>55.751999,37.767456</v>
      </c>
      <c r="T7303" s="12"/>
    </row>
    <row r="7304">
      <c r="A7304" s="136" t="s">
        <v>47063</v>
      </c>
      <c r="B7304" s="137" t="s">
        <v>47064</v>
      </c>
      <c r="C7304" s="137" t="s">
        <v>47065</v>
      </c>
      <c r="D7304" s="137" t="s">
        <v>33342</v>
      </c>
      <c r="E7304" s="138" t="s">
        <v>47066</v>
      </c>
      <c r="F7304" s="136" t="s">
        <v>3883</v>
      </c>
      <c r="G7304" s="136" t="s">
        <v>33344</v>
      </c>
      <c r="H7304" s="136"/>
      <c r="I7304" s="137"/>
      <c r="J7304" s="137" t="s">
        <v>47067</v>
      </c>
      <c r="K7304" s="137" t="s">
        <v>47068</v>
      </c>
      <c r="L7304" s="137"/>
      <c r="M7304" s="137"/>
      <c r="N7304" s="12"/>
      <c r="O7304" s="12"/>
      <c r="P7304" s="13">
        <f>IFERROR(__xludf.DUMMYFUNCTION("VALUE(SUBSTITUTE((INDEX(SPLIT(A7304,"",""),1)),""."","","",1))"),55.734131)</f>
        <v>55.734131</v>
      </c>
      <c r="Q7304" s="13">
        <f>IFERROR(__xludf.DUMMYFUNCTION("VALUE(SUBSTITUTE((INDEX(SPLIT(A7304,"",""),2)),""."","","",1))"),37.832881)</f>
        <v>37.832881</v>
      </c>
      <c r="R7304" s="14" t="b">
        <f t="shared" si="1"/>
        <v>0</v>
      </c>
      <c r="S7304" s="14" t="str">
        <f t="shared" si="2"/>
        <v>55.734131,37.832881</v>
      </c>
      <c r="T7304" s="12"/>
    </row>
    <row r="7305">
      <c r="A7305" s="139" t="s">
        <v>47069</v>
      </c>
      <c r="B7305" s="140" t="s">
        <v>47070</v>
      </c>
      <c r="C7305" s="140" t="s">
        <v>47071</v>
      </c>
      <c r="D7305" s="140" t="s">
        <v>33342</v>
      </c>
      <c r="E7305" s="141" t="s">
        <v>47072</v>
      </c>
      <c r="F7305" s="139" t="s">
        <v>3883</v>
      </c>
      <c r="G7305" s="139" t="s">
        <v>33344</v>
      </c>
      <c r="H7305" s="139"/>
      <c r="I7305" s="140"/>
      <c r="J7305" s="140" t="s">
        <v>47073</v>
      </c>
      <c r="K7305" s="140" t="s">
        <v>47074</v>
      </c>
      <c r="L7305" s="140"/>
      <c r="M7305" s="154" t="s">
        <v>47075</v>
      </c>
      <c r="N7305" s="12"/>
      <c r="O7305" s="12"/>
      <c r="P7305" s="13">
        <f>IFERROR(__xludf.DUMMYFUNCTION("VALUE(SUBSTITUTE((INDEX(SPLIT(A7305,"",""),1)),""."","","",1))"),55.683234)</f>
        <v>55.683234</v>
      </c>
      <c r="Q7305" s="13">
        <f>IFERROR(__xludf.DUMMYFUNCTION("VALUE(SUBSTITUTE((INDEX(SPLIT(A7305,"",""),2)),""."","","",1))"),37.458553)</f>
        <v>37.458553</v>
      </c>
      <c r="R7305" s="14" t="b">
        <f t="shared" si="1"/>
        <v>0</v>
      </c>
      <c r="S7305" s="14" t="str">
        <f t="shared" si="2"/>
        <v>55.683234,37.458553</v>
      </c>
      <c r="T7305" s="12"/>
    </row>
    <row r="7306">
      <c r="A7306" s="136" t="s">
        <v>47076</v>
      </c>
      <c r="B7306" s="137" t="s">
        <v>47077</v>
      </c>
      <c r="C7306" s="137" t="s">
        <v>47078</v>
      </c>
      <c r="D7306" s="137" t="s">
        <v>33342</v>
      </c>
      <c r="E7306" s="138" t="s">
        <v>47079</v>
      </c>
      <c r="F7306" s="136" t="s">
        <v>3883</v>
      </c>
      <c r="G7306" s="136" t="s">
        <v>33344</v>
      </c>
      <c r="H7306" s="136"/>
      <c r="I7306" s="137"/>
      <c r="J7306" s="137" t="s">
        <v>47080</v>
      </c>
      <c r="K7306" s="137" t="s">
        <v>47081</v>
      </c>
      <c r="L7306" s="137"/>
      <c r="M7306" s="137"/>
      <c r="N7306" s="12"/>
      <c r="O7306" s="12"/>
      <c r="P7306" s="13">
        <f>IFERROR(__xludf.DUMMYFUNCTION("VALUE(SUBSTITUTE((INDEX(SPLIT(A7306,"",""),1)),""."","","",1))"),55.800595)</f>
        <v>55.800595</v>
      </c>
      <c r="Q7306" s="13">
        <f>IFERROR(__xludf.DUMMYFUNCTION("VALUE(SUBSTITUTE((INDEX(SPLIT(A7306,"",""),2)),""."","","",1))"),37.63668)</f>
        <v>37.63668</v>
      </c>
      <c r="R7306" s="14" t="b">
        <f t="shared" si="1"/>
        <v>0</v>
      </c>
      <c r="S7306" s="14" t="str">
        <f t="shared" si="2"/>
        <v>55.800595,37.63668</v>
      </c>
      <c r="T7306" s="12"/>
    </row>
    <row r="7307">
      <c r="A7307" s="139" t="s">
        <v>47082</v>
      </c>
      <c r="B7307" s="140" t="s">
        <v>47083</v>
      </c>
      <c r="C7307" s="140" t="s">
        <v>47084</v>
      </c>
      <c r="D7307" s="140" t="s">
        <v>33342</v>
      </c>
      <c r="E7307" s="141" t="s">
        <v>47085</v>
      </c>
      <c r="F7307" s="139" t="s">
        <v>3883</v>
      </c>
      <c r="G7307" s="139" t="s">
        <v>33344</v>
      </c>
      <c r="H7307" s="139"/>
      <c r="I7307" s="140"/>
      <c r="J7307" s="140" t="s">
        <v>47086</v>
      </c>
      <c r="K7307" s="140" t="s">
        <v>43361</v>
      </c>
      <c r="L7307" s="140"/>
      <c r="M7307" s="154" t="s">
        <v>47087</v>
      </c>
      <c r="N7307" s="12"/>
      <c r="O7307" s="12"/>
      <c r="P7307" s="13">
        <f>IFERROR(__xludf.DUMMYFUNCTION("VALUE(SUBSTITUTE((INDEX(SPLIT(A7307,"",""),1)),""."","","",1))"),55.748498)</f>
        <v>55.748498</v>
      </c>
      <c r="Q7307" s="13">
        <f>IFERROR(__xludf.DUMMYFUNCTION("VALUE(SUBSTITUTE((INDEX(SPLIT(A7307,"",""),2)),""."","","",1))"),37.768822)</f>
        <v>37.768822</v>
      </c>
      <c r="R7307" s="14" t="b">
        <f t="shared" si="1"/>
        <v>0</v>
      </c>
      <c r="S7307" s="14" t="str">
        <f t="shared" si="2"/>
        <v>55.748498,37.768822</v>
      </c>
      <c r="T7307" s="12"/>
    </row>
    <row r="7308">
      <c r="A7308" s="142" t="s">
        <v>47088</v>
      </c>
      <c r="B7308" s="143" t="s">
        <v>47089</v>
      </c>
      <c r="C7308" s="143" t="s">
        <v>47090</v>
      </c>
      <c r="D7308" s="143" t="s">
        <v>33342</v>
      </c>
      <c r="E7308" s="144" t="s">
        <v>47091</v>
      </c>
      <c r="F7308" s="142" t="s">
        <v>3883</v>
      </c>
      <c r="G7308" s="142" t="s">
        <v>33344</v>
      </c>
      <c r="H7308" s="142"/>
      <c r="I7308" s="143"/>
      <c r="J7308" s="143" t="s">
        <v>47092</v>
      </c>
      <c r="K7308" s="143" t="s">
        <v>47093</v>
      </c>
      <c r="L7308" s="145" t="s">
        <v>47094</v>
      </c>
      <c r="M7308" s="143"/>
      <c r="N7308" s="12"/>
      <c r="O7308" s="12"/>
      <c r="P7308" s="13">
        <f>IFERROR(__xludf.DUMMYFUNCTION("VALUE(SUBSTITUTE((INDEX(SPLIT(A7308,"",""),1)),""."","","",1))"),55.721305)</f>
        <v>55.721305</v>
      </c>
      <c r="Q7308" s="13">
        <f>IFERROR(__xludf.DUMMYFUNCTION("VALUE(SUBSTITUTE((INDEX(SPLIT(A7308,"",""),2)),""."","","",1))"),37.770978)</f>
        <v>37.770978</v>
      </c>
      <c r="R7308" s="14" t="b">
        <f t="shared" si="1"/>
        <v>0</v>
      </c>
      <c r="S7308" s="14" t="str">
        <f t="shared" si="2"/>
        <v>55.721305,37.770978</v>
      </c>
      <c r="T7308" s="12"/>
    </row>
    <row r="7309">
      <c r="A7309" s="139" t="s">
        <v>47095</v>
      </c>
      <c r="B7309" s="140" t="s">
        <v>47096</v>
      </c>
      <c r="C7309" s="140" t="s">
        <v>47097</v>
      </c>
      <c r="D7309" s="140" t="s">
        <v>33342</v>
      </c>
      <c r="E7309" s="141" t="s">
        <v>47098</v>
      </c>
      <c r="F7309" s="139" t="s">
        <v>3883</v>
      </c>
      <c r="G7309" s="139" t="s">
        <v>33344</v>
      </c>
      <c r="H7309" s="139"/>
      <c r="I7309" s="140"/>
      <c r="J7309" s="140" t="s">
        <v>47099</v>
      </c>
      <c r="K7309" s="140" t="s">
        <v>47100</v>
      </c>
      <c r="L7309" s="140"/>
      <c r="M7309" s="140"/>
      <c r="N7309" s="12"/>
      <c r="O7309" s="12"/>
      <c r="P7309" s="13">
        <f>IFERROR(__xludf.DUMMYFUNCTION("VALUE(SUBSTITUTE((INDEX(SPLIT(A7309,"",""),1)),""."","","",1))"),55.786607)</f>
        <v>55.786607</v>
      </c>
      <c r="Q7309" s="13">
        <f>IFERROR(__xludf.DUMMYFUNCTION("VALUE(SUBSTITUTE((INDEX(SPLIT(A7309,"",""),2)),""."","","",1))"),37.674058)</f>
        <v>37.674058</v>
      </c>
      <c r="R7309" s="14" t="b">
        <f t="shared" si="1"/>
        <v>0</v>
      </c>
      <c r="S7309" s="14" t="str">
        <f t="shared" si="2"/>
        <v>55.786607,37.674058</v>
      </c>
      <c r="T7309" s="12"/>
    </row>
    <row r="7310">
      <c r="A7310" s="142" t="s">
        <v>11450</v>
      </c>
      <c r="B7310" s="143" t="s">
        <v>47101</v>
      </c>
      <c r="C7310" s="143" t="s">
        <v>47102</v>
      </c>
      <c r="D7310" s="143" t="s">
        <v>33342</v>
      </c>
      <c r="E7310" s="144" t="s">
        <v>47103</v>
      </c>
      <c r="F7310" s="142" t="s">
        <v>3883</v>
      </c>
      <c r="G7310" s="142" t="s">
        <v>33344</v>
      </c>
      <c r="H7310" s="142"/>
      <c r="I7310" s="143"/>
      <c r="J7310" s="143" t="s">
        <v>47104</v>
      </c>
      <c r="K7310" s="143" t="s">
        <v>47105</v>
      </c>
      <c r="L7310" s="145" t="s">
        <v>47106</v>
      </c>
      <c r="M7310" s="145" t="s">
        <v>47107</v>
      </c>
      <c r="N7310" s="12"/>
      <c r="O7310" s="12"/>
      <c r="P7310" s="13">
        <f>IFERROR(__xludf.DUMMYFUNCTION("VALUE(SUBSTITUTE((INDEX(SPLIT(A7310,"",""),1)),""."","","",1))"),55.731364)</f>
        <v>55.731364</v>
      </c>
      <c r="Q7310" s="13">
        <f>IFERROR(__xludf.DUMMYFUNCTION("VALUE(SUBSTITUTE((INDEX(SPLIT(A7310,"",""),2)),""."","","",1))"),37.768983)</f>
        <v>37.768983</v>
      </c>
      <c r="R7310" s="14" t="b">
        <f t="shared" si="1"/>
        <v>0</v>
      </c>
      <c r="S7310" s="14" t="str">
        <f t="shared" si="2"/>
        <v>55.731364,37.768983</v>
      </c>
      <c r="T7310" s="12"/>
    </row>
    <row r="7311">
      <c r="A7311" s="139" t="s">
        <v>47108</v>
      </c>
      <c r="B7311" s="140" t="s">
        <v>47109</v>
      </c>
      <c r="C7311" s="140" t="s">
        <v>47110</v>
      </c>
      <c r="D7311" s="140" t="s">
        <v>33342</v>
      </c>
      <c r="E7311" s="141" t="s">
        <v>47111</v>
      </c>
      <c r="F7311" s="139" t="s">
        <v>3883</v>
      </c>
      <c r="G7311" s="139" t="s">
        <v>33344</v>
      </c>
      <c r="H7311" s="139"/>
      <c r="I7311" s="140"/>
      <c r="J7311" s="140" t="s">
        <v>47112</v>
      </c>
      <c r="K7311" s="140" t="s">
        <v>47113</v>
      </c>
      <c r="L7311" s="140"/>
      <c r="M7311" s="140"/>
      <c r="N7311" s="12"/>
      <c r="O7311" s="12"/>
      <c r="P7311" s="13">
        <f>IFERROR(__xludf.DUMMYFUNCTION("VALUE(SUBSTITUTE((INDEX(SPLIT(A7311,"",""),1)),""."","","",1))"),55.729224)</f>
        <v>55.729224</v>
      </c>
      <c r="Q7311" s="13">
        <f>IFERROR(__xludf.DUMMYFUNCTION("VALUE(SUBSTITUTE((INDEX(SPLIT(A7311,"",""),2)),""."","","",1))"),37.722666)</f>
        <v>37.722666</v>
      </c>
      <c r="R7311" s="14" t="b">
        <f t="shared" si="1"/>
        <v>0</v>
      </c>
      <c r="S7311" s="14" t="str">
        <f t="shared" si="2"/>
        <v>55.729224,37.722666</v>
      </c>
      <c r="T7311" s="12"/>
    </row>
    <row r="7312">
      <c r="A7312" s="136" t="s">
        <v>47114</v>
      </c>
      <c r="B7312" s="137" t="s">
        <v>47115</v>
      </c>
      <c r="C7312" s="137" t="s">
        <v>47116</v>
      </c>
      <c r="D7312" s="137" t="s">
        <v>33342</v>
      </c>
      <c r="E7312" s="138" t="s">
        <v>47117</v>
      </c>
      <c r="F7312" s="136" t="s">
        <v>3883</v>
      </c>
      <c r="G7312" s="136" t="s">
        <v>33344</v>
      </c>
      <c r="H7312" s="136"/>
      <c r="I7312" s="137"/>
      <c r="J7312" s="137" t="s">
        <v>47118</v>
      </c>
      <c r="K7312" s="137" t="s">
        <v>47119</v>
      </c>
      <c r="L7312" s="137"/>
      <c r="M7312" s="137"/>
      <c r="N7312" s="12"/>
      <c r="O7312" s="12"/>
      <c r="P7312" s="13">
        <f>IFERROR(__xludf.DUMMYFUNCTION("VALUE(SUBSTITUTE((INDEX(SPLIT(A7312,"",""),1)),""."","","",1))"),55.716874)</f>
        <v>55.716874</v>
      </c>
      <c r="Q7312" s="13">
        <f>IFERROR(__xludf.DUMMYFUNCTION("VALUE(SUBSTITUTE((INDEX(SPLIT(A7312,"",""),2)),""."","","",1))"),37.746768)</f>
        <v>37.746768</v>
      </c>
      <c r="R7312" s="14" t="b">
        <f t="shared" si="1"/>
        <v>0</v>
      </c>
      <c r="S7312" s="14" t="str">
        <f t="shared" si="2"/>
        <v>55.716874,37.746768</v>
      </c>
      <c r="T7312" s="12"/>
    </row>
    <row r="7313">
      <c r="A7313" s="139" t="s">
        <v>47120</v>
      </c>
      <c r="B7313" s="140" t="s">
        <v>47121</v>
      </c>
      <c r="C7313" s="140" t="s">
        <v>47122</v>
      </c>
      <c r="D7313" s="140" t="s">
        <v>33342</v>
      </c>
      <c r="E7313" s="141" t="s">
        <v>47123</v>
      </c>
      <c r="F7313" s="139" t="s">
        <v>3883</v>
      </c>
      <c r="G7313" s="139" t="s">
        <v>33344</v>
      </c>
      <c r="H7313" s="139"/>
      <c r="I7313" s="140"/>
      <c r="J7313" s="140" t="s">
        <v>47124</v>
      </c>
      <c r="K7313" s="140" t="s">
        <v>47125</v>
      </c>
      <c r="L7313" s="140"/>
      <c r="M7313" s="140"/>
      <c r="N7313" s="12"/>
      <c r="O7313" s="12"/>
      <c r="P7313" s="13">
        <f>IFERROR(__xludf.DUMMYFUNCTION("VALUE(SUBSTITUTE((INDEX(SPLIT(A7313,"",""),1)),""."","","",1))"),55.730882)</f>
        <v>55.730882</v>
      </c>
      <c r="Q7313" s="13">
        <f>IFERROR(__xludf.DUMMYFUNCTION("VALUE(SUBSTITUTE((INDEX(SPLIT(A7313,"",""),2)),""."","","",1))"),37.702292)</f>
        <v>37.702292</v>
      </c>
      <c r="R7313" s="14" t="b">
        <f t="shared" si="1"/>
        <v>0</v>
      </c>
      <c r="S7313" s="14" t="str">
        <f t="shared" si="2"/>
        <v>55.730882,37.702292</v>
      </c>
      <c r="T7313" s="12"/>
    </row>
    <row r="7314">
      <c r="A7314" s="136" t="s">
        <v>47126</v>
      </c>
      <c r="B7314" s="137" t="s">
        <v>47127</v>
      </c>
      <c r="C7314" s="137" t="s">
        <v>47128</v>
      </c>
      <c r="D7314" s="137" t="s">
        <v>33342</v>
      </c>
      <c r="E7314" s="138" t="s">
        <v>47129</v>
      </c>
      <c r="F7314" s="136" t="s">
        <v>3883</v>
      </c>
      <c r="G7314" s="136" t="s">
        <v>33344</v>
      </c>
      <c r="H7314" s="136"/>
      <c r="I7314" s="137"/>
      <c r="J7314" s="137" t="s">
        <v>47130</v>
      </c>
      <c r="K7314" s="137" t="s">
        <v>47131</v>
      </c>
      <c r="L7314" s="137"/>
      <c r="M7314" s="153" t="s">
        <v>47132</v>
      </c>
      <c r="N7314" s="12"/>
      <c r="O7314" s="12"/>
      <c r="P7314" s="13">
        <f>IFERROR(__xludf.DUMMYFUNCTION("VALUE(SUBSTITUTE((INDEX(SPLIT(A7314,"",""),1)),""."","","",1))"),55.766081)</f>
        <v>55.766081</v>
      </c>
      <c r="Q7314" s="13">
        <f>IFERROR(__xludf.DUMMYFUNCTION("VALUE(SUBSTITUTE((INDEX(SPLIT(A7314,"",""),2)),""."","","",1))"),37.71954)</f>
        <v>37.71954</v>
      </c>
      <c r="R7314" s="14" t="b">
        <f t="shared" si="1"/>
        <v>0</v>
      </c>
      <c r="S7314" s="14" t="str">
        <f t="shared" si="2"/>
        <v>55.766081,37.71954</v>
      </c>
      <c r="T7314" s="12"/>
    </row>
    <row r="7315">
      <c r="A7315" s="146" t="s">
        <v>47133</v>
      </c>
      <c r="B7315" s="147" t="s">
        <v>47134</v>
      </c>
      <c r="C7315" s="147" t="s">
        <v>47135</v>
      </c>
      <c r="D7315" s="147" t="s">
        <v>33342</v>
      </c>
      <c r="E7315" s="148" t="s">
        <v>47136</v>
      </c>
      <c r="F7315" s="146" t="s">
        <v>3883</v>
      </c>
      <c r="G7315" s="146" t="s">
        <v>33344</v>
      </c>
      <c r="H7315" s="146"/>
      <c r="I7315" s="147"/>
      <c r="J7315" s="147" t="s">
        <v>47137</v>
      </c>
      <c r="K7315" s="147" t="s">
        <v>47138</v>
      </c>
      <c r="L7315" s="149" t="s">
        <v>47139</v>
      </c>
      <c r="M7315" s="147"/>
      <c r="N7315" s="12"/>
      <c r="O7315" s="12"/>
      <c r="P7315" s="13">
        <f>IFERROR(__xludf.DUMMYFUNCTION("VALUE(SUBSTITUTE((INDEX(SPLIT(A7315,"",""),1)),""."","","",1))"),55.73663)</f>
        <v>55.73663</v>
      </c>
      <c r="Q7315" s="13">
        <f>IFERROR(__xludf.DUMMYFUNCTION("VALUE(SUBSTITUTE((INDEX(SPLIT(A7315,"",""),2)),""."","","",1))"),37.718399)</f>
        <v>37.718399</v>
      </c>
      <c r="R7315" s="14" t="b">
        <f t="shared" si="1"/>
        <v>0</v>
      </c>
      <c r="S7315" s="14" t="str">
        <f t="shared" si="2"/>
        <v>55.73663,37.718399</v>
      </c>
      <c r="T7315" s="12"/>
    </row>
    <row r="7316">
      <c r="A7316" s="136" t="s">
        <v>47140</v>
      </c>
      <c r="B7316" s="137" t="s">
        <v>47141</v>
      </c>
      <c r="C7316" s="137" t="s">
        <v>47142</v>
      </c>
      <c r="D7316" s="137" t="s">
        <v>33342</v>
      </c>
      <c r="E7316" s="138" t="s">
        <v>47143</v>
      </c>
      <c r="F7316" s="136" t="s">
        <v>3883</v>
      </c>
      <c r="G7316" s="136" t="s">
        <v>33344</v>
      </c>
      <c r="H7316" s="136"/>
      <c r="I7316" s="137"/>
      <c r="J7316" s="137" t="s">
        <v>47144</v>
      </c>
      <c r="K7316" s="137" t="s">
        <v>47145</v>
      </c>
      <c r="L7316" s="137"/>
      <c r="M7316" s="137"/>
      <c r="N7316" s="12"/>
      <c r="O7316" s="12"/>
      <c r="P7316" s="13">
        <f>IFERROR(__xludf.DUMMYFUNCTION("VALUE(SUBSTITUTE((INDEX(SPLIT(A7316,"",""),1)),""."","","",1))"),55.648987)</f>
        <v>55.648987</v>
      </c>
      <c r="Q7316" s="13">
        <f>IFERROR(__xludf.DUMMYFUNCTION("VALUE(SUBSTITUTE((INDEX(SPLIT(A7316,"",""),2)),""."","","",1))"),37.696435)</f>
        <v>37.696435</v>
      </c>
      <c r="R7316" s="14" t="b">
        <f t="shared" si="1"/>
        <v>0</v>
      </c>
      <c r="S7316" s="14" t="str">
        <f t="shared" si="2"/>
        <v>55.648987,37.696435</v>
      </c>
      <c r="T7316" s="12"/>
    </row>
    <row r="7317">
      <c r="A7317" s="139" t="s">
        <v>47146</v>
      </c>
      <c r="B7317" s="140" t="s">
        <v>47147</v>
      </c>
      <c r="C7317" s="140" t="s">
        <v>47148</v>
      </c>
      <c r="D7317" s="140" t="s">
        <v>33342</v>
      </c>
      <c r="E7317" s="141" t="s">
        <v>47149</v>
      </c>
      <c r="F7317" s="139" t="s">
        <v>3883</v>
      </c>
      <c r="G7317" s="139" t="s">
        <v>33344</v>
      </c>
      <c r="H7317" s="139"/>
      <c r="I7317" s="140"/>
      <c r="J7317" s="140" t="s">
        <v>47150</v>
      </c>
      <c r="K7317" s="140" t="s">
        <v>47151</v>
      </c>
      <c r="L7317" s="140"/>
      <c r="M7317" s="140"/>
      <c r="N7317" s="12"/>
      <c r="O7317" s="12"/>
      <c r="P7317" s="13">
        <f>IFERROR(__xludf.DUMMYFUNCTION("VALUE(SUBSTITUTE((INDEX(SPLIT(A7317,"",""),1)),""."","","",1))"),55.659383)</f>
        <v>55.659383</v>
      </c>
      <c r="Q7317" s="13">
        <f>IFERROR(__xludf.DUMMYFUNCTION("VALUE(SUBSTITUTE((INDEX(SPLIT(A7317,"",""),2)),""."","","",1))"),37.722846)</f>
        <v>37.722846</v>
      </c>
      <c r="R7317" s="14" t="b">
        <f t="shared" si="1"/>
        <v>0</v>
      </c>
      <c r="S7317" s="14" t="str">
        <f t="shared" si="2"/>
        <v>55.659383,37.722846</v>
      </c>
      <c r="T7317" s="12"/>
    </row>
    <row r="7318">
      <c r="A7318" s="142" t="s">
        <v>47152</v>
      </c>
      <c r="B7318" s="143" t="s">
        <v>47153</v>
      </c>
      <c r="C7318" s="143" t="s">
        <v>47154</v>
      </c>
      <c r="D7318" s="143" t="s">
        <v>33342</v>
      </c>
      <c r="E7318" s="144" t="s">
        <v>47155</v>
      </c>
      <c r="F7318" s="142" t="s">
        <v>3883</v>
      </c>
      <c r="G7318" s="142" t="s">
        <v>33344</v>
      </c>
      <c r="H7318" s="142"/>
      <c r="I7318" s="155" t="s">
        <v>47156</v>
      </c>
      <c r="J7318" s="143" t="s">
        <v>47157</v>
      </c>
      <c r="K7318" s="143" t="s">
        <v>47158</v>
      </c>
      <c r="L7318" s="145" t="s">
        <v>47159</v>
      </c>
      <c r="M7318" s="143"/>
      <c r="N7318" s="12"/>
      <c r="O7318" s="12"/>
      <c r="P7318" s="13">
        <f>IFERROR(__xludf.DUMMYFUNCTION("VALUE(SUBSTITUTE((INDEX(SPLIT(A7318,"",""),1)),""."","","",1))"),55.667198)</f>
        <v>55.667198</v>
      </c>
      <c r="Q7318" s="13">
        <f>IFERROR(__xludf.DUMMYFUNCTION("VALUE(SUBSTITUTE((INDEX(SPLIT(A7318,"",""),2)),""."","","",1))"),37.70046)</f>
        <v>37.70046</v>
      </c>
      <c r="R7318" s="14" t="b">
        <f t="shared" si="1"/>
        <v>0</v>
      </c>
      <c r="S7318" s="14" t="str">
        <f t="shared" si="2"/>
        <v>55.667198,37.70046</v>
      </c>
      <c r="T7318" s="12"/>
    </row>
    <row r="7319">
      <c r="A7319" s="139" t="s">
        <v>47160</v>
      </c>
      <c r="B7319" s="140" t="s">
        <v>47161</v>
      </c>
      <c r="C7319" s="140" t="s">
        <v>47162</v>
      </c>
      <c r="D7319" s="140" t="s">
        <v>33342</v>
      </c>
      <c r="E7319" s="141" t="s">
        <v>47163</v>
      </c>
      <c r="F7319" s="139" t="s">
        <v>3883</v>
      </c>
      <c r="G7319" s="139" t="s">
        <v>33344</v>
      </c>
      <c r="H7319" s="139"/>
      <c r="I7319" s="140"/>
      <c r="J7319" s="140" t="s">
        <v>47164</v>
      </c>
      <c r="K7319" s="140" t="s">
        <v>47165</v>
      </c>
      <c r="L7319" s="140"/>
      <c r="M7319" s="140"/>
      <c r="N7319" s="12"/>
      <c r="O7319" s="12"/>
      <c r="P7319" s="13">
        <f>IFERROR(__xludf.DUMMYFUNCTION("VALUE(SUBSTITUTE((INDEX(SPLIT(A7319,"",""),1)),""."","","",1))"),55.576493)</f>
        <v>55.576493</v>
      </c>
      <c r="Q7319" s="13">
        <f>IFERROR(__xludf.DUMMYFUNCTION("VALUE(SUBSTITUTE((INDEX(SPLIT(A7319,"",""),2)),""."","","",1))"),38.207595)</f>
        <v>38.207595</v>
      </c>
      <c r="R7319" s="14" t="b">
        <f t="shared" si="1"/>
        <v>0</v>
      </c>
      <c r="S7319" s="14" t="str">
        <f t="shared" si="2"/>
        <v>55.576493,38.207595</v>
      </c>
      <c r="T7319" s="12"/>
    </row>
    <row r="7320">
      <c r="A7320" s="142" t="s">
        <v>47166</v>
      </c>
      <c r="B7320" s="143" t="s">
        <v>34545</v>
      </c>
      <c r="C7320" s="143" t="s">
        <v>34546</v>
      </c>
      <c r="D7320" s="143" t="s">
        <v>33342</v>
      </c>
      <c r="E7320" s="144" t="s">
        <v>47167</v>
      </c>
      <c r="F7320" s="142" t="s">
        <v>3883</v>
      </c>
      <c r="G7320" s="142" t="s">
        <v>33344</v>
      </c>
      <c r="H7320" s="142"/>
      <c r="I7320" s="143"/>
      <c r="J7320" s="143" t="s">
        <v>47168</v>
      </c>
      <c r="K7320" s="143" t="s">
        <v>47169</v>
      </c>
      <c r="L7320" s="152" t="s">
        <v>47170</v>
      </c>
      <c r="M7320" s="143"/>
      <c r="N7320" s="12"/>
      <c r="O7320" s="12"/>
      <c r="P7320" s="13">
        <f>IFERROR(__xludf.DUMMYFUNCTION("VALUE(SUBSTITUTE((INDEX(SPLIT(A7320,"",""),1)),""."","","",1))"),55.614516)</f>
        <v>55.614516</v>
      </c>
      <c r="Q7320" s="13">
        <f>IFERROR(__xludf.DUMMYFUNCTION("VALUE(SUBSTITUTE((INDEX(SPLIT(A7320,"",""),2)),""."","","",1))"),37.724005)</f>
        <v>37.724005</v>
      </c>
      <c r="R7320" s="14" t="b">
        <f t="shared" si="1"/>
        <v>0</v>
      </c>
      <c r="S7320" s="14" t="str">
        <f t="shared" si="2"/>
        <v>55.614516,37.724005</v>
      </c>
      <c r="T7320" s="12"/>
    </row>
    <row r="7321">
      <c r="A7321" s="146" t="s">
        <v>47171</v>
      </c>
      <c r="B7321" s="147" t="s">
        <v>47172</v>
      </c>
      <c r="C7321" s="147" t="s">
        <v>47173</v>
      </c>
      <c r="D7321" s="147" t="s">
        <v>33342</v>
      </c>
      <c r="E7321" s="148" t="s">
        <v>47174</v>
      </c>
      <c r="F7321" s="146" t="s">
        <v>3883</v>
      </c>
      <c r="G7321" s="146" t="s">
        <v>33344</v>
      </c>
      <c r="H7321" s="146"/>
      <c r="I7321" s="147"/>
      <c r="J7321" s="147" t="s">
        <v>47175</v>
      </c>
      <c r="K7321" s="147" t="s">
        <v>47176</v>
      </c>
      <c r="L7321" s="150" t="s">
        <v>47177</v>
      </c>
      <c r="M7321" s="147"/>
      <c r="N7321" s="12"/>
      <c r="O7321" s="12"/>
      <c r="P7321" s="13">
        <f>IFERROR(__xludf.DUMMYFUNCTION("VALUE(SUBSTITUTE((INDEX(SPLIT(A7321,"",""),1)),""."","","",1))"),55.643693)</f>
        <v>55.643693</v>
      </c>
      <c r="Q7321" s="13">
        <f>IFERROR(__xludf.DUMMYFUNCTION("VALUE(SUBSTITUTE((INDEX(SPLIT(A7321,"",""),2)),""."","","",1))"),37.650729)</f>
        <v>37.650729</v>
      </c>
      <c r="R7321" s="14" t="b">
        <f t="shared" si="1"/>
        <v>0</v>
      </c>
      <c r="S7321" s="14" t="str">
        <f t="shared" si="2"/>
        <v>55.643693,37.650729</v>
      </c>
      <c r="T7321" s="12"/>
    </row>
    <row r="7322">
      <c r="A7322" s="136" t="s">
        <v>47178</v>
      </c>
      <c r="B7322" s="137" t="s">
        <v>47179</v>
      </c>
      <c r="C7322" s="137" t="s">
        <v>47180</v>
      </c>
      <c r="D7322" s="137" t="s">
        <v>33342</v>
      </c>
      <c r="E7322" s="138" t="s">
        <v>47181</v>
      </c>
      <c r="F7322" s="136" t="s">
        <v>3883</v>
      </c>
      <c r="G7322" s="136" t="s">
        <v>33344</v>
      </c>
      <c r="H7322" s="136"/>
      <c r="I7322" s="137"/>
      <c r="J7322" s="137" t="s">
        <v>47182</v>
      </c>
      <c r="K7322" s="137" t="s">
        <v>47183</v>
      </c>
      <c r="L7322" s="137"/>
      <c r="M7322" s="137"/>
      <c r="N7322" s="12"/>
      <c r="O7322" s="12"/>
      <c r="P7322" s="13">
        <f>IFERROR(__xludf.DUMMYFUNCTION("VALUE(SUBSTITUTE((INDEX(SPLIT(A7322,"",""),1)),""."","","",1))"),55.775297)</f>
        <v>55.775297</v>
      </c>
      <c r="Q7322" s="13">
        <f>IFERROR(__xludf.DUMMYFUNCTION("VALUE(SUBSTITUTE((INDEX(SPLIT(A7322,"",""),2)),""."","","",1))"),37.632817)</f>
        <v>37.632817</v>
      </c>
      <c r="R7322" s="14" t="b">
        <f t="shared" si="1"/>
        <v>0</v>
      </c>
      <c r="S7322" s="14" t="str">
        <f t="shared" si="2"/>
        <v>55.775297,37.632817</v>
      </c>
      <c r="T7322" s="12"/>
    </row>
    <row r="7323">
      <c r="A7323" s="139" t="s">
        <v>47184</v>
      </c>
      <c r="B7323" s="140" t="s">
        <v>47185</v>
      </c>
      <c r="C7323" s="140" t="s">
        <v>47186</v>
      </c>
      <c r="D7323" s="140" t="s">
        <v>33342</v>
      </c>
      <c r="E7323" s="141" t="s">
        <v>47187</v>
      </c>
      <c r="F7323" s="139" t="s">
        <v>3883</v>
      </c>
      <c r="G7323" s="139" t="s">
        <v>33344</v>
      </c>
      <c r="H7323" s="139"/>
      <c r="I7323" s="140"/>
      <c r="J7323" s="140" t="s">
        <v>47188</v>
      </c>
      <c r="K7323" s="140" t="s">
        <v>47189</v>
      </c>
      <c r="L7323" s="140"/>
      <c r="M7323" s="154" t="s">
        <v>47190</v>
      </c>
      <c r="N7323" s="12"/>
      <c r="O7323" s="12"/>
      <c r="P7323" s="13">
        <f>IFERROR(__xludf.DUMMYFUNCTION("VALUE(SUBSTITUTE((INDEX(SPLIT(A7323,"",""),1)),""."","","",1))"),55.604926)</f>
        <v>55.604926</v>
      </c>
      <c r="Q7323" s="13">
        <f>IFERROR(__xludf.DUMMYFUNCTION("VALUE(SUBSTITUTE((INDEX(SPLIT(A7323,"",""),2)),""."","","",1))"),37.647522)</f>
        <v>37.647522</v>
      </c>
      <c r="R7323" s="14" t="b">
        <f t="shared" si="1"/>
        <v>0</v>
      </c>
      <c r="S7323" s="14" t="str">
        <f t="shared" si="2"/>
        <v>55.604926,37.647522</v>
      </c>
      <c r="T7323" s="12"/>
    </row>
    <row r="7324">
      <c r="A7324" s="136" t="s">
        <v>47191</v>
      </c>
      <c r="B7324" s="137" t="s">
        <v>31219</v>
      </c>
      <c r="C7324" s="137" t="s">
        <v>47192</v>
      </c>
      <c r="D7324" s="137" t="s">
        <v>33342</v>
      </c>
      <c r="E7324" s="138" t="s">
        <v>47193</v>
      </c>
      <c r="F7324" s="136" t="s">
        <v>3883</v>
      </c>
      <c r="G7324" s="136" t="s">
        <v>33344</v>
      </c>
      <c r="H7324" s="136"/>
      <c r="I7324" s="137"/>
      <c r="J7324" s="137" t="s">
        <v>47194</v>
      </c>
      <c r="K7324" s="137" t="s">
        <v>47183</v>
      </c>
      <c r="L7324" s="137"/>
      <c r="M7324" s="137"/>
      <c r="N7324" s="12"/>
      <c r="O7324" s="12"/>
      <c r="P7324" s="13">
        <f>IFERROR(__xludf.DUMMYFUNCTION("VALUE(SUBSTITUTE((INDEX(SPLIT(A7324,"",""),1)),""."","","",1))"),55.735069)</f>
        <v>55.735069</v>
      </c>
      <c r="Q7324" s="13">
        <f>IFERROR(__xludf.DUMMYFUNCTION("VALUE(SUBSTITUTE((INDEX(SPLIT(A7324,"",""),2)),""."","","",1))"),37.63058)</f>
        <v>37.63058</v>
      </c>
      <c r="R7324" s="14" t="b">
        <f t="shared" si="1"/>
        <v>0</v>
      </c>
      <c r="S7324" s="14" t="str">
        <f t="shared" si="2"/>
        <v>55.735069,37.63058</v>
      </c>
      <c r="T7324" s="12"/>
    </row>
    <row r="7325">
      <c r="A7325" s="139" t="s">
        <v>47195</v>
      </c>
      <c r="B7325" s="140" t="s">
        <v>47196</v>
      </c>
      <c r="C7325" s="140" t="s">
        <v>47197</v>
      </c>
      <c r="D7325" s="140" t="s">
        <v>33342</v>
      </c>
      <c r="E7325" s="141" t="s">
        <v>47198</v>
      </c>
      <c r="F7325" s="139" t="s">
        <v>3883</v>
      </c>
      <c r="G7325" s="139" t="s">
        <v>33344</v>
      </c>
      <c r="H7325" s="139"/>
      <c r="I7325" s="140"/>
      <c r="J7325" s="140" t="s">
        <v>47199</v>
      </c>
      <c r="K7325" s="140" t="s">
        <v>47200</v>
      </c>
      <c r="L7325" s="140"/>
      <c r="M7325" s="140"/>
      <c r="N7325" s="12"/>
      <c r="O7325" s="12"/>
      <c r="P7325" s="13">
        <f>IFERROR(__xludf.DUMMYFUNCTION("VALUE(SUBSTITUTE((INDEX(SPLIT(A7325,"",""),1)),""."","","",1))"),55.636255)</f>
        <v>55.636255</v>
      </c>
      <c r="Q7325" s="13">
        <f>IFERROR(__xludf.DUMMYFUNCTION("VALUE(SUBSTITUTE((INDEX(SPLIT(A7325,"",""),2)),""."","","",1))"),37.678649)</f>
        <v>37.678649</v>
      </c>
      <c r="R7325" s="14" t="b">
        <f t="shared" si="1"/>
        <v>0</v>
      </c>
      <c r="S7325" s="14" t="str">
        <f t="shared" si="2"/>
        <v>55.636255,37.678649</v>
      </c>
      <c r="T7325" s="12"/>
    </row>
    <row r="7326">
      <c r="A7326" s="136" t="s">
        <v>47201</v>
      </c>
      <c r="B7326" s="137" t="s">
        <v>47202</v>
      </c>
      <c r="C7326" s="137" t="s">
        <v>47203</v>
      </c>
      <c r="D7326" s="137" t="s">
        <v>33342</v>
      </c>
      <c r="E7326" s="138" t="s">
        <v>47204</v>
      </c>
      <c r="F7326" s="136" t="s">
        <v>3883</v>
      </c>
      <c r="G7326" s="136" t="s">
        <v>33344</v>
      </c>
      <c r="H7326" s="136"/>
      <c r="I7326" s="137"/>
      <c r="J7326" s="137" t="s">
        <v>47205</v>
      </c>
      <c r="K7326" s="137" t="s">
        <v>47206</v>
      </c>
      <c r="L7326" s="137"/>
      <c r="M7326" s="153" t="s">
        <v>47207</v>
      </c>
      <c r="N7326" s="12"/>
      <c r="O7326" s="12"/>
      <c r="P7326" s="13">
        <f>IFERROR(__xludf.DUMMYFUNCTION("VALUE(SUBSTITUTE((INDEX(SPLIT(A7326,"",""),1)),""."","","",1))"),55.668706)</f>
        <v>55.668706</v>
      </c>
      <c r="Q7326" s="13">
        <f>IFERROR(__xludf.DUMMYFUNCTION("VALUE(SUBSTITUTE((INDEX(SPLIT(A7326,"",""),2)),""."","","",1))"),37.649427)</f>
        <v>37.649427</v>
      </c>
      <c r="R7326" s="14" t="b">
        <f t="shared" si="1"/>
        <v>0</v>
      </c>
      <c r="S7326" s="14" t="str">
        <f t="shared" si="2"/>
        <v>55.668706,37.649427</v>
      </c>
      <c r="T7326" s="12"/>
    </row>
    <row r="7327">
      <c r="A7327" s="139" t="s">
        <v>47208</v>
      </c>
      <c r="B7327" s="140" t="s">
        <v>47209</v>
      </c>
      <c r="C7327" s="140" t="s">
        <v>47210</v>
      </c>
      <c r="D7327" s="140" t="s">
        <v>33342</v>
      </c>
      <c r="E7327" s="141" t="s">
        <v>47211</v>
      </c>
      <c r="F7327" s="139" t="s">
        <v>3883</v>
      </c>
      <c r="G7327" s="139" t="s">
        <v>33344</v>
      </c>
      <c r="H7327" s="139"/>
      <c r="I7327" s="140"/>
      <c r="J7327" s="140" t="s">
        <v>47212</v>
      </c>
      <c r="K7327" s="140" t="s">
        <v>47213</v>
      </c>
      <c r="L7327" s="140"/>
      <c r="M7327" s="154" t="s">
        <v>47214</v>
      </c>
      <c r="N7327" s="12"/>
      <c r="O7327" s="12"/>
      <c r="P7327" s="13">
        <f>IFERROR(__xludf.DUMMYFUNCTION("VALUE(SUBSTITUTE((INDEX(SPLIT(A7327,"",""),1)),""."","","",1))"),55.642382)</f>
        <v>55.642382</v>
      </c>
      <c r="Q7327" s="13">
        <f>IFERROR(__xludf.DUMMYFUNCTION("VALUE(SUBSTITUTE((INDEX(SPLIT(A7327,"",""),2)),""."","","",1))"),37.657413)</f>
        <v>37.657413</v>
      </c>
      <c r="R7327" s="14" t="b">
        <f t="shared" si="1"/>
        <v>0</v>
      </c>
      <c r="S7327" s="14" t="str">
        <f t="shared" si="2"/>
        <v>55.642382,37.657413</v>
      </c>
      <c r="T7327" s="12"/>
    </row>
    <row r="7328">
      <c r="A7328" s="142" t="s">
        <v>47215</v>
      </c>
      <c r="B7328" s="143" t="s">
        <v>47216</v>
      </c>
      <c r="C7328" s="143" t="s">
        <v>47217</v>
      </c>
      <c r="D7328" s="143" t="s">
        <v>33342</v>
      </c>
      <c r="E7328" s="144" t="s">
        <v>47218</v>
      </c>
      <c r="F7328" s="142" t="s">
        <v>3883</v>
      </c>
      <c r="G7328" s="142" t="s">
        <v>33344</v>
      </c>
      <c r="H7328" s="142"/>
      <c r="I7328" s="143"/>
      <c r="J7328" s="143" t="s">
        <v>47219</v>
      </c>
      <c r="K7328" s="143" t="s">
        <v>47220</v>
      </c>
      <c r="L7328" s="145" t="s">
        <v>47221</v>
      </c>
      <c r="M7328" s="145" t="s">
        <v>47222</v>
      </c>
      <c r="N7328" s="12"/>
      <c r="O7328" s="12"/>
      <c r="P7328" s="13">
        <f>IFERROR(__xludf.DUMMYFUNCTION("VALUE(SUBSTITUTE((INDEX(SPLIT(A7328,"",""),1)),""."","","",1))"),55.824754)</f>
        <v>55.824754</v>
      </c>
      <c r="Q7328" s="13">
        <f>IFERROR(__xludf.DUMMYFUNCTION("VALUE(SUBSTITUTE((INDEX(SPLIT(A7328,"",""),2)),""."","","",1))"),37.415963)</f>
        <v>37.415963</v>
      </c>
      <c r="R7328" s="14" t="b">
        <f t="shared" si="1"/>
        <v>0</v>
      </c>
      <c r="S7328" s="14" t="str">
        <f t="shared" si="2"/>
        <v>55.824754,37.415963</v>
      </c>
      <c r="T7328" s="12"/>
    </row>
    <row r="7329">
      <c r="A7329" s="139" t="s">
        <v>47223</v>
      </c>
      <c r="B7329" s="140" t="s">
        <v>47224</v>
      </c>
      <c r="C7329" s="140" t="s">
        <v>47225</v>
      </c>
      <c r="D7329" s="140" t="s">
        <v>33342</v>
      </c>
      <c r="E7329" s="141" t="s">
        <v>47226</v>
      </c>
      <c r="F7329" s="139" t="s">
        <v>3883</v>
      </c>
      <c r="G7329" s="139" t="s">
        <v>33344</v>
      </c>
      <c r="H7329" s="139"/>
      <c r="I7329" s="140"/>
      <c r="J7329" s="140" t="s">
        <v>47227</v>
      </c>
      <c r="K7329" s="140" t="s">
        <v>47228</v>
      </c>
      <c r="L7329" s="140"/>
      <c r="M7329" s="140"/>
      <c r="N7329" s="12"/>
      <c r="O7329" s="12"/>
      <c r="P7329" s="13">
        <f>IFERROR(__xludf.DUMMYFUNCTION("VALUE(SUBSTITUTE((INDEX(SPLIT(A7329,"",""),1)),""."","","",1))"),55.765119)</f>
        <v>55.765119</v>
      </c>
      <c r="Q7329" s="13">
        <f>IFERROR(__xludf.DUMMYFUNCTION("VALUE(SUBSTITUTE((INDEX(SPLIT(A7329,"",""),2)),""."","","",1))"),37.824751)</f>
        <v>37.824751</v>
      </c>
      <c r="R7329" s="14" t="b">
        <f t="shared" si="1"/>
        <v>0</v>
      </c>
      <c r="S7329" s="14" t="str">
        <f t="shared" si="2"/>
        <v>55.765119,37.824751</v>
      </c>
      <c r="T7329" s="12"/>
    </row>
    <row r="7330">
      <c r="A7330" s="142" t="s">
        <v>47229</v>
      </c>
      <c r="B7330" s="143" t="s">
        <v>47230</v>
      </c>
      <c r="C7330" s="143" t="s">
        <v>47231</v>
      </c>
      <c r="D7330" s="143" t="s">
        <v>33342</v>
      </c>
      <c r="E7330" s="144" t="s">
        <v>47232</v>
      </c>
      <c r="F7330" s="142" t="s">
        <v>3883</v>
      </c>
      <c r="G7330" s="142" t="s">
        <v>33344</v>
      </c>
      <c r="H7330" s="142"/>
      <c r="I7330" s="155" t="s">
        <v>47233</v>
      </c>
      <c r="J7330" s="143" t="s">
        <v>47234</v>
      </c>
      <c r="K7330" s="143" t="s">
        <v>47235</v>
      </c>
      <c r="L7330" s="145" t="s">
        <v>47236</v>
      </c>
      <c r="M7330" s="143"/>
      <c r="N7330" s="12"/>
      <c r="O7330" s="12"/>
      <c r="P7330" s="13">
        <f>IFERROR(__xludf.DUMMYFUNCTION("VALUE(SUBSTITUTE((INDEX(SPLIT(A7330,"",""),1)),""."","","",1))"),55.798207)</f>
        <v>55.798207</v>
      </c>
      <c r="Q7330" s="13">
        <f>IFERROR(__xludf.DUMMYFUNCTION("VALUE(SUBSTITUTE((INDEX(SPLIT(A7330,"",""),2)),""."","","",1))"),37.694333)</f>
        <v>37.694333</v>
      </c>
      <c r="R7330" s="14" t="b">
        <f t="shared" si="1"/>
        <v>0</v>
      </c>
      <c r="S7330" s="14" t="str">
        <f t="shared" si="2"/>
        <v>55.798207,37.694333</v>
      </c>
      <c r="T7330" s="12"/>
    </row>
    <row r="7331">
      <c r="A7331" s="139" t="s">
        <v>10447</v>
      </c>
      <c r="B7331" s="140" t="s">
        <v>47237</v>
      </c>
      <c r="C7331" s="140" t="s">
        <v>47238</v>
      </c>
      <c r="D7331" s="140" t="s">
        <v>33342</v>
      </c>
      <c r="E7331" s="141" t="s">
        <v>47239</v>
      </c>
      <c r="F7331" s="139" t="s">
        <v>3883</v>
      </c>
      <c r="G7331" s="139" t="s">
        <v>33344</v>
      </c>
      <c r="H7331" s="139"/>
      <c r="I7331" s="140"/>
      <c r="J7331" s="140" t="s">
        <v>47240</v>
      </c>
      <c r="K7331" s="140" t="s">
        <v>47241</v>
      </c>
      <c r="L7331" s="140"/>
      <c r="M7331" s="154" t="s">
        <v>47242</v>
      </c>
      <c r="N7331" s="12"/>
      <c r="O7331" s="12"/>
      <c r="P7331" s="13">
        <f>IFERROR(__xludf.DUMMYFUNCTION("VALUE(SUBSTITUTE((INDEX(SPLIT(A7331,"",""),1)),""."","","",1))"),55.709632)</f>
        <v>55.709632</v>
      </c>
      <c r="Q7331" s="13">
        <f>IFERROR(__xludf.DUMMYFUNCTION("VALUE(SUBSTITUTE((INDEX(SPLIT(A7331,"",""),2)),""."","","",1))"),37.616926)</f>
        <v>37.616926</v>
      </c>
      <c r="R7331" s="14" t="b">
        <f t="shared" si="1"/>
        <v>0</v>
      </c>
      <c r="S7331" s="14" t="str">
        <f t="shared" si="2"/>
        <v>55.709632,37.616926</v>
      </c>
      <c r="T7331" s="12"/>
    </row>
    <row r="7332">
      <c r="A7332" s="142" t="s">
        <v>10593</v>
      </c>
      <c r="B7332" s="143" t="s">
        <v>47243</v>
      </c>
      <c r="C7332" s="143" t="s">
        <v>47244</v>
      </c>
      <c r="D7332" s="143" t="s">
        <v>33342</v>
      </c>
      <c r="E7332" s="144" t="s">
        <v>47245</v>
      </c>
      <c r="F7332" s="142" t="s">
        <v>3883</v>
      </c>
      <c r="G7332" s="142" t="s">
        <v>33344</v>
      </c>
      <c r="H7332" s="142"/>
      <c r="I7332" s="143"/>
      <c r="J7332" s="143" t="s">
        <v>47246</v>
      </c>
      <c r="K7332" s="143" t="s">
        <v>47247</v>
      </c>
      <c r="L7332" s="145" t="s">
        <v>47248</v>
      </c>
      <c r="M7332" s="143"/>
      <c r="N7332" s="12"/>
      <c r="O7332" s="12"/>
      <c r="P7332" s="13">
        <f>IFERROR(__xludf.DUMMYFUNCTION("VALUE(SUBSTITUTE((INDEX(SPLIT(A7332,"",""),1)),""."","","",1))"),55.703992)</f>
        <v>55.703992</v>
      </c>
      <c r="Q7332" s="13">
        <f>IFERROR(__xludf.DUMMYFUNCTION("VALUE(SUBSTITUTE((INDEX(SPLIT(A7332,"",""),2)),""."","","",1))"),37.625909)</f>
        <v>37.625909</v>
      </c>
      <c r="R7332" s="14" t="b">
        <f t="shared" si="1"/>
        <v>0</v>
      </c>
      <c r="S7332" s="14" t="str">
        <f t="shared" si="2"/>
        <v>55.703992,37.625909</v>
      </c>
      <c r="T7332" s="12"/>
    </row>
    <row r="7333">
      <c r="A7333" s="139" t="s">
        <v>8926</v>
      </c>
      <c r="B7333" s="140" t="s">
        <v>47249</v>
      </c>
      <c r="C7333" s="140" t="s">
        <v>47250</v>
      </c>
      <c r="D7333" s="140" t="s">
        <v>33342</v>
      </c>
      <c r="E7333" s="141" t="s">
        <v>47251</v>
      </c>
      <c r="F7333" s="139" t="s">
        <v>3883</v>
      </c>
      <c r="G7333" s="139" t="s">
        <v>33344</v>
      </c>
      <c r="H7333" s="139"/>
      <c r="I7333" s="140"/>
      <c r="J7333" s="140" t="s">
        <v>47252</v>
      </c>
      <c r="K7333" s="140" t="s">
        <v>47253</v>
      </c>
      <c r="L7333" s="140"/>
      <c r="M7333" s="140"/>
      <c r="N7333" s="12"/>
      <c r="O7333" s="12"/>
      <c r="P7333" s="13">
        <f>IFERROR(__xludf.DUMMYFUNCTION("VALUE(SUBSTITUTE((INDEX(SPLIT(A7333,"",""),1)),""."","","",1))"),55.593873)</f>
        <v>55.593873</v>
      </c>
      <c r="Q7333" s="13">
        <f>IFERROR(__xludf.DUMMYFUNCTION("VALUE(SUBSTITUTE((INDEX(SPLIT(A7333,"",""),2)),""."","","",1))"),37.351905)</f>
        <v>37.351905</v>
      </c>
      <c r="R7333" s="14" t="b">
        <f t="shared" si="1"/>
        <v>0</v>
      </c>
      <c r="S7333" s="14" t="str">
        <f t="shared" si="2"/>
        <v>55.593873,37.351905</v>
      </c>
      <c r="T7333" s="12"/>
    </row>
    <row r="7334">
      <c r="A7334" s="136" t="s">
        <v>47254</v>
      </c>
      <c r="B7334" s="137" t="s">
        <v>47255</v>
      </c>
      <c r="C7334" s="137" t="s">
        <v>47256</v>
      </c>
      <c r="D7334" s="137" t="s">
        <v>33342</v>
      </c>
      <c r="E7334" s="138" t="s">
        <v>47257</v>
      </c>
      <c r="F7334" s="136" t="s">
        <v>3883</v>
      </c>
      <c r="G7334" s="136" t="s">
        <v>33344</v>
      </c>
      <c r="H7334" s="136"/>
      <c r="I7334" s="137"/>
      <c r="J7334" s="137" t="s">
        <v>47258</v>
      </c>
      <c r="K7334" s="137" t="s">
        <v>47259</v>
      </c>
      <c r="L7334" s="137"/>
      <c r="M7334" s="137"/>
      <c r="N7334" s="12"/>
      <c r="O7334" s="12"/>
      <c r="P7334" s="13">
        <f>IFERROR(__xludf.DUMMYFUNCTION("VALUE(SUBSTITUTE((INDEX(SPLIT(A7334,"",""),1)),""."","","",1))"),55.675077)</f>
        <v>55.675077</v>
      </c>
      <c r="Q7334" s="13">
        <f>IFERROR(__xludf.DUMMYFUNCTION("VALUE(SUBSTITUTE((INDEX(SPLIT(A7334,"",""),2)),""."","","",1))"),37.581406)</f>
        <v>37.581406</v>
      </c>
      <c r="R7334" s="14" t="b">
        <f t="shared" si="1"/>
        <v>0</v>
      </c>
      <c r="S7334" s="14" t="str">
        <f t="shared" si="2"/>
        <v>55.675077,37.581406</v>
      </c>
      <c r="T7334" s="12"/>
    </row>
    <row r="7335">
      <c r="A7335" s="139" t="s">
        <v>47260</v>
      </c>
      <c r="B7335" s="140" t="s">
        <v>47261</v>
      </c>
      <c r="C7335" s="140" t="s">
        <v>47262</v>
      </c>
      <c r="D7335" s="140" t="s">
        <v>33342</v>
      </c>
      <c r="E7335" s="141" t="s">
        <v>47263</v>
      </c>
      <c r="F7335" s="139" t="s">
        <v>3883</v>
      </c>
      <c r="G7335" s="139" t="s">
        <v>33344</v>
      </c>
      <c r="H7335" s="139"/>
      <c r="I7335" s="140"/>
      <c r="J7335" s="140" t="s">
        <v>47264</v>
      </c>
      <c r="K7335" s="140" t="s">
        <v>47265</v>
      </c>
      <c r="L7335" s="140"/>
      <c r="M7335" s="154" t="s">
        <v>47266</v>
      </c>
      <c r="N7335" s="12"/>
      <c r="O7335" s="12"/>
      <c r="P7335" s="13">
        <f>IFERROR(__xludf.DUMMYFUNCTION("VALUE(SUBSTITUTE((INDEX(SPLIT(A7335,"",""),1)),""."","","",1))"),55.667198)</f>
        <v>55.667198</v>
      </c>
      <c r="Q7335" s="13">
        <f>IFERROR(__xludf.DUMMYFUNCTION("VALUE(SUBSTITUTE((INDEX(SPLIT(A7335,"",""),2)),""."","","",1))"),37.567096)</f>
        <v>37.567096</v>
      </c>
      <c r="R7335" s="14" t="b">
        <f t="shared" si="1"/>
        <v>0</v>
      </c>
      <c r="S7335" s="14" t="str">
        <f t="shared" si="2"/>
        <v>55.667198,37.567096</v>
      </c>
      <c r="T7335" s="12"/>
    </row>
    <row r="7336">
      <c r="A7336" s="136" t="s">
        <v>47267</v>
      </c>
      <c r="B7336" s="137" t="s">
        <v>47268</v>
      </c>
      <c r="C7336" s="137" t="s">
        <v>47269</v>
      </c>
      <c r="D7336" s="137" t="s">
        <v>33342</v>
      </c>
      <c r="E7336" s="138" t="s">
        <v>47270</v>
      </c>
      <c r="F7336" s="136" t="s">
        <v>3883</v>
      </c>
      <c r="G7336" s="136" t="s">
        <v>33344</v>
      </c>
      <c r="H7336" s="136"/>
      <c r="I7336" s="137"/>
      <c r="J7336" s="137" t="s">
        <v>47271</v>
      </c>
      <c r="K7336" s="137" t="s">
        <v>47272</v>
      </c>
      <c r="L7336" s="137"/>
      <c r="M7336" s="153" t="s">
        <v>47273</v>
      </c>
      <c r="N7336" s="12"/>
      <c r="O7336" s="12"/>
      <c r="P7336" s="13">
        <f>IFERROR(__xludf.DUMMYFUNCTION("VALUE(SUBSTITUTE((INDEX(SPLIT(A7336,"",""),1)),""."","","",1))"),55.692364)</f>
        <v>55.692364</v>
      </c>
      <c r="Q7336" s="13">
        <f>IFERROR(__xludf.DUMMYFUNCTION("VALUE(SUBSTITUTE((INDEX(SPLIT(A7336,"",""),2)),""."","","",1))"),37.580077)</f>
        <v>37.580077</v>
      </c>
      <c r="R7336" s="14" t="b">
        <f t="shared" si="1"/>
        <v>0</v>
      </c>
      <c r="S7336" s="14" t="str">
        <f t="shared" si="2"/>
        <v>55.692364,37.580077</v>
      </c>
      <c r="T7336" s="12"/>
    </row>
    <row r="7337">
      <c r="A7337" s="139" t="s">
        <v>47274</v>
      </c>
      <c r="B7337" s="140" t="s">
        <v>32433</v>
      </c>
      <c r="C7337" s="140" t="s">
        <v>47275</v>
      </c>
      <c r="D7337" s="140" t="s">
        <v>33342</v>
      </c>
      <c r="E7337" s="141" t="s">
        <v>47276</v>
      </c>
      <c r="F7337" s="139" t="s">
        <v>3883</v>
      </c>
      <c r="G7337" s="139" t="s">
        <v>33344</v>
      </c>
      <c r="H7337" s="139"/>
      <c r="I7337" s="140"/>
      <c r="J7337" s="140" t="s">
        <v>47277</v>
      </c>
      <c r="K7337" s="140" t="s">
        <v>47278</v>
      </c>
      <c r="L7337" s="140"/>
      <c r="M7337" s="154" t="s">
        <v>47279</v>
      </c>
      <c r="N7337" s="12"/>
      <c r="O7337" s="12"/>
      <c r="P7337" s="13">
        <f>IFERROR(__xludf.DUMMYFUNCTION("VALUE(SUBSTITUTE((INDEX(SPLIT(A7337,"",""),1)),""."","","",1))"),55.666274)</f>
        <v>55.666274</v>
      </c>
      <c r="Q7337" s="13">
        <f>IFERROR(__xludf.DUMMYFUNCTION("VALUE(SUBSTITUTE((INDEX(SPLIT(A7337,"",""),2)),""."","","",1))"),37.575891)</f>
        <v>37.575891</v>
      </c>
      <c r="R7337" s="14" t="b">
        <f t="shared" si="1"/>
        <v>0</v>
      </c>
      <c r="S7337" s="14" t="str">
        <f t="shared" si="2"/>
        <v>55.666274,37.575891</v>
      </c>
      <c r="T7337" s="12"/>
    </row>
    <row r="7338">
      <c r="A7338" s="136" t="s">
        <v>47280</v>
      </c>
      <c r="B7338" s="137" t="s">
        <v>47281</v>
      </c>
      <c r="C7338" s="137" t="s">
        <v>47282</v>
      </c>
      <c r="D7338" s="137" t="s">
        <v>33342</v>
      </c>
      <c r="E7338" s="138" t="s">
        <v>47283</v>
      </c>
      <c r="F7338" s="136" t="s">
        <v>3883</v>
      </c>
      <c r="G7338" s="136" t="s">
        <v>33344</v>
      </c>
      <c r="H7338" s="136"/>
      <c r="I7338" s="137"/>
      <c r="J7338" s="137" t="s">
        <v>47284</v>
      </c>
      <c r="K7338" s="137" t="s">
        <v>47285</v>
      </c>
      <c r="L7338" s="137"/>
      <c r="M7338" s="137"/>
      <c r="N7338" s="12"/>
      <c r="O7338" s="12"/>
      <c r="P7338" s="13">
        <f>IFERROR(__xludf.DUMMYFUNCTION("VALUE(SUBSTITUTE((INDEX(SPLIT(A7338,"",""),1)),""."","","",1))"),55.542401)</f>
        <v>55.542401</v>
      </c>
      <c r="Q7338" s="13">
        <f>IFERROR(__xludf.DUMMYFUNCTION("VALUE(SUBSTITUTE((INDEX(SPLIT(A7338,"",""),2)),""."","","",1))"),37.531523)</f>
        <v>37.531523</v>
      </c>
      <c r="R7338" s="14" t="b">
        <f t="shared" si="1"/>
        <v>0</v>
      </c>
      <c r="S7338" s="14" t="str">
        <f t="shared" si="2"/>
        <v>55.542401,37.531523</v>
      </c>
      <c r="T7338" s="12"/>
    </row>
    <row r="7339">
      <c r="A7339" s="139" t="s">
        <v>47286</v>
      </c>
      <c r="B7339" s="140" t="s">
        <v>47287</v>
      </c>
      <c r="C7339" s="140" t="s">
        <v>47288</v>
      </c>
      <c r="D7339" s="140" t="s">
        <v>33342</v>
      </c>
      <c r="E7339" s="141" t="s">
        <v>47289</v>
      </c>
      <c r="F7339" s="139" t="s">
        <v>3883</v>
      </c>
      <c r="G7339" s="139" t="s">
        <v>33344</v>
      </c>
      <c r="H7339" s="139"/>
      <c r="I7339" s="140"/>
      <c r="J7339" s="140" t="s">
        <v>47290</v>
      </c>
      <c r="K7339" s="140" t="s">
        <v>47291</v>
      </c>
      <c r="L7339" s="140"/>
      <c r="M7339" s="154" t="s">
        <v>47292</v>
      </c>
      <c r="N7339" s="12"/>
      <c r="O7339" s="12"/>
      <c r="P7339" s="13">
        <f>IFERROR(__xludf.DUMMYFUNCTION("VALUE(SUBSTITUTE((INDEX(SPLIT(A7339,"",""),1)),""."","","",1))"),55.653223)</f>
        <v>55.653223</v>
      </c>
      <c r="Q7339" s="13">
        <f>IFERROR(__xludf.DUMMYFUNCTION("VALUE(SUBSTITUTE((INDEX(SPLIT(A7339,"",""),2)),""."","","",1))"),37.594513)</f>
        <v>37.594513</v>
      </c>
      <c r="R7339" s="14" t="b">
        <f t="shared" si="1"/>
        <v>0</v>
      </c>
      <c r="S7339" s="14" t="str">
        <f t="shared" si="2"/>
        <v>55.653223,37.594513</v>
      </c>
      <c r="T7339" s="12"/>
    </row>
    <row r="7340">
      <c r="A7340" s="142" t="s">
        <v>47293</v>
      </c>
      <c r="B7340" s="143" t="s">
        <v>47294</v>
      </c>
      <c r="C7340" s="143" t="s">
        <v>47295</v>
      </c>
      <c r="D7340" s="143" t="s">
        <v>33342</v>
      </c>
      <c r="E7340" s="144" t="s">
        <v>47296</v>
      </c>
      <c r="F7340" s="142" t="s">
        <v>3883</v>
      </c>
      <c r="G7340" s="142" t="s">
        <v>33344</v>
      </c>
      <c r="H7340" s="142"/>
      <c r="I7340" s="155" t="s">
        <v>47297</v>
      </c>
      <c r="J7340" s="143" t="s">
        <v>47298</v>
      </c>
      <c r="K7340" s="143" t="s">
        <v>47299</v>
      </c>
      <c r="L7340" s="145" t="s">
        <v>47300</v>
      </c>
      <c r="M7340" s="145" t="s">
        <v>47301</v>
      </c>
      <c r="N7340" s="12"/>
      <c r="O7340" s="12"/>
      <c r="P7340" s="13">
        <f>IFERROR(__xludf.DUMMYFUNCTION("VALUE(SUBSTITUTE((INDEX(SPLIT(A7340,"",""),1)),""."","","",1))"),55.618481)</f>
        <v>55.618481</v>
      </c>
      <c r="Q7340" s="13">
        <f>IFERROR(__xludf.DUMMYFUNCTION("VALUE(SUBSTITUTE((INDEX(SPLIT(A7340,"",""),2)),""."","","",1))"),37.44683)</f>
        <v>37.44683</v>
      </c>
      <c r="R7340" s="14" t="b">
        <f t="shared" si="1"/>
        <v>0</v>
      </c>
      <c r="S7340" s="14" t="str">
        <f t="shared" si="2"/>
        <v>55.618481,37.44683</v>
      </c>
      <c r="T7340" s="12"/>
    </row>
    <row r="7341">
      <c r="A7341" s="146" t="s">
        <v>47302</v>
      </c>
      <c r="B7341" s="147" t="s">
        <v>47303</v>
      </c>
      <c r="C7341" s="147" t="s">
        <v>47304</v>
      </c>
      <c r="D7341" s="147" t="s">
        <v>33342</v>
      </c>
      <c r="E7341" s="148" t="s">
        <v>47305</v>
      </c>
      <c r="F7341" s="146" t="s">
        <v>3883</v>
      </c>
      <c r="G7341" s="146" t="s">
        <v>33344</v>
      </c>
      <c r="H7341" s="146"/>
      <c r="I7341" s="147"/>
      <c r="J7341" s="147" t="s">
        <v>47306</v>
      </c>
      <c r="K7341" s="147" t="s">
        <v>47307</v>
      </c>
      <c r="L7341" s="149" t="s">
        <v>47308</v>
      </c>
      <c r="M7341" s="147"/>
      <c r="N7341" s="12"/>
      <c r="O7341" s="12"/>
      <c r="P7341" s="13">
        <f>IFERROR(__xludf.DUMMYFUNCTION("VALUE(SUBSTITUTE((INDEX(SPLIT(A7341,"",""),1)),""."","","",1))"),55.648214)</f>
        <v>55.648214</v>
      </c>
      <c r="Q7341" s="13">
        <f>IFERROR(__xludf.DUMMYFUNCTION("VALUE(SUBSTITUTE((INDEX(SPLIT(A7341,"",""),2)),""."","","",1))"),37.540856)</f>
        <v>37.540856</v>
      </c>
      <c r="R7341" s="14" t="b">
        <f t="shared" si="1"/>
        <v>0</v>
      </c>
      <c r="S7341" s="14" t="str">
        <f t="shared" si="2"/>
        <v>55.648214,37.540856</v>
      </c>
      <c r="T7341" s="12"/>
    </row>
    <row r="7342">
      <c r="A7342" s="136" t="s">
        <v>47309</v>
      </c>
      <c r="B7342" s="137" t="s">
        <v>47310</v>
      </c>
      <c r="C7342" s="137" t="s">
        <v>47311</v>
      </c>
      <c r="D7342" s="137" t="s">
        <v>33342</v>
      </c>
      <c r="E7342" s="138" t="s">
        <v>47312</v>
      </c>
      <c r="F7342" s="136" t="s">
        <v>3883</v>
      </c>
      <c r="G7342" s="136" t="s">
        <v>33344</v>
      </c>
      <c r="H7342" s="136"/>
      <c r="I7342" s="137"/>
      <c r="J7342" s="137" t="s">
        <v>47313</v>
      </c>
      <c r="K7342" s="137" t="s">
        <v>47314</v>
      </c>
      <c r="L7342" s="137"/>
      <c r="M7342" s="153" t="s">
        <v>47315</v>
      </c>
      <c r="N7342" s="12"/>
      <c r="O7342" s="12"/>
      <c r="P7342" s="13">
        <f>IFERROR(__xludf.DUMMYFUNCTION("VALUE(SUBSTITUTE((INDEX(SPLIT(A7342,"",""),1)),""."","","",1))"),55.712655)</f>
        <v>55.712655</v>
      </c>
      <c r="Q7342" s="13">
        <f>IFERROR(__xludf.DUMMYFUNCTION("VALUE(SUBSTITUTE((INDEX(SPLIT(A7342,"",""),2)),""."","","",1))"),37.645618)</f>
        <v>37.645618</v>
      </c>
      <c r="R7342" s="14" t="b">
        <f t="shared" si="1"/>
        <v>0</v>
      </c>
      <c r="S7342" s="14" t="str">
        <f t="shared" si="2"/>
        <v>55.712655,37.645618</v>
      </c>
      <c r="T7342" s="12"/>
    </row>
    <row r="7343">
      <c r="A7343" s="146" t="s">
        <v>9958</v>
      </c>
      <c r="B7343" s="147" t="s">
        <v>47316</v>
      </c>
      <c r="C7343" s="147" t="s">
        <v>47317</v>
      </c>
      <c r="D7343" s="147" t="s">
        <v>33342</v>
      </c>
      <c r="E7343" s="148" t="s">
        <v>47318</v>
      </c>
      <c r="F7343" s="146" t="s">
        <v>3883</v>
      </c>
      <c r="G7343" s="146" t="s">
        <v>33344</v>
      </c>
      <c r="H7343" s="146"/>
      <c r="I7343" s="147"/>
      <c r="J7343" s="147" t="s">
        <v>47319</v>
      </c>
      <c r="K7343" s="147" t="s">
        <v>47320</v>
      </c>
      <c r="L7343" s="149" t="s">
        <v>47321</v>
      </c>
      <c r="M7343" s="147"/>
      <c r="N7343" s="12"/>
      <c r="O7343" s="12"/>
      <c r="P7343" s="13">
        <f>IFERROR(__xludf.DUMMYFUNCTION("VALUE(SUBSTITUTE((INDEX(SPLIT(A7343,"",""),1)),""."","","",1))"),55.656453)</f>
        <v>55.656453</v>
      </c>
      <c r="Q7343" s="13">
        <f>IFERROR(__xludf.DUMMYFUNCTION("VALUE(SUBSTITUTE((INDEX(SPLIT(A7343,"",""),2)),""."","","",1))"),37.553379)</f>
        <v>37.553379</v>
      </c>
      <c r="R7343" s="14" t="b">
        <f t="shared" si="1"/>
        <v>0</v>
      </c>
      <c r="S7343" s="14" t="str">
        <f t="shared" si="2"/>
        <v>55.656453,37.553379</v>
      </c>
      <c r="T7343" s="12"/>
    </row>
    <row r="7344">
      <c r="A7344" s="142" t="s">
        <v>47322</v>
      </c>
      <c r="B7344" s="143" t="s">
        <v>47323</v>
      </c>
      <c r="C7344" s="143" t="s">
        <v>47324</v>
      </c>
      <c r="D7344" s="143" t="s">
        <v>33342</v>
      </c>
      <c r="E7344" s="144" t="s">
        <v>47325</v>
      </c>
      <c r="F7344" s="142" t="s">
        <v>3883</v>
      </c>
      <c r="G7344" s="142" t="s">
        <v>33344</v>
      </c>
      <c r="H7344" s="142"/>
      <c r="I7344" s="143"/>
      <c r="J7344" s="143" t="s">
        <v>47326</v>
      </c>
      <c r="K7344" s="143" t="s">
        <v>47327</v>
      </c>
      <c r="L7344" s="145" t="s">
        <v>47328</v>
      </c>
      <c r="M7344" s="143"/>
      <c r="N7344" s="12"/>
      <c r="O7344" s="12"/>
      <c r="P7344" s="13">
        <f>IFERROR(__xludf.DUMMYFUNCTION("VALUE(SUBSTITUTE((INDEX(SPLIT(A7344,"",""),1)),""."","","",1))"),55.661643)</f>
        <v>55.661643</v>
      </c>
      <c r="Q7344" s="13">
        <f>IFERROR(__xludf.DUMMYFUNCTION("VALUE(SUBSTITUTE((INDEX(SPLIT(A7344,"",""),2)),""."","","",1))"),37.270167)</f>
        <v>37.270167</v>
      </c>
      <c r="R7344" s="14" t="b">
        <f t="shared" si="1"/>
        <v>0</v>
      </c>
      <c r="S7344" s="14" t="str">
        <f t="shared" si="2"/>
        <v>55.661643,37.270167</v>
      </c>
      <c r="T7344" s="12"/>
    </row>
    <row r="7345">
      <c r="A7345" s="146" t="s">
        <v>47329</v>
      </c>
      <c r="B7345" s="147" t="s">
        <v>47330</v>
      </c>
      <c r="C7345" s="147" t="s">
        <v>47331</v>
      </c>
      <c r="D7345" s="147" t="s">
        <v>33342</v>
      </c>
      <c r="E7345" s="148" t="s">
        <v>47332</v>
      </c>
      <c r="F7345" s="146" t="s">
        <v>3883</v>
      </c>
      <c r="G7345" s="146" t="s">
        <v>33344</v>
      </c>
      <c r="H7345" s="146"/>
      <c r="I7345" s="147"/>
      <c r="J7345" s="147" t="s">
        <v>47333</v>
      </c>
      <c r="K7345" s="147" t="s">
        <v>47334</v>
      </c>
      <c r="L7345" s="149" t="s">
        <v>47335</v>
      </c>
      <c r="M7345" s="149" t="s">
        <v>47336</v>
      </c>
      <c r="N7345" s="12"/>
      <c r="O7345" s="12"/>
      <c r="P7345" s="13">
        <f>IFERROR(__xludf.DUMMYFUNCTION("VALUE(SUBSTITUTE((INDEX(SPLIT(A7345,"",""),1)),""."","","",1))"),55.615944)</f>
        <v>55.615944</v>
      </c>
      <c r="Q7345" s="13">
        <f>IFERROR(__xludf.DUMMYFUNCTION("VALUE(SUBSTITUTE((INDEX(SPLIT(A7345,"",""),2)),""."","","",1))"),37.546561)</f>
        <v>37.546561</v>
      </c>
      <c r="R7345" s="14" t="b">
        <f t="shared" si="1"/>
        <v>0</v>
      </c>
      <c r="S7345" s="14" t="str">
        <f t="shared" si="2"/>
        <v>55.615944,37.546561</v>
      </c>
      <c r="T7345" s="12"/>
    </row>
    <row r="7346">
      <c r="A7346" s="142" t="s">
        <v>47337</v>
      </c>
      <c r="B7346" s="143" t="s">
        <v>47338</v>
      </c>
      <c r="C7346" s="143" t="s">
        <v>47339</v>
      </c>
      <c r="D7346" s="143" t="s">
        <v>33342</v>
      </c>
      <c r="E7346" s="144" t="s">
        <v>47340</v>
      </c>
      <c r="F7346" s="142" t="s">
        <v>3883</v>
      </c>
      <c r="G7346" s="142" t="s">
        <v>33344</v>
      </c>
      <c r="H7346" s="142"/>
      <c r="I7346" s="143"/>
      <c r="J7346" s="143" t="s">
        <v>47341</v>
      </c>
      <c r="K7346" s="143" t="s">
        <v>47342</v>
      </c>
      <c r="L7346" s="145" t="s">
        <v>47343</v>
      </c>
      <c r="M7346" s="145" t="s">
        <v>47344</v>
      </c>
      <c r="N7346" s="12"/>
      <c r="O7346" s="12"/>
      <c r="P7346" s="13">
        <f>IFERROR(__xludf.DUMMYFUNCTION("VALUE(SUBSTITUTE((INDEX(SPLIT(A7346,"",""),1)),""."","","",1))"),55.650759)</f>
        <v>55.650759</v>
      </c>
      <c r="Q7346" s="13">
        <f>IFERROR(__xludf.DUMMYFUNCTION("VALUE(SUBSTITUTE((INDEX(SPLIT(A7346,"",""),2)),""."","","",1))"),37.368371)</f>
        <v>37.368371</v>
      </c>
      <c r="R7346" s="14" t="b">
        <f t="shared" si="1"/>
        <v>0</v>
      </c>
      <c r="S7346" s="14" t="str">
        <f t="shared" si="2"/>
        <v>55.650759,37.368371</v>
      </c>
      <c r="T7346" s="12"/>
    </row>
    <row r="7347">
      <c r="A7347" s="146" t="s">
        <v>47345</v>
      </c>
      <c r="B7347" s="147" t="s">
        <v>47346</v>
      </c>
      <c r="C7347" s="147" t="s">
        <v>47347</v>
      </c>
      <c r="D7347" s="147" t="s">
        <v>33342</v>
      </c>
      <c r="E7347" s="148" t="s">
        <v>47348</v>
      </c>
      <c r="F7347" s="146" t="s">
        <v>3883</v>
      </c>
      <c r="G7347" s="146" t="s">
        <v>33344</v>
      </c>
      <c r="H7347" s="146"/>
      <c r="I7347" s="151" t="s">
        <v>47349</v>
      </c>
      <c r="J7347" s="147" t="s">
        <v>47350</v>
      </c>
      <c r="K7347" s="147" t="s">
        <v>47351</v>
      </c>
      <c r="L7347" s="149" t="s">
        <v>47352</v>
      </c>
      <c r="M7347" s="147"/>
      <c r="N7347" s="12"/>
      <c r="O7347" s="12"/>
      <c r="P7347" s="13">
        <f>IFERROR(__xludf.DUMMYFUNCTION("VALUE(SUBSTITUTE((INDEX(SPLIT(A7347,"",""),1)),""."","","",1))"),55.606431)</f>
        <v>55.606431</v>
      </c>
      <c r="Q7347" s="13">
        <f>IFERROR(__xludf.DUMMYFUNCTION("VALUE(SUBSTITUTE((INDEX(SPLIT(A7347,"",""),2)),""."","","",1))"),37.189256)</f>
        <v>37.189256</v>
      </c>
      <c r="R7347" s="14" t="b">
        <f t="shared" si="1"/>
        <v>0</v>
      </c>
      <c r="S7347" s="14" t="str">
        <f t="shared" si="2"/>
        <v>55.606431,37.189256</v>
      </c>
      <c r="T7347" s="12"/>
    </row>
    <row r="7348">
      <c r="A7348" s="136" t="s">
        <v>47353</v>
      </c>
      <c r="B7348" s="137" t="s">
        <v>47354</v>
      </c>
      <c r="C7348" s="137" t="s">
        <v>47355</v>
      </c>
      <c r="D7348" s="137" t="s">
        <v>33342</v>
      </c>
      <c r="E7348" s="138" t="s">
        <v>47356</v>
      </c>
      <c r="F7348" s="136" t="s">
        <v>3883</v>
      </c>
      <c r="G7348" s="136" t="s">
        <v>33344</v>
      </c>
      <c r="H7348" s="136"/>
      <c r="I7348" s="137"/>
      <c r="J7348" s="137" t="s">
        <v>47357</v>
      </c>
      <c r="K7348" s="137" t="s">
        <v>47358</v>
      </c>
      <c r="L7348" s="137"/>
      <c r="M7348" s="137"/>
      <c r="N7348" s="12"/>
      <c r="O7348" s="12"/>
      <c r="P7348" s="13">
        <f>IFERROR(__xludf.DUMMYFUNCTION("VALUE(SUBSTITUTE((INDEX(SPLIT(A7348,"",""),1)),""."","","",1))"),55.677159)</f>
        <v>55.677159</v>
      </c>
      <c r="Q7348" s="13">
        <f>IFERROR(__xludf.DUMMYFUNCTION("VALUE(SUBSTITUTE((INDEX(SPLIT(A7348,"",""),2)),""."","","",1))"),37.29435)</f>
        <v>37.29435</v>
      </c>
      <c r="R7348" s="14" t="b">
        <f t="shared" si="1"/>
        <v>0</v>
      </c>
      <c r="S7348" s="14" t="str">
        <f t="shared" si="2"/>
        <v>55.677159,37.29435</v>
      </c>
      <c r="T7348" s="12"/>
    </row>
    <row r="7349">
      <c r="A7349" s="146" t="s">
        <v>47359</v>
      </c>
      <c r="B7349" s="147" t="s">
        <v>47360</v>
      </c>
      <c r="C7349" s="147" t="s">
        <v>47361</v>
      </c>
      <c r="D7349" s="147" t="s">
        <v>33342</v>
      </c>
      <c r="E7349" s="148" t="s">
        <v>47362</v>
      </c>
      <c r="F7349" s="146" t="s">
        <v>3883</v>
      </c>
      <c r="G7349" s="146" t="s">
        <v>33344</v>
      </c>
      <c r="H7349" s="146"/>
      <c r="I7349" s="147"/>
      <c r="J7349" s="147" t="s">
        <v>47363</v>
      </c>
      <c r="K7349" s="147" t="s">
        <v>47364</v>
      </c>
      <c r="L7349" s="149" t="s">
        <v>10639</v>
      </c>
      <c r="M7349" s="147"/>
      <c r="N7349" s="12"/>
      <c r="O7349" s="12"/>
      <c r="P7349" s="13">
        <f>IFERROR(__xludf.DUMMYFUNCTION("VALUE(SUBSTITUTE((INDEX(SPLIT(A7349,"",""),1)),""."","","",1))"),55.695002)</f>
        <v>55.695002</v>
      </c>
      <c r="Q7349" s="13">
        <f>IFERROR(__xludf.DUMMYFUNCTION("VALUE(SUBSTITUTE((INDEX(SPLIT(A7349,"",""),2)),""."","","",1))"),37.422737)</f>
        <v>37.422737</v>
      </c>
      <c r="R7349" s="14" t="b">
        <f t="shared" si="1"/>
        <v>0</v>
      </c>
      <c r="S7349" s="14" t="str">
        <f t="shared" si="2"/>
        <v>55.695002,37.422737</v>
      </c>
      <c r="T7349" s="12"/>
    </row>
    <row r="7350">
      <c r="A7350" s="136" t="s">
        <v>47365</v>
      </c>
      <c r="B7350" s="137" t="s">
        <v>47366</v>
      </c>
      <c r="C7350" s="137" t="s">
        <v>47367</v>
      </c>
      <c r="D7350" s="137" t="s">
        <v>33342</v>
      </c>
      <c r="E7350" s="138" t="s">
        <v>47368</v>
      </c>
      <c r="F7350" s="136" t="s">
        <v>3883</v>
      </c>
      <c r="G7350" s="136" t="s">
        <v>33344</v>
      </c>
      <c r="H7350" s="136"/>
      <c r="I7350" s="137"/>
      <c r="J7350" s="137" t="s">
        <v>47369</v>
      </c>
      <c r="K7350" s="137" t="s">
        <v>47370</v>
      </c>
      <c r="L7350" s="137"/>
      <c r="M7350" s="153" t="s">
        <v>47371</v>
      </c>
      <c r="N7350" s="12"/>
      <c r="O7350" s="12"/>
      <c r="P7350" s="13">
        <f>IFERROR(__xludf.DUMMYFUNCTION("VALUE(SUBSTITUTE((INDEX(SPLIT(A7350,"",""),1)),""."","","",1))"),55.615695)</f>
        <v>55.615695</v>
      </c>
      <c r="Q7350" s="13">
        <f>IFERROR(__xludf.DUMMYFUNCTION("VALUE(SUBSTITUTE((INDEX(SPLIT(A7350,"",""),2)),""."","","",1))"),37.270248)</f>
        <v>37.270248</v>
      </c>
      <c r="R7350" s="14" t="b">
        <f t="shared" si="1"/>
        <v>0</v>
      </c>
      <c r="S7350" s="14" t="str">
        <f t="shared" si="2"/>
        <v>55.615695,37.270248</v>
      </c>
      <c r="T7350" s="12"/>
    </row>
    <row r="7351">
      <c r="A7351" s="139" t="s">
        <v>47372</v>
      </c>
      <c r="B7351" s="140" t="s">
        <v>47373</v>
      </c>
      <c r="C7351" s="140" t="s">
        <v>47374</v>
      </c>
      <c r="D7351" s="140" t="s">
        <v>33342</v>
      </c>
      <c r="E7351" s="141" t="s">
        <v>47375</v>
      </c>
      <c r="F7351" s="139" t="s">
        <v>3883</v>
      </c>
      <c r="G7351" s="139" t="s">
        <v>33344</v>
      </c>
      <c r="H7351" s="139"/>
      <c r="I7351" s="140"/>
      <c r="J7351" s="140" t="s">
        <v>47376</v>
      </c>
      <c r="K7351" s="140" t="s">
        <v>47377</v>
      </c>
      <c r="L7351" s="140"/>
      <c r="M7351" s="140"/>
      <c r="N7351" s="12"/>
      <c r="O7351" s="12"/>
      <c r="P7351" s="13">
        <f>IFERROR(__xludf.DUMMYFUNCTION("VALUE(SUBSTITUTE((INDEX(SPLIT(A7351,"",""),1)),""."","","",1))"),55.749071)</f>
        <v>55.749071</v>
      </c>
      <c r="Q7351" s="13">
        <f>IFERROR(__xludf.DUMMYFUNCTION("VALUE(SUBSTITUTE((INDEX(SPLIT(A7351,"",""),2)),""."","","",1))"),37.567896)</f>
        <v>37.567896</v>
      </c>
      <c r="R7351" s="14" t="b">
        <f t="shared" si="1"/>
        <v>0</v>
      </c>
      <c r="S7351" s="14" t="str">
        <f t="shared" si="2"/>
        <v>55.749071,37.567896</v>
      </c>
      <c r="T7351" s="12"/>
    </row>
    <row r="7352">
      <c r="A7352" s="146" t="s">
        <v>47378</v>
      </c>
      <c r="B7352" s="147" t="s">
        <v>47379</v>
      </c>
      <c r="C7352" s="147" t="s">
        <v>47380</v>
      </c>
      <c r="D7352" s="147" t="s">
        <v>33342</v>
      </c>
      <c r="E7352" s="148" t="s">
        <v>47381</v>
      </c>
      <c r="F7352" s="146" t="s">
        <v>3883</v>
      </c>
      <c r="G7352" s="146" t="s">
        <v>33344</v>
      </c>
      <c r="H7352" s="146"/>
      <c r="I7352" s="147"/>
      <c r="J7352" s="147" t="s">
        <v>47382</v>
      </c>
      <c r="K7352" s="147" t="s">
        <v>47383</v>
      </c>
      <c r="L7352" s="149" t="s">
        <v>47384</v>
      </c>
      <c r="M7352" s="149" t="s">
        <v>47385</v>
      </c>
      <c r="N7352" s="12"/>
      <c r="O7352" s="12"/>
      <c r="P7352" s="13">
        <f>IFERROR(__xludf.DUMMYFUNCTION("VALUE(SUBSTITUTE((INDEX(SPLIT(A7352,"",""),1)),""."","","",1))"),55.72562)</f>
        <v>55.72562</v>
      </c>
      <c r="Q7352" s="13">
        <f>IFERROR(__xludf.DUMMYFUNCTION("VALUE(SUBSTITUTE((INDEX(SPLIT(A7352,"",""),2)),""."","","",1))"),37.397817)</f>
        <v>37.397817</v>
      </c>
      <c r="R7352" s="14" t="b">
        <f t="shared" si="1"/>
        <v>0</v>
      </c>
      <c r="S7352" s="14" t="str">
        <f t="shared" si="2"/>
        <v>55.72562,37.397817</v>
      </c>
      <c r="T7352" s="12"/>
    </row>
    <row r="7353">
      <c r="A7353" s="136" t="s">
        <v>47386</v>
      </c>
      <c r="B7353" s="137" t="s">
        <v>47387</v>
      </c>
      <c r="C7353" s="137" t="s">
        <v>47388</v>
      </c>
      <c r="D7353" s="137" t="s">
        <v>33342</v>
      </c>
      <c r="E7353" s="138" t="s">
        <v>47389</v>
      </c>
      <c r="F7353" s="136" t="s">
        <v>3883</v>
      </c>
      <c r="G7353" s="136" t="s">
        <v>33344</v>
      </c>
      <c r="H7353" s="136"/>
      <c r="I7353" s="137"/>
      <c r="J7353" s="137" t="s">
        <v>47390</v>
      </c>
      <c r="K7353" s="137" t="s">
        <v>47391</v>
      </c>
      <c r="L7353" s="137"/>
      <c r="M7353" s="137"/>
      <c r="N7353" s="12"/>
      <c r="O7353" s="12"/>
      <c r="P7353" s="13">
        <f>IFERROR(__xludf.DUMMYFUNCTION("VALUE(SUBSTITUTE((INDEX(SPLIT(A7353,"",""),1)),""."","","",1))"),55.761761)</f>
        <v>55.761761</v>
      </c>
      <c r="Q7353" s="13">
        <f>IFERROR(__xludf.DUMMYFUNCTION("VALUE(SUBSTITUTE((INDEX(SPLIT(A7353,"",""),2)),""."","","",1))"),37.405426)</f>
        <v>37.405426</v>
      </c>
      <c r="R7353" s="14" t="b">
        <f t="shared" si="1"/>
        <v>0</v>
      </c>
      <c r="S7353" s="14" t="str">
        <f t="shared" si="2"/>
        <v>55.761761,37.405426</v>
      </c>
      <c r="T7353" s="12"/>
    </row>
    <row r="7354">
      <c r="A7354" s="146" t="s">
        <v>47392</v>
      </c>
      <c r="B7354" s="147" t="s">
        <v>47393</v>
      </c>
      <c r="C7354" s="147" t="s">
        <v>47394</v>
      </c>
      <c r="D7354" s="147" t="s">
        <v>33342</v>
      </c>
      <c r="E7354" s="148" t="s">
        <v>47395</v>
      </c>
      <c r="F7354" s="146" t="s">
        <v>3883</v>
      </c>
      <c r="G7354" s="146" t="s">
        <v>33344</v>
      </c>
      <c r="H7354" s="146"/>
      <c r="I7354" s="147"/>
      <c r="J7354" s="147" t="s">
        <v>47396</v>
      </c>
      <c r="K7354" s="147" t="s">
        <v>47397</v>
      </c>
      <c r="L7354" s="149" t="s">
        <v>47398</v>
      </c>
      <c r="M7354" s="147"/>
      <c r="N7354" s="12"/>
      <c r="O7354" s="12"/>
      <c r="P7354" s="13">
        <f>IFERROR(__xludf.DUMMYFUNCTION("VALUE(SUBSTITUTE((INDEX(SPLIT(A7354,"",""),1)),""."","","",1))"),55.710672)</f>
        <v>55.710672</v>
      </c>
      <c r="Q7354" s="13">
        <f>IFERROR(__xludf.DUMMYFUNCTION("VALUE(SUBSTITUTE((INDEX(SPLIT(A7354,"",""),2)),""."","","",1))"),37.508867)</f>
        <v>37.508867</v>
      </c>
      <c r="R7354" s="14" t="b">
        <f t="shared" si="1"/>
        <v>0</v>
      </c>
      <c r="S7354" s="14" t="str">
        <f t="shared" si="2"/>
        <v>55.710672,37.508867</v>
      </c>
      <c r="T7354" s="12"/>
    </row>
    <row r="7355">
      <c r="A7355" s="142" t="s">
        <v>47399</v>
      </c>
      <c r="B7355" s="143" t="s">
        <v>47400</v>
      </c>
      <c r="C7355" s="143" t="s">
        <v>47401</v>
      </c>
      <c r="D7355" s="143" t="s">
        <v>33342</v>
      </c>
      <c r="E7355" s="144" t="s">
        <v>47402</v>
      </c>
      <c r="F7355" s="142" t="s">
        <v>3883</v>
      </c>
      <c r="G7355" s="142" t="s">
        <v>33344</v>
      </c>
      <c r="H7355" s="142"/>
      <c r="I7355" s="143"/>
      <c r="J7355" s="143" t="s">
        <v>47403</v>
      </c>
      <c r="K7355" s="143" t="s">
        <v>47404</v>
      </c>
      <c r="L7355" s="152" t="s">
        <v>47405</v>
      </c>
      <c r="M7355" s="143"/>
      <c r="N7355" s="12"/>
      <c r="O7355" s="12"/>
      <c r="P7355" s="13">
        <f>IFERROR(__xludf.DUMMYFUNCTION("VALUE(SUBSTITUTE((INDEX(SPLIT(A7355,"",""),1)),""."","","",1))"),55.822407)</f>
        <v>55.822407</v>
      </c>
      <c r="Q7355" s="13">
        <f>IFERROR(__xludf.DUMMYFUNCTION("VALUE(SUBSTITUTE((INDEX(SPLIT(A7355,"",""),2)),""."","","",1))"),37.43207)</f>
        <v>37.43207</v>
      </c>
      <c r="R7355" s="14" t="b">
        <f t="shared" si="1"/>
        <v>0</v>
      </c>
      <c r="S7355" s="14" t="str">
        <f t="shared" si="2"/>
        <v>55.822407,37.43207</v>
      </c>
      <c r="T7355" s="12"/>
    </row>
    <row r="7356">
      <c r="A7356" s="146" t="s">
        <v>47406</v>
      </c>
      <c r="B7356" s="147" t="s">
        <v>2928</v>
      </c>
      <c r="C7356" s="147" t="s">
        <v>47407</v>
      </c>
      <c r="D7356" s="147" t="s">
        <v>33342</v>
      </c>
      <c r="E7356" s="148" t="s">
        <v>47408</v>
      </c>
      <c r="F7356" s="146" t="s">
        <v>3883</v>
      </c>
      <c r="G7356" s="146" t="s">
        <v>33344</v>
      </c>
      <c r="H7356" s="146"/>
      <c r="I7356" s="147"/>
      <c r="J7356" s="147" t="s">
        <v>47409</v>
      </c>
      <c r="K7356" s="147" t="s">
        <v>47410</v>
      </c>
      <c r="L7356" s="149" t="s">
        <v>47411</v>
      </c>
      <c r="M7356" s="147"/>
      <c r="N7356" s="12"/>
      <c r="O7356" s="12"/>
      <c r="P7356" s="13">
        <f>IFERROR(__xludf.DUMMYFUNCTION("VALUE(SUBSTITUTE((INDEX(SPLIT(A7356,"",""),1)),""."","","",1))"),55.81954)</f>
        <v>55.81954</v>
      </c>
      <c r="Q7356" s="13">
        <f>IFERROR(__xludf.DUMMYFUNCTION("VALUE(SUBSTITUTE((INDEX(SPLIT(A7356,"",""),2)),""."","","",1))"),37.445626)</f>
        <v>37.445626</v>
      </c>
      <c r="R7356" s="14" t="b">
        <f t="shared" si="1"/>
        <v>0</v>
      </c>
      <c r="S7356" s="14" t="str">
        <f t="shared" si="2"/>
        <v>55.81954,37.445626</v>
      </c>
      <c r="T7356" s="12"/>
    </row>
    <row r="7357">
      <c r="A7357" s="142" t="s">
        <v>47412</v>
      </c>
      <c r="B7357" s="143" t="s">
        <v>47413</v>
      </c>
      <c r="C7357" s="143" t="s">
        <v>47414</v>
      </c>
      <c r="D7357" s="143" t="s">
        <v>33342</v>
      </c>
      <c r="E7357" s="144" t="s">
        <v>47415</v>
      </c>
      <c r="F7357" s="142" t="s">
        <v>3883</v>
      </c>
      <c r="G7357" s="142" t="s">
        <v>33344</v>
      </c>
      <c r="H7357" s="142"/>
      <c r="I7357" s="143"/>
      <c r="J7357" s="143" t="s">
        <v>47416</v>
      </c>
      <c r="K7357" s="143" t="s">
        <v>47417</v>
      </c>
      <c r="L7357" s="145" t="s">
        <v>47418</v>
      </c>
      <c r="M7357" s="143"/>
      <c r="N7357" s="12"/>
      <c r="O7357" s="12"/>
      <c r="P7357" s="13">
        <f>IFERROR(__xludf.DUMMYFUNCTION("VALUE(SUBSTITUTE((INDEX(SPLIT(A7357,"",""),1)),""."","","",1))"),56.000442)</f>
        <v>56.000442</v>
      </c>
      <c r="Q7357" s="13">
        <f>IFERROR(__xludf.DUMMYFUNCTION("VALUE(SUBSTITUTE((INDEX(SPLIT(A7357,"",""),2)),""."","","",1))"),36.473721)</f>
        <v>36.473721</v>
      </c>
      <c r="R7357" s="14" t="b">
        <f t="shared" si="1"/>
        <v>0</v>
      </c>
      <c r="S7357" s="14" t="str">
        <f t="shared" si="2"/>
        <v>56.000442,36.473721</v>
      </c>
      <c r="T7357" s="12"/>
    </row>
    <row r="7358">
      <c r="A7358" s="146" t="s">
        <v>43180</v>
      </c>
      <c r="B7358" s="147" t="s">
        <v>47419</v>
      </c>
      <c r="C7358" s="147" t="s">
        <v>47420</v>
      </c>
      <c r="D7358" s="147" t="s">
        <v>33342</v>
      </c>
      <c r="E7358" s="148" t="s">
        <v>47421</v>
      </c>
      <c r="F7358" s="146" t="s">
        <v>3883</v>
      </c>
      <c r="G7358" s="146" t="s">
        <v>33344</v>
      </c>
      <c r="H7358" s="146"/>
      <c r="I7358" s="147"/>
      <c r="J7358" s="147" t="s">
        <v>43184</v>
      </c>
      <c r="K7358" s="147" t="s">
        <v>43185</v>
      </c>
      <c r="L7358" s="149" t="s">
        <v>47422</v>
      </c>
      <c r="M7358" s="147"/>
      <c r="N7358" s="12"/>
      <c r="O7358" s="12"/>
      <c r="P7358" s="13">
        <f>IFERROR(__xludf.DUMMYFUNCTION("VALUE(SUBSTITUTE((INDEX(SPLIT(A7358,"",""),1)),""."","","",1))"),55.73512)</f>
        <v>55.73512</v>
      </c>
      <c r="Q7358" s="13">
        <f>IFERROR(__xludf.DUMMYFUNCTION("VALUE(SUBSTITUTE((INDEX(SPLIT(A7358,"",""),2)),""."","","",1))"),37.651915)</f>
        <v>37.651915</v>
      </c>
      <c r="R7358" s="14" t="b">
        <f t="shared" si="1"/>
        <v>0</v>
      </c>
      <c r="S7358" s="14" t="str">
        <f t="shared" si="2"/>
        <v>55.73512,37.651915</v>
      </c>
      <c r="T7358" s="12"/>
    </row>
    <row r="7359">
      <c r="A7359" s="136" t="s">
        <v>47423</v>
      </c>
      <c r="B7359" s="137" t="s">
        <v>47424</v>
      </c>
      <c r="C7359" s="137" t="s">
        <v>47425</v>
      </c>
      <c r="D7359" s="137" t="s">
        <v>33342</v>
      </c>
      <c r="E7359" s="138" t="s">
        <v>47426</v>
      </c>
      <c r="F7359" s="136" t="s">
        <v>3883</v>
      </c>
      <c r="G7359" s="136" t="s">
        <v>33344</v>
      </c>
      <c r="H7359" s="136"/>
      <c r="I7359" s="137"/>
      <c r="J7359" s="137" t="s">
        <v>47427</v>
      </c>
      <c r="K7359" s="137" t="s">
        <v>47428</v>
      </c>
      <c r="L7359" s="137"/>
      <c r="M7359" s="137"/>
      <c r="N7359" s="12"/>
      <c r="O7359" s="12"/>
      <c r="P7359" s="13">
        <f>IFERROR(__xludf.DUMMYFUNCTION("VALUE(SUBSTITUTE((INDEX(SPLIT(A7359,"",""),1)),""."","","",1))"),55.870779)</f>
        <v>55.870779</v>
      </c>
      <c r="Q7359" s="13">
        <f>IFERROR(__xludf.DUMMYFUNCTION("VALUE(SUBSTITUTE((INDEX(SPLIT(A7359,"",""),2)),""."","","",1))"),37.44135)</f>
        <v>37.44135</v>
      </c>
      <c r="R7359" s="14" t="b">
        <f t="shared" si="1"/>
        <v>0</v>
      </c>
      <c r="S7359" s="14" t="str">
        <f t="shared" si="2"/>
        <v>55.870779,37.44135</v>
      </c>
      <c r="T7359" s="12"/>
    </row>
    <row r="7360">
      <c r="A7360" s="139" t="s">
        <v>47429</v>
      </c>
      <c r="B7360" s="140" t="s">
        <v>47430</v>
      </c>
      <c r="C7360" s="140" t="s">
        <v>47431</v>
      </c>
      <c r="D7360" s="140" t="s">
        <v>33342</v>
      </c>
      <c r="E7360" s="141" t="s">
        <v>47432</v>
      </c>
      <c r="F7360" s="139" t="s">
        <v>3883</v>
      </c>
      <c r="G7360" s="139" t="s">
        <v>33344</v>
      </c>
      <c r="H7360" s="139"/>
      <c r="I7360" s="140"/>
      <c r="J7360" s="140" t="s">
        <v>47433</v>
      </c>
      <c r="K7360" s="140" t="s">
        <v>47434</v>
      </c>
      <c r="L7360" s="140"/>
      <c r="M7360" s="154" t="s">
        <v>47435</v>
      </c>
      <c r="N7360" s="12"/>
      <c r="O7360" s="12"/>
      <c r="P7360" s="13">
        <f>IFERROR(__xludf.DUMMYFUNCTION("VALUE(SUBSTITUTE((INDEX(SPLIT(A7360,"",""),1)),""."","","",1))"),55.860797)</f>
        <v>55.860797</v>
      </c>
      <c r="Q7360" s="13">
        <f>IFERROR(__xludf.DUMMYFUNCTION("VALUE(SUBSTITUTE((INDEX(SPLIT(A7360,"",""),2)),""."","","",1))"),37.377399)</f>
        <v>37.377399</v>
      </c>
      <c r="R7360" s="14" t="b">
        <f t="shared" si="1"/>
        <v>0</v>
      </c>
      <c r="S7360" s="14" t="str">
        <f t="shared" si="2"/>
        <v>55.860797,37.377399</v>
      </c>
      <c r="T7360" s="12"/>
    </row>
    <row r="7361">
      <c r="A7361" s="136" t="s">
        <v>47436</v>
      </c>
      <c r="B7361" s="137" t="s">
        <v>47437</v>
      </c>
      <c r="C7361" s="137" t="s">
        <v>47438</v>
      </c>
      <c r="D7361" s="137" t="s">
        <v>33342</v>
      </c>
      <c r="E7361" s="138" t="s">
        <v>47439</v>
      </c>
      <c r="F7361" s="136" t="s">
        <v>3883</v>
      </c>
      <c r="G7361" s="136" t="s">
        <v>33344</v>
      </c>
      <c r="H7361" s="136"/>
      <c r="I7361" s="137"/>
      <c r="J7361" s="137" t="s">
        <v>47440</v>
      </c>
      <c r="K7361" s="137" t="s">
        <v>47441</v>
      </c>
      <c r="L7361" s="137"/>
      <c r="M7361" s="137"/>
      <c r="N7361" s="12"/>
      <c r="O7361" s="12"/>
      <c r="P7361" s="13">
        <f>IFERROR(__xludf.DUMMYFUNCTION("VALUE(SUBSTITUTE((INDEX(SPLIT(A7361,"",""),1)),""."","","",1))"),55.833946)</f>
        <v>55.833946</v>
      </c>
      <c r="Q7361" s="13">
        <f>IFERROR(__xludf.DUMMYFUNCTION("VALUE(SUBSTITUTE((INDEX(SPLIT(A7361,"",""),2)),""."","","",1))"),37.427372)</f>
        <v>37.427372</v>
      </c>
      <c r="R7361" s="14" t="b">
        <f t="shared" si="1"/>
        <v>0</v>
      </c>
      <c r="S7361" s="14" t="str">
        <f t="shared" si="2"/>
        <v>55.833946,37.427372</v>
      </c>
      <c r="T7361" s="12"/>
    </row>
    <row r="7362">
      <c r="A7362" s="139" t="s">
        <v>47442</v>
      </c>
      <c r="B7362" s="140" t="s">
        <v>47443</v>
      </c>
      <c r="C7362" s="140" t="s">
        <v>47444</v>
      </c>
      <c r="D7362" s="140" t="s">
        <v>33342</v>
      </c>
      <c r="E7362" s="141" t="s">
        <v>47445</v>
      </c>
      <c r="F7362" s="139" t="s">
        <v>3883</v>
      </c>
      <c r="G7362" s="139" t="s">
        <v>33344</v>
      </c>
      <c r="H7362" s="139"/>
      <c r="I7362" s="140"/>
      <c r="J7362" s="140" t="s">
        <v>47446</v>
      </c>
      <c r="K7362" s="140" t="s">
        <v>47447</v>
      </c>
      <c r="L7362" s="140"/>
      <c r="M7362" s="154" t="s">
        <v>47448</v>
      </c>
      <c r="N7362" s="12"/>
      <c r="O7362" s="12"/>
      <c r="P7362" s="13">
        <f>IFERROR(__xludf.DUMMYFUNCTION("VALUE(SUBSTITUTE((INDEX(SPLIT(A7362,"",""),1)),""."","","",1))"),55.830751)</f>
        <v>55.830751</v>
      </c>
      <c r="Q7362" s="13">
        <f>IFERROR(__xludf.DUMMYFUNCTION("VALUE(SUBSTITUTE((INDEX(SPLIT(A7362,"",""),2)),""."","","",1))"),37.457304)</f>
        <v>37.457304</v>
      </c>
      <c r="R7362" s="14" t="b">
        <f t="shared" si="1"/>
        <v>0</v>
      </c>
      <c r="S7362" s="14" t="str">
        <f t="shared" si="2"/>
        <v>55.830751,37.457304</v>
      </c>
      <c r="T7362" s="12"/>
    </row>
    <row r="7363">
      <c r="A7363" s="136" t="s">
        <v>47449</v>
      </c>
      <c r="B7363" s="137" t="s">
        <v>47450</v>
      </c>
      <c r="C7363" s="137" t="s">
        <v>47451</v>
      </c>
      <c r="D7363" s="137" t="s">
        <v>33342</v>
      </c>
      <c r="E7363" s="138" t="s">
        <v>47452</v>
      </c>
      <c r="F7363" s="136" t="s">
        <v>3883</v>
      </c>
      <c r="G7363" s="136" t="s">
        <v>33344</v>
      </c>
      <c r="H7363" s="136"/>
      <c r="I7363" s="137"/>
      <c r="J7363" s="137" t="s">
        <v>47453</v>
      </c>
      <c r="K7363" s="137" t="s">
        <v>47454</v>
      </c>
      <c r="L7363" s="137"/>
      <c r="M7363" s="137"/>
      <c r="N7363" s="12"/>
      <c r="O7363" s="12"/>
      <c r="P7363" s="13">
        <f>IFERROR(__xludf.DUMMYFUNCTION("VALUE(SUBSTITUTE((INDEX(SPLIT(A7363,"",""),1)),""."","","",1))"),55.845592)</f>
        <v>55.845592</v>
      </c>
      <c r="Q7363" s="13">
        <f>IFERROR(__xludf.DUMMYFUNCTION("VALUE(SUBSTITUTE((INDEX(SPLIT(A7363,"",""),2)),""."","","",1))"),37.551897)</f>
        <v>37.551897</v>
      </c>
      <c r="R7363" s="14" t="b">
        <f t="shared" si="1"/>
        <v>0</v>
      </c>
      <c r="S7363" s="14" t="str">
        <f t="shared" si="2"/>
        <v>55.845592,37.551897</v>
      </c>
      <c r="T7363" s="12"/>
    </row>
    <row r="7364">
      <c r="A7364" s="139" t="s">
        <v>47455</v>
      </c>
      <c r="B7364" s="140" t="s">
        <v>26712</v>
      </c>
      <c r="C7364" s="140" t="s">
        <v>47456</v>
      </c>
      <c r="D7364" s="140" t="s">
        <v>33342</v>
      </c>
      <c r="E7364" s="141" t="s">
        <v>47457</v>
      </c>
      <c r="F7364" s="139" t="s">
        <v>3883</v>
      </c>
      <c r="G7364" s="139" t="s">
        <v>33344</v>
      </c>
      <c r="H7364" s="139"/>
      <c r="I7364" s="140"/>
      <c r="J7364" s="140" t="s">
        <v>47458</v>
      </c>
      <c r="K7364" s="140" t="s">
        <v>47459</v>
      </c>
      <c r="L7364" s="140"/>
      <c r="M7364" s="154" t="s">
        <v>30611</v>
      </c>
      <c r="N7364" s="12"/>
      <c r="O7364" s="12"/>
      <c r="P7364" s="13">
        <f>IFERROR(__xludf.DUMMYFUNCTION("VALUE(SUBSTITUTE((INDEX(SPLIT(A7364,"",""),1)),""."","","",1))"),55.828981)</f>
        <v>55.828981</v>
      </c>
      <c r="Q7364" s="13">
        <f>IFERROR(__xludf.DUMMYFUNCTION("VALUE(SUBSTITUTE((INDEX(SPLIT(A7364,"",""),2)),""."","","",1))"),37.369071)</f>
        <v>37.369071</v>
      </c>
      <c r="R7364" s="14" t="b">
        <f t="shared" si="1"/>
        <v>0</v>
      </c>
      <c r="S7364" s="14" t="str">
        <f t="shared" si="2"/>
        <v>55.828981,37.369071</v>
      </c>
      <c r="T7364" s="12"/>
    </row>
    <row r="7365">
      <c r="A7365" s="136" t="s">
        <v>47460</v>
      </c>
      <c r="B7365" s="137" t="s">
        <v>47461</v>
      </c>
      <c r="C7365" s="137" t="s">
        <v>47462</v>
      </c>
      <c r="D7365" s="137" t="s">
        <v>33342</v>
      </c>
      <c r="E7365" s="138" t="s">
        <v>47463</v>
      </c>
      <c r="F7365" s="136" t="s">
        <v>3883</v>
      </c>
      <c r="G7365" s="136" t="s">
        <v>33344</v>
      </c>
      <c r="H7365" s="136"/>
      <c r="I7365" s="156" t="s">
        <v>47464</v>
      </c>
      <c r="J7365" s="137" t="s">
        <v>47465</v>
      </c>
      <c r="K7365" s="137" t="s">
        <v>47466</v>
      </c>
      <c r="L7365" s="137"/>
      <c r="M7365" s="153" t="s">
        <v>47467</v>
      </c>
      <c r="N7365" s="12"/>
      <c r="O7365" s="12"/>
      <c r="P7365" s="13">
        <f>IFERROR(__xludf.DUMMYFUNCTION("VALUE(SUBSTITUTE((INDEX(SPLIT(A7365,"",""),1)),""."","","",1))"),55.838774)</f>
        <v>55.838774</v>
      </c>
      <c r="Q7365" s="13">
        <f>IFERROR(__xludf.DUMMYFUNCTION("VALUE(SUBSTITUTE((INDEX(SPLIT(A7365,"",""),2)),""."","","",1))"),37.439284)</f>
        <v>37.439284</v>
      </c>
      <c r="R7365" s="14" t="b">
        <f t="shared" si="1"/>
        <v>0</v>
      </c>
      <c r="S7365" s="14" t="str">
        <f t="shared" si="2"/>
        <v>55.838774,37.439284</v>
      </c>
      <c r="T7365" s="12"/>
    </row>
    <row r="7366">
      <c r="A7366" s="139" t="s">
        <v>47468</v>
      </c>
      <c r="B7366" s="140" t="s">
        <v>47469</v>
      </c>
      <c r="C7366" s="140" t="s">
        <v>47470</v>
      </c>
      <c r="D7366" s="140" t="s">
        <v>33342</v>
      </c>
      <c r="E7366" s="141" t="s">
        <v>47471</v>
      </c>
      <c r="F7366" s="139" t="s">
        <v>3883</v>
      </c>
      <c r="G7366" s="139" t="s">
        <v>33344</v>
      </c>
      <c r="H7366" s="139"/>
      <c r="I7366" s="140"/>
      <c r="J7366" s="140" t="s">
        <v>47472</v>
      </c>
      <c r="K7366" s="140" t="s">
        <v>47473</v>
      </c>
      <c r="L7366" s="140"/>
      <c r="M7366" s="140"/>
      <c r="N7366" s="12"/>
      <c r="O7366" s="12"/>
      <c r="P7366" s="13">
        <f>IFERROR(__xludf.DUMMYFUNCTION("VALUE(SUBSTITUTE((INDEX(SPLIT(A7366,"",""),1)),""."","","",1))"),55.893854)</f>
        <v>55.893854</v>
      </c>
      <c r="Q7366" s="13">
        <f>IFERROR(__xludf.DUMMYFUNCTION("VALUE(SUBSTITUTE((INDEX(SPLIT(A7366,"",""),2)),""."","","",1))"),37.389607)</f>
        <v>37.389607</v>
      </c>
      <c r="R7366" s="14" t="b">
        <f t="shared" si="1"/>
        <v>0</v>
      </c>
      <c r="S7366" s="14" t="str">
        <f t="shared" si="2"/>
        <v>55.893854,37.389607</v>
      </c>
      <c r="T7366" s="12"/>
    </row>
    <row r="7367">
      <c r="A7367" s="142" t="s">
        <v>10633</v>
      </c>
      <c r="B7367" s="143" t="s">
        <v>47474</v>
      </c>
      <c r="C7367" s="143" t="s">
        <v>47475</v>
      </c>
      <c r="D7367" s="143" t="s">
        <v>33342</v>
      </c>
      <c r="E7367" s="144" t="s">
        <v>47476</v>
      </c>
      <c r="F7367" s="142" t="s">
        <v>3883</v>
      </c>
      <c r="G7367" s="142" t="s">
        <v>33344</v>
      </c>
      <c r="H7367" s="142"/>
      <c r="I7367" s="143"/>
      <c r="J7367" s="143" t="s">
        <v>47477</v>
      </c>
      <c r="K7367" s="143" t="s">
        <v>47478</v>
      </c>
      <c r="L7367" s="145" t="s">
        <v>47479</v>
      </c>
      <c r="M7367" s="143"/>
      <c r="N7367" s="12"/>
      <c r="O7367" s="12"/>
      <c r="P7367" s="13">
        <f>IFERROR(__xludf.DUMMYFUNCTION("VALUE(SUBSTITUTE((INDEX(SPLIT(A7367,"",""),1)),""."","","",1))"),55.784268)</f>
        <v>55.784268</v>
      </c>
      <c r="Q7367" s="13">
        <f>IFERROR(__xludf.DUMMYFUNCTION("VALUE(SUBSTITUTE((INDEX(SPLIT(A7367,"",""),2)),""."","","",1))"),37.634371)</f>
        <v>37.634371</v>
      </c>
      <c r="R7367" s="14" t="b">
        <f t="shared" si="1"/>
        <v>0</v>
      </c>
      <c r="S7367" s="14" t="str">
        <f t="shared" si="2"/>
        <v>55.784268,37.634371</v>
      </c>
      <c r="T7367" s="12"/>
    </row>
    <row r="7368">
      <c r="A7368" s="146" t="s">
        <v>47480</v>
      </c>
      <c r="B7368" s="147" t="s">
        <v>47481</v>
      </c>
      <c r="C7368" s="147" t="s">
        <v>47482</v>
      </c>
      <c r="D7368" s="147" t="s">
        <v>33342</v>
      </c>
      <c r="E7368" s="148" t="s">
        <v>47483</v>
      </c>
      <c r="F7368" s="146" t="s">
        <v>3883</v>
      </c>
      <c r="G7368" s="146" t="s">
        <v>33344</v>
      </c>
      <c r="H7368" s="146"/>
      <c r="I7368" s="147"/>
      <c r="J7368" s="147" t="s">
        <v>47484</v>
      </c>
      <c r="K7368" s="147" t="s">
        <v>47485</v>
      </c>
      <c r="L7368" s="150" t="s">
        <v>47486</v>
      </c>
      <c r="M7368" s="147"/>
      <c r="N7368" s="12"/>
      <c r="O7368" s="12"/>
      <c r="P7368" s="13">
        <f>IFERROR(__xludf.DUMMYFUNCTION("VALUE(SUBSTITUTE((INDEX(SPLIT(A7368,"",""),1)),""."","","",1))"),55.791749)</f>
        <v>55.791749</v>
      </c>
      <c r="Q7368" s="13">
        <f>IFERROR(__xludf.DUMMYFUNCTION("VALUE(SUBSTITUTE((INDEX(SPLIT(A7368,"",""),2)),""."","","",1))"),37.748619)</f>
        <v>37.748619</v>
      </c>
      <c r="R7368" s="14" t="b">
        <f t="shared" si="1"/>
        <v>0</v>
      </c>
      <c r="S7368" s="14" t="str">
        <f t="shared" si="2"/>
        <v>55.791749,37.748619</v>
      </c>
      <c r="T7368" s="12"/>
    </row>
    <row r="7369">
      <c r="A7369" s="142" t="s">
        <v>47487</v>
      </c>
      <c r="B7369" s="143" t="s">
        <v>47488</v>
      </c>
      <c r="C7369" s="143" t="s">
        <v>47489</v>
      </c>
      <c r="D7369" s="143" t="s">
        <v>33342</v>
      </c>
      <c r="E7369" s="144" t="s">
        <v>47490</v>
      </c>
      <c r="F7369" s="142" t="s">
        <v>3883</v>
      </c>
      <c r="G7369" s="142" t="s">
        <v>33344</v>
      </c>
      <c r="H7369" s="142"/>
      <c r="I7369" s="143"/>
      <c r="J7369" s="143" t="s">
        <v>47491</v>
      </c>
      <c r="K7369" s="143" t="s">
        <v>47492</v>
      </c>
      <c r="L7369" s="145" t="s">
        <v>47493</v>
      </c>
      <c r="M7369" s="143"/>
      <c r="N7369" s="12"/>
      <c r="O7369" s="12"/>
      <c r="P7369" s="13">
        <f>IFERROR(__xludf.DUMMYFUNCTION("VALUE(SUBSTITUTE((INDEX(SPLIT(A7369,"",""),1)),""."","","",1))"),55.733138)</f>
        <v>55.733138</v>
      </c>
      <c r="Q7369" s="13">
        <f>IFERROR(__xludf.DUMMYFUNCTION("VALUE(SUBSTITUTE((INDEX(SPLIT(A7369,"",""),2)),""."","","",1))"),37.464095)</f>
        <v>37.464095</v>
      </c>
      <c r="R7369" s="14" t="b">
        <f t="shared" si="1"/>
        <v>0</v>
      </c>
      <c r="S7369" s="14" t="str">
        <f t="shared" si="2"/>
        <v>55.733138,37.464095</v>
      </c>
      <c r="T7369" s="12"/>
    </row>
    <row r="7370">
      <c r="A7370" s="146" t="s">
        <v>47494</v>
      </c>
      <c r="B7370" s="147" t="s">
        <v>47495</v>
      </c>
      <c r="C7370" s="147" t="s">
        <v>47496</v>
      </c>
      <c r="D7370" s="147" t="s">
        <v>33342</v>
      </c>
      <c r="E7370" s="148" t="s">
        <v>47497</v>
      </c>
      <c r="F7370" s="146" t="s">
        <v>3883</v>
      </c>
      <c r="G7370" s="146" t="s">
        <v>33344</v>
      </c>
      <c r="H7370" s="146"/>
      <c r="I7370" s="147"/>
      <c r="J7370" s="147" t="s">
        <v>47498</v>
      </c>
      <c r="K7370" s="147" t="s">
        <v>47499</v>
      </c>
      <c r="L7370" s="149" t="s">
        <v>47500</v>
      </c>
      <c r="M7370" s="147"/>
      <c r="N7370" s="12"/>
      <c r="O7370" s="12"/>
      <c r="P7370" s="13">
        <f>IFERROR(__xludf.DUMMYFUNCTION("VALUE(SUBSTITUTE((INDEX(SPLIT(A7370,"",""),1)),""."","","",1))"),55.846396)</f>
        <v>55.846396</v>
      </c>
      <c r="Q7370" s="13">
        <f>IFERROR(__xludf.DUMMYFUNCTION("VALUE(SUBSTITUTE((INDEX(SPLIT(A7370,"",""),2)),""."","","",1))"),37.655544)</f>
        <v>37.655544</v>
      </c>
      <c r="R7370" s="14" t="b">
        <f t="shared" si="1"/>
        <v>0</v>
      </c>
      <c r="S7370" s="14" t="str">
        <f t="shared" si="2"/>
        <v>55.846396,37.655544</v>
      </c>
      <c r="T7370" s="12"/>
    </row>
    <row r="7371">
      <c r="A7371" s="136" t="s">
        <v>47501</v>
      </c>
      <c r="B7371" s="137" t="s">
        <v>14793</v>
      </c>
      <c r="C7371" s="137" t="s">
        <v>47502</v>
      </c>
      <c r="D7371" s="137" t="s">
        <v>33342</v>
      </c>
      <c r="E7371" s="138" t="s">
        <v>47503</v>
      </c>
      <c r="F7371" s="136" t="s">
        <v>3883</v>
      </c>
      <c r="G7371" s="136" t="s">
        <v>33344</v>
      </c>
      <c r="H7371" s="136"/>
      <c r="I7371" s="137"/>
      <c r="J7371" s="137" t="s">
        <v>47504</v>
      </c>
      <c r="K7371" s="137" t="s">
        <v>47505</v>
      </c>
      <c r="L7371" s="137"/>
      <c r="M7371" s="153" t="s">
        <v>47506</v>
      </c>
      <c r="N7371" s="12"/>
      <c r="O7371" s="12"/>
      <c r="P7371" s="13">
        <f>IFERROR(__xludf.DUMMYFUNCTION("VALUE(SUBSTITUTE((INDEX(SPLIT(A7371,"",""),1)),""."","","",1))"),55.684021)</f>
        <v>55.684021</v>
      </c>
      <c r="Q7371" s="13">
        <f>IFERROR(__xludf.DUMMYFUNCTION("VALUE(SUBSTITUTE((INDEX(SPLIT(A7371,"",""),2)),""."","","",1))"),37.656308)</f>
        <v>37.656308</v>
      </c>
      <c r="R7371" s="14" t="b">
        <f t="shared" si="1"/>
        <v>0</v>
      </c>
      <c r="S7371" s="14" t="str">
        <f t="shared" si="2"/>
        <v>55.684021,37.656308</v>
      </c>
      <c r="T7371" s="12"/>
    </row>
    <row r="7372">
      <c r="A7372" s="146" t="s">
        <v>47507</v>
      </c>
      <c r="B7372" s="147" t="s">
        <v>47508</v>
      </c>
      <c r="C7372" s="147" t="s">
        <v>47509</v>
      </c>
      <c r="D7372" s="147" t="s">
        <v>33342</v>
      </c>
      <c r="E7372" s="148" t="s">
        <v>47510</v>
      </c>
      <c r="F7372" s="146" t="s">
        <v>3883</v>
      </c>
      <c r="G7372" s="146" t="s">
        <v>33344</v>
      </c>
      <c r="H7372" s="146"/>
      <c r="I7372" s="147"/>
      <c r="J7372" s="147" t="s">
        <v>47511</v>
      </c>
      <c r="K7372" s="147" t="s">
        <v>47512</v>
      </c>
      <c r="L7372" s="150" t="s">
        <v>47513</v>
      </c>
      <c r="M7372" s="147"/>
      <c r="N7372" s="12"/>
      <c r="O7372" s="12"/>
      <c r="P7372" s="13">
        <f>IFERROR(__xludf.DUMMYFUNCTION("VALUE(SUBSTITUTE((INDEX(SPLIT(A7372,"",""),1)),""."","","",1))"),55.767868)</f>
        <v>55.767868</v>
      </c>
      <c r="Q7372" s="13">
        <f>IFERROR(__xludf.DUMMYFUNCTION("VALUE(SUBSTITUTE((INDEX(SPLIT(A7372,"",""),2)),""."","","",1))"),37.510448)</f>
        <v>37.510448</v>
      </c>
      <c r="R7372" s="14" t="b">
        <f t="shared" si="1"/>
        <v>0</v>
      </c>
      <c r="S7372" s="14" t="str">
        <f t="shared" si="2"/>
        <v>55.767868,37.510448</v>
      </c>
      <c r="T7372" s="12"/>
    </row>
    <row r="7373">
      <c r="A7373" s="136" t="s">
        <v>47514</v>
      </c>
      <c r="B7373" s="137" t="s">
        <v>47515</v>
      </c>
      <c r="C7373" s="137" t="s">
        <v>47516</v>
      </c>
      <c r="D7373" s="137" t="s">
        <v>33342</v>
      </c>
      <c r="E7373" s="138" t="s">
        <v>47517</v>
      </c>
      <c r="F7373" s="136" t="s">
        <v>3883</v>
      </c>
      <c r="G7373" s="136" t="s">
        <v>33344</v>
      </c>
      <c r="H7373" s="136"/>
      <c r="I7373" s="137"/>
      <c r="J7373" s="137" t="s">
        <v>47518</v>
      </c>
      <c r="K7373" s="137" t="s">
        <v>47519</v>
      </c>
      <c r="L7373" s="137"/>
      <c r="M7373" s="137"/>
      <c r="N7373" s="12"/>
      <c r="O7373" s="12"/>
      <c r="P7373" s="13">
        <f>IFERROR(__xludf.DUMMYFUNCTION("VALUE(SUBSTITUTE((INDEX(SPLIT(A7373,"",""),1)),""."","","",1))"),55.777383)</f>
        <v>55.777383</v>
      </c>
      <c r="Q7373" s="13">
        <f>IFERROR(__xludf.DUMMYFUNCTION("VALUE(SUBSTITUTE((INDEX(SPLIT(A7373,"",""),2)),""."","","",1))"),37.504456)</f>
        <v>37.504456</v>
      </c>
      <c r="R7373" s="14" t="b">
        <f t="shared" si="1"/>
        <v>0</v>
      </c>
      <c r="S7373" s="14" t="str">
        <f t="shared" si="2"/>
        <v>55.777383,37.504456</v>
      </c>
      <c r="T7373" s="12"/>
    </row>
    <row r="7374">
      <c r="A7374" s="139" t="s">
        <v>47520</v>
      </c>
      <c r="B7374" s="140" t="s">
        <v>47521</v>
      </c>
      <c r="C7374" s="140" t="s">
        <v>47522</v>
      </c>
      <c r="D7374" s="140" t="s">
        <v>33342</v>
      </c>
      <c r="E7374" s="141" t="s">
        <v>47523</v>
      </c>
      <c r="F7374" s="139" t="s">
        <v>3883</v>
      </c>
      <c r="G7374" s="139" t="s">
        <v>33344</v>
      </c>
      <c r="H7374" s="139"/>
      <c r="I7374" s="140"/>
      <c r="J7374" s="140" t="s">
        <v>47524</v>
      </c>
      <c r="K7374" s="140" t="s">
        <v>47525</v>
      </c>
      <c r="L7374" s="140"/>
      <c r="M7374" s="154" t="s">
        <v>47526</v>
      </c>
      <c r="N7374" s="12"/>
      <c r="O7374" s="12"/>
      <c r="P7374" s="13">
        <f>IFERROR(__xludf.DUMMYFUNCTION("VALUE(SUBSTITUTE((INDEX(SPLIT(A7374,"",""),1)),""."","","",1))"),55.790605)</f>
        <v>55.790605</v>
      </c>
      <c r="Q7374" s="13">
        <f>IFERROR(__xludf.DUMMYFUNCTION("VALUE(SUBSTITUTE((INDEX(SPLIT(A7374,"",""),2)),""."","","",1))"),37.382232)</f>
        <v>37.382232</v>
      </c>
      <c r="R7374" s="14" t="b">
        <f t="shared" si="1"/>
        <v>0</v>
      </c>
      <c r="S7374" s="14" t="str">
        <f t="shared" si="2"/>
        <v>55.790605,37.382232</v>
      </c>
      <c r="T7374" s="12"/>
    </row>
    <row r="7375">
      <c r="A7375" s="142" t="s">
        <v>47527</v>
      </c>
      <c r="B7375" s="143" t="s">
        <v>9707</v>
      </c>
      <c r="C7375" s="143" t="s">
        <v>9707</v>
      </c>
      <c r="D7375" s="143" t="s">
        <v>33342</v>
      </c>
      <c r="E7375" s="144" t="s">
        <v>47528</v>
      </c>
      <c r="F7375" s="142" t="s">
        <v>3883</v>
      </c>
      <c r="G7375" s="142" t="s">
        <v>33344</v>
      </c>
      <c r="H7375" s="142"/>
      <c r="I7375" s="143"/>
      <c r="J7375" s="143" t="s">
        <v>47529</v>
      </c>
      <c r="K7375" s="143" t="s">
        <v>34656</v>
      </c>
      <c r="L7375" s="145" t="s">
        <v>47530</v>
      </c>
      <c r="M7375" s="145" t="s">
        <v>47531</v>
      </c>
      <c r="N7375" s="12"/>
      <c r="O7375" s="12"/>
      <c r="P7375" s="13">
        <f>IFERROR(__xludf.DUMMYFUNCTION("VALUE(SUBSTITUTE((INDEX(SPLIT(A7375,"",""),1)),""."","","",1))"),55.773783)</f>
        <v>55.773783</v>
      </c>
      <c r="Q7375" s="13">
        <f>IFERROR(__xludf.DUMMYFUNCTION("VALUE(SUBSTITUTE((INDEX(SPLIT(A7375,"",""),2)),""."","","",1))"),37.506747)</f>
        <v>37.506747</v>
      </c>
      <c r="R7375" s="14" t="b">
        <f t="shared" si="1"/>
        <v>0</v>
      </c>
      <c r="S7375" s="14" t="str">
        <f t="shared" si="2"/>
        <v>55.773783,37.506747</v>
      </c>
      <c r="T7375" s="12"/>
    </row>
    <row r="7376">
      <c r="A7376" s="139" t="s">
        <v>47532</v>
      </c>
      <c r="B7376" s="140" t="s">
        <v>47533</v>
      </c>
      <c r="C7376" s="140" t="s">
        <v>47533</v>
      </c>
      <c r="D7376" s="140" t="s">
        <v>33342</v>
      </c>
      <c r="E7376" s="141" t="s">
        <v>47534</v>
      </c>
      <c r="F7376" s="139" t="s">
        <v>3883</v>
      </c>
      <c r="G7376" s="139" t="s">
        <v>33344</v>
      </c>
      <c r="H7376" s="139"/>
      <c r="I7376" s="140"/>
      <c r="J7376" s="140" t="s">
        <v>47535</v>
      </c>
      <c r="K7376" s="140" t="s">
        <v>47536</v>
      </c>
      <c r="L7376" s="140"/>
      <c r="M7376" s="154" t="s">
        <v>47537</v>
      </c>
      <c r="N7376" s="12"/>
      <c r="O7376" s="12"/>
      <c r="P7376" s="13">
        <f>IFERROR(__xludf.DUMMYFUNCTION("VALUE(SUBSTITUTE((INDEX(SPLIT(A7376,"",""),1)),""."","","",1))"),55.849383)</f>
        <v>55.849383</v>
      </c>
      <c r="Q7376" s="13">
        <f>IFERROR(__xludf.DUMMYFUNCTION("VALUE(SUBSTITUTE((INDEX(SPLIT(A7376,"",""),2)),""."","","",1))"),37.534451)</f>
        <v>37.534451</v>
      </c>
      <c r="R7376" s="14" t="b">
        <f t="shared" si="1"/>
        <v>0</v>
      </c>
      <c r="S7376" s="14" t="str">
        <f t="shared" si="2"/>
        <v>55.849383,37.534451</v>
      </c>
      <c r="T7376" s="12"/>
    </row>
    <row r="7377">
      <c r="A7377" s="142" t="s">
        <v>47538</v>
      </c>
      <c r="B7377" s="143" t="s">
        <v>47539</v>
      </c>
      <c r="C7377" s="143" t="s">
        <v>47540</v>
      </c>
      <c r="D7377" s="143" t="s">
        <v>33342</v>
      </c>
      <c r="E7377" s="144" t="s">
        <v>47541</v>
      </c>
      <c r="F7377" s="142" t="s">
        <v>3883</v>
      </c>
      <c r="G7377" s="142" t="s">
        <v>33344</v>
      </c>
      <c r="H7377" s="142"/>
      <c r="I7377" s="143"/>
      <c r="J7377" s="143" t="s">
        <v>47542</v>
      </c>
      <c r="K7377" s="143" t="s">
        <v>47543</v>
      </c>
      <c r="L7377" s="145" t="s">
        <v>47544</v>
      </c>
      <c r="M7377" s="143"/>
      <c r="N7377" s="12"/>
      <c r="O7377" s="12"/>
      <c r="P7377" s="13">
        <f>IFERROR(__xludf.DUMMYFUNCTION("VALUE(SUBSTITUTE((INDEX(SPLIT(A7377,"",""),1)),""."","","",1))"),55.788297)</f>
        <v>55.788297</v>
      </c>
      <c r="Q7377" s="13">
        <f>IFERROR(__xludf.DUMMYFUNCTION("VALUE(SUBSTITUTE((INDEX(SPLIT(A7377,"",""),2)),""."","","",1))"),37.454843)</f>
        <v>37.454843</v>
      </c>
      <c r="R7377" s="14" t="b">
        <f t="shared" si="1"/>
        <v>0</v>
      </c>
      <c r="S7377" s="14" t="str">
        <f t="shared" si="2"/>
        <v>55.788297,37.454843</v>
      </c>
      <c r="T7377" s="12"/>
    </row>
    <row r="7378">
      <c r="A7378" s="146" t="s">
        <v>47545</v>
      </c>
      <c r="B7378" s="147" t="s">
        <v>47546</v>
      </c>
      <c r="C7378" s="147" t="s">
        <v>47547</v>
      </c>
      <c r="D7378" s="147" t="s">
        <v>33342</v>
      </c>
      <c r="E7378" s="148" t="s">
        <v>47548</v>
      </c>
      <c r="F7378" s="146" t="s">
        <v>3883</v>
      </c>
      <c r="G7378" s="146" t="s">
        <v>33344</v>
      </c>
      <c r="H7378" s="146"/>
      <c r="I7378" s="147"/>
      <c r="J7378" s="147" t="s">
        <v>47549</v>
      </c>
      <c r="K7378" s="147" t="s">
        <v>47550</v>
      </c>
      <c r="L7378" s="149" t="s">
        <v>47551</v>
      </c>
      <c r="M7378" s="149" t="s">
        <v>47552</v>
      </c>
      <c r="N7378" s="12"/>
      <c r="O7378" s="12"/>
      <c r="P7378" s="13">
        <f>IFERROR(__xludf.DUMMYFUNCTION("VALUE(SUBSTITUTE((INDEX(SPLIT(A7378,"",""),1)),""."","","",1))"),55.869779)</f>
        <v>55.869779</v>
      </c>
      <c r="Q7378" s="13">
        <f>IFERROR(__xludf.DUMMYFUNCTION("VALUE(SUBSTITUTE((INDEX(SPLIT(A7378,"",""),2)),""."","","",1))"),37.462712)</f>
        <v>37.462712</v>
      </c>
      <c r="R7378" s="14" t="b">
        <f t="shared" si="1"/>
        <v>0</v>
      </c>
      <c r="S7378" s="14" t="str">
        <f t="shared" si="2"/>
        <v>55.869779,37.462712</v>
      </c>
      <c r="T7378" s="12"/>
    </row>
    <row r="7379">
      <c r="A7379" s="142" t="s">
        <v>47553</v>
      </c>
      <c r="B7379" s="143" t="s">
        <v>47554</v>
      </c>
      <c r="C7379" s="143" t="s">
        <v>47555</v>
      </c>
      <c r="D7379" s="143" t="s">
        <v>33342</v>
      </c>
      <c r="E7379" s="144" t="s">
        <v>47556</v>
      </c>
      <c r="F7379" s="142" t="s">
        <v>3883</v>
      </c>
      <c r="G7379" s="142" t="s">
        <v>33344</v>
      </c>
      <c r="H7379" s="142"/>
      <c r="I7379" s="143"/>
      <c r="J7379" s="143" t="s">
        <v>47557</v>
      </c>
      <c r="K7379" s="143" t="s">
        <v>47558</v>
      </c>
      <c r="L7379" s="145" t="s">
        <v>47559</v>
      </c>
      <c r="M7379" s="143"/>
      <c r="N7379" s="12"/>
      <c r="O7379" s="12"/>
      <c r="P7379" s="13">
        <f>IFERROR(__xludf.DUMMYFUNCTION("VALUE(SUBSTITUTE((INDEX(SPLIT(A7379,"",""),1)),""."","","",1))"),56.005214)</f>
        <v>56.005214</v>
      </c>
      <c r="Q7379" s="13">
        <f>IFERROR(__xludf.DUMMYFUNCTION("VALUE(SUBSTITUTE((INDEX(SPLIT(A7379,"",""),2)),""."","","",1))"),37.146154)</f>
        <v>37.146154</v>
      </c>
      <c r="R7379" s="14" t="b">
        <f t="shared" si="1"/>
        <v>0</v>
      </c>
      <c r="S7379" s="14" t="str">
        <f t="shared" si="2"/>
        <v>56.005214,37.146154</v>
      </c>
      <c r="T7379" s="12"/>
    </row>
    <row r="7380">
      <c r="A7380" s="146" t="s">
        <v>47560</v>
      </c>
      <c r="B7380" s="147" t="s">
        <v>47561</v>
      </c>
      <c r="C7380" s="147" t="s">
        <v>47562</v>
      </c>
      <c r="D7380" s="147" t="s">
        <v>33342</v>
      </c>
      <c r="E7380" s="148" t="s">
        <v>47563</v>
      </c>
      <c r="F7380" s="146" t="s">
        <v>3883</v>
      </c>
      <c r="G7380" s="146" t="s">
        <v>33344</v>
      </c>
      <c r="H7380" s="146"/>
      <c r="I7380" s="147"/>
      <c r="J7380" s="147" t="s">
        <v>47564</v>
      </c>
      <c r="K7380" s="147" t="s">
        <v>47565</v>
      </c>
      <c r="L7380" s="149" t="s">
        <v>47566</v>
      </c>
      <c r="M7380" s="147"/>
      <c r="N7380" s="12"/>
      <c r="O7380" s="12"/>
      <c r="P7380" s="13">
        <f>IFERROR(__xludf.DUMMYFUNCTION("VALUE(SUBSTITUTE((INDEX(SPLIT(A7380,"",""),1)),""."","","",1))"),55.743634)</f>
        <v>55.743634</v>
      </c>
      <c r="Q7380" s="13">
        <f>IFERROR(__xludf.DUMMYFUNCTION("VALUE(SUBSTITUTE((INDEX(SPLIT(A7380,"",""),2)),""."","","",1))"),37.640488)</f>
        <v>37.640488</v>
      </c>
      <c r="R7380" s="14" t="b">
        <f t="shared" si="1"/>
        <v>0</v>
      </c>
      <c r="S7380" s="14" t="str">
        <f t="shared" si="2"/>
        <v>55.743634,37.640488</v>
      </c>
      <c r="T7380" s="12"/>
    </row>
    <row r="7381">
      <c r="A7381" s="136" t="s">
        <v>47567</v>
      </c>
      <c r="B7381" s="137" t="s">
        <v>11657</v>
      </c>
      <c r="C7381" s="137" t="s">
        <v>47568</v>
      </c>
      <c r="D7381" s="137" t="s">
        <v>33342</v>
      </c>
      <c r="E7381" s="138" t="s">
        <v>47569</v>
      </c>
      <c r="F7381" s="136" t="s">
        <v>3883</v>
      </c>
      <c r="G7381" s="136" t="s">
        <v>33344</v>
      </c>
      <c r="H7381" s="136"/>
      <c r="I7381" s="137"/>
      <c r="J7381" s="137" t="s">
        <v>47570</v>
      </c>
      <c r="K7381" s="137" t="s">
        <v>47571</v>
      </c>
      <c r="L7381" s="137"/>
      <c r="M7381" s="137"/>
      <c r="N7381" s="12"/>
      <c r="O7381" s="12"/>
      <c r="P7381" s="13">
        <f>IFERROR(__xludf.DUMMYFUNCTION("VALUE(SUBSTITUTE((INDEX(SPLIT(A7381,"",""),1)),""."","","",1))"),55.991037)</f>
        <v>55.991037</v>
      </c>
      <c r="Q7381" s="13">
        <f>IFERROR(__xludf.DUMMYFUNCTION("VALUE(SUBSTITUTE((INDEX(SPLIT(A7381,"",""),2)),""."","","",1))"),37.217247)</f>
        <v>37.217247</v>
      </c>
      <c r="R7381" s="14" t="b">
        <f t="shared" si="1"/>
        <v>0</v>
      </c>
      <c r="S7381" s="14" t="str">
        <f t="shared" si="2"/>
        <v>55.991037,37.217247</v>
      </c>
      <c r="T7381" s="12"/>
    </row>
    <row r="7382">
      <c r="A7382" s="139" t="s">
        <v>47572</v>
      </c>
      <c r="B7382" s="140" t="s">
        <v>34648</v>
      </c>
      <c r="C7382" s="140" t="s">
        <v>34649</v>
      </c>
      <c r="D7382" s="140" t="s">
        <v>33342</v>
      </c>
      <c r="E7382" s="141" t="s">
        <v>47573</v>
      </c>
      <c r="F7382" s="139" t="s">
        <v>3883</v>
      </c>
      <c r="G7382" s="139" t="s">
        <v>33344</v>
      </c>
      <c r="H7382" s="139"/>
      <c r="I7382" s="140"/>
      <c r="J7382" s="140" t="s">
        <v>47574</v>
      </c>
      <c r="K7382" s="140" t="s">
        <v>47575</v>
      </c>
      <c r="L7382" s="140"/>
      <c r="M7382" s="140"/>
      <c r="N7382" s="12"/>
      <c r="O7382" s="12"/>
      <c r="P7382" s="13">
        <f>IFERROR(__xludf.DUMMYFUNCTION("VALUE(SUBSTITUTE((INDEX(SPLIT(A7382,"",""),1)),""."","","",1))"),55.743659)</f>
        <v>55.743659</v>
      </c>
      <c r="Q7382" s="13">
        <f>IFERROR(__xludf.DUMMYFUNCTION("VALUE(SUBSTITUTE((INDEX(SPLIT(A7382,"",""),2)),""."","","",1))"),37.539895)</f>
        <v>37.539895</v>
      </c>
      <c r="R7382" s="14" t="b">
        <f t="shared" si="1"/>
        <v>0</v>
      </c>
      <c r="S7382" s="14" t="str">
        <f t="shared" si="2"/>
        <v>55.743659,37.539895</v>
      </c>
      <c r="T7382" s="12"/>
    </row>
    <row r="7383">
      <c r="A7383" s="136" t="s">
        <v>47576</v>
      </c>
      <c r="B7383" s="137" t="s">
        <v>47577</v>
      </c>
      <c r="C7383" s="137" t="s">
        <v>47578</v>
      </c>
      <c r="D7383" s="137" t="s">
        <v>33342</v>
      </c>
      <c r="E7383" s="138" t="s">
        <v>47579</v>
      </c>
      <c r="F7383" s="136" t="s">
        <v>3883</v>
      </c>
      <c r="G7383" s="136" t="s">
        <v>33344</v>
      </c>
      <c r="H7383" s="136"/>
      <c r="I7383" s="137"/>
      <c r="J7383" s="137" t="s">
        <v>47580</v>
      </c>
      <c r="K7383" s="137" t="s">
        <v>47581</v>
      </c>
      <c r="L7383" s="137"/>
      <c r="M7383" s="153" t="s">
        <v>47315</v>
      </c>
      <c r="N7383" s="12"/>
      <c r="O7383" s="12"/>
      <c r="P7383" s="13">
        <f>IFERROR(__xludf.DUMMYFUNCTION("VALUE(SUBSTITUTE((INDEX(SPLIT(A7383,"",""),1)),""."","","",1))"),55.679082)</f>
        <v>55.679082</v>
      </c>
      <c r="Q7383" s="13">
        <f>IFERROR(__xludf.DUMMYFUNCTION("VALUE(SUBSTITUTE((INDEX(SPLIT(A7383,"",""),2)),""."","","",1))"),37.527058)</f>
        <v>37.527058</v>
      </c>
      <c r="R7383" s="14" t="b">
        <f t="shared" si="1"/>
        <v>0</v>
      </c>
      <c r="S7383" s="14" t="str">
        <f t="shared" si="2"/>
        <v>55.679082,37.527058</v>
      </c>
      <c r="T7383" s="12"/>
    </row>
    <row r="7384">
      <c r="A7384" s="139" t="s">
        <v>47582</v>
      </c>
      <c r="B7384" s="140" t="s">
        <v>47583</v>
      </c>
      <c r="C7384" s="140" t="s">
        <v>47584</v>
      </c>
      <c r="D7384" s="140" t="s">
        <v>33342</v>
      </c>
      <c r="E7384" s="141" t="s">
        <v>47585</v>
      </c>
      <c r="F7384" s="139" t="s">
        <v>3883</v>
      </c>
      <c r="G7384" s="139" t="s">
        <v>33344</v>
      </c>
      <c r="H7384" s="139"/>
      <c r="I7384" s="140"/>
      <c r="J7384" s="140" t="s">
        <v>47586</v>
      </c>
      <c r="K7384" s="140" t="s">
        <v>47587</v>
      </c>
      <c r="L7384" s="140"/>
      <c r="M7384" s="140"/>
      <c r="N7384" s="12"/>
      <c r="O7384" s="12"/>
      <c r="P7384" s="13">
        <f>IFERROR(__xludf.DUMMYFUNCTION("VALUE(SUBSTITUTE((INDEX(SPLIT(A7384,"",""),1)),""."","","",1))"),55.66866)</f>
        <v>55.66866</v>
      </c>
      <c r="Q7384" s="13">
        <f>IFERROR(__xludf.DUMMYFUNCTION("VALUE(SUBSTITUTE((INDEX(SPLIT(A7384,"",""),2)),""."","","",1))"),37.537523)</f>
        <v>37.537523</v>
      </c>
      <c r="R7384" s="14" t="b">
        <f t="shared" si="1"/>
        <v>0</v>
      </c>
      <c r="S7384" s="14" t="str">
        <f t="shared" si="2"/>
        <v>55.66866,37.537523</v>
      </c>
      <c r="T7384" s="12"/>
    </row>
    <row r="7385">
      <c r="A7385" s="136" t="s">
        <v>47588</v>
      </c>
      <c r="B7385" s="137" t="s">
        <v>47589</v>
      </c>
      <c r="C7385" s="137" t="s">
        <v>47590</v>
      </c>
      <c r="D7385" s="137" t="s">
        <v>33342</v>
      </c>
      <c r="E7385" s="138" t="s">
        <v>47591</v>
      </c>
      <c r="F7385" s="136" t="s">
        <v>3883</v>
      </c>
      <c r="G7385" s="136" t="s">
        <v>33344</v>
      </c>
      <c r="H7385" s="136"/>
      <c r="I7385" s="137"/>
      <c r="J7385" s="137" t="s">
        <v>47592</v>
      </c>
      <c r="K7385" s="137" t="s">
        <v>47593</v>
      </c>
      <c r="L7385" s="137"/>
      <c r="M7385" s="137"/>
      <c r="N7385" s="12"/>
      <c r="O7385" s="12"/>
      <c r="P7385" s="13">
        <f>IFERROR(__xludf.DUMMYFUNCTION("VALUE(SUBSTITUTE((INDEX(SPLIT(A7385,"",""),1)),""."","","",1))"),55.681712)</f>
        <v>55.681712</v>
      </c>
      <c r="Q7385" s="13">
        <f>IFERROR(__xludf.DUMMYFUNCTION("VALUE(SUBSTITUTE((INDEX(SPLIT(A7385,"",""),2)),""."","","",1))"),37.516449)</f>
        <v>37.516449</v>
      </c>
      <c r="R7385" s="14" t="b">
        <f t="shared" si="1"/>
        <v>0</v>
      </c>
      <c r="S7385" s="14" t="str">
        <f t="shared" si="2"/>
        <v>55.681712,37.516449</v>
      </c>
      <c r="T7385" s="12"/>
    </row>
    <row r="7386">
      <c r="A7386" s="139" t="s">
        <v>47594</v>
      </c>
      <c r="B7386" s="140" t="s">
        <v>47595</v>
      </c>
      <c r="C7386" s="140" t="s">
        <v>47596</v>
      </c>
      <c r="D7386" s="140" t="s">
        <v>33342</v>
      </c>
      <c r="E7386" s="141" t="s">
        <v>47597</v>
      </c>
      <c r="F7386" s="139" t="s">
        <v>3883</v>
      </c>
      <c r="G7386" s="139" t="s">
        <v>33344</v>
      </c>
      <c r="H7386" s="139"/>
      <c r="I7386" s="140"/>
      <c r="J7386" s="140" t="s">
        <v>47598</v>
      </c>
      <c r="K7386" s="140" t="s">
        <v>47599</v>
      </c>
      <c r="L7386" s="140"/>
      <c r="M7386" s="140"/>
      <c r="N7386" s="12"/>
      <c r="O7386" s="12"/>
      <c r="P7386" s="13">
        <f>IFERROR(__xludf.DUMMYFUNCTION("VALUE(SUBSTITUTE((INDEX(SPLIT(A7386,"",""),1)),""."","","",1))"),55.85099)</f>
        <v>55.85099</v>
      </c>
      <c r="Q7386" s="13">
        <f>IFERROR(__xludf.DUMMYFUNCTION("VALUE(SUBSTITUTE((INDEX(SPLIT(A7386,"",""),2)),""."","","",1))"),37.530382)</f>
        <v>37.530382</v>
      </c>
      <c r="R7386" s="14" t="b">
        <f t="shared" si="1"/>
        <v>0</v>
      </c>
      <c r="S7386" s="14" t="str">
        <f t="shared" si="2"/>
        <v>55.85099,37.530382</v>
      </c>
      <c r="T7386" s="12"/>
    </row>
    <row r="7387">
      <c r="A7387" s="142" t="s">
        <v>47600</v>
      </c>
      <c r="B7387" s="143" t="s">
        <v>47601</v>
      </c>
      <c r="C7387" s="143" t="s">
        <v>47602</v>
      </c>
      <c r="D7387" s="143" t="s">
        <v>33342</v>
      </c>
      <c r="E7387" s="144" t="s">
        <v>47603</v>
      </c>
      <c r="F7387" s="142" t="s">
        <v>3883</v>
      </c>
      <c r="G7387" s="142" t="s">
        <v>33344</v>
      </c>
      <c r="H7387" s="142"/>
      <c r="I7387" s="143"/>
      <c r="J7387" s="143" t="s">
        <v>47604</v>
      </c>
      <c r="K7387" s="143" t="s">
        <v>47605</v>
      </c>
      <c r="L7387" s="145" t="s">
        <v>47606</v>
      </c>
      <c r="M7387" s="143"/>
      <c r="N7387" s="12"/>
      <c r="O7387" s="12"/>
      <c r="P7387" s="13">
        <f>IFERROR(__xludf.DUMMYFUNCTION("VALUE(SUBSTITUTE((INDEX(SPLIT(A7387,"",""),1)),""."","","",1))"),55.869981)</f>
        <v>55.869981</v>
      </c>
      <c r="Q7387" s="13">
        <f>IFERROR(__xludf.DUMMYFUNCTION("VALUE(SUBSTITUTE((INDEX(SPLIT(A7387,"",""),2)),""."","","",1))"),37.489086)</f>
        <v>37.489086</v>
      </c>
      <c r="R7387" s="14" t="b">
        <f t="shared" si="1"/>
        <v>0</v>
      </c>
      <c r="S7387" s="14" t="str">
        <f t="shared" si="2"/>
        <v>55.869981,37.489086</v>
      </c>
      <c r="T7387" s="12"/>
    </row>
    <row r="7388">
      <c r="A7388" s="146" t="s">
        <v>47607</v>
      </c>
      <c r="B7388" s="147" t="s">
        <v>47608</v>
      </c>
      <c r="C7388" s="147" t="s">
        <v>47609</v>
      </c>
      <c r="D7388" s="147" t="s">
        <v>33342</v>
      </c>
      <c r="E7388" s="148" t="s">
        <v>47610</v>
      </c>
      <c r="F7388" s="146" t="s">
        <v>3883</v>
      </c>
      <c r="G7388" s="146" t="s">
        <v>33344</v>
      </c>
      <c r="H7388" s="146"/>
      <c r="I7388" s="147"/>
      <c r="J7388" s="147" t="s">
        <v>47611</v>
      </c>
      <c r="K7388" s="147" t="s">
        <v>47612</v>
      </c>
      <c r="L7388" s="149" t="s">
        <v>47613</v>
      </c>
      <c r="M7388" s="147"/>
      <c r="N7388" s="12"/>
      <c r="O7388" s="12"/>
      <c r="P7388" s="13">
        <f>IFERROR(__xludf.DUMMYFUNCTION("VALUE(SUBSTITUTE((INDEX(SPLIT(A7388,"",""),1)),""."","","",1))"),55.713821)</f>
        <v>55.713821</v>
      </c>
      <c r="Q7388" s="13">
        <f>IFERROR(__xludf.DUMMYFUNCTION("VALUE(SUBSTITUTE((INDEX(SPLIT(A7388,"",""),2)),""."","","",1))"),37.663521)</f>
        <v>37.663521</v>
      </c>
      <c r="R7388" s="14" t="b">
        <f t="shared" si="1"/>
        <v>0</v>
      </c>
      <c r="S7388" s="14" t="str">
        <f t="shared" si="2"/>
        <v>55.713821,37.663521</v>
      </c>
      <c r="T7388" s="12"/>
    </row>
    <row r="7389">
      <c r="A7389" s="142" t="s">
        <v>9521</v>
      </c>
      <c r="B7389" s="143" t="s">
        <v>47614</v>
      </c>
      <c r="C7389" s="143" t="s">
        <v>47615</v>
      </c>
      <c r="D7389" s="143" t="s">
        <v>33342</v>
      </c>
      <c r="E7389" s="144" t="s">
        <v>47616</v>
      </c>
      <c r="F7389" s="142" t="s">
        <v>3883</v>
      </c>
      <c r="G7389" s="142" t="s">
        <v>33344</v>
      </c>
      <c r="H7389" s="142"/>
      <c r="I7389" s="155" t="s">
        <v>47617</v>
      </c>
      <c r="J7389" s="143" t="s">
        <v>47618</v>
      </c>
      <c r="K7389" s="143" t="s">
        <v>47619</v>
      </c>
      <c r="L7389" s="145" t="s">
        <v>47620</v>
      </c>
      <c r="M7389" s="143"/>
      <c r="N7389" s="12"/>
      <c r="O7389" s="12"/>
      <c r="P7389" s="13">
        <f>IFERROR(__xludf.DUMMYFUNCTION("VALUE(SUBSTITUTE((INDEX(SPLIT(A7389,"",""),1)),""."","","",1))"),55.83566)</f>
        <v>55.83566</v>
      </c>
      <c r="Q7389" s="13">
        <f>IFERROR(__xludf.DUMMYFUNCTION("VALUE(SUBSTITUTE((INDEX(SPLIT(A7389,"",""),2)),""."","","",1))"),37.490497)</f>
        <v>37.490497</v>
      </c>
      <c r="R7389" s="14" t="b">
        <f t="shared" si="1"/>
        <v>0</v>
      </c>
      <c r="S7389" s="14" t="str">
        <f t="shared" si="2"/>
        <v>55.83566,37.490497</v>
      </c>
      <c r="T7389" s="12"/>
    </row>
    <row r="7390">
      <c r="A7390" s="139" t="s">
        <v>47621</v>
      </c>
      <c r="B7390" s="140" t="s">
        <v>47622</v>
      </c>
      <c r="C7390" s="140" t="s">
        <v>47623</v>
      </c>
      <c r="D7390" s="140" t="s">
        <v>33342</v>
      </c>
      <c r="E7390" s="141" t="s">
        <v>47624</v>
      </c>
      <c r="F7390" s="139" t="s">
        <v>3883</v>
      </c>
      <c r="G7390" s="139" t="s">
        <v>33344</v>
      </c>
      <c r="H7390" s="139"/>
      <c r="I7390" s="140"/>
      <c r="J7390" s="140" t="s">
        <v>47625</v>
      </c>
      <c r="K7390" s="140" t="s">
        <v>47626</v>
      </c>
      <c r="L7390" s="140"/>
      <c r="M7390" s="140"/>
      <c r="N7390" s="12"/>
      <c r="O7390" s="12"/>
      <c r="P7390" s="13">
        <f>IFERROR(__xludf.DUMMYFUNCTION("VALUE(SUBSTITUTE((INDEX(SPLIT(A7390,"",""),1)),""."","","",1))"),55.845481)</f>
        <v>55.845481</v>
      </c>
      <c r="Q7390" s="13">
        <f>IFERROR(__xludf.DUMMYFUNCTION("VALUE(SUBSTITUTE((INDEX(SPLIT(A7390,"",""),2)),""."","","",1))"),37.530535)</f>
        <v>37.530535</v>
      </c>
      <c r="R7390" s="14" t="b">
        <f t="shared" si="1"/>
        <v>0</v>
      </c>
      <c r="S7390" s="14" t="str">
        <f t="shared" si="2"/>
        <v>55.845481,37.530535</v>
      </c>
      <c r="T7390" s="12"/>
    </row>
    <row r="7391">
      <c r="A7391" s="136" t="s">
        <v>37843</v>
      </c>
      <c r="B7391" s="137" t="s">
        <v>47627</v>
      </c>
      <c r="C7391" s="137" t="s">
        <v>47628</v>
      </c>
      <c r="D7391" s="137" t="s">
        <v>33342</v>
      </c>
      <c r="E7391" s="138" t="s">
        <v>47629</v>
      </c>
      <c r="F7391" s="136" t="s">
        <v>3883</v>
      </c>
      <c r="G7391" s="136" t="s">
        <v>33344</v>
      </c>
      <c r="H7391" s="136"/>
      <c r="I7391" s="137"/>
      <c r="J7391" s="137" t="s">
        <v>47630</v>
      </c>
      <c r="K7391" s="137" t="s">
        <v>47631</v>
      </c>
      <c r="L7391" s="137"/>
      <c r="M7391" s="137"/>
      <c r="N7391" s="12"/>
      <c r="O7391" s="12"/>
      <c r="P7391" s="13">
        <f>IFERROR(__xludf.DUMMYFUNCTION("VALUE(SUBSTITUTE((INDEX(SPLIT(A7391,"",""),1)),""."","","",1))"),55.769403)</f>
        <v>55.769403</v>
      </c>
      <c r="Q7391" s="13">
        <f>IFERROR(__xludf.DUMMYFUNCTION("VALUE(SUBSTITUTE((INDEX(SPLIT(A7391,"",""),2)),""."","","",1))"),37.507897)</f>
        <v>37.507897</v>
      </c>
      <c r="R7391" s="14" t="b">
        <f t="shared" si="1"/>
        <v>0</v>
      </c>
      <c r="S7391" s="14" t="str">
        <f t="shared" si="2"/>
        <v>55.769403,37.507897</v>
      </c>
      <c r="T7391" s="12"/>
    </row>
    <row r="7392">
      <c r="A7392" s="146" t="s">
        <v>41841</v>
      </c>
      <c r="B7392" s="147" t="s">
        <v>47632</v>
      </c>
      <c r="C7392" s="147" t="s">
        <v>47633</v>
      </c>
      <c r="D7392" s="147" t="s">
        <v>33342</v>
      </c>
      <c r="E7392" s="148" t="s">
        <v>47634</v>
      </c>
      <c r="F7392" s="146" t="s">
        <v>3883</v>
      </c>
      <c r="G7392" s="146" t="s">
        <v>33344</v>
      </c>
      <c r="H7392" s="146"/>
      <c r="I7392" s="147"/>
      <c r="J7392" s="147" t="s">
        <v>47635</v>
      </c>
      <c r="K7392" s="147" t="s">
        <v>47636</v>
      </c>
      <c r="L7392" s="149" t="s">
        <v>47637</v>
      </c>
      <c r="M7392" s="149" t="s">
        <v>47638</v>
      </c>
      <c r="N7392" s="12"/>
      <c r="O7392" s="12"/>
      <c r="P7392" s="13">
        <f>IFERROR(__xludf.DUMMYFUNCTION("VALUE(SUBSTITUTE((INDEX(SPLIT(A7392,"",""),1)),""."","","",1))"),51.721563)</f>
        <v>51.721563</v>
      </c>
      <c r="Q7392" s="13">
        <f>IFERROR(__xludf.DUMMYFUNCTION("VALUE(SUBSTITUTE((INDEX(SPLIT(A7392,"",""),2)),""."","","",1))"),36.132963)</f>
        <v>36.132963</v>
      </c>
      <c r="R7392" s="14" t="b">
        <f t="shared" si="1"/>
        <v>0</v>
      </c>
      <c r="S7392" s="14" t="str">
        <f t="shared" si="2"/>
        <v>51.721563,36.132963</v>
      </c>
      <c r="T7392" s="12"/>
    </row>
    <row r="7393">
      <c r="A7393" s="136" t="s">
        <v>47639</v>
      </c>
      <c r="B7393" s="137" t="s">
        <v>47640</v>
      </c>
      <c r="C7393" s="137" t="s">
        <v>47641</v>
      </c>
      <c r="D7393" s="137" t="s">
        <v>33342</v>
      </c>
      <c r="E7393" s="138" t="s">
        <v>47642</v>
      </c>
      <c r="F7393" s="136" t="s">
        <v>3883</v>
      </c>
      <c r="G7393" s="136" t="s">
        <v>33344</v>
      </c>
      <c r="H7393" s="136"/>
      <c r="I7393" s="137"/>
      <c r="J7393" s="137" t="s">
        <v>47643</v>
      </c>
      <c r="K7393" s="137" t="s">
        <v>47644</v>
      </c>
      <c r="L7393" s="137"/>
      <c r="M7393" s="153" t="s">
        <v>47645</v>
      </c>
      <c r="N7393" s="12"/>
      <c r="O7393" s="12"/>
      <c r="P7393" s="13">
        <f>IFERROR(__xludf.DUMMYFUNCTION("VALUE(SUBSTITUTE((INDEX(SPLIT(A7393,"",""),1)),""."","","",1))"),55.810648)</f>
        <v>55.810648</v>
      </c>
      <c r="Q7393" s="13">
        <f>IFERROR(__xludf.DUMMYFUNCTION("VALUE(SUBSTITUTE((INDEX(SPLIT(A7393,"",""),2)),""."","","",1))"),37.509164)</f>
        <v>37.509164</v>
      </c>
      <c r="R7393" s="14" t="b">
        <f t="shared" si="1"/>
        <v>0</v>
      </c>
      <c r="S7393" s="14" t="str">
        <f t="shared" si="2"/>
        <v>55.810648,37.509164</v>
      </c>
      <c r="T7393" s="12"/>
    </row>
    <row r="7394">
      <c r="A7394" s="139" t="s">
        <v>47646</v>
      </c>
      <c r="B7394" s="140" t="s">
        <v>47647</v>
      </c>
      <c r="C7394" s="140" t="s">
        <v>47648</v>
      </c>
      <c r="D7394" s="140" t="s">
        <v>33342</v>
      </c>
      <c r="E7394" s="141" t="s">
        <v>47649</v>
      </c>
      <c r="F7394" s="139" t="s">
        <v>3883</v>
      </c>
      <c r="G7394" s="139" t="s">
        <v>33344</v>
      </c>
      <c r="H7394" s="139"/>
      <c r="I7394" s="140"/>
      <c r="J7394" s="140" t="s">
        <v>47650</v>
      </c>
      <c r="K7394" s="140" t="s">
        <v>47651</v>
      </c>
      <c r="L7394" s="140"/>
      <c r="M7394" s="154" t="s">
        <v>47652</v>
      </c>
      <c r="N7394" s="12"/>
      <c r="O7394" s="12"/>
      <c r="P7394" s="13">
        <f>IFERROR(__xludf.DUMMYFUNCTION("VALUE(SUBSTITUTE((INDEX(SPLIT(A7394,"",""),1)),""."","","",1))"),55.519646)</f>
        <v>55.519646</v>
      </c>
      <c r="Q7394" s="13">
        <f>IFERROR(__xludf.DUMMYFUNCTION("VALUE(SUBSTITUTE((INDEX(SPLIT(A7394,"",""),2)),""."","","",1))"),37.449749)</f>
        <v>37.449749</v>
      </c>
      <c r="R7394" s="14" t="b">
        <f t="shared" si="1"/>
        <v>0</v>
      </c>
      <c r="S7394" s="14" t="str">
        <f t="shared" si="2"/>
        <v>55.519646,37.449749</v>
      </c>
      <c r="T7394" s="12"/>
    </row>
    <row r="7395">
      <c r="A7395" s="142" t="s">
        <v>47653</v>
      </c>
      <c r="B7395" s="143" t="s">
        <v>47654</v>
      </c>
      <c r="C7395" s="143" t="s">
        <v>47655</v>
      </c>
      <c r="D7395" s="143" t="s">
        <v>33342</v>
      </c>
      <c r="E7395" s="144" t="s">
        <v>47656</v>
      </c>
      <c r="F7395" s="142" t="s">
        <v>3883</v>
      </c>
      <c r="G7395" s="142" t="s">
        <v>33344</v>
      </c>
      <c r="H7395" s="142"/>
      <c r="I7395" s="155" t="s">
        <v>47657</v>
      </c>
      <c r="J7395" s="143" t="s">
        <v>47658</v>
      </c>
      <c r="K7395" s="143" t="s">
        <v>47659</v>
      </c>
      <c r="L7395" s="145" t="s">
        <v>47660</v>
      </c>
      <c r="M7395" s="145" t="s">
        <v>47661</v>
      </c>
      <c r="N7395" s="12"/>
      <c r="O7395" s="12"/>
      <c r="P7395" s="13">
        <f>IFERROR(__xludf.DUMMYFUNCTION("VALUE(SUBSTITUTE((INDEX(SPLIT(A7395,"",""),1)),""."","","",1))"),55.68803)</f>
        <v>55.68803</v>
      </c>
      <c r="Q7395" s="13">
        <f>IFERROR(__xludf.DUMMYFUNCTION("VALUE(SUBSTITUTE((INDEX(SPLIT(A7395,"",""),2)),""."","","",1))"),37.596543)</f>
        <v>37.596543</v>
      </c>
      <c r="R7395" s="14" t="b">
        <f t="shared" si="1"/>
        <v>0</v>
      </c>
      <c r="S7395" s="14" t="str">
        <f t="shared" si="2"/>
        <v>55.68803,37.596543</v>
      </c>
      <c r="T7395" s="12"/>
    </row>
    <row r="7396">
      <c r="A7396" s="146" t="s">
        <v>47662</v>
      </c>
      <c r="B7396" s="147" t="s">
        <v>47663</v>
      </c>
      <c r="C7396" s="147" t="s">
        <v>47664</v>
      </c>
      <c r="D7396" s="147" t="s">
        <v>33342</v>
      </c>
      <c r="E7396" s="148" t="s">
        <v>47665</v>
      </c>
      <c r="F7396" s="146" t="s">
        <v>3883</v>
      </c>
      <c r="G7396" s="146" t="s">
        <v>33344</v>
      </c>
      <c r="H7396" s="146"/>
      <c r="I7396" s="147"/>
      <c r="J7396" s="147" t="s">
        <v>47666</v>
      </c>
      <c r="K7396" s="147" t="s">
        <v>47667</v>
      </c>
      <c r="L7396" s="149" t="s">
        <v>47668</v>
      </c>
      <c r="M7396" s="147"/>
      <c r="N7396" s="12"/>
      <c r="O7396" s="12"/>
      <c r="P7396" s="13">
        <f>IFERROR(__xludf.DUMMYFUNCTION("VALUE(SUBSTITUTE((INDEX(SPLIT(A7396,"",""),1)),""."","","",1))"),55.900658)</f>
        <v>55.900658</v>
      </c>
      <c r="Q7396" s="13">
        <f>IFERROR(__xludf.DUMMYFUNCTION("VALUE(SUBSTITUTE((INDEX(SPLIT(A7396,"",""),2)),""."","","",1))"),37.539644)</f>
        <v>37.539644</v>
      </c>
      <c r="R7396" s="14" t="b">
        <f t="shared" si="1"/>
        <v>0</v>
      </c>
      <c r="S7396" s="14" t="str">
        <f t="shared" si="2"/>
        <v>55.900658,37.539644</v>
      </c>
      <c r="T7396" s="12"/>
    </row>
    <row r="7397">
      <c r="A7397" s="142" t="s">
        <v>47669</v>
      </c>
      <c r="B7397" s="143" t="s">
        <v>47670</v>
      </c>
      <c r="C7397" s="143" t="s">
        <v>47671</v>
      </c>
      <c r="D7397" s="143" t="s">
        <v>33342</v>
      </c>
      <c r="E7397" s="144" t="s">
        <v>47672</v>
      </c>
      <c r="F7397" s="142" t="s">
        <v>3883</v>
      </c>
      <c r="G7397" s="142" t="s">
        <v>33344</v>
      </c>
      <c r="H7397" s="142"/>
      <c r="I7397" s="143"/>
      <c r="J7397" s="143" t="s">
        <v>47673</v>
      </c>
      <c r="K7397" s="143" t="s">
        <v>47674</v>
      </c>
      <c r="L7397" s="145" t="s">
        <v>47675</v>
      </c>
      <c r="M7397" s="143"/>
      <c r="N7397" s="12"/>
      <c r="O7397" s="12"/>
      <c r="P7397" s="13">
        <f>IFERROR(__xludf.DUMMYFUNCTION("VALUE(SUBSTITUTE((INDEX(SPLIT(A7397,"",""),1)),""."","","",1))"),55.630594)</f>
        <v>55.630594</v>
      </c>
      <c r="Q7397" s="13">
        <f>IFERROR(__xludf.DUMMYFUNCTION("VALUE(SUBSTITUTE((INDEX(SPLIT(A7397,"",""),2)),""."","","",1))"),37.460727)</f>
        <v>37.460727</v>
      </c>
      <c r="R7397" s="14" t="b">
        <f t="shared" si="1"/>
        <v>0</v>
      </c>
      <c r="S7397" s="14" t="str">
        <f t="shared" si="2"/>
        <v>55.630594,37.460727</v>
      </c>
      <c r="T7397" s="12"/>
    </row>
    <row r="7398">
      <c r="A7398" s="139" t="s">
        <v>47676</v>
      </c>
      <c r="B7398" s="140" t="s">
        <v>47677</v>
      </c>
      <c r="C7398" s="140" t="s">
        <v>47678</v>
      </c>
      <c r="D7398" s="140" t="s">
        <v>33342</v>
      </c>
      <c r="E7398" s="141" t="s">
        <v>47679</v>
      </c>
      <c r="F7398" s="139" t="s">
        <v>3883</v>
      </c>
      <c r="G7398" s="139" t="s">
        <v>33344</v>
      </c>
      <c r="H7398" s="139"/>
      <c r="I7398" s="140"/>
      <c r="J7398" s="140" t="s">
        <v>47680</v>
      </c>
      <c r="K7398" s="140" t="s">
        <v>47681</v>
      </c>
      <c r="L7398" s="140"/>
      <c r="M7398" s="140"/>
      <c r="N7398" s="12"/>
      <c r="O7398" s="12"/>
      <c r="P7398" s="13">
        <f>IFERROR(__xludf.DUMMYFUNCTION("VALUE(SUBSTITUTE((INDEX(SPLIT(A7398,"",""),1)),""."","","",1))"),55.728119)</f>
        <v>55.728119</v>
      </c>
      <c r="Q7398" s="13">
        <f>IFERROR(__xludf.DUMMYFUNCTION("VALUE(SUBSTITUTE((INDEX(SPLIT(A7398,"",""),2)),""."","","",1))"),37.687138)</f>
        <v>37.687138</v>
      </c>
      <c r="R7398" s="14" t="b">
        <f t="shared" si="1"/>
        <v>0</v>
      </c>
      <c r="S7398" s="14" t="str">
        <f t="shared" si="2"/>
        <v>55.728119,37.687138</v>
      </c>
      <c r="T7398" s="12"/>
    </row>
    <row r="7399">
      <c r="A7399" s="136" t="s">
        <v>47682</v>
      </c>
      <c r="B7399" s="137" t="s">
        <v>47683</v>
      </c>
      <c r="C7399" s="137" t="s">
        <v>47684</v>
      </c>
      <c r="D7399" s="137" t="s">
        <v>33342</v>
      </c>
      <c r="E7399" s="138" t="s">
        <v>47685</v>
      </c>
      <c r="F7399" s="136" t="s">
        <v>3883</v>
      </c>
      <c r="G7399" s="136" t="s">
        <v>33344</v>
      </c>
      <c r="H7399" s="136"/>
      <c r="I7399" s="137"/>
      <c r="J7399" s="137" t="s">
        <v>47686</v>
      </c>
      <c r="K7399" s="137" t="s">
        <v>47687</v>
      </c>
      <c r="L7399" s="137"/>
      <c r="M7399" s="137"/>
      <c r="N7399" s="12"/>
      <c r="O7399" s="12"/>
      <c r="P7399" s="13">
        <f>IFERROR(__xludf.DUMMYFUNCTION("VALUE(SUBSTITUTE((INDEX(SPLIT(A7399,"",""),1)),""."","","",1))"),55.476107)</f>
        <v>55.476107</v>
      </c>
      <c r="Q7399" s="13">
        <f>IFERROR(__xludf.DUMMYFUNCTION("VALUE(SUBSTITUTE((INDEX(SPLIT(A7399,"",""),2)),""."","","",1))"),37.316304)</f>
        <v>37.316304</v>
      </c>
      <c r="R7399" s="14" t="b">
        <f t="shared" si="1"/>
        <v>0</v>
      </c>
      <c r="S7399" s="14" t="str">
        <f t="shared" si="2"/>
        <v>55.476107,37.316304</v>
      </c>
      <c r="T7399" s="12"/>
    </row>
    <row r="7400">
      <c r="A7400" s="139" t="s">
        <v>47688</v>
      </c>
      <c r="B7400" s="140" t="s">
        <v>47689</v>
      </c>
      <c r="C7400" s="140" t="s">
        <v>47690</v>
      </c>
      <c r="D7400" s="140" t="s">
        <v>33342</v>
      </c>
      <c r="E7400" s="141" t="s">
        <v>47691</v>
      </c>
      <c r="F7400" s="139" t="s">
        <v>3883</v>
      </c>
      <c r="G7400" s="139" t="s">
        <v>33344</v>
      </c>
      <c r="H7400" s="139"/>
      <c r="I7400" s="140"/>
      <c r="J7400" s="140" t="s">
        <v>47692</v>
      </c>
      <c r="K7400" s="140" t="s">
        <v>47693</v>
      </c>
      <c r="L7400" s="140"/>
      <c r="M7400" s="140"/>
      <c r="N7400" s="12"/>
      <c r="O7400" s="12"/>
      <c r="P7400" s="13">
        <f>IFERROR(__xludf.DUMMYFUNCTION("VALUE(SUBSTITUTE((INDEX(SPLIT(A7400,"",""),1)),""."","","",1))"),55.48502)</f>
        <v>55.48502</v>
      </c>
      <c r="Q7400" s="13">
        <f>IFERROR(__xludf.DUMMYFUNCTION("VALUE(SUBSTITUTE((INDEX(SPLIT(A7400,"",""),2)),""."","","",1))"),37.496839)</f>
        <v>37.496839</v>
      </c>
      <c r="R7400" s="14" t="b">
        <f t="shared" si="1"/>
        <v>0</v>
      </c>
      <c r="S7400" s="14" t="str">
        <f t="shared" si="2"/>
        <v>55.48502,37.496839</v>
      </c>
      <c r="T7400" s="12"/>
    </row>
    <row r="7401">
      <c r="A7401" s="136" t="s">
        <v>47694</v>
      </c>
      <c r="B7401" s="137" t="s">
        <v>47695</v>
      </c>
      <c r="C7401" s="137" t="s">
        <v>47696</v>
      </c>
      <c r="D7401" s="137" t="s">
        <v>33342</v>
      </c>
      <c r="E7401" s="138" t="s">
        <v>47697</v>
      </c>
      <c r="F7401" s="136" t="s">
        <v>3883</v>
      </c>
      <c r="G7401" s="136" t="s">
        <v>33344</v>
      </c>
      <c r="H7401" s="136"/>
      <c r="I7401" s="137"/>
      <c r="J7401" s="137" t="s">
        <v>47698</v>
      </c>
      <c r="K7401" s="137" t="s">
        <v>47699</v>
      </c>
      <c r="L7401" s="137"/>
      <c r="M7401" s="137"/>
      <c r="N7401" s="12"/>
      <c r="O7401" s="12"/>
      <c r="P7401" s="13">
        <f>IFERROR(__xludf.DUMMYFUNCTION("VALUE(SUBSTITUTE((INDEX(SPLIT(A7401,"",""),1)),""."","","",1))"),55.549933)</f>
        <v>55.549933</v>
      </c>
      <c r="Q7401" s="13">
        <f>IFERROR(__xludf.DUMMYFUNCTION("VALUE(SUBSTITUTE((INDEX(SPLIT(A7401,"",""),2)),""."","","",1))"),37.321533)</f>
        <v>37.321533</v>
      </c>
      <c r="R7401" s="14" t="b">
        <f t="shared" si="1"/>
        <v>0</v>
      </c>
      <c r="S7401" s="14" t="str">
        <f t="shared" si="2"/>
        <v>55.549933,37.321533</v>
      </c>
      <c r="T7401" s="12"/>
    </row>
    <row r="7402">
      <c r="A7402" s="139" t="s">
        <v>47700</v>
      </c>
      <c r="B7402" s="140" t="s">
        <v>47701</v>
      </c>
      <c r="C7402" s="140" t="s">
        <v>47702</v>
      </c>
      <c r="D7402" s="140" t="s">
        <v>33342</v>
      </c>
      <c r="E7402" s="141" t="s">
        <v>47703</v>
      </c>
      <c r="F7402" s="139" t="s">
        <v>3883</v>
      </c>
      <c r="G7402" s="139" t="s">
        <v>33344</v>
      </c>
      <c r="H7402" s="139"/>
      <c r="I7402" s="140"/>
      <c r="J7402" s="140" t="s">
        <v>47704</v>
      </c>
      <c r="K7402" s="140" t="s">
        <v>47705</v>
      </c>
      <c r="L7402" s="140"/>
      <c r="M7402" s="140"/>
      <c r="N7402" s="12"/>
      <c r="O7402" s="12"/>
      <c r="P7402" s="13">
        <f>IFERROR(__xludf.DUMMYFUNCTION("VALUE(SUBSTITUTE((INDEX(SPLIT(A7402,"",""),1)),""."","","",1))"),55.522597)</f>
        <v>55.522597</v>
      </c>
      <c r="Q7402" s="13">
        <f>IFERROR(__xludf.DUMMYFUNCTION("VALUE(SUBSTITUTE((INDEX(SPLIT(A7402,"",""),2)),""."","","",1))"),37.450459)</f>
        <v>37.450459</v>
      </c>
      <c r="R7402" s="14" t="b">
        <f t="shared" si="1"/>
        <v>0</v>
      </c>
      <c r="S7402" s="14" t="str">
        <f t="shared" si="2"/>
        <v>55.522597,37.450459</v>
      </c>
      <c r="T7402" s="12"/>
    </row>
    <row r="7403">
      <c r="A7403" s="136" t="s">
        <v>47706</v>
      </c>
      <c r="B7403" s="137" t="s">
        <v>47707</v>
      </c>
      <c r="C7403" s="137" t="s">
        <v>47708</v>
      </c>
      <c r="D7403" s="137" t="s">
        <v>33342</v>
      </c>
      <c r="E7403" s="138" t="s">
        <v>47709</v>
      </c>
      <c r="F7403" s="136" t="s">
        <v>3883</v>
      </c>
      <c r="G7403" s="136" t="s">
        <v>33344</v>
      </c>
      <c r="H7403" s="136"/>
      <c r="I7403" s="137"/>
      <c r="J7403" s="137" t="s">
        <v>47710</v>
      </c>
      <c r="K7403" s="137" t="s">
        <v>47711</v>
      </c>
      <c r="L7403" s="137"/>
      <c r="M7403" s="137"/>
      <c r="N7403" s="12"/>
      <c r="O7403" s="12"/>
      <c r="P7403" s="13">
        <f>IFERROR(__xludf.DUMMYFUNCTION("VALUE(SUBSTITUTE((INDEX(SPLIT(A7403,"",""),1)),""."","","",1))"),55.617571)</f>
        <v>55.617571</v>
      </c>
      <c r="Q7403" s="13">
        <f>IFERROR(__xludf.DUMMYFUNCTION("VALUE(SUBSTITUTE((INDEX(SPLIT(A7403,"",""),2)),""."","","",1))"),37.42677)</f>
        <v>37.42677</v>
      </c>
      <c r="R7403" s="14" t="b">
        <f t="shared" si="1"/>
        <v>0</v>
      </c>
      <c r="S7403" s="14" t="str">
        <f t="shared" si="2"/>
        <v>55.617571,37.42677</v>
      </c>
      <c r="T7403" s="12"/>
    </row>
    <row r="7404">
      <c r="A7404" s="139" t="s">
        <v>47712</v>
      </c>
      <c r="B7404" s="140" t="s">
        <v>47713</v>
      </c>
      <c r="C7404" s="140" t="s">
        <v>47714</v>
      </c>
      <c r="D7404" s="140" t="s">
        <v>33342</v>
      </c>
      <c r="E7404" s="141" t="s">
        <v>47715</v>
      </c>
      <c r="F7404" s="139" t="s">
        <v>3883</v>
      </c>
      <c r="G7404" s="139" t="s">
        <v>33344</v>
      </c>
      <c r="H7404" s="139"/>
      <c r="I7404" s="140"/>
      <c r="J7404" s="140" t="s">
        <v>47716</v>
      </c>
      <c r="K7404" s="140" t="s">
        <v>47717</v>
      </c>
      <c r="L7404" s="140"/>
      <c r="M7404" s="154" t="s">
        <v>47718</v>
      </c>
      <c r="N7404" s="12"/>
      <c r="O7404" s="12"/>
      <c r="P7404" s="13">
        <f>IFERROR(__xludf.DUMMYFUNCTION("VALUE(SUBSTITUTE((INDEX(SPLIT(A7404,"",""),1)),""."","","",1))"),55.549658)</f>
        <v>55.549658</v>
      </c>
      <c r="Q7404" s="13">
        <f>IFERROR(__xludf.DUMMYFUNCTION("VALUE(SUBSTITUTE((INDEX(SPLIT(A7404,"",""),2)),""."","","",1))"),37.499273)</f>
        <v>37.499273</v>
      </c>
      <c r="R7404" s="14" t="b">
        <f t="shared" si="1"/>
        <v>0</v>
      </c>
      <c r="S7404" s="14" t="str">
        <f t="shared" si="2"/>
        <v>55.549658,37.499273</v>
      </c>
      <c r="T7404" s="12"/>
    </row>
    <row r="7405">
      <c r="A7405" s="142" t="s">
        <v>47719</v>
      </c>
      <c r="B7405" s="143" t="s">
        <v>47720</v>
      </c>
      <c r="C7405" s="143" t="s">
        <v>47721</v>
      </c>
      <c r="D7405" s="143" t="s">
        <v>33342</v>
      </c>
      <c r="E7405" s="144" t="s">
        <v>47722</v>
      </c>
      <c r="F7405" s="142" t="s">
        <v>3169</v>
      </c>
      <c r="G7405" s="142" t="s">
        <v>33344</v>
      </c>
      <c r="H7405" s="142"/>
      <c r="I7405" s="143"/>
      <c r="J7405" s="143" t="s">
        <v>47723</v>
      </c>
      <c r="K7405" s="143" t="s">
        <v>47724</v>
      </c>
      <c r="L7405" s="152" t="s">
        <v>47725</v>
      </c>
      <c r="M7405" s="143"/>
      <c r="N7405" s="12"/>
      <c r="O7405" s="12"/>
      <c r="P7405" s="13">
        <f>IFERROR(__xludf.DUMMYFUNCTION("VALUE(SUBSTITUTE((INDEX(SPLIT(A7405,"",""),1)),""."","","",1))"),59.812704)</f>
        <v>59.812704</v>
      </c>
      <c r="Q7405" s="13">
        <f>IFERROR(__xludf.DUMMYFUNCTION("VALUE(SUBSTITUTE((INDEX(SPLIT(A7405,"",""),2)),""."","","",1))"),30.167161)</f>
        <v>30.167161</v>
      </c>
      <c r="R7405" s="14" t="b">
        <f t="shared" si="1"/>
        <v>0</v>
      </c>
      <c r="S7405" s="14" t="str">
        <f t="shared" si="2"/>
        <v>59.812704,30.167161</v>
      </c>
      <c r="T7405" s="12"/>
    </row>
    <row r="7406">
      <c r="A7406" s="146" t="s">
        <v>47726</v>
      </c>
      <c r="B7406" s="147" t="s">
        <v>47727</v>
      </c>
      <c r="C7406" s="147" t="s">
        <v>47728</v>
      </c>
      <c r="D7406" s="147" t="s">
        <v>33342</v>
      </c>
      <c r="E7406" s="148" t="s">
        <v>47729</v>
      </c>
      <c r="F7406" s="146" t="s">
        <v>3169</v>
      </c>
      <c r="G7406" s="146" t="s">
        <v>33344</v>
      </c>
      <c r="H7406" s="146"/>
      <c r="I7406" s="151" t="s">
        <v>47730</v>
      </c>
      <c r="J7406" s="147" t="s">
        <v>47731</v>
      </c>
      <c r="K7406" s="147" t="s">
        <v>47732</v>
      </c>
      <c r="L7406" s="150" t="s">
        <v>47733</v>
      </c>
      <c r="M7406" s="147"/>
      <c r="N7406" s="12"/>
      <c r="O7406" s="12"/>
      <c r="P7406" s="13">
        <f>IFERROR(__xludf.DUMMYFUNCTION("VALUE(SUBSTITUTE((INDEX(SPLIT(A7406,"",""),1)),""."","","",1))"),59.969632)</f>
        <v>59.969632</v>
      </c>
      <c r="Q7406" s="13">
        <f>IFERROR(__xludf.DUMMYFUNCTION("VALUE(SUBSTITUTE((INDEX(SPLIT(A7406,"",""),2)),""."","","",1))"),30.343743)</f>
        <v>30.343743</v>
      </c>
      <c r="R7406" s="14" t="b">
        <f t="shared" si="1"/>
        <v>0</v>
      </c>
      <c r="S7406" s="14" t="str">
        <f t="shared" si="2"/>
        <v>59.969632,30.343743</v>
      </c>
      <c r="T7406" s="12"/>
    </row>
    <row r="7407">
      <c r="A7407" s="142" t="s">
        <v>47734</v>
      </c>
      <c r="B7407" s="143" t="s">
        <v>47735</v>
      </c>
      <c r="C7407" s="143" t="s">
        <v>47736</v>
      </c>
      <c r="D7407" s="143" t="s">
        <v>33342</v>
      </c>
      <c r="E7407" s="144" t="s">
        <v>47737</v>
      </c>
      <c r="F7407" s="142" t="s">
        <v>3169</v>
      </c>
      <c r="G7407" s="142" t="s">
        <v>33344</v>
      </c>
      <c r="H7407" s="142"/>
      <c r="I7407" s="143"/>
      <c r="J7407" s="143" t="s">
        <v>47738</v>
      </c>
      <c r="K7407" s="143" t="s">
        <v>47739</v>
      </c>
      <c r="L7407" s="145" t="s">
        <v>47740</v>
      </c>
      <c r="M7407" s="143"/>
      <c r="N7407" s="12"/>
      <c r="O7407" s="12"/>
      <c r="P7407" s="13">
        <f>IFERROR(__xludf.DUMMYFUNCTION("VALUE(SUBSTITUTE((INDEX(SPLIT(A7407,"",""),1)),""."","","",1))"),60.033252)</f>
        <v>60.033252</v>
      </c>
      <c r="Q7407" s="13">
        <f>IFERROR(__xludf.DUMMYFUNCTION("VALUE(SUBSTITUTE((INDEX(SPLIT(A7407,"",""),2)),""."","","",1))"),30.437689)</f>
        <v>30.437689</v>
      </c>
      <c r="R7407" s="14" t="b">
        <f t="shared" si="1"/>
        <v>0</v>
      </c>
      <c r="S7407" s="14" t="str">
        <f t="shared" si="2"/>
        <v>60.033252,30.437689</v>
      </c>
      <c r="T7407" s="12"/>
    </row>
    <row r="7408">
      <c r="A7408" s="146" t="s">
        <v>47741</v>
      </c>
      <c r="B7408" s="147" t="s">
        <v>47742</v>
      </c>
      <c r="C7408" s="147" t="s">
        <v>47743</v>
      </c>
      <c r="D7408" s="147" t="s">
        <v>33342</v>
      </c>
      <c r="E7408" s="148" t="s">
        <v>47744</v>
      </c>
      <c r="F7408" s="146" t="s">
        <v>3169</v>
      </c>
      <c r="G7408" s="146" t="s">
        <v>33344</v>
      </c>
      <c r="H7408" s="146"/>
      <c r="I7408" s="147"/>
      <c r="J7408" s="147" t="s">
        <v>47745</v>
      </c>
      <c r="K7408" s="147" t="s">
        <v>47746</v>
      </c>
      <c r="L7408" s="149" t="s">
        <v>47747</v>
      </c>
      <c r="M7408" s="147"/>
      <c r="N7408" s="12"/>
      <c r="O7408" s="12"/>
      <c r="P7408" s="13">
        <f>IFERROR(__xludf.DUMMYFUNCTION("VALUE(SUBSTITUTE((INDEX(SPLIT(A7408,"",""),1)),""."","","",1))"),60.059616)</f>
        <v>60.059616</v>
      </c>
      <c r="Q7408" s="13">
        <f>IFERROR(__xludf.DUMMYFUNCTION("VALUE(SUBSTITUTE((INDEX(SPLIT(A7408,"",""),2)),""."","","",1))"),30.36258)</f>
        <v>30.36258</v>
      </c>
      <c r="R7408" s="14" t="b">
        <f t="shared" si="1"/>
        <v>0</v>
      </c>
      <c r="S7408" s="14" t="str">
        <f t="shared" si="2"/>
        <v>60.059616,30.36258</v>
      </c>
      <c r="T7408" s="12"/>
    </row>
    <row r="7409">
      <c r="A7409" s="136" t="s">
        <v>47748</v>
      </c>
      <c r="B7409" s="137" t="s">
        <v>47749</v>
      </c>
      <c r="C7409" s="137" t="s">
        <v>47750</v>
      </c>
      <c r="D7409" s="137" t="s">
        <v>33342</v>
      </c>
      <c r="E7409" s="138" t="s">
        <v>47751</v>
      </c>
      <c r="F7409" s="136" t="s">
        <v>3169</v>
      </c>
      <c r="G7409" s="136" t="s">
        <v>33344</v>
      </c>
      <c r="H7409" s="136"/>
      <c r="I7409" s="137"/>
      <c r="J7409" s="137" t="s">
        <v>47752</v>
      </c>
      <c r="K7409" s="137" t="s">
        <v>41917</v>
      </c>
      <c r="L7409" s="137"/>
      <c r="M7409" s="137"/>
      <c r="N7409" s="12"/>
      <c r="O7409" s="12"/>
      <c r="P7409" s="13">
        <f>IFERROR(__xludf.DUMMYFUNCTION("VALUE(SUBSTITUTE((INDEX(SPLIT(A7409,"",""),1)),""."","","",1))"),59.760475)</f>
        <v>59.760475</v>
      </c>
      <c r="Q7409" s="13">
        <f>IFERROR(__xludf.DUMMYFUNCTION("VALUE(SUBSTITUTE((INDEX(SPLIT(A7409,"",""),2)),""."","","",1))"),30.607057)</f>
        <v>30.607057</v>
      </c>
      <c r="R7409" s="14" t="b">
        <f t="shared" si="1"/>
        <v>0</v>
      </c>
      <c r="S7409" s="14" t="str">
        <f t="shared" si="2"/>
        <v>59.760475,30.607057</v>
      </c>
      <c r="T7409" s="12"/>
    </row>
    <row r="7410">
      <c r="A7410" s="139" t="s">
        <v>47753</v>
      </c>
      <c r="B7410" s="140" t="s">
        <v>47754</v>
      </c>
      <c r="C7410" s="140" t="s">
        <v>47755</v>
      </c>
      <c r="D7410" s="140" t="s">
        <v>33342</v>
      </c>
      <c r="E7410" s="141" t="s">
        <v>47756</v>
      </c>
      <c r="F7410" s="139" t="s">
        <v>3169</v>
      </c>
      <c r="G7410" s="139" t="s">
        <v>33344</v>
      </c>
      <c r="H7410" s="139"/>
      <c r="I7410" s="140"/>
      <c r="J7410" s="140" t="s">
        <v>47757</v>
      </c>
      <c r="K7410" s="140" t="s">
        <v>47758</v>
      </c>
      <c r="L7410" s="140"/>
      <c r="M7410" s="154" t="s">
        <v>47759</v>
      </c>
      <c r="N7410" s="12"/>
      <c r="O7410" s="12"/>
      <c r="P7410" s="13">
        <f>IFERROR(__xludf.DUMMYFUNCTION("VALUE(SUBSTITUTE((INDEX(SPLIT(A7410,"",""),1)),""."","","",1))"),59.987717)</f>
        <v>59.987717</v>
      </c>
      <c r="Q7410" s="13">
        <f>IFERROR(__xludf.DUMMYFUNCTION("VALUE(SUBSTITUTE((INDEX(SPLIT(A7410,"",""),2)),""."","","",1))"),30.333493)</f>
        <v>30.333493</v>
      </c>
      <c r="R7410" s="14" t="b">
        <f t="shared" si="1"/>
        <v>0</v>
      </c>
      <c r="S7410" s="14" t="str">
        <f t="shared" si="2"/>
        <v>59.987717,30.333493</v>
      </c>
      <c r="T7410" s="12"/>
    </row>
    <row r="7411">
      <c r="A7411" s="136" t="s">
        <v>3906</v>
      </c>
      <c r="B7411" s="137" t="s">
        <v>47760</v>
      </c>
      <c r="C7411" s="137" t="s">
        <v>47761</v>
      </c>
      <c r="D7411" s="137" t="s">
        <v>33342</v>
      </c>
      <c r="E7411" s="138" t="s">
        <v>47762</v>
      </c>
      <c r="F7411" s="136" t="s">
        <v>3169</v>
      </c>
      <c r="G7411" s="136" t="s">
        <v>33344</v>
      </c>
      <c r="H7411" s="136"/>
      <c r="I7411" s="137"/>
      <c r="J7411" s="137" t="s">
        <v>47763</v>
      </c>
      <c r="K7411" s="137" t="s">
        <v>47764</v>
      </c>
      <c r="L7411" s="137"/>
      <c r="M7411" s="137"/>
      <c r="N7411" s="12"/>
      <c r="O7411" s="12"/>
      <c r="P7411" s="13">
        <f>IFERROR(__xludf.DUMMYFUNCTION("VALUE(SUBSTITUTE((INDEX(SPLIT(A7411,"",""),1)),""."","","",1))"),60.027211)</f>
        <v>60.027211</v>
      </c>
      <c r="Q7411" s="13">
        <f>IFERROR(__xludf.DUMMYFUNCTION("VALUE(SUBSTITUTE((INDEX(SPLIT(A7411,"",""),2)),""."","","",1))"),30.275776)</f>
        <v>30.275776</v>
      </c>
      <c r="R7411" s="14" t="b">
        <f t="shared" si="1"/>
        <v>0</v>
      </c>
      <c r="S7411" s="14" t="str">
        <f t="shared" si="2"/>
        <v>60.027211,30.275776</v>
      </c>
      <c r="T7411" s="12"/>
    </row>
    <row r="7412">
      <c r="A7412" s="139" t="s">
        <v>47765</v>
      </c>
      <c r="B7412" s="140" t="s">
        <v>47766</v>
      </c>
      <c r="C7412" s="140" t="s">
        <v>47767</v>
      </c>
      <c r="D7412" s="140" t="s">
        <v>33342</v>
      </c>
      <c r="E7412" s="141" t="s">
        <v>47768</v>
      </c>
      <c r="F7412" s="139" t="s">
        <v>3169</v>
      </c>
      <c r="G7412" s="139" t="s">
        <v>33344</v>
      </c>
      <c r="H7412" s="139"/>
      <c r="I7412" s="140"/>
      <c r="J7412" s="140" t="s">
        <v>47769</v>
      </c>
      <c r="K7412" s="140" t="s">
        <v>47770</v>
      </c>
      <c r="L7412" s="140"/>
      <c r="M7412" s="140"/>
      <c r="N7412" s="12"/>
      <c r="O7412" s="12"/>
      <c r="P7412" s="13">
        <f>IFERROR(__xludf.DUMMYFUNCTION("VALUE(SUBSTITUTE((INDEX(SPLIT(A7412,"",""),1)),""."","","",1))"),60.062863)</f>
        <v>60.062863</v>
      </c>
      <c r="Q7412" s="13">
        <f>IFERROR(__xludf.DUMMYFUNCTION("VALUE(SUBSTITUTE((INDEX(SPLIT(A7412,"",""),2)),""."","","",1))"),30.375894)</f>
        <v>30.375894</v>
      </c>
      <c r="R7412" s="14" t="b">
        <f t="shared" si="1"/>
        <v>0</v>
      </c>
      <c r="S7412" s="14" t="str">
        <f t="shared" si="2"/>
        <v>60.062863,30.375894</v>
      </c>
      <c r="T7412" s="12"/>
    </row>
    <row r="7413">
      <c r="A7413" s="136" t="s">
        <v>47771</v>
      </c>
      <c r="B7413" s="137" t="s">
        <v>47772</v>
      </c>
      <c r="C7413" s="137" t="s">
        <v>47773</v>
      </c>
      <c r="D7413" s="137" t="s">
        <v>33342</v>
      </c>
      <c r="E7413" s="138" t="s">
        <v>47774</v>
      </c>
      <c r="F7413" s="136" t="s">
        <v>3169</v>
      </c>
      <c r="G7413" s="136" t="s">
        <v>33344</v>
      </c>
      <c r="H7413" s="136"/>
      <c r="I7413" s="137"/>
      <c r="J7413" s="137" t="s">
        <v>47775</v>
      </c>
      <c r="K7413" s="137" t="s">
        <v>47776</v>
      </c>
      <c r="L7413" s="137"/>
      <c r="M7413" s="153" t="s">
        <v>47777</v>
      </c>
      <c r="N7413" s="12"/>
      <c r="O7413" s="12"/>
      <c r="P7413" s="13">
        <f>IFERROR(__xludf.DUMMYFUNCTION("VALUE(SUBSTITUTE((INDEX(SPLIT(A7413,"",""),1)),""."","","",1))"),60.06474)</f>
        <v>60.06474</v>
      </c>
      <c r="Q7413" s="13">
        <f>IFERROR(__xludf.DUMMYFUNCTION("VALUE(SUBSTITUTE((INDEX(SPLIT(A7413,"",""),2)),""."","","",1))"),30.380214)</f>
        <v>30.380214</v>
      </c>
      <c r="R7413" s="14" t="b">
        <f t="shared" si="1"/>
        <v>0</v>
      </c>
      <c r="S7413" s="14" t="str">
        <f t="shared" si="2"/>
        <v>60.06474,30.380214</v>
      </c>
      <c r="T7413" s="12"/>
    </row>
    <row r="7414">
      <c r="A7414" s="139" t="s">
        <v>47778</v>
      </c>
      <c r="B7414" s="140" t="s">
        <v>47779</v>
      </c>
      <c r="C7414" s="140" t="s">
        <v>47780</v>
      </c>
      <c r="D7414" s="140" t="s">
        <v>33342</v>
      </c>
      <c r="E7414" s="141" t="s">
        <v>47781</v>
      </c>
      <c r="F7414" s="139" t="s">
        <v>3169</v>
      </c>
      <c r="G7414" s="139" t="s">
        <v>33344</v>
      </c>
      <c r="H7414" s="139"/>
      <c r="I7414" s="140"/>
      <c r="J7414" s="140" t="s">
        <v>47782</v>
      </c>
      <c r="K7414" s="140" t="s">
        <v>47783</v>
      </c>
      <c r="L7414" s="140"/>
      <c r="M7414" s="154" t="s">
        <v>47784</v>
      </c>
      <c r="N7414" s="12"/>
      <c r="O7414" s="12"/>
      <c r="P7414" s="13">
        <f>IFERROR(__xludf.DUMMYFUNCTION("VALUE(SUBSTITUTE((INDEX(SPLIT(A7414,"",""),1)),""."","","",1))"),59.970335)</f>
        <v>59.970335</v>
      </c>
      <c r="Q7414" s="13">
        <f>IFERROR(__xludf.DUMMYFUNCTION("VALUE(SUBSTITUTE((INDEX(SPLIT(A7414,"",""),2)),""."","","",1))"),30.341551)</f>
        <v>30.341551</v>
      </c>
      <c r="R7414" s="14" t="b">
        <f t="shared" si="1"/>
        <v>0</v>
      </c>
      <c r="S7414" s="14" t="str">
        <f t="shared" si="2"/>
        <v>59.970335,30.341551</v>
      </c>
      <c r="T7414" s="12"/>
    </row>
    <row r="7415">
      <c r="A7415" s="142" t="s">
        <v>47785</v>
      </c>
      <c r="B7415" s="143" t="s">
        <v>47786</v>
      </c>
      <c r="C7415" s="143" t="s">
        <v>47787</v>
      </c>
      <c r="D7415" s="143" t="s">
        <v>33342</v>
      </c>
      <c r="E7415" s="144" t="s">
        <v>47788</v>
      </c>
      <c r="F7415" s="142" t="s">
        <v>3169</v>
      </c>
      <c r="G7415" s="142" t="s">
        <v>33344</v>
      </c>
      <c r="H7415" s="142"/>
      <c r="I7415" s="143"/>
      <c r="J7415" s="143" t="s">
        <v>47789</v>
      </c>
      <c r="K7415" s="143" t="s">
        <v>47790</v>
      </c>
      <c r="L7415" s="145" t="s">
        <v>47791</v>
      </c>
      <c r="M7415" s="143"/>
      <c r="N7415" s="12"/>
      <c r="O7415" s="12"/>
      <c r="P7415" s="13">
        <f>IFERROR(__xludf.DUMMYFUNCTION("VALUE(SUBSTITUTE((INDEX(SPLIT(A7415,"",""),1)),""."","","",1))"),59.969731)</f>
        <v>59.969731</v>
      </c>
      <c r="Q7415" s="13">
        <f>IFERROR(__xludf.DUMMYFUNCTION("VALUE(SUBSTITUTE((INDEX(SPLIT(A7415,"",""),2)),""."","","",1))"),30.371671)</f>
        <v>30.371671</v>
      </c>
      <c r="R7415" s="14" t="b">
        <f t="shared" si="1"/>
        <v>0</v>
      </c>
      <c r="S7415" s="14" t="str">
        <f t="shared" si="2"/>
        <v>59.969731,30.371671</v>
      </c>
      <c r="T7415" s="12"/>
    </row>
    <row r="7416">
      <c r="A7416" s="146" t="s">
        <v>47792</v>
      </c>
      <c r="B7416" s="147" t="s">
        <v>47793</v>
      </c>
      <c r="C7416" s="147" t="s">
        <v>47794</v>
      </c>
      <c r="D7416" s="147" t="s">
        <v>33342</v>
      </c>
      <c r="E7416" s="148" t="s">
        <v>47795</v>
      </c>
      <c r="F7416" s="146" t="s">
        <v>3169</v>
      </c>
      <c r="G7416" s="146" t="s">
        <v>33344</v>
      </c>
      <c r="H7416" s="146"/>
      <c r="I7416" s="147"/>
      <c r="J7416" s="147" t="s">
        <v>47796</v>
      </c>
      <c r="K7416" s="147" t="s">
        <v>47797</v>
      </c>
      <c r="L7416" s="149" t="s">
        <v>47798</v>
      </c>
      <c r="M7416" s="149" t="s">
        <v>47799</v>
      </c>
      <c r="N7416" s="12"/>
      <c r="O7416" s="12"/>
      <c r="P7416" s="13">
        <f>IFERROR(__xludf.DUMMYFUNCTION("VALUE(SUBSTITUTE((INDEX(SPLIT(A7416,"",""),1)),""."","","",1))"),60.037072)</f>
        <v>60.037072</v>
      </c>
      <c r="Q7416" s="13">
        <f>IFERROR(__xludf.DUMMYFUNCTION("VALUE(SUBSTITUTE((INDEX(SPLIT(A7416,"",""),2)),""."","","",1))"),30.401298)</f>
        <v>30.401298</v>
      </c>
      <c r="R7416" s="14" t="b">
        <f t="shared" si="1"/>
        <v>0</v>
      </c>
      <c r="S7416" s="14" t="str">
        <f t="shared" si="2"/>
        <v>60.037072,30.401298</v>
      </c>
      <c r="T7416" s="12"/>
    </row>
    <row r="7417">
      <c r="A7417" s="136" t="s">
        <v>47800</v>
      </c>
      <c r="B7417" s="137" t="s">
        <v>47801</v>
      </c>
      <c r="C7417" s="137" t="s">
        <v>47802</v>
      </c>
      <c r="D7417" s="137" t="s">
        <v>33342</v>
      </c>
      <c r="E7417" s="138" t="s">
        <v>47803</v>
      </c>
      <c r="F7417" s="136" t="s">
        <v>3169</v>
      </c>
      <c r="G7417" s="136" t="s">
        <v>33344</v>
      </c>
      <c r="H7417" s="136"/>
      <c r="I7417" s="137"/>
      <c r="J7417" s="137" t="s">
        <v>47804</v>
      </c>
      <c r="K7417" s="137" t="s">
        <v>47805</v>
      </c>
      <c r="L7417" s="137"/>
      <c r="M7417" s="153" t="s">
        <v>47806</v>
      </c>
      <c r="N7417" s="12"/>
      <c r="O7417" s="12"/>
      <c r="P7417" s="13">
        <f>IFERROR(__xludf.DUMMYFUNCTION("VALUE(SUBSTITUTE((INDEX(SPLIT(A7417,"",""),1)),""."","","",1))"),59.966511)</f>
        <v>59.966511</v>
      </c>
      <c r="Q7417" s="13">
        <f>IFERROR(__xludf.DUMMYFUNCTION("VALUE(SUBSTITUTE((INDEX(SPLIT(A7417,"",""),2)),""."","","",1))"),30.375022)</f>
        <v>30.375022</v>
      </c>
      <c r="R7417" s="14" t="b">
        <f t="shared" si="1"/>
        <v>0</v>
      </c>
      <c r="S7417" s="14" t="str">
        <f t="shared" si="2"/>
        <v>59.966511,30.375022</v>
      </c>
      <c r="T7417" s="12"/>
    </row>
    <row r="7418">
      <c r="A7418" s="139" t="s">
        <v>47807</v>
      </c>
      <c r="B7418" s="140" t="s">
        <v>47808</v>
      </c>
      <c r="C7418" s="140" t="s">
        <v>47809</v>
      </c>
      <c r="D7418" s="140" t="s">
        <v>33342</v>
      </c>
      <c r="E7418" s="141" t="s">
        <v>47810</v>
      </c>
      <c r="F7418" s="139" t="s">
        <v>3169</v>
      </c>
      <c r="G7418" s="139" t="s">
        <v>33344</v>
      </c>
      <c r="H7418" s="139"/>
      <c r="I7418" s="140"/>
      <c r="J7418" s="140" t="s">
        <v>47811</v>
      </c>
      <c r="K7418" s="140" t="s">
        <v>47812</v>
      </c>
      <c r="L7418" s="140"/>
      <c r="M7418" s="140"/>
      <c r="N7418" s="12"/>
      <c r="O7418" s="12"/>
      <c r="P7418" s="13">
        <f>IFERROR(__xludf.DUMMYFUNCTION("VALUE(SUBSTITUTE((INDEX(SPLIT(A7418,"",""),1)),""."","","",1))"),59.994171)</f>
        <v>59.994171</v>
      </c>
      <c r="Q7418" s="13">
        <f>IFERROR(__xludf.DUMMYFUNCTION("VALUE(SUBSTITUTE((INDEX(SPLIT(A7418,"",""),2)),""."","","",1))"),30.431868)</f>
        <v>30.431868</v>
      </c>
      <c r="R7418" s="14" t="b">
        <f t="shared" si="1"/>
        <v>0</v>
      </c>
      <c r="S7418" s="14" t="str">
        <f t="shared" si="2"/>
        <v>59.994171,30.431868</v>
      </c>
      <c r="T7418" s="12"/>
    </row>
    <row r="7419">
      <c r="A7419" s="142" t="s">
        <v>47813</v>
      </c>
      <c r="B7419" s="143" t="s">
        <v>47814</v>
      </c>
      <c r="C7419" s="143" t="s">
        <v>47815</v>
      </c>
      <c r="D7419" s="143" t="s">
        <v>33342</v>
      </c>
      <c r="E7419" s="144" t="s">
        <v>47816</v>
      </c>
      <c r="F7419" s="142" t="s">
        <v>3169</v>
      </c>
      <c r="G7419" s="142" t="s">
        <v>33344</v>
      </c>
      <c r="H7419" s="142"/>
      <c r="I7419" s="143"/>
      <c r="J7419" s="143" t="s">
        <v>47817</v>
      </c>
      <c r="K7419" s="143" t="s">
        <v>47818</v>
      </c>
      <c r="L7419" s="145" t="s">
        <v>47819</v>
      </c>
      <c r="M7419" s="145" t="s">
        <v>47820</v>
      </c>
      <c r="N7419" s="12"/>
      <c r="O7419" s="12"/>
      <c r="P7419" s="13">
        <f>IFERROR(__xludf.DUMMYFUNCTION("VALUE(SUBSTITUTE((INDEX(SPLIT(A7419,"",""),1)),""."","","",1))"),59.964629)</f>
        <v>59.964629</v>
      </c>
      <c r="Q7419" s="13">
        <f>IFERROR(__xludf.DUMMYFUNCTION("VALUE(SUBSTITUTE((INDEX(SPLIT(A7419,"",""),2)),""."","","",1))"),30.375238)</f>
        <v>30.375238</v>
      </c>
      <c r="R7419" s="14" t="b">
        <f t="shared" si="1"/>
        <v>0</v>
      </c>
      <c r="S7419" s="14" t="str">
        <f t="shared" si="2"/>
        <v>59.964629,30.375238</v>
      </c>
      <c r="T7419" s="12"/>
    </row>
    <row r="7420">
      <c r="A7420" s="139" t="s">
        <v>47821</v>
      </c>
      <c r="B7420" s="140" t="s">
        <v>47822</v>
      </c>
      <c r="C7420" s="140" t="s">
        <v>47823</v>
      </c>
      <c r="D7420" s="140" t="s">
        <v>33342</v>
      </c>
      <c r="E7420" s="141" t="s">
        <v>47824</v>
      </c>
      <c r="F7420" s="139" t="s">
        <v>3169</v>
      </c>
      <c r="G7420" s="139" t="s">
        <v>33344</v>
      </c>
      <c r="H7420" s="139"/>
      <c r="I7420" s="140"/>
      <c r="J7420" s="140" t="s">
        <v>47825</v>
      </c>
      <c r="K7420" s="140" t="s">
        <v>47790</v>
      </c>
      <c r="L7420" s="140"/>
      <c r="M7420" s="140"/>
      <c r="N7420" s="12"/>
      <c r="O7420" s="12"/>
      <c r="P7420" s="13">
        <f>IFERROR(__xludf.DUMMYFUNCTION("VALUE(SUBSTITUTE((INDEX(SPLIT(A7420,"",""),1)),""."","","",1))"),59.970992)</f>
        <v>59.970992</v>
      </c>
      <c r="Q7420" s="13">
        <f>IFERROR(__xludf.DUMMYFUNCTION("VALUE(SUBSTITUTE((INDEX(SPLIT(A7420,"",""),2)),""."","","",1))"),30.364126)</f>
        <v>30.364126</v>
      </c>
      <c r="R7420" s="14" t="b">
        <f t="shared" si="1"/>
        <v>0</v>
      </c>
      <c r="S7420" s="14" t="str">
        <f t="shared" si="2"/>
        <v>59.970992,30.364126</v>
      </c>
      <c r="T7420" s="12"/>
    </row>
    <row r="7421">
      <c r="A7421" s="142" t="s">
        <v>47826</v>
      </c>
      <c r="B7421" s="143" t="s">
        <v>47827</v>
      </c>
      <c r="C7421" s="143" t="s">
        <v>47828</v>
      </c>
      <c r="D7421" s="143" t="s">
        <v>33342</v>
      </c>
      <c r="E7421" s="144" t="s">
        <v>47829</v>
      </c>
      <c r="F7421" s="142" t="s">
        <v>3169</v>
      </c>
      <c r="G7421" s="142" t="s">
        <v>33344</v>
      </c>
      <c r="H7421" s="142"/>
      <c r="I7421" s="143"/>
      <c r="J7421" s="143" t="s">
        <v>47830</v>
      </c>
      <c r="K7421" s="143" t="s">
        <v>47831</v>
      </c>
      <c r="L7421" s="152" t="s">
        <v>47832</v>
      </c>
      <c r="M7421" s="143"/>
      <c r="N7421" s="12"/>
      <c r="O7421" s="12"/>
      <c r="P7421" s="13">
        <f>IFERROR(__xludf.DUMMYFUNCTION("VALUE(SUBSTITUTE((INDEX(SPLIT(A7421,"",""),1)),""."","","",1))"),59.829568)</f>
        <v>59.829568</v>
      </c>
      <c r="Q7421" s="13">
        <f>IFERROR(__xludf.DUMMYFUNCTION("VALUE(SUBSTITUTE((INDEX(SPLIT(A7421,"",""),2)),""."","","",1))"),30.364197)</f>
        <v>30.364197</v>
      </c>
      <c r="R7421" s="14" t="b">
        <f t="shared" si="1"/>
        <v>0</v>
      </c>
      <c r="S7421" s="14" t="str">
        <f t="shared" si="2"/>
        <v>59.829568,30.364197</v>
      </c>
      <c r="T7421" s="12"/>
    </row>
    <row r="7422">
      <c r="A7422" s="146" t="s">
        <v>47833</v>
      </c>
      <c r="B7422" s="147" t="s">
        <v>47834</v>
      </c>
      <c r="C7422" s="147" t="s">
        <v>47835</v>
      </c>
      <c r="D7422" s="147" t="s">
        <v>33342</v>
      </c>
      <c r="E7422" s="148" t="s">
        <v>47836</v>
      </c>
      <c r="F7422" s="146" t="s">
        <v>3169</v>
      </c>
      <c r="G7422" s="146" t="s">
        <v>33344</v>
      </c>
      <c r="H7422" s="146"/>
      <c r="I7422" s="147"/>
      <c r="J7422" s="147" t="s">
        <v>47837</v>
      </c>
      <c r="K7422" s="147" t="s">
        <v>47838</v>
      </c>
      <c r="L7422" s="149" t="s">
        <v>47839</v>
      </c>
      <c r="M7422" s="147"/>
      <c r="N7422" s="12"/>
      <c r="O7422" s="12"/>
      <c r="P7422" s="13">
        <f>IFERROR(__xludf.DUMMYFUNCTION("VALUE(SUBSTITUTE((INDEX(SPLIT(A7422,"",""),1)),""."","","",1))"),59.851842)</f>
        <v>59.851842</v>
      </c>
      <c r="Q7422" s="13">
        <f>IFERROR(__xludf.DUMMYFUNCTION("VALUE(SUBSTITUTE((INDEX(SPLIT(A7422,"",""),2)),""."","","",1))"),30.137993)</f>
        <v>30.137993</v>
      </c>
      <c r="R7422" s="14" t="b">
        <f t="shared" si="1"/>
        <v>0</v>
      </c>
      <c r="S7422" s="14" t="str">
        <f t="shared" si="2"/>
        <v>59.851842,30.137993</v>
      </c>
      <c r="T7422" s="12"/>
    </row>
    <row r="7423">
      <c r="A7423" s="142" t="s">
        <v>3859</v>
      </c>
      <c r="B7423" s="143" t="s">
        <v>47840</v>
      </c>
      <c r="C7423" s="143" t="s">
        <v>47841</v>
      </c>
      <c r="D7423" s="143" t="s">
        <v>33342</v>
      </c>
      <c r="E7423" s="144" t="s">
        <v>47842</v>
      </c>
      <c r="F7423" s="142" t="s">
        <v>3169</v>
      </c>
      <c r="G7423" s="142" t="s">
        <v>33344</v>
      </c>
      <c r="H7423" s="142"/>
      <c r="I7423" s="143"/>
      <c r="J7423" s="143" t="s">
        <v>47843</v>
      </c>
      <c r="K7423" s="143" t="s">
        <v>41880</v>
      </c>
      <c r="L7423" s="152" t="s">
        <v>47844</v>
      </c>
      <c r="M7423" s="143"/>
      <c r="N7423" s="12"/>
      <c r="O7423" s="12"/>
      <c r="P7423" s="13">
        <f>IFERROR(__xludf.DUMMYFUNCTION("VALUE(SUBSTITUTE((INDEX(SPLIT(A7423,"",""),1)),""."","","",1))"),59.878793)</f>
        <v>59.878793</v>
      </c>
      <c r="Q7423" s="13">
        <f>IFERROR(__xludf.DUMMYFUNCTION("VALUE(SUBSTITUTE((INDEX(SPLIT(A7423,"",""),2)),""."","","",1))"),30.268401)</f>
        <v>30.268401</v>
      </c>
      <c r="R7423" s="14" t="b">
        <f t="shared" si="1"/>
        <v>0</v>
      </c>
      <c r="S7423" s="14" t="str">
        <f t="shared" si="2"/>
        <v>59.878793,30.268401</v>
      </c>
      <c r="T7423" s="12"/>
    </row>
    <row r="7424">
      <c r="A7424" s="146" t="s">
        <v>47845</v>
      </c>
      <c r="B7424" s="147" t="s">
        <v>47846</v>
      </c>
      <c r="C7424" s="147" t="s">
        <v>47847</v>
      </c>
      <c r="D7424" s="147" t="s">
        <v>33342</v>
      </c>
      <c r="E7424" s="148" t="s">
        <v>47848</v>
      </c>
      <c r="F7424" s="146" t="s">
        <v>3169</v>
      </c>
      <c r="G7424" s="146" t="s">
        <v>33344</v>
      </c>
      <c r="H7424" s="146"/>
      <c r="I7424" s="147"/>
      <c r="J7424" s="147" t="s">
        <v>47849</v>
      </c>
      <c r="K7424" s="147" t="s">
        <v>47850</v>
      </c>
      <c r="L7424" s="149" t="s">
        <v>47851</v>
      </c>
      <c r="M7424" s="147"/>
      <c r="N7424" s="12"/>
      <c r="O7424" s="12"/>
      <c r="P7424" s="13">
        <f>IFERROR(__xludf.DUMMYFUNCTION("VALUE(SUBSTITUTE((INDEX(SPLIT(A7424,"",""),1)),""."","","",1))"),59.835455)</f>
        <v>59.835455</v>
      </c>
      <c r="Q7424" s="13">
        <f>IFERROR(__xludf.DUMMYFUNCTION("VALUE(SUBSTITUTE((INDEX(SPLIT(A7424,"",""),2)),""."","","",1))"),30.213721)</f>
        <v>30.213721</v>
      </c>
      <c r="R7424" s="14" t="b">
        <f t="shared" si="1"/>
        <v>0</v>
      </c>
      <c r="S7424" s="14" t="str">
        <f t="shared" si="2"/>
        <v>59.835455,30.213721</v>
      </c>
      <c r="T7424" s="12"/>
    </row>
    <row r="7425">
      <c r="A7425" s="142" t="s">
        <v>4021</v>
      </c>
      <c r="B7425" s="143" t="s">
        <v>47852</v>
      </c>
      <c r="C7425" s="143" t="s">
        <v>47853</v>
      </c>
      <c r="D7425" s="143" t="s">
        <v>33342</v>
      </c>
      <c r="E7425" s="144" t="s">
        <v>47854</v>
      </c>
      <c r="F7425" s="142" t="s">
        <v>3169</v>
      </c>
      <c r="G7425" s="142" t="s">
        <v>33344</v>
      </c>
      <c r="H7425" s="142"/>
      <c r="I7425" s="143"/>
      <c r="J7425" s="143" t="s">
        <v>47855</v>
      </c>
      <c r="K7425" s="143" t="s">
        <v>11262</v>
      </c>
      <c r="L7425" s="145" t="s">
        <v>47856</v>
      </c>
      <c r="M7425" s="145" t="s">
        <v>47857</v>
      </c>
      <c r="N7425" s="12"/>
      <c r="O7425" s="12"/>
      <c r="P7425" s="13">
        <f>IFERROR(__xludf.DUMMYFUNCTION("VALUE(SUBSTITUTE((INDEX(SPLIT(A7425,"",""),1)),""."","","",1))"),59.859876)</f>
        <v>59.859876</v>
      </c>
      <c r="Q7425" s="13">
        <f>IFERROR(__xludf.DUMMYFUNCTION("VALUE(SUBSTITUTE((INDEX(SPLIT(A7425,"",""),2)),""."","","",1))"),30.28793)</f>
        <v>30.28793</v>
      </c>
      <c r="R7425" s="14" t="b">
        <f t="shared" si="1"/>
        <v>0</v>
      </c>
      <c r="S7425" s="14" t="str">
        <f t="shared" si="2"/>
        <v>59.859876,30.28793</v>
      </c>
      <c r="T7425" s="12"/>
    </row>
    <row r="7426">
      <c r="A7426" s="139" t="s">
        <v>47858</v>
      </c>
      <c r="B7426" s="140" t="s">
        <v>47859</v>
      </c>
      <c r="C7426" s="140" t="s">
        <v>47860</v>
      </c>
      <c r="D7426" s="140" t="s">
        <v>33342</v>
      </c>
      <c r="E7426" s="141" t="s">
        <v>47861</v>
      </c>
      <c r="F7426" s="139" t="s">
        <v>3169</v>
      </c>
      <c r="G7426" s="139" t="s">
        <v>33344</v>
      </c>
      <c r="H7426" s="139"/>
      <c r="I7426" s="140"/>
      <c r="J7426" s="140" t="s">
        <v>47862</v>
      </c>
      <c r="K7426" s="140" t="s">
        <v>47863</v>
      </c>
      <c r="L7426" s="140"/>
      <c r="M7426" s="154" t="s">
        <v>47864</v>
      </c>
      <c r="N7426" s="12"/>
      <c r="O7426" s="12"/>
      <c r="P7426" s="13">
        <f>IFERROR(__xludf.DUMMYFUNCTION("VALUE(SUBSTITUTE((INDEX(SPLIT(A7426,"",""),1)),""."","","",1))"),59.790032)</f>
        <v>59.790032</v>
      </c>
      <c r="Q7426" s="13">
        <f>IFERROR(__xludf.DUMMYFUNCTION("VALUE(SUBSTITUTE((INDEX(SPLIT(A7426,"",""),2)),""."","","",1))"),30.08333)</f>
        <v>30.08333</v>
      </c>
      <c r="R7426" s="14" t="b">
        <f t="shared" si="1"/>
        <v>0</v>
      </c>
      <c r="S7426" s="14" t="str">
        <f t="shared" si="2"/>
        <v>59.790032,30.08333</v>
      </c>
      <c r="T7426" s="12"/>
    </row>
    <row r="7427">
      <c r="A7427" s="136" t="s">
        <v>47865</v>
      </c>
      <c r="B7427" s="137" t="s">
        <v>47866</v>
      </c>
      <c r="C7427" s="137" t="s">
        <v>47867</v>
      </c>
      <c r="D7427" s="137" t="s">
        <v>33342</v>
      </c>
      <c r="E7427" s="138" t="s">
        <v>47868</v>
      </c>
      <c r="F7427" s="136" t="s">
        <v>3169</v>
      </c>
      <c r="G7427" s="136" t="s">
        <v>33344</v>
      </c>
      <c r="H7427" s="136"/>
      <c r="I7427" s="137"/>
      <c r="J7427" s="137" t="s">
        <v>47869</v>
      </c>
      <c r="K7427" s="137" t="s">
        <v>47870</v>
      </c>
      <c r="L7427" s="137"/>
      <c r="M7427" s="137"/>
      <c r="N7427" s="12"/>
      <c r="O7427" s="12"/>
      <c r="P7427" s="13">
        <f>IFERROR(__xludf.DUMMYFUNCTION("VALUE(SUBSTITUTE((INDEX(SPLIT(A7427,"",""),1)),""."","","",1))"),59.868139)</f>
        <v>59.868139</v>
      </c>
      <c r="Q7427" s="13">
        <f>IFERROR(__xludf.DUMMYFUNCTION("VALUE(SUBSTITUTE((INDEX(SPLIT(A7427,"",""),2)),""."","","",1))"),30.251836)</f>
        <v>30.251836</v>
      </c>
      <c r="R7427" s="14" t="b">
        <f t="shared" si="1"/>
        <v>0</v>
      </c>
      <c r="S7427" s="14" t="str">
        <f t="shared" si="2"/>
        <v>59.868139,30.251836</v>
      </c>
      <c r="T7427" s="12"/>
    </row>
    <row r="7428">
      <c r="A7428" s="139" t="s">
        <v>3951</v>
      </c>
      <c r="B7428" s="140" t="s">
        <v>47871</v>
      </c>
      <c r="C7428" s="140" t="s">
        <v>47872</v>
      </c>
      <c r="D7428" s="140" t="s">
        <v>33342</v>
      </c>
      <c r="E7428" s="141" t="s">
        <v>47873</v>
      </c>
      <c r="F7428" s="139" t="s">
        <v>3169</v>
      </c>
      <c r="G7428" s="139" t="s">
        <v>33344</v>
      </c>
      <c r="H7428" s="139"/>
      <c r="I7428" s="140"/>
      <c r="J7428" s="140" t="s">
        <v>47874</v>
      </c>
      <c r="K7428" s="140" t="s">
        <v>47875</v>
      </c>
      <c r="L7428" s="140"/>
      <c r="M7428" s="140"/>
      <c r="N7428" s="12"/>
      <c r="O7428" s="12"/>
      <c r="P7428" s="13">
        <f>IFERROR(__xludf.DUMMYFUNCTION("VALUE(SUBSTITUTE((INDEX(SPLIT(A7428,"",""),1)),""."","","",1))"),59.889038)</f>
        <v>59.889038</v>
      </c>
      <c r="Q7428" s="13">
        <f>IFERROR(__xludf.DUMMYFUNCTION("VALUE(SUBSTITUTE((INDEX(SPLIT(A7428,"",""),2)),""."","","",1))"),30.278274)</f>
        <v>30.278274</v>
      </c>
      <c r="R7428" s="14" t="b">
        <f t="shared" si="1"/>
        <v>0</v>
      </c>
      <c r="S7428" s="14" t="str">
        <f t="shared" si="2"/>
        <v>59.889038,30.278274</v>
      </c>
      <c r="T7428" s="12"/>
    </row>
    <row r="7429">
      <c r="A7429" s="142" t="s">
        <v>47876</v>
      </c>
      <c r="B7429" s="143" t="s">
        <v>47877</v>
      </c>
      <c r="C7429" s="143" t="s">
        <v>47878</v>
      </c>
      <c r="D7429" s="143" t="s">
        <v>33342</v>
      </c>
      <c r="E7429" s="144" t="s">
        <v>47879</v>
      </c>
      <c r="F7429" s="142" t="s">
        <v>3169</v>
      </c>
      <c r="G7429" s="142" t="s">
        <v>33344</v>
      </c>
      <c r="H7429" s="142"/>
      <c r="I7429" s="143"/>
      <c r="J7429" s="143" t="s">
        <v>47880</v>
      </c>
      <c r="K7429" s="143" t="s">
        <v>47881</v>
      </c>
      <c r="L7429" s="152" t="s">
        <v>47882</v>
      </c>
      <c r="M7429" s="143"/>
      <c r="N7429" s="12"/>
      <c r="O7429" s="12"/>
      <c r="P7429" s="13">
        <f>IFERROR(__xludf.DUMMYFUNCTION("VALUE(SUBSTITUTE((INDEX(SPLIT(A7429,"",""),1)),""."","","",1))"),59.837797)</f>
        <v>59.837797</v>
      </c>
      <c r="Q7429" s="13">
        <f>IFERROR(__xludf.DUMMYFUNCTION("VALUE(SUBSTITUTE((INDEX(SPLIT(A7429,"",""),2)),""."","","",1))"),30.156687)</f>
        <v>30.156687</v>
      </c>
      <c r="R7429" s="14" t="b">
        <f t="shared" si="1"/>
        <v>0</v>
      </c>
      <c r="S7429" s="14" t="str">
        <f t="shared" si="2"/>
        <v>59.837797,30.156687</v>
      </c>
      <c r="T7429" s="12"/>
    </row>
    <row r="7430">
      <c r="A7430" s="139" t="s">
        <v>47883</v>
      </c>
      <c r="B7430" s="140" t="s">
        <v>47884</v>
      </c>
      <c r="C7430" s="140" t="s">
        <v>47885</v>
      </c>
      <c r="D7430" s="140" t="s">
        <v>33342</v>
      </c>
      <c r="E7430" s="141" t="s">
        <v>47886</v>
      </c>
      <c r="F7430" s="139" t="s">
        <v>3169</v>
      </c>
      <c r="G7430" s="139" t="s">
        <v>33344</v>
      </c>
      <c r="H7430" s="139"/>
      <c r="I7430" s="140"/>
      <c r="J7430" s="140" t="s">
        <v>47887</v>
      </c>
      <c r="K7430" s="140" t="s">
        <v>47888</v>
      </c>
      <c r="L7430" s="140"/>
      <c r="M7430" s="140"/>
      <c r="N7430" s="12"/>
      <c r="O7430" s="12"/>
      <c r="P7430" s="13">
        <f>IFERROR(__xludf.DUMMYFUNCTION("VALUE(SUBSTITUTE((INDEX(SPLIT(A7430,"",""),1)),""."","","",1))"),59.894563)</f>
        <v>59.894563</v>
      </c>
      <c r="Q7430" s="13">
        <f>IFERROR(__xludf.DUMMYFUNCTION("VALUE(SUBSTITUTE((INDEX(SPLIT(A7430,"",""),2)),""."","","",1))"),30.373297)</f>
        <v>30.373297</v>
      </c>
      <c r="R7430" s="14" t="b">
        <f t="shared" si="1"/>
        <v>0</v>
      </c>
      <c r="S7430" s="14" t="str">
        <f t="shared" si="2"/>
        <v>59.894563,30.373297</v>
      </c>
      <c r="T7430" s="12"/>
    </row>
    <row r="7431">
      <c r="A7431" s="142" t="s">
        <v>47889</v>
      </c>
      <c r="B7431" s="143" t="s">
        <v>47890</v>
      </c>
      <c r="C7431" s="143" t="s">
        <v>47891</v>
      </c>
      <c r="D7431" s="143" t="s">
        <v>33342</v>
      </c>
      <c r="E7431" s="144" t="s">
        <v>47892</v>
      </c>
      <c r="F7431" s="142" t="s">
        <v>3169</v>
      </c>
      <c r="G7431" s="142" t="s">
        <v>33344</v>
      </c>
      <c r="H7431" s="142"/>
      <c r="I7431" s="143"/>
      <c r="J7431" s="143" t="s">
        <v>47893</v>
      </c>
      <c r="K7431" s="143" t="s">
        <v>47894</v>
      </c>
      <c r="L7431" s="145" t="s">
        <v>47895</v>
      </c>
      <c r="M7431" s="143"/>
      <c r="N7431" s="12"/>
      <c r="O7431" s="12"/>
      <c r="P7431" s="13">
        <f>IFERROR(__xludf.DUMMYFUNCTION("VALUE(SUBSTITUTE((INDEX(SPLIT(A7431,"",""),1)),""."","","",1))"),59.985057)</f>
        <v>59.985057</v>
      </c>
      <c r="Q7431" s="13">
        <f>IFERROR(__xludf.DUMMYFUNCTION("VALUE(SUBSTITUTE((INDEX(SPLIT(A7431,"",""),2)),""."","","",1))"),30.512509)</f>
        <v>30.512509</v>
      </c>
      <c r="R7431" s="14" t="b">
        <f t="shared" si="1"/>
        <v>0</v>
      </c>
      <c r="S7431" s="14" t="str">
        <f t="shared" si="2"/>
        <v>59.985057,30.512509</v>
      </c>
      <c r="T7431" s="12"/>
    </row>
    <row r="7432">
      <c r="A7432" s="146" t="s">
        <v>47896</v>
      </c>
      <c r="B7432" s="147" t="s">
        <v>47897</v>
      </c>
      <c r="C7432" s="147" t="s">
        <v>47898</v>
      </c>
      <c r="D7432" s="147" t="s">
        <v>33342</v>
      </c>
      <c r="E7432" s="148" t="s">
        <v>47899</v>
      </c>
      <c r="F7432" s="146" t="s">
        <v>3169</v>
      </c>
      <c r="G7432" s="146" t="s">
        <v>33344</v>
      </c>
      <c r="H7432" s="146"/>
      <c r="I7432" s="147"/>
      <c r="J7432" s="147" t="s">
        <v>47900</v>
      </c>
      <c r="K7432" s="147" t="s">
        <v>47901</v>
      </c>
      <c r="L7432" s="149" t="s">
        <v>47902</v>
      </c>
      <c r="M7432" s="149" t="s">
        <v>47903</v>
      </c>
      <c r="N7432" s="12"/>
      <c r="O7432" s="12"/>
      <c r="P7432" s="13">
        <f>IFERROR(__xludf.DUMMYFUNCTION("VALUE(SUBSTITUTE((INDEX(SPLIT(A7432,"",""),1)),""."","","",1))"),59.940028)</f>
        <v>59.940028</v>
      </c>
      <c r="Q7432" s="13">
        <f>IFERROR(__xludf.DUMMYFUNCTION("VALUE(SUBSTITUTE((INDEX(SPLIT(A7432,"",""),2)),""."","","",1))"),30.407092)</f>
        <v>30.407092</v>
      </c>
      <c r="R7432" s="14" t="b">
        <f t="shared" si="1"/>
        <v>0</v>
      </c>
      <c r="S7432" s="14" t="str">
        <f t="shared" si="2"/>
        <v>59.940028,30.407092</v>
      </c>
      <c r="T7432" s="12"/>
    </row>
    <row r="7433">
      <c r="A7433" s="142" t="s">
        <v>47904</v>
      </c>
      <c r="B7433" s="143" t="s">
        <v>47905</v>
      </c>
      <c r="C7433" s="143" t="s">
        <v>47906</v>
      </c>
      <c r="D7433" s="143" t="s">
        <v>33342</v>
      </c>
      <c r="E7433" s="144" t="s">
        <v>47907</v>
      </c>
      <c r="F7433" s="142" t="s">
        <v>3169</v>
      </c>
      <c r="G7433" s="142" t="s">
        <v>33344</v>
      </c>
      <c r="H7433" s="142"/>
      <c r="I7433" s="143"/>
      <c r="J7433" s="143" t="s">
        <v>47908</v>
      </c>
      <c r="K7433" s="143" t="s">
        <v>47909</v>
      </c>
      <c r="L7433" s="152" t="s">
        <v>47910</v>
      </c>
      <c r="M7433" s="143"/>
      <c r="N7433" s="12"/>
      <c r="O7433" s="12"/>
      <c r="P7433" s="13">
        <f>IFERROR(__xludf.DUMMYFUNCTION("VALUE(SUBSTITUTE((INDEX(SPLIT(A7433,"",""),1)),""."","","",1))"),59.968966)</f>
        <v>59.968966</v>
      </c>
      <c r="Q7433" s="13">
        <f>IFERROR(__xludf.DUMMYFUNCTION("VALUE(SUBSTITUTE((INDEX(SPLIT(A7433,"",""),2)),""."","","",1))"),30.489324)</f>
        <v>30.489324</v>
      </c>
      <c r="R7433" s="14" t="b">
        <f t="shared" si="1"/>
        <v>0</v>
      </c>
      <c r="S7433" s="14" t="str">
        <f t="shared" si="2"/>
        <v>59.968966,30.489324</v>
      </c>
      <c r="T7433" s="12"/>
    </row>
    <row r="7434">
      <c r="A7434" s="146" t="s">
        <v>47911</v>
      </c>
      <c r="B7434" s="147" t="s">
        <v>47912</v>
      </c>
      <c r="C7434" s="147" t="s">
        <v>47913</v>
      </c>
      <c r="D7434" s="147" t="s">
        <v>33342</v>
      </c>
      <c r="E7434" s="148" t="s">
        <v>47914</v>
      </c>
      <c r="F7434" s="146" t="s">
        <v>3169</v>
      </c>
      <c r="G7434" s="146" t="s">
        <v>33344</v>
      </c>
      <c r="H7434" s="146"/>
      <c r="I7434" s="147"/>
      <c r="J7434" s="147" t="s">
        <v>47915</v>
      </c>
      <c r="K7434" s="147" t="s">
        <v>47916</v>
      </c>
      <c r="L7434" s="149" t="s">
        <v>47917</v>
      </c>
      <c r="M7434" s="147"/>
      <c r="N7434" s="12"/>
      <c r="O7434" s="12"/>
      <c r="P7434" s="13">
        <f>IFERROR(__xludf.DUMMYFUNCTION("VALUE(SUBSTITUTE((INDEX(SPLIT(A7434,"",""),1)),""."","","",1))"),59.906481)</f>
        <v>59.906481</v>
      </c>
      <c r="Q7434" s="13">
        <f>IFERROR(__xludf.DUMMYFUNCTION("VALUE(SUBSTITUTE((INDEX(SPLIT(A7434,"",""),2)),""."","","",1))"),30.381185)</f>
        <v>30.381185</v>
      </c>
      <c r="R7434" s="14" t="b">
        <f t="shared" si="1"/>
        <v>0</v>
      </c>
      <c r="S7434" s="14" t="str">
        <f t="shared" si="2"/>
        <v>59.906481,30.381185</v>
      </c>
      <c r="T7434" s="12"/>
    </row>
    <row r="7435">
      <c r="A7435" s="142" t="s">
        <v>47918</v>
      </c>
      <c r="B7435" s="143" t="s">
        <v>47919</v>
      </c>
      <c r="C7435" s="143" t="s">
        <v>47920</v>
      </c>
      <c r="D7435" s="143" t="s">
        <v>33342</v>
      </c>
      <c r="E7435" s="144" t="s">
        <v>47921</v>
      </c>
      <c r="F7435" s="142" t="s">
        <v>3169</v>
      </c>
      <c r="G7435" s="142" t="s">
        <v>33344</v>
      </c>
      <c r="H7435" s="142"/>
      <c r="I7435" s="143"/>
      <c r="J7435" s="143" t="s">
        <v>47922</v>
      </c>
      <c r="K7435" s="143" t="s">
        <v>3702</v>
      </c>
      <c r="L7435" s="152" t="s">
        <v>47923</v>
      </c>
      <c r="M7435" s="143"/>
      <c r="N7435" s="12"/>
      <c r="O7435" s="12"/>
      <c r="P7435" s="13">
        <f>IFERROR(__xludf.DUMMYFUNCTION("VALUE(SUBSTITUTE((INDEX(SPLIT(A7435,"",""),1)),""."","","",1))"),59.947563)</f>
        <v>59.947563</v>
      </c>
      <c r="Q7435" s="13">
        <f>IFERROR(__xludf.DUMMYFUNCTION("VALUE(SUBSTITUTE((INDEX(SPLIT(A7435,"",""),2)),""."","","",1))"),30.413479)</f>
        <v>30.413479</v>
      </c>
      <c r="R7435" s="14" t="b">
        <f t="shared" si="1"/>
        <v>0</v>
      </c>
      <c r="S7435" s="14" t="str">
        <f t="shared" si="2"/>
        <v>59.947563,30.413479</v>
      </c>
      <c r="T7435" s="12"/>
    </row>
    <row r="7436">
      <c r="A7436" s="139" t="s">
        <v>47924</v>
      </c>
      <c r="B7436" s="140" t="s">
        <v>47925</v>
      </c>
      <c r="C7436" s="140" t="s">
        <v>47926</v>
      </c>
      <c r="D7436" s="140" t="s">
        <v>33342</v>
      </c>
      <c r="E7436" s="141" t="s">
        <v>47927</v>
      </c>
      <c r="F7436" s="139" t="s">
        <v>3169</v>
      </c>
      <c r="G7436" s="139" t="s">
        <v>33344</v>
      </c>
      <c r="H7436" s="139"/>
      <c r="I7436" s="140"/>
      <c r="J7436" s="140" t="s">
        <v>47928</v>
      </c>
      <c r="K7436" s="140" t="s">
        <v>47929</v>
      </c>
      <c r="L7436" s="140"/>
      <c r="M7436" s="154" t="s">
        <v>47930</v>
      </c>
      <c r="N7436" s="12"/>
      <c r="O7436" s="12"/>
      <c r="P7436" s="13">
        <f>IFERROR(__xludf.DUMMYFUNCTION("VALUE(SUBSTITUTE((INDEX(SPLIT(A7436,"",""),1)),""."","","",1))"),59.961579)</f>
        <v>59.961579</v>
      </c>
      <c r="Q7436" s="13">
        <f>IFERROR(__xludf.DUMMYFUNCTION("VALUE(SUBSTITUTE((INDEX(SPLIT(A7436,"",""),2)),""."","","",1))"),30.463641)</f>
        <v>30.463641</v>
      </c>
      <c r="R7436" s="14" t="b">
        <f t="shared" si="1"/>
        <v>0</v>
      </c>
      <c r="S7436" s="14" t="str">
        <f t="shared" si="2"/>
        <v>59.961579,30.463641</v>
      </c>
      <c r="T7436" s="12"/>
    </row>
    <row r="7437">
      <c r="A7437" s="136" t="s">
        <v>47931</v>
      </c>
      <c r="B7437" s="137" t="s">
        <v>6523</v>
      </c>
      <c r="C7437" s="137" t="s">
        <v>47932</v>
      </c>
      <c r="D7437" s="137" t="s">
        <v>33342</v>
      </c>
      <c r="E7437" s="138" t="s">
        <v>47933</v>
      </c>
      <c r="F7437" s="136" t="s">
        <v>3169</v>
      </c>
      <c r="G7437" s="136" t="s">
        <v>33344</v>
      </c>
      <c r="H7437" s="136"/>
      <c r="I7437" s="137"/>
      <c r="J7437" s="137" t="s">
        <v>47934</v>
      </c>
      <c r="K7437" s="137" t="s">
        <v>47935</v>
      </c>
      <c r="L7437" s="137"/>
      <c r="M7437" s="137"/>
      <c r="N7437" s="12"/>
      <c r="O7437" s="12"/>
      <c r="P7437" s="13">
        <f>IFERROR(__xludf.DUMMYFUNCTION("VALUE(SUBSTITUTE((INDEX(SPLIT(A7437,"",""),1)),""."","","",1))"),59.834831)</f>
        <v>59.834831</v>
      </c>
      <c r="Q7437" s="13">
        <f>IFERROR(__xludf.DUMMYFUNCTION("VALUE(SUBSTITUTE((INDEX(SPLIT(A7437,"",""),2)),""."","","",1))"),30.338101)</f>
        <v>30.338101</v>
      </c>
      <c r="R7437" s="14" t="b">
        <f t="shared" si="1"/>
        <v>0</v>
      </c>
      <c r="S7437" s="14" t="str">
        <f t="shared" si="2"/>
        <v>59.834831,30.338101</v>
      </c>
      <c r="T7437" s="12"/>
    </row>
    <row r="7438">
      <c r="A7438" s="139" t="s">
        <v>10661</v>
      </c>
      <c r="B7438" s="140" t="s">
        <v>47936</v>
      </c>
      <c r="C7438" s="140" t="s">
        <v>47936</v>
      </c>
      <c r="D7438" s="140" t="s">
        <v>33342</v>
      </c>
      <c r="E7438" s="141" t="s">
        <v>47937</v>
      </c>
      <c r="F7438" s="139" t="s">
        <v>3169</v>
      </c>
      <c r="G7438" s="139" t="s">
        <v>33344</v>
      </c>
      <c r="H7438" s="139"/>
      <c r="I7438" s="140"/>
      <c r="J7438" s="140" t="s">
        <v>47938</v>
      </c>
      <c r="K7438" s="140" t="s">
        <v>47939</v>
      </c>
      <c r="L7438" s="140"/>
      <c r="M7438" s="140"/>
      <c r="N7438" s="12"/>
      <c r="O7438" s="12"/>
      <c r="P7438" s="13">
        <f>IFERROR(__xludf.DUMMYFUNCTION("VALUE(SUBSTITUTE((INDEX(SPLIT(A7438,"",""),1)),""."","","",1))"),55.769221)</f>
        <v>55.769221</v>
      </c>
      <c r="Q7438" s="13">
        <f>IFERROR(__xludf.DUMMYFUNCTION("VALUE(SUBSTITUTE((INDEX(SPLIT(A7438,"",""),2)),""."","","",1))"),37.640704)</f>
        <v>37.640704</v>
      </c>
      <c r="R7438" s="14" t="b">
        <f t="shared" si="1"/>
        <v>0</v>
      </c>
      <c r="S7438" s="14" t="str">
        <f t="shared" si="2"/>
        <v>55.769221,37.640704</v>
      </c>
      <c r="T7438" s="12"/>
    </row>
    <row r="7439">
      <c r="A7439" s="142" t="s">
        <v>47940</v>
      </c>
      <c r="B7439" s="143" t="s">
        <v>47941</v>
      </c>
      <c r="C7439" s="143" t="s">
        <v>47942</v>
      </c>
      <c r="D7439" s="143" t="s">
        <v>33342</v>
      </c>
      <c r="E7439" s="144" t="s">
        <v>47943</v>
      </c>
      <c r="F7439" s="142" t="s">
        <v>3169</v>
      </c>
      <c r="G7439" s="142" t="s">
        <v>33344</v>
      </c>
      <c r="H7439" s="142"/>
      <c r="I7439" s="143"/>
      <c r="J7439" s="143" t="s">
        <v>47944</v>
      </c>
      <c r="K7439" s="143" t="s">
        <v>47945</v>
      </c>
      <c r="L7439" s="145" t="s">
        <v>47946</v>
      </c>
      <c r="M7439" s="143"/>
      <c r="N7439" s="12"/>
      <c r="O7439" s="12"/>
      <c r="P7439" s="13">
        <f>IFERROR(__xludf.DUMMYFUNCTION("VALUE(SUBSTITUTE((INDEX(SPLIT(A7439,"",""),1)),""."","","",1))"),59.720018)</f>
        <v>59.720018</v>
      </c>
      <c r="Q7439" s="13">
        <f>IFERROR(__xludf.DUMMYFUNCTION("VALUE(SUBSTITUTE((INDEX(SPLIT(A7439,"",""),2)),""."","","",1))"),29.852571)</f>
        <v>29.852571</v>
      </c>
      <c r="R7439" s="14" t="b">
        <f t="shared" si="1"/>
        <v>0</v>
      </c>
      <c r="S7439" s="14" t="str">
        <f t="shared" si="2"/>
        <v>59.720018,29.852571</v>
      </c>
      <c r="T7439" s="12"/>
    </row>
    <row r="7440">
      <c r="A7440" s="139" t="s">
        <v>47947</v>
      </c>
      <c r="B7440" s="140" t="s">
        <v>47948</v>
      </c>
      <c r="C7440" s="140" t="s">
        <v>47949</v>
      </c>
      <c r="D7440" s="140" t="s">
        <v>33342</v>
      </c>
      <c r="E7440" s="141" t="s">
        <v>47950</v>
      </c>
      <c r="F7440" s="139" t="s">
        <v>3169</v>
      </c>
      <c r="G7440" s="139" t="s">
        <v>33344</v>
      </c>
      <c r="H7440" s="139"/>
      <c r="I7440" s="140"/>
      <c r="J7440" s="140" t="s">
        <v>47951</v>
      </c>
      <c r="K7440" s="140" t="s">
        <v>47952</v>
      </c>
      <c r="L7440" s="140"/>
      <c r="M7440" s="140"/>
      <c r="N7440" s="12"/>
      <c r="O7440" s="12"/>
      <c r="P7440" s="13">
        <f>IFERROR(__xludf.DUMMYFUNCTION("VALUE(SUBSTITUTE((INDEX(SPLIT(A7440,"",""),1)),""."","","",1))"),59.825049)</f>
        <v>59.825049</v>
      </c>
      <c r="Q7440" s="13">
        <f>IFERROR(__xludf.DUMMYFUNCTION("VALUE(SUBSTITUTE((INDEX(SPLIT(A7440,"",""),2)),""."","","",1))"),30.327555)</f>
        <v>30.327555</v>
      </c>
      <c r="R7440" s="14" t="b">
        <f t="shared" si="1"/>
        <v>0</v>
      </c>
      <c r="S7440" s="14" t="str">
        <f t="shared" si="2"/>
        <v>59.825049,30.327555</v>
      </c>
      <c r="T7440" s="12"/>
    </row>
    <row r="7441">
      <c r="A7441" s="136" t="s">
        <v>47953</v>
      </c>
      <c r="B7441" s="137" t="s">
        <v>47954</v>
      </c>
      <c r="C7441" s="137" t="s">
        <v>47955</v>
      </c>
      <c r="D7441" s="137" t="s">
        <v>33342</v>
      </c>
      <c r="E7441" s="138" t="s">
        <v>47956</v>
      </c>
      <c r="F7441" s="136" t="s">
        <v>3169</v>
      </c>
      <c r="G7441" s="136" t="s">
        <v>33344</v>
      </c>
      <c r="H7441" s="136"/>
      <c r="I7441" s="137"/>
      <c r="J7441" s="137" t="s">
        <v>47957</v>
      </c>
      <c r="K7441" s="137" t="s">
        <v>47958</v>
      </c>
      <c r="L7441" s="137"/>
      <c r="M7441" s="137"/>
      <c r="N7441" s="12"/>
      <c r="O7441" s="12"/>
      <c r="P7441" s="13">
        <f>IFERROR(__xludf.DUMMYFUNCTION("VALUE(SUBSTITUTE((INDEX(SPLIT(A7441,"",""),1)),""."","","",1))"),59.614741)</f>
        <v>59.614741</v>
      </c>
      <c r="Q7441" s="13">
        <f>IFERROR(__xludf.DUMMYFUNCTION("VALUE(SUBSTITUTE((INDEX(SPLIT(A7441,"",""),2)),""."","","",1))"),30.171257)</f>
        <v>30.171257</v>
      </c>
      <c r="R7441" s="14" t="b">
        <f t="shared" si="1"/>
        <v>0</v>
      </c>
      <c r="S7441" s="14" t="str">
        <f t="shared" si="2"/>
        <v>59.614741,30.171257</v>
      </c>
      <c r="T7441" s="12"/>
    </row>
    <row r="7442">
      <c r="A7442" s="146" t="s">
        <v>47959</v>
      </c>
      <c r="B7442" s="147" t="s">
        <v>5442</v>
      </c>
      <c r="C7442" s="147" t="s">
        <v>47960</v>
      </c>
      <c r="D7442" s="147" t="s">
        <v>33342</v>
      </c>
      <c r="E7442" s="148" t="s">
        <v>47961</v>
      </c>
      <c r="F7442" s="146" t="s">
        <v>3169</v>
      </c>
      <c r="G7442" s="146" t="s">
        <v>33344</v>
      </c>
      <c r="H7442" s="146"/>
      <c r="I7442" s="147"/>
      <c r="J7442" s="147" t="s">
        <v>47962</v>
      </c>
      <c r="K7442" s="147" t="s">
        <v>47963</v>
      </c>
      <c r="L7442" s="150" t="s">
        <v>47964</v>
      </c>
      <c r="M7442" s="147"/>
      <c r="N7442" s="12"/>
      <c r="O7442" s="12"/>
      <c r="P7442" s="13">
        <f>IFERROR(__xludf.DUMMYFUNCTION("VALUE(SUBSTITUTE((INDEX(SPLIT(A7442,"",""),1)),""."","","",1))"),59.818649)</f>
        <v>59.818649</v>
      </c>
      <c r="Q7442" s="13">
        <f>IFERROR(__xludf.DUMMYFUNCTION("VALUE(SUBSTITUTE((INDEX(SPLIT(A7442,"",""),2)),""."","","",1))"),30.35887)</f>
        <v>30.35887</v>
      </c>
      <c r="R7442" s="14" t="b">
        <f t="shared" si="1"/>
        <v>0</v>
      </c>
      <c r="S7442" s="14" t="str">
        <f t="shared" si="2"/>
        <v>59.818649,30.35887</v>
      </c>
      <c r="T7442" s="12"/>
    </row>
    <row r="7443">
      <c r="A7443" s="142" t="s">
        <v>47965</v>
      </c>
      <c r="B7443" s="143" t="s">
        <v>47966</v>
      </c>
      <c r="C7443" s="143" t="s">
        <v>47967</v>
      </c>
      <c r="D7443" s="143" t="s">
        <v>33342</v>
      </c>
      <c r="E7443" s="144" t="s">
        <v>47968</v>
      </c>
      <c r="F7443" s="142" t="s">
        <v>3169</v>
      </c>
      <c r="G7443" s="142" t="s">
        <v>33344</v>
      </c>
      <c r="H7443" s="142"/>
      <c r="I7443" s="143"/>
      <c r="J7443" s="143" t="s">
        <v>47969</v>
      </c>
      <c r="K7443" s="143" t="s">
        <v>47970</v>
      </c>
      <c r="L7443" s="145" t="s">
        <v>47971</v>
      </c>
      <c r="M7443" s="143"/>
      <c r="N7443" s="12"/>
      <c r="O7443" s="12"/>
      <c r="P7443" s="13">
        <f>IFERROR(__xludf.DUMMYFUNCTION("VALUE(SUBSTITUTE((INDEX(SPLIT(A7443,"",""),1)),""."","","",1))"),59.850992)</f>
        <v>59.850992</v>
      </c>
      <c r="Q7443" s="13">
        <f>IFERROR(__xludf.DUMMYFUNCTION("VALUE(SUBSTITUTE((INDEX(SPLIT(A7443,"",""),2)),""."","","",1))"),30.308268)</f>
        <v>30.308268</v>
      </c>
      <c r="R7443" s="14" t="b">
        <f t="shared" si="1"/>
        <v>0</v>
      </c>
      <c r="S7443" s="14" t="str">
        <f t="shared" si="2"/>
        <v>59.850992,30.308268</v>
      </c>
      <c r="T7443" s="12"/>
    </row>
    <row r="7444">
      <c r="A7444" s="146" t="s">
        <v>47972</v>
      </c>
      <c r="B7444" s="147" t="s">
        <v>47973</v>
      </c>
      <c r="C7444" s="147" t="s">
        <v>47974</v>
      </c>
      <c r="D7444" s="147" t="s">
        <v>33342</v>
      </c>
      <c r="E7444" s="148" t="s">
        <v>47975</v>
      </c>
      <c r="F7444" s="146" t="s">
        <v>3169</v>
      </c>
      <c r="G7444" s="146" t="s">
        <v>33344</v>
      </c>
      <c r="H7444" s="146"/>
      <c r="I7444" s="147"/>
      <c r="J7444" s="147" t="s">
        <v>47976</v>
      </c>
      <c r="K7444" s="147" t="s">
        <v>47977</v>
      </c>
      <c r="L7444" s="149" t="s">
        <v>47978</v>
      </c>
      <c r="M7444" s="149" t="s">
        <v>3572</v>
      </c>
      <c r="N7444" s="12"/>
      <c r="O7444" s="12"/>
      <c r="P7444" s="13">
        <f>IFERROR(__xludf.DUMMYFUNCTION("VALUE(SUBSTITUTE((INDEX(SPLIT(A7444,"",""),1)),""."","","",1))"),59.994252)</f>
        <v>59.994252</v>
      </c>
      <c r="Q7444" s="13">
        <f>IFERROR(__xludf.DUMMYFUNCTION("VALUE(SUBSTITUTE((INDEX(SPLIT(A7444,"",""),2)),""."","","",1))"),30.387859)</f>
        <v>30.387859</v>
      </c>
      <c r="R7444" s="14" t="b">
        <f t="shared" si="1"/>
        <v>0</v>
      </c>
      <c r="S7444" s="14" t="str">
        <f t="shared" si="2"/>
        <v>59.994252,30.387859</v>
      </c>
      <c r="T7444" s="12"/>
    </row>
    <row r="7445">
      <c r="A7445" s="136" t="s">
        <v>47979</v>
      </c>
      <c r="B7445" s="137" t="s">
        <v>47980</v>
      </c>
      <c r="C7445" s="137" t="s">
        <v>47981</v>
      </c>
      <c r="D7445" s="137" t="s">
        <v>33342</v>
      </c>
      <c r="E7445" s="138" t="s">
        <v>47982</v>
      </c>
      <c r="F7445" s="136" t="s">
        <v>3169</v>
      </c>
      <c r="G7445" s="136" t="s">
        <v>33344</v>
      </c>
      <c r="H7445" s="136"/>
      <c r="I7445" s="137"/>
      <c r="J7445" s="137" t="s">
        <v>47983</v>
      </c>
      <c r="K7445" s="137" t="s">
        <v>47984</v>
      </c>
      <c r="L7445" s="137"/>
      <c r="M7445" s="137"/>
      <c r="N7445" s="12"/>
      <c r="O7445" s="12"/>
      <c r="P7445" s="13">
        <f>IFERROR(__xludf.DUMMYFUNCTION("VALUE(SUBSTITUTE((INDEX(SPLIT(A7445,"",""),1)),""."","","",1))"),59.883643)</f>
        <v>59.883643</v>
      </c>
      <c r="Q7445" s="13">
        <f>IFERROR(__xludf.DUMMYFUNCTION("VALUE(SUBSTITUTE((INDEX(SPLIT(A7445,"",""),2)),""."","","",1))"),30.338955)</f>
        <v>30.338955</v>
      </c>
      <c r="R7445" s="14" t="b">
        <f t="shared" si="1"/>
        <v>0</v>
      </c>
      <c r="S7445" s="14" t="str">
        <f t="shared" si="2"/>
        <v>59.883643,30.338955</v>
      </c>
      <c r="T7445" s="12"/>
    </row>
    <row r="7446">
      <c r="A7446" s="139" t="s">
        <v>47985</v>
      </c>
      <c r="B7446" s="140" t="s">
        <v>47986</v>
      </c>
      <c r="C7446" s="140" t="s">
        <v>47987</v>
      </c>
      <c r="D7446" s="140" t="s">
        <v>33342</v>
      </c>
      <c r="E7446" s="141" t="s">
        <v>47988</v>
      </c>
      <c r="F7446" s="139" t="s">
        <v>3169</v>
      </c>
      <c r="G7446" s="139" t="s">
        <v>33344</v>
      </c>
      <c r="H7446" s="139"/>
      <c r="I7446" s="140"/>
      <c r="J7446" s="140" t="s">
        <v>47989</v>
      </c>
      <c r="K7446" s="140" t="s">
        <v>47990</v>
      </c>
      <c r="L7446" s="140"/>
      <c r="M7446" s="140"/>
      <c r="N7446" s="12"/>
      <c r="O7446" s="12"/>
      <c r="P7446" s="13">
        <f>IFERROR(__xludf.DUMMYFUNCTION("VALUE(SUBSTITUTE((INDEX(SPLIT(A7446,"",""),1)),""."","","",1))"),59.938257)</f>
        <v>59.938257</v>
      </c>
      <c r="Q7446" s="13">
        <f>IFERROR(__xludf.DUMMYFUNCTION("VALUE(SUBSTITUTE((INDEX(SPLIT(A7446,"",""),2)),""."","","",1))"),30.444192)</f>
        <v>30.444192</v>
      </c>
      <c r="R7446" s="14" t="b">
        <f t="shared" si="1"/>
        <v>0</v>
      </c>
      <c r="S7446" s="14" t="str">
        <f t="shared" si="2"/>
        <v>59.938257,30.444192</v>
      </c>
      <c r="T7446" s="12"/>
    </row>
    <row r="7447">
      <c r="A7447" s="136" t="s">
        <v>47991</v>
      </c>
      <c r="B7447" s="137" t="s">
        <v>5490</v>
      </c>
      <c r="C7447" s="137" t="s">
        <v>5490</v>
      </c>
      <c r="D7447" s="137" t="s">
        <v>33342</v>
      </c>
      <c r="E7447" s="138" t="s">
        <v>47992</v>
      </c>
      <c r="F7447" s="136" t="s">
        <v>3169</v>
      </c>
      <c r="G7447" s="136" t="s">
        <v>33344</v>
      </c>
      <c r="H7447" s="136"/>
      <c r="I7447" s="137"/>
      <c r="J7447" s="137" t="s">
        <v>47993</v>
      </c>
      <c r="K7447" s="137" t="s">
        <v>47994</v>
      </c>
      <c r="L7447" s="137"/>
      <c r="M7447" s="137"/>
      <c r="N7447" s="12"/>
      <c r="O7447" s="12"/>
      <c r="P7447" s="13">
        <f>IFERROR(__xludf.DUMMYFUNCTION("VALUE(SUBSTITUTE((INDEX(SPLIT(A7447,"",""),1)),""."","","",1))"),59.819639)</f>
        <v>59.819639</v>
      </c>
      <c r="Q7447" s="13">
        <f>IFERROR(__xludf.DUMMYFUNCTION("VALUE(SUBSTITUTE((INDEX(SPLIT(A7447,"",""),2)),""."","","",1))"),30.358322)</f>
        <v>30.358322</v>
      </c>
      <c r="R7447" s="14" t="b">
        <f t="shared" si="1"/>
        <v>0</v>
      </c>
      <c r="S7447" s="14" t="str">
        <f t="shared" si="2"/>
        <v>59.819639,30.358322</v>
      </c>
      <c r="T7447" s="12"/>
    </row>
    <row r="7448">
      <c r="A7448" s="146" t="s">
        <v>47995</v>
      </c>
      <c r="B7448" s="147" t="s">
        <v>47996</v>
      </c>
      <c r="C7448" s="147" t="s">
        <v>47997</v>
      </c>
      <c r="D7448" s="147" t="s">
        <v>33342</v>
      </c>
      <c r="E7448" s="148" t="s">
        <v>47998</v>
      </c>
      <c r="F7448" s="146" t="s">
        <v>3169</v>
      </c>
      <c r="G7448" s="146" t="s">
        <v>33344</v>
      </c>
      <c r="H7448" s="146"/>
      <c r="I7448" s="147"/>
      <c r="J7448" s="147" t="s">
        <v>47999</v>
      </c>
      <c r="K7448" s="147" t="s">
        <v>48000</v>
      </c>
      <c r="L7448" s="149" t="s">
        <v>48001</v>
      </c>
      <c r="M7448" s="147"/>
      <c r="N7448" s="12"/>
      <c r="O7448" s="12"/>
      <c r="P7448" s="13">
        <f>IFERROR(__xludf.DUMMYFUNCTION("VALUE(SUBSTITUTE((INDEX(SPLIT(A7448,"",""),1)),""."","","",1))"),59.924456)</f>
        <v>59.924456</v>
      </c>
      <c r="Q7448" s="13">
        <f>IFERROR(__xludf.DUMMYFUNCTION("VALUE(SUBSTITUTE((INDEX(SPLIT(A7448,"",""),2)),""."","","",1))"),30.495316)</f>
        <v>30.495316</v>
      </c>
      <c r="R7448" s="14" t="b">
        <f t="shared" si="1"/>
        <v>0</v>
      </c>
      <c r="S7448" s="14" t="str">
        <f t="shared" si="2"/>
        <v>59.924456,30.495316</v>
      </c>
      <c r="T7448" s="12"/>
    </row>
    <row r="7449">
      <c r="A7449" s="136" t="s">
        <v>4450</v>
      </c>
      <c r="B7449" s="137" t="s">
        <v>48002</v>
      </c>
      <c r="C7449" s="137" t="s">
        <v>48003</v>
      </c>
      <c r="D7449" s="137" t="s">
        <v>33342</v>
      </c>
      <c r="E7449" s="138" t="s">
        <v>48004</v>
      </c>
      <c r="F7449" s="136" t="s">
        <v>3169</v>
      </c>
      <c r="G7449" s="136" t="s">
        <v>33344</v>
      </c>
      <c r="H7449" s="136"/>
      <c r="I7449" s="137"/>
      <c r="J7449" s="137" t="s">
        <v>48005</v>
      </c>
      <c r="K7449" s="137" t="s">
        <v>48006</v>
      </c>
      <c r="L7449" s="137"/>
      <c r="M7449" s="137"/>
      <c r="N7449" s="12"/>
      <c r="O7449" s="12"/>
      <c r="P7449" s="13">
        <f>IFERROR(__xludf.DUMMYFUNCTION("VALUE(SUBSTITUTE((INDEX(SPLIT(A7449,"",""),1)),""."","","",1))"),59.821245)</f>
        <v>59.821245</v>
      </c>
      <c r="Q7449" s="13">
        <f>IFERROR(__xludf.DUMMYFUNCTION("VALUE(SUBSTITUTE((INDEX(SPLIT(A7449,"",""),2)),""."","","",1))"),30.360173)</f>
        <v>30.360173</v>
      </c>
      <c r="R7449" s="14" t="b">
        <f t="shared" si="1"/>
        <v>0</v>
      </c>
      <c r="S7449" s="14" t="str">
        <f t="shared" si="2"/>
        <v>59.821245,30.360173</v>
      </c>
      <c r="T7449" s="12"/>
    </row>
    <row r="7450">
      <c r="A7450" s="146" t="s">
        <v>48007</v>
      </c>
      <c r="B7450" s="147" t="s">
        <v>48008</v>
      </c>
      <c r="C7450" s="147" t="s">
        <v>48009</v>
      </c>
      <c r="D7450" s="147" t="s">
        <v>33342</v>
      </c>
      <c r="E7450" s="148" t="s">
        <v>48010</v>
      </c>
      <c r="F7450" s="146" t="s">
        <v>3169</v>
      </c>
      <c r="G7450" s="146" t="s">
        <v>33344</v>
      </c>
      <c r="H7450" s="146"/>
      <c r="I7450" s="147"/>
      <c r="J7450" s="147" t="s">
        <v>48011</v>
      </c>
      <c r="K7450" s="147" t="s">
        <v>48012</v>
      </c>
      <c r="L7450" s="149" t="s">
        <v>48013</v>
      </c>
      <c r="M7450" s="147"/>
      <c r="N7450" s="12"/>
      <c r="O7450" s="12"/>
      <c r="P7450" s="13">
        <f>IFERROR(__xludf.DUMMYFUNCTION("VALUE(SUBSTITUTE((INDEX(SPLIT(A7450,"",""),1)),""."","","",1))"),59.888054)</f>
        <v>59.888054</v>
      </c>
      <c r="Q7450" s="13">
        <f>IFERROR(__xludf.DUMMYFUNCTION("VALUE(SUBSTITUTE((INDEX(SPLIT(A7450,"",""),2)),""."","","",1))"),30.456643)</f>
        <v>30.456643</v>
      </c>
      <c r="R7450" s="14" t="b">
        <f t="shared" si="1"/>
        <v>0</v>
      </c>
      <c r="S7450" s="14" t="str">
        <f t="shared" si="2"/>
        <v>59.888054,30.456643</v>
      </c>
      <c r="T7450" s="12"/>
    </row>
    <row r="7451">
      <c r="A7451" s="142" t="s">
        <v>48014</v>
      </c>
      <c r="B7451" s="143" t="s">
        <v>48015</v>
      </c>
      <c r="C7451" s="143" t="s">
        <v>48016</v>
      </c>
      <c r="D7451" s="143" t="s">
        <v>33342</v>
      </c>
      <c r="E7451" s="144" t="s">
        <v>48017</v>
      </c>
      <c r="F7451" s="142" t="s">
        <v>3169</v>
      </c>
      <c r="G7451" s="142" t="s">
        <v>33344</v>
      </c>
      <c r="H7451" s="142"/>
      <c r="I7451" s="143"/>
      <c r="J7451" s="143" t="s">
        <v>48018</v>
      </c>
      <c r="K7451" s="143" t="s">
        <v>48019</v>
      </c>
      <c r="L7451" s="145" t="s">
        <v>48020</v>
      </c>
      <c r="M7451" s="143"/>
      <c r="N7451" s="12"/>
      <c r="O7451" s="12"/>
      <c r="P7451" s="13">
        <f>IFERROR(__xludf.DUMMYFUNCTION("VALUE(SUBSTITUTE((INDEX(SPLIT(A7451,"",""),1)),""."","","",1))"),59.89408)</f>
        <v>59.89408</v>
      </c>
      <c r="Q7451" s="13">
        <f>IFERROR(__xludf.DUMMYFUNCTION("VALUE(SUBSTITUTE((INDEX(SPLIT(A7451,"",""),2)),""."","","",1))"),30.438991)</f>
        <v>30.438991</v>
      </c>
      <c r="R7451" s="14" t="b">
        <f t="shared" si="1"/>
        <v>0</v>
      </c>
      <c r="S7451" s="14" t="str">
        <f t="shared" si="2"/>
        <v>59.89408,30.438991</v>
      </c>
      <c r="T7451" s="12"/>
    </row>
    <row r="7452">
      <c r="A7452" s="139" t="s">
        <v>48021</v>
      </c>
      <c r="B7452" s="140" t="s">
        <v>48022</v>
      </c>
      <c r="C7452" s="140" t="s">
        <v>48023</v>
      </c>
      <c r="D7452" s="140" t="s">
        <v>33342</v>
      </c>
      <c r="E7452" s="141" t="s">
        <v>48024</v>
      </c>
      <c r="F7452" s="139" t="s">
        <v>3169</v>
      </c>
      <c r="G7452" s="139" t="s">
        <v>33344</v>
      </c>
      <c r="H7452" s="139"/>
      <c r="I7452" s="140"/>
      <c r="J7452" s="140" t="s">
        <v>48025</v>
      </c>
      <c r="K7452" s="140" t="s">
        <v>48026</v>
      </c>
      <c r="L7452" s="140"/>
      <c r="M7452" s="154" t="s">
        <v>48027</v>
      </c>
      <c r="N7452" s="12"/>
      <c r="O7452" s="12"/>
      <c r="P7452" s="13">
        <f>IFERROR(__xludf.DUMMYFUNCTION("VALUE(SUBSTITUTE((INDEX(SPLIT(A7452,"",""),1)),""."","","",1))"),59.959363)</f>
        <v>59.959363</v>
      </c>
      <c r="Q7452" s="13">
        <f>IFERROR(__xludf.DUMMYFUNCTION("VALUE(SUBSTITUTE((INDEX(SPLIT(A7452,"",""),2)),""."","","",1))"),30.293051)</f>
        <v>30.293051</v>
      </c>
      <c r="R7452" s="14" t="b">
        <f t="shared" si="1"/>
        <v>0</v>
      </c>
      <c r="S7452" s="14" t="str">
        <f t="shared" si="2"/>
        <v>59.959363,30.293051</v>
      </c>
      <c r="T7452" s="12"/>
    </row>
    <row r="7453">
      <c r="A7453" s="136" t="s">
        <v>48028</v>
      </c>
      <c r="B7453" s="137" t="s">
        <v>48029</v>
      </c>
      <c r="C7453" s="137" t="s">
        <v>48030</v>
      </c>
      <c r="D7453" s="137" t="s">
        <v>33342</v>
      </c>
      <c r="E7453" s="138" t="s">
        <v>48031</v>
      </c>
      <c r="F7453" s="136" t="s">
        <v>3169</v>
      </c>
      <c r="G7453" s="136" t="s">
        <v>33344</v>
      </c>
      <c r="H7453" s="136"/>
      <c r="I7453" s="137"/>
      <c r="J7453" s="137" t="s">
        <v>48032</v>
      </c>
      <c r="K7453" s="137" t="s">
        <v>48033</v>
      </c>
      <c r="L7453" s="137"/>
      <c r="M7453" s="137"/>
      <c r="N7453" s="12"/>
      <c r="O7453" s="12"/>
      <c r="P7453" s="13">
        <f>IFERROR(__xludf.DUMMYFUNCTION("VALUE(SUBSTITUTE((INDEX(SPLIT(A7453,"",""),1)),""."","","",1))"),59.886447)</f>
        <v>59.886447</v>
      </c>
      <c r="Q7453" s="13">
        <f>IFERROR(__xludf.DUMMYFUNCTION("VALUE(SUBSTITUTE((INDEX(SPLIT(A7453,"",""),2)),""."","","",1))"),30.471079)</f>
        <v>30.471079</v>
      </c>
      <c r="R7453" s="14" t="b">
        <f t="shared" si="1"/>
        <v>0</v>
      </c>
      <c r="S7453" s="14" t="str">
        <f t="shared" si="2"/>
        <v>59.886447,30.471079</v>
      </c>
      <c r="T7453" s="12"/>
    </row>
    <row r="7454">
      <c r="A7454" s="146" t="s">
        <v>48034</v>
      </c>
      <c r="B7454" s="147" t="s">
        <v>48035</v>
      </c>
      <c r="C7454" s="147" t="s">
        <v>48036</v>
      </c>
      <c r="D7454" s="147" t="s">
        <v>33342</v>
      </c>
      <c r="E7454" s="148" t="s">
        <v>48037</v>
      </c>
      <c r="F7454" s="146" t="s">
        <v>3169</v>
      </c>
      <c r="G7454" s="146" t="s">
        <v>33344</v>
      </c>
      <c r="H7454" s="146"/>
      <c r="I7454" s="147"/>
      <c r="J7454" s="147" t="s">
        <v>48038</v>
      </c>
      <c r="K7454" s="147" t="s">
        <v>48039</v>
      </c>
      <c r="L7454" s="150" t="s">
        <v>48040</v>
      </c>
      <c r="M7454" s="147"/>
      <c r="N7454" s="12"/>
      <c r="O7454" s="12"/>
      <c r="P7454" s="13">
        <f>IFERROR(__xludf.DUMMYFUNCTION("VALUE(SUBSTITUTE((INDEX(SPLIT(A7454,"",""),1)),""."","","",1))"),59.959841)</f>
        <v>59.959841</v>
      </c>
      <c r="Q7454" s="13">
        <f>IFERROR(__xludf.DUMMYFUNCTION("VALUE(SUBSTITUTE((INDEX(SPLIT(A7454,"",""),2)),""."","","",1))"),30.305681)</f>
        <v>30.305681</v>
      </c>
      <c r="R7454" s="14" t="b">
        <f t="shared" si="1"/>
        <v>0</v>
      </c>
      <c r="S7454" s="14" t="str">
        <f t="shared" si="2"/>
        <v>59.959841,30.305681</v>
      </c>
      <c r="T7454" s="12"/>
    </row>
    <row r="7455">
      <c r="A7455" s="142" t="s">
        <v>48041</v>
      </c>
      <c r="B7455" s="143" t="s">
        <v>48042</v>
      </c>
      <c r="C7455" s="143" t="s">
        <v>48043</v>
      </c>
      <c r="D7455" s="143" t="s">
        <v>33342</v>
      </c>
      <c r="E7455" s="144" t="s">
        <v>48044</v>
      </c>
      <c r="F7455" s="142" t="s">
        <v>3169</v>
      </c>
      <c r="G7455" s="142" t="s">
        <v>33344</v>
      </c>
      <c r="H7455" s="142"/>
      <c r="I7455" s="143"/>
      <c r="J7455" s="143" t="s">
        <v>48045</v>
      </c>
      <c r="K7455" s="143" t="s">
        <v>48046</v>
      </c>
      <c r="L7455" s="145" t="s">
        <v>48047</v>
      </c>
      <c r="M7455" s="143"/>
      <c r="N7455" s="12"/>
      <c r="O7455" s="12"/>
      <c r="P7455" s="13">
        <f>IFERROR(__xludf.DUMMYFUNCTION("VALUE(SUBSTITUTE((INDEX(SPLIT(A7455,"",""),1)),""."","","",1))"),59.985003)</f>
        <v>59.985003</v>
      </c>
      <c r="Q7455" s="13">
        <f>IFERROR(__xludf.DUMMYFUNCTION("VALUE(SUBSTITUTE((INDEX(SPLIT(A7455,"",""),2)),""."","","",1))"),30.250013)</f>
        <v>30.250013</v>
      </c>
      <c r="R7455" s="14" t="b">
        <f t="shared" si="1"/>
        <v>0</v>
      </c>
      <c r="S7455" s="14" t="str">
        <f t="shared" si="2"/>
        <v>59.985003,30.250013</v>
      </c>
      <c r="T7455" s="12"/>
    </row>
    <row r="7456">
      <c r="A7456" s="146" t="s">
        <v>3852</v>
      </c>
      <c r="B7456" s="147" t="s">
        <v>48048</v>
      </c>
      <c r="C7456" s="147" t="s">
        <v>48049</v>
      </c>
      <c r="D7456" s="147" t="s">
        <v>33342</v>
      </c>
      <c r="E7456" s="148" t="s">
        <v>48050</v>
      </c>
      <c r="F7456" s="146" t="s">
        <v>3169</v>
      </c>
      <c r="G7456" s="146" t="s">
        <v>33344</v>
      </c>
      <c r="H7456" s="146"/>
      <c r="I7456" s="147"/>
      <c r="J7456" s="147" t="s">
        <v>48051</v>
      </c>
      <c r="K7456" s="147" t="s">
        <v>48052</v>
      </c>
      <c r="L7456" s="149" t="s">
        <v>48053</v>
      </c>
      <c r="M7456" s="147"/>
      <c r="N7456" s="12"/>
      <c r="O7456" s="12"/>
      <c r="P7456" s="13">
        <f>IFERROR(__xludf.DUMMYFUNCTION("VALUE(SUBSTITUTE((INDEX(SPLIT(A7456,"",""),1)),""."","","",1))"),60.032227)</f>
        <v>60.032227</v>
      </c>
      <c r="Q7456" s="13">
        <f>IFERROR(__xludf.DUMMYFUNCTION("VALUE(SUBSTITUTE((INDEX(SPLIT(A7456,"",""),2)),""."","","",1))"),30.26815)</f>
        <v>30.26815</v>
      </c>
      <c r="R7456" s="14" t="b">
        <f t="shared" si="1"/>
        <v>0</v>
      </c>
      <c r="S7456" s="14" t="str">
        <f t="shared" si="2"/>
        <v>60.032227,30.26815</v>
      </c>
      <c r="T7456" s="12"/>
    </row>
    <row r="7457">
      <c r="A7457" s="136" t="s">
        <v>48054</v>
      </c>
      <c r="B7457" s="137" t="s">
        <v>48055</v>
      </c>
      <c r="C7457" s="137" t="s">
        <v>48056</v>
      </c>
      <c r="D7457" s="137" t="s">
        <v>33342</v>
      </c>
      <c r="E7457" s="138" t="s">
        <v>48057</v>
      </c>
      <c r="F7457" s="136" t="s">
        <v>3169</v>
      </c>
      <c r="G7457" s="136" t="s">
        <v>33344</v>
      </c>
      <c r="H7457" s="136"/>
      <c r="I7457" s="137"/>
      <c r="J7457" s="137" t="s">
        <v>48058</v>
      </c>
      <c r="K7457" s="137" t="s">
        <v>48059</v>
      </c>
      <c r="L7457" s="137"/>
      <c r="M7457" s="137"/>
      <c r="N7457" s="12"/>
      <c r="O7457" s="12"/>
      <c r="P7457" s="13">
        <f>IFERROR(__xludf.DUMMYFUNCTION("VALUE(SUBSTITUTE((INDEX(SPLIT(A7457,"",""),1)),""."","","",1))"),59.896012)</f>
        <v>59.896012</v>
      </c>
      <c r="Q7457" s="13">
        <f>IFERROR(__xludf.DUMMYFUNCTION("VALUE(SUBSTITUTE((INDEX(SPLIT(A7457,"",""),2)),""."","","",1))"),30.357505)</f>
        <v>30.357505</v>
      </c>
      <c r="R7457" s="14" t="b">
        <f t="shared" si="1"/>
        <v>0</v>
      </c>
      <c r="S7457" s="14" t="str">
        <f t="shared" si="2"/>
        <v>59.896012,30.357505</v>
      </c>
      <c r="T7457" s="12"/>
    </row>
    <row r="7458">
      <c r="A7458" s="139" t="s">
        <v>48060</v>
      </c>
      <c r="B7458" s="140" t="s">
        <v>48061</v>
      </c>
      <c r="C7458" s="140" t="s">
        <v>48062</v>
      </c>
      <c r="D7458" s="140" t="s">
        <v>33342</v>
      </c>
      <c r="E7458" s="141" t="s">
        <v>48063</v>
      </c>
      <c r="F7458" s="139" t="s">
        <v>3169</v>
      </c>
      <c r="G7458" s="139" t="s">
        <v>33344</v>
      </c>
      <c r="H7458" s="139"/>
      <c r="I7458" s="140"/>
      <c r="J7458" s="140" t="s">
        <v>48064</v>
      </c>
      <c r="K7458" s="140" t="s">
        <v>48065</v>
      </c>
      <c r="L7458" s="140"/>
      <c r="M7458" s="154" t="s">
        <v>48066</v>
      </c>
      <c r="N7458" s="12"/>
      <c r="O7458" s="12"/>
      <c r="P7458" s="13">
        <f>IFERROR(__xludf.DUMMYFUNCTION("VALUE(SUBSTITUTE((INDEX(SPLIT(A7458,"",""),1)),""."","","",1))"),60.007897)</f>
        <v>60.007897</v>
      </c>
      <c r="Q7458" s="13">
        <f>IFERROR(__xludf.DUMMYFUNCTION("VALUE(SUBSTITUTE((INDEX(SPLIT(A7458,"",""),2)),""."","","",1))"),30.22177)</f>
        <v>30.22177</v>
      </c>
      <c r="R7458" s="14" t="b">
        <f t="shared" si="1"/>
        <v>0</v>
      </c>
      <c r="S7458" s="14" t="str">
        <f t="shared" si="2"/>
        <v>60.007897,30.22177</v>
      </c>
      <c r="T7458" s="12"/>
    </row>
    <row r="7459">
      <c r="A7459" s="142" t="s">
        <v>48067</v>
      </c>
      <c r="B7459" s="143" t="s">
        <v>48068</v>
      </c>
      <c r="C7459" s="143" t="s">
        <v>48069</v>
      </c>
      <c r="D7459" s="143" t="s">
        <v>33342</v>
      </c>
      <c r="E7459" s="144" t="s">
        <v>48070</v>
      </c>
      <c r="F7459" s="142" t="s">
        <v>3169</v>
      </c>
      <c r="G7459" s="142" t="s">
        <v>33344</v>
      </c>
      <c r="H7459" s="142"/>
      <c r="I7459" s="143"/>
      <c r="J7459" s="143" t="s">
        <v>48071</v>
      </c>
      <c r="K7459" s="143" t="s">
        <v>48072</v>
      </c>
      <c r="L7459" s="145" t="s">
        <v>48073</v>
      </c>
      <c r="M7459" s="143"/>
      <c r="N7459" s="12"/>
      <c r="O7459" s="12"/>
      <c r="P7459" s="13">
        <f>IFERROR(__xludf.DUMMYFUNCTION("VALUE(SUBSTITUTE((INDEX(SPLIT(A7459,"",""),1)),""."","","",1))"),60.724112)</f>
        <v>60.724112</v>
      </c>
      <c r="Q7459" s="13">
        <f>IFERROR(__xludf.DUMMYFUNCTION("VALUE(SUBSTITUTE((INDEX(SPLIT(A7459,"",""),2)),""."","","",1))"),28.78584)</f>
        <v>28.78584</v>
      </c>
      <c r="R7459" s="14" t="b">
        <f t="shared" si="1"/>
        <v>0</v>
      </c>
      <c r="S7459" s="14" t="str">
        <f t="shared" si="2"/>
        <v>60.724112,28.78584</v>
      </c>
      <c r="T7459" s="12"/>
    </row>
    <row r="7460">
      <c r="A7460" s="146" t="s">
        <v>4726</v>
      </c>
      <c r="B7460" s="147" t="s">
        <v>48074</v>
      </c>
      <c r="C7460" s="147" t="s">
        <v>48075</v>
      </c>
      <c r="D7460" s="147" t="s">
        <v>33342</v>
      </c>
      <c r="E7460" s="148" t="s">
        <v>48076</v>
      </c>
      <c r="F7460" s="146" t="s">
        <v>3169</v>
      </c>
      <c r="G7460" s="146" t="s">
        <v>33344</v>
      </c>
      <c r="H7460" s="146"/>
      <c r="I7460" s="147"/>
      <c r="J7460" s="147" t="s">
        <v>48077</v>
      </c>
      <c r="K7460" s="147" t="s">
        <v>48078</v>
      </c>
      <c r="L7460" s="149" t="s">
        <v>48079</v>
      </c>
      <c r="M7460" s="149" t="s">
        <v>48080</v>
      </c>
      <c r="N7460" s="12"/>
      <c r="O7460" s="12"/>
      <c r="P7460" s="13">
        <f>IFERROR(__xludf.DUMMYFUNCTION("VALUE(SUBSTITUTE((INDEX(SPLIT(A7460,"",""),1)),""."","","",1))"),59.97798)</f>
        <v>59.97798</v>
      </c>
      <c r="Q7460" s="13">
        <f>IFERROR(__xludf.DUMMYFUNCTION("VALUE(SUBSTITUTE((INDEX(SPLIT(A7460,"",""),2)),""."","","",1))"),30.436638)</f>
        <v>30.436638</v>
      </c>
      <c r="R7460" s="14" t="b">
        <f t="shared" si="1"/>
        <v>0</v>
      </c>
      <c r="S7460" s="14" t="str">
        <f t="shared" si="2"/>
        <v>59.97798,30.436638</v>
      </c>
      <c r="T7460" s="12"/>
    </row>
    <row r="7461">
      <c r="A7461" s="142" t="s">
        <v>48081</v>
      </c>
      <c r="B7461" s="143" t="s">
        <v>48082</v>
      </c>
      <c r="C7461" s="143" t="s">
        <v>48083</v>
      </c>
      <c r="D7461" s="143" t="s">
        <v>33342</v>
      </c>
      <c r="E7461" s="144" t="s">
        <v>48084</v>
      </c>
      <c r="F7461" s="142" t="s">
        <v>3169</v>
      </c>
      <c r="G7461" s="142" t="s">
        <v>33344</v>
      </c>
      <c r="H7461" s="142"/>
      <c r="I7461" s="143"/>
      <c r="J7461" s="143" t="s">
        <v>48085</v>
      </c>
      <c r="K7461" s="143" t="s">
        <v>47939</v>
      </c>
      <c r="L7461" s="145" t="s">
        <v>48079</v>
      </c>
      <c r="M7461" s="145" t="s">
        <v>48086</v>
      </c>
      <c r="N7461" s="12"/>
      <c r="O7461" s="12"/>
      <c r="P7461" s="13">
        <f>IFERROR(__xludf.DUMMYFUNCTION("VALUE(SUBSTITUTE((INDEX(SPLIT(A7461,"",""),1)),""."","","",1))"),59.846626)</f>
        <v>59.846626</v>
      </c>
      <c r="Q7461" s="13">
        <f>IFERROR(__xludf.DUMMYFUNCTION("VALUE(SUBSTITUTE((INDEX(SPLIT(A7461,"",""),2)),""."","","",1))"),30.438102)</f>
        <v>30.438102</v>
      </c>
      <c r="R7461" s="14" t="b">
        <f t="shared" si="1"/>
        <v>0</v>
      </c>
      <c r="S7461" s="14" t="str">
        <f t="shared" si="2"/>
        <v>59.846626,30.438102</v>
      </c>
      <c r="T7461" s="12"/>
    </row>
    <row r="7462">
      <c r="A7462" s="139" t="s">
        <v>48087</v>
      </c>
      <c r="B7462" s="140" t="s">
        <v>48088</v>
      </c>
      <c r="C7462" s="140" t="s">
        <v>48089</v>
      </c>
      <c r="D7462" s="140" t="s">
        <v>33342</v>
      </c>
      <c r="E7462" s="141" t="s">
        <v>48090</v>
      </c>
      <c r="F7462" s="139" t="s">
        <v>3169</v>
      </c>
      <c r="G7462" s="139" t="s">
        <v>33344</v>
      </c>
      <c r="H7462" s="139"/>
      <c r="I7462" s="140"/>
      <c r="J7462" s="140" t="s">
        <v>48091</v>
      </c>
      <c r="K7462" s="140" t="s">
        <v>48092</v>
      </c>
      <c r="L7462" s="140"/>
      <c r="M7462" s="154" t="s">
        <v>48093</v>
      </c>
      <c r="N7462" s="12"/>
      <c r="O7462" s="12"/>
      <c r="P7462" s="13">
        <f>IFERROR(__xludf.DUMMYFUNCTION("VALUE(SUBSTITUTE((INDEX(SPLIT(A7462,"",""),1)),""."","","",1))"),59.936052)</f>
        <v>59.936052</v>
      </c>
      <c r="Q7462" s="13">
        <f>IFERROR(__xludf.DUMMYFUNCTION("VALUE(SUBSTITUTE((INDEX(SPLIT(A7462,"",""),2)),""."","","",1))"),30.416399)</f>
        <v>30.416399</v>
      </c>
      <c r="R7462" s="14" t="b">
        <f t="shared" si="1"/>
        <v>0</v>
      </c>
      <c r="S7462" s="14" t="str">
        <f t="shared" si="2"/>
        <v>59.936052,30.416399</v>
      </c>
      <c r="T7462" s="12"/>
    </row>
    <row r="7463">
      <c r="A7463" s="136" t="s">
        <v>48094</v>
      </c>
      <c r="B7463" s="137" t="s">
        <v>48095</v>
      </c>
      <c r="C7463" s="137" t="s">
        <v>48096</v>
      </c>
      <c r="D7463" s="137" t="s">
        <v>33342</v>
      </c>
      <c r="E7463" s="138" t="s">
        <v>48097</v>
      </c>
      <c r="F7463" s="136" t="s">
        <v>3169</v>
      </c>
      <c r="G7463" s="136" t="s">
        <v>33344</v>
      </c>
      <c r="H7463" s="136"/>
      <c r="I7463" s="137"/>
      <c r="J7463" s="137" t="s">
        <v>48098</v>
      </c>
      <c r="K7463" s="137" t="s">
        <v>48099</v>
      </c>
      <c r="L7463" s="137"/>
      <c r="M7463" s="153" t="s">
        <v>48100</v>
      </c>
      <c r="N7463" s="12"/>
      <c r="O7463" s="12"/>
      <c r="P7463" s="13">
        <f>IFERROR(__xludf.DUMMYFUNCTION("VALUE(SUBSTITUTE((INDEX(SPLIT(A7463,"",""),1)),""."","","",1))"),59.974153)</f>
        <v>59.974153</v>
      </c>
      <c r="Q7463" s="13">
        <f>IFERROR(__xludf.DUMMYFUNCTION("VALUE(SUBSTITUTE((INDEX(SPLIT(A7463,"",""),2)),""."","","",1))"),30.527969)</f>
        <v>30.527969</v>
      </c>
      <c r="R7463" s="14" t="b">
        <f t="shared" si="1"/>
        <v>0</v>
      </c>
      <c r="S7463" s="14" t="str">
        <f t="shared" si="2"/>
        <v>59.974153,30.527969</v>
      </c>
      <c r="T7463" s="12"/>
    </row>
    <row r="7464">
      <c r="A7464" s="139" t="s">
        <v>48101</v>
      </c>
      <c r="B7464" s="140" t="s">
        <v>48102</v>
      </c>
      <c r="C7464" s="140" t="s">
        <v>48103</v>
      </c>
      <c r="D7464" s="140" t="s">
        <v>33342</v>
      </c>
      <c r="E7464" s="141" t="s">
        <v>48104</v>
      </c>
      <c r="F7464" s="139" t="s">
        <v>3169</v>
      </c>
      <c r="G7464" s="139" t="s">
        <v>33344</v>
      </c>
      <c r="H7464" s="139"/>
      <c r="I7464" s="140"/>
      <c r="J7464" s="140" t="s">
        <v>48105</v>
      </c>
      <c r="K7464" s="140" t="s">
        <v>48106</v>
      </c>
      <c r="L7464" s="140"/>
      <c r="M7464" s="140"/>
      <c r="N7464" s="12"/>
      <c r="O7464" s="12"/>
      <c r="P7464" s="13">
        <f>IFERROR(__xludf.DUMMYFUNCTION("VALUE(SUBSTITUTE((INDEX(SPLIT(A7464,"",""),1)),""."","","",1))"),59.863016)</f>
        <v>59.863016</v>
      </c>
      <c r="Q7464" s="13">
        <f>IFERROR(__xludf.DUMMYFUNCTION("VALUE(SUBSTITUTE((INDEX(SPLIT(A7464,"",""),2)),""."","","",1))"),30.414036)</f>
        <v>30.414036</v>
      </c>
      <c r="R7464" s="14" t="b">
        <f t="shared" si="1"/>
        <v>0</v>
      </c>
      <c r="S7464" s="14" t="str">
        <f t="shared" si="2"/>
        <v>59.863016,30.414036</v>
      </c>
      <c r="T7464" s="12"/>
    </row>
    <row r="7465">
      <c r="A7465" s="136" t="s">
        <v>48107</v>
      </c>
      <c r="B7465" s="137" t="s">
        <v>48108</v>
      </c>
      <c r="C7465" s="137" t="s">
        <v>48109</v>
      </c>
      <c r="D7465" s="137" t="s">
        <v>33342</v>
      </c>
      <c r="E7465" s="138" t="s">
        <v>48110</v>
      </c>
      <c r="F7465" s="136" t="s">
        <v>3169</v>
      </c>
      <c r="G7465" s="136" t="s">
        <v>33344</v>
      </c>
      <c r="H7465" s="136"/>
      <c r="I7465" s="137"/>
      <c r="J7465" s="137" t="s">
        <v>48111</v>
      </c>
      <c r="K7465" s="137" t="s">
        <v>48112</v>
      </c>
      <c r="L7465" s="137"/>
      <c r="M7465" s="137"/>
      <c r="N7465" s="12"/>
      <c r="O7465" s="12"/>
      <c r="P7465" s="13">
        <f>IFERROR(__xludf.DUMMYFUNCTION("VALUE(SUBSTITUTE((INDEX(SPLIT(A7465,"",""),1)),""."","","",1))"),59.911845)</f>
        <v>59.911845</v>
      </c>
      <c r="Q7465" s="13">
        <f>IFERROR(__xludf.DUMMYFUNCTION("VALUE(SUBSTITUTE((INDEX(SPLIT(A7465,"",""),2)),""."","","",1))"),30.360362)</f>
        <v>30.360362</v>
      </c>
      <c r="R7465" s="14" t="b">
        <f t="shared" si="1"/>
        <v>0</v>
      </c>
      <c r="S7465" s="14" t="str">
        <f t="shared" si="2"/>
        <v>59.911845,30.360362</v>
      </c>
      <c r="T7465" s="12"/>
    </row>
    <row r="7466">
      <c r="A7466" s="139" t="s">
        <v>48113</v>
      </c>
      <c r="B7466" s="140" t="s">
        <v>48114</v>
      </c>
      <c r="C7466" s="140" t="s">
        <v>48115</v>
      </c>
      <c r="D7466" s="140" t="s">
        <v>33342</v>
      </c>
      <c r="E7466" s="141" t="s">
        <v>48116</v>
      </c>
      <c r="F7466" s="139" t="s">
        <v>3169</v>
      </c>
      <c r="G7466" s="139" t="s">
        <v>33344</v>
      </c>
      <c r="H7466" s="139"/>
      <c r="I7466" s="140"/>
      <c r="J7466" s="140" t="s">
        <v>48117</v>
      </c>
      <c r="K7466" s="140" t="s">
        <v>48112</v>
      </c>
      <c r="L7466" s="140"/>
      <c r="M7466" s="140"/>
      <c r="N7466" s="12"/>
      <c r="O7466" s="12"/>
      <c r="P7466" s="13">
        <f>IFERROR(__xludf.DUMMYFUNCTION("VALUE(SUBSTITUTE((INDEX(SPLIT(A7466,"",""),1)),""."","","",1))"),59.894211)</f>
        <v>59.894211</v>
      </c>
      <c r="Q7466" s="13">
        <f>IFERROR(__xludf.DUMMYFUNCTION("VALUE(SUBSTITUTE((INDEX(SPLIT(A7466,"",""),2)),""."","","",1))"),30.378714)</f>
        <v>30.378714</v>
      </c>
      <c r="R7466" s="14" t="b">
        <f t="shared" si="1"/>
        <v>0</v>
      </c>
      <c r="S7466" s="14" t="str">
        <f t="shared" si="2"/>
        <v>59.894211,30.378714</v>
      </c>
      <c r="T7466" s="12"/>
    </row>
    <row r="7467">
      <c r="A7467" s="142" t="s">
        <v>48118</v>
      </c>
      <c r="B7467" s="143" t="s">
        <v>48119</v>
      </c>
      <c r="C7467" s="143" t="s">
        <v>48120</v>
      </c>
      <c r="D7467" s="143" t="s">
        <v>33342</v>
      </c>
      <c r="E7467" s="144" t="s">
        <v>48121</v>
      </c>
      <c r="F7467" s="142" t="s">
        <v>3169</v>
      </c>
      <c r="G7467" s="142" t="s">
        <v>33344</v>
      </c>
      <c r="H7467" s="142"/>
      <c r="I7467" s="143"/>
      <c r="J7467" s="143" t="s">
        <v>48122</v>
      </c>
      <c r="K7467" s="143" t="s">
        <v>48123</v>
      </c>
      <c r="L7467" s="145" t="s">
        <v>48124</v>
      </c>
      <c r="M7467" s="143"/>
      <c r="N7467" s="12"/>
      <c r="O7467" s="12"/>
      <c r="P7467" s="13">
        <f>IFERROR(__xludf.DUMMYFUNCTION("VALUE(SUBSTITUTE((INDEX(SPLIT(A7467,"",""),1)),""."","","",1))"),59.759746)</f>
        <v>59.759746</v>
      </c>
      <c r="Q7467" s="13">
        <f>IFERROR(__xludf.DUMMYFUNCTION("VALUE(SUBSTITUTE((INDEX(SPLIT(A7467,"",""),2)),""."","","",1))"),30.364503)</f>
        <v>30.364503</v>
      </c>
      <c r="R7467" s="14" t="b">
        <f t="shared" si="1"/>
        <v>0</v>
      </c>
      <c r="S7467" s="14" t="str">
        <f t="shared" si="2"/>
        <v>59.759746,30.364503</v>
      </c>
      <c r="T7467" s="12"/>
    </row>
    <row r="7468">
      <c r="A7468" s="139" t="s">
        <v>48125</v>
      </c>
      <c r="B7468" s="140" t="s">
        <v>48126</v>
      </c>
      <c r="C7468" s="140" t="s">
        <v>48127</v>
      </c>
      <c r="D7468" s="140" t="s">
        <v>33342</v>
      </c>
      <c r="E7468" s="141" t="s">
        <v>48128</v>
      </c>
      <c r="F7468" s="139" t="s">
        <v>3169</v>
      </c>
      <c r="G7468" s="139" t="s">
        <v>33344</v>
      </c>
      <c r="H7468" s="139"/>
      <c r="I7468" s="140"/>
      <c r="J7468" s="140" t="s">
        <v>48129</v>
      </c>
      <c r="K7468" s="140" t="s">
        <v>48130</v>
      </c>
      <c r="L7468" s="140"/>
      <c r="M7468" s="154" t="s">
        <v>48131</v>
      </c>
      <c r="N7468" s="12"/>
      <c r="O7468" s="12"/>
      <c r="P7468" s="13">
        <f>IFERROR(__xludf.DUMMYFUNCTION("VALUE(SUBSTITUTE((INDEX(SPLIT(A7468,"",""),1)),""."","","",1))"),59.720104)</f>
        <v>59.720104</v>
      </c>
      <c r="Q7468" s="13">
        <f>IFERROR(__xludf.DUMMYFUNCTION("VALUE(SUBSTITUTE((INDEX(SPLIT(A7468,"",""),2)),""."","","",1))"),30.423828)</f>
        <v>30.423828</v>
      </c>
      <c r="R7468" s="14" t="b">
        <f t="shared" si="1"/>
        <v>0</v>
      </c>
      <c r="S7468" s="14" t="str">
        <f t="shared" si="2"/>
        <v>59.720104,30.423828</v>
      </c>
      <c r="T7468" s="12"/>
    </row>
    <row r="7469">
      <c r="A7469" s="136" t="s">
        <v>48132</v>
      </c>
      <c r="B7469" s="137" t="s">
        <v>2961</v>
      </c>
      <c r="C7469" s="137" t="s">
        <v>35025</v>
      </c>
      <c r="D7469" s="137" t="s">
        <v>33342</v>
      </c>
      <c r="E7469" s="138" t="s">
        <v>48133</v>
      </c>
      <c r="F7469" s="136" t="s">
        <v>3169</v>
      </c>
      <c r="G7469" s="136" t="s">
        <v>33344</v>
      </c>
      <c r="H7469" s="136"/>
      <c r="I7469" s="137"/>
      <c r="J7469" s="137" t="s">
        <v>48134</v>
      </c>
      <c r="K7469" s="137" t="s">
        <v>48135</v>
      </c>
      <c r="L7469" s="137"/>
      <c r="M7469" s="137"/>
      <c r="N7469" s="12"/>
      <c r="O7469" s="12"/>
      <c r="P7469" s="13">
        <f>IFERROR(__xludf.DUMMYFUNCTION("VALUE(SUBSTITUTE((INDEX(SPLIT(A7469,"",""),1)),""."","","",1))"),59.687079)</f>
        <v>59.687079</v>
      </c>
      <c r="Q7469" s="13">
        <f>IFERROR(__xludf.DUMMYFUNCTION("VALUE(SUBSTITUTE((INDEX(SPLIT(A7469,"",""),2)),""."","","",1))"),30.426532)</f>
        <v>30.426532</v>
      </c>
      <c r="R7469" s="14" t="b">
        <f t="shared" si="1"/>
        <v>0</v>
      </c>
      <c r="S7469" s="14" t="str">
        <f t="shared" si="2"/>
        <v>59.687079,30.426532</v>
      </c>
      <c r="T7469" s="12"/>
    </row>
    <row r="7470">
      <c r="A7470" s="146" t="s">
        <v>48136</v>
      </c>
      <c r="B7470" s="147" t="s">
        <v>48137</v>
      </c>
      <c r="C7470" s="147" t="s">
        <v>48137</v>
      </c>
      <c r="D7470" s="147" t="s">
        <v>33342</v>
      </c>
      <c r="E7470" s="148" t="s">
        <v>48138</v>
      </c>
      <c r="F7470" s="146" t="s">
        <v>3169</v>
      </c>
      <c r="G7470" s="146" t="s">
        <v>33344</v>
      </c>
      <c r="H7470" s="146"/>
      <c r="I7470" s="147"/>
      <c r="J7470" s="147" t="s">
        <v>48139</v>
      </c>
      <c r="K7470" s="147" t="s">
        <v>48140</v>
      </c>
      <c r="L7470" s="149" t="s">
        <v>48141</v>
      </c>
      <c r="M7470" s="147"/>
      <c r="N7470" s="12"/>
      <c r="O7470" s="12"/>
      <c r="P7470" s="13">
        <f>IFERROR(__xludf.DUMMYFUNCTION("VALUE(SUBSTITUTE((INDEX(SPLIT(A7470,"",""),1)),""."","","",1))"),60.138052)</f>
        <v>60.138052</v>
      </c>
      <c r="Q7470" s="13">
        <f>IFERROR(__xludf.DUMMYFUNCTION("VALUE(SUBSTITUTE((INDEX(SPLIT(A7470,"",""),2)),""."","","",1))"),30.027105)</f>
        <v>30.027105</v>
      </c>
      <c r="R7470" s="14" t="b">
        <f t="shared" si="1"/>
        <v>0</v>
      </c>
      <c r="S7470" s="14" t="str">
        <f t="shared" si="2"/>
        <v>60.138052,30.027105</v>
      </c>
      <c r="T7470" s="12"/>
    </row>
    <row r="7471">
      <c r="A7471" s="136" t="s">
        <v>3900</v>
      </c>
      <c r="B7471" s="137" t="s">
        <v>48142</v>
      </c>
      <c r="C7471" s="137" t="s">
        <v>48143</v>
      </c>
      <c r="D7471" s="137" t="s">
        <v>33342</v>
      </c>
      <c r="E7471" s="138" t="s">
        <v>48144</v>
      </c>
      <c r="F7471" s="136" t="s">
        <v>3169</v>
      </c>
      <c r="G7471" s="136" t="s">
        <v>33344</v>
      </c>
      <c r="H7471" s="136"/>
      <c r="I7471" s="137"/>
      <c r="J7471" s="137" t="s">
        <v>48145</v>
      </c>
      <c r="K7471" s="137" t="s">
        <v>48146</v>
      </c>
      <c r="L7471" s="137"/>
      <c r="M7471" s="137"/>
      <c r="N7471" s="12"/>
      <c r="O7471" s="12"/>
      <c r="P7471" s="13">
        <f>IFERROR(__xludf.DUMMYFUNCTION("VALUE(SUBSTITUTE((INDEX(SPLIT(A7471,"",""),1)),""."","","",1))"),59.902668)</f>
        <v>59.902668</v>
      </c>
      <c r="Q7471" s="13">
        <f>IFERROR(__xludf.DUMMYFUNCTION("VALUE(SUBSTITUTE((INDEX(SPLIT(A7471,"",""),2)),""."","","",1))"),30.274465)</f>
        <v>30.274465</v>
      </c>
      <c r="R7471" s="14" t="b">
        <f t="shared" si="1"/>
        <v>0</v>
      </c>
      <c r="S7471" s="14" t="str">
        <f t="shared" si="2"/>
        <v>59.902668,30.274465</v>
      </c>
      <c r="T7471" s="12"/>
    </row>
    <row r="7472">
      <c r="A7472" s="139" t="s">
        <v>43646</v>
      </c>
      <c r="B7472" s="140" t="s">
        <v>48147</v>
      </c>
      <c r="C7472" s="140" t="s">
        <v>48148</v>
      </c>
      <c r="D7472" s="140" t="s">
        <v>33342</v>
      </c>
      <c r="E7472" s="141" t="s">
        <v>48149</v>
      </c>
      <c r="F7472" s="139" t="s">
        <v>3169</v>
      </c>
      <c r="G7472" s="139" t="s">
        <v>33344</v>
      </c>
      <c r="H7472" s="139"/>
      <c r="I7472" s="140"/>
      <c r="J7472" s="140" t="s">
        <v>48150</v>
      </c>
      <c r="K7472" s="140" t="s">
        <v>48151</v>
      </c>
      <c r="L7472" s="140"/>
      <c r="M7472" s="140"/>
      <c r="N7472" s="12"/>
      <c r="O7472" s="12"/>
      <c r="P7472" s="13">
        <f>IFERROR(__xludf.DUMMYFUNCTION("VALUE(SUBSTITUTE((INDEX(SPLIT(A7472,"",""),1)),""."","","",1))"),59.938676)</f>
        <v>59.938676</v>
      </c>
      <c r="Q7472" s="13">
        <f>IFERROR(__xludf.DUMMYFUNCTION("VALUE(SUBSTITUTE((INDEX(SPLIT(A7472,"",""),2)),""."","","",1))"),30.314494)</f>
        <v>30.314494</v>
      </c>
      <c r="R7472" s="14" t="b">
        <f t="shared" si="1"/>
        <v>0</v>
      </c>
      <c r="S7472" s="14" t="str">
        <f t="shared" si="2"/>
        <v>59.938676,30.314494</v>
      </c>
      <c r="T7472" s="12"/>
    </row>
    <row r="7473">
      <c r="A7473" s="142" t="s">
        <v>48152</v>
      </c>
      <c r="B7473" s="143" t="s">
        <v>48153</v>
      </c>
      <c r="C7473" s="143" t="s">
        <v>48154</v>
      </c>
      <c r="D7473" s="143" t="s">
        <v>33342</v>
      </c>
      <c r="E7473" s="144" t="s">
        <v>48155</v>
      </c>
      <c r="F7473" s="142" t="s">
        <v>3169</v>
      </c>
      <c r="G7473" s="142" t="s">
        <v>33344</v>
      </c>
      <c r="H7473" s="142"/>
      <c r="I7473" s="143"/>
      <c r="J7473" s="143" t="s">
        <v>48156</v>
      </c>
      <c r="K7473" s="143" t="s">
        <v>48157</v>
      </c>
      <c r="L7473" s="145" t="s">
        <v>48158</v>
      </c>
      <c r="M7473" s="143"/>
      <c r="N7473" s="12"/>
      <c r="O7473" s="12"/>
      <c r="P7473" s="13">
        <f>IFERROR(__xludf.DUMMYFUNCTION("VALUE(SUBSTITUTE((INDEX(SPLIT(A7473,"",""),1)),""."","","",1))"),59.923184)</f>
        <v>59.923184</v>
      </c>
      <c r="Q7473" s="13">
        <f>IFERROR(__xludf.DUMMYFUNCTION("VALUE(SUBSTITUTE((INDEX(SPLIT(A7473,"",""),2)),""."","","",1))"),30.342701)</f>
        <v>30.342701</v>
      </c>
      <c r="R7473" s="14" t="b">
        <f t="shared" si="1"/>
        <v>0</v>
      </c>
      <c r="S7473" s="14" t="str">
        <f t="shared" si="2"/>
        <v>59.923184,30.342701</v>
      </c>
      <c r="T7473" s="12"/>
    </row>
    <row r="7474">
      <c r="A7474" s="146" t="s">
        <v>48159</v>
      </c>
      <c r="B7474" s="147" t="s">
        <v>48160</v>
      </c>
      <c r="C7474" s="147" t="s">
        <v>48161</v>
      </c>
      <c r="D7474" s="147" t="s">
        <v>33342</v>
      </c>
      <c r="E7474" s="148" t="s">
        <v>48162</v>
      </c>
      <c r="F7474" s="146" t="s">
        <v>3169</v>
      </c>
      <c r="G7474" s="146" t="s">
        <v>33344</v>
      </c>
      <c r="H7474" s="146"/>
      <c r="I7474" s="147"/>
      <c r="J7474" s="147" t="s">
        <v>48163</v>
      </c>
      <c r="K7474" s="147" t="s">
        <v>48164</v>
      </c>
      <c r="L7474" s="149" t="s">
        <v>48165</v>
      </c>
      <c r="M7474" s="147"/>
      <c r="N7474" s="12"/>
      <c r="O7474" s="12"/>
      <c r="P7474" s="13">
        <f>IFERROR(__xludf.DUMMYFUNCTION("VALUE(SUBSTITUTE((INDEX(SPLIT(A7474,"",""),1)),""."","","",1))"),59.942827)</f>
        <v>59.942827</v>
      </c>
      <c r="Q7474" s="13">
        <f>IFERROR(__xludf.DUMMYFUNCTION("VALUE(SUBSTITUTE((INDEX(SPLIT(A7474,"",""),2)),""."","","",1))"),30.322507)</f>
        <v>30.322507</v>
      </c>
      <c r="R7474" s="14" t="b">
        <f t="shared" si="1"/>
        <v>0</v>
      </c>
      <c r="S7474" s="14" t="str">
        <f t="shared" si="2"/>
        <v>59.942827,30.322507</v>
      </c>
      <c r="T7474" s="12"/>
    </row>
    <row r="7475">
      <c r="A7475" s="142" t="s">
        <v>48166</v>
      </c>
      <c r="B7475" s="143" t="s">
        <v>48167</v>
      </c>
      <c r="C7475" s="143" t="s">
        <v>48168</v>
      </c>
      <c r="D7475" s="143" t="s">
        <v>33342</v>
      </c>
      <c r="E7475" s="144" t="s">
        <v>48169</v>
      </c>
      <c r="F7475" s="142" t="s">
        <v>3169</v>
      </c>
      <c r="G7475" s="142" t="s">
        <v>33344</v>
      </c>
      <c r="H7475" s="142"/>
      <c r="I7475" s="143"/>
      <c r="J7475" s="143" t="s">
        <v>48170</v>
      </c>
      <c r="K7475" s="143" t="s">
        <v>48171</v>
      </c>
      <c r="L7475" s="145" t="s">
        <v>48172</v>
      </c>
      <c r="M7475" s="145" t="s">
        <v>48173</v>
      </c>
      <c r="N7475" s="12"/>
      <c r="O7475" s="12"/>
      <c r="P7475" s="13">
        <f>IFERROR(__xludf.DUMMYFUNCTION("VALUE(SUBSTITUTE((INDEX(SPLIT(A7475,"",""),1)),""."","","",1))"),60.672437)</f>
        <v>60.672437</v>
      </c>
      <c r="Q7475" s="13">
        <f>IFERROR(__xludf.DUMMYFUNCTION("VALUE(SUBSTITUTE((INDEX(SPLIT(A7475,"",""),2)),""."","","",1))"),30.015355)</f>
        <v>30.015355</v>
      </c>
      <c r="R7475" s="14" t="b">
        <f t="shared" si="1"/>
        <v>0</v>
      </c>
      <c r="S7475" s="14" t="str">
        <f t="shared" si="2"/>
        <v>60.672437,30.015355</v>
      </c>
      <c r="T7475" s="12"/>
    </row>
    <row r="7476">
      <c r="A7476" s="139" t="s">
        <v>48174</v>
      </c>
      <c r="B7476" s="140" t="s">
        <v>48175</v>
      </c>
      <c r="C7476" s="140" t="s">
        <v>48176</v>
      </c>
      <c r="D7476" s="140" t="s">
        <v>33342</v>
      </c>
      <c r="E7476" s="141" t="s">
        <v>48177</v>
      </c>
      <c r="F7476" s="139" t="s">
        <v>3169</v>
      </c>
      <c r="G7476" s="139" t="s">
        <v>33344</v>
      </c>
      <c r="H7476" s="139"/>
      <c r="I7476" s="140"/>
      <c r="J7476" s="140" t="s">
        <v>48178</v>
      </c>
      <c r="K7476" s="140" t="s">
        <v>48179</v>
      </c>
      <c r="L7476" s="140"/>
      <c r="M7476" s="140"/>
      <c r="N7476" s="12"/>
      <c r="O7476" s="12"/>
      <c r="P7476" s="13">
        <f>IFERROR(__xludf.DUMMYFUNCTION("VALUE(SUBSTITUTE((INDEX(SPLIT(A7476,"",""),1)),""."","","",1))"),59.938613)</f>
        <v>59.938613</v>
      </c>
      <c r="Q7476" s="13">
        <f>IFERROR(__xludf.DUMMYFUNCTION("VALUE(SUBSTITUTE((INDEX(SPLIT(A7476,"",""),2)),""."","","",1))"),30.358691)</f>
        <v>30.358691</v>
      </c>
      <c r="R7476" s="14" t="b">
        <f t="shared" si="1"/>
        <v>0</v>
      </c>
      <c r="S7476" s="14" t="str">
        <f t="shared" si="2"/>
        <v>59.938613,30.358691</v>
      </c>
      <c r="T7476" s="12"/>
    </row>
    <row r="7477">
      <c r="A7477" s="142" t="s">
        <v>48180</v>
      </c>
      <c r="B7477" s="143" t="s">
        <v>48181</v>
      </c>
      <c r="C7477" s="143" t="s">
        <v>48182</v>
      </c>
      <c r="D7477" s="143" t="s">
        <v>33342</v>
      </c>
      <c r="E7477" s="144" t="s">
        <v>48183</v>
      </c>
      <c r="F7477" s="142" t="s">
        <v>3169</v>
      </c>
      <c r="G7477" s="142" t="s">
        <v>33344</v>
      </c>
      <c r="H7477" s="142"/>
      <c r="I7477" s="143"/>
      <c r="J7477" s="143" t="s">
        <v>48184</v>
      </c>
      <c r="K7477" s="143" t="s">
        <v>48185</v>
      </c>
      <c r="L7477" s="145" t="s">
        <v>48186</v>
      </c>
      <c r="M7477" s="143"/>
      <c r="N7477" s="12"/>
      <c r="O7477" s="12"/>
      <c r="P7477" s="13">
        <f>IFERROR(__xludf.DUMMYFUNCTION("VALUE(SUBSTITUTE((INDEX(SPLIT(A7477,"",""),1)),""."","","",1))"),59.920294)</f>
        <v>59.920294</v>
      </c>
      <c r="Q7477" s="13">
        <f>IFERROR(__xludf.DUMMYFUNCTION("VALUE(SUBSTITUTE((INDEX(SPLIT(A7477,"",""),2)),""."","","",1))"),30.355556)</f>
        <v>30.355556</v>
      </c>
      <c r="R7477" s="14" t="b">
        <f t="shared" si="1"/>
        <v>0</v>
      </c>
      <c r="S7477" s="14" t="str">
        <f t="shared" si="2"/>
        <v>59.920294,30.355556</v>
      </c>
      <c r="T7477" s="12"/>
    </row>
    <row r="7478">
      <c r="A7478" s="146" t="s">
        <v>48187</v>
      </c>
      <c r="B7478" s="147" t="s">
        <v>48188</v>
      </c>
      <c r="C7478" s="147" t="s">
        <v>48189</v>
      </c>
      <c r="D7478" s="147" t="s">
        <v>33342</v>
      </c>
      <c r="E7478" s="148" t="s">
        <v>48190</v>
      </c>
      <c r="F7478" s="146" t="s">
        <v>3169</v>
      </c>
      <c r="G7478" s="146" t="s">
        <v>33344</v>
      </c>
      <c r="H7478" s="146"/>
      <c r="I7478" s="147"/>
      <c r="J7478" s="147" t="s">
        <v>48191</v>
      </c>
      <c r="K7478" s="147" t="s">
        <v>48192</v>
      </c>
      <c r="L7478" s="149" t="s">
        <v>48193</v>
      </c>
      <c r="M7478" s="147"/>
      <c r="N7478" s="12"/>
      <c r="O7478" s="12"/>
      <c r="P7478" s="13">
        <f>IFERROR(__xludf.DUMMYFUNCTION("VALUE(SUBSTITUTE((INDEX(SPLIT(A7478,"",""),1)),""."","","",1))"),59.923423)</f>
        <v>59.923423</v>
      </c>
      <c r="Q7478" s="13">
        <f>IFERROR(__xludf.DUMMYFUNCTION("VALUE(SUBSTITUTE((INDEX(SPLIT(A7478,"",""),2)),""."","","",1))"),30.363596)</f>
        <v>30.363596</v>
      </c>
      <c r="R7478" s="14" t="b">
        <f t="shared" si="1"/>
        <v>0</v>
      </c>
      <c r="S7478" s="14" t="str">
        <f t="shared" si="2"/>
        <v>59.923423,30.363596</v>
      </c>
      <c r="T7478" s="12"/>
    </row>
    <row r="7479">
      <c r="A7479" s="142" t="s">
        <v>48194</v>
      </c>
      <c r="B7479" s="143" t="s">
        <v>48195</v>
      </c>
      <c r="C7479" s="143" t="s">
        <v>48196</v>
      </c>
      <c r="D7479" s="143" t="s">
        <v>33342</v>
      </c>
      <c r="E7479" s="144" t="s">
        <v>48197</v>
      </c>
      <c r="F7479" s="142" t="s">
        <v>3169</v>
      </c>
      <c r="G7479" s="142" t="s">
        <v>33344</v>
      </c>
      <c r="H7479" s="142"/>
      <c r="I7479" s="143"/>
      <c r="J7479" s="143" t="s">
        <v>48198</v>
      </c>
      <c r="K7479" s="143" t="s">
        <v>48199</v>
      </c>
      <c r="L7479" s="145" t="s">
        <v>48200</v>
      </c>
      <c r="M7479" s="145" t="s">
        <v>48201</v>
      </c>
      <c r="N7479" s="12"/>
      <c r="O7479" s="12"/>
      <c r="P7479" s="13">
        <f>IFERROR(__xludf.DUMMYFUNCTION("VALUE(SUBSTITUTE((INDEX(SPLIT(A7479,"",""),1)),""."","","",1))"),59.921809)</f>
        <v>59.921809</v>
      </c>
      <c r="Q7479" s="13">
        <f>IFERROR(__xludf.DUMMYFUNCTION("VALUE(SUBSTITUTE((INDEX(SPLIT(A7479,"",""),2)),""."","","",1))"),30.500732)</f>
        <v>30.500732</v>
      </c>
      <c r="R7479" s="14" t="b">
        <f t="shared" si="1"/>
        <v>0</v>
      </c>
      <c r="S7479" s="14" t="str">
        <f t="shared" si="2"/>
        <v>59.921809,30.500732</v>
      </c>
      <c r="T7479" s="12"/>
    </row>
    <row r="7480">
      <c r="A7480" s="139" t="s">
        <v>48202</v>
      </c>
      <c r="B7480" s="140" t="s">
        <v>48203</v>
      </c>
      <c r="C7480" s="140" t="s">
        <v>48204</v>
      </c>
      <c r="D7480" s="140" t="s">
        <v>33342</v>
      </c>
      <c r="E7480" s="141" t="s">
        <v>48205</v>
      </c>
      <c r="F7480" s="139" t="s">
        <v>3169</v>
      </c>
      <c r="G7480" s="139" t="s">
        <v>33344</v>
      </c>
      <c r="H7480" s="139"/>
      <c r="I7480" s="140"/>
      <c r="J7480" s="140" t="s">
        <v>48206</v>
      </c>
      <c r="K7480" s="140" t="s">
        <v>48207</v>
      </c>
      <c r="L7480" s="140"/>
      <c r="M7480" s="140"/>
      <c r="N7480" s="12"/>
      <c r="O7480" s="12"/>
      <c r="P7480" s="13">
        <f>IFERROR(__xludf.DUMMYFUNCTION("VALUE(SUBSTITUTE((INDEX(SPLIT(A7480,"",""),1)),""."","","",1))"),59.941033)</f>
        <v>59.941033</v>
      </c>
      <c r="Q7480" s="13">
        <f>IFERROR(__xludf.DUMMYFUNCTION("VALUE(SUBSTITUTE((INDEX(SPLIT(A7480,"",""),2)),""."","","",1))"),30.378822)</f>
        <v>30.378822</v>
      </c>
      <c r="R7480" s="14" t="b">
        <f t="shared" si="1"/>
        <v>0</v>
      </c>
      <c r="S7480" s="14" t="str">
        <f t="shared" si="2"/>
        <v>59.941033,30.378822</v>
      </c>
      <c r="T7480" s="12"/>
    </row>
    <row r="7481">
      <c r="A7481" s="136" t="s">
        <v>48208</v>
      </c>
      <c r="B7481" s="137" t="s">
        <v>48209</v>
      </c>
      <c r="C7481" s="137" t="s">
        <v>48210</v>
      </c>
      <c r="D7481" s="137" t="s">
        <v>33342</v>
      </c>
      <c r="E7481" s="138" t="s">
        <v>48211</v>
      </c>
      <c r="F7481" s="136" t="s">
        <v>3169</v>
      </c>
      <c r="G7481" s="136" t="s">
        <v>33344</v>
      </c>
      <c r="H7481" s="136"/>
      <c r="I7481" s="137"/>
      <c r="J7481" s="137" t="s">
        <v>48212</v>
      </c>
      <c r="K7481" s="137" t="s">
        <v>48213</v>
      </c>
      <c r="L7481" s="137"/>
      <c r="M7481" s="153" t="s">
        <v>48214</v>
      </c>
      <c r="N7481" s="12"/>
      <c r="O7481" s="12"/>
      <c r="P7481" s="13">
        <f>IFERROR(__xludf.DUMMYFUNCTION("VALUE(SUBSTITUTE((INDEX(SPLIT(A7481,"",""),1)),""."","","",1))"),59.91618)</f>
        <v>59.91618</v>
      </c>
      <c r="Q7481" s="13">
        <f>IFERROR(__xludf.DUMMYFUNCTION("VALUE(SUBSTITUTE((INDEX(SPLIT(A7481,"",""),2)),""."","","",1))"),30.361134)</f>
        <v>30.361134</v>
      </c>
      <c r="R7481" s="14" t="b">
        <f t="shared" si="1"/>
        <v>0</v>
      </c>
      <c r="S7481" s="14" t="str">
        <f t="shared" si="2"/>
        <v>59.91618,30.361134</v>
      </c>
      <c r="T7481" s="12"/>
    </row>
    <row r="7482">
      <c r="A7482" s="139" t="s">
        <v>48215</v>
      </c>
      <c r="B7482" s="140" t="s">
        <v>48216</v>
      </c>
      <c r="C7482" s="140" t="s">
        <v>48217</v>
      </c>
      <c r="D7482" s="140" t="s">
        <v>33342</v>
      </c>
      <c r="E7482" s="141" t="s">
        <v>48218</v>
      </c>
      <c r="F7482" s="139" t="s">
        <v>3169</v>
      </c>
      <c r="G7482" s="139" t="s">
        <v>33344</v>
      </c>
      <c r="H7482" s="139"/>
      <c r="I7482" s="140"/>
      <c r="J7482" s="140" t="s">
        <v>48219</v>
      </c>
      <c r="K7482" s="140" t="s">
        <v>48220</v>
      </c>
      <c r="L7482" s="140"/>
      <c r="M7482" s="140"/>
      <c r="N7482" s="12"/>
      <c r="O7482" s="12"/>
      <c r="P7482" s="13">
        <f>IFERROR(__xludf.DUMMYFUNCTION("VALUE(SUBSTITUTE((INDEX(SPLIT(A7482,"",""),1)),""."","","",1))"),59.919739)</f>
        <v>59.919739</v>
      </c>
      <c r="Q7482" s="13">
        <f>IFERROR(__xludf.DUMMYFUNCTION("VALUE(SUBSTITUTE((INDEX(SPLIT(A7482,"",""),2)),""."","","",1))"),30.370315)</f>
        <v>30.370315</v>
      </c>
      <c r="R7482" s="14" t="b">
        <f t="shared" si="1"/>
        <v>0</v>
      </c>
      <c r="S7482" s="14" t="str">
        <f t="shared" si="2"/>
        <v>59.919739,30.370315</v>
      </c>
      <c r="T7482" s="12"/>
    </row>
    <row r="7483">
      <c r="A7483" s="142" t="s">
        <v>48221</v>
      </c>
      <c r="B7483" s="143" t="s">
        <v>48222</v>
      </c>
      <c r="C7483" s="143" t="s">
        <v>48223</v>
      </c>
      <c r="D7483" s="143" t="s">
        <v>33342</v>
      </c>
      <c r="E7483" s="144" t="s">
        <v>48224</v>
      </c>
      <c r="F7483" s="142" t="s">
        <v>3169</v>
      </c>
      <c r="G7483" s="142" t="s">
        <v>33344</v>
      </c>
      <c r="H7483" s="142"/>
      <c r="I7483" s="143"/>
      <c r="J7483" s="143" t="s">
        <v>48225</v>
      </c>
      <c r="K7483" s="143" t="s">
        <v>48226</v>
      </c>
      <c r="L7483" s="145" t="s">
        <v>48227</v>
      </c>
      <c r="M7483" s="143"/>
      <c r="N7483" s="12"/>
      <c r="O7483" s="12"/>
      <c r="P7483" s="13">
        <f>IFERROR(__xludf.DUMMYFUNCTION("VALUE(SUBSTITUTE((INDEX(SPLIT(A7483,"",""),1)),""."","","",1))"),59.940064)</f>
        <v>59.940064</v>
      </c>
      <c r="Q7483" s="13">
        <f>IFERROR(__xludf.DUMMYFUNCTION("VALUE(SUBSTITUTE((INDEX(SPLIT(A7483,"",""),2)),""."","","",1))"),30.36161)</f>
        <v>30.36161</v>
      </c>
      <c r="R7483" s="14" t="b">
        <f t="shared" si="1"/>
        <v>0</v>
      </c>
      <c r="S7483" s="14" t="str">
        <f t="shared" si="2"/>
        <v>59.940064,30.36161</v>
      </c>
      <c r="T7483" s="12"/>
    </row>
    <row r="7484">
      <c r="A7484" s="139" t="s">
        <v>48228</v>
      </c>
      <c r="B7484" s="140" t="s">
        <v>31129</v>
      </c>
      <c r="C7484" s="140" t="s">
        <v>48229</v>
      </c>
      <c r="D7484" s="140" t="s">
        <v>33342</v>
      </c>
      <c r="E7484" s="141" t="s">
        <v>48230</v>
      </c>
      <c r="F7484" s="139" t="s">
        <v>10045</v>
      </c>
      <c r="G7484" s="139" t="s">
        <v>33344</v>
      </c>
      <c r="H7484" s="139"/>
      <c r="I7484" s="140"/>
      <c r="J7484" s="140" t="s">
        <v>48231</v>
      </c>
      <c r="K7484" s="140" t="s">
        <v>48232</v>
      </c>
      <c r="L7484" s="140"/>
      <c r="M7484" s="140"/>
      <c r="N7484" s="12"/>
      <c r="O7484" s="12"/>
      <c r="P7484" s="13">
        <f>IFERROR(__xludf.DUMMYFUNCTION("VALUE(SUBSTITUTE((INDEX(SPLIT(A7484,"",""),1)),""."","","",1))"),61.241532)</f>
        <v>61.241532</v>
      </c>
      <c r="Q7484" s="13">
        <f>IFERROR(__xludf.DUMMYFUNCTION("VALUE(SUBSTITUTE((INDEX(SPLIT(A7484,"",""),2)),""."","","",1))"),73.481984)</f>
        <v>73.481984</v>
      </c>
      <c r="R7484" s="14" t="b">
        <f t="shared" si="1"/>
        <v>0</v>
      </c>
      <c r="S7484" s="14" t="str">
        <f t="shared" si="2"/>
        <v>61.241532,73.481984</v>
      </c>
      <c r="T7484" s="12"/>
    </row>
    <row r="7485">
      <c r="A7485" s="136" t="s">
        <v>48233</v>
      </c>
      <c r="B7485" s="137" t="s">
        <v>48234</v>
      </c>
      <c r="C7485" s="137" t="s">
        <v>48235</v>
      </c>
      <c r="D7485" s="137" t="s">
        <v>33342</v>
      </c>
      <c r="E7485" s="138" t="s">
        <v>48236</v>
      </c>
      <c r="F7485" s="136" t="s">
        <v>10045</v>
      </c>
      <c r="G7485" s="136" t="s">
        <v>33344</v>
      </c>
      <c r="H7485" s="136"/>
      <c r="I7485" s="137"/>
      <c r="J7485" s="137" t="s">
        <v>48237</v>
      </c>
      <c r="K7485" s="137" t="s">
        <v>48238</v>
      </c>
      <c r="L7485" s="137"/>
      <c r="M7485" s="137"/>
      <c r="N7485" s="12"/>
      <c r="O7485" s="12"/>
      <c r="P7485" s="13">
        <f>IFERROR(__xludf.DUMMYFUNCTION("VALUE(SUBSTITUTE((INDEX(SPLIT(A7485,"",""),1)),""."","","",1))"),61.315063)</f>
        <v>61.315063</v>
      </c>
      <c r="Q7485" s="13">
        <f>IFERROR(__xludf.DUMMYFUNCTION("VALUE(SUBSTITUTE((INDEX(SPLIT(A7485,"",""),2)),""."","","",1))"),73.282755)</f>
        <v>73.282755</v>
      </c>
      <c r="R7485" s="14" t="b">
        <f t="shared" si="1"/>
        <v>0</v>
      </c>
      <c r="S7485" s="14" t="str">
        <f t="shared" si="2"/>
        <v>61.315063,73.282755</v>
      </c>
      <c r="T7485" s="12"/>
    </row>
    <row r="7486">
      <c r="A7486" s="139" t="s">
        <v>48239</v>
      </c>
      <c r="B7486" s="140" t="s">
        <v>48240</v>
      </c>
      <c r="C7486" s="140" t="s">
        <v>48241</v>
      </c>
      <c r="D7486" s="140" t="s">
        <v>33342</v>
      </c>
      <c r="E7486" s="141" t="s">
        <v>48242</v>
      </c>
      <c r="F7486" s="139" t="s">
        <v>10045</v>
      </c>
      <c r="G7486" s="139" t="s">
        <v>33344</v>
      </c>
      <c r="H7486" s="139"/>
      <c r="I7486" s="140"/>
      <c r="J7486" s="140" t="s">
        <v>48243</v>
      </c>
      <c r="K7486" s="140" t="s">
        <v>48244</v>
      </c>
      <c r="L7486" s="140"/>
      <c r="M7486" s="154" t="s">
        <v>48245</v>
      </c>
      <c r="N7486" s="12"/>
      <c r="O7486" s="12"/>
      <c r="P7486" s="13">
        <f>IFERROR(__xludf.DUMMYFUNCTION("VALUE(SUBSTITUTE((INDEX(SPLIT(A7486,"",""),1)),""."","","",1))"),61.259434)</f>
        <v>61.259434</v>
      </c>
      <c r="Q7486" s="13">
        <f>IFERROR(__xludf.DUMMYFUNCTION("VALUE(SUBSTITUTE((INDEX(SPLIT(A7486,"",""),2)),""."","","",1))"),73.481211)</f>
        <v>73.481211</v>
      </c>
      <c r="R7486" s="14" t="b">
        <f t="shared" si="1"/>
        <v>0</v>
      </c>
      <c r="S7486" s="14" t="str">
        <f t="shared" si="2"/>
        <v>61.259434,73.481211</v>
      </c>
      <c r="T7486" s="12"/>
    </row>
    <row r="7487">
      <c r="A7487" s="136" t="s">
        <v>48246</v>
      </c>
      <c r="B7487" s="137" t="s">
        <v>48247</v>
      </c>
      <c r="C7487" s="137" t="s">
        <v>48248</v>
      </c>
      <c r="D7487" s="137" t="s">
        <v>33342</v>
      </c>
      <c r="E7487" s="138" t="s">
        <v>48249</v>
      </c>
      <c r="F7487" s="136" t="s">
        <v>10045</v>
      </c>
      <c r="G7487" s="136" t="s">
        <v>33344</v>
      </c>
      <c r="H7487" s="136"/>
      <c r="I7487" s="137"/>
      <c r="J7487" s="137" t="s">
        <v>48250</v>
      </c>
      <c r="K7487" s="137" t="s">
        <v>48251</v>
      </c>
      <c r="L7487" s="137"/>
      <c r="M7487" s="153" t="s">
        <v>48252</v>
      </c>
      <c r="N7487" s="12"/>
      <c r="O7487" s="12"/>
      <c r="P7487" s="13">
        <f>IFERROR(__xludf.DUMMYFUNCTION("VALUE(SUBSTITUTE((INDEX(SPLIT(A7487,"",""),1)),""."","","",1))"),61.267013)</f>
        <v>61.267013</v>
      </c>
      <c r="Q7487" s="13">
        <f>IFERROR(__xludf.DUMMYFUNCTION("VALUE(SUBSTITUTE((INDEX(SPLIT(A7487,"",""),2)),""."","","",1))"),73.385109)</f>
        <v>73.385109</v>
      </c>
      <c r="R7487" s="14" t="b">
        <f t="shared" si="1"/>
        <v>0</v>
      </c>
      <c r="S7487" s="14" t="str">
        <f t="shared" si="2"/>
        <v>61.267013,73.385109</v>
      </c>
      <c r="T7487" s="12"/>
    </row>
    <row r="7488">
      <c r="A7488" s="139" t="s">
        <v>48253</v>
      </c>
      <c r="B7488" s="140" t="s">
        <v>48254</v>
      </c>
      <c r="C7488" s="140" t="s">
        <v>48255</v>
      </c>
      <c r="D7488" s="140" t="s">
        <v>33342</v>
      </c>
      <c r="E7488" s="141" t="s">
        <v>48256</v>
      </c>
      <c r="F7488" s="139" t="s">
        <v>10045</v>
      </c>
      <c r="G7488" s="139" t="s">
        <v>33344</v>
      </c>
      <c r="H7488" s="139"/>
      <c r="I7488" s="140"/>
      <c r="J7488" s="140" t="s">
        <v>48257</v>
      </c>
      <c r="K7488" s="140" t="s">
        <v>48258</v>
      </c>
      <c r="L7488" s="140"/>
      <c r="M7488" s="154" t="s">
        <v>48259</v>
      </c>
      <c r="N7488" s="12"/>
      <c r="O7488" s="12"/>
      <c r="P7488" s="13">
        <f>IFERROR(__xludf.DUMMYFUNCTION("VALUE(SUBSTITUTE((INDEX(SPLIT(A7488,"",""),1)),""."","","",1))"),61.26328)</f>
        <v>61.26328</v>
      </c>
      <c r="Q7488" s="13">
        <f>IFERROR(__xludf.DUMMYFUNCTION("VALUE(SUBSTITUTE((INDEX(SPLIT(A7488,"",""),2)),""."","","",1))"),73.380654)</f>
        <v>73.380654</v>
      </c>
      <c r="R7488" s="14" t="b">
        <f t="shared" si="1"/>
        <v>0</v>
      </c>
      <c r="S7488" s="14" t="str">
        <f t="shared" si="2"/>
        <v>61.26328,73.380654</v>
      </c>
      <c r="T7488" s="12"/>
    </row>
    <row r="7489">
      <c r="A7489" s="142" t="s">
        <v>48260</v>
      </c>
      <c r="B7489" s="143" t="s">
        <v>48261</v>
      </c>
      <c r="C7489" s="143" t="s">
        <v>48262</v>
      </c>
      <c r="D7489" s="143" t="s">
        <v>33342</v>
      </c>
      <c r="E7489" s="144" t="s">
        <v>48263</v>
      </c>
      <c r="F7489" s="142" t="s">
        <v>10045</v>
      </c>
      <c r="G7489" s="142" t="s">
        <v>33344</v>
      </c>
      <c r="H7489" s="142"/>
      <c r="I7489" s="143"/>
      <c r="J7489" s="143" t="s">
        <v>48264</v>
      </c>
      <c r="K7489" s="143" t="s">
        <v>46112</v>
      </c>
      <c r="L7489" s="152" t="s">
        <v>48265</v>
      </c>
      <c r="M7489" s="143"/>
      <c r="N7489" s="12"/>
      <c r="O7489" s="12"/>
      <c r="P7489" s="13">
        <f>IFERROR(__xludf.DUMMYFUNCTION("VALUE(SUBSTITUTE((INDEX(SPLIT(A7489,"",""),1)),""."","","",1))"),57.108995)</f>
        <v>57.108995</v>
      </c>
      <c r="Q7489" s="13">
        <f>IFERROR(__xludf.DUMMYFUNCTION("VALUE(SUBSTITUTE((INDEX(SPLIT(A7489,"",""),2)),""."","","",1))"),65.633223)</f>
        <v>65.633223</v>
      </c>
      <c r="R7489" s="14" t="b">
        <f t="shared" si="1"/>
        <v>0</v>
      </c>
      <c r="S7489" s="14" t="str">
        <f t="shared" si="2"/>
        <v>57.108995,65.633223</v>
      </c>
      <c r="T7489" s="12"/>
    </row>
    <row r="7490">
      <c r="A7490" s="146" t="s">
        <v>48266</v>
      </c>
      <c r="B7490" s="147" t="s">
        <v>48267</v>
      </c>
      <c r="C7490" s="147" t="s">
        <v>48268</v>
      </c>
      <c r="D7490" s="147" t="s">
        <v>33342</v>
      </c>
      <c r="E7490" s="148" t="s">
        <v>48269</v>
      </c>
      <c r="F7490" s="146" t="s">
        <v>10045</v>
      </c>
      <c r="G7490" s="146" t="s">
        <v>33344</v>
      </c>
      <c r="H7490" s="146"/>
      <c r="I7490" s="147"/>
      <c r="J7490" s="147" t="s">
        <v>48270</v>
      </c>
      <c r="K7490" s="147" t="s">
        <v>48271</v>
      </c>
      <c r="L7490" s="149" t="s">
        <v>48272</v>
      </c>
      <c r="M7490" s="147"/>
      <c r="N7490" s="12"/>
      <c r="O7490" s="12"/>
      <c r="P7490" s="13">
        <f>IFERROR(__xludf.DUMMYFUNCTION("VALUE(SUBSTITUTE((INDEX(SPLIT(A7490,"",""),1)),""."","","",1))"),60.979509)</f>
        <v>60.979509</v>
      </c>
      <c r="Q7490" s="13">
        <f>IFERROR(__xludf.DUMMYFUNCTION("VALUE(SUBSTITUTE((INDEX(SPLIT(A7490,"",""),2)),""."","","",1))"),76.399712)</f>
        <v>76.399712</v>
      </c>
      <c r="R7490" s="14" t="b">
        <f t="shared" si="1"/>
        <v>0</v>
      </c>
      <c r="S7490" s="14" t="str">
        <f t="shared" si="2"/>
        <v>60.979509,76.399712</v>
      </c>
      <c r="T7490" s="12"/>
    </row>
    <row r="7491">
      <c r="A7491" s="142" t="s">
        <v>27579</v>
      </c>
      <c r="B7491" s="143" t="s">
        <v>48273</v>
      </c>
      <c r="C7491" s="143" t="s">
        <v>48274</v>
      </c>
      <c r="D7491" s="143" t="s">
        <v>33342</v>
      </c>
      <c r="E7491" s="144" t="s">
        <v>48275</v>
      </c>
      <c r="F7491" s="142" t="s">
        <v>10045</v>
      </c>
      <c r="G7491" s="142" t="s">
        <v>33344</v>
      </c>
      <c r="H7491" s="142"/>
      <c r="I7491" s="143"/>
      <c r="J7491" s="143" t="s">
        <v>48276</v>
      </c>
      <c r="K7491" s="143" t="s">
        <v>48277</v>
      </c>
      <c r="L7491" s="145" t="s">
        <v>48278</v>
      </c>
      <c r="M7491" s="145" t="s">
        <v>48279</v>
      </c>
      <c r="N7491" s="12"/>
      <c r="O7491" s="12"/>
      <c r="P7491" s="13">
        <f>IFERROR(__xludf.DUMMYFUNCTION("VALUE(SUBSTITUTE((INDEX(SPLIT(A7491,"",""),1)),""."","","",1))"),60.938545)</f>
        <v>60.938545</v>
      </c>
      <c r="Q7491" s="13">
        <f>IFERROR(__xludf.DUMMYFUNCTION("VALUE(SUBSTITUTE((INDEX(SPLIT(A7491,"",""),2)),""."","","",1))"),76.558902)</f>
        <v>76.558902</v>
      </c>
      <c r="R7491" s="14" t="b">
        <f t="shared" si="1"/>
        <v>0</v>
      </c>
      <c r="S7491" s="14" t="str">
        <f t="shared" si="2"/>
        <v>60.938545,76.558902</v>
      </c>
      <c r="T7491" s="12"/>
    </row>
    <row r="7492">
      <c r="A7492" s="146" t="s">
        <v>48280</v>
      </c>
      <c r="B7492" s="147" t="s">
        <v>48281</v>
      </c>
      <c r="C7492" s="147" t="s">
        <v>48282</v>
      </c>
      <c r="D7492" s="147" t="s">
        <v>33342</v>
      </c>
      <c r="E7492" s="148" t="s">
        <v>48283</v>
      </c>
      <c r="F7492" s="146" t="s">
        <v>10045</v>
      </c>
      <c r="G7492" s="146" t="s">
        <v>33344</v>
      </c>
      <c r="H7492" s="146"/>
      <c r="I7492" s="147"/>
      <c r="J7492" s="147" t="s">
        <v>48284</v>
      </c>
      <c r="K7492" s="147" t="s">
        <v>48285</v>
      </c>
      <c r="L7492" s="149" t="s">
        <v>48286</v>
      </c>
      <c r="M7492" s="149" t="s">
        <v>48287</v>
      </c>
      <c r="N7492" s="12"/>
      <c r="O7492" s="12"/>
      <c r="P7492" s="13">
        <f>IFERROR(__xludf.DUMMYFUNCTION("VALUE(SUBSTITUTE((INDEX(SPLIT(A7492,"",""),1)),""."","","",1))"),60.939747)</f>
        <v>60.939747</v>
      </c>
      <c r="Q7492" s="13">
        <f>IFERROR(__xludf.DUMMYFUNCTION("VALUE(SUBSTITUTE((INDEX(SPLIT(A7492,"",""),2)),""."","","",1))"),76.544242)</f>
        <v>76.544242</v>
      </c>
      <c r="R7492" s="14" t="b">
        <f t="shared" si="1"/>
        <v>0</v>
      </c>
      <c r="S7492" s="14" t="str">
        <f t="shared" si="2"/>
        <v>60.939747,76.544242</v>
      </c>
      <c r="T7492" s="12"/>
    </row>
    <row r="7493">
      <c r="A7493" s="142" t="s">
        <v>48288</v>
      </c>
      <c r="B7493" s="143" t="s">
        <v>48289</v>
      </c>
      <c r="C7493" s="143" t="s">
        <v>48290</v>
      </c>
      <c r="D7493" s="143" t="s">
        <v>33342</v>
      </c>
      <c r="E7493" s="144" t="s">
        <v>48291</v>
      </c>
      <c r="F7493" s="142" t="s">
        <v>10045</v>
      </c>
      <c r="G7493" s="142" t="s">
        <v>33344</v>
      </c>
      <c r="H7493" s="142"/>
      <c r="I7493" s="143"/>
      <c r="J7493" s="143" t="s">
        <v>48292</v>
      </c>
      <c r="K7493" s="143" t="s">
        <v>48293</v>
      </c>
      <c r="L7493" s="145" t="s">
        <v>48294</v>
      </c>
      <c r="M7493" s="143"/>
      <c r="N7493" s="12"/>
      <c r="O7493" s="12"/>
      <c r="P7493" s="13">
        <f>IFERROR(__xludf.DUMMYFUNCTION("VALUE(SUBSTITUTE((INDEX(SPLIT(A7493,"",""),1)),""."","","",1))"),61.101146)</f>
        <v>61.101146</v>
      </c>
      <c r="Q7493" s="13">
        <f>IFERROR(__xludf.DUMMYFUNCTION("VALUE(SUBSTITUTE((INDEX(SPLIT(A7493,"",""),2)),""."","","",1))"),72.604339)</f>
        <v>72.604339</v>
      </c>
      <c r="R7493" s="14" t="b">
        <f t="shared" si="1"/>
        <v>0</v>
      </c>
      <c r="S7493" s="14" t="str">
        <f t="shared" si="2"/>
        <v>61.101146,72.604339</v>
      </c>
      <c r="T7493" s="12"/>
    </row>
    <row r="7494">
      <c r="A7494" s="139" t="s">
        <v>48295</v>
      </c>
      <c r="B7494" s="140" t="s">
        <v>48296</v>
      </c>
      <c r="C7494" s="140" t="s">
        <v>48297</v>
      </c>
      <c r="D7494" s="140" t="s">
        <v>33342</v>
      </c>
      <c r="E7494" s="141" t="s">
        <v>48298</v>
      </c>
      <c r="F7494" s="139" t="s">
        <v>10045</v>
      </c>
      <c r="G7494" s="139" t="s">
        <v>33344</v>
      </c>
      <c r="H7494" s="139"/>
      <c r="I7494" s="140"/>
      <c r="J7494" s="140" t="s">
        <v>48299</v>
      </c>
      <c r="K7494" s="140" t="s">
        <v>48300</v>
      </c>
      <c r="L7494" s="140"/>
      <c r="M7494" s="154" t="s">
        <v>48301</v>
      </c>
      <c r="N7494" s="12"/>
      <c r="O7494" s="12"/>
      <c r="P7494" s="13">
        <f>IFERROR(__xludf.DUMMYFUNCTION("VALUE(SUBSTITUTE((INDEX(SPLIT(A7494,"",""),1)),""."","","",1))"),61.100494)</f>
        <v>61.100494</v>
      </c>
      <c r="Q7494" s="13">
        <f>IFERROR(__xludf.DUMMYFUNCTION("VALUE(SUBSTITUTE((INDEX(SPLIT(A7494,"",""),2)),""."","","",1))"),72.600575)</f>
        <v>72.600575</v>
      </c>
      <c r="R7494" s="14" t="b">
        <f t="shared" si="1"/>
        <v>0</v>
      </c>
      <c r="S7494" s="14" t="str">
        <f t="shared" si="2"/>
        <v>61.100494,72.600575</v>
      </c>
      <c r="T7494" s="12"/>
    </row>
    <row r="7495">
      <c r="A7495" s="142" t="s">
        <v>48302</v>
      </c>
      <c r="B7495" s="143" t="s">
        <v>48303</v>
      </c>
      <c r="C7495" s="143" t="s">
        <v>48304</v>
      </c>
      <c r="D7495" s="143" t="s">
        <v>33342</v>
      </c>
      <c r="E7495" s="144" t="s">
        <v>48305</v>
      </c>
      <c r="F7495" s="142" t="s">
        <v>10045</v>
      </c>
      <c r="G7495" s="142" t="s">
        <v>33344</v>
      </c>
      <c r="H7495" s="142"/>
      <c r="I7495" s="143"/>
      <c r="J7495" s="143" t="s">
        <v>48306</v>
      </c>
      <c r="K7495" s="143" t="s">
        <v>48307</v>
      </c>
      <c r="L7495" s="145" t="s">
        <v>48308</v>
      </c>
      <c r="M7495" s="143"/>
      <c r="N7495" s="12"/>
      <c r="O7495" s="12"/>
      <c r="P7495" s="13">
        <f>IFERROR(__xludf.DUMMYFUNCTION("VALUE(SUBSTITUTE((INDEX(SPLIT(A7495,"",""),1)),""."","","",1))"),61.037848)</f>
        <v>61.037848</v>
      </c>
      <c r="Q7495" s="13">
        <f>IFERROR(__xludf.DUMMYFUNCTION("VALUE(SUBSTITUTE((INDEX(SPLIT(A7495,"",""),2)),""."","","",1))"),76.114218)</f>
        <v>76.114218</v>
      </c>
      <c r="R7495" s="14" t="b">
        <f t="shared" si="1"/>
        <v>0</v>
      </c>
      <c r="S7495" s="14" t="str">
        <f t="shared" si="2"/>
        <v>61.037848,76.114218</v>
      </c>
      <c r="T7495" s="12"/>
    </row>
    <row r="7496">
      <c r="A7496" s="146" t="s">
        <v>48309</v>
      </c>
      <c r="B7496" s="147" t="s">
        <v>48310</v>
      </c>
      <c r="C7496" s="147" t="s">
        <v>48311</v>
      </c>
      <c r="D7496" s="147" t="s">
        <v>33342</v>
      </c>
      <c r="E7496" s="148" t="s">
        <v>48312</v>
      </c>
      <c r="F7496" s="146" t="s">
        <v>10045</v>
      </c>
      <c r="G7496" s="146" t="s">
        <v>33344</v>
      </c>
      <c r="H7496" s="146"/>
      <c r="I7496" s="147"/>
      <c r="J7496" s="147" t="s">
        <v>48313</v>
      </c>
      <c r="K7496" s="147" t="s">
        <v>48314</v>
      </c>
      <c r="L7496" s="149" t="s">
        <v>48315</v>
      </c>
      <c r="M7496" s="149" t="s">
        <v>48316</v>
      </c>
      <c r="N7496" s="12"/>
      <c r="O7496" s="12"/>
      <c r="P7496" s="13">
        <f>IFERROR(__xludf.DUMMYFUNCTION("VALUE(SUBSTITUTE((INDEX(SPLIT(A7496,"",""),1)),""."","","",1))"),60.12658)</f>
        <v>60.12658</v>
      </c>
      <c r="Q7496" s="13">
        <f>IFERROR(__xludf.DUMMYFUNCTION("VALUE(SUBSTITUTE((INDEX(SPLIT(A7496,"",""),2)),""."","","",1))"),64.784037)</f>
        <v>64.784037</v>
      </c>
      <c r="R7496" s="14" t="b">
        <f t="shared" si="1"/>
        <v>0</v>
      </c>
      <c r="S7496" s="14" t="str">
        <f t="shared" si="2"/>
        <v>60.12658,64.784037</v>
      </c>
      <c r="T7496" s="12"/>
    </row>
    <row r="7497">
      <c r="A7497" s="136" t="s">
        <v>48317</v>
      </c>
      <c r="B7497" s="137" t="s">
        <v>48318</v>
      </c>
      <c r="C7497" s="137" t="s">
        <v>48319</v>
      </c>
      <c r="D7497" s="137" t="s">
        <v>33342</v>
      </c>
      <c r="E7497" s="138" t="s">
        <v>48320</v>
      </c>
      <c r="F7497" s="136" t="s">
        <v>10045</v>
      </c>
      <c r="G7497" s="136" t="s">
        <v>33344</v>
      </c>
      <c r="H7497" s="136"/>
      <c r="I7497" s="137"/>
      <c r="J7497" s="137" t="s">
        <v>48321</v>
      </c>
      <c r="K7497" s="137" t="s">
        <v>48322</v>
      </c>
      <c r="L7497" s="137"/>
      <c r="M7497" s="137"/>
      <c r="N7497" s="12"/>
      <c r="O7497" s="12"/>
      <c r="P7497" s="13">
        <f>IFERROR(__xludf.DUMMYFUNCTION("VALUE(SUBSTITUTE((INDEX(SPLIT(A7497,"",""),1)),""."","","",1))"),65.379207)</f>
        <v>65.379207</v>
      </c>
      <c r="Q7497" s="13">
        <f>IFERROR(__xludf.DUMMYFUNCTION("VALUE(SUBSTITUTE((INDEX(SPLIT(A7497,"",""),2)),""."","","",1))"),62.129433)</f>
        <v>62.129433</v>
      </c>
      <c r="R7497" s="14" t="b">
        <f t="shared" si="1"/>
        <v>0</v>
      </c>
      <c r="S7497" s="14" t="str">
        <f t="shared" si="2"/>
        <v>65.379207,62.129433</v>
      </c>
      <c r="T7497" s="12"/>
    </row>
    <row r="7498">
      <c r="A7498" s="146" t="s">
        <v>48323</v>
      </c>
      <c r="B7498" s="147" t="s">
        <v>48324</v>
      </c>
      <c r="C7498" s="147" t="s">
        <v>48325</v>
      </c>
      <c r="D7498" s="147" t="s">
        <v>33342</v>
      </c>
      <c r="E7498" s="148" t="s">
        <v>48326</v>
      </c>
      <c r="F7498" s="146" t="s">
        <v>10045</v>
      </c>
      <c r="G7498" s="146" t="s">
        <v>33344</v>
      </c>
      <c r="H7498" s="146"/>
      <c r="I7498" s="147"/>
      <c r="J7498" s="147" t="s">
        <v>48327</v>
      </c>
      <c r="K7498" s="147" t="s">
        <v>48328</v>
      </c>
      <c r="L7498" s="149" t="s">
        <v>48329</v>
      </c>
      <c r="M7498" s="147"/>
      <c r="N7498" s="12"/>
      <c r="O7498" s="12"/>
      <c r="P7498" s="13">
        <f>IFERROR(__xludf.DUMMYFUNCTION("VALUE(SUBSTITUTE((INDEX(SPLIT(A7498,"",""),1)),""."","","",1))"),60.764175)</f>
        <v>60.764175</v>
      </c>
      <c r="Q7498" s="13">
        <f>IFERROR(__xludf.DUMMYFUNCTION("VALUE(SUBSTITUTE((INDEX(SPLIT(A7498,"",""),2)),""."","","",1))"),72.857187)</f>
        <v>72.857187</v>
      </c>
      <c r="R7498" s="14" t="b">
        <f t="shared" si="1"/>
        <v>0</v>
      </c>
      <c r="S7498" s="14" t="str">
        <f t="shared" si="2"/>
        <v>60.764175,72.857187</v>
      </c>
      <c r="T7498" s="12"/>
    </row>
    <row r="7499">
      <c r="A7499" s="146" t="s">
        <v>48330</v>
      </c>
      <c r="B7499" s="147" t="s">
        <v>48331</v>
      </c>
      <c r="C7499" s="147" t="s">
        <v>48332</v>
      </c>
      <c r="D7499" s="147" t="s">
        <v>33342</v>
      </c>
      <c r="E7499" s="148" t="s">
        <v>48333</v>
      </c>
      <c r="F7499" s="146" t="s">
        <v>4881</v>
      </c>
      <c r="G7499" s="146" t="s">
        <v>33344</v>
      </c>
      <c r="H7499" s="146"/>
      <c r="I7499" s="147"/>
      <c r="J7499" s="147" t="s">
        <v>48334</v>
      </c>
      <c r="K7499" s="147" t="s">
        <v>48335</v>
      </c>
      <c r="L7499" s="149" t="s">
        <v>48336</v>
      </c>
      <c r="M7499" s="149" t="s">
        <v>48337</v>
      </c>
      <c r="N7499" s="12"/>
      <c r="O7499" s="12"/>
      <c r="P7499" s="13">
        <f>IFERROR(__xludf.DUMMYFUNCTION("VALUE(SUBSTITUTE((INDEX(SPLIT(A7499,"",""),1)),""."","","",1))"),66.358352)</f>
        <v>66.358352</v>
      </c>
      <c r="Q7499" s="13">
        <f>IFERROR(__xludf.DUMMYFUNCTION("VALUE(SUBSTITUTE((INDEX(SPLIT(A7499,"",""),2)),""."","","",1))"),66.670575)</f>
        <v>66.670575</v>
      </c>
      <c r="R7499" s="14" t="b">
        <f t="shared" si="1"/>
        <v>0</v>
      </c>
      <c r="S7499" s="14" t="str">
        <f t="shared" si="2"/>
        <v>66.358352,66.670575</v>
      </c>
      <c r="T7499" s="12"/>
    </row>
    <row r="7500">
      <c r="A7500" s="136" t="s">
        <v>48338</v>
      </c>
      <c r="B7500" s="137" t="s">
        <v>48339</v>
      </c>
      <c r="C7500" s="137" t="s">
        <v>48340</v>
      </c>
      <c r="D7500" s="137" t="s">
        <v>33342</v>
      </c>
      <c r="E7500" s="138" t="s">
        <v>48341</v>
      </c>
      <c r="F7500" s="136" t="s">
        <v>4881</v>
      </c>
      <c r="G7500" s="136" t="s">
        <v>33344</v>
      </c>
      <c r="H7500" s="136"/>
      <c r="I7500" s="137"/>
      <c r="J7500" s="137" t="s">
        <v>48342</v>
      </c>
      <c r="K7500" s="137" t="s">
        <v>48343</v>
      </c>
      <c r="L7500" s="137"/>
      <c r="M7500" s="137"/>
      <c r="N7500" s="12"/>
      <c r="O7500" s="12"/>
      <c r="P7500" s="13">
        <f>IFERROR(__xludf.DUMMYFUNCTION("VALUE(SUBSTITUTE((INDEX(SPLIT(A7500,"",""),1)),""."","","",1))"),66.595553)</f>
        <v>66.595553</v>
      </c>
      <c r="Q7500" s="13">
        <f>IFERROR(__xludf.DUMMYFUNCTION("VALUE(SUBSTITUTE((INDEX(SPLIT(A7500,"",""),2)),""."","","",1))"),66.525643)</f>
        <v>66.525643</v>
      </c>
      <c r="R7500" s="14" t="b">
        <f t="shared" si="1"/>
        <v>0</v>
      </c>
      <c r="S7500" s="14" t="str">
        <f t="shared" si="2"/>
        <v>66.595553,66.525643</v>
      </c>
      <c r="T7500" s="12"/>
    </row>
    <row r="7501">
      <c r="A7501" s="139" t="s">
        <v>48344</v>
      </c>
      <c r="B7501" s="140" t="s">
        <v>48345</v>
      </c>
      <c r="C7501" s="140" t="s">
        <v>48346</v>
      </c>
      <c r="D7501" s="140" t="s">
        <v>33342</v>
      </c>
      <c r="E7501" s="141" t="s">
        <v>48347</v>
      </c>
      <c r="F7501" s="139" t="s">
        <v>4881</v>
      </c>
      <c r="G7501" s="139" t="s">
        <v>33344</v>
      </c>
      <c r="H7501" s="139"/>
      <c r="I7501" s="140"/>
      <c r="J7501" s="140" t="s">
        <v>48348</v>
      </c>
      <c r="K7501" s="140" t="s">
        <v>48349</v>
      </c>
      <c r="L7501" s="140"/>
      <c r="M7501" s="140"/>
      <c r="N7501" s="12"/>
      <c r="O7501" s="12"/>
      <c r="P7501" s="13">
        <f>IFERROR(__xludf.DUMMYFUNCTION("VALUE(SUBSTITUTE((INDEX(SPLIT(A7501,"",""),1)),""."","","",1))"),64.432625)</f>
        <v>64.432625</v>
      </c>
      <c r="Q7501" s="13">
        <f>IFERROR(__xludf.DUMMYFUNCTION("VALUE(SUBSTITUTE((INDEX(SPLIT(A7501,"",""),2)),""."","","",1))"),76.500503)</f>
        <v>76.500503</v>
      </c>
      <c r="R7501" s="14" t="b">
        <f t="shared" si="1"/>
        <v>0</v>
      </c>
      <c r="S7501" s="14" t="str">
        <f t="shared" si="2"/>
        <v>64.432625,76.500503</v>
      </c>
      <c r="T7501" s="12"/>
    </row>
    <row r="7502">
      <c r="A7502" s="142" t="s">
        <v>48350</v>
      </c>
      <c r="B7502" s="143" t="s">
        <v>48351</v>
      </c>
      <c r="C7502" s="143" t="s">
        <v>48352</v>
      </c>
      <c r="D7502" s="143" t="s">
        <v>33342</v>
      </c>
      <c r="E7502" s="144" t="s">
        <v>48353</v>
      </c>
      <c r="F7502" s="142" t="s">
        <v>48354</v>
      </c>
      <c r="G7502" s="142" t="s">
        <v>33344</v>
      </c>
      <c r="H7502" s="142"/>
      <c r="I7502" s="155" t="s">
        <v>48355</v>
      </c>
      <c r="J7502" s="143" t="s">
        <v>48356</v>
      </c>
      <c r="K7502" s="143" t="s">
        <v>48357</v>
      </c>
      <c r="L7502" s="145" t="s">
        <v>48358</v>
      </c>
      <c r="M7502" s="145" t="s">
        <v>48359</v>
      </c>
      <c r="N7502" s="12"/>
      <c r="O7502" s="12"/>
      <c r="P7502" s="13">
        <f>IFERROR(__xludf.DUMMYFUNCTION("VALUE(SUBSTITUTE((INDEX(SPLIT(A7502,"",""),1)),""."","","",1))"),44.97116)</f>
        <v>44.97116</v>
      </c>
      <c r="Q7502" s="13">
        <f>IFERROR(__xludf.DUMMYFUNCTION("VALUE(SUBSTITUTE((INDEX(SPLIT(A7502,"",""),2)),""."","","",1))"),34.14314)</f>
        <v>34.14314</v>
      </c>
      <c r="R7502" s="14" t="b">
        <f t="shared" si="1"/>
        <v>0</v>
      </c>
      <c r="S7502" s="14" t="str">
        <f t="shared" si="2"/>
        <v>44.97116,34.14314</v>
      </c>
      <c r="T7502" s="12"/>
    </row>
    <row r="7503">
      <c r="A7503" s="146" t="s">
        <v>48360</v>
      </c>
      <c r="B7503" s="147" t="s">
        <v>48361</v>
      </c>
      <c r="C7503" s="147" t="s">
        <v>48362</v>
      </c>
      <c r="D7503" s="147" t="s">
        <v>33342</v>
      </c>
      <c r="E7503" s="148" t="s">
        <v>48363</v>
      </c>
      <c r="F7503" s="146" t="s">
        <v>48354</v>
      </c>
      <c r="G7503" s="146" t="s">
        <v>33344</v>
      </c>
      <c r="H7503" s="146"/>
      <c r="I7503" s="147"/>
      <c r="J7503" s="147" t="s">
        <v>48364</v>
      </c>
      <c r="K7503" s="147" t="s">
        <v>48365</v>
      </c>
      <c r="L7503" s="149" t="s">
        <v>48366</v>
      </c>
      <c r="M7503" s="149" t="s">
        <v>48367</v>
      </c>
      <c r="N7503" s="12"/>
      <c r="O7503" s="12"/>
      <c r="P7503" s="13">
        <f>IFERROR(__xludf.DUMMYFUNCTION("VALUE(SUBSTITUTE((INDEX(SPLIT(A7503,"",""),1)),""."","","",1))"),44.736379)</f>
        <v>44.736379</v>
      </c>
      <c r="Q7503" s="13">
        <f>IFERROR(__xludf.DUMMYFUNCTION("VALUE(SUBSTITUTE((INDEX(SPLIT(A7503,"",""),2)),""."","","",1))"),34.401532)</f>
        <v>34.401532</v>
      </c>
      <c r="R7503" s="14" t="b">
        <f t="shared" si="1"/>
        <v>0</v>
      </c>
      <c r="S7503" s="14" t="str">
        <f t="shared" si="2"/>
        <v>44.736379,34.401532</v>
      </c>
      <c r="T7503" s="12"/>
    </row>
    <row r="7504">
      <c r="A7504" s="142" t="s">
        <v>48368</v>
      </c>
      <c r="B7504" s="143" t="s">
        <v>48369</v>
      </c>
      <c r="C7504" s="143" t="s">
        <v>48370</v>
      </c>
      <c r="D7504" s="143" t="s">
        <v>33342</v>
      </c>
      <c r="E7504" s="144" t="s">
        <v>48371</v>
      </c>
      <c r="F7504" s="142" t="s">
        <v>48354</v>
      </c>
      <c r="G7504" s="142" t="s">
        <v>33344</v>
      </c>
      <c r="H7504" s="142"/>
      <c r="I7504" s="143"/>
      <c r="J7504" s="143" t="s">
        <v>48372</v>
      </c>
      <c r="K7504" s="143" t="s">
        <v>48373</v>
      </c>
      <c r="L7504" s="145" t="s">
        <v>48374</v>
      </c>
      <c r="M7504" s="145" t="s">
        <v>48375</v>
      </c>
      <c r="N7504" s="12"/>
      <c r="O7504" s="12"/>
      <c r="P7504" s="13">
        <f>IFERROR(__xludf.DUMMYFUNCTION("VALUE(SUBSTITUTE((INDEX(SPLIT(A7504,"",""),1)),""."","","",1))"),44.937806)</f>
        <v>44.937806</v>
      </c>
      <c r="Q7504" s="13">
        <f>IFERROR(__xludf.DUMMYFUNCTION("VALUE(SUBSTITUTE((INDEX(SPLIT(A7504,"",""),2)),""."","","",1))"),34.093014)</f>
        <v>34.093014</v>
      </c>
      <c r="R7504" s="14" t="b">
        <f t="shared" si="1"/>
        <v>0</v>
      </c>
      <c r="S7504" s="14" t="str">
        <f t="shared" si="2"/>
        <v>44.937806,34.093014</v>
      </c>
      <c r="T7504" s="12"/>
    </row>
    <row r="7505">
      <c r="A7505" s="146" t="s">
        <v>6390</v>
      </c>
      <c r="B7505" s="147" t="s">
        <v>48376</v>
      </c>
      <c r="C7505" s="147" t="s">
        <v>48377</v>
      </c>
      <c r="D7505" s="147" t="s">
        <v>33342</v>
      </c>
      <c r="E7505" s="148" t="s">
        <v>48378</v>
      </c>
      <c r="F7505" s="146" t="s">
        <v>48354</v>
      </c>
      <c r="G7505" s="146" t="s">
        <v>33344</v>
      </c>
      <c r="H7505" s="146"/>
      <c r="I7505" s="147"/>
      <c r="J7505" s="147" t="s">
        <v>48379</v>
      </c>
      <c r="K7505" s="147" t="s">
        <v>48380</v>
      </c>
      <c r="L7505" s="149" t="s">
        <v>48381</v>
      </c>
      <c r="M7505" s="149" t="s">
        <v>48382</v>
      </c>
      <c r="N7505" s="12"/>
      <c r="O7505" s="12"/>
      <c r="P7505" s="13">
        <f>IFERROR(__xludf.DUMMYFUNCTION("VALUE(SUBSTITUTE((INDEX(SPLIT(A7505,"",""),1)),""."","","",1))"),44.966058)</f>
        <v>44.966058</v>
      </c>
      <c r="Q7505" s="13">
        <f>IFERROR(__xludf.DUMMYFUNCTION("VALUE(SUBSTITUTE((INDEX(SPLIT(A7505,"",""),2)),""."","","",1))"),34.08837)</f>
        <v>34.08837</v>
      </c>
      <c r="R7505" s="14" t="b">
        <f t="shared" si="1"/>
        <v>0</v>
      </c>
      <c r="S7505" s="14" t="str">
        <f t="shared" si="2"/>
        <v>44.966058,34.08837</v>
      </c>
      <c r="T7505" s="12"/>
    </row>
    <row r="7506">
      <c r="A7506" s="142" t="s">
        <v>48383</v>
      </c>
      <c r="B7506" s="143" t="s">
        <v>48384</v>
      </c>
      <c r="C7506" s="143" t="s">
        <v>48385</v>
      </c>
      <c r="D7506" s="143" t="s">
        <v>33342</v>
      </c>
      <c r="E7506" s="144" t="s">
        <v>48386</v>
      </c>
      <c r="F7506" s="142" t="s">
        <v>48354</v>
      </c>
      <c r="G7506" s="142" t="s">
        <v>33344</v>
      </c>
      <c r="H7506" s="142"/>
      <c r="I7506" s="143"/>
      <c r="J7506" s="143" t="s">
        <v>48387</v>
      </c>
      <c r="K7506" s="143" t="s">
        <v>48388</v>
      </c>
      <c r="L7506" s="145" t="s">
        <v>48389</v>
      </c>
      <c r="M7506" s="145" t="s">
        <v>48390</v>
      </c>
      <c r="N7506" s="12"/>
      <c r="O7506" s="12"/>
      <c r="P7506" s="13">
        <f>IFERROR(__xludf.DUMMYFUNCTION("VALUE(SUBSTITUTE((INDEX(SPLIT(A7506,"",""),1)),""."","","",1))"),44.937168)</f>
        <v>44.937168</v>
      </c>
      <c r="Q7506" s="13">
        <f>IFERROR(__xludf.DUMMYFUNCTION("VALUE(SUBSTITUTE((INDEX(SPLIT(A7506,"",""),2)),""."","","",1))"),34.057836)</f>
        <v>34.057836</v>
      </c>
      <c r="R7506" s="14" t="b">
        <f t="shared" si="1"/>
        <v>0</v>
      </c>
      <c r="S7506" s="14" t="str">
        <f t="shared" si="2"/>
        <v>44.937168,34.057836</v>
      </c>
      <c r="T7506" s="12"/>
    </row>
    <row r="7507">
      <c r="A7507" s="146" t="s">
        <v>48391</v>
      </c>
      <c r="B7507" s="147" t="s">
        <v>48392</v>
      </c>
      <c r="C7507" s="147" t="s">
        <v>48393</v>
      </c>
      <c r="D7507" s="147" t="s">
        <v>33342</v>
      </c>
      <c r="E7507" s="148" t="s">
        <v>48394</v>
      </c>
      <c r="F7507" s="146" t="s">
        <v>48354</v>
      </c>
      <c r="G7507" s="146" t="s">
        <v>33344</v>
      </c>
      <c r="H7507" s="146"/>
      <c r="I7507" s="147"/>
      <c r="J7507" s="147" t="s">
        <v>48395</v>
      </c>
      <c r="K7507" s="147" t="s">
        <v>19117</v>
      </c>
      <c r="L7507" s="149" t="s">
        <v>48396</v>
      </c>
      <c r="M7507" s="149" t="s">
        <v>48397</v>
      </c>
      <c r="N7507" s="12"/>
      <c r="O7507" s="12"/>
      <c r="P7507" s="13">
        <f>IFERROR(__xludf.DUMMYFUNCTION("VALUE(SUBSTITUTE((INDEX(SPLIT(A7507,"",""),1)),""."","","",1))"),44.937168)</f>
        <v>44.937168</v>
      </c>
      <c r="Q7507" s="13">
        <f>IFERROR(__xludf.DUMMYFUNCTION("VALUE(SUBSTITUTE((INDEX(SPLIT(A7507,"",""),2)),""."","","",1))"),34.071832)</f>
        <v>34.071832</v>
      </c>
      <c r="R7507" s="14" t="b">
        <f t="shared" si="1"/>
        <v>0</v>
      </c>
      <c r="S7507" s="14" t="str">
        <f t="shared" si="2"/>
        <v>44.937168,34.071832</v>
      </c>
      <c r="T7507" s="12"/>
    </row>
    <row r="7508">
      <c r="A7508" s="142" t="s">
        <v>48398</v>
      </c>
      <c r="B7508" s="143" t="s">
        <v>48399</v>
      </c>
      <c r="C7508" s="143" t="s">
        <v>48400</v>
      </c>
      <c r="D7508" s="143" t="s">
        <v>33342</v>
      </c>
      <c r="E7508" s="144" t="s">
        <v>48401</v>
      </c>
      <c r="F7508" s="142" t="s">
        <v>48354</v>
      </c>
      <c r="G7508" s="142" t="s">
        <v>33344</v>
      </c>
      <c r="H7508" s="142"/>
      <c r="I7508" s="143"/>
      <c r="J7508" s="143" t="s">
        <v>48402</v>
      </c>
      <c r="K7508" s="143" t="s">
        <v>48403</v>
      </c>
      <c r="L7508" s="145" t="s">
        <v>48404</v>
      </c>
      <c r="M7508" s="145" t="s">
        <v>48405</v>
      </c>
      <c r="N7508" s="12"/>
      <c r="O7508" s="12"/>
      <c r="P7508" s="13">
        <f>IFERROR(__xludf.DUMMYFUNCTION("VALUE(SUBSTITUTE((INDEX(SPLIT(A7508,"",""),1)),""."","","",1))"),44.96917)</f>
        <v>44.96917</v>
      </c>
      <c r="Q7508" s="13">
        <f>IFERROR(__xludf.DUMMYFUNCTION("VALUE(SUBSTITUTE((INDEX(SPLIT(A7508,"",""),2)),""."","","",1))"),34.073647)</f>
        <v>34.073647</v>
      </c>
      <c r="R7508" s="14" t="b">
        <f t="shared" si="1"/>
        <v>0</v>
      </c>
      <c r="S7508" s="14" t="str">
        <f t="shared" si="2"/>
        <v>44.96917,34.073647</v>
      </c>
      <c r="T7508" s="12"/>
    </row>
    <row r="7509">
      <c r="A7509" s="139" t="s">
        <v>48406</v>
      </c>
      <c r="B7509" s="140" t="s">
        <v>48407</v>
      </c>
      <c r="C7509" s="140" t="s">
        <v>48408</v>
      </c>
      <c r="D7509" s="140" t="s">
        <v>33342</v>
      </c>
      <c r="E7509" s="141" t="s">
        <v>48409</v>
      </c>
      <c r="F7509" s="139" t="s">
        <v>48354</v>
      </c>
      <c r="G7509" s="139" t="s">
        <v>33344</v>
      </c>
      <c r="H7509" s="139"/>
      <c r="I7509" s="157" t="s">
        <v>48410</v>
      </c>
      <c r="J7509" s="140" t="s">
        <v>48411</v>
      </c>
      <c r="K7509" s="140" t="s">
        <v>48412</v>
      </c>
      <c r="L7509" s="140"/>
      <c r="M7509" s="154" t="s">
        <v>48413</v>
      </c>
      <c r="N7509" s="12"/>
      <c r="O7509" s="12"/>
      <c r="P7509" s="13">
        <f>IFERROR(__xludf.DUMMYFUNCTION("VALUE(SUBSTITUTE((INDEX(SPLIT(A7509,"",""),1)),""."","","",1))"),44.912917)</f>
        <v>44.912917</v>
      </c>
      <c r="Q7509" s="13">
        <f>IFERROR(__xludf.DUMMYFUNCTION("VALUE(SUBSTITUTE((INDEX(SPLIT(A7509,"",""),2)),""."","","",1))"),34.13846)</f>
        <v>34.13846</v>
      </c>
      <c r="R7509" s="14" t="b">
        <f t="shared" si="1"/>
        <v>0</v>
      </c>
      <c r="S7509" s="14" t="str">
        <f t="shared" si="2"/>
        <v>44.912917,34.13846</v>
      </c>
      <c r="T7509" s="12"/>
    </row>
    <row r="7510">
      <c r="A7510" s="142" t="s">
        <v>6514</v>
      </c>
      <c r="B7510" s="143" t="s">
        <v>6515</v>
      </c>
      <c r="C7510" s="143" t="s">
        <v>48414</v>
      </c>
      <c r="D7510" s="143" t="s">
        <v>33342</v>
      </c>
      <c r="E7510" s="144" t="s">
        <v>48415</v>
      </c>
      <c r="F7510" s="142" t="s">
        <v>48354</v>
      </c>
      <c r="G7510" s="142" t="s">
        <v>33344</v>
      </c>
      <c r="H7510" s="142"/>
      <c r="I7510" s="143"/>
      <c r="J7510" s="143" t="s">
        <v>6518</v>
      </c>
      <c r="K7510" s="143" t="s">
        <v>6519</v>
      </c>
      <c r="L7510" s="145" t="s">
        <v>48416</v>
      </c>
      <c r="M7510" s="145" t="s">
        <v>48417</v>
      </c>
      <c r="N7510" s="12"/>
      <c r="O7510" s="12"/>
      <c r="P7510" s="13">
        <f>IFERROR(__xludf.DUMMYFUNCTION("VALUE(SUBSTITUTE((INDEX(SPLIT(A7510,"",""),1)),""."","","",1))"),44.950183)</f>
        <v>44.950183</v>
      </c>
      <c r="Q7510" s="13">
        <f>IFERROR(__xludf.DUMMYFUNCTION("VALUE(SUBSTITUTE((INDEX(SPLIT(A7510,"",""),2)),""."","","",1))"),34.115697)</f>
        <v>34.115697</v>
      </c>
      <c r="R7510" s="14" t="b">
        <f t="shared" si="1"/>
        <v>0</v>
      </c>
      <c r="S7510" s="14" t="str">
        <f t="shared" si="2"/>
        <v>44.950183,34.115697</v>
      </c>
      <c r="T7510" s="12"/>
    </row>
    <row r="7511">
      <c r="A7511" s="146" t="s">
        <v>48418</v>
      </c>
      <c r="B7511" s="147" t="s">
        <v>48419</v>
      </c>
      <c r="C7511" s="147" t="s">
        <v>48420</v>
      </c>
      <c r="D7511" s="147" t="s">
        <v>33342</v>
      </c>
      <c r="E7511" s="148" t="s">
        <v>48421</v>
      </c>
      <c r="F7511" s="146" t="s">
        <v>48354</v>
      </c>
      <c r="G7511" s="146" t="s">
        <v>33344</v>
      </c>
      <c r="H7511" s="146"/>
      <c r="I7511" s="147"/>
      <c r="J7511" s="147" t="s">
        <v>48422</v>
      </c>
      <c r="K7511" s="147" t="s">
        <v>48423</v>
      </c>
      <c r="L7511" s="149" t="s">
        <v>48424</v>
      </c>
      <c r="M7511" s="149" t="s">
        <v>48425</v>
      </c>
      <c r="N7511" s="12"/>
      <c r="O7511" s="12"/>
      <c r="P7511" s="13">
        <f>IFERROR(__xludf.DUMMYFUNCTION("VALUE(SUBSTITUTE((INDEX(SPLIT(A7511,"",""),1)),""."","","",1))"),44.96322)</f>
        <v>44.96322</v>
      </c>
      <c r="Q7511" s="13">
        <f>IFERROR(__xludf.DUMMYFUNCTION("VALUE(SUBSTITUTE((INDEX(SPLIT(A7511,"",""),2)),""."","","",1))"),34.111618)</f>
        <v>34.111618</v>
      </c>
      <c r="R7511" s="14" t="b">
        <f t="shared" si="1"/>
        <v>0</v>
      </c>
      <c r="S7511" s="14" t="str">
        <f t="shared" si="2"/>
        <v>44.96322,34.111618</v>
      </c>
      <c r="T7511" s="12"/>
    </row>
    <row r="7512">
      <c r="A7512" s="142" t="s">
        <v>6294</v>
      </c>
      <c r="B7512" s="143" t="s">
        <v>48426</v>
      </c>
      <c r="C7512" s="143" t="s">
        <v>48427</v>
      </c>
      <c r="D7512" s="143" t="s">
        <v>33342</v>
      </c>
      <c r="E7512" s="144" t="s">
        <v>48428</v>
      </c>
      <c r="F7512" s="142" t="s">
        <v>48354</v>
      </c>
      <c r="G7512" s="142" t="s">
        <v>33344</v>
      </c>
      <c r="H7512" s="142"/>
      <c r="I7512" s="143"/>
      <c r="J7512" s="143" t="s">
        <v>48429</v>
      </c>
      <c r="K7512" s="143" t="s">
        <v>48430</v>
      </c>
      <c r="L7512" s="145" t="s">
        <v>48431</v>
      </c>
      <c r="M7512" s="145" t="s">
        <v>6301</v>
      </c>
      <c r="N7512" s="12"/>
      <c r="O7512" s="12"/>
      <c r="P7512" s="13">
        <f>IFERROR(__xludf.DUMMYFUNCTION("VALUE(SUBSTITUTE((INDEX(SPLIT(A7512,"",""),1)),""."","","",1))"),44.933493)</f>
        <v>44.933493</v>
      </c>
      <c r="Q7512" s="13">
        <f>IFERROR(__xludf.DUMMYFUNCTION("VALUE(SUBSTITUTE((INDEX(SPLIT(A7512,"",""),2)),""."","","",1))"),34.045979)</f>
        <v>34.045979</v>
      </c>
      <c r="R7512" s="14" t="b">
        <f t="shared" si="1"/>
        <v>0</v>
      </c>
      <c r="S7512" s="14" t="str">
        <f t="shared" si="2"/>
        <v>44.933493,34.045979</v>
      </c>
      <c r="T7512" s="12"/>
    </row>
    <row r="7513">
      <c r="A7513" s="146" t="s">
        <v>48432</v>
      </c>
      <c r="B7513" s="147" t="s">
        <v>48433</v>
      </c>
      <c r="C7513" s="147" t="s">
        <v>48434</v>
      </c>
      <c r="D7513" s="147" t="s">
        <v>33342</v>
      </c>
      <c r="E7513" s="148" t="s">
        <v>48435</v>
      </c>
      <c r="F7513" s="146" t="s">
        <v>48354</v>
      </c>
      <c r="G7513" s="146" t="s">
        <v>33344</v>
      </c>
      <c r="H7513" s="146"/>
      <c r="I7513" s="147"/>
      <c r="J7513" s="147" t="s">
        <v>48436</v>
      </c>
      <c r="K7513" s="147" t="s">
        <v>48437</v>
      </c>
      <c r="L7513" s="149" t="s">
        <v>48438</v>
      </c>
      <c r="M7513" s="149" t="s">
        <v>48439</v>
      </c>
      <c r="N7513" s="12"/>
      <c r="O7513" s="12"/>
      <c r="P7513" s="13">
        <f>IFERROR(__xludf.DUMMYFUNCTION("VALUE(SUBSTITUTE((INDEX(SPLIT(A7513,"",""),1)),""."","","",1))"),44.972116)</f>
        <v>44.972116</v>
      </c>
      <c r="Q7513" s="13">
        <f>IFERROR(__xludf.DUMMYFUNCTION("VALUE(SUBSTITUTE((INDEX(SPLIT(A7513,"",""),2)),""."","","",1))"),34.079863)</f>
        <v>34.079863</v>
      </c>
      <c r="R7513" s="14" t="b">
        <f t="shared" si="1"/>
        <v>0</v>
      </c>
      <c r="S7513" s="14" t="str">
        <f t="shared" si="2"/>
        <v>44.972116,34.079863</v>
      </c>
      <c r="T7513" s="12"/>
    </row>
    <row r="7514">
      <c r="A7514" s="142" t="s">
        <v>6268</v>
      </c>
      <c r="B7514" s="143" t="s">
        <v>48440</v>
      </c>
      <c r="C7514" s="143" t="s">
        <v>48441</v>
      </c>
      <c r="D7514" s="143" t="s">
        <v>33342</v>
      </c>
      <c r="E7514" s="144" t="s">
        <v>48442</v>
      </c>
      <c r="F7514" s="142" t="s">
        <v>48354</v>
      </c>
      <c r="G7514" s="142" t="s">
        <v>33344</v>
      </c>
      <c r="H7514" s="142"/>
      <c r="I7514" s="143"/>
      <c r="J7514" s="143" t="s">
        <v>48443</v>
      </c>
      <c r="K7514" s="143" t="s">
        <v>48444</v>
      </c>
      <c r="L7514" s="145" t="s">
        <v>48445</v>
      </c>
      <c r="M7514" s="143"/>
      <c r="N7514" s="12"/>
      <c r="O7514" s="12"/>
      <c r="P7514" s="13">
        <f>IFERROR(__xludf.DUMMYFUNCTION("VALUE(SUBSTITUTE((INDEX(SPLIT(A7514,"",""),1)),""."","","",1))"),45.007508)</f>
        <v>45.007508</v>
      </c>
      <c r="Q7514" s="13">
        <f>IFERROR(__xludf.DUMMYFUNCTION("VALUE(SUBSTITUTE((INDEX(SPLIT(A7514,"",""),2)),""."","","",1))"),34.027581)</f>
        <v>34.027581</v>
      </c>
      <c r="R7514" s="14" t="b">
        <f t="shared" si="1"/>
        <v>0</v>
      </c>
      <c r="S7514" s="14" t="str">
        <f t="shared" si="2"/>
        <v>45.007508,34.027581</v>
      </c>
      <c r="T7514" s="12"/>
    </row>
    <row r="7515">
      <c r="A7515" s="146" t="s">
        <v>48446</v>
      </c>
      <c r="B7515" s="147" t="s">
        <v>48447</v>
      </c>
      <c r="C7515" s="147" t="s">
        <v>48448</v>
      </c>
      <c r="D7515" s="147" t="s">
        <v>33342</v>
      </c>
      <c r="E7515" s="148" t="s">
        <v>48449</v>
      </c>
      <c r="F7515" s="146" t="s">
        <v>48354</v>
      </c>
      <c r="G7515" s="146" t="s">
        <v>33344</v>
      </c>
      <c r="H7515" s="146"/>
      <c r="I7515" s="147"/>
      <c r="J7515" s="147" t="s">
        <v>48450</v>
      </c>
      <c r="K7515" s="147" t="s">
        <v>47681</v>
      </c>
      <c r="L7515" s="149" t="s">
        <v>48451</v>
      </c>
      <c r="M7515" s="149" t="s">
        <v>48452</v>
      </c>
      <c r="N7515" s="12"/>
      <c r="O7515" s="12"/>
      <c r="P7515" s="13">
        <f>IFERROR(__xludf.DUMMYFUNCTION("VALUE(SUBSTITUTE((INDEX(SPLIT(A7515,"",""),1)),""."","","",1))"),44.940071)</f>
        <v>44.940071</v>
      </c>
      <c r="Q7515" s="13">
        <f>IFERROR(__xludf.DUMMYFUNCTION("VALUE(SUBSTITUTE((INDEX(SPLIT(A7515,"",""),2)),""."","","",1))"),34.125381)</f>
        <v>34.125381</v>
      </c>
      <c r="R7515" s="14" t="b">
        <f t="shared" si="1"/>
        <v>0</v>
      </c>
      <c r="S7515" s="14" t="str">
        <f t="shared" si="2"/>
        <v>44.940071,34.125381</v>
      </c>
      <c r="T7515" s="12"/>
    </row>
    <row r="7516">
      <c r="A7516" s="142" t="s">
        <v>48453</v>
      </c>
      <c r="B7516" s="143" t="s">
        <v>48454</v>
      </c>
      <c r="C7516" s="143" t="s">
        <v>48455</v>
      </c>
      <c r="D7516" s="143" t="s">
        <v>33342</v>
      </c>
      <c r="E7516" s="144" t="s">
        <v>48456</v>
      </c>
      <c r="F7516" s="142" t="s">
        <v>48354</v>
      </c>
      <c r="G7516" s="142" t="s">
        <v>33344</v>
      </c>
      <c r="H7516" s="142"/>
      <c r="I7516" s="143"/>
      <c r="J7516" s="143" t="s">
        <v>48457</v>
      </c>
      <c r="K7516" s="143" t="s">
        <v>48458</v>
      </c>
      <c r="L7516" s="145" t="s">
        <v>48459</v>
      </c>
      <c r="M7516" s="143"/>
      <c r="N7516" s="12"/>
      <c r="O7516" s="12"/>
      <c r="P7516" s="13">
        <f>IFERROR(__xludf.DUMMYFUNCTION("VALUE(SUBSTITUTE((INDEX(SPLIT(A7516,"",""),1)),""."","","",1))"),44.969833)</f>
        <v>44.969833</v>
      </c>
      <c r="Q7516" s="13">
        <f>IFERROR(__xludf.DUMMYFUNCTION("VALUE(SUBSTITUTE((INDEX(SPLIT(A7516,"",""),2)),""."","","",1))"),34.095009)</f>
        <v>34.095009</v>
      </c>
      <c r="R7516" s="14" t="b">
        <f t="shared" si="1"/>
        <v>0</v>
      </c>
      <c r="S7516" s="14" t="str">
        <f t="shared" si="2"/>
        <v>44.969833,34.095009</v>
      </c>
      <c r="T7516" s="12"/>
    </row>
    <row r="7517">
      <c r="A7517" s="146" t="s">
        <v>48460</v>
      </c>
      <c r="B7517" s="147" t="s">
        <v>48461</v>
      </c>
      <c r="C7517" s="147" t="s">
        <v>48462</v>
      </c>
      <c r="D7517" s="147" t="s">
        <v>33342</v>
      </c>
      <c r="E7517" s="148" t="s">
        <v>48463</v>
      </c>
      <c r="F7517" s="146" t="s">
        <v>48354</v>
      </c>
      <c r="G7517" s="146" t="s">
        <v>33344</v>
      </c>
      <c r="H7517" s="146"/>
      <c r="I7517" s="147"/>
      <c r="J7517" s="147" t="s">
        <v>48464</v>
      </c>
      <c r="K7517" s="147" t="s">
        <v>48465</v>
      </c>
      <c r="L7517" s="149" t="s">
        <v>48466</v>
      </c>
      <c r="M7517" s="149" t="s">
        <v>48467</v>
      </c>
      <c r="N7517" s="12"/>
      <c r="O7517" s="12"/>
      <c r="P7517" s="13">
        <f>IFERROR(__xludf.DUMMYFUNCTION("VALUE(SUBSTITUTE((INDEX(SPLIT(A7517,"",""),1)),""."","","",1))"),44.972276)</f>
        <v>44.972276</v>
      </c>
      <c r="Q7517" s="13">
        <f>IFERROR(__xludf.DUMMYFUNCTION("VALUE(SUBSTITUTE((INDEX(SPLIT(A7517,"",""),2)),""."","","",1))"),34.123872)</f>
        <v>34.123872</v>
      </c>
      <c r="R7517" s="14" t="b">
        <f t="shared" si="1"/>
        <v>0</v>
      </c>
      <c r="S7517" s="14" t="str">
        <f t="shared" si="2"/>
        <v>44.972276,34.123872</v>
      </c>
      <c r="T7517" s="12"/>
    </row>
    <row r="7518">
      <c r="A7518" s="142" t="s">
        <v>48468</v>
      </c>
      <c r="B7518" s="143" t="s">
        <v>48469</v>
      </c>
      <c r="C7518" s="143" t="s">
        <v>48470</v>
      </c>
      <c r="D7518" s="143" t="s">
        <v>33342</v>
      </c>
      <c r="E7518" s="144" t="s">
        <v>48471</v>
      </c>
      <c r="F7518" s="142" t="s">
        <v>48354</v>
      </c>
      <c r="G7518" s="142" t="s">
        <v>33344</v>
      </c>
      <c r="H7518" s="142"/>
      <c r="I7518" s="143"/>
      <c r="J7518" s="143" t="s">
        <v>48472</v>
      </c>
      <c r="K7518" s="143" t="s">
        <v>48473</v>
      </c>
      <c r="L7518" s="145" t="s">
        <v>48474</v>
      </c>
      <c r="M7518" s="143"/>
      <c r="N7518" s="12"/>
      <c r="O7518" s="12"/>
      <c r="P7518" s="13">
        <f>IFERROR(__xludf.DUMMYFUNCTION("VALUE(SUBSTITUTE((INDEX(SPLIT(A7518,"",""),1)),""."","","",1))"),44.503914)</f>
        <v>44.503914</v>
      </c>
      <c r="Q7518" s="13">
        <f>IFERROR(__xludf.DUMMYFUNCTION("VALUE(SUBSTITUTE((INDEX(SPLIT(A7518,"",""),2)),""."","","",1))"),34.167305)</f>
        <v>34.167305</v>
      </c>
      <c r="R7518" s="14" t="b">
        <f t="shared" si="1"/>
        <v>0</v>
      </c>
      <c r="S7518" s="14" t="str">
        <f t="shared" si="2"/>
        <v>44.503914,34.167305</v>
      </c>
      <c r="T7518" s="12"/>
    </row>
    <row r="7519">
      <c r="A7519" s="146" t="s">
        <v>48475</v>
      </c>
      <c r="B7519" s="147" t="s">
        <v>48476</v>
      </c>
      <c r="C7519" s="147" t="s">
        <v>48477</v>
      </c>
      <c r="D7519" s="147" t="s">
        <v>33342</v>
      </c>
      <c r="E7519" s="148" t="s">
        <v>48478</v>
      </c>
      <c r="F7519" s="146" t="s">
        <v>48354</v>
      </c>
      <c r="G7519" s="146" t="s">
        <v>33344</v>
      </c>
      <c r="H7519" s="146"/>
      <c r="I7519" s="147"/>
      <c r="J7519" s="147" t="s">
        <v>48479</v>
      </c>
      <c r="K7519" s="147" t="s">
        <v>48480</v>
      </c>
      <c r="L7519" s="149" t="s">
        <v>48481</v>
      </c>
      <c r="M7519" s="149" t="s">
        <v>48482</v>
      </c>
      <c r="N7519" s="12"/>
      <c r="O7519" s="12"/>
      <c r="P7519" s="13">
        <f>IFERROR(__xludf.DUMMYFUNCTION("VALUE(SUBSTITUTE((INDEX(SPLIT(A7519,"",""),1)),""."","","",1))"),45.015435)</f>
        <v>45.015435</v>
      </c>
      <c r="Q7519" s="13">
        <f>IFERROR(__xludf.DUMMYFUNCTION("VALUE(SUBSTITUTE((INDEX(SPLIT(A7519,"",""),2)),""."","","",1))"),34.024859)</f>
        <v>34.024859</v>
      </c>
      <c r="R7519" s="14" t="b">
        <f t="shared" si="1"/>
        <v>0</v>
      </c>
      <c r="S7519" s="14" t="str">
        <f t="shared" si="2"/>
        <v>45.015435,34.024859</v>
      </c>
      <c r="T7519" s="12"/>
    </row>
    <row r="7520">
      <c r="A7520" s="136" t="s">
        <v>48483</v>
      </c>
      <c r="B7520" s="137" t="s">
        <v>48484</v>
      </c>
      <c r="C7520" s="137" t="s">
        <v>48485</v>
      </c>
      <c r="D7520" s="137" t="s">
        <v>33342</v>
      </c>
      <c r="E7520" s="138" t="s">
        <v>48486</v>
      </c>
      <c r="F7520" s="136" t="s">
        <v>48354</v>
      </c>
      <c r="G7520" s="136" t="s">
        <v>33344</v>
      </c>
      <c r="H7520" s="136"/>
      <c r="I7520" s="137"/>
      <c r="J7520" s="137" t="s">
        <v>48487</v>
      </c>
      <c r="K7520" s="137" t="s">
        <v>48488</v>
      </c>
      <c r="L7520" s="137"/>
      <c r="M7520" s="137"/>
      <c r="N7520" s="12"/>
      <c r="O7520" s="12"/>
      <c r="P7520" s="13">
        <f>IFERROR(__xludf.DUMMYFUNCTION("VALUE(SUBSTITUTE((INDEX(SPLIT(A7520,"",""),1)),""."","","",1))"),44.929371)</f>
        <v>44.929371</v>
      </c>
      <c r="Q7520" s="13">
        <f>IFERROR(__xludf.DUMMYFUNCTION("VALUE(SUBSTITUTE((INDEX(SPLIT(A7520,"",""),2)),""."","","",1))"),34.082199)</f>
        <v>34.082199</v>
      </c>
      <c r="R7520" s="14" t="b">
        <f t="shared" si="1"/>
        <v>0</v>
      </c>
      <c r="S7520" s="14" t="str">
        <f t="shared" si="2"/>
        <v>44.929371,34.082199</v>
      </c>
      <c r="T7520" s="12"/>
    </row>
    <row r="7521">
      <c r="A7521" s="146" t="s">
        <v>48489</v>
      </c>
      <c r="B7521" s="147" t="s">
        <v>48490</v>
      </c>
      <c r="C7521" s="147" t="s">
        <v>48491</v>
      </c>
      <c r="D7521" s="147" t="s">
        <v>33342</v>
      </c>
      <c r="E7521" s="148" t="s">
        <v>48492</v>
      </c>
      <c r="F7521" s="146" t="s">
        <v>48354</v>
      </c>
      <c r="G7521" s="146" t="s">
        <v>33344</v>
      </c>
      <c r="H7521" s="146"/>
      <c r="I7521" s="147"/>
      <c r="J7521" s="147" t="s">
        <v>48493</v>
      </c>
      <c r="K7521" s="147" t="s">
        <v>5905</v>
      </c>
      <c r="L7521" s="149" t="s">
        <v>48494</v>
      </c>
      <c r="M7521" s="149" t="s">
        <v>5897</v>
      </c>
      <c r="N7521" s="12"/>
      <c r="O7521" s="12"/>
      <c r="P7521" s="13">
        <f>IFERROR(__xludf.DUMMYFUNCTION("VALUE(SUBSTITUTE((INDEX(SPLIT(A7521,"",""),1)),""."","","",1))"),44.507784)</f>
        <v>44.507784</v>
      </c>
      <c r="Q7521" s="13">
        <f>IFERROR(__xludf.DUMMYFUNCTION("VALUE(SUBSTITUTE((INDEX(SPLIT(A7521,"",""),2)),""."","","",1))"),34.142323)</f>
        <v>34.142323</v>
      </c>
      <c r="R7521" s="14" t="b">
        <f t="shared" si="1"/>
        <v>0</v>
      </c>
      <c r="S7521" s="14" t="str">
        <f t="shared" si="2"/>
        <v>44.507784,34.142323</v>
      </c>
      <c r="T7521" s="12"/>
    </row>
    <row r="7522">
      <c r="A7522" s="142" t="s">
        <v>48495</v>
      </c>
      <c r="B7522" s="143" t="s">
        <v>48496</v>
      </c>
      <c r="C7522" s="143" t="s">
        <v>48497</v>
      </c>
      <c r="D7522" s="143" t="s">
        <v>33342</v>
      </c>
      <c r="E7522" s="144" t="s">
        <v>48498</v>
      </c>
      <c r="F7522" s="142" t="s">
        <v>48354</v>
      </c>
      <c r="G7522" s="142" t="s">
        <v>33344</v>
      </c>
      <c r="H7522" s="142"/>
      <c r="I7522" s="143"/>
      <c r="J7522" s="143" t="s">
        <v>48499</v>
      </c>
      <c r="K7522" s="143" t="s">
        <v>48500</v>
      </c>
      <c r="L7522" s="145" t="s">
        <v>48501</v>
      </c>
      <c r="M7522" s="145" t="s">
        <v>48502</v>
      </c>
      <c r="N7522" s="12"/>
      <c r="O7522" s="12"/>
      <c r="P7522" s="13">
        <f>IFERROR(__xludf.DUMMYFUNCTION("VALUE(SUBSTITUTE((INDEX(SPLIT(A7522,"",""),1)),""."","","",1))"),44.507881)</f>
        <v>44.507881</v>
      </c>
      <c r="Q7522" s="13">
        <f>IFERROR(__xludf.DUMMYFUNCTION("VALUE(SUBSTITUTE((INDEX(SPLIT(A7522,"",""),2)),""."","","",1))"),34.159085)</f>
        <v>34.159085</v>
      </c>
      <c r="R7522" s="14" t="b">
        <f t="shared" si="1"/>
        <v>0</v>
      </c>
      <c r="S7522" s="14" t="str">
        <f t="shared" si="2"/>
        <v>44.507881,34.159085</v>
      </c>
      <c r="T7522" s="12"/>
    </row>
    <row r="7523">
      <c r="A7523" s="146" t="s">
        <v>48503</v>
      </c>
      <c r="B7523" s="147" t="s">
        <v>48504</v>
      </c>
      <c r="C7523" s="147" t="s">
        <v>48505</v>
      </c>
      <c r="D7523" s="147" t="s">
        <v>33342</v>
      </c>
      <c r="E7523" s="148" t="s">
        <v>48506</v>
      </c>
      <c r="F7523" s="146" t="s">
        <v>48354</v>
      </c>
      <c r="G7523" s="146" t="s">
        <v>33344</v>
      </c>
      <c r="H7523" s="146"/>
      <c r="I7523" s="147"/>
      <c r="J7523" s="147" t="s">
        <v>48507</v>
      </c>
      <c r="K7523" s="147" t="s">
        <v>48508</v>
      </c>
      <c r="L7523" s="149" t="s">
        <v>48509</v>
      </c>
      <c r="M7523" s="149" t="s">
        <v>48510</v>
      </c>
      <c r="N7523" s="12"/>
      <c r="O7523" s="12"/>
      <c r="P7523" s="13">
        <f>IFERROR(__xludf.DUMMYFUNCTION("VALUE(SUBSTITUTE((INDEX(SPLIT(A7523,"",""),1)),""."","","",1))"),44.418355)</f>
        <v>44.418355</v>
      </c>
      <c r="Q7523" s="13">
        <f>IFERROR(__xludf.DUMMYFUNCTION("VALUE(SUBSTITUTE((INDEX(SPLIT(A7523,"",""),2)),""."","","",1))"),34.000677)</f>
        <v>34.000677</v>
      </c>
      <c r="R7523" s="14" t="b">
        <f t="shared" si="1"/>
        <v>0</v>
      </c>
      <c r="S7523" s="14" t="str">
        <f t="shared" si="2"/>
        <v>44.418355,34.000677</v>
      </c>
      <c r="T7523" s="12"/>
    </row>
    <row r="7524">
      <c r="A7524" s="142" t="s">
        <v>48511</v>
      </c>
      <c r="B7524" s="143" t="s">
        <v>48512</v>
      </c>
      <c r="C7524" s="143" t="s">
        <v>48513</v>
      </c>
      <c r="D7524" s="143" t="s">
        <v>33342</v>
      </c>
      <c r="E7524" s="144" t="s">
        <v>48514</v>
      </c>
      <c r="F7524" s="142" t="s">
        <v>48354</v>
      </c>
      <c r="G7524" s="142" t="s">
        <v>33344</v>
      </c>
      <c r="H7524" s="142"/>
      <c r="I7524" s="143"/>
      <c r="J7524" s="143" t="s">
        <v>48515</v>
      </c>
      <c r="K7524" s="143" t="s">
        <v>48516</v>
      </c>
      <c r="L7524" s="145" t="s">
        <v>48517</v>
      </c>
      <c r="M7524" s="145" t="s">
        <v>48518</v>
      </c>
      <c r="N7524" s="12"/>
      <c r="O7524" s="12"/>
      <c r="P7524" s="13">
        <f>IFERROR(__xludf.DUMMYFUNCTION("VALUE(SUBSTITUTE((INDEX(SPLIT(A7524,"",""),1)),""."","","",1))"),44.493113)</f>
        <v>44.493113</v>
      </c>
      <c r="Q7524" s="13">
        <f>IFERROR(__xludf.DUMMYFUNCTION("VALUE(SUBSTITUTE((INDEX(SPLIT(A7524,"",""),2)),""."","","",1))"),34.137508)</f>
        <v>34.137508</v>
      </c>
      <c r="R7524" s="14" t="b">
        <f t="shared" si="1"/>
        <v>0</v>
      </c>
      <c r="S7524" s="14" t="str">
        <f t="shared" si="2"/>
        <v>44.493113,34.137508</v>
      </c>
      <c r="T7524" s="12"/>
    </row>
    <row r="7525">
      <c r="A7525" s="146" t="s">
        <v>48519</v>
      </c>
      <c r="B7525" s="147" t="s">
        <v>48520</v>
      </c>
      <c r="C7525" s="147" t="s">
        <v>48521</v>
      </c>
      <c r="D7525" s="147" t="s">
        <v>33342</v>
      </c>
      <c r="E7525" s="148" t="s">
        <v>48522</v>
      </c>
      <c r="F7525" s="146" t="s">
        <v>48354</v>
      </c>
      <c r="G7525" s="146" t="s">
        <v>33344</v>
      </c>
      <c r="H7525" s="146"/>
      <c r="I7525" s="147"/>
      <c r="J7525" s="147" t="s">
        <v>48523</v>
      </c>
      <c r="K7525" s="147" t="s">
        <v>48524</v>
      </c>
      <c r="L7525" s="149" t="s">
        <v>48525</v>
      </c>
      <c r="M7525" s="147"/>
      <c r="N7525" s="12"/>
      <c r="O7525" s="12"/>
      <c r="P7525" s="13">
        <f>IFERROR(__xludf.DUMMYFUNCTION("VALUE(SUBSTITUTE((INDEX(SPLIT(A7525,"",""),1)),""."","","",1))"),44.503265)</f>
        <v>44.503265</v>
      </c>
      <c r="Q7525" s="13">
        <f>IFERROR(__xludf.DUMMYFUNCTION("VALUE(SUBSTITUTE((INDEX(SPLIT(A7525,"",""),2)),""."","","",1))"),34.144497)</f>
        <v>34.144497</v>
      </c>
      <c r="R7525" s="14" t="b">
        <f t="shared" si="1"/>
        <v>0</v>
      </c>
      <c r="S7525" s="14" t="str">
        <f t="shared" si="2"/>
        <v>44.503265,34.144497</v>
      </c>
      <c r="T7525" s="12"/>
    </row>
    <row r="7526">
      <c r="A7526" s="142" t="s">
        <v>48526</v>
      </c>
      <c r="B7526" s="143" t="s">
        <v>48527</v>
      </c>
      <c r="C7526" s="143" t="s">
        <v>48528</v>
      </c>
      <c r="D7526" s="143" t="s">
        <v>33342</v>
      </c>
      <c r="E7526" s="144" t="s">
        <v>48529</v>
      </c>
      <c r="F7526" s="142" t="s">
        <v>48354</v>
      </c>
      <c r="G7526" s="142" t="s">
        <v>33344</v>
      </c>
      <c r="H7526" s="142"/>
      <c r="I7526" s="143"/>
      <c r="J7526" s="143" t="s">
        <v>48530</v>
      </c>
      <c r="K7526" s="143" t="s">
        <v>48531</v>
      </c>
      <c r="L7526" s="145" t="s">
        <v>48532</v>
      </c>
      <c r="M7526" s="145" t="s">
        <v>48533</v>
      </c>
      <c r="N7526" s="12"/>
      <c r="O7526" s="12"/>
      <c r="P7526" s="13">
        <f>IFERROR(__xludf.DUMMYFUNCTION("VALUE(SUBSTITUTE((INDEX(SPLIT(A7526,"",""),1)),""."","","",1))"),44.494778)</f>
        <v>44.494778</v>
      </c>
      <c r="Q7526" s="13">
        <f>IFERROR(__xludf.DUMMYFUNCTION("VALUE(SUBSTITUTE((INDEX(SPLIT(A7526,"",""),2)),""."","","",1))"),34.165823)</f>
        <v>34.165823</v>
      </c>
      <c r="R7526" s="14" t="b">
        <f t="shared" si="1"/>
        <v>0</v>
      </c>
      <c r="S7526" s="14" t="str">
        <f t="shared" si="2"/>
        <v>44.494778,34.165823</v>
      </c>
      <c r="T7526" s="12"/>
    </row>
    <row r="7527">
      <c r="A7527" s="139" t="s">
        <v>48534</v>
      </c>
      <c r="B7527" s="140" t="s">
        <v>48535</v>
      </c>
      <c r="C7527" s="140" t="s">
        <v>48536</v>
      </c>
      <c r="D7527" s="140" t="s">
        <v>33342</v>
      </c>
      <c r="E7527" s="141" t="s">
        <v>48537</v>
      </c>
      <c r="F7527" s="139" t="s">
        <v>48354</v>
      </c>
      <c r="G7527" s="139" t="s">
        <v>33344</v>
      </c>
      <c r="H7527" s="139"/>
      <c r="I7527" s="140"/>
      <c r="J7527" s="140" t="s">
        <v>48538</v>
      </c>
      <c r="K7527" s="140" t="s">
        <v>48539</v>
      </c>
      <c r="L7527" s="140"/>
      <c r="M7527" s="140"/>
      <c r="N7527" s="12"/>
      <c r="O7527" s="12"/>
      <c r="P7527" s="13">
        <f>IFERROR(__xludf.DUMMYFUNCTION("VALUE(SUBSTITUTE((INDEX(SPLIT(A7527,"",""),1)),""."","","",1))"),44.600086)</f>
        <v>44.600086</v>
      </c>
      <c r="Q7527" s="13">
        <f>IFERROR(__xludf.DUMMYFUNCTION("VALUE(SUBSTITUTE((INDEX(SPLIT(A7527,"",""),2)),""."","","",1))"),34.354864)</f>
        <v>34.354864</v>
      </c>
      <c r="R7527" s="14" t="b">
        <f t="shared" si="1"/>
        <v>0</v>
      </c>
      <c r="S7527" s="14" t="str">
        <f t="shared" si="2"/>
        <v>44.600086,34.354864</v>
      </c>
      <c r="T7527" s="12"/>
    </row>
    <row r="7528">
      <c r="A7528" s="136" t="s">
        <v>48540</v>
      </c>
      <c r="B7528" s="137" t="s">
        <v>48541</v>
      </c>
      <c r="C7528" s="137" t="s">
        <v>48542</v>
      </c>
      <c r="D7528" s="137" t="s">
        <v>33342</v>
      </c>
      <c r="E7528" s="138" t="s">
        <v>48543</v>
      </c>
      <c r="F7528" s="136" t="s">
        <v>48354</v>
      </c>
      <c r="G7528" s="136" t="s">
        <v>33344</v>
      </c>
      <c r="H7528" s="136"/>
      <c r="I7528" s="137"/>
      <c r="J7528" s="137" t="s">
        <v>48544</v>
      </c>
      <c r="K7528" s="137" t="s">
        <v>48545</v>
      </c>
      <c r="L7528" s="137"/>
      <c r="M7528" s="137"/>
      <c r="N7528" s="12"/>
      <c r="O7528" s="12"/>
      <c r="P7528" s="13">
        <f>IFERROR(__xludf.DUMMYFUNCTION("VALUE(SUBSTITUTE((INDEX(SPLIT(A7528,"",""),1)),""."","","",1))"),44.502455)</f>
        <v>44.502455</v>
      </c>
      <c r="Q7528" s="13">
        <f>IFERROR(__xludf.DUMMYFUNCTION("VALUE(SUBSTITUTE((INDEX(SPLIT(A7528,"",""),2)),""."","","",1))"),34.165446)</f>
        <v>34.165446</v>
      </c>
      <c r="R7528" s="14" t="b">
        <f t="shared" si="1"/>
        <v>0</v>
      </c>
      <c r="S7528" s="14" t="str">
        <f t="shared" si="2"/>
        <v>44.502455,34.165446</v>
      </c>
      <c r="T7528" s="12"/>
    </row>
    <row r="7529">
      <c r="A7529" s="146" t="s">
        <v>48546</v>
      </c>
      <c r="B7529" s="147" t="s">
        <v>2741</v>
      </c>
      <c r="C7529" s="147" t="s">
        <v>48547</v>
      </c>
      <c r="D7529" s="147" t="s">
        <v>33342</v>
      </c>
      <c r="E7529" s="148" t="s">
        <v>48548</v>
      </c>
      <c r="F7529" s="146" t="s">
        <v>48354</v>
      </c>
      <c r="G7529" s="146" t="s">
        <v>33344</v>
      </c>
      <c r="H7529" s="146"/>
      <c r="I7529" s="147"/>
      <c r="J7529" s="147" t="s">
        <v>48549</v>
      </c>
      <c r="K7529" s="147" t="s">
        <v>48550</v>
      </c>
      <c r="L7529" s="149" t="s">
        <v>48551</v>
      </c>
      <c r="M7529" s="147"/>
      <c r="N7529" s="12"/>
      <c r="O7529" s="12"/>
      <c r="P7529" s="13">
        <f>IFERROR(__xludf.DUMMYFUNCTION("VALUE(SUBSTITUTE((INDEX(SPLIT(A7529,"",""),1)),""."","","",1))"),44.9792)</f>
        <v>44.9792</v>
      </c>
      <c r="Q7529" s="13">
        <f>IFERROR(__xludf.DUMMYFUNCTION("VALUE(SUBSTITUTE((INDEX(SPLIT(A7529,"",""),2)),""."","","",1))"),34.134265)</f>
        <v>34.134265</v>
      </c>
      <c r="R7529" s="14" t="b">
        <f t="shared" si="1"/>
        <v>0</v>
      </c>
      <c r="S7529" s="14" t="str">
        <f t="shared" si="2"/>
        <v>44.9792,34.134265</v>
      </c>
      <c r="T7529" s="12"/>
    </row>
    <row r="7530">
      <c r="A7530" s="142" t="s">
        <v>48552</v>
      </c>
      <c r="B7530" s="143" t="s">
        <v>48553</v>
      </c>
      <c r="C7530" s="143" t="s">
        <v>48554</v>
      </c>
      <c r="D7530" s="143" t="s">
        <v>33342</v>
      </c>
      <c r="E7530" s="144" t="s">
        <v>48555</v>
      </c>
      <c r="F7530" s="142" t="s">
        <v>48354</v>
      </c>
      <c r="G7530" s="142" t="s">
        <v>33344</v>
      </c>
      <c r="H7530" s="142"/>
      <c r="I7530" s="143"/>
      <c r="J7530" s="143" t="s">
        <v>48556</v>
      </c>
      <c r="K7530" s="143" t="s">
        <v>48557</v>
      </c>
      <c r="L7530" s="145" t="s">
        <v>48558</v>
      </c>
      <c r="M7530" s="145" t="s">
        <v>48559</v>
      </c>
      <c r="N7530" s="12"/>
      <c r="O7530" s="12"/>
      <c r="P7530" s="13">
        <f>IFERROR(__xludf.DUMMYFUNCTION("VALUE(SUBSTITUTE((INDEX(SPLIT(A7530,"",""),1)),""."","","",1))"),44.76411)</f>
        <v>44.76411</v>
      </c>
      <c r="Q7530" s="13">
        <f>IFERROR(__xludf.DUMMYFUNCTION("VALUE(SUBSTITUTE((INDEX(SPLIT(A7530,"",""),2)),""."","","",1))"),33.851062)</f>
        <v>33.851062</v>
      </c>
      <c r="R7530" s="14" t="b">
        <f t="shared" si="1"/>
        <v>0</v>
      </c>
      <c r="S7530" s="14" t="str">
        <f t="shared" si="2"/>
        <v>44.76411,33.851062</v>
      </c>
      <c r="T7530" s="12"/>
    </row>
    <row r="7531">
      <c r="A7531" s="146" t="s">
        <v>48560</v>
      </c>
      <c r="B7531" s="147" t="s">
        <v>48561</v>
      </c>
      <c r="C7531" s="147" t="s">
        <v>48562</v>
      </c>
      <c r="D7531" s="147" t="s">
        <v>33342</v>
      </c>
      <c r="E7531" s="148" t="s">
        <v>48563</v>
      </c>
      <c r="F7531" s="146" t="s">
        <v>48354</v>
      </c>
      <c r="G7531" s="146" t="s">
        <v>33344</v>
      </c>
      <c r="H7531" s="146"/>
      <c r="I7531" s="147"/>
      <c r="J7531" s="147" t="s">
        <v>48564</v>
      </c>
      <c r="K7531" s="147" t="s">
        <v>48565</v>
      </c>
      <c r="L7531" s="149" t="s">
        <v>48566</v>
      </c>
      <c r="M7531" s="147"/>
      <c r="N7531" s="12"/>
      <c r="O7531" s="12"/>
      <c r="P7531" s="13">
        <f>IFERROR(__xludf.DUMMYFUNCTION("VALUE(SUBSTITUTE((INDEX(SPLIT(A7531,"",""),1)),""."","","",1))"),45.202773)</f>
        <v>45.202773</v>
      </c>
      <c r="Q7531" s="13">
        <f>IFERROR(__xludf.DUMMYFUNCTION("VALUE(SUBSTITUTE((INDEX(SPLIT(A7531,"",""),2)),""."","","",1))"),33.351527)</f>
        <v>33.351527</v>
      </c>
      <c r="R7531" s="14" t="b">
        <f t="shared" si="1"/>
        <v>0</v>
      </c>
      <c r="S7531" s="14" t="str">
        <f t="shared" si="2"/>
        <v>45.202773,33.351527</v>
      </c>
      <c r="T7531" s="12"/>
    </row>
    <row r="7532">
      <c r="A7532" s="142" t="s">
        <v>48567</v>
      </c>
      <c r="B7532" s="143" t="s">
        <v>48568</v>
      </c>
      <c r="C7532" s="143" t="s">
        <v>48569</v>
      </c>
      <c r="D7532" s="143" t="s">
        <v>33342</v>
      </c>
      <c r="E7532" s="144" t="s">
        <v>48570</v>
      </c>
      <c r="F7532" s="142" t="s">
        <v>48354</v>
      </c>
      <c r="G7532" s="142" t="s">
        <v>33344</v>
      </c>
      <c r="H7532" s="142"/>
      <c r="I7532" s="143"/>
      <c r="J7532" s="143" t="s">
        <v>48571</v>
      </c>
      <c r="K7532" s="143" t="s">
        <v>48572</v>
      </c>
      <c r="L7532" s="145" t="s">
        <v>48573</v>
      </c>
      <c r="M7532" s="145" t="s">
        <v>48574</v>
      </c>
      <c r="N7532" s="12"/>
      <c r="O7532" s="12"/>
      <c r="P7532" s="13">
        <f>IFERROR(__xludf.DUMMYFUNCTION("VALUE(SUBSTITUTE((INDEX(SPLIT(A7532,"",""),1)),""."","","",1))"),45.047769)</f>
        <v>45.047769</v>
      </c>
      <c r="Q7532" s="13">
        <f>IFERROR(__xludf.DUMMYFUNCTION("VALUE(SUBSTITUTE((INDEX(SPLIT(A7532,"",""),2)),""."","","",1))"),35.376159)</f>
        <v>35.376159</v>
      </c>
      <c r="R7532" s="14" t="b">
        <f t="shared" si="1"/>
        <v>0</v>
      </c>
      <c r="S7532" s="14" t="str">
        <f t="shared" si="2"/>
        <v>45.047769,35.376159</v>
      </c>
      <c r="T7532" s="12"/>
    </row>
    <row r="7533">
      <c r="A7533" s="146" t="s">
        <v>48575</v>
      </c>
      <c r="B7533" s="147" t="s">
        <v>48576</v>
      </c>
      <c r="C7533" s="147" t="s">
        <v>48577</v>
      </c>
      <c r="D7533" s="147" t="s">
        <v>33342</v>
      </c>
      <c r="E7533" s="148" t="s">
        <v>48578</v>
      </c>
      <c r="F7533" s="146" t="s">
        <v>48354</v>
      </c>
      <c r="G7533" s="146" t="s">
        <v>33344</v>
      </c>
      <c r="H7533" s="146"/>
      <c r="I7533" s="147"/>
      <c r="J7533" s="147" t="s">
        <v>48579</v>
      </c>
      <c r="K7533" s="147" t="s">
        <v>48580</v>
      </c>
      <c r="L7533" s="149" t="s">
        <v>48581</v>
      </c>
      <c r="M7533" s="149" t="s">
        <v>48582</v>
      </c>
      <c r="N7533" s="12"/>
      <c r="O7533" s="12"/>
      <c r="P7533" s="13">
        <f>IFERROR(__xludf.DUMMYFUNCTION("VALUE(SUBSTITUTE((INDEX(SPLIT(A7533,"",""),1)),""."","","",1))"),44.86602)</f>
        <v>44.86602</v>
      </c>
      <c r="Q7533" s="13">
        <f>IFERROR(__xludf.DUMMYFUNCTION("VALUE(SUBSTITUTE((INDEX(SPLIT(A7533,"",""),2)),""."","","",1))"),34.994941)</f>
        <v>34.994941</v>
      </c>
      <c r="R7533" s="14" t="b">
        <f t="shared" si="1"/>
        <v>0</v>
      </c>
      <c r="S7533" s="14" t="str">
        <f t="shared" si="2"/>
        <v>44.86602,34.994941</v>
      </c>
      <c r="T7533" s="12"/>
    </row>
    <row r="7534">
      <c r="A7534" s="142" t="s">
        <v>48583</v>
      </c>
      <c r="B7534" s="143" t="s">
        <v>48584</v>
      </c>
      <c r="C7534" s="143" t="s">
        <v>48585</v>
      </c>
      <c r="D7534" s="143" t="s">
        <v>33342</v>
      </c>
      <c r="E7534" s="144" t="s">
        <v>48586</v>
      </c>
      <c r="F7534" s="142" t="s">
        <v>48354</v>
      </c>
      <c r="G7534" s="142" t="s">
        <v>33344</v>
      </c>
      <c r="H7534" s="142"/>
      <c r="I7534" s="143"/>
      <c r="J7534" s="143" t="s">
        <v>48587</v>
      </c>
      <c r="K7534" s="143" t="s">
        <v>48588</v>
      </c>
      <c r="L7534" s="145" t="s">
        <v>48589</v>
      </c>
      <c r="M7534" s="145" t="s">
        <v>48590</v>
      </c>
      <c r="N7534" s="12"/>
      <c r="O7534" s="12"/>
      <c r="P7534" s="13">
        <f>IFERROR(__xludf.DUMMYFUNCTION("VALUE(SUBSTITUTE((INDEX(SPLIT(A7534,"",""),1)),""."","","",1))"),44.863969)</f>
        <v>44.863969</v>
      </c>
      <c r="Q7534" s="13">
        <f>IFERROR(__xludf.DUMMYFUNCTION("VALUE(SUBSTITUTE((INDEX(SPLIT(A7534,"",""),2)),""."","","",1))"),34.9923)</f>
        <v>34.9923</v>
      </c>
      <c r="R7534" s="14" t="b">
        <f t="shared" si="1"/>
        <v>0</v>
      </c>
      <c r="S7534" s="14" t="str">
        <f t="shared" si="2"/>
        <v>44.863969,34.9923</v>
      </c>
      <c r="T7534" s="12"/>
    </row>
    <row r="7535">
      <c r="A7535" s="146" t="s">
        <v>7098</v>
      </c>
      <c r="B7535" s="147" t="s">
        <v>48591</v>
      </c>
      <c r="C7535" s="147" t="s">
        <v>48592</v>
      </c>
      <c r="D7535" s="147" t="s">
        <v>33342</v>
      </c>
      <c r="E7535" s="148" t="s">
        <v>48593</v>
      </c>
      <c r="F7535" s="146" t="s">
        <v>48354</v>
      </c>
      <c r="G7535" s="146" t="s">
        <v>33344</v>
      </c>
      <c r="H7535" s="146"/>
      <c r="I7535" s="147"/>
      <c r="J7535" s="147" t="s">
        <v>48594</v>
      </c>
      <c r="K7535" s="147" t="s">
        <v>7103</v>
      </c>
      <c r="L7535" s="149" t="s">
        <v>48595</v>
      </c>
      <c r="M7535" s="149" t="s">
        <v>48596</v>
      </c>
      <c r="N7535" s="12"/>
      <c r="O7535" s="12"/>
      <c r="P7535" s="13">
        <f>IFERROR(__xludf.DUMMYFUNCTION("VALUE(SUBSTITUTE((INDEX(SPLIT(A7535,"",""),1)),""."","","",1))"),45.061057)</f>
        <v>45.061057</v>
      </c>
      <c r="Q7535" s="13">
        <f>IFERROR(__xludf.DUMMYFUNCTION("VALUE(SUBSTITUTE((INDEX(SPLIT(A7535,"",""),2)),""."","","",1))"),35.385969)</f>
        <v>35.385969</v>
      </c>
      <c r="R7535" s="14" t="b">
        <f t="shared" si="1"/>
        <v>0</v>
      </c>
      <c r="S7535" s="14" t="str">
        <f t="shared" si="2"/>
        <v>45.061057,35.385969</v>
      </c>
      <c r="T7535" s="12"/>
    </row>
    <row r="7536">
      <c r="A7536" s="142" t="s">
        <v>48597</v>
      </c>
      <c r="B7536" s="143" t="s">
        <v>48598</v>
      </c>
      <c r="C7536" s="143" t="s">
        <v>48599</v>
      </c>
      <c r="D7536" s="143" t="s">
        <v>33342</v>
      </c>
      <c r="E7536" s="144" t="s">
        <v>48600</v>
      </c>
      <c r="F7536" s="142" t="s">
        <v>48354</v>
      </c>
      <c r="G7536" s="142" t="s">
        <v>33344</v>
      </c>
      <c r="H7536" s="142"/>
      <c r="I7536" s="143"/>
      <c r="J7536" s="143" t="s">
        <v>48601</v>
      </c>
      <c r="K7536" s="143" t="s">
        <v>48602</v>
      </c>
      <c r="L7536" s="145" t="s">
        <v>48603</v>
      </c>
      <c r="M7536" s="145" t="s">
        <v>48604</v>
      </c>
      <c r="N7536" s="12"/>
      <c r="O7536" s="12"/>
      <c r="P7536" s="13">
        <f>IFERROR(__xludf.DUMMYFUNCTION("VALUE(SUBSTITUTE((INDEX(SPLIT(A7536,"",""),1)),""."","","",1))"),44.963909)</f>
        <v>44.963909</v>
      </c>
      <c r="Q7536" s="13">
        <f>IFERROR(__xludf.DUMMYFUNCTION("VALUE(SUBSTITUTE((INDEX(SPLIT(A7536,"",""),2)),""."","","",1))"),34.077348)</f>
        <v>34.077348</v>
      </c>
      <c r="R7536" s="14" t="b">
        <f t="shared" si="1"/>
        <v>0</v>
      </c>
      <c r="S7536" s="14" t="str">
        <f t="shared" si="2"/>
        <v>44.963909,34.077348</v>
      </c>
      <c r="T7536" s="12"/>
    </row>
    <row r="7537">
      <c r="A7537" s="146" t="s">
        <v>48605</v>
      </c>
      <c r="B7537" s="147" t="s">
        <v>48606</v>
      </c>
      <c r="C7537" s="147" t="s">
        <v>48607</v>
      </c>
      <c r="D7537" s="147" t="s">
        <v>33342</v>
      </c>
      <c r="E7537" s="148" t="s">
        <v>48608</v>
      </c>
      <c r="F7537" s="146" t="s">
        <v>48354</v>
      </c>
      <c r="G7537" s="146" t="s">
        <v>33344</v>
      </c>
      <c r="H7537" s="146"/>
      <c r="I7537" s="147"/>
      <c r="J7537" s="147" t="s">
        <v>48609</v>
      </c>
      <c r="K7537" s="147" t="s">
        <v>48610</v>
      </c>
      <c r="L7537" s="149" t="s">
        <v>48611</v>
      </c>
      <c r="M7537" s="147"/>
      <c r="N7537" s="12"/>
      <c r="O7537" s="12"/>
      <c r="P7537" s="13">
        <f>IFERROR(__xludf.DUMMYFUNCTION("VALUE(SUBSTITUTE((INDEX(SPLIT(A7537,"",""),1)),""."","","",1))"),45.038515)</f>
        <v>45.038515</v>
      </c>
      <c r="Q7537" s="13">
        <f>IFERROR(__xludf.DUMMYFUNCTION("VALUE(SUBSTITUTE((INDEX(SPLIT(A7537,"",""),2)),""."","","",1))"),35.120364)</f>
        <v>35.120364</v>
      </c>
      <c r="R7537" s="14" t="b">
        <f t="shared" si="1"/>
        <v>0</v>
      </c>
      <c r="S7537" s="14" t="str">
        <f t="shared" si="2"/>
        <v>45.038515,35.120364</v>
      </c>
      <c r="T7537" s="12"/>
    </row>
    <row r="7538">
      <c r="A7538" s="142" t="s">
        <v>48612</v>
      </c>
      <c r="B7538" s="143" t="s">
        <v>48613</v>
      </c>
      <c r="C7538" s="143" t="s">
        <v>48614</v>
      </c>
      <c r="D7538" s="143" t="s">
        <v>33342</v>
      </c>
      <c r="E7538" s="144" t="s">
        <v>48615</v>
      </c>
      <c r="F7538" s="142" t="s">
        <v>48354</v>
      </c>
      <c r="G7538" s="142" t="s">
        <v>33344</v>
      </c>
      <c r="H7538" s="142"/>
      <c r="I7538" s="143"/>
      <c r="J7538" s="143" t="s">
        <v>48616</v>
      </c>
      <c r="K7538" s="143" t="s">
        <v>48617</v>
      </c>
      <c r="L7538" s="145" t="s">
        <v>48618</v>
      </c>
      <c r="M7538" s="145" t="s">
        <v>48619</v>
      </c>
      <c r="N7538" s="12"/>
      <c r="O7538" s="12"/>
      <c r="P7538" s="13">
        <f>IFERROR(__xludf.DUMMYFUNCTION("VALUE(SUBSTITUTE((INDEX(SPLIT(A7538,"",""),1)),""."","","",1))"),45.046406)</f>
        <v>45.046406</v>
      </c>
      <c r="Q7538" s="13">
        <f>IFERROR(__xludf.DUMMYFUNCTION("VALUE(SUBSTITUTE((INDEX(SPLIT(A7538,"",""),2)),""."","","",1))"),33.994721)</f>
        <v>33.994721</v>
      </c>
      <c r="R7538" s="14" t="b">
        <f t="shared" si="1"/>
        <v>0</v>
      </c>
      <c r="S7538" s="14" t="str">
        <f t="shared" si="2"/>
        <v>45.046406,33.994721</v>
      </c>
      <c r="T7538" s="12"/>
    </row>
    <row r="7539">
      <c r="A7539" s="139" t="s">
        <v>48620</v>
      </c>
      <c r="B7539" s="140" t="s">
        <v>48621</v>
      </c>
      <c r="C7539" s="140" t="s">
        <v>48622</v>
      </c>
      <c r="D7539" s="140" t="s">
        <v>33342</v>
      </c>
      <c r="E7539" s="141" t="s">
        <v>48623</v>
      </c>
      <c r="F7539" s="139" t="s">
        <v>48354</v>
      </c>
      <c r="G7539" s="139" t="s">
        <v>33344</v>
      </c>
      <c r="H7539" s="139"/>
      <c r="I7539" s="140"/>
      <c r="J7539" s="140" t="s">
        <v>48624</v>
      </c>
      <c r="K7539" s="140" t="s">
        <v>48625</v>
      </c>
      <c r="L7539" s="140"/>
      <c r="M7539" s="140"/>
      <c r="N7539" s="12"/>
      <c r="O7539" s="12"/>
      <c r="P7539" s="13">
        <f>IFERROR(__xludf.DUMMYFUNCTION("VALUE(SUBSTITUTE((INDEX(SPLIT(A7539,"",""),1)),""."","","",1))"),44.671334)</f>
        <v>44.671334</v>
      </c>
      <c r="Q7539" s="13">
        <f>IFERROR(__xludf.DUMMYFUNCTION("VALUE(SUBSTITUTE((INDEX(SPLIT(A7539,"",""),2)),""."","","",1))"),34.400023)</f>
        <v>34.400023</v>
      </c>
      <c r="R7539" s="14" t="b">
        <f t="shared" si="1"/>
        <v>0</v>
      </c>
      <c r="S7539" s="14" t="str">
        <f t="shared" si="2"/>
        <v>44.671334,34.400023</v>
      </c>
      <c r="T7539" s="12"/>
    </row>
    <row r="7540">
      <c r="A7540" s="142" t="s">
        <v>6349</v>
      </c>
      <c r="B7540" s="143" t="s">
        <v>48626</v>
      </c>
      <c r="C7540" s="143" t="s">
        <v>48627</v>
      </c>
      <c r="D7540" s="143" t="s">
        <v>33342</v>
      </c>
      <c r="E7540" s="144" t="s">
        <v>48628</v>
      </c>
      <c r="F7540" s="142" t="s">
        <v>48354</v>
      </c>
      <c r="G7540" s="142" t="s">
        <v>33344</v>
      </c>
      <c r="H7540" s="142"/>
      <c r="I7540" s="143"/>
      <c r="J7540" s="143" t="s">
        <v>48629</v>
      </c>
      <c r="K7540" s="143" t="s">
        <v>48630</v>
      </c>
      <c r="L7540" s="152" t="s">
        <v>48631</v>
      </c>
      <c r="M7540" s="143"/>
      <c r="N7540" s="12"/>
      <c r="O7540" s="12"/>
      <c r="P7540" s="13">
        <f>IFERROR(__xludf.DUMMYFUNCTION("VALUE(SUBSTITUTE((INDEX(SPLIT(A7540,"",""),1)),""."","","",1))"),44.937806)</f>
        <v>44.937806</v>
      </c>
      <c r="Q7540" s="13">
        <f>IFERROR(__xludf.DUMMYFUNCTION("VALUE(SUBSTITUTE((INDEX(SPLIT(A7540,"",""),2)),""."","","",1))"),34.075138)</f>
        <v>34.075138</v>
      </c>
      <c r="R7540" s="14" t="b">
        <f t="shared" si="1"/>
        <v>0</v>
      </c>
      <c r="S7540" s="14" t="str">
        <f t="shared" si="2"/>
        <v>44.937806,34.075138</v>
      </c>
      <c r="T7540" s="12"/>
    </row>
    <row r="7541">
      <c r="A7541" s="146" t="s">
        <v>48632</v>
      </c>
      <c r="B7541" s="147" t="s">
        <v>48633</v>
      </c>
      <c r="C7541" s="147" t="s">
        <v>48634</v>
      </c>
      <c r="D7541" s="147" t="s">
        <v>33342</v>
      </c>
      <c r="E7541" s="148" t="s">
        <v>48635</v>
      </c>
      <c r="F7541" s="146" t="s">
        <v>48354</v>
      </c>
      <c r="G7541" s="146" t="s">
        <v>33344</v>
      </c>
      <c r="H7541" s="146"/>
      <c r="I7541" s="147"/>
      <c r="J7541" s="147" t="s">
        <v>48636</v>
      </c>
      <c r="K7541" s="147" t="s">
        <v>48637</v>
      </c>
      <c r="L7541" s="149" t="s">
        <v>48638</v>
      </c>
      <c r="M7541" s="147"/>
      <c r="N7541" s="12"/>
      <c r="O7541" s="12"/>
      <c r="P7541" s="13">
        <f>IFERROR(__xludf.DUMMYFUNCTION("VALUE(SUBSTITUTE((INDEX(SPLIT(A7541,"",""),1)),""."","","",1))"),45.067583)</f>
        <v>45.067583</v>
      </c>
      <c r="Q7541" s="13">
        <f>IFERROR(__xludf.DUMMYFUNCTION("VALUE(SUBSTITUTE((INDEX(SPLIT(A7541,"",""),2)),""."","","",1))"),33.992259)</f>
        <v>33.992259</v>
      </c>
      <c r="R7541" s="14" t="b">
        <f t="shared" si="1"/>
        <v>0</v>
      </c>
      <c r="S7541" s="14" t="str">
        <f t="shared" si="2"/>
        <v>45.067583,33.992259</v>
      </c>
      <c r="T7541" s="12"/>
    </row>
    <row r="7542">
      <c r="A7542" s="142" t="s">
        <v>48639</v>
      </c>
      <c r="B7542" s="143" t="s">
        <v>48640</v>
      </c>
      <c r="C7542" s="143" t="s">
        <v>48641</v>
      </c>
      <c r="D7542" s="143" t="s">
        <v>33342</v>
      </c>
      <c r="E7542" s="144" t="s">
        <v>48642</v>
      </c>
      <c r="F7542" s="142" t="s">
        <v>48354</v>
      </c>
      <c r="G7542" s="142" t="s">
        <v>33344</v>
      </c>
      <c r="H7542" s="142"/>
      <c r="I7542" s="143"/>
      <c r="J7542" s="143" t="s">
        <v>48643</v>
      </c>
      <c r="K7542" s="143" t="s">
        <v>48644</v>
      </c>
      <c r="L7542" s="145" t="s">
        <v>48645</v>
      </c>
      <c r="M7542" s="145" t="s">
        <v>48646</v>
      </c>
      <c r="N7542" s="12"/>
      <c r="O7542" s="12"/>
      <c r="P7542" s="13">
        <f>IFERROR(__xludf.DUMMYFUNCTION("VALUE(SUBSTITUTE((INDEX(SPLIT(A7542,"",""),1)),""."","","",1))"),45.212857)</f>
        <v>45.212857</v>
      </c>
      <c r="Q7542" s="13">
        <f>IFERROR(__xludf.DUMMYFUNCTION("VALUE(SUBSTITUTE((INDEX(SPLIT(A7542,"",""),2)),""."","","",1))"),33.35521)</f>
        <v>33.35521</v>
      </c>
      <c r="R7542" s="14" t="b">
        <f t="shared" si="1"/>
        <v>0</v>
      </c>
      <c r="S7542" s="14" t="str">
        <f t="shared" si="2"/>
        <v>45.212857,33.35521</v>
      </c>
      <c r="T7542" s="12"/>
    </row>
    <row r="7543">
      <c r="A7543" s="146" t="s">
        <v>48647</v>
      </c>
      <c r="B7543" s="147" t="s">
        <v>48648</v>
      </c>
      <c r="C7543" s="147" t="s">
        <v>48649</v>
      </c>
      <c r="D7543" s="147" t="s">
        <v>33342</v>
      </c>
      <c r="E7543" s="148" t="s">
        <v>48650</v>
      </c>
      <c r="F7543" s="146" t="s">
        <v>48354</v>
      </c>
      <c r="G7543" s="146" t="s">
        <v>33344</v>
      </c>
      <c r="H7543" s="146"/>
      <c r="I7543" s="147"/>
      <c r="J7543" s="147" t="s">
        <v>48651</v>
      </c>
      <c r="K7543" s="147" t="s">
        <v>48652</v>
      </c>
      <c r="L7543" s="149" t="s">
        <v>48653</v>
      </c>
      <c r="M7543" s="149" t="s">
        <v>48654</v>
      </c>
      <c r="N7543" s="12"/>
      <c r="O7543" s="12"/>
      <c r="P7543" s="13">
        <f>IFERROR(__xludf.DUMMYFUNCTION("VALUE(SUBSTITUTE((INDEX(SPLIT(A7543,"",""),1)),""."","","",1))"),45.501636)</f>
        <v>45.501636</v>
      </c>
      <c r="Q7543" s="13">
        <f>IFERROR(__xludf.DUMMYFUNCTION("VALUE(SUBSTITUTE((INDEX(SPLIT(A7543,"",""),2)),""."","","",1))"),32.729623)</f>
        <v>32.729623</v>
      </c>
      <c r="R7543" s="14" t="b">
        <f t="shared" si="1"/>
        <v>0</v>
      </c>
      <c r="S7543" s="14" t="str">
        <f t="shared" si="2"/>
        <v>45.501636,32.729623</v>
      </c>
      <c r="T7543" s="12"/>
    </row>
    <row r="7544">
      <c r="A7544" s="142" t="s">
        <v>48655</v>
      </c>
      <c r="B7544" s="143" t="s">
        <v>48656</v>
      </c>
      <c r="C7544" s="143" t="s">
        <v>48657</v>
      </c>
      <c r="D7544" s="143" t="s">
        <v>33342</v>
      </c>
      <c r="E7544" s="144" t="s">
        <v>48658</v>
      </c>
      <c r="F7544" s="142" t="s">
        <v>48354</v>
      </c>
      <c r="G7544" s="142" t="s">
        <v>33344</v>
      </c>
      <c r="H7544" s="142"/>
      <c r="I7544" s="143"/>
      <c r="J7544" s="143" t="s">
        <v>48659</v>
      </c>
      <c r="K7544" s="143" t="s">
        <v>48660</v>
      </c>
      <c r="L7544" s="145" t="s">
        <v>48661</v>
      </c>
      <c r="M7544" s="145" t="s">
        <v>48662</v>
      </c>
      <c r="N7544" s="12"/>
      <c r="O7544" s="12"/>
      <c r="P7544" s="13">
        <f>IFERROR(__xludf.DUMMYFUNCTION("VALUE(SUBSTITUTE((INDEX(SPLIT(A7544,"",""),1)),""."","","",1))"),45.229103)</f>
        <v>45.229103</v>
      </c>
      <c r="Q7544" s="13">
        <f>IFERROR(__xludf.DUMMYFUNCTION("VALUE(SUBSTITUTE((INDEX(SPLIT(A7544,"",""),2)),""."","","",1))"),33.359693)</f>
        <v>33.359693</v>
      </c>
      <c r="R7544" s="14" t="b">
        <f t="shared" si="1"/>
        <v>0</v>
      </c>
      <c r="S7544" s="14" t="str">
        <f t="shared" si="2"/>
        <v>45.229103,33.359693</v>
      </c>
      <c r="T7544" s="12"/>
    </row>
    <row r="7545">
      <c r="A7545" s="146" t="s">
        <v>48663</v>
      </c>
      <c r="B7545" s="147" t="s">
        <v>48664</v>
      </c>
      <c r="C7545" s="147" t="s">
        <v>48665</v>
      </c>
      <c r="D7545" s="147" t="s">
        <v>33342</v>
      </c>
      <c r="E7545" s="148" t="s">
        <v>48666</v>
      </c>
      <c r="F7545" s="146" t="s">
        <v>48354</v>
      </c>
      <c r="G7545" s="146" t="s">
        <v>33344</v>
      </c>
      <c r="H7545" s="146"/>
      <c r="I7545" s="147"/>
      <c r="J7545" s="147" t="s">
        <v>48667</v>
      </c>
      <c r="K7545" s="147" t="s">
        <v>48668</v>
      </c>
      <c r="L7545" s="149" t="s">
        <v>48669</v>
      </c>
      <c r="M7545" s="147"/>
      <c r="N7545" s="12"/>
      <c r="O7545" s="12"/>
      <c r="P7545" s="13">
        <f>IFERROR(__xludf.DUMMYFUNCTION("VALUE(SUBSTITUTE((INDEX(SPLIT(A7545,"",""),1)),""."","","",1))"),45.21447)</f>
        <v>45.21447</v>
      </c>
      <c r="Q7545" s="13">
        <f>IFERROR(__xludf.DUMMYFUNCTION("VALUE(SUBSTITUTE((INDEX(SPLIT(A7545,"",""),2)),""."","","",1))"),33.345454)</f>
        <v>33.345454</v>
      </c>
      <c r="R7545" s="14" t="b">
        <f t="shared" si="1"/>
        <v>0</v>
      </c>
      <c r="S7545" s="14" t="str">
        <f t="shared" si="2"/>
        <v>45.21447,33.345454</v>
      </c>
      <c r="T7545" s="12"/>
    </row>
    <row r="7546">
      <c r="A7546" s="142" t="s">
        <v>48670</v>
      </c>
      <c r="B7546" s="143" t="s">
        <v>48671</v>
      </c>
      <c r="C7546" s="143" t="s">
        <v>48672</v>
      </c>
      <c r="D7546" s="143" t="s">
        <v>33342</v>
      </c>
      <c r="E7546" s="144" t="s">
        <v>48673</v>
      </c>
      <c r="F7546" s="142" t="s">
        <v>48354</v>
      </c>
      <c r="G7546" s="142" t="s">
        <v>33344</v>
      </c>
      <c r="H7546" s="142"/>
      <c r="I7546" s="143"/>
      <c r="J7546" s="143" t="s">
        <v>48674</v>
      </c>
      <c r="K7546" s="143" t="s">
        <v>48675</v>
      </c>
      <c r="L7546" s="145" t="s">
        <v>48676</v>
      </c>
      <c r="M7546" s="143"/>
      <c r="N7546" s="12"/>
      <c r="O7546" s="12"/>
      <c r="P7546" s="13">
        <f>IFERROR(__xludf.DUMMYFUNCTION("VALUE(SUBSTITUTE((INDEX(SPLIT(A7546,"",""),1)),""."","","",1))"),45.205751)</f>
        <v>45.205751</v>
      </c>
      <c r="Q7546" s="13">
        <f>IFERROR(__xludf.DUMMYFUNCTION("VALUE(SUBSTITUTE((INDEX(SPLIT(A7546,"",""),2)),""."","","",1))"),33.303269)</f>
        <v>33.303269</v>
      </c>
      <c r="R7546" s="14" t="b">
        <f t="shared" si="1"/>
        <v>0</v>
      </c>
      <c r="S7546" s="14" t="str">
        <f t="shared" si="2"/>
        <v>45.205751,33.303269</v>
      </c>
      <c r="T7546" s="12"/>
    </row>
    <row r="7547">
      <c r="A7547" s="139" t="s">
        <v>48677</v>
      </c>
      <c r="B7547" s="140" t="s">
        <v>48678</v>
      </c>
      <c r="C7547" s="140" t="s">
        <v>48679</v>
      </c>
      <c r="D7547" s="140" t="s">
        <v>33342</v>
      </c>
      <c r="E7547" s="141" t="s">
        <v>48680</v>
      </c>
      <c r="F7547" s="139" t="s">
        <v>48354</v>
      </c>
      <c r="G7547" s="139" t="s">
        <v>33344</v>
      </c>
      <c r="H7547" s="139"/>
      <c r="I7547" s="140"/>
      <c r="J7547" s="140" t="s">
        <v>48681</v>
      </c>
      <c r="K7547" s="140" t="s">
        <v>48682</v>
      </c>
      <c r="L7547" s="140"/>
      <c r="M7547" s="154" t="s">
        <v>48683</v>
      </c>
      <c r="N7547" s="12"/>
      <c r="O7547" s="12"/>
      <c r="P7547" s="13">
        <f>IFERROR(__xludf.DUMMYFUNCTION("VALUE(SUBSTITUTE((INDEX(SPLIT(A7547,"",""),1)),""."","","",1))"),45.208088)</f>
        <v>45.208088</v>
      </c>
      <c r="Q7547" s="13">
        <f>IFERROR(__xludf.DUMMYFUNCTION("VALUE(SUBSTITUTE((INDEX(SPLIT(A7547,"",""),2)),""."","","",1))"),33.389966)</f>
        <v>33.389966</v>
      </c>
      <c r="R7547" s="14" t="b">
        <f t="shared" si="1"/>
        <v>0</v>
      </c>
      <c r="S7547" s="14" t="str">
        <f t="shared" si="2"/>
        <v>45.208088,33.389966</v>
      </c>
      <c r="T7547" s="12"/>
    </row>
    <row r="7548">
      <c r="A7548" s="136" t="s">
        <v>48684</v>
      </c>
      <c r="B7548" s="137" t="s">
        <v>48685</v>
      </c>
      <c r="C7548" s="137" t="s">
        <v>48686</v>
      </c>
      <c r="D7548" s="137" t="s">
        <v>33342</v>
      </c>
      <c r="E7548" s="138" t="s">
        <v>48687</v>
      </c>
      <c r="F7548" s="136" t="s">
        <v>48354</v>
      </c>
      <c r="G7548" s="136" t="s">
        <v>33344</v>
      </c>
      <c r="H7548" s="136"/>
      <c r="I7548" s="137"/>
      <c r="J7548" s="137" t="s">
        <v>48688</v>
      </c>
      <c r="K7548" s="137" t="s">
        <v>48689</v>
      </c>
      <c r="L7548" s="137"/>
      <c r="M7548" s="137"/>
      <c r="N7548" s="12"/>
      <c r="O7548" s="12"/>
      <c r="P7548" s="13">
        <f>IFERROR(__xludf.DUMMYFUNCTION("VALUE(SUBSTITUTE((INDEX(SPLIT(A7548,"",""),1)),""."","","",1))"),45.213568)</f>
        <v>45.213568</v>
      </c>
      <c r="Q7548" s="13">
        <f>IFERROR(__xludf.DUMMYFUNCTION("VALUE(SUBSTITUTE((INDEX(SPLIT(A7548,"",""),2)),""."","","",1))"),33.354563)</f>
        <v>33.354563</v>
      </c>
      <c r="R7548" s="14" t="b">
        <f t="shared" si="1"/>
        <v>0</v>
      </c>
      <c r="S7548" s="14" t="str">
        <f t="shared" si="2"/>
        <v>45.213568,33.354563</v>
      </c>
      <c r="T7548" s="12"/>
    </row>
    <row r="7549">
      <c r="A7549" s="146" t="s">
        <v>48690</v>
      </c>
      <c r="B7549" s="147" t="s">
        <v>48691</v>
      </c>
      <c r="C7549" s="147" t="s">
        <v>48692</v>
      </c>
      <c r="D7549" s="147" t="s">
        <v>33342</v>
      </c>
      <c r="E7549" s="148" t="s">
        <v>48693</v>
      </c>
      <c r="F7549" s="146" t="s">
        <v>48354</v>
      </c>
      <c r="G7549" s="146" t="s">
        <v>33344</v>
      </c>
      <c r="H7549" s="146"/>
      <c r="I7549" s="147"/>
      <c r="J7549" s="147" t="s">
        <v>48694</v>
      </c>
      <c r="K7549" s="147" t="s">
        <v>48695</v>
      </c>
      <c r="L7549" s="149" t="s">
        <v>48696</v>
      </c>
      <c r="M7549" s="149" t="s">
        <v>48697</v>
      </c>
      <c r="N7549" s="12"/>
      <c r="O7549" s="12"/>
      <c r="P7549" s="13">
        <f>IFERROR(__xludf.DUMMYFUNCTION("VALUE(SUBSTITUTE((INDEX(SPLIT(A7549,"",""),1)),""."","","",1))"),45.339186)</f>
        <v>45.339186</v>
      </c>
      <c r="Q7549" s="13">
        <f>IFERROR(__xludf.DUMMYFUNCTION("VALUE(SUBSTITUTE((INDEX(SPLIT(A7549,"",""),2)),""."","","",1))"),36.429694)</f>
        <v>36.429694</v>
      </c>
      <c r="R7549" s="14" t="b">
        <f t="shared" si="1"/>
        <v>0</v>
      </c>
      <c r="S7549" s="14" t="str">
        <f t="shared" si="2"/>
        <v>45.339186,36.429694</v>
      </c>
      <c r="T7549" s="12"/>
    </row>
    <row r="7550">
      <c r="A7550" s="142" t="s">
        <v>48698</v>
      </c>
      <c r="B7550" s="143" t="s">
        <v>48699</v>
      </c>
      <c r="C7550" s="143" t="s">
        <v>48700</v>
      </c>
      <c r="D7550" s="143" t="s">
        <v>33342</v>
      </c>
      <c r="E7550" s="144" t="s">
        <v>48701</v>
      </c>
      <c r="F7550" s="142" t="s">
        <v>48354</v>
      </c>
      <c r="G7550" s="142" t="s">
        <v>33344</v>
      </c>
      <c r="H7550" s="142"/>
      <c r="I7550" s="143"/>
      <c r="J7550" s="143" t="s">
        <v>48702</v>
      </c>
      <c r="K7550" s="143" t="s">
        <v>48703</v>
      </c>
      <c r="L7550" s="145" t="s">
        <v>48704</v>
      </c>
      <c r="M7550" s="145" t="s">
        <v>48705</v>
      </c>
      <c r="N7550" s="12"/>
      <c r="O7550" s="12"/>
      <c r="P7550" s="13">
        <f>IFERROR(__xludf.DUMMYFUNCTION("VALUE(SUBSTITUTE((INDEX(SPLIT(A7550,"",""),1)),""."","","",1))"),45.342962)</f>
        <v>45.342962</v>
      </c>
      <c r="Q7550" s="13">
        <f>IFERROR(__xludf.DUMMYFUNCTION("VALUE(SUBSTITUTE((INDEX(SPLIT(A7550,"",""),2)),""."","","",1))"),36.437725)</f>
        <v>36.437725</v>
      </c>
      <c r="R7550" s="14" t="b">
        <f t="shared" si="1"/>
        <v>0</v>
      </c>
      <c r="S7550" s="14" t="str">
        <f t="shared" si="2"/>
        <v>45.342962,36.437725</v>
      </c>
      <c r="T7550" s="12"/>
    </row>
    <row r="7551">
      <c r="A7551" s="139" t="s">
        <v>5830</v>
      </c>
      <c r="B7551" s="140" t="s">
        <v>48706</v>
      </c>
      <c r="C7551" s="140" t="s">
        <v>48707</v>
      </c>
      <c r="D7551" s="140" t="s">
        <v>33342</v>
      </c>
      <c r="E7551" s="141" t="s">
        <v>48708</v>
      </c>
      <c r="F7551" s="139" t="s">
        <v>48709</v>
      </c>
      <c r="G7551" s="139" t="s">
        <v>33344</v>
      </c>
      <c r="H7551" s="139"/>
      <c r="I7551" s="140"/>
      <c r="J7551" s="140" t="s">
        <v>48710</v>
      </c>
      <c r="K7551" s="140" t="s">
        <v>48711</v>
      </c>
      <c r="L7551" s="140"/>
      <c r="M7551" s="140"/>
      <c r="N7551" s="12"/>
      <c r="O7551" s="12"/>
      <c r="P7551" s="13">
        <f>IFERROR(__xludf.DUMMYFUNCTION("VALUE(SUBSTITUTE((INDEX(SPLIT(A7551,"",""),1)),""."","","",1))"),44.557904)</f>
        <v>44.557904</v>
      </c>
      <c r="Q7551" s="13">
        <f>IFERROR(__xludf.DUMMYFUNCTION("VALUE(SUBSTITUTE((INDEX(SPLIT(A7551,"",""),2)),""."","","",1))"),33.491269)</f>
        <v>33.491269</v>
      </c>
      <c r="R7551" s="14" t="b">
        <f t="shared" si="1"/>
        <v>0</v>
      </c>
      <c r="S7551" s="14" t="str">
        <f t="shared" si="2"/>
        <v>44.557904,33.491269</v>
      </c>
      <c r="T7551" s="12"/>
    </row>
    <row r="7552">
      <c r="A7552" s="136" t="s">
        <v>48712</v>
      </c>
      <c r="B7552" s="137" t="s">
        <v>48713</v>
      </c>
      <c r="C7552" s="137" t="s">
        <v>48714</v>
      </c>
      <c r="D7552" s="137" t="s">
        <v>33342</v>
      </c>
      <c r="E7552" s="138" t="s">
        <v>48715</v>
      </c>
      <c r="F7552" s="136" t="s">
        <v>48709</v>
      </c>
      <c r="G7552" s="136" t="s">
        <v>33344</v>
      </c>
      <c r="H7552" s="136"/>
      <c r="I7552" s="137"/>
      <c r="J7552" s="137" t="s">
        <v>48716</v>
      </c>
      <c r="K7552" s="137" t="s">
        <v>48717</v>
      </c>
      <c r="L7552" s="137"/>
      <c r="M7552" s="137"/>
      <c r="N7552" s="12"/>
      <c r="O7552" s="12"/>
      <c r="P7552" s="13">
        <f>IFERROR(__xludf.DUMMYFUNCTION("VALUE(SUBSTITUTE((INDEX(SPLIT(A7552,"",""),1)),""."","","",1))"),44.606491)</f>
        <v>44.606491</v>
      </c>
      <c r="Q7552" s="13">
        <f>IFERROR(__xludf.DUMMYFUNCTION("VALUE(SUBSTITUTE((INDEX(SPLIT(A7552,"",""),2)),""."","","",1))"),33.520653)</f>
        <v>33.520653</v>
      </c>
      <c r="R7552" s="14" t="b">
        <f t="shared" si="1"/>
        <v>0</v>
      </c>
      <c r="S7552" s="14" t="str">
        <f t="shared" si="2"/>
        <v>44.606491,33.520653</v>
      </c>
      <c r="T7552" s="12"/>
    </row>
    <row r="7553">
      <c r="A7553" s="139" t="s">
        <v>48718</v>
      </c>
      <c r="B7553" s="140" t="s">
        <v>48719</v>
      </c>
      <c r="C7553" s="140" t="s">
        <v>48720</v>
      </c>
      <c r="D7553" s="140" t="s">
        <v>33342</v>
      </c>
      <c r="E7553" s="141" t="s">
        <v>48721</v>
      </c>
      <c r="F7553" s="139" t="s">
        <v>48709</v>
      </c>
      <c r="G7553" s="139" t="s">
        <v>33344</v>
      </c>
      <c r="H7553" s="139"/>
      <c r="I7553" s="140"/>
      <c r="J7553" s="140" t="s">
        <v>48722</v>
      </c>
      <c r="K7553" s="140" t="s">
        <v>48703</v>
      </c>
      <c r="L7553" s="140"/>
      <c r="M7553" s="154" t="s">
        <v>48723</v>
      </c>
      <c r="N7553" s="12"/>
      <c r="O7553" s="12"/>
      <c r="P7553" s="13">
        <f>IFERROR(__xludf.DUMMYFUNCTION("VALUE(SUBSTITUTE((INDEX(SPLIT(A7553,"",""),1)),""."","","",1))"),44.582986)</f>
        <v>44.582986</v>
      </c>
      <c r="Q7553" s="13">
        <f>IFERROR(__xludf.DUMMYFUNCTION("VALUE(SUBSTITUTE((INDEX(SPLIT(A7553,"",""),2)),""."","","",1))"),33.477408)</f>
        <v>33.477408</v>
      </c>
      <c r="R7553" s="14" t="b">
        <f t="shared" si="1"/>
        <v>0</v>
      </c>
      <c r="S7553" s="14" t="str">
        <f t="shared" si="2"/>
        <v>44.582986,33.477408</v>
      </c>
      <c r="T7553" s="12"/>
    </row>
    <row r="7554">
      <c r="A7554" s="136" t="s">
        <v>48724</v>
      </c>
      <c r="B7554" s="137" t="s">
        <v>48725</v>
      </c>
      <c r="C7554" s="137" t="s">
        <v>48726</v>
      </c>
      <c r="D7554" s="137" t="s">
        <v>33342</v>
      </c>
      <c r="E7554" s="138" t="s">
        <v>48727</v>
      </c>
      <c r="F7554" s="136" t="s">
        <v>48709</v>
      </c>
      <c r="G7554" s="136" t="s">
        <v>33344</v>
      </c>
      <c r="H7554" s="136"/>
      <c r="I7554" s="137"/>
      <c r="J7554" s="137" t="s">
        <v>48728</v>
      </c>
      <c r="K7554" s="137" t="s">
        <v>48729</v>
      </c>
      <c r="L7554" s="137"/>
      <c r="M7554" s="153" t="s">
        <v>48730</v>
      </c>
      <c r="N7554" s="12"/>
      <c r="O7554" s="12"/>
      <c r="P7554" s="13">
        <f>IFERROR(__xludf.DUMMYFUNCTION("VALUE(SUBSTITUTE((INDEX(SPLIT(A7554,"",""),1)),""."","","",1))"),44.590041)</f>
        <v>44.590041</v>
      </c>
      <c r="Q7554" s="13">
        <f>IFERROR(__xludf.DUMMYFUNCTION("VALUE(SUBSTITUTE((INDEX(SPLIT(A7554,"",""),2)),""."","","",1))"),33.479303)</f>
        <v>33.479303</v>
      </c>
      <c r="R7554" s="14" t="b">
        <f t="shared" si="1"/>
        <v>0</v>
      </c>
      <c r="S7554" s="14" t="str">
        <f t="shared" si="2"/>
        <v>44.590041,33.479303</v>
      </c>
      <c r="T7554" s="12"/>
    </row>
    <row r="7555">
      <c r="A7555" s="146" t="s">
        <v>48731</v>
      </c>
      <c r="B7555" s="147" t="s">
        <v>48732</v>
      </c>
      <c r="C7555" s="147" t="s">
        <v>48733</v>
      </c>
      <c r="D7555" s="147" t="s">
        <v>33342</v>
      </c>
      <c r="E7555" s="148" t="s">
        <v>48734</v>
      </c>
      <c r="F7555" s="146" t="s">
        <v>48709</v>
      </c>
      <c r="G7555" s="146" t="s">
        <v>33344</v>
      </c>
      <c r="H7555" s="146"/>
      <c r="I7555" s="147"/>
      <c r="J7555" s="147" t="s">
        <v>48735</v>
      </c>
      <c r="K7555" s="147" t="s">
        <v>48736</v>
      </c>
      <c r="L7555" s="149" t="s">
        <v>48737</v>
      </c>
      <c r="M7555" s="149" t="s">
        <v>48738</v>
      </c>
      <c r="N7555" s="12"/>
      <c r="O7555" s="12"/>
      <c r="P7555" s="13">
        <f>IFERROR(__xludf.DUMMYFUNCTION("VALUE(SUBSTITUTE((INDEX(SPLIT(A7555,"",""),1)),""."","","",1))"),44.567454)</f>
        <v>44.567454</v>
      </c>
      <c r="Q7555" s="13">
        <f>IFERROR(__xludf.DUMMYFUNCTION("VALUE(SUBSTITUTE((INDEX(SPLIT(A7555,"",""),2)),""."","","",1))"),33.455166)</f>
        <v>33.455166</v>
      </c>
      <c r="R7555" s="14" t="b">
        <f t="shared" si="1"/>
        <v>0</v>
      </c>
      <c r="S7555" s="14" t="str">
        <f t="shared" si="2"/>
        <v>44.567454,33.455166</v>
      </c>
      <c r="T7555" s="12"/>
    </row>
    <row r="7556">
      <c r="A7556" s="142" t="s">
        <v>5845</v>
      </c>
      <c r="B7556" s="143" t="s">
        <v>48739</v>
      </c>
      <c r="C7556" s="143" t="s">
        <v>48740</v>
      </c>
      <c r="D7556" s="143" t="s">
        <v>33342</v>
      </c>
      <c r="E7556" s="144" t="s">
        <v>48741</v>
      </c>
      <c r="F7556" s="142" t="s">
        <v>48709</v>
      </c>
      <c r="G7556" s="142" t="s">
        <v>33344</v>
      </c>
      <c r="H7556" s="142"/>
      <c r="I7556" s="143"/>
      <c r="J7556" s="143" t="s">
        <v>48742</v>
      </c>
      <c r="K7556" s="143" t="s">
        <v>5850</v>
      </c>
      <c r="L7556" s="145" t="s">
        <v>5851</v>
      </c>
      <c r="M7556" s="145" t="s">
        <v>5852</v>
      </c>
      <c r="N7556" s="12"/>
      <c r="O7556" s="12"/>
      <c r="P7556" s="13">
        <f>IFERROR(__xludf.DUMMYFUNCTION("VALUE(SUBSTITUTE((INDEX(SPLIT(A7556,"",""),1)),""."","","",1))"),44.556696)</f>
        <v>44.556696</v>
      </c>
      <c r="Q7556" s="13">
        <f>IFERROR(__xludf.DUMMYFUNCTION("VALUE(SUBSTITUTE((INDEX(SPLIT(A7556,"",""),2)),""."","","",1))"),33.502112)</f>
        <v>33.502112</v>
      </c>
      <c r="R7556" s="14" t="b">
        <f t="shared" si="1"/>
        <v>0</v>
      </c>
      <c r="S7556" s="14" t="str">
        <f t="shared" si="2"/>
        <v>44.556696,33.502112</v>
      </c>
      <c r="T7556" s="12"/>
    </row>
    <row r="7557">
      <c r="A7557" s="146" t="s">
        <v>48743</v>
      </c>
      <c r="B7557" s="147" t="s">
        <v>48744</v>
      </c>
      <c r="C7557" s="147" t="s">
        <v>48745</v>
      </c>
      <c r="D7557" s="147" t="s">
        <v>33342</v>
      </c>
      <c r="E7557" s="148" t="s">
        <v>48746</v>
      </c>
      <c r="F7557" s="146" t="s">
        <v>48709</v>
      </c>
      <c r="G7557" s="146" t="s">
        <v>33344</v>
      </c>
      <c r="H7557" s="146"/>
      <c r="I7557" s="147"/>
      <c r="J7557" s="147" t="s">
        <v>48747</v>
      </c>
      <c r="K7557" s="147" t="s">
        <v>48748</v>
      </c>
      <c r="L7557" s="150" t="s">
        <v>48749</v>
      </c>
      <c r="M7557" s="147"/>
      <c r="N7557" s="12"/>
      <c r="O7557" s="12"/>
      <c r="P7557" s="13">
        <f>IFERROR(__xludf.DUMMYFUNCTION("VALUE(SUBSTITUTE((INDEX(SPLIT(A7557,"",""),1)),""."","","",1))"),44.557968)</f>
        <v>44.557968</v>
      </c>
      <c r="Q7557" s="13">
        <f>IFERROR(__xludf.DUMMYFUNCTION("VALUE(SUBSTITUTE((INDEX(SPLIT(A7557,"",""),2)),""."","","",1))"),33.496147)</f>
        <v>33.496147</v>
      </c>
      <c r="R7557" s="14" t="b">
        <f t="shared" si="1"/>
        <v>0</v>
      </c>
      <c r="S7557" s="14" t="str">
        <f t="shared" si="2"/>
        <v>44.557968,33.496147</v>
      </c>
      <c r="T7557" s="12"/>
    </row>
    <row r="7558">
      <c r="A7558" s="136" t="s">
        <v>48750</v>
      </c>
      <c r="B7558" s="137" t="s">
        <v>48751</v>
      </c>
      <c r="C7558" s="137" t="s">
        <v>48752</v>
      </c>
      <c r="D7558" s="137" t="s">
        <v>33342</v>
      </c>
      <c r="E7558" s="138" t="s">
        <v>48753</v>
      </c>
      <c r="F7558" s="136" t="s">
        <v>48709</v>
      </c>
      <c r="G7558" s="136" t="s">
        <v>33344</v>
      </c>
      <c r="H7558" s="136"/>
      <c r="I7558" s="137"/>
      <c r="J7558" s="137" t="s">
        <v>48754</v>
      </c>
      <c r="K7558" s="137" t="s">
        <v>48755</v>
      </c>
      <c r="L7558" s="137"/>
      <c r="M7558" s="153" t="s">
        <v>48756</v>
      </c>
      <c r="N7558" s="12"/>
      <c r="O7558" s="12"/>
      <c r="P7558" s="13">
        <f>IFERROR(__xludf.DUMMYFUNCTION("VALUE(SUBSTITUTE((INDEX(SPLIT(A7558,"",""),1)),""."","","",1))"),44.590541)</f>
        <v>44.590541</v>
      </c>
      <c r="Q7558" s="13">
        <f>IFERROR(__xludf.DUMMYFUNCTION("VALUE(SUBSTITUTE((INDEX(SPLIT(A7558,"",""),2)),""."","","",1))"),33.433175)</f>
        <v>33.433175</v>
      </c>
      <c r="R7558" s="14" t="b">
        <f t="shared" si="1"/>
        <v>0</v>
      </c>
      <c r="S7558" s="14" t="str">
        <f t="shared" si="2"/>
        <v>44.590541,33.433175</v>
      </c>
      <c r="T7558" s="12"/>
    </row>
    <row r="7559">
      <c r="A7559" s="139" t="s">
        <v>48757</v>
      </c>
      <c r="B7559" s="140" t="s">
        <v>48758</v>
      </c>
      <c r="C7559" s="140" t="s">
        <v>48759</v>
      </c>
      <c r="D7559" s="140" t="s">
        <v>33342</v>
      </c>
      <c r="E7559" s="141" t="s">
        <v>48760</v>
      </c>
      <c r="F7559" s="139" t="s">
        <v>48709</v>
      </c>
      <c r="G7559" s="139" t="s">
        <v>33344</v>
      </c>
      <c r="H7559" s="139"/>
      <c r="I7559" s="140"/>
      <c r="J7559" s="140" t="s">
        <v>48761</v>
      </c>
      <c r="K7559" s="140" t="s">
        <v>48762</v>
      </c>
      <c r="L7559" s="140"/>
      <c r="M7559" s="154" t="s">
        <v>48763</v>
      </c>
      <c r="N7559" s="12"/>
      <c r="O7559" s="12"/>
      <c r="P7559" s="13">
        <f>IFERROR(__xludf.DUMMYFUNCTION("VALUE(SUBSTITUTE((INDEX(SPLIT(A7559,"",""),1)),""."","","",1))"),44.559631)</f>
        <v>44.559631</v>
      </c>
      <c r="Q7559" s="13">
        <f>IFERROR(__xludf.DUMMYFUNCTION("VALUE(SUBSTITUTE((INDEX(SPLIT(A7559,"",""),2)),""."","","",1))"),33.514293)</f>
        <v>33.514293</v>
      </c>
      <c r="R7559" s="14" t="b">
        <f t="shared" si="1"/>
        <v>0</v>
      </c>
      <c r="S7559" s="14" t="str">
        <f t="shared" si="2"/>
        <v>44.559631,33.514293</v>
      </c>
      <c r="T7559" s="12"/>
    </row>
    <row r="7560">
      <c r="A7560" s="142" t="s">
        <v>5906</v>
      </c>
      <c r="B7560" s="143" t="s">
        <v>48764</v>
      </c>
      <c r="C7560" s="143" t="s">
        <v>48765</v>
      </c>
      <c r="D7560" s="143" t="s">
        <v>33342</v>
      </c>
      <c r="E7560" s="144" t="s">
        <v>48766</v>
      </c>
      <c r="F7560" s="142" t="s">
        <v>48709</v>
      </c>
      <c r="G7560" s="142" t="s">
        <v>33344</v>
      </c>
      <c r="H7560" s="142"/>
      <c r="I7560" s="143"/>
      <c r="J7560" s="143" t="s">
        <v>48767</v>
      </c>
      <c r="K7560" s="143" t="s">
        <v>48768</v>
      </c>
      <c r="L7560" s="145" t="s">
        <v>48769</v>
      </c>
      <c r="M7560" s="145" t="s">
        <v>48770</v>
      </c>
      <c r="N7560" s="12"/>
      <c r="O7560" s="12"/>
      <c r="P7560" s="13">
        <f>IFERROR(__xludf.DUMMYFUNCTION("VALUE(SUBSTITUTE((INDEX(SPLIT(A7560,"",""),1)),""."","","",1))"),44.57593)</f>
        <v>44.57593</v>
      </c>
      <c r="Q7560" s="13">
        <f>IFERROR(__xludf.DUMMYFUNCTION("VALUE(SUBSTITUTE((INDEX(SPLIT(A7560,"",""),2)),""."","","",1))"),33.51122)</f>
        <v>33.51122</v>
      </c>
      <c r="R7560" s="14" t="b">
        <f t="shared" si="1"/>
        <v>0</v>
      </c>
      <c r="S7560" s="14" t="str">
        <f t="shared" si="2"/>
        <v>44.57593,33.51122</v>
      </c>
      <c r="T7560" s="12"/>
    </row>
    <row r="7561">
      <c r="A7561" s="146" t="s">
        <v>48771</v>
      </c>
      <c r="B7561" s="147" t="s">
        <v>48772</v>
      </c>
      <c r="C7561" s="147" t="s">
        <v>48773</v>
      </c>
      <c r="D7561" s="147" t="s">
        <v>33342</v>
      </c>
      <c r="E7561" s="148" t="s">
        <v>48774</v>
      </c>
      <c r="F7561" s="146" t="s">
        <v>48709</v>
      </c>
      <c r="G7561" s="146" t="s">
        <v>33344</v>
      </c>
      <c r="H7561" s="146"/>
      <c r="I7561" s="147"/>
      <c r="J7561" s="147" t="s">
        <v>48775</v>
      </c>
      <c r="K7561" s="147" t="s">
        <v>48480</v>
      </c>
      <c r="L7561" s="149" t="s">
        <v>48776</v>
      </c>
      <c r="M7561" s="147"/>
      <c r="N7561" s="12"/>
      <c r="O7561" s="12"/>
      <c r="P7561" s="13">
        <f>IFERROR(__xludf.DUMMYFUNCTION("VALUE(SUBSTITUTE((INDEX(SPLIT(A7561,"",""),1)),""."","","",1))"),44.59644)</f>
        <v>44.59644</v>
      </c>
      <c r="Q7561" s="13">
        <f>IFERROR(__xludf.DUMMYFUNCTION("VALUE(SUBSTITUTE((INDEX(SPLIT(A7561,"",""),2)),""."","","",1))"),33.613404)</f>
        <v>33.613404</v>
      </c>
      <c r="R7561" s="14" t="b">
        <f t="shared" si="1"/>
        <v>0</v>
      </c>
      <c r="S7561" s="14" t="str">
        <f t="shared" si="2"/>
        <v>44.59644,33.613404</v>
      </c>
      <c r="T7561" s="12"/>
    </row>
    <row r="7562">
      <c r="A7562" s="142" t="s">
        <v>48777</v>
      </c>
      <c r="B7562" s="143" t="s">
        <v>48778</v>
      </c>
      <c r="C7562" s="143" t="s">
        <v>48779</v>
      </c>
      <c r="D7562" s="143" t="s">
        <v>33342</v>
      </c>
      <c r="E7562" s="144" t="s">
        <v>48780</v>
      </c>
      <c r="F7562" s="142" t="s">
        <v>48709</v>
      </c>
      <c r="G7562" s="142" t="s">
        <v>33344</v>
      </c>
      <c r="H7562" s="142"/>
      <c r="I7562" s="143"/>
      <c r="J7562" s="143" t="s">
        <v>48781</v>
      </c>
      <c r="K7562" s="143" t="s">
        <v>48782</v>
      </c>
      <c r="L7562" s="145" t="s">
        <v>48783</v>
      </c>
      <c r="M7562" s="145" t="s">
        <v>48502</v>
      </c>
      <c r="N7562" s="12"/>
      <c r="O7562" s="12"/>
      <c r="P7562" s="13">
        <f>IFERROR(__xludf.DUMMYFUNCTION("VALUE(SUBSTITUTE((INDEX(SPLIT(A7562,"",""),1)),""."","","",1))"),44.603398)</f>
        <v>44.603398</v>
      </c>
      <c r="Q7562" s="13">
        <f>IFERROR(__xludf.DUMMYFUNCTION("VALUE(SUBSTITUTE((INDEX(SPLIT(A7562,"",""),2)),""."","","",1))"),33.520473)</f>
        <v>33.520473</v>
      </c>
      <c r="R7562" s="14" t="b">
        <f t="shared" si="1"/>
        <v>0</v>
      </c>
      <c r="S7562" s="14" t="str">
        <f t="shared" si="2"/>
        <v>44.603398,33.520473</v>
      </c>
      <c r="T7562" s="12"/>
    </row>
    <row r="7563">
      <c r="A7563" s="146" t="s">
        <v>48784</v>
      </c>
      <c r="B7563" s="147" t="s">
        <v>48785</v>
      </c>
      <c r="C7563" s="147" t="s">
        <v>48786</v>
      </c>
      <c r="D7563" s="147" t="s">
        <v>33342</v>
      </c>
      <c r="E7563" s="148" t="s">
        <v>48787</v>
      </c>
      <c r="F7563" s="146" t="s">
        <v>48709</v>
      </c>
      <c r="G7563" s="146" t="s">
        <v>33344</v>
      </c>
      <c r="H7563" s="146"/>
      <c r="I7563" s="147"/>
      <c r="J7563" s="147" t="s">
        <v>48788</v>
      </c>
      <c r="K7563" s="147" t="s">
        <v>48711</v>
      </c>
      <c r="L7563" s="149" t="s">
        <v>48789</v>
      </c>
      <c r="M7563" s="149" t="s">
        <v>48790</v>
      </c>
      <c r="N7563" s="12"/>
      <c r="O7563" s="12"/>
      <c r="P7563" s="13">
        <f>IFERROR(__xludf.DUMMYFUNCTION("VALUE(SUBSTITUTE((INDEX(SPLIT(A7563,"",""),1)),""."","","",1))"),44.588686)</f>
        <v>44.588686</v>
      </c>
      <c r="Q7563" s="13">
        <f>IFERROR(__xludf.DUMMYFUNCTION("VALUE(SUBSTITUTE((INDEX(SPLIT(A7563,"",""),2)),""."","","",1))"),33.50592)</f>
        <v>33.50592</v>
      </c>
      <c r="R7563" s="14" t="b">
        <f t="shared" si="1"/>
        <v>0</v>
      </c>
      <c r="S7563" s="14" t="str">
        <f t="shared" si="2"/>
        <v>44.588686,33.50592</v>
      </c>
      <c r="T7563" s="12"/>
    </row>
    <row r="7564">
      <c r="A7564" s="142" t="s">
        <v>48791</v>
      </c>
      <c r="B7564" s="143" t="s">
        <v>48792</v>
      </c>
      <c r="C7564" s="143" t="s">
        <v>48793</v>
      </c>
      <c r="D7564" s="143" t="s">
        <v>33342</v>
      </c>
      <c r="E7564" s="144" t="s">
        <v>48794</v>
      </c>
      <c r="F7564" s="142" t="s">
        <v>48709</v>
      </c>
      <c r="G7564" s="142" t="s">
        <v>33344</v>
      </c>
      <c r="H7564" s="142"/>
      <c r="I7564" s="143"/>
      <c r="J7564" s="143" t="s">
        <v>48795</v>
      </c>
      <c r="K7564" s="143" t="s">
        <v>48796</v>
      </c>
      <c r="L7564" s="145" t="s">
        <v>48797</v>
      </c>
      <c r="M7564" s="143"/>
      <c r="N7564" s="12"/>
      <c r="O7564" s="12"/>
      <c r="P7564" s="13">
        <f>IFERROR(__xludf.DUMMYFUNCTION("VALUE(SUBSTITUTE((INDEX(SPLIT(A7564,"",""),1)),""."","","",1))"),44.568256)</f>
        <v>44.568256</v>
      </c>
      <c r="Q7564" s="13">
        <f>IFERROR(__xludf.DUMMYFUNCTION("VALUE(SUBSTITUTE((INDEX(SPLIT(A7564,"",""),2)),""."","","",1))"),33.514814)</f>
        <v>33.514814</v>
      </c>
      <c r="R7564" s="14" t="b">
        <f t="shared" si="1"/>
        <v>0</v>
      </c>
      <c r="S7564" s="14" t="str">
        <f t="shared" si="2"/>
        <v>44.568256,33.514814</v>
      </c>
      <c r="T7564" s="12"/>
    </row>
    <row r="7565">
      <c r="A7565" s="139" t="s">
        <v>48798</v>
      </c>
      <c r="B7565" s="140" t="s">
        <v>48799</v>
      </c>
      <c r="C7565" s="140" t="s">
        <v>48800</v>
      </c>
      <c r="D7565" s="140" t="s">
        <v>33342</v>
      </c>
      <c r="E7565" s="141" t="s">
        <v>48801</v>
      </c>
      <c r="F7565" s="139" t="s">
        <v>48709</v>
      </c>
      <c r="G7565" s="139" t="s">
        <v>33344</v>
      </c>
      <c r="H7565" s="139"/>
      <c r="I7565" s="140"/>
      <c r="J7565" s="140" t="s">
        <v>48802</v>
      </c>
      <c r="K7565" s="140" t="s">
        <v>48803</v>
      </c>
      <c r="L7565" s="140"/>
      <c r="M7565" s="154" t="s">
        <v>48804</v>
      </c>
      <c r="N7565" s="12"/>
      <c r="O7565" s="12"/>
      <c r="P7565" s="13">
        <f>IFERROR(__xludf.DUMMYFUNCTION("VALUE(SUBSTITUTE((INDEX(SPLIT(A7565,"",""),1)),""."","","",1))"),44.594958)</f>
        <v>44.594958</v>
      </c>
      <c r="Q7565" s="13">
        <f>IFERROR(__xludf.DUMMYFUNCTION("VALUE(SUBSTITUTE((INDEX(SPLIT(A7565,"",""),2)),""."","","",1))"),33.518919)</f>
        <v>33.518919</v>
      </c>
      <c r="R7565" s="14" t="b">
        <f t="shared" si="1"/>
        <v>0</v>
      </c>
      <c r="S7565" s="14" t="str">
        <f t="shared" si="2"/>
        <v>44.594958,33.518919</v>
      </c>
      <c r="T7565" s="12"/>
    </row>
    <row r="7566">
      <c r="A7566" s="142" t="s">
        <v>48805</v>
      </c>
      <c r="B7566" s="143" t="s">
        <v>20450</v>
      </c>
      <c r="C7566" s="143" t="s">
        <v>48806</v>
      </c>
      <c r="D7566" s="143" t="s">
        <v>33342</v>
      </c>
      <c r="E7566" s="144" t="s">
        <v>48807</v>
      </c>
      <c r="F7566" s="142" t="s">
        <v>48709</v>
      </c>
      <c r="G7566" s="142" t="s">
        <v>33344</v>
      </c>
      <c r="H7566" s="142"/>
      <c r="I7566" s="143"/>
      <c r="J7566" s="143" t="s">
        <v>48808</v>
      </c>
      <c r="K7566" s="143" t="s">
        <v>48809</v>
      </c>
      <c r="L7566" s="145" t="s">
        <v>48810</v>
      </c>
      <c r="M7566" s="145" t="s">
        <v>48811</v>
      </c>
      <c r="N7566" s="12"/>
      <c r="O7566" s="12"/>
      <c r="P7566" s="13">
        <f>IFERROR(__xludf.DUMMYFUNCTION("VALUE(SUBSTITUTE((INDEX(SPLIT(A7566,"",""),1)),""."","","",1))"),44.559272)</f>
        <v>44.559272</v>
      </c>
      <c r="Q7566" s="13">
        <f>IFERROR(__xludf.DUMMYFUNCTION("VALUE(SUBSTITUTE((INDEX(SPLIT(A7566,"",""),2)),""."","","",1))"),33.504573)</f>
        <v>33.504573</v>
      </c>
      <c r="R7566" s="14" t="b">
        <f t="shared" si="1"/>
        <v>0</v>
      </c>
      <c r="S7566" s="14" t="str">
        <f t="shared" si="2"/>
        <v>44.559272,33.504573</v>
      </c>
      <c r="T7566" s="12"/>
    </row>
    <row r="7567">
      <c r="A7567" s="139" t="s">
        <v>48812</v>
      </c>
      <c r="B7567" s="140" t="s">
        <v>48813</v>
      </c>
      <c r="C7567" s="140" t="s">
        <v>48814</v>
      </c>
      <c r="D7567" s="140" t="s">
        <v>33342</v>
      </c>
      <c r="E7567" s="141" t="s">
        <v>48815</v>
      </c>
      <c r="F7567" s="139" t="s">
        <v>3883</v>
      </c>
      <c r="G7567" s="139" t="s">
        <v>33344</v>
      </c>
      <c r="H7567" s="139"/>
      <c r="I7567" s="140"/>
      <c r="J7567" s="140" t="s">
        <v>48816</v>
      </c>
      <c r="K7567" s="140" t="s">
        <v>48817</v>
      </c>
      <c r="L7567" s="140"/>
      <c r="M7567" s="154" t="s">
        <v>48818</v>
      </c>
      <c r="N7567" s="12"/>
      <c r="O7567" s="12"/>
      <c r="P7567" s="13">
        <f>IFERROR(__xludf.DUMMYFUNCTION("VALUE(SUBSTITUTE((INDEX(SPLIT(A7567,"",""),1)),""."","","",1))"),55.698229)</f>
        <v>55.698229</v>
      </c>
      <c r="Q7567" s="13">
        <f>IFERROR(__xludf.DUMMYFUNCTION("VALUE(SUBSTITUTE((INDEX(SPLIT(A7567,"",""),2)),""."","","",1))"),37.613781)</f>
        <v>37.613781</v>
      </c>
      <c r="R7567" s="14" t="b">
        <f t="shared" si="1"/>
        <v>0</v>
      </c>
      <c r="S7567" s="14" t="str">
        <f t="shared" si="2"/>
        <v>55.698229,37.613781</v>
      </c>
      <c r="T7567" s="12"/>
    </row>
    <row r="7568">
      <c r="A7568" s="136" t="s">
        <v>48819</v>
      </c>
      <c r="B7568" s="137" t="s">
        <v>48820</v>
      </c>
      <c r="C7568" s="137" t="s">
        <v>48821</v>
      </c>
      <c r="D7568" s="137" t="s">
        <v>33342</v>
      </c>
      <c r="E7568" s="138" t="s">
        <v>48822</v>
      </c>
      <c r="F7568" s="136" t="s">
        <v>3883</v>
      </c>
      <c r="G7568" s="136" t="s">
        <v>33344</v>
      </c>
      <c r="H7568" s="136"/>
      <c r="I7568" s="137"/>
      <c r="J7568" s="137" t="s">
        <v>48823</v>
      </c>
      <c r="K7568" s="137" t="s">
        <v>48824</v>
      </c>
      <c r="L7568" s="137"/>
      <c r="M7568" s="137"/>
      <c r="N7568" s="12"/>
      <c r="O7568" s="12"/>
      <c r="P7568" s="13">
        <f>IFERROR(__xludf.DUMMYFUNCTION("VALUE(SUBSTITUTE((INDEX(SPLIT(A7568,"",""),1)),""."","","",1))"),55.725331)</f>
        <v>55.725331</v>
      </c>
      <c r="Q7568" s="13">
        <f>IFERROR(__xludf.DUMMYFUNCTION("VALUE(SUBSTITUTE((INDEX(SPLIT(A7568,"",""),2)),""."","","",1))"),37.573717)</f>
        <v>37.573717</v>
      </c>
      <c r="R7568" s="14" t="b">
        <f t="shared" si="1"/>
        <v>0</v>
      </c>
      <c r="S7568" s="14" t="str">
        <f t="shared" si="2"/>
        <v>55.725331,37.573717</v>
      </c>
      <c r="T7568" s="12"/>
    </row>
    <row r="7569">
      <c r="A7569" s="139" t="s">
        <v>48825</v>
      </c>
      <c r="B7569" s="140" t="s">
        <v>48826</v>
      </c>
      <c r="C7569" s="140" t="s">
        <v>48827</v>
      </c>
      <c r="D7569" s="140" t="s">
        <v>33342</v>
      </c>
      <c r="E7569" s="141" t="s">
        <v>48828</v>
      </c>
      <c r="F7569" s="139" t="s">
        <v>3883</v>
      </c>
      <c r="G7569" s="139" t="s">
        <v>33344</v>
      </c>
      <c r="H7569" s="139"/>
      <c r="I7569" s="140"/>
      <c r="J7569" s="140" t="s">
        <v>48829</v>
      </c>
      <c r="K7569" s="140" t="s">
        <v>48830</v>
      </c>
      <c r="L7569" s="140"/>
      <c r="M7569" s="140"/>
      <c r="N7569" s="12"/>
      <c r="O7569" s="12"/>
      <c r="P7569" s="13">
        <f>IFERROR(__xludf.DUMMYFUNCTION("VALUE(SUBSTITUTE((INDEX(SPLIT(A7569,"",""),1)),""."","","",1))"),55.754527)</f>
        <v>55.754527</v>
      </c>
      <c r="Q7569" s="13">
        <f>IFERROR(__xludf.DUMMYFUNCTION("VALUE(SUBSTITUTE((INDEX(SPLIT(A7569,"",""),2)),""."","","",1))"),37.60664)</f>
        <v>37.60664</v>
      </c>
      <c r="R7569" s="14" t="b">
        <f t="shared" si="1"/>
        <v>0</v>
      </c>
      <c r="S7569" s="14" t="str">
        <f t="shared" si="2"/>
        <v>55.754527,37.60664</v>
      </c>
      <c r="T7569" s="12"/>
    </row>
    <row r="7570">
      <c r="A7570" s="136" t="s">
        <v>48831</v>
      </c>
      <c r="B7570" s="137" t="s">
        <v>48832</v>
      </c>
      <c r="C7570" s="137" t="s">
        <v>48833</v>
      </c>
      <c r="D7570" s="137" t="s">
        <v>33342</v>
      </c>
      <c r="E7570" s="138" t="s">
        <v>48834</v>
      </c>
      <c r="F7570" s="136" t="s">
        <v>3883</v>
      </c>
      <c r="G7570" s="136" t="s">
        <v>33344</v>
      </c>
      <c r="H7570" s="136"/>
      <c r="I7570" s="137"/>
      <c r="J7570" s="137" t="s">
        <v>48835</v>
      </c>
      <c r="K7570" s="137" t="s">
        <v>48836</v>
      </c>
      <c r="L7570" s="137"/>
      <c r="M7570" s="137"/>
      <c r="N7570" s="12"/>
      <c r="O7570" s="12"/>
      <c r="P7570" s="13">
        <f>IFERROR(__xludf.DUMMYFUNCTION("VALUE(SUBSTITUTE((INDEX(SPLIT(A7570,"",""),1)),""."","","",1))"),55.737137)</f>
        <v>55.737137</v>
      </c>
      <c r="Q7570" s="13">
        <f>IFERROR(__xludf.DUMMYFUNCTION("VALUE(SUBSTITUTE((INDEX(SPLIT(A7570,"",""),2)),""."","","",1))"),37.651322)</f>
        <v>37.651322</v>
      </c>
      <c r="R7570" s="14" t="b">
        <f t="shared" si="1"/>
        <v>0</v>
      </c>
      <c r="S7570" s="14" t="str">
        <f t="shared" si="2"/>
        <v>55.737137,37.651322</v>
      </c>
      <c r="T7570" s="12"/>
    </row>
    <row r="7571">
      <c r="A7571" s="139" t="s">
        <v>48837</v>
      </c>
      <c r="B7571" s="140" t="s">
        <v>48838</v>
      </c>
      <c r="C7571" s="140" t="s">
        <v>48839</v>
      </c>
      <c r="D7571" s="140" t="s">
        <v>33342</v>
      </c>
      <c r="E7571" s="141" t="s">
        <v>48840</v>
      </c>
      <c r="F7571" s="139" t="s">
        <v>3883</v>
      </c>
      <c r="G7571" s="139" t="s">
        <v>33344</v>
      </c>
      <c r="H7571" s="139"/>
      <c r="I7571" s="140"/>
      <c r="J7571" s="140" t="s">
        <v>48841</v>
      </c>
      <c r="K7571" s="140" t="s">
        <v>48842</v>
      </c>
      <c r="L7571" s="140"/>
      <c r="M7571" s="154" t="s">
        <v>48843</v>
      </c>
      <c r="N7571" s="12"/>
      <c r="O7571" s="12"/>
      <c r="P7571" s="13">
        <f>IFERROR(__xludf.DUMMYFUNCTION("VALUE(SUBSTITUTE((INDEX(SPLIT(A7571,"",""),1)),""."","","",1))"),55.741009)</f>
        <v>55.741009</v>
      </c>
      <c r="Q7571" s="13">
        <f>IFERROR(__xludf.DUMMYFUNCTION("VALUE(SUBSTITUTE((INDEX(SPLIT(A7571,"",""),2)),""."","","",1))"),37.617869)</f>
        <v>37.617869</v>
      </c>
      <c r="R7571" s="14" t="b">
        <f t="shared" si="1"/>
        <v>0</v>
      </c>
      <c r="S7571" s="14" t="str">
        <f t="shared" si="2"/>
        <v>55.741009,37.617869</v>
      </c>
      <c r="T7571" s="12"/>
    </row>
    <row r="7572">
      <c r="A7572" s="142" t="s">
        <v>48844</v>
      </c>
      <c r="B7572" s="143" t="s">
        <v>6006</v>
      </c>
      <c r="C7572" s="143" t="s">
        <v>48845</v>
      </c>
      <c r="D7572" s="143" t="s">
        <v>33342</v>
      </c>
      <c r="E7572" s="144" t="s">
        <v>48846</v>
      </c>
      <c r="F7572" s="142" t="s">
        <v>3883</v>
      </c>
      <c r="G7572" s="142" t="s">
        <v>33344</v>
      </c>
      <c r="H7572" s="142"/>
      <c r="I7572" s="143"/>
      <c r="J7572" s="143" t="s">
        <v>48847</v>
      </c>
      <c r="K7572" s="143" t="s">
        <v>48848</v>
      </c>
      <c r="L7572" s="145" t="s">
        <v>48849</v>
      </c>
      <c r="M7572" s="143"/>
      <c r="N7572" s="12"/>
      <c r="O7572" s="12"/>
      <c r="P7572" s="13">
        <f>IFERROR(__xludf.DUMMYFUNCTION("VALUE(SUBSTITUTE((INDEX(SPLIT(A7572,"",""),1)),""."","","",1))"),55.746324)</f>
        <v>55.746324</v>
      </c>
      <c r="Q7572" s="13">
        <f>IFERROR(__xludf.DUMMYFUNCTION("VALUE(SUBSTITUTE((INDEX(SPLIT(A7572,"",""),2)),""."","","",1))"),37.667555)</f>
        <v>37.667555</v>
      </c>
      <c r="R7572" s="14" t="b">
        <f t="shared" si="1"/>
        <v>0</v>
      </c>
      <c r="S7572" s="14" t="str">
        <f t="shared" si="2"/>
        <v>55.746324,37.667555</v>
      </c>
      <c r="T7572" s="12"/>
    </row>
    <row r="7573">
      <c r="A7573" s="139" t="s">
        <v>48850</v>
      </c>
      <c r="B7573" s="140" t="s">
        <v>48851</v>
      </c>
      <c r="C7573" s="140" t="s">
        <v>48852</v>
      </c>
      <c r="D7573" s="140" t="s">
        <v>33342</v>
      </c>
      <c r="E7573" s="141" t="s">
        <v>48853</v>
      </c>
      <c r="F7573" s="139" t="s">
        <v>3883</v>
      </c>
      <c r="G7573" s="139" t="s">
        <v>33344</v>
      </c>
      <c r="H7573" s="139"/>
      <c r="I7573" s="140"/>
      <c r="J7573" s="140" t="s">
        <v>48854</v>
      </c>
      <c r="K7573" s="140" t="s">
        <v>48855</v>
      </c>
      <c r="L7573" s="140"/>
      <c r="M7573" s="140"/>
      <c r="N7573" s="12"/>
      <c r="O7573" s="12"/>
      <c r="P7573" s="13">
        <f>IFERROR(__xludf.DUMMYFUNCTION("VALUE(SUBSTITUTE((INDEX(SPLIT(A7573,"",""),1)),""."","","",1))"),55.765478)</f>
        <v>55.765478</v>
      </c>
      <c r="Q7573" s="13">
        <f>IFERROR(__xludf.DUMMYFUNCTION("VALUE(SUBSTITUTE((INDEX(SPLIT(A7573,"",""),2)),""."","","",1))"),37.595833)</f>
        <v>37.595833</v>
      </c>
      <c r="R7573" s="14" t="b">
        <f t="shared" si="1"/>
        <v>0</v>
      </c>
      <c r="S7573" s="14" t="str">
        <f t="shared" si="2"/>
        <v>55.765478,37.595833</v>
      </c>
      <c r="T7573" s="12"/>
    </row>
    <row r="7574">
      <c r="A7574" s="136" t="s">
        <v>48856</v>
      </c>
      <c r="B7574" s="137" t="s">
        <v>48857</v>
      </c>
      <c r="C7574" s="137" t="s">
        <v>48858</v>
      </c>
      <c r="D7574" s="137" t="s">
        <v>33342</v>
      </c>
      <c r="E7574" s="138" t="s">
        <v>48859</v>
      </c>
      <c r="F7574" s="136" t="s">
        <v>3883</v>
      </c>
      <c r="G7574" s="136" t="s">
        <v>33344</v>
      </c>
      <c r="H7574" s="136"/>
      <c r="I7574" s="137"/>
      <c r="J7574" s="137" t="s">
        <v>48860</v>
      </c>
      <c r="K7574" s="137" t="s">
        <v>48861</v>
      </c>
      <c r="L7574" s="137"/>
      <c r="M7574" s="137"/>
      <c r="N7574" s="12"/>
      <c r="O7574" s="12"/>
      <c r="P7574" s="13">
        <f>IFERROR(__xludf.DUMMYFUNCTION("VALUE(SUBSTITUTE((INDEX(SPLIT(A7574,"",""),1)),""."","","",1))"),55.757384)</f>
        <v>55.757384</v>
      </c>
      <c r="Q7574" s="13">
        <f>IFERROR(__xludf.DUMMYFUNCTION("VALUE(SUBSTITUTE((INDEX(SPLIT(A7574,"",""),2)),""."","","",1))"),37.645124)</f>
        <v>37.645124</v>
      </c>
      <c r="R7574" s="14" t="b">
        <f t="shared" si="1"/>
        <v>0</v>
      </c>
      <c r="S7574" s="14" t="str">
        <f t="shared" si="2"/>
        <v>55.757384,37.645124</v>
      </c>
      <c r="T7574" s="12"/>
    </row>
    <row r="7575">
      <c r="A7575" s="146" t="s">
        <v>48862</v>
      </c>
      <c r="B7575" s="147" t="s">
        <v>48863</v>
      </c>
      <c r="C7575" s="147" t="s">
        <v>48864</v>
      </c>
      <c r="D7575" s="147" t="s">
        <v>33342</v>
      </c>
      <c r="E7575" s="148" t="s">
        <v>48865</v>
      </c>
      <c r="F7575" s="146" t="s">
        <v>3883</v>
      </c>
      <c r="G7575" s="146" t="s">
        <v>33344</v>
      </c>
      <c r="H7575" s="146"/>
      <c r="I7575" s="147"/>
      <c r="J7575" s="147" t="s">
        <v>48866</v>
      </c>
      <c r="K7575" s="147" t="s">
        <v>48867</v>
      </c>
      <c r="L7575" s="149" t="s">
        <v>48868</v>
      </c>
      <c r="M7575" s="147"/>
      <c r="N7575" s="12"/>
      <c r="O7575" s="12"/>
      <c r="P7575" s="13">
        <f>IFERROR(__xludf.DUMMYFUNCTION("VALUE(SUBSTITUTE((INDEX(SPLIT(A7575,"",""),1)),""."","","",1))"),55.764192)</f>
        <v>55.764192</v>
      </c>
      <c r="Q7575" s="13">
        <f>IFERROR(__xludf.DUMMYFUNCTION("VALUE(SUBSTITUTE((INDEX(SPLIT(A7575,"",""),2)),""."","","",1))"),37.606891)</f>
        <v>37.606891</v>
      </c>
      <c r="R7575" s="14" t="b">
        <f t="shared" si="1"/>
        <v>0</v>
      </c>
      <c r="S7575" s="14" t="str">
        <f t="shared" si="2"/>
        <v>55.764192,37.606891</v>
      </c>
      <c r="T7575" s="12"/>
    </row>
    <row r="7576">
      <c r="A7576" s="142" t="s">
        <v>48869</v>
      </c>
      <c r="B7576" s="143" t="s">
        <v>48870</v>
      </c>
      <c r="C7576" s="143" t="s">
        <v>48871</v>
      </c>
      <c r="D7576" s="143" t="s">
        <v>33342</v>
      </c>
      <c r="E7576" s="144" t="s">
        <v>48872</v>
      </c>
      <c r="F7576" s="142" t="s">
        <v>3883</v>
      </c>
      <c r="G7576" s="142" t="s">
        <v>33344</v>
      </c>
      <c r="H7576" s="142"/>
      <c r="I7576" s="143"/>
      <c r="J7576" s="143" t="s">
        <v>48873</v>
      </c>
      <c r="K7576" s="143" t="s">
        <v>48874</v>
      </c>
      <c r="L7576" s="145" t="s">
        <v>48875</v>
      </c>
      <c r="M7576" s="143"/>
      <c r="N7576" s="12"/>
      <c r="O7576" s="12"/>
      <c r="P7576" s="13">
        <f>IFERROR(__xludf.DUMMYFUNCTION("VALUE(SUBSTITUTE((INDEX(SPLIT(A7576,"",""),1)),""."","","",1))"),55.585102)</f>
        <v>55.585102</v>
      </c>
      <c r="Q7576" s="13">
        <f>IFERROR(__xludf.DUMMYFUNCTION("VALUE(SUBSTITUTE((INDEX(SPLIT(A7576,"",""),2)),""."","","",1))"),37.687479)</f>
        <v>37.687479</v>
      </c>
      <c r="R7576" s="14" t="b">
        <f t="shared" si="1"/>
        <v>0</v>
      </c>
      <c r="S7576" s="14" t="str">
        <f t="shared" si="2"/>
        <v>55.585102,37.687479</v>
      </c>
      <c r="T7576" s="12"/>
    </row>
    <row r="7577">
      <c r="A7577" s="139" t="s">
        <v>48876</v>
      </c>
      <c r="B7577" s="140" t="s">
        <v>48877</v>
      </c>
      <c r="C7577" s="140" t="s">
        <v>48878</v>
      </c>
      <c r="D7577" s="140" t="s">
        <v>33342</v>
      </c>
      <c r="E7577" s="141" t="s">
        <v>48879</v>
      </c>
      <c r="F7577" s="139" t="s">
        <v>3883</v>
      </c>
      <c r="G7577" s="139" t="s">
        <v>33344</v>
      </c>
      <c r="H7577" s="139"/>
      <c r="I7577" s="140"/>
      <c r="J7577" s="140" t="s">
        <v>48880</v>
      </c>
      <c r="K7577" s="140" t="s">
        <v>48881</v>
      </c>
      <c r="L7577" s="140"/>
      <c r="M7577" s="154" t="s">
        <v>48882</v>
      </c>
      <c r="N7577" s="12"/>
      <c r="O7577" s="12"/>
      <c r="P7577" s="13">
        <f>IFERROR(__xludf.DUMMYFUNCTION("VALUE(SUBSTITUTE((INDEX(SPLIT(A7577,"",""),1)),""."","","",1))"),55.769854)</f>
        <v>55.769854</v>
      </c>
      <c r="Q7577" s="13">
        <f>IFERROR(__xludf.DUMMYFUNCTION("VALUE(SUBSTITUTE((INDEX(SPLIT(A7577,"",""),2)),""."","","",1))"),37.590542)</f>
        <v>37.590542</v>
      </c>
      <c r="R7577" s="14" t="b">
        <f t="shared" si="1"/>
        <v>0</v>
      </c>
      <c r="S7577" s="14" t="str">
        <f t="shared" si="2"/>
        <v>55.769854,37.590542</v>
      </c>
      <c r="T7577" s="12"/>
    </row>
    <row r="7578">
      <c r="A7578" s="142" t="s">
        <v>48883</v>
      </c>
      <c r="B7578" s="143" t="s">
        <v>48884</v>
      </c>
      <c r="C7578" s="143" t="s">
        <v>48885</v>
      </c>
      <c r="D7578" s="143" t="s">
        <v>33342</v>
      </c>
      <c r="E7578" s="144" t="s">
        <v>48886</v>
      </c>
      <c r="F7578" s="142" t="s">
        <v>3883</v>
      </c>
      <c r="G7578" s="142" t="s">
        <v>33344</v>
      </c>
      <c r="H7578" s="142"/>
      <c r="I7578" s="143"/>
      <c r="J7578" s="143" t="s">
        <v>48887</v>
      </c>
      <c r="K7578" s="143" t="s">
        <v>48888</v>
      </c>
      <c r="L7578" s="145" t="s">
        <v>48889</v>
      </c>
      <c r="M7578" s="143"/>
      <c r="N7578" s="12"/>
      <c r="O7578" s="12"/>
      <c r="P7578" s="13">
        <f>IFERROR(__xludf.DUMMYFUNCTION("VALUE(SUBSTITUTE((INDEX(SPLIT(A7578,"",""),1)),""."","","",1))"),55.681742)</f>
        <v>55.681742</v>
      </c>
      <c r="Q7578" s="13">
        <f>IFERROR(__xludf.DUMMYFUNCTION("VALUE(SUBSTITUTE((INDEX(SPLIT(A7578,"",""),2)),""."","","",1))"),37.92865)</f>
        <v>37.92865</v>
      </c>
      <c r="R7578" s="14" t="b">
        <f t="shared" si="1"/>
        <v>0</v>
      </c>
      <c r="S7578" s="14" t="str">
        <f t="shared" si="2"/>
        <v>55.681742,37.92865</v>
      </c>
      <c r="T7578" s="12"/>
    </row>
    <row r="7579">
      <c r="A7579" s="146" t="s">
        <v>48890</v>
      </c>
      <c r="B7579" s="147" t="s">
        <v>48891</v>
      </c>
      <c r="C7579" s="147" t="s">
        <v>48892</v>
      </c>
      <c r="D7579" s="147" t="s">
        <v>33342</v>
      </c>
      <c r="E7579" s="148" t="s">
        <v>48893</v>
      </c>
      <c r="F7579" s="146" t="s">
        <v>3883</v>
      </c>
      <c r="G7579" s="146" t="s">
        <v>33344</v>
      </c>
      <c r="H7579" s="146"/>
      <c r="I7579" s="147"/>
      <c r="J7579" s="147" t="s">
        <v>48894</v>
      </c>
      <c r="K7579" s="147" t="s">
        <v>48895</v>
      </c>
      <c r="L7579" s="149" t="s">
        <v>48896</v>
      </c>
      <c r="M7579" s="147"/>
      <c r="N7579" s="12"/>
      <c r="O7579" s="12"/>
      <c r="P7579" s="13">
        <f>IFERROR(__xludf.DUMMYFUNCTION("VALUE(SUBSTITUTE((INDEX(SPLIT(A7579,"",""),1)),""."","","",1))"),55.773697)</f>
        <v>55.773697</v>
      </c>
      <c r="Q7579" s="13">
        <f>IFERROR(__xludf.DUMMYFUNCTION("VALUE(SUBSTITUTE((INDEX(SPLIT(A7579,"",""),2)),""."","","",1))"),37.69136)</f>
        <v>37.69136</v>
      </c>
      <c r="R7579" s="14" t="b">
        <f t="shared" si="1"/>
        <v>0</v>
      </c>
      <c r="S7579" s="14" t="str">
        <f t="shared" si="2"/>
        <v>55.773697,37.69136</v>
      </c>
      <c r="T7579" s="12"/>
    </row>
    <row r="7580">
      <c r="A7580" s="136" t="s">
        <v>48897</v>
      </c>
      <c r="B7580" s="137" t="s">
        <v>48898</v>
      </c>
      <c r="C7580" s="137" t="s">
        <v>48899</v>
      </c>
      <c r="D7580" s="137" t="s">
        <v>33342</v>
      </c>
      <c r="E7580" s="138" t="s">
        <v>48900</v>
      </c>
      <c r="F7580" s="136" t="s">
        <v>3883</v>
      </c>
      <c r="G7580" s="136" t="s">
        <v>33344</v>
      </c>
      <c r="H7580" s="136"/>
      <c r="I7580" s="137"/>
      <c r="J7580" s="137" t="s">
        <v>48901</v>
      </c>
      <c r="K7580" s="137" t="s">
        <v>48902</v>
      </c>
      <c r="L7580" s="137"/>
      <c r="M7580" s="137"/>
      <c r="N7580" s="12"/>
      <c r="O7580" s="12"/>
      <c r="P7580" s="13">
        <f>IFERROR(__xludf.DUMMYFUNCTION("VALUE(SUBSTITUTE((INDEX(SPLIT(A7580,"",""),1)),""."","","",1))"),55.804799)</f>
        <v>55.804799</v>
      </c>
      <c r="Q7580" s="13">
        <f>IFERROR(__xludf.DUMMYFUNCTION("VALUE(SUBSTITUTE((INDEX(SPLIT(A7580,"",""),2)),""."","","",1))"),37.629089)</f>
        <v>37.629089</v>
      </c>
      <c r="R7580" s="14" t="b">
        <f t="shared" si="1"/>
        <v>0</v>
      </c>
      <c r="S7580" s="14" t="str">
        <f t="shared" si="2"/>
        <v>55.804799,37.629089</v>
      </c>
      <c r="T7580" s="12"/>
    </row>
    <row r="7581">
      <c r="A7581" s="139" t="s">
        <v>48903</v>
      </c>
      <c r="B7581" s="140" t="s">
        <v>48904</v>
      </c>
      <c r="C7581" s="140" t="s">
        <v>48904</v>
      </c>
      <c r="D7581" s="140" t="s">
        <v>33342</v>
      </c>
      <c r="E7581" s="141" t="s">
        <v>48905</v>
      </c>
      <c r="F7581" s="139" t="s">
        <v>3883</v>
      </c>
      <c r="G7581" s="139" t="s">
        <v>33344</v>
      </c>
      <c r="H7581" s="139"/>
      <c r="I7581" s="140"/>
      <c r="J7581" s="140" t="s">
        <v>48906</v>
      </c>
      <c r="K7581" s="140" t="s">
        <v>48907</v>
      </c>
      <c r="L7581" s="140"/>
      <c r="M7581" s="140"/>
      <c r="N7581" s="12"/>
      <c r="O7581" s="12"/>
      <c r="P7581" s="13">
        <f>IFERROR(__xludf.DUMMYFUNCTION("VALUE(SUBSTITUTE((INDEX(SPLIT(A7581,"",""),1)),""."","","",1))"),55.809019)</f>
        <v>55.809019</v>
      </c>
      <c r="Q7581" s="13">
        <f>IFERROR(__xludf.DUMMYFUNCTION("VALUE(SUBSTITUTE((INDEX(SPLIT(A7581,"",""),2)),""."","","",1))"),37.704565)</f>
        <v>37.704565</v>
      </c>
      <c r="R7581" s="14" t="b">
        <f t="shared" si="1"/>
        <v>0</v>
      </c>
      <c r="S7581" s="14" t="str">
        <f t="shared" si="2"/>
        <v>55.809019,37.704565</v>
      </c>
      <c r="T7581" s="12"/>
    </row>
    <row r="7582">
      <c r="A7582" s="136" t="s">
        <v>48908</v>
      </c>
      <c r="B7582" s="137" t="s">
        <v>48909</v>
      </c>
      <c r="C7582" s="137" t="s">
        <v>48910</v>
      </c>
      <c r="D7582" s="137" t="s">
        <v>33342</v>
      </c>
      <c r="E7582" s="138" t="s">
        <v>48911</v>
      </c>
      <c r="F7582" s="136" t="s">
        <v>3883</v>
      </c>
      <c r="G7582" s="136" t="s">
        <v>33344</v>
      </c>
      <c r="H7582" s="136"/>
      <c r="I7582" s="137"/>
      <c r="J7582" s="137" t="s">
        <v>48912</v>
      </c>
      <c r="K7582" s="137" t="s">
        <v>4203</v>
      </c>
      <c r="L7582" s="137"/>
      <c r="M7582" s="137"/>
      <c r="N7582" s="12"/>
      <c r="O7582" s="12"/>
      <c r="P7582" s="13">
        <f>IFERROR(__xludf.DUMMYFUNCTION("VALUE(SUBSTITUTE((INDEX(SPLIT(A7582,"",""),1)),""."","","",1))"),55.795641)</f>
        <v>55.795641</v>
      </c>
      <c r="Q7582" s="13">
        <f>IFERROR(__xludf.DUMMYFUNCTION("VALUE(SUBSTITUTE((INDEX(SPLIT(A7582,"",""),2)),""."","","",1))"),37.699292)</f>
        <v>37.699292</v>
      </c>
      <c r="R7582" s="14" t="b">
        <f t="shared" si="1"/>
        <v>0</v>
      </c>
      <c r="S7582" s="14" t="str">
        <f t="shared" si="2"/>
        <v>55.795641,37.699292</v>
      </c>
      <c r="T7582" s="12"/>
    </row>
    <row r="7583">
      <c r="A7583" s="146" t="s">
        <v>48913</v>
      </c>
      <c r="B7583" s="147" t="s">
        <v>48914</v>
      </c>
      <c r="C7583" s="147" t="s">
        <v>48915</v>
      </c>
      <c r="D7583" s="147" t="s">
        <v>33342</v>
      </c>
      <c r="E7583" s="148" t="s">
        <v>48916</v>
      </c>
      <c r="F7583" s="146" t="s">
        <v>3883</v>
      </c>
      <c r="G7583" s="146" t="s">
        <v>33344</v>
      </c>
      <c r="H7583" s="146"/>
      <c r="I7583" s="147"/>
      <c r="J7583" s="147" t="s">
        <v>48917</v>
      </c>
      <c r="K7583" s="147" t="s">
        <v>48918</v>
      </c>
      <c r="L7583" s="149" t="s">
        <v>48919</v>
      </c>
      <c r="M7583" s="147"/>
      <c r="N7583" s="12"/>
      <c r="O7583" s="12"/>
      <c r="P7583" s="13">
        <f>IFERROR(__xludf.DUMMYFUNCTION("VALUE(SUBSTITUTE((INDEX(SPLIT(A7583,"",""),1)),""."","","",1))"),55.71481)</f>
        <v>55.71481</v>
      </c>
      <c r="Q7583" s="13">
        <f>IFERROR(__xludf.DUMMYFUNCTION("VALUE(SUBSTITUTE((INDEX(SPLIT(A7583,"",""),2)),""."","","",1))"),37.809839)</f>
        <v>37.809839</v>
      </c>
      <c r="R7583" s="14" t="b">
        <f t="shared" si="1"/>
        <v>0</v>
      </c>
      <c r="S7583" s="14" t="str">
        <f t="shared" si="2"/>
        <v>55.71481,37.809839</v>
      </c>
      <c r="T7583" s="12"/>
    </row>
    <row r="7584">
      <c r="A7584" s="142" t="s">
        <v>48920</v>
      </c>
      <c r="B7584" s="143" t="s">
        <v>8640</v>
      </c>
      <c r="C7584" s="143" t="s">
        <v>48921</v>
      </c>
      <c r="D7584" s="143" t="s">
        <v>33342</v>
      </c>
      <c r="E7584" s="144" t="s">
        <v>48922</v>
      </c>
      <c r="F7584" s="142" t="s">
        <v>3883</v>
      </c>
      <c r="G7584" s="142" t="s">
        <v>33344</v>
      </c>
      <c r="H7584" s="142"/>
      <c r="I7584" s="143"/>
      <c r="J7584" s="143" t="s">
        <v>48923</v>
      </c>
      <c r="K7584" s="143" t="s">
        <v>48924</v>
      </c>
      <c r="L7584" s="145" t="s">
        <v>48925</v>
      </c>
      <c r="M7584" s="143"/>
      <c r="N7584" s="12"/>
      <c r="O7584" s="12"/>
      <c r="P7584" s="13">
        <f>IFERROR(__xludf.DUMMYFUNCTION("VALUE(SUBSTITUTE((INDEX(SPLIT(A7584,"",""),1)),""."","","",1))"),55.721214)</f>
        <v>55.721214</v>
      </c>
      <c r="Q7584" s="13">
        <f>IFERROR(__xludf.DUMMYFUNCTION("VALUE(SUBSTITUTE((INDEX(SPLIT(A7584,"",""),2)),""."","","",1))"),37.776826)</f>
        <v>37.776826</v>
      </c>
      <c r="R7584" s="14" t="b">
        <f t="shared" si="1"/>
        <v>0</v>
      </c>
      <c r="S7584" s="14" t="str">
        <f t="shared" si="2"/>
        <v>55.721214,37.776826</v>
      </c>
      <c r="T7584" s="12"/>
    </row>
    <row r="7585">
      <c r="A7585" s="139" t="s">
        <v>42285</v>
      </c>
      <c r="B7585" s="140" t="s">
        <v>48926</v>
      </c>
      <c r="C7585" s="140" t="s">
        <v>48927</v>
      </c>
      <c r="D7585" s="140" t="s">
        <v>33342</v>
      </c>
      <c r="E7585" s="141" t="s">
        <v>48928</v>
      </c>
      <c r="F7585" s="139" t="s">
        <v>3883</v>
      </c>
      <c r="G7585" s="139" t="s">
        <v>33344</v>
      </c>
      <c r="H7585" s="139"/>
      <c r="I7585" s="140"/>
      <c r="J7585" s="140" t="s">
        <v>48929</v>
      </c>
      <c r="K7585" s="140" t="s">
        <v>48930</v>
      </c>
      <c r="L7585" s="140"/>
      <c r="M7585" s="140"/>
      <c r="N7585" s="12"/>
      <c r="O7585" s="12"/>
      <c r="P7585" s="13">
        <f>IFERROR(__xludf.DUMMYFUNCTION("VALUE(SUBSTITUTE((INDEX(SPLIT(A7585,"",""),1)),""."","","",1))"),55.25206)</f>
        <v>55.25206</v>
      </c>
      <c r="Q7585" s="13">
        <f>IFERROR(__xludf.DUMMYFUNCTION("VALUE(SUBSTITUTE((INDEX(SPLIT(A7585,"",""),2)),""."","","",1))"),37.911977)</f>
        <v>37.911977</v>
      </c>
      <c r="R7585" s="14" t="b">
        <f t="shared" si="1"/>
        <v>0</v>
      </c>
      <c r="S7585" s="14" t="str">
        <f t="shared" si="2"/>
        <v>55.25206,37.911977</v>
      </c>
      <c r="T7585" s="12"/>
    </row>
    <row r="7586">
      <c r="A7586" s="136" t="s">
        <v>48931</v>
      </c>
      <c r="B7586" s="137" t="s">
        <v>48932</v>
      </c>
      <c r="C7586" s="137" t="s">
        <v>48933</v>
      </c>
      <c r="D7586" s="137" t="s">
        <v>33342</v>
      </c>
      <c r="E7586" s="138" t="s">
        <v>48934</v>
      </c>
      <c r="F7586" s="136" t="s">
        <v>3883</v>
      </c>
      <c r="G7586" s="136" t="s">
        <v>33344</v>
      </c>
      <c r="H7586" s="136"/>
      <c r="I7586" s="137"/>
      <c r="J7586" s="137" t="s">
        <v>48935</v>
      </c>
      <c r="K7586" s="137" t="s">
        <v>48936</v>
      </c>
      <c r="L7586" s="137"/>
      <c r="M7586" s="153" t="s">
        <v>48937</v>
      </c>
      <c r="N7586" s="12"/>
      <c r="O7586" s="12"/>
      <c r="P7586" s="13">
        <f>IFERROR(__xludf.DUMMYFUNCTION("VALUE(SUBSTITUTE((INDEX(SPLIT(A7586,"",""),1)),""."","","",1))"),55.703231)</f>
        <v>55.703231</v>
      </c>
      <c r="Q7586" s="13">
        <f>IFERROR(__xludf.DUMMYFUNCTION("VALUE(SUBSTITUTE((INDEX(SPLIT(A7586,"",""),2)),""."","","",1))"),37.792331)</f>
        <v>37.792331</v>
      </c>
      <c r="R7586" s="14" t="b">
        <f t="shared" si="1"/>
        <v>0</v>
      </c>
      <c r="S7586" s="14" t="str">
        <f t="shared" si="2"/>
        <v>55.703231,37.792331</v>
      </c>
      <c r="T7586" s="12"/>
    </row>
    <row r="7587">
      <c r="A7587" s="139" t="s">
        <v>48938</v>
      </c>
      <c r="B7587" s="140" t="s">
        <v>48939</v>
      </c>
      <c r="C7587" s="140" t="s">
        <v>48940</v>
      </c>
      <c r="D7587" s="140" t="s">
        <v>33342</v>
      </c>
      <c r="E7587" s="141" t="s">
        <v>48941</v>
      </c>
      <c r="F7587" s="139" t="s">
        <v>3883</v>
      </c>
      <c r="G7587" s="139" t="s">
        <v>33344</v>
      </c>
      <c r="H7587" s="139"/>
      <c r="I7587" s="140"/>
      <c r="J7587" s="140" t="s">
        <v>48942</v>
      </c>
      <c r="K7587" s="140" t="s">
        <v>48943</v>
      </c>
      <c r="L7587" s="140"/>
      <c r="M7587" s="154" t="s">
        <v>48944</v>
      </c>
      <c r="N7587" s="12"/>
      <c r="O7587" s="12"/>
      <c r="P7587" s="13">
        <f>IFERROR(__xludf.DUMMYFUNCTION("VALUE(SUBSTITUTE((INDEX(SPLIT(A7587,"",""),1)),""."","","",1))"),55.677768)</f>
        <v>55.677768</v>
      </c>
      <c r="Q7587" s="13">
        <f>IFERROR(__xludf.DUMMYFUNCTION("VALUE(SUBSTITUTE((INDEX(SPLIT(A7587,"",""),2)),""."","","",1))"),37.854638)</f>
        <v>37.854638</v>
      </c>
      <c r="R7587" s="14" t="b">
        <f t="shared" si="1"/>
        <v>0</v>
      </c>
      <c r="S7587" s="14" t="str">
        <f t="shared" si="2"/>
        <v>55.677768,37.854638</v>
      </c>
      <c r="T7587" s="12"/>
    </row>
    <row r="7588">
      <c r="A7588" s="136" t="s">
        <v>48945</v>
      </c>
      <c r="B7588" s="137" t="s">
        <v>48946</v>
      </c>
      <c r="C7588" s="137" t="s">
        <v>48947</v>
      </c>
      <c r="D7588" s="137" t="s">
        <v>33342</v>
      </c>
      <c r="E7588" s="138" t="s">
        <v>48948</v>
      </c>
      <c r="F7588" s="136" t="s">
        <v>3883</v>
      </c>
      <c r="G7588" s="136" t="s">
        <v>33344</v>
      </c>
      <c r="H7588" s="136"/>
      <c r="I7588" s="137"/>
      <c r="J7588" s="137" t="s">
        <v>48949</v>
      </c>
      <c r="K7588" s="137" t="s">
        <v>48950</v>
      </c>
      <c r="L7588" s="137"/>
      <c r="M7588" s="153" t="s">
        <v>29897</v>
      </c>
      <c r="N7588" s="12"/>
      <c r="O7588" s="12"/>
      <c r="P7588" s="13">
        <f>IFERROR(__xludf.DUMMYFUNCTION("VALUE(SUBSTITUTE((INDEX(SPLIT(A7588,"",""),1)),""."","","",1))"),55.658129)</f>
        <v>55.658129</v>
      </c>
      <c r="Q7588" s="13">
        <f>IFERROR(__xludf.DUMMYFUNCTION("VALUE(SUBSTITUTE((INDEX(SPLIT(A7588,"",""),2)),""."","","",1))"),37.802922)</f>
        <v>37.802922</v>
      </c>
      <c r="R7588" s="14" t="b">
        <f t="shared" si="1"/>
        <v>0</v>
      </c>
      <c r="S7588" s="14" t="str">
        <f t="shared" si="2"/>
        <v>55.658129,37.802922</v>
      </c>
      <c r="T7588" s="12"/>
    </row>
    <row r="7589">
      <c r="A7589" s="139" t="s">
        <v>48951</v>
      </c>
      <c r="B7589" s="140" t="s">
        <v>48952</v>
      </c>
      <c r="C7589" s="140" t="s">
        <v>48953</v>
      </c>
      <c r="D7589" s="140" t="s">
        <v>33342</v>
      </c>
      <c r="E7589" s="141" t="s">
        <v>48954</v>
      </c>
      <c r="F7589" s="139" t="s">
        <v>3883</v>
      </c>
      <c r="G7589" s="139" t="s">
        <v>33344</v>
      </c>
      <c r="H7589" s="139"/>
      <c r="I7589" s="140"/>
      <c r="J7589" s="140" t="s">
        <v>48955</v>
      </c>
      <c r="K7589" s="140" t="s">
        <v>48956</v>
      </c>
      <c r="L7589" s="140"/>
      <c r="M7589" s="140"/>
      <c r="N7589" s="12"/>
      <c r="O7589" s="12"/>
      <c r="P7589" s="13">
        <f>IFERROR(__xludf.DUMMYFUNCTION("VALUE(SUBSTITUTE((INDEX(SPLIT(A7589,"",""),1)),""."","","",1))"),55.704671)</f>
        <v>55.704671</v>
      </c>
      <c r="Q7589" s="13">
        <f>IFERROR(__xludf.DUMMYFUNCTION("VALUE(SUBSTITUTE((INDEX(SPLIT(A7589,"",""),2)),""."","","",1))"),37.740767)</f>
        <v>37.740767</v>
      </c>
      <c r="R7589" s="14" t="b">
        <f t="shared" si="1"/>
        <v>0</v>
      </c>
      <c r="S7589" s="14" t="str">
        <f t="shared" si="2"/>
        <v>55.704671,37.740767</v>
      </c>
      <c r="T7589" s="12"/>
    </row>
    <row r="7590">
      <c r="A7590" s="136" t="s">
        <v>48957</v>
      </c>
      <c r="B7590" s="137" t="s">
        <v>48958</v>
      </c>
      <c r="C7590" s="137" t="s">
        <v>48959</v>
      </c>
      <c r="D7590" s="137" t="s">
        <v>33342</v>
      </c>
      <c r="E7590" s="138" t="s">
        <v>48960</v>
      </c>
      <c r="F7590" s="136" t="s">
        <v>3883</v>
      </c>
      <c r="G7590" s="136" t="s">
        <v>33344</v>
      </c>
      <c r="H7590" s="136"/>
      <c r="I7590" s="137"/>
      <c r="J7590" s="137" t="s">
        <v>48961</v>
      </c>
      <c r="K7590" s="137" t="s">
        <v>48962</v>
      </c>
      <c r="L7590" s="137"/>
      <c r="M7590" s="153" t="s">
        <v>48963</v>
      </c>
      <c r="N7590" s="12"/>
      <c r="O7590" s="12"/>
      <c r="P7590" s="13">
        <f>IFERROR(__xludf.DUMMYFUNCTION("VALUE(SUBSTITUTE((INDEX(SPLIT(A7590,"",""),1)),""."","","",1))"),55.646127)</f>
        <v>55.646127</v>
      </c>
      <c r="Q7590" s="13">
        <f>IFERROR(__xludf.DUMMYFUNCTION("VALUE(SUBSTITUTE((INDEX(SPLIT(A7590,"",""),2)),""."","","",1))"),37.705715)</f>
        <v>37.705715</v>
      </c>
      <c r="R7590" s="14" t="b">
        <f t="shared" si="1"/>
        <v>0</v>
      </c>
      <c r="S7590" s="14" t="str">
        <f t="shared" si="2"/>
        <v>55.646127,37.705715</v>
      </c>
      <c r="T7590" s="12"/>
    </row>
    <row r="7591">
      <c r="A7591" s="139" t="s">
        <v>48964</v>
      </c>
      <c r="B7591" s="140" t="s">
        <v>48965</v>
      </c>
      <c r="C7591" s="140" t="s">
        <v>48966</v>
      </c>
      <c r="D7591" s="140" t="s">
        <v>33342</v>
      </c>
      <c r="E7591" s="141" t="s">
        <v>33201</v>
      </c>
      <c r="F7591" s="139" t="s">
        <v>3883</v>
      </c>
      <c r="G7591" s="139" t="s">
        <v>33344</v>
      </c>
      <c r="H7591" s="139"/>
      <c r="I7591" s="140"/>
      <c r="J7591" s="140" t="s">
        <v>48967</v>
      </c>
      <c r="K7591" s="140" t="s">
        <v>48968</v>
      </c>
      <c r="L7591" s="140"/>
      <c r="M7591" s="154" t="s">
        <v>48969</v>
      </c>
      <c r="N7591" s="12"/>
      <c r="O7591" s="12"/>
      <c r="P7591" s="13">
        <f>IFERROR(__xludf.DUMMYFUNCTION("VALUE(SUBSTITUTE((INDEX(SPLIT(A7591,"",""),1)),""."","","",1))"),55.618278)</f>
        <v>55.618278</v>
      </c>
      <c r="Q7591" s="13">
        <f>IFERROR(__xludf.DUMMYFUNCTION("VALUE(SUBSTITUTE((INDEX(SPLIT(A7591,"",""),2)),""."","","",1))"),37.704817)</f>
        <v>37.704817</v>
      </c>
      <c r="R7591" s="14" t="b">
        <f t="shared" si="1"/>
        <v>0</v>
      </c>
      <c r="S7591" s="14" t="str">
        <f t="shared" si="2"/>
        <v>55.618278,37.704817</v>
      </c>
      <c r="T7591" s="12"/>
    </row>
    <row r="7592">
      <c r="A7592" s="136" t="s">
        <v>48970</v>
      </c>
      <c r="B7592" s="137" t="s">
        <v>48971</v>
      </c>
      <c r="C7592" s="137" t="s">
        <v>48972</v>
      </c>
      <c r="D7592" s="137" t="s">
        <v>33342</v>
      </c>
      <c r="E7592" s="138" t="s">
        <v>48973</v>
      </c>
      <c r="F7592" s="136" t="s">
        <v>3883</v>
      </c>
      <c r="G7592" s="136" t="s">
        <v>33344</v>
      </c>
      <c r="H7592" s="136"/>
      <c r="I7592" s="137"/>
      <c r="J7592" s="137" t="s">
        <v>48974</v>
      </c>
      <c r="K7592" s="137" t="s">
        <v>48975</v>
      </c>
      <c r="L7592" s="137"/>
      <c r="M7592" s="137"/>
      <c r="N7592" s="12"/>
      <c r="O7592" s="12"/>
      <c r="P7592" s="13">
        <f>IFERROR(__xludf.DUMMYFUNCTION("VALUE(SUBSTITUTE((INDEX(SPLIT(A7592,"",""),1)),""."","","",1))"),55.62297)</f>
        <v>55.62297</v>
      </c>
      <c r="Q7592" s="13">
        <f>IFERROR(__xludf.DUMMYFUNCTION("VALUE(SUBSTITUTE((INDEX(SPLIT(A7592,"",""),2)),""."","","",1))"),37.753667)</f>
        <v>37.753667</v>
      </c>
      <c r="R7592" s="14" t="b">
        <f t="shared" si="1"/>
        <v>0</v>
      </c>
      <c r="S7592" s="14" t="str">
        <f t="shared" si="2"/>
        <v>55.62297,37.753667</v>
      </c>
      <c r="T7592" s="12"/>
    </row>
    <row r="7593">
      <c r="A7593" s="139" t="s">
        <v>48976</v>
      </c>
      <c r="B7593" s="140" t="s">
        <v>48977</v>
      </c>
      <c r="C7593" s="140" t="s">
        <v>48978</v>
      </c>
      <c r="D7593" s="140" t="s">
        <v>33342</v>
      </c>
      <c r="E7593" s="141" t="s">
        <v>48979</v>
      </c>
      <c r="F7593" s="139" t="s">
        <v>3883</v>
      </c>
      <c r="G7593" s="139" t="s">
        <v>33344</v>
      </c>
      <c r="H7593" s="139"/>
      <c r="I7593" s="140"/>
      <c r="J7593" s="140" t="s">
        <v>48980</v>
      </c>
      <c r="K7593" s="140" t="s">
        <v>34537</v>
      </c>
      <c r="L7593" s="140"/>
      <c r="M7593" s="140"/>
      <c r="N7593" s="12"/>
      <c r="O7593" s="12"/>
      <c r="P7593" s="13">
        <f>IFERROR(__xludf.DUMMYFUNCTION("VALUE(SUBSTITUTE((INDEX(SPLIT(A7593,"",""),1)),""."","","",1))"),55.620941)</f>
        <v>55.620941</v>
      </c>
      <c r="Q7593" s="13">
        <f>IFERROR(__xludf.DUMMYFUNCTION("VALUE(SUBSTITUTE((INDEX(SPLIT(A7593,"",""),2)),""."","","",1))"),37.742214)</f>
        <v>37.742214</v>
      </c>
      <c r="R7593" s="14" t="b">
        <f t="shared" si="1"/>
        <v>0</v>
      </c>
      <c r="S7593" s="14" t="str">
        <f t="shared" si="2"/>
        <v>55.620941,37.742214</v>
      </c>
      <c r="T7593" s="12"/>
    </row>
    <row r="7594">
      <c r="A7594" s="136" t="s">
        <v>48981</v>
      </c>
      <c r="B7594" s="137" t="s">
        <v>48982</v>
      </c>
      <c r="C7594" s="137" t="s">
        <v>48983</v>
      </c>
      <c r="D7594" s="137" t="s">
        <v>33342</v>
      </c>
      <c r="E7594" s="138" t="s">
        <v>48984</v>
      </c>
      <c r="F7594" s="136" t="s">
        <v>3883</v>
      </c>
      <c r="G7594" s="136" t="s">
        <v>33344</v>
      </c>
      <c r="H7594" s="136"/>
      <c r="I7594" s="137"/>
      <c r="J7594" s="137" t="s">
        <v>48985</v>
      </c>
      <c r="K7594" s="137" t="s">
        <v>42852</v>
      </c>
      <c r="L7594" s="137"/>
      <c r="M7594" s="153" t="s">
        <v>42853</v>
      </c>
      <c r="N7594" s="12"/>
      <c r="O7594" s="12"/>
      <c r="P7594" s="13">
        <f>IFERROR(__xludf.DUMMYFUNCTION("VALUE(SUBSTITUTE((INDEX(SPLIT(A7594,"",""),1)),""."","","",1))"),55.708303)</f>
        <v>55.708303</v>
      </c>
      <c r="Q7594" s="13">
        <f>IFERROR(__xludf.DUMMYFUNCTION("VALUE(SUBSTITUTE((INDEX(SPLIT(A7594,"",""),2)),""."","","",1))"),37.652822)</f>
        <v>37.652822</v>
      </c>
      <c r="R7594" s="14" t="b">
        <f t="shared" si="1"/>
        <v>0</v>
      </c>
      <c r="S7594" s="14" t="str">
        <f t="shared" si="2"/>
        <v>55.708303,37.652822</v>
      </c>
      <c r="T7594" s="12"/>
    </row>
    <row r="7595">
      <c r="A7595" s="139" t="s">
        <v>48986</v>
      </c>
      <c r="B7595" s="140" t="s">
        <v>48987</v>
      </c>
      <c r="C7595" s="140" t="s">
        <v>48988</v>
      </c>
      <c r="D7595" s="140" t="s">
        <v>33342</v>
      </c>
      <c r="E7595" s="141" t="s">
        <v>48989</v>
      </c>
      <c r="F7595" s="139" t="s">
        <v>3883</v>
      </c>
      <c r="G7595" s="139" t="s">
        <v>33344</v>
      </c>
      <c r="H7595" s="139"/>
      <c r="I7595" s="140"/>
      <c r="J7595" s="140" t="s">
        <v>48990</v>
      </c>
      <c r="K7595" s="140" t="s">
        <v>47113</v>
      </c>
      <c r="L7595" s="140"/>
      <c r="M7595" s="140"/>
      <c r="N7595" s="12"/>
      <c r="O7595" s="12"/>
      <c r="P7595" s="13">
        <f>IFERROR(__xludf.DUMMYFUNCTION("VALUE(SUBSTITUTE((INDEX(SPLIT(A7595,"",""),1)),""."","","",1))"),55.683579)</f>
        <v>55.683579</v>
      </c>
      <c r="Q7595" s="13">
        <f>IFERROR(__xludf.DUMMYFUNCTION("VALUE(SUBSTITUTE((INDEX(SPLIT(A7595,"",""),2)),""."","","",1))"),37.697918)</f>
        <v>37.697918</v>
      </c>
      <c r="R7595" s="14" t="b">
        <f t="shared" si="1"/>
        <v>0</v>
      </c>
      <c r="S7595" s="14" t="str">
        <f t="shared" si="2"/>
        <v>55.683579,37.697918</v>
      </c>
      <c r="T7595" s="12"/>
    </row>
    <row r="7596">
      <c r="A7596" s="136" t="s">
        <v>48991</v>
      </c>
      <c r="B7596" s="137" t="s">
        <v>48992</v>
      </c>
      <c r="C7596" s="137" t="s">
        <v>48993</v>
      </c>
      <c r="D7596" s="137" t="s">
        <v>33342</v>
      </c>
      <c r="E7596" s="138" t="s">
        <v>48994</v>
      </c>
      <c r="F7596" s="136" t="s">
        <v>3883</v>
      </c>
      <c r="G7596" s="136" t="s">
        <v>33344</v>
      </c>
      <c r="H7596" s="136"/>
      <c r="I7596" s="137"/>
      <c r="J7596" s="137" t="s">
        <v>48995</v>
      </c>
      <c r="K7596" s="137" t="s">
        <v>48996</v>
      </c>
      <c r="L7596" s="137"/>
      <c r="M7596" s="137"/>
      <c r="N7596" s="12"/>
      <c r="O7596" s="12"/>
      <c r="P7596" s="13">
        <f>IFERROR(__xludf.DUMMYFUNCTION("VALUE(SUBSTITUTE((INDEX(SPLIT(A7596,"",""),1)),""."","","",1))"),55.653878)</f>
        <v>55.653878</v>
      </c>
      <c r="Q7596" s="13">
        <f>IFERROR(__xludf.DUMMYFUNCTION("VALUE(SUBSTITUTE((INDEX(SPLIT(A7596,"",""),2)),""."","","",1))"),37.557502)</f>
        <v>37.557502</v>
      </c>
      <c r="R7596" s="14" t="b">
        <f t="shared" si="1"/>
        <v>0</v>
      </c>
      <c r="S7596" s="14" t="str">
        <f t="shared" si="2"/>
        <v>55.653878,37.557502</v>
      </c>
      <c r="T7596" s="12"/>
    </row>
    <row r="7597">
      <c r="A7597" s="139" t="s">
        <v>9826</v>
      </c>
      <c r="B7597" s="140" t="s">
        <v>48997</v>
      </c>
      <c r="C7597" s="140" t="s">
        <v>48998</v>
      </c>
      <c r="D7597" s="140" t="s">
        <v>33342</v>
      </c>
      <c r="E7597" s="141" t="s">
        <v>48999</v>
      </c>
      <c r="F7597" s="139" t="s">
        <v>3883</v>
      </c>
      <c r="G7597" s="139" t="s">
        <v>33344</v>
      </c>
      <c r="H7597" s="139"/>
      <c r="I7597" s="140"/>
      <c r="J7597" s="140" t="s">
        <v>49000</v>
      </c>
      <c r="K7597" s="140" t="s">
        <v>49001</v>
      </c>
      <c r="L7597" s="140"/>
      <c r="M7597" s="140"/>
      <c r="N7597" s="12"/>
      <c r="O7597" s="12"/>
      <c r="P7597" s="13">
        <f>IFERROR(__xludf.DUMMYFUNCTION("VALUE(SUBSTITUTE((INDEX(SPLIT(A7597,"",""),1)),""."","","",1))"),55.65015)</f>
        <v>55.65015</v>
      </c>
      <c r="Q7597" s="13">
        <f>IFERROR(__xludf.DUMMYFUNCTION("VALUE(SUBSTITUTE((INDEX(SPLIT(A7597,"",""),2)),""."","","",1))"),37.539626)</f>
        <v>37.539626</v>
      </c>
      <c r="R7597" s="14" t="b">
        <f t="shared" si="1"/>
        <v>0</v>
      </c>
      <c r="S7597" s="14" t="str">
        <f t="shared" si="2"/>
        <v>55.65015,37.539626</v>
      </c>
      <c r="T7597" s="12"/>
    </row>
    <row r="7598">
      <c r="A7598" s="136" t="s">
        <v>9988</v>
      </c>
      <c r="B7598" s="137" t="s">
        <v>49002</v>
      </c>
      <c r="C7598" s="137" t="s">
        <v>49003</v>
      </c>
      <c r="D7598" s="137" t="s">
        <v>33342</v>
      </c>
      <c r="E7598" s="138" t="s">
        <v>49004</v>
      </c>
      <c r="F7598" s="136" t="s">
        <v>3883</v>
      </c>
      <c r="G7598" s="136" t="s">
        <v>33344</v>
      </c>
      <c r="H7598" s="136"/>
      <c r="I7598" s="137"/>
      <c r="J7598" s="137" t="s">
        <v>49005</v>
      </c>
      <c r="K7598" s="137" t="s">
        <v>49006</v>
      </c>
      <c r="L7598" s="137"/>
      <c r="M7598" s="153" t="s">
        <v>49007</v>
      </c>
      <c r="N7598" s="12"/>
      <c r="O7598" s="12"/>
      <c r="P7598" s="13">
        <f>IFERROR(__xludf.DUMMYFUNCTION("VALUE(SUBSTITUTE((INDEX(SPLIT(A7598,"",""),1)),""."","","",1))"),55.661399)</f>
        <v>55.661399</v>
      </c>
      <c r="Q7598" s="13">
        <f>IFERROR(__xludf.DUMMYFUNCTION("VALUE(SUBSTITUTE((INDEX(SPLIT(A7598,"",""),2)),""."","","",1))"),37.555436)</f>
        <v>37.555436</v>
      </c>
      <c r="R7598" s="14" t="b">
        <f t="shared" si="1"/>
        <v>0</v>
      </c>
      <c r="S7598" s="14" t="str">
        <f t="shared" si="2"/>
        <v>55.661399,37.555436</v>
      </c>
      <c r="T7598" s="12"/>
    </row>
    <row r="7599">
      <c r="A7599" s="139" t="s">
        <v>49008</v>
      </c>
      <c r="B7599" s="140" t="s">
        <v>49009</v>
      </c>
      <c r="C7599" s="140" t="s">
        <v>49010</v>
      </c>
      <c r="D7599" s="140" t="s">
        <v>33342</v>
      </c>
      <c r="E7599" s="141" t="s">
        <v>49011</v>
      </c>
      <c r="F7599" s="139" t="s">
        <v>3883</v>
      </c>
      <c r="G7599" s="139" t="s">
        <v>33344</v>
      </c>
      <c r="H7599" s="139"/>
      <c r="I7599" s="140"/>
      <c r="J7599" s="140" t="s">
        <v>49012</v>
      </c>
      <c r="K7599" s="140" t="s">
        <v>49013</v>
      </c>
      <c r="L7599" s="140"/>
      <c r="M7599" s="154" t="s">
        <v>49014</v>
      </c>
      <c r="N7599" s="12"/>
      <c r="O7599" s="12"/>
      <c r="P7599" s="13">
        <f>IFERROR(__xludf.DUMMYFUNCTION("VALUE(SUBSTITUTE((INDEX(SPLIT(A7599,"",""),1)),""."","","",1))"),55.639578)</f>
        <v>55.639578</v>
      </c>
      <c r="Q7599" s="13">
        <f>IFERROR(__xludf.DUMMYFUNCTION("VALUE(SUBSTITUTE((INDEX(SPLIT(A7599,"",""),2)),""."","","",1))"),37.525208)</f>
        <v>37.525208</v>
      </c>
      <c r="R7599" s="14" t="b">
        <f t="shared" si="1"/>
        <v>0</v>
      </c>
      <c r="S7599" s="14" t="str">
        <f t="shared" si="2"/>
        <v>55.639578,37.525208</v>
      </c>
      <c r="T7599" s="12"/>
    </row>
    <row r="7600">
      <c r="A7600" s="142" t="s">
        <v>10821</v>
      </c>
      <c r="B7600" s="143" t="s">
        <v>49015</v>
      </c>
      <c r="C7600" s="143" t="s">
        <v>49016</v>
      </c>
      <c r="D7600" s="143" t="s">
        <v>33342</v>
      </c>
      <c r="E7600" s="144" t="s">
        <v>49017</v>
      </c>
      <c r="F7600" s="142" t="s">
        <v>3883</v>
      </c>
      <c r="G7600" s="142" t="s">
        <v>33344</v>
      </c>
      <c r="H7600" s="142"/>
      <c r="I7600" s="143"/>
      <c r="J7600" s="143" t="s">
        <v>49018</v>
      </c>
      <c r="K7600" s="143" t="s">
        <v>49019</v>
      </c>
      <c r="L7600" s="145" t="s">
        <v>49020</v>
      </c>
      <c r="M7600" s="143"/>
      <c r="N7600" s="12"/>
      <c r="O7600" s="12"/>
      <c r="P7600" s="13">
        <f>IFERROR(__xludf.DUMMYFUNCTION("VALUE(SUBSTITUTE((INDEX(SPLIT(A7600,"",""),1)),""."","","",1))"),55.712634)</f>
        <v>55.712634</v>
      </c>
      <c r="Q7600" s="13">
        <f>IFERROR(__xludf.DUMMYFUNCTION("VALUE(SUBSTITUTE((INDEX(SPLIT(A7600,"",""),2)),""."","","",1))"),37.66185)</f>
        <v>37.66185</v>
      </c>
      <c r="R7600" s="14" t="b">
        <f t="shared" si="1"/>
        <v>0</v>
      </c>
      <c r="S7600" s="14" t="str">
        <f t="shared" si="2"/>
        <v>55.712634,37.66185</v>
      </c>
      <c r="T7600" s="12"/>
    </row>
    <row r="7601">
      <c r="A7601" s="139" t="s">
        <v>49021</v>
      </c>
      <c r="B7601" s="140" t="s">
        <v>49022</v>
      </c>
      <c r="C7601" s="140" t="s">
        <v>49023</v>
      </c>
      <c r="D7601" s="140" t="s">
        <v>33342</v>
      </c>
      <c r="E7601" s="141" t="s">
        <v>49024</v>
      </c>
      <c r="F7601" s="139" t="s">
        <v>3883</v>
      </c>
      <c r="G7601" s="139" t="s">
        <v>33344</v>
      </c>
      <c r="H7601" s="139"/>
      <c r="I7601" s="140"/>
      <c r="J7601" s="140" t="s">
        <v>49025</v>
      </c>
      <c r="K7601" s="140" t="s">
        <v>49026</v>
      </c>
      <c r="L7601" s="140"/>
      <c r="M7601" s="140"/>
      <c r="N7601" s="12"/>
      <c r="O7601" s="12"/>
      <c r="P7601" s="13">
        <f>IFERROR(__xludf.DUMMYFUNCTION("VALUE(SUBSTITUTE((INDEX(SPLIT(A7601,"",""),1)),""."","","",1))"),55.664116)</f>
        <v>55.664116</v>
      </c>
      <c r="Q7601" s="13">
        <f>IFERROR(__xludf.DUMMYFUNCTION("VALUE(SUBSTITUTE((INDEX(SPLIT(A7601,"",""),2)),""."","","",1))"),37.482277)</f>
        <v>37.482277</v>
      </c>
      <c r="R7601" s="14" t="b">
        <f t="shared" si="1"/>
        <v>0</v>
      </c>
      <c r="S7601" s="14" t="str">
        <f t="shared" si="2"/>
        <v>55.664116,37.482277</v>
      </c>
      <c r="T7601" s="12"/>
    </row>
    <row r="7602">
      <c r="A7602" s="136" t="s">
        <v>49027</v>
      </c>
      <c r="B7602" s="137" t="s">
        <v>49028</v>
      </c>
      <c r="C7602" s="137" t="s">
        <v>49029</v>
      </c>
      <c r="D7602" s="137" t="s">
        <v>33342</v>
      </c>
      <c r="E7602" s="138" t="s">
        <v>49030</v>
      </c>
      <c r="F7602" s="136" t="s">
        <v>3883</v>
      </c>
      <c r="G7602" s="136" t="s">
        <v>33344</v>
      </c>
      <c r="H7602" s="136"/>
      <c r="I7602" s="137"/>
      <c r="J7602" s="137" t="s">
        <v>49031</v>
      </c>
      <c r="K7602" s="137" t="s">
        <v>49032</v>
      </c>
      <c r="L7602" s="137"/>
      <c r="M7602" s="137"/>
      <c r="N7602" s="12"/>
      <c r="O7602" s="12"/>
      <c r="P7602" s="13">
        <f>IFERROR(__xludf.DUMMYFUNCTION("VALUE(SUBSTITUTE((INDEX(SPLIT(A7602,"",""),1)),""."","","",1))"),55.691998)</f>
        <v>55.691998</v>
      </c>
      <c r="Q7602" s="13">
        <f>IFERROR(__xludf.DUMMYFUNCTION("VALUE(SUBSTITUTE((INDEX(SPLIT(A7602,"",""),2)),""."","","",1))"),37.44144)</f>
        <v>37.44144</v>
      </c>
      <c r="R7602" s="14" t="b">
        <f t="shared" si="1"/>
        <v>0</v>
      </c>
      <c r="S7602" s="14" t="str">
        <f t="shared" si="2"/>
        <v>55.691998,37.44144</v>
      </c>
      <c r="T7602" s="12"/>
    </row>
    <row r="7603">
      <c r="A7603" s="139" t="s">
        <v>49033</v>
      </c>
      <c r="B7603" s="140" t="s">
        <v>49034</v>
      </c>
      <c r="C7603" s="140" t="s">
        <v>27730</v>
      </c>
      <c r="D7603" s="140" t="s">
        <v>33342</v>
      </c>
      <c r="E7603" s="141" t="s">
        <v>49035</v>
      </c>
      <c r="F7603" s="139" t="s">
        <v>3883</v>
      </c>
      <c r="G7603" s="139" t="s">
        <v>33344</v>
      </c>
      <c r="H7603" s="139"/>
      <c r="I7603" s="140"/>
      <c r="J7603" s="140" t="s">
        <v>49036</v>
      </c>
      <c r="K7603" s="140" t="s">
        <v>49037</v>
      </c>
      <c r="L7603" s="140"/>
      <c r="M7603" s="140"/>
      <c r="N7603" s="12"/>
      <c r="O7603" s="12"/>
      <c r="P7603" s="13">
        <f>IFERROR(__xludf.DUMMYFUNCTION("VALUE(SUBSTITUTE((INDEX(SPLIT(A7603,"",""),1)),""."","","",1))"),55.74075)</f>
        <v>55.74075</v>
      </c>
      <c r="Q7603" s="13">
        <f>IFERROR(__xludf.DUMMYFUNCTION("VALUE(SUBSTITUTE((INDEX(SPLIT(A7603,"",""),2)),""."","","",1))"),37.73739)</f>
        <v>37.73739</v>
      </c>
      <c r="R7603" s="14" t="b">
        <f t="shared" si="1"/>
        <v>0</v>
      </c>
      <c r="S7603" s="14" t="str">
        <f t="shared" si="2"/>
        <v>55.74075,37.73739</v>
      </c>
      <c r="T7603" s="12"/>
    </row>
    <row r="7604">
      <c r="A7604" s="136" t="s">
        <v>49038</v>
      </c>
      <c r="B7604" s="137" t="s">
        <v>49039</v>
      </c>
      <c r="C7604" s="137" t="s">
        <v>49040</v>
      </c>
      <c r="D7604" s="137" t="s">
        <v>33342</v>
      </c>
      <c r="E7604" s="138" t="s">
        <v>49041</v>
      </c>
      <c r="F7604" s="136" t="s">
        <v>3883</v>
      </c>
      <c r="G7604" s="136" t="s">
        <v>33344</v>
      </c>
      <c r="H7604" s="136"/>
      <c r="I7604" s="137"/>
      <c r="J7604" s="137" t="s">
        <v>49042</v>
      </c>
      <c r="K7604" s="137" t="s">
        <v>49043</v>
      </c>
      <c r="L7604" s="137"/>
      <c r="M7604" s="137"/>
      <c r="N7604" s="12"/>
      <c r="O7604" s="12"/>
      <c r="P7604" s="13">
        <f>IFERROR(__xludf.DUMMYFUNCTION("VALUE(SUBSTITUTE((INDEX(SPLIT(A7604,"",""),1)),""."","","",1))"),55.714698)</f>
        <v>55.714698</v>
      </c>
      <c r="Q7604" s="13">
        <f>IFERROR(__xludf.DUMMYFUNCTION("VALUE(SUBSTITUTE((INDEX(SPLIT(A7604,"",""),2)),""."","","",1))"),37.516485)</f>
        <v>37.516485</v>
      </c>
      <c r="R7604" s="14" t="b">
        <f t="shared" si="1"/>
        <v>0</v>
      </c>
      <c r="S7604" s="14" t="str">
        <f t="shared" si="2"/>
        <v>55.714698,37.516485</v>
      </c>
      <c r="T7604" s="12"/>
    </row>
    <row r="7605">
      <c r="A7605" s="139" t="s">
        <v>9282</v>
      </c>
      <c r="B7605" s="140" t="s">
        <v>49044</v>
      </c>
      <c r="C7605" s="140" t="s">
        <v>49045</v>
      </c>
      <c r="D7605" s="140" t="s">
        <v>33342</v>
      </c>
      <c r="E7605" s="141" t="s">
        <v>49046</v>
      </c>
      <c r="F7605" s="139" t="s">
        <v>3883</v>
      </c>
      <c r="G7605" s="139" t="s">
        <v>33344</v>
      </c>
      <c r="H7605" s="139"/>
      <c r="I7605" s="140"/>
      <c r="J7605" s="140" t="s">
        <v>49047</v>
      </c>
      <c r="K7605" s="140" t="s">
        <v>49048</v>
      </c>
      <c r="L7605" s="140"/>
      <c r="M7605" s="140"/>
      <c r="N7605" s="12"/>
      <c r="O7605" s="12"/>
      <c r="P7605" s="13">
        <f>IFERROR(__xludf.DUMMYFUNCTION("VALUE(SUBSTITUTE((INDEX(SPLIT(A7605,"",""),1)),""."","","",1))"),55.671331)</f>
        <v>55.671331</v>
      </c>
      <c r="Q7605" s="13">
        <f>IFERROR(__xludf.DUMMYFUNCTION("VALUE(SUBSTITUTE((INDEX(SPLIT(A7605,"",""),2)),""."","","",1))"),37.445814)</f>
        <v>37.445814</v>
      </c>
      <c r="R7605" s="14" t="b">
        <f t="shared" si="1"/>
        <v>0</v>
      </c>
      <c r="S7605" s="14" t="str">
        <f t="shared" si="2"/>
        <v>55.671331,37.445814</v>
      </c>
      <c r="T7605" s="12"/>
    </row>
    <row r="7606">
      <c r="A7606" s="142" t="s">
        <v>37524</v>
      </c>
      <c r="B7606" s="143" t="s">
        <v>49049</v>
      </c>
      <c r="C7606" s="143" t="s">
        <v>49050</v>
      </c>
      <c r="D7606" s="143" t="s">
        <v>33342</v>
      </c>
      <c r="E7606" s="144" t="s">
        <v>49051</v>
      </c>
      <c r="F7606" s="142" t="s">
        <v>3883</v>
      </c>
      <c r="G7606" s="142" t="s">
        <v>33344</v>
      </c>
      <c r="H7606" s="142"/>
      <c r="I7606" s="143"/>
      <c r="J7606" s="143" t="s">
        <v>49052</v>
      </c>
      <c r="K7606" s="143" t="s">
        <v>49053</v>
      </c>
      <c r="L7606" s="145" t="s">
        <v>49054</v>
      </c>
      <c r="M7606" s="143"/>
      <c r="N7606" s="12"/>
      <c r="O7606" s="12"/>
      <c r="P7606" s="13">
        <f>IFERROR(__xludf.DUMMYFUNCTION("VALUE(SUBSTITUTE((INDEX(SPLIT(A7606,"",""),1)),""."","","",1))"),55.680493)</f>
        <v>55.680493</v>
      </c>
      <c r="Q7606" s="13">
        <f>IFERROR(__xludf.DUMMYFUNCTION("VALUE(SUBSTITUTE((INDEX(SPLIT(A7606,"",""),2)),""."","","",1))"),37.572576)</f>
        <v>37.572576</v>
      </c>
      <c r="R7606" s="14" t="b">
        <f t="shared" si="1"/>
        <v>0</v>
      </c>
      <c r="S7606" s="14" t="str">
        <f t="shared" si="2"/>
        <v>55.680493,37.572576</v>
      </c>
      <c r="T7606" s="12"/>
    </row>
    <row r="7607">
      <c r="A7607" s="139" t="s">
        <v>49055</v>
      </c>
      <c r="B7607" s="140" t="s">
        <v>49056</v>
      </c>
      <c r="C7607" s="140" t="s">
        <v>49057</v>
      </c>
      <c r="D7607" s="140" t="s">
        <v>33342</v>
      </c>
      <c r="E7607" s="141" t="s">
        <v>49058</v>
      </c>
      <c r="F7607" s="139" t="s">
        <v>3883</v>
      </c>
      <c r="G7607" s="139" t="s">
        <v>33344</v>
      </c>
      <c r="H7607" s="139"/>
      <c r="I7607" s="140"/>
      <c r="J7607" s="140" t="s">
        <v>49059</v>
      </c>
      <c r="K7607" s="140" t="s">
        <v>49060</v>
      </c>
      <c r="L7607" s="140"/>
      <c r="M7607" s="154" t="s">
        <v>49061</v>
      </c>
      <c r="N7607" s="12"/>
      <c r="O7607" s="12"/>
      <c r="P7607" s="13">
        <f>IFERROR(__xludf.DUMMYFUNCTION("VALUE(SUBSTITUTE((INDEX(SPLIT(A7607,"",""),1)),""."","","",1))"),55.723719)</f>
        <v>55.723719</v>
      </c>
      <c r="Q7607" s="13">
        <f>IFERROR(__xludf.DUMMYFUNCTION("VALUE(SUBSTITUTE((INDEX(SPLIT(A7607,"",""),2)),""."","","",1))"),37.456127)</f>
        <v>37.456127</v>
      </c>
      <c r="R7607" s="14" t="b">
        <f t="shared" si="1"/>
        <v>0</v>
      </c>
      <c r="S7607" s="14" t="str">
        <f t="shared" si="2"/>
        <v>55.723719,37.456127</v>
      </c>
      <c r="T7607" s="12"/>
    </row>
    <row r="7608">
      <c r="A7608" s="136" t="s">
        <v>49062</v>
      </c>
      <c r="B7608" s="137" t="s">
        <v>49063</v>
      </c>
      <c r="C7608" s="137" t="s">
        <v>49064</v>
      </c>
      <c r="D7608" s="137" t="s">
        <v>33342</v>
      </c>
      <c r="E7608" s="138" t="s">
        <v>49065</v>
      </c>
      <c r="F7608" s="136" t="s">
        <v>3883</v>
      </c>
      <c r="G7608" s="136" t="s">
        <v>33344</v>
      </c>
      <c r="H7608" s="136"/>
      <c r="I7608" s="137"/>
      <c r="J7608" s="137" t="s">
        <v>49066</v>
      </c>
      <c r="K7608" s="137" t="s">
        <v>49067</v>
      </c>
      <c r="L7608" s="137"/>
      <c r="M7608" s="137"/>
      <c r="N7608" s="12"/>
      <c r="O7608" s="12"/>
      <c r="P7608" s="13">
        <f>IFERROR(__xludf.DUMMYFUNCTION("VALUE(SUBSTITUTE((INDEX(SPLIT(A7608,"",""),1)),""."","","",1))"),55.653304)</f>
        <v>55.653304</v>
      </c>
      <c r="Q7608" s="13">
        <f>IFERROR(__xludf.DUMMYFUNCTION("VALUE(SUBSTITUTE((INDEX(SPLIT(A7608,"",""),2)),""."","","",1))"),37.553963)</f>
        <v>37.553963</v>
      </c>
      <c r="R7608" s="14" t="b">
        <f t="shared" si="1"/>
        <v>0</v>
      </c>
      <c r="S7608" s="14" t="str">
        <f t="shared" si="2"/>
        <v>55.653304,37.553963</v>
      </c>
      <c r="T7608" s="12"/>
    </row>
    <row r="7609">
      <c r="A7609" s="139" t="s">
        <v>49068</v>
      </c>
      <c r="B7609" s="140" t="s">
        <v>49069</v>
      </c>
      <c r="C7609" s="140" t="s">
        <v>49070</v>
      </c>
      <c r="D7609" s="140" t="s">
        <v>33342</v>
      </c>
      <c r="E7609" s="141" t="s">
        <v>49071</v>
      </c>
      <c r="F7609" s="139" t="s">
        <v>3883</v>
      </c>
      <c r="G7609" s="139" t="s">
        <v>33344</v>
      </c>
      <c r="H7609" s="139"/>
      <c r="I7609" s="140"/>
      <c r="J7609" s="140" t="s">
        <v>49072</v>
      </c>
      <c r="K7609" s="140" t="s">
        <v>39624</v>
      </c>
      <c r="L7609" s="140"/>
      <c r="M7609" s="140"/>
      <c r="N7609" s="12"/>
      <c r="O7609" s="12"/>
      <c r="P7609" s="13">
        <f>IFERROR(__xludf.DUMMYFUNCTION("VALUE(SUBSTITUTE((INDEX(SPLIT(A7609,"",""),1)),""."","","",1))"),55.732327)</f>
        <v>55.732327</v>
      </c>
      <c r="Q7609" s="13">
        <f>IFERROR(__xludf.DUMMYFUNCTION("VALUE(SUBSTITUTE((INDEX(SPLIT(A7609,"",""),2)),""."","","",1))"),37.630517)</f>
        <v>37.630517</v>
      </c>
      <c r="R7609" s="14" t="b">
        <f t="shared" si="1"/>
        <v>0</v>
      </c>
      <c r="S7609" s="14" t="str">
        <f t="shared" si="2"/>
        <v>55.732327,37.630517</v>
      </c>
      <c r="T7609" s="12"/>
    </row>
    <row r="7610">
      <c r="A7610" s="204" t="s">
        <v>49073</v>
      </c>
      <c r="B7610" s="34" t="s">
        <v>49074</v>
      </c>
      <c r="C7610" s="34" t="s">
        <v>49075</v>
      </c>
      <c r="D7610" s="34" t="s">
        <v>49076</v>
      </c>
      <c r="E7610" s="34">
        <v>9.99999999E8</v>
      </c>
      <c r="F7610" s="139" t="s">
        <v>3883</v>
      </c>
      <c r="G7610" s="205">
        <v>45241.0</v>
      </c>
      <c r="H7610" s="34"/>
      <c r="I7610" s="34"/>
      <c r="J7610" s="34"/>
      <c r="K7610" s="34"/>
      <c r="L7610" s="34"/>
      <c r="M7610" s="34"/>
      <c r="N7610" s="12"/>
      <c r="O7610" s="12"/>
      <c r="P7610" s="13">
        <f>IFERROR(__xludf.DUMMYFUNCTION("VALUE(SUBSTITUTE((INDEX(SPLIT(A7610,"",""),1)),""."","","",1))"),60.069899)</f>
        <v>60.069899</v>
      </c>
      <c r="Q7610" s="13">
        <f>IFERROR(__xludf.DUMMYFUNCTION("VALUE(SUBSTITUTE((INDEX(SPLIT(A7610,"",""),2)),""."","","",1))"),30.395162)</f>
        <v>30.395162</v>
      </c>
      <c r="R7610" s="14" t="b">
        <f t="shared" si="1"/>
        <v>0</v>
      </c>
      <c r="S7610" s="14" t="str">
        <f t="shared" si="2"/>
        <v>60.069899,30.395162</v>
      </c>
      <c r="T7610" s="12"/>
    </row>
    <row r="7611">
      <c r="A7611" s="204" t="s">
        <v>11538</v>
      </c>
      <c r="B7611" s="34" t="s">
        <v>49074</v>
      </c>
      <c r="C7611" s="34" t="s">
        <v>49077</v>
      </c>
      <c r="D7611" s="34" t="s">
        <v>49076</v>
      </c>
      <c r="E7611" s="34">
        <v>9.99999999E8</v>
      </c>
      <c r="F7611" s="139" t="s">
        <v>3883</v>
      </c>
      <c r="G7611" s="205">
        <v>45242.0</v>
      </c>
      <c r="H7611" s="34"/>
      <c r="I7611" s="34"/>
      <c r="J7611" s="34"/>
      <c r="K7611" s="34"/>
      <c r="L7611" s="34"/>
      <c r="M7611" s="34"/>
      <c r="N7611" s="12"/>
      <c r="O7611" s="12"/>
      <c r="P7611" s="13">
        <f>IFERROR(__xludf.DUMMYFUNCTION("VALUE(SUBSTITUTE((INDEX(SPLIT(A7611,"",""),1)),""."","","",1))"),55.914665)</f>
        <v>55.914665</v>
      </c>
      <c r="Q7611" s="13">
        <f>IFERROR(__xludf.DUMMYFUNCTION("VALUE(SUBSTITUTE((INDEX(SPLIT(A7611,"",""),2)),""."","","",1))"),37.793777)</f>
        <v>37.793777</v>
      </c>
      <c r="R7611" s="14" t="b">
        <f t="shared" si="1"/>
        <v>0</v>
      </c>
      <c r="S7611" s="14" t="str">
        <f t="shared" si="2"/>
        <v>55.914665,37.793777</v>
      </c>
      <c r="T7611" s="12"/>
    </row>
    <row r="7612">
      <c r="A7612" s="204" t="s">
        <v>49078</v>
      </c>
      <c r="B7612" s="34" t="s">
        <v>49074</v>
      </c>
      <c r="C7612" s="34" t="s">
        <v>49079</v>
      </c>
      <c r="D7612" s="34" t="s">
        <v>49076</v>
      </c>
      <c r="E7612" s="34">
        <v>9.99999999E8</v>
      </c>
      <c r="F7612" s="139" t="s">
        <v>3883</v>
      </c>
      <c r="G7612" s="205">
        <v>45243.0</v>
      </c>
      <c r="H7612" s="34"/>
      <c r="I7612" s="34"/>
      <c r="J7612" s="34"/>
      <c r="K7612" s="34"/>
      <c r="L7612" s="34"/>
      <c r="M7612" s="34"/>
      <c r="N7612" s="12"/>
      <c r="O7612" s="12"/>
      <c r="P7612" s="13">
        <f>IFERROR(__xludf.DUMMYFUNCTION("VALUE(SUBSTITUTE((INDEX(SPLIT(A7612,"",""),1)),""."","","",1))"),57.837149)</f>
        <v>57.837149</v>
      </c>
      <c r="Q7612" s="13">
        <f>IFERROR(__xludf.DUMMYFUNCTION("VALUE(SUBSTITUTE((INDEX(SPLIT(A7612,"",""),2)),""."","","",1))"),28.319874)</f>
        <v>28.319874</v>
      </c>
      <c r="R7612" s="14" t="b">
        <f t="shared" si="1"/>
        <v>0</v>
      </c>
      <c r="S7612" s="14" t="str">
        <f t="shared" si="2"/>
        <v>57.837149,28.319874</v>
      </c>
      <c r="T7612" s="12"/>
    </row>
    <row r="7613">
      <c r="A7613" s="204" t="s">
        <v>49080</v>
      </c>
      <c r="B7613" s="34" t="s">
        <v>49074</v>
      </c>
      <c r="C7613" s="34" t="s">
        <v>49081</v>
      </c>
      <c r="D7613" s="34" t="s">
        <v>49076</v>
      </c>
      <c r="E7613" s="34">
        <v>9.99999999E8</v>
      </c>
      <c r="F7613" s="139" t="s">
        <v>3883</v>
      </c>
      <c r="G7613" s="205">
        <v>45244.0</v>
      </c>
      <c r="H7613" s="34"/>
      <c r="I7613" s="34"/>
      <c r="J7613" s="34"/>
      <c r="K7613" s="34"/>
      <c r="L7613" s="34"/>
      <c r="M7613" s="34"/>
      <c r="N7613" s="12"/>
      <c r="O7613" s="12"/>
      <c r="P7613" s="13">
        <f>IFERROR(__xludf.DUMMYFUNCTION("VALUE(SUBSTITUTE((INDEX(SPLIT(A7613,"",""),1)),""."","","",1))"),56.337137)</f>
        <v>56.337137</v>
      </c>
      <c r="Q7613" s="13">
        <f>IFERROR(__xludf.DUMMYFUNCTION("VALUE(SUBSTITUTE((INDEX(SPLIT(A7613,"",""),2)),""."","","",1))"),43.819469)</f>
        <v>43.819469</v>
      </c>
      <c r="R7613" s="14" t="b">
        <f t="shared" si="1"/>
        <v>0</v>
      </c>
      <c r="S7613" s="14" t="str">
        <f t="shared" si="2"/>
        <v>56.337137,43.819469</v>
      </c>
      <c r="T7613" s="12"/>
    </row>
    <row r="7614">
      <c r="A7614" s="204" t="s">
        <v>49082</v>
      </c>
      <c r="B7614" s="34" t="s">
        <v>49074</v>
      </c>
      <c r="C7614" s="34" t="s">
        <v>49083</v>
      </c>
      <c r="D7614" s="34" t="s">
        <v>49076</v>
      </c>
      <c r="E7614" s="34">
        <v>6.686095646E9</v>
      </c>
      <c r="F7614" s="139" t="s">
        <v>3883</v>
      </c>
      <c r="G7614" s="205">
        <v>45245.0</v>
      </c>
      <c r="H7614" s="34"/>
      <c r="I7614" s="34"/>
      <c r="J7614" s="34"/>
      <c r="K7614" s="34" t="s">
        <v>49084</v>
      </c>
      <c r="L7614" s="34"/>
      <c r="M7614" s="34"/>
      <c r="N7614" s="12"/>
      <c r="O7614" s="12"/>
      <c r="P7614" s="13">
        <f>IFERROR(__xludf.DUMMYFUNCTION("VALUE(SUBSTITUTE((INDEX(SPLIT(A7614,"",""),1)),""."","","",1))"),55.622629)</f>
        <v>55.622629</v>
      </c>
      <c r="Q7614" s="13">
        <f>IFERROR(__xludf.DUMMYFUNCTION("VALUE(SUBSTITUTE((INDEX(SPLIT(A7614,"",""),2)),""."","","",1))"),37.459334)</f>
        <v>37.459334</v>
      </c>
      <c r="R7614" s="14" t="b">
        <f t="shared" si="1"/>
        <v>0</v>
      </c>
      <c r="S7614" s="14" t="str">
        <f t="shared" si="2"/>
        <v>55.622629,37.459334</v>
      </c>
      <c r="T7614" s="12"/>
    </row>
    <row r="7615">
      <c r="A7615" s="204" t="s">
        <v>49085</v>
      </c>
      <c r="B7615" s="34" t="s">
        <v>49074</v>
      </c>
      <c r="C7615" s="34" t="s">
        <v>49086</v>
      </c>
      <c r="D7615" s="34" t="s">
        <v>49076</v>
      </c>
      <c r="E7615" s="34">
        <v>9.9999999E7</v>
      </c>
      <c r="F7615" s="139" t="s">
        <v>3883</v>
      </c>
      <c r="G7615" s="205">
        <v>45246.0</v>
      </c>
      <c r="H7615" s="34"/>
      <c r="I7615" s="34"/>
      <c r="J7615" s="34"/>
      <c r="K7615" s="34"/>
      <c r="L7615" s="34"/>
      <c r="M7615" s="34"/>
      <c r="N7615" s="12"/>
      <c r="O7615" s="12"/>
      <c r="P7615" s="13">
        <f>IFERROR(__xludf.DUMMYFUNCTION("VALUE(SUBSTITUTE((INDEX(SPLIT(A7615,"",""),1)),""."","","",1))"),57.639501)</f>
        <v>57.639501</v>
      </c>
      <c r="Q7615" s="13">
        <f>IFERROR(__xludf.DUMMYFUNCTION("VALUE(SUBSTITUTE((INDEX(SPLIT(A7615,"",""),2)),""."","","",1))"),39.787327)</f>
        <v>39.787327</v>
      </c>
      <c r="R7615" s="14" t="b">
        <f t="shared" si="1"/>
        <v>0</v>
      </c>
      <c r="S7615" s="14" t="str">
        <f t="shared" si="2"/>
        <v>57.639501, 39.787327</v>
      </c>
      <c r="T7615" s="12"/>
    </row>
    <row r="7616">
      <c r="A7616" s="204" t="s">
        <v>49087</v>
      </c>
      <c r="B7616" s="34" t="s">
        <v>49074</v>
      </c>
      <c r="C7616" s="34" t="s">
        <v>49088</v>
      </c>
      <c r="D7616" s="34" t="s">
        <v>49076</v>
      </c>
      <c r="E7616" s="34">
        <v>9.9999999E7</v>
      </c>
      <c r="F7616" s="139" t="s">
        <v>3883</v>
      </c>
      <c r="G7616" s="205">
        <v>45247.0</v>
      </c>
      <c r="H7616" s="34"/>
      <c r="I7616" s="34"/>
      <c r="J7616" s="34"/>
      <c r="K7616" s="34"/>
      <c r="L7616" s="34"/>
      <c r="M7616" s="34"/>
      <c r="N7616" s="12"/>
      <c r="O7616" s="12"/>
      <c r="P7616" s="13">
        <f>IFERROR(__xludf.DUMMYFUNCTION("VALUE(SUBSTITUTE((INDEX(SPLIT(A7616,"",""),1)),""."","","",1))"),57.618346)</f>
        <v>57.618346</v>
      </c>
      <c r="Q7616" s="13">
        <f>IFERROR(__xludf.DUMMYFUNCTION("VALUE(SUBSTITUTE((INDEX(SPLIT(A7616,"",""),2)),""."","","",1))"),39.841576)</f>
        <v>39.841576</v>
      </c>
      <c r="R7616" s="14" t="b">
        <f t="shared" si="1"/>
        <v>0</v>
      </c>
      <c r="S7616" s="14" t="str">
        <f t="shared" si="2"/>
        <v>57.618346,39.841576</v>
      </c>
      <c r="T7616" s="12"/>
    </row>
    <row r="7617">
      <c r="A7617" s="204" t="s">
        <v>49089</v>
      </c>
      <c r="B7617" s="34" t="s">
        <v>49074</v>
      </c>
      <c r="C7617" s="34" t="s">
        <v>49090</v>
      </c>
      <c r="D7617" s="34" t="s">
        <v>49076</v>
      </c>
      <c r="E7617" s="34">
        <v>9.9999999E7</v>
      </c>
      <c r="F7617" s="139" t="s">
        <v>3883</v>
      </c>
      <c r="G7617" s="205">
        <v>45248.0</v>
      </c>
      <c r="H7617" s="34"/>
      <c r="I7617" s="34"/>
      <c r="J7617" s="34"/>
      <c r="K7617" s="34"/>
      <c r="L7617" s="34"/>
      <c r="M7617" s="34"/>
      <c r="N7617" s="12"/>
      <c r="O7617" s="12"/>
      <c r="P7617" s="13">
        <f>IFERROR(__xludf.DUMMYFUNCTION("VALUE(SUBSTITUTE((INDEX(SPLIT(A7617,"",""),1)),""."","","",1))"),55.85194)</f>
        <v>55.85194</v>
      </c>
      <c r="Q7617" s="13">
        <f>IFERROR(__xludf.DUMMYFUNCTION("VALUE(SUBSTITUTE((INDEX(SPLIT(A7617,"",""),2)),""."","","",1))"),37.540587)</f>
        <v>37.540587</v>
      </c>
      <c r="R7617" s="14" t="b">
        <f t="shared" si="1"/>
        <v>0</v>
      </c>
      <c r="S7617" s="14" t="str">
        <f t="shared" si="2"/>
        <v>55.851940,37.540587</v>
      </c>
      <c r="T7617" s="12"/>
    </row>
    <row r="7618">
      <c r="A7618" s="204" t="s">
        <v>49091</v>
      </c>
      <c r="B7618" s="34" t="s">
        <v>49074</v>
      </c>
      <c r="C7618" s="34" t="s">
        <v>49092</v>
      </c>
      <c r="D7618" s="34" t="s">
        <v>49076</v>
      </c>
      <c r="E7618" s="34">
        <v>9.9999999E7</v>
      </c>
      <c r="F7618" s="139" t="s">
        <v>3883</v>
      </c>
      <c r="G7618" s="205">
        <v>45249.0</v>
      </c>
      <c r="H7618" s="34"/>
      <c r="I7618" s="34"/>
      <c r="J7618" s="34"/>
      <c r="K7618" s="34"/>
      <c r="L7618" s="34"/>
      <c r="M7618" s="34"/>
      <c r="N7618" s="12"/>
      <c r="O7618" s="12"/>
      <c r="P7618" s="13">
        <f>IFERROR(__xludf.DUMMYFUNCTION("VALUE(SUBSTITUTE((INDEX(SPLIT(A7618,"",""),1)),""."","","",1))"),51.759855)</f>
        <v>51.759855</v>
      </c>
      <c r="Q7618" s="13">
        <f>IFERROR(__xludf.DUMMYFUNCTION("VALUE(SUBSTITUTE((INDEX(SPLIT(A7618,"",""),2)),""."","","",1))"),36.138703)</f>
        <v>36.138703</v>
      </c>
      <c r="R7618" s="14" t="b">
        <f t="shared" si="1"/>
        <v>0</v>
      </c>
      <c r="S7618" s="14" t="str">
        <f t="shared" si="2"/>
        <v>51.759855,36.138703</v>
      </c>
      <c r="T7618" s="12"/>
    </row>
    <row r="7619">
      <c r="A7619" s="204" t="s">
        <v>49093</v>
      </c>
      <c r="B7619" s="34" t="s">
        <v>49074</v>
      </c>
      <c r="C7619" s="34" t="s">
        <v>49094</v>
      </c>
      <c r="D7619" s="34" t="s">
        <v>49076</v>
      </c>
      <c r="E7619" s="34">
        <v>9.9999999E7</v>
      </c>
      <c r="F7619" s="139" t="s">
        <v>3883</v>
      </c>
      <c r="G7619" s="205">
        <v>45250.0</v>
      </c>
      <c r="H7619" s="34"/>
      <c r="I7619" s="34"/>
      <c r="J7619" s="34"/>
      <c r="K7619" s="34"/>
      <c r="L7619" s="34"/>
      <c r="M7619" s="34"/>
      <c r="N7619" s="12"/>
      <c r="O7619" s="12"/>
      <c r="P7619" s="13">
        <f>IFERROR(__xludf.DUMMYFUNCTION("VALUE(SUBSTITUTE((INDEX(SPLIT(A7619,"",""),1)),""."","","",1))"),53.968871)</f>
        <v>53.968871</v>
      </c>
      <c r="Q7619" s="13">
        <f>IFERROR(__xludf.DUMMYFUNCTION("VALUE(SUBSTITUTE((INDEX(SPLIT(A7619,"",""),2)),""."","","",1))"),34.817371)</f>
        <v>34.817371</v>
      </c>
      <c r="R7619" s="14" t="b">
        <f t="shared" si="1"/>
        <v>0</v>
      </c>
      <c r="S7619" s="14" t="str">
        <f t="shared" si="2"/>
        <v>53.968871, 34.817371</v>
      </c>
      <c r="T7619" s="12"/>
    </row>
    <row r="7620">
      <c r="A7620" s="204" t="s">
        <v>49095</v>
      </c>
      <c r="B7620" s="34" t="s">
        <v>49074</v>
      </c>
      <c r="C7620" s="34" t="s">
        <v>49096</v>
      </c>
      <c r="D7620" s="34" t="s">
        <v>49076</v>
      </c>
      <c r="E7620" s="34">
        <v>9.9999999E7</v>
      </c>
      <c r="F7620" s="139" t="s">
        <v>3883</v>
      </c>
      <c r="G7620" s="205">
        <v>45251.0</v>
      </c>
      <c r="H7620" s="34"/>
      <c r="I7620" s="34"/>
      <c r="J7620" s="34"/>
      <c r="K7620" s="34"/>
      <c r="L7620" s="34"/>
      <c r="M7620" s="34"/>
      <c r="N7620" s="12"/>
      <c r="O7620" s="12"/>
      <c r="P7620" s="13">
        <f>IFERROR(__xludf.DUMMYFUNCTION("VALUE(SUBSTITUTE((INDEX(SPLIT(A7620,"",""),1)),""."","","",1))"),58.017859)</f>
        <v>58.017859</v>
      </c>
      <c r="Q7620" s="13">
        <f>IFERROR(__xludf.DUMMYFUNCTION("VALUE(SUBSTITUTE((INDEX(SPLIT(A7620,"",""),2)),""."","","",1))"),38.780244)</f>
        <v>38.780244</v>
      </c>
      <c r="R7620" s="14" t="b">
        <f t="shared" si="1"/>
        <v>0</v>
      </c>
      <c r="S7620" s="14" t="str">
        <f t="shared" si="2"/>
        <v>58.017859,38.780244</v>
      </c>
      <c r="T7620" s="12"/>
    </row>
    <row r="7621">
      <c r="A7621" s="204" t="s">
        <v>49097</v>
      </c>
      <c r="B7621" s="34" t="s">
        <v>49074</v>
      </c>
      <c r="C7621" s="34" t="s">
        <v>49098</v>
      </c>
      <c r="D7621" s="34" t="s">
        <v>49076</v>
      </c>
      <c r="E7621" s="34">
        <v>9.9999999E7</v>
      </c>
      <c r="F7621" s="139" t="s">
        <v>3883</v>
      </c>
      <c r="G7621" s="205">
        <v>45252.0</v>
      </c>
      <c r="H7621" s="34"/>
      <c r="I7621" s="34"/>
      <c r="J7621" s="34"/>
      <c r="K7621" s="34"/>
      <c r="L7621" s="34"/>
      <c r="M7621" s="34"/>
      <c r="N7621" s="12"/>
      <c r="O7621" s="12"/>
      <c r="P7621" s="13">
        <f>IFERROR(__xludf.DUMMYFUNCTION("VALUE(SUBSTITUTE((INDEX(SPLIT(A7621,"",""),1)),""."","","",1))"),59.0)</f>
        <v>59</v>
      </c>
      <c r="Q7621" s="13">
        <f>IFERROR(__xludf.DUMMYFUNCTION("VALUE(SUBSTITUTE((INDEX(SPLIT(A7621,"",""),2)),""."","","",1))"),59.0)</f>
        <v>59</v>
      </c>
      <c r="R7621" s="14" t="b">
        <f t="shared" si="1"/>
        <v>0</v>
      </c>
      <c r="S7621" s="14" t="str">
        <f t="shared" si="2"/>
        <v>59, 59</v>
      </c>
      <c r="T7621" s="12"/>
    </row>
    <row r="7622">
      <c r="A7622" s="204" t="s">
        <v>49099</v>
      </c>
      <c r="B7622" s="34" t="s">
        <v>49074</v>
      </c>
      <c r="C7622" s="206" t="s">
        <v>49100</v>
      </c>
      <c r="D7622" s="207" t="s">
        <v>49101</v>
      </c>
      <c r="E7622" s="34">
        <v>9.9999999E7</v>
      </c>
      <c r="F7622" s="139" t="s">
        <v>3883</v>
      </c>
      <c r="G7622" s="205">
        <v>45253.0</v>
      </c>
      <c r="H7622" s="34"/>
      <c r="I7622" s="34"/>
      <c r="J7622" s="34"/>
      <c r="K7622" s="34"/>
      <c r="L7622" s="34"/>
      <c r="M7622" s="34"/>
      <c r="N7622" s="12"/>
      <c r="O7622" s="12"/>
      <c r="P7622" s="13">
        <f>IFERROR(__xludf.DUMMYFUNCTION("VALUE(SUBSTITUTE((INDEX(SPLIT(A7622,"",""),1)),""."","","",1))"),59.0)</f>
        <v>59</v>
      </c>
      <c r="Q7622" s="13">
        <f>IFERROR(__xludf.DUMMYFUNCTION("VALUE(SUBSTITUTE((INDEX(SPLIT(A7622,"",""),2)),""."","","",1))"),60.0)</f>
        <v>60</v>
      </c>
      <c r="R7622" s="14" t="b">
        <f t="shared" si="1"/>
        <v>0</v>
      </c>
      <c r="S7622" s="14" t="str">
        <f t="shared" si="2"/>
        <v>59, 60</v>
      </c>
      <c r="T7622" s="12"/>
    </row>
    <row r="7623">
      <c r="A7623" s="204" t="s">
        <v>49102</v>
      </c>
      <c r="B7623" s="34" t="s">
        <v>49074</v>
      </c>
      <c r="C7623" s="206" t="s">
        <v>49103</v>
      </c>
      <c r="D7623" s="207" t="s">
        <v>49101</v>
      </c>
      <c r="E7623" s="34">
        <v>9.9999999E7</v>
      </c>
      <c r="F7623" s="139" t="s">
        <v>3883</v>
      </c>
      <c r="G7623" s="205">
        <v>45254.0</v>
      </c>
      <c r="H7623" s="34"/>
      <c r="I7623" s="34"/>
      <c r="J7623" s="34"/>
      <c r="K7623" s="34"/>
      <c r="L7623" s="34"/>
      <c r="M7623" s="34"/>
      <c r="N7623" s="12"/>
      <c r="O7623" s="12"/>
      <c r="P7623" s="13">
        <f>IFERROR(__xludf.DUMMYFUNCTION("VALUE(SUBSTITUTE((INDEX(SPLIT(A7623,"",""),1)),""."","","",1))"),59.0)</f>
        <v>59</v>
      </c>
      <c r="Q7623" s="13">
        <f>IFERROR(__xludf.DUMMYFUNCTION("VALUE(SUBSTITUTE((INDEX(SPLIT(A7623,"",""),2)),""."","","",1))"),61.0)</f>
        <v>61</v>
      </c>
      <c r="R7623" s="14" t="b">
        <f t="shared" si="1"/>
        <v>0</v>
      </c>
      <c r="S7623" s="14" t="str">
        <f t="shared" si="2"/>
        <v>59, 61</v>
      </c>
      <c r="T7623" s="12"/>
    </row>
    <row r="7624">
      <c r="A7624" s="204" t="s">
        <v>49104</v>
      </c>
      <c r="B7624" s="34" t="s">
        <v>49074</v>
      </c>
      <c r="C7624" s="206" t="s">
        <v>49105</v>
      </c>
      <c r="D7624" s="207" t="s">
        <v>49101</v>
      </c>
      <c r="E7624" s="34">
        <v>9.9999999E7</v>
      </c>
      <c r="F7624" s="139" t="s">
        <v>3883</v>
      </c>
      <c r="G7624" s="205">
        <v>45255.0</v>
      </c>
      <c r="H7624" s="34"/>
      <c r="I7624" s="34"/>
      <c r="J7624" s="34"/>
      <c r="K7624" s="34"/>
      <c r="L7624" s="34"/>
      <c r="M7624" s="34"/>
      <c r="N7624" s="12"/>
      <c r="O7624" s="12"/>
      <c r="P7624" s="13">
        <f>IFERROR(__xludf.DUMMYFUNCTION("VALUE(SUBSTITUTE((INDEX(SPLIT(A7624,"",""),1)),""."","","",1))"),59.0)</f>
        <v>59</v>
      </c>
      <c r="Q7624" s="13">
        <f>IFERROR(__xludf.DUMMYFUNCTION("VALUE(SUBSTITUTE((INDEX(SPLIT(A7624,"",""),2)),""."","","",1))"),62.0)</f>
        <v>62</v>
      </c>
      <c r="R7624" s="14" t="b">
        <f t="shared" si="1"/>
        <v>0</v>
      </c>
      <c r="S7624" s="14" t="str">
        <f t="shared" si="2"/>
        <v>59, 62</v>
      </c>
      <c r="T7624" s="12"/>
    </row>
    <row r="7625">
      <c r="A7625" s="204" t="s">
        <v>49106</v>
      </c>
      <c r="B7625" s="34" t="s">
        <v>49074</v>
      </c>
      <c r="C7625" s="206" t="s">
        <v>49107</v>
      </c>
      <c r="D7625" s="207" t="s">
        <v>49101</v>
      </c>
      <c r="E7625" s="34">
        <v>9.9999999E7</v>
      </c>
      <c r="F7625" s="139" t="s">
        <v>3883</v>
      </c>
      <c r="G7625" s="205">
        <v>45256.0</v>
      </c>
      <c r="H7625" s="34"/>
      <c r="I7625" s="34"/>
      <c r="J7625" s="34"/>
      <c r="K7625" s="34"/>
      <c r="L7625" s="34"/>
      <c r="M7625" s="34"/>
      <c r="N7625" s="12"/>
      <c r="O7625" s="12"/>
      <c r="P7625" s="13">
        <f>IFERROR(__xludf.DUMMYFUNCTION("VALUE(SUBSTITUTE((INDEX(SPLIT(A7625,"",""),1)),""."","","",1))"),59.0)</f>
        <v>59</v>
      </c>
      <c r="Q7625" s="13">
        <f>IFERROR(__xludf.DUMMYFUNCTION("VALUE(SUBSTITUTE((INDEX(SPLIT(A7625,"",""),2)),""."","","",1))"),63.0)</f>
        <v>63</v>
      </c>
      <c r="R7625" s="14" t="b">
        <f t="shared" si="1"/>
        <v>0</v>
      </c>
      <c r="S7625" s="14" t="str">
        <f t="shared" si="2"/>
        <v>59, 63</v>
      </c>
      <c r="T7625" s="12"/>
    </row>
    <row r="7626">
      <c r="A7626" s="204" t="s">
        <v>49108</v>
      </c>
      <c r="B7626" s="34" t="s">
        <v>49074</v>
      </c>
      <c r="C7626" s="206" t="s">
        <v>49109</v>
      </c>
      <c r="D7626" s="207" t="s">
        <v>49101</v>
      </c>
      <c r="E7626" s="34">
        <v>9.9999999E7</v>
      </c>
      <c r="F7626" s="139" t="s">
        <v>3883</v>
      </c>
      <c r="G7626" s="205">
        <v>45257.0</v>
      </c>
      <c r="H7626" s="34"/>
      <c r="I7626" s="34"/>
      <c r="J7626" s="34"/>
      <c r="K7626" s="34"/>
      <c r="L7626" s="34"/>
      <c r="M7626" s="34"/>
      <c r="N7626" s="12"/>
      <c r="O7626" s="12"/>
      <c r="P7626" s="13">
        <f>IFERROR(__xludf.DUMMYFUNCTION("VALUE(SUBSTITUTE((INDEX(SPLIT(A7626,"",""),1)),""."","","",1))"),59.0)</f>
        <v>59</v>
      </c>
      <c r="Q7626" s="13">
        <f>IFERROR(__xludf.DUMMYFUNCTION("VALUE(SUBSTITUTE((INDEX(SPLIT(A7626,"",""),2)),""."","","",1))"),64.0)</f>
        <v>64</v>
      </c>
      <c r="R7626" s="14" t="b">
        <f t="shared" si="1"/>
        <v>0</v>
      </c>
      <c r="S7626" s="14" t="str">
        <f t="shared" si="2"/>
        <v>59, 64</v>
      </c>
      <c r="T7626" s="12"/>
    </row>
    <row r="7627">
      <c r="A7627" s="204" t="s">
        <v>49110</v>
      </c>
      <c r="B7627" s="34" t="s">
        <v>49074</v>
      </c>
      <c r="C7627" s="206" t="s">
        <v>49111</v>
      </c>
      <c r="D7627" s="207" t="s">
        <v>49101</v>
      </c>
      <c r="E7627" s="34">
        <v>9.9999999E7</v>
      </c>
      <c r="F7627" s="139" t="s">
        <v>3883</v>
      </c>
      <c r="G7627" s="205">
        <v>45258.0</v>
      </c>
      <c r="H7627" s="34"/>
      <c r="I7627" s="34"/>
      <c r="J7627" s="34"/>
      <c r="K7627" s="34"/>
      <c r="L7627" s="34"/>
      <c r="M7627" s="34"/>
      <c r="N7627" s="12"/>
      <c r="O7627" s="12"/>
      <c r="P7627" s="13">
        <f>IFERROR(__xludf.DUMMYFUNCTION("VALUE(SUBSTITUTE((INDEX(SPLIT(A7627,"",""),1)),""."","","",1))"),59.0)</f>
        <v>59</v>
      </c>
      <c r="Q7627" s="13">
        <f>IFERROR(__xludf.DUMMYFUNCTION("VALUE(SUBSTITUTE((INDEX(SPLIT(A7627,"",""),2)),""."","","",1))"),65.0)</f>
        <v>65</v>
      </c>
      <c r="R7627" s="14" t="b">
        <f t="shared" si="1"/>
        <v>0</v>
      </c>
      <c r="S7627" s="14" t="str">
        <f t="shared" si="2"/>
        <v>59, 65</v>
      </c>
      <c r="T7627" s="12"/>
    </row>
    <row r="7628">
      <c r="A7628" s="204" t="s">
        <v>49112</v>
      </c>
      <c r="B7628" s="34" t="s">
        <v>49074</v>
      </c>
      <c r="C7628" s="206" t="s">
        <v>49113</v>
      </c>
      <c r="D7628" s="207" t="s">
        <v>49101</v>
      </c>
      <c r="E7628" s="34">
        <v>9.9999999E7</v>
      </c>
      <c r="F7628" s="139" t="s">
        <v>3883</v>
      </c>
      <c r="G7628" s="205">
        <v>45259.0</v>
      </c>
      <c r="H7628" s="34"/>
      <c r="I7628" s="34"/>
      <c r="J7628" s="34"/>
      <c r="K7628" s="34"/>
      <c r="L7628" s="34"/>
      <c r="M7628" s="34"/>
      <c r="N7628" s="12"/>
      <c r="O7628" s="12"/>
      <c r="P7628" s="13">
        <f>IFERROR(__xludf.DUMMYFUNCTION("VALUE(SUBSTITUTE((INDEX(SPLIT(A7628,"",""),1)),""."","","",1))"),59.0)</f>
        <v>59</v>
      </c>
      <c r="Q7628" s="13">
        <f>IFERROR(__xludf.DUMMYFUNCTION("VALUE(SUBSTITUTE((INDEX(SPLIT(A7628,"",""),2)),""."","","",1))"),66.0)</f>
        <v>66</v>
      </c>
      <c r="R7628" s="14" t="b">
        <f t="shared" si="1"/>
        <v>0</v>
      </c>
      <c r="S7628" s="14" t="str">
        <f t="shared" si="2"/>
        <v>59, 66</v>
      </c>
      <c r="T7628" s="12"/>
    </row>
    <row r="7629">
      <c r="A7629" s="204" t="s">
        <v>49114</v>
      </c>
      <c r="B7629" s="34" t="s">
        <v>49074</v>
      </c>
      <c r="C7629" s="206" t="s">
        <v>49115</v>
      </c>
      <c r="D7629" s="207" t="s">
        <v>49101</v>
      </c>
      <c r="E7629" s="34">
        <v>9.9999999E7</v>
      </c>
      <c r="F7629" s="139" t="s">
        <v>3883</v>
      </c>
      <c r="G7629" s="205">
        <v>45260.0</v>
      </c>
      <c r="H7629" s="34"/>
      <c r="I7629" s="34"/>
      <c r="J7629" s="34"/>
      <c r="K7629" s="34"/>
      <c r="L7629" s="34"/>
      <c r="M7629" s="34"/>
      <c r="N7629" s="12"/>
      <c r="O7629" s="12"/>
      <c r="P7629" s="13">
        <f>IFERROR(__xludf.DUMMYFUNCTION("VALUE(SUBSTITUTE((INDEX(SPLIT(A7629,"",""),1)),""."","","",1))"),59.0)</f>
        <v>59</v>
      </c>
      <c r="Q7629" s="13">
        <f>IFERROR(__xludf.DUMMYFUNCTION("VALUE(SUBSTITUTE((INDEX(SPLIT(A7629,"",""),2)),""."","","",1))"),67.0)</f>
        <v>67</v>
      </c>
      <c r="R7629" s="14" t="b">
        <f t="shared" si="1"/>
        <v>0</v>
      </c>
      <c r="S7629" s="14" t="str">
        <f t="shared" si="2"/>
        <v>59, 67</v>
      </c>
      <c r="T7629" s="12"/>
    </row>
    <row r="7630">
      <c r="A7630" s="204" t="s">
        <v>49116</v>
      </c>
      <c r="B7630" s="34" t="s">
        <v>49074</v>
      </c>
      <c r="C7630" s="206" t="s">
        <v>49117</v>
      </c>
      <c r="D7630" s="207" t="s">
        <v>49101</v>
      </c>
      <c r="E7630" s="34">
        <v>9.9999999E7</v>
      </c>
      <c r="F7630" s="139" t="s">
        <v>3883</v>
      </c>
      <c r="G7630" s="205">
        <v>45261.0</v>
      </c>
      <c r="H7630" s="34"/>
      <c r="I7630" s="34"/>
      <c r="J7630" s="34"/>
      <c r="K7630" s="34"/>
      <c r="L7630" s="34"/>
      <c r="M7630" s="34"/>
      <c r="N7630" s="12"/>
      <c r="O7630" s="12"/>
      <c r="P7630" s="13">
        <f>IFERROR(__xludf.DUMMYFUNCTION("VALUE(SUBSTITUTE((INDEX(SPLIT(A7630,"",""),1)),""."","","",1))"),59.0)</f>
        <v>59</v>
      </c>
      <c r="Q7630" s="13">
        <f>IFERROR(__xludf.DUMMYFUNCTION("VALUE(SUBSTITUTE((INDEX(SPLIT(A7630,"",""),2)),""."","","",1))"),68.0)</f>
        <v>68</v>
      </c>
      <c r="R7630" s="14" t="b">
        <f t="shared" si="1"/>
        <v>0</v>
      </c>
      <c r="S7630" s="14" t="str">
        <f t="shared" si="2"/>
        <v>59, 68</v>
      </c>
      <c r="T7630" s="12"/>
    </row>
    <row r="7631">
      <c r="A7631" s="204" t="s">
        <v>49118</v>
      </c>
      <c r="B7631" s="34" t="s">
        <v>49074</v>
      </c>
      <c r="C7631" s="206" t="s">
        <v>49119</v>
      </c>
      <c r="D7631" s="207" t="s">
        <v>49101</v>
      </c>
      <c r="E7631" s="34">
        <v>9.9999999E7</v>
      </c>
      <c r="F7631" s="139" t="s">
        <v>3883</v>
      </c>
      <c r="G7631" s="205">
        <v>45262.0</v>
      </c>
      <c r="H7631" s="34"/>
      <c r="I7631" s="34"/>
      <c r="J7631" s="34"/>
      <c r="K7631" s="34"/>
      <c r="L7631" s="34"/>
      <c r="M7631" s="34"/>
      <c r="N7631" s="12"/>
      <c r="O7631" s="12"/>
      <c r="P7631" s="13">
        <f>IFERROR(__xludf.DUMMYFUNCTION("VALUE(SUBSTITUTE((INDEX(SPLIT(A7631,"",""),1)),""."","","",1))"),59.0)</f>
        <v>59</v>
      </c>
      <c r="Q7631" s="13">
        <f>IFERROR(__xludf.DUMMYFUNCTION("VALUE(SUBSTITUTE((INDEX(SPLIT(A7631,"",""),2)),""."","","",1))"),69.0)</f>
        <v>69</v>
      </c>
      <c r="R7631" s="14" t="b">
        <f t="shared" si="1"/>
        <v>0</v>
      </c>
      <c r="S7631" s="14" t="str">
        <f t="shared" si="2"/>
        <v>59, 69</v>
      </c>
      <c r="T7631" s="12"/>
    </row>
    <row r="7632">
      <c r="A7632" s="204" t="s">
        <v>49120</v>
      </c>
      <c r="B7632" s="34" t="s">
        <v>49074</v>
      </c>
      <c r="C7632" s="206" t="s">
        <v>49121</v>
      </c>
      <c r="D7632" s="207" t="s">
        <v>49101</v>
      </c>
      <c r="E7632" s="34">
        <v>9.9999999E7</v>
      </c>
      <c r="F7632" s="139" t="s">
        <v>3883</v>
      </c>
      <c r="G7632" s="205">
        <v>45263.0</v>
      </c>
      <c r="H7632" s="34"/>
      <c r="I7632" s="34"/>
      <c r="J7632" s="34"/>
      <c r="K7632" s="34"/>
      <c r="L7632" s="34"/>
      <c r="M7632" s="34"/>
      <c r="N7632" s="12"/>
      <c r="O7632" s="12"/>
      <c r="P7632" s="13">
        <f>IFERROR(__xludf.DUMMYFUNCTION("VALUE(SUBSTITUTE((INDEX(SPLIT(A7632,"",""),1)),""."","","",1))"),59.0)</f>
        <v>59</v>
      </c>
      <c r="Q7632" s="13">
        <f>IFERROR(__xludf.DUMMYFUNCTION("VALUE(SUBSTITUTE((INDEX(SPLIT(A7632,"",""),2)),""."","","",1))"),70.0)</f>
        <v>70</v>
      </c>
      <c r="R7632" s="14" t="b">
        <f t="shared" si="1"/>
        <v>0</v>
      </c>
      <c r="S7632" s="14" t="str">
        <f t="shared" si="2"/>
        <v>59, 70</v>
      </c>
      <c r="T7632" s="12"/>
    </row>
    <row r="7633">
      <c r="A7633" s="204" t="s">
        <v>49122</v>
      </c>
      <c r="B7633" s="34" t="s">
        <v>49074</v>
      </c>
      <c r="C7633" s="206" t="s">
        <v>49123</v>
      </c>
      <c r="D7633" s="207" t="s">
        <v>49101</v>
      </c>
      <c r="E7633" s="34">
        <v>9.9999999E7</v>
      </c>
      <c r="F7633" s="139" t="s">
        <v>3883</v>
      </c>
      <c r="G7633" s="205">
        <v>45264.0</v>
      </c>
      <c r="H7633" s="34"/>
      <c r="I7633" s="34"/>
      <c r="J7633" s="34"/>
      <c r="K7633" s="34"/>
      <c r="L7633" s="34"/>
      <c r="M7633" s="34"/>
      <c r="N7633" s="12"/>
      <c r="O7633" s="12"/>
      <c r="P7633" s="13">
        <f>IFERROR(__xludf.DUMMYFUNCTION("VALUE(SUBSTITUTE((INDEX(SPLIT(A7633,"",""),1)),""."","","",1))"),59.0)</f>
        <v>59</v>
      </c>
      <c r="Q7633" s="13">
        <f>IFERROR(__xludf.DUMMYFUNCTION("VALUE(SUBSTITUTE((INDEX(SPLIT(A7633,"",""),2)),""."","","",1))"),71.0)</f>
        <v>71</v>
      </c>
      <c r="R7633" s="14" t="b">
        <f t="shared" si="1"/>
        <v>0</v>
      </c>
      <c r="S7633" s="14" t="str">
        <f t="shared" si="2"/>
        <v>59, 71</v>
      </c>
      <c r="T7633" s="12"/>
    </row>
    <row r="7634">
      <c r="A7634" s="204" t="s">
        <v>49124</v>
      </c>
      <c r="B7634" s="34" t="s">
        <v>49074</v>
      </c>
      <c r="C7634" s="206" t="s">
        <v>49125</v>
      </c>
      <c r="D7634" s="207" t="s">
        <v>49101</v>
      </c>
      <c r="E7634" s="34">
        <v>9.9999999E7</v>
      </c>
      <c r="F7634" s="139" t="s">
        <v>3883</v>
      </c>
      <c r="G7634" s="205">
        <v>45265.0</v>
      </c>
      <c r="H7634" s="34"/>
      <c r="I7634" s="34"/>
      <c r="J7634" s="34"/>
      <c r="K7634" s="34"/>
      <c r="L7634" s="34"/>
      <c r="M7634" s="34"/>
      <c r="N7634" s="12"/>
      <c r="O7634" s="12"/>
      <c r="P7634" s="13">
        <f>IFERROR(__xludf.DUMMYFUNCTION("VALUE(SUBSTITUTE((INDEX(SPLIT(A7634,"",""),1)),""."","","",1))"),59.0)</f>
        <v>59</v>
      </c>
      <c r="Q7634" s="13">
        <f>IFERROR(__xludf.DUMMYFUNCTION("VALUE(SUBSTITUTE((INDEX(SPLIT(A7634,"",""),2)),""."","","",1))"),72.0)</f>
        <v>72</v>
      </c>
      <c r="R7634" s="14" t="b">
        <f t="shared" si="1"/>
        <v>0</v>
      </c>
      <c r="S7634" s="14" t="str">
        <f t="shared" si="2"/>
        <v>59, 72</v>
      </c>
      <c r="T7634" s="12"/>
    </row>
    <row r="7635">
      <c r="A7635" s="204" t="s">
        <v>49126</v>
      </c>
      <c r="B7635" s="34" t="s">
        <v>49074</v>
      </c>
      <c r="C7635" s="206" t="s">
        <v>49127</v>
      </c>
      <c r="D7635" s="207" t="s">
        <v>49101</v>
      </c>
      <c r="E7635" s="34">
        <v>9.9999999E7</v>
      </c>
      <c r="F7635" s="139" t="s">
        <v>3883</v>
      </c>
      <c r="G7635" s="205">
        <v>45266.0</v>
      </c>
      <c r="H7635" s="34"/>
      <c r="I7635" s="34"/>
      <c r="J7635" s="34"/>
      <c r="K7635" s="34"/>
      <c r="L7635" s="34"/>
      <c r="M7635" s="34"/>
      <c r="N7635" s="12"/>
      <c r="O7635" s="12"/>
      <c r="P7635" s="13">
        <f>IFERROR(__xludf.DUMMYFUNCTION("VALUE(SUBSTITUTE((INDEX(SPLIT(A7635,"",""),1)),""."","","",1))"),59.0)</f>
        <v>59</v>
      </c>
      <c r="Q7635" s="13">
        <f>IFERROR(__xludf.DUMMYFUNCTION("VALUE(SUBSTITUTE((INDEX(SPLIT(A7635,"",""),2)),""."","","",1))"),73.0)</f>
        <v>73</v>
      </c>
      <c r="R7635" s="14" t="b">
        <f t="shared" si="1"/>
        <v>0</v>
      </c>
      <c r="S7635" s="14" t="str">
        <f t="shared" si="2"/>
        <v>59, 73</v>
      </c>
      <c r="T7635" s="12"/>
    </row>
    <row r="7636">
      <c r="A7636" s="204" t="s">
        <v>49128</v>
      </c>
      <c r="B7636" s="34" t="s">
        <v>49074</v>
      </c>
      <c r="C7636" s="206" t="s">
        <v>49129</v>
      </c>
      <c r="D7636" s="207" t="s">
        <v>49101</v>
      </c>
      <c r="E7636" s="34">
        <v>9.9999999E7</v>
      </c>
      <c r="F7636" s="139" t="s">
        <v>3883</v>
      </c>
      <c r="G7636" s="205">
        <v>45267.0</v>
      </c>
      <c r="H7636" s="34"/>
      <c r="I7636" s="34"/>
      <c r="J7636" s="34"/>
      <c r="K7636" s="34"/>
      <c r="L7636" s="34"/>
      <c r="M7636" s="34"/>
      <c r="N7636" s="12"/>
      <c r="O7636" s="12"/>
      <c r="P7636" s="13">
        <f>IFERROR(__xludf.DUMMYFUNCTION("VALUE(SUBSTITUTE((INDEX(SPLIT(A7636,"",""),1)),""."","","",1))"),59.0)</f>
        <v>59</v>
      </c>
      <c r="Q7636" s="13">
        <f>IFERROR(__xludf.DUMMYFUNCTION("VALUE(SUBSTITUTE((INDEX(SPLIT(A7636,"",""),2)),""."","","",1))"),74.0)</f>
        <v>74</v>
      </c>
      <c r="R7636" s="14" t="b">
        <f t="shared" si="1"/>
        <v>0</v>
      </c>
      <c r="S7636" s="14" t="str">
        <f t="shared" si="2"/>
        <v>59, 74</v>
      </c>
      <c r="T7636" s="12"/>
    </row>
    <row r="7637">
      <c r="A7637" s="204" t="s">
        <v>49130</v>
      </c>
      <c r="B7637" s="34" t="s">
        <v>49074</v>
      </c>
      <c r="C7637" s="206" t="s">
        <v>49131</v>
      </c>
      <c r="D7637" s="207" t="s">
        <v>49101</v>
      </c>
      <c r="E7637" s="34">
        <v>9.9999999E7</v>
      </c>
      <c r="F7637" s="139" t="s">
        <v>3883</v>
      </c>
      <c r="G7637" s="205">
        <v>45268.0</v>
      </c>
      <c r="H7637" s="34"/>
      <c r="I7637" s="34"/>
      <c r="J7637" s="34"/>
      <c r="K7637" s="34"/>
      <c r="L7637" s="34"/>
      <c r="M7637" s="34"/>
      <c r="N7637" s="12"/>
      <c r="O7637" s="12"/>
      <c r="P7637" s="13">
        <f>IFERROR(__xludf.DUMMYFUNCTION("VALUE(SUBSTITUTE((INDEX(SPLIT(A7637,"",""),1)),""."","","",1))"),59.0)</f>
        <v>59</v>
      </c>
      <c r="Q7637" s="13">
        <f>IFERROR(__xludf.DUMMYFUNCTION("VALUE(SUBSTITUTE((INDEX(SPLIT(A7637,"",""),2)),""."","","",1))"),75.0)</f>
        <v>75</v>
      </c>
      <c r="R7637" s="14" t="b">
        <f t="shared" si="1"/>
        <v>0</v>
      </c>
      <c r="S7637" s="14" t="str">
        <f t="shared" si="2"/>
        <v>59, 75</v>
      </c>
      <c r="T7637" s="12"/>
    </row>
    <row r="7638">
      <c r="A7638" s="204" t="s">
        <v>49132</v>
      </c>
      <c r="B7638" s="34" t="s">
        <v>49074</v>
      </c>
      <c r="C7638" s="206" t="s">
        <v>49133</v>
      </c>
      <c r="D7638" s="207" t="s">
        <v>49101</v>
      </c>
      <c r="E7638" s="34">
        <v>9.9999999E7</v>
      </c>
      <c r="F7638" s="139" t="s">
        <v>3883</v>
      </c>
      <c r="G7638" s="205">
        <v>45269.0</v>
      </c>
      <c r="H7638" s="34"/>
      <c r="I7638" s="34"/>
      <c r="J7638" s="34"/>
      <c r="K7638" s="34"/>
      <c r="L7638" s="34"/>
      <c r="M7638" s="34"/>
      <c r="N7638" s="12"/>
      <c r="O7638" s="12"/>
      <c r="P7638" s="13">
        <f>IFERROR(__xludf.DUMMYFUNCTION("VALUE(SUBSTITUTE((INDEX(SPLIT(A7638,"",""),1)),""."","","",1))"),59.0)</f>
        <v>59</v>
      </c>
      <c r="Q7638" s="13">
        <f>IFERROR(__xludf.DUMMYFUNCTION("VALUE(SUBSTITUTE((INDEX(SPLIT(A7638,"",""),2)),""."","","",1))"),76.0)</f>
        <v>76</v>
      </c>
      <c r="R7638" s="14" t="b">
        <f t="shared" si="1"/>
        <v>0</v>
      </c>
      <c r="S7638" s="14" t="str">
        <f t="shared" si="2"/>
        <v>59, 76</v>
      </c>
      <c r="T7638" s="12"/>
    </row>
    <row r="7639">
      <c r="A7639" s="204" t="s">
        <v>49134</v>
      </c>
      <c r="B7639" s="34" t="s">
        <v>49074</v>
      </c>
      <c r="C7639" s="206" t="s">
        <v>49135</v>
      </c>
      <c r="D7639" s="207" t="s">
        <v>49101</v>
      </c>
      <c r="E7639" s="34">
        <v>9.9999999E7</v>
      </c>
      <c r="F7639" s="139" t="s">
        <v>3883</v>
      </c>
      <c r="G7639" s="205">
        <v>45270.0</v>
      </c>
      <c r="H7639" s="34"/>
      <c r="I7639" s="34"/>
      <c r="J7639" s="34"/>
      <c r="K7639" s="34"/>
      <c r="L7639" s="34"/>
      <c r="M7639" s="34"/>
      <c r="N7639" s="12"/>
      <c r="O7639" s="12"/>
      <c r="P7639" s="13">
        <f>IFERROR(__xludf.DUMMYFUNCTION("VALUE(SUBSTITUTE((INDEX(SPLIT(A7639,"",""),1)),""."","","",1))"),59.0)</f>
        <v>59</v>
      </c>
      <c r="Q7639" s="13">
        <f>IFERROR(__xludf.DUMMYFUNCTION("VALUE(SUBSTITUTE((INDEX(SPLIT(A7639,"",""),2)),""."","","",1))"),77.0)</f>
        <v>77</v>
      </c>
      <c r="R7639" s="14" t="b">
        <f t="shared" si="1"/>
        <v>0</v>
      </c>
      <c r="S7639" s="14" t="str">
        <f t="shared" si="2"/>
        <v>59, 77</v>
      </c>
      <c r="T7639" s="12"/>
    </row>
    <row r="7640">
      <c r="A7640" s="204" t="s">
        <v>49136</v>
      </c>
      <c r="B7640" s="34" t="s">
        <v>49074</v>
      </c>
      <c r="C7640" s="206" t="s">
        <v>49137</v>
      </c>
      <c r="D7640" s="207" t="s">
        <v>49101</v>
      </c>
      <c r="E7640" s="34">
        <v>9.9999999E7</v>
      </c>
      <c r="F7640" s="139" t="s">
        <v>3883</v>
      </c>
      <c r="G7640" s="205">
        <v>45271.0</v>
      </c>
      <c r="H7640" s="34"/>
      <c r="I7640" s="34"/>
      <c r="J7640" s="34"/>
      <c r="K7640" s="34"/>
      <c r="L7640" s="34"/>
      <c r="M7640" s="34"/>
      <c r="N7640" s="12"/>
      <c r="O7640" s="12"/>
      <c r="P7640" s="13">
        <f>IFERROR(__xludf.DUMMYFUNCTION("VALUE(SUBSTITUTE((INDEX(SPLIT(A7640,"",""),1)),""."","","",1))"),44.773364)</f>
        <v>44.773364</v>
      </c>
      <c r="Q7640" s="13">
        <f>IFERROR(__xludf.DUMMYFUNCTION("VALUE(SUBSTITUTE((INDEX(SPLIT(A7640,"",""),2)),""."","","",1))"),33.863567)</f>
        <v>33.863567</v>
      </c>
      <c r="R7640" s="14" t="b">
        <f t="shared" si="1"/>
        <v>0</v>
      </c>
      <c r="S7640" s="14" t="str">
        <f t="shared" si="2"/>
        <v>44.773364,33.863567</v>
      </c>
      <c r="T7640" s="12"/>
    </row>
    <row r="7641">
      <c r="A7641" s="204" t="s">
        <v>49138</v>
      </c>
      <c r="B7641" s="34" t="s">
        <v>49074</v>
      </c>
      <c r="C7641" s="206" t="s">
        <v>49139</v>
      </c>
      <c r="D7641" s="207" t="s">
        <v>49101</v>
      </c>
      <c r="E7641" s="34">
        <v>9.9999999E7</v>
      </c>
      <c r="F7641" s="139" t="s">
        <v>3883</v>
      </c>
      <c r="G7641" s="205">
        <v>45272.0</v>
      </c>
      <c r="H7641" s="34"/>
      <c r="I7641" s="34"/>
      <c r="J7641" s="34"/>
      <c r="K7641" s="34"/>
      <c r="L7641" s="34"/>
      <c r="M7641" s="34"/>
      <c r="N7641" s="12"/>
      <c r="O7641" s="12"/>
      <c r="P7641" s="13">
        <f>IFERROR(__xludf.DUMMYFUNCTION("VALUE(SUBSTITUTE((INDEX(SPLIT(A7641,"",""),1)),""."","","",1))"),44.840166)</f>
        <v>44.840166</v>
      </c>
      <c r="Q7641" s="13">
        <f>IFERROR(__xludf.DUMMYFUNCTION("VALUE(SUBSTITUTE((INDEX(SPLIT(A7641,"",""),2)),""."","","",1))"),37.674337)</f>
        <v>37.674337</v>
      </c>
      <c r="R7641" s="14" t="b">
        <f t="shared" si="1"/>
        <v>0</v>
      </c>
      <c r="S7641" s="14" t="str">
        <f t="shared" si="2"/>
        <v>44.840166,37.674337</v>
      </c>
      <c r="T7641" s="12"/>
    </row>
    <row r="7642">
      <c r="A7642" s="204" t="s">
        <v>49140</v>
      </c>
      <c r="B7642" s="34" t="s">
        <v>49074</v>
      </c>
      <c r="C7642" s="206" t="s">
        <v>49141</v>
      </c>
      <c r="D7642" s="207" t="s">
        <v>49101</v>
      </c>
      <c r="E7642" s="34">
        <v>9.9999999E7</v>
      </c>
      <c r="F7642" s="139" t="s">
        <v>3883</v>
      </c>
      <c r="G7642" s="205">
        <v>45273.0</v>
      </c>
      <c r="H7642" s="34"/>
      <c r="I7642" s="34"/>
      <c r="J7642" s="34"/>
      <c r="K7642" s="34"/>
      <c r="L7642" s="34"/>
      <c r="M7642" s="34"/>
      <c r="N7642" s="12"/>
      <c r="O7642" s="12"/>
      <c r="P7642" s="13">
        <f>IFERROR(__xludf.DUMMYFUNCTION("VALUE(SUBSTITUTE((INDEX(SPLIT(A7642,"",""),1)),""."","","",1))"),52.04595)</f>
        <v>52.04595</v>
      </c>
      <c r="Q7642" s="13">
        <f>IFERROR(__xludf.DUMMYFUNCTION("VALUE(SUBSTITUTE((INDEX(SPLIT(A7642,"",""),2)),""."","","",1))"),47.387398)</f>
        <v>47.387398</v>
      </c>
      <c r="R7642" s="14" t="b">
        <f t="shared" si="1"/>
        <v>0</v>
      </c>
      <c r="S7642" s="14" t="str">
        <f t="shared" si="2"/>
        <v>52.045950,47.387398</v>
      </c>
      <c r="T7642" s="12"/>
    </row>
    <row r="7643">
      <c r="A7643" s="204" t="s">
        <v>49142</v>
      </c>
      <c r="B7643" s="34" t="s">
        <v>49074</v>
      </c>
      <c r="C7643" s="206" t="s">
        <v>49143</v>
      </c>
      <c r="D7643" s="207" t="s">
        <v>49101</v>
      </c>
      <c r="E7643" s="34">
        <v>9.9999999E7</v>
      </c>
      <c r="F7643" s="139" t="s">
        <v>3883</v>
      </c>
      <c r="G7643" s="205">
        <v>45274.0</v>
      </c>
      <c r="H7643" s="34"/>
      <c r="I7643" s="34"/>
      <c r="J7643" s="34"/>
      <c r="K7643" s="34"/>
      <c r="L7643" s="34"/>
      <c r="M7643" s="34"/>
      <c r="N7643" s="12"/>
      <c r="O7643" s="12"/>
      <c r="P7643" s="13">
        <f>IFERROR(__xludf.DUMMYFUNCTION("VALUE(SUBSTITUTE((INDEX(SPLIT(A7643,"",""),1)),""."","","",1))"),52.077926)</f>
        <v>52.077926</v>
      </c>
      <c r="Q7643" s="13">
        <f>IFERROR(__xludf.DUMMYFUNCTION("VALUE(SUBSTITUTE((INDEX(SPLIT(A7643,"",""),2)),""."","","",1))"),47.48429)</f>
        <v>47.48429</v>
      </c>
      <c r="R7643" s="14" t="b">
        <f t="shared" si="1"/>
        <v>0</v>
      </c>
      <c r="S7643" s="14" t="str">
        <f t="shared" si="2"/>
        <v>52.077926,47.484290</v>
      </c>
      <c r="T7643" s="12"/>
    </row>
    <row r="7644">
      <c r="A7644" s="20" t="s">
        <v>49144</v>
      </c>
      <c r="B7644" s="16" t="s">
        <v>49145</v>
      </c>
      <c r="C7644" s="16" t="s">
        <v>49146</v>
      </c>
      <c r="D7644" s="16" t="s">
        <v>16</v>
      </c>
      <c r="E7644" s="21" t="s">
        <v>49147</v>
      </c>
      <c r="F7644" s="22" t="s">
        <v>5334</v>
      </c>
      <c r="G7644" s="16">
        <v>23.61</v>
      </c>
      <c r="H7644" s="16"/>
      <c r="I7644" s="22"/>
      <c r="J7644" s="22" t="s">
        <v>49148</v>
      </c>
      <c r="K7644" s="22" t="s">
        <v>49149</v>
      </c>
      <c r="L7644" s="23" t="s">
        <v>49150</v>
      </c>
      <c r="M7644" s="22"/>
      <c r="N7644" s="12"/>
      <c r="O7644" s="12"/>
      <c r="P7644" s="13">
        <f>IFERROR(__xludf.DUMMYFUNCTION("VALUE(SUBSTITUTE((INDEX(SPLIT(A7644,"",""),1)),""."","","",1))"),69.001733)</f>
        <v>69.001733</v>
      </c>
      <c r="Q7644" s="13">
        <f>IFERROR(__xludf.DUMMYFUNCTION("VALUE(SUBSTITUTE((INDEX(SPLIT(A7644,"",""),2)),""."","","",1))"),33.06562)</f>
        <v>33.06562</v>
      </c>
      <c r="R7644" s="14" t="b">
        <f t="shared" si="1"/>
        <v>0</v>
      </c>
      <c r="S7644" s="14" t="str">
        <f t="shared" si="2"/>
        <v>69.001733,33.06562</v>
      </c>
      <c r="T7644" s="12"/>
    </row>
    <row r="7645">
      <c r="A7645" s="7" t="s">
        <v>49151</v>
      </c>
      <c r="B7645" s="8" t="s">
        <v>49152</v>
      </c>
      <c r="C7645" s="8" t="s">
        <v>49153</v>
      </c>
      <c r="D7645" s="8" t="s">
        <v>16</v>
      </c>
      <c r="E7645" s="9" t="s">
        <v>49154</v>
      </c>
      <c r="F7645" s="10" t="s">
        <v>5334</v>
      </c>
      <c r="G7645" s="8">
        <v>23.61</v>
      </c>
      <c r="H7645" s="8"/>
      <c r="I7645" s="10"/>
      <c r="J7645" s="10" t="s">
        <v>49155</v>
      </c>
      <c r="K7645" s="10" t="s">
        <v>49156</v>
      </c>
      <c r="L7645" s="11" t="s">
        <v>49157</v>
      </c>
      <c r="M7645" s="10"/>
      <c r="N7645" s="12"/>
      <c r="O7645" s="12"/>
      <c r="P7645" s="13">
        <f>IFERROR(__xludf.DUMMYFUNCTION("VALUE(SUBSTITUTE((INDEX(SPLIT(A7645,"",""),1)),""."","","",1))"),68.904206)</f>
        <v>68.904206</v>
      </c>
      <c r="Q7645" s="13">
        <f>IFERROR(__xludf.DUMMYFUNCTION("VALUE(SUBSTITUTE((INDEX(SPLIT(A7645,"",""),2)),""."","","",1))"),33.072322)</f>
        <v>33.072322</v>
      </c>
      <c r="R7645" s="14" t="b">
        <f t="shared" si="1"/>
        <v>0</v>
      </c>
      <c r="S7645" s="14" t="str">
        <f t="shared" si="2"/>
        <v>68.904206,33.072322</v>
      </c>
      <c r="T7645" s="12"/>
    </row>
    <row r="7646">
      <c r="A7646" s="15" t="s">
        <v>49151</v>
      </c>
      <c r="B7646" s="16" t="s">
        <v>49158</v>
      </c>
      <c r="C7646" s="16" t="s">
        <v>49159</v>
      </c>
      <c r="D7646" s="16" t="s">
        <v>16</v>
      </c>
      <c r="E7646" s="17" t="s">
        <v>49160</v>
      </c>
      <c r="F7646" s="16" t="s">
        <v>5334</v>
      </c>
      <c r="G7646" s="16">
        <v>23.61</v>
      </c>
      <c r="H7646" s="16"/>
      <c r="I7646" s="16"/>
      <c r="J7646" s="16" t="s">
        <v>49161</v>
      </c>
      <c r="K7646" s="16" t="s">
        <v>49162</v>
      </c>
      <c r="L7646" s="16"/>
      <c r="M7646" s="25" t="s">
        <v>38017</v>
      </c>
      <c r="N7646" s="12"/>
      <c r="O7646" s="12"/>
      <c r="P7646" s="13">
        <f>IFERROR(__xludf.DUMMYFUNCTION("VALUE(SUBSTITUTE((INDEX(SPLIT(A7646,"",""),1)),""."","","",1))"),68.904206)</f>
        <v>68.904206</v>
      </c>
      <c r="Q7646" s="13">
        <f>IFERROR(__xludf.DUMMYFUNCTION("VALUE(SUBSTITUTE((INDEX(SPLIT(A7646,"",""),2)),""."","","",1))"),33.072322)</f>
        <v>33.072322</v>
      </c>
      <c r="R7646" s="14" t="b">
        <f t="shared" si="1"/>
        <v>0</v>
      </c>
      <c r="S7646" s="14" t="str">
        <f t="shared" si="2"/>
        <v>68.904206,33.072322</v>
      </c>
      <c r="T7646" s="12"/>
    </row>
    <row r="7647">
      <c r="A7647" s="7" t="s">
        <v>49163</v>
      </c>
      <c r="B7647" s="8" t="s">
        <v>30835</v>
      </c>
      <c r="C7647" s="8" t="s">
        <v>30836</v>
      </c>
      <c r="D7647" s="8" t="s">
        <v>16</v>
      </c>
      <c r="E7647" s="9" t="s">
        <v>49164</v>
      </c>
      <c r="F7647" s="10" t="s">
        <v>5334</v>
      </c>
      <c r="G7647" s="8">
        <v>23.61</v>
      </c>
      <c r="H7647" s="8"/>
      <c r="I7647" s="10"/>
      <c r="J7647" s="10" t="s">
        <v>49165</v>
      </c>
      <c r="K7647" s="10" t="s">
        <v>49166</v>
      </c>
      <c r="L7647" s="11" t="s">
        <v>49167</v>
      </c>
      <c r="M7647" s="11" t="s">
        <v>49168</v>
      </c>
      <c r="N7647" s="12"/>
      <c r="O7647" s="12"/>
      <c r="P7647" s="13">
        <f>IFERROR(__xludf.DUMMYFUNCTION("VALUE(SUBSTITUTE((INDEX(SPLIT(A7647,"",""),1)),""."","","",1))"),68.962202)</f>
        <v>68.962202</v>
      </c>
      <c r="Q7647" s="13">
        <f>IFERROR(__xludf.DUMMYFUNCTION("VALUE(SUBSTITUTE((INDEX(SPLIT(A7647,"",""),2)),""."","","",1))"),33.102119)</f>
        <v>33.102119</v>
      </c>
      <c r="R7647" s="14" t="b">
        <f t="shared" si="1"/>
        <v>0</v>
      </c>
      <c r="S7647" s="14" t="str">
        <f t="shared" si="2"/>
        <v>68.962202,33.102119</v>
      </c>
      <c r="T7647" s="12"/>
    </row>
    <row r="7648">
      <c r="A7648" s="15" t="s">
        <v>49169</v>
      </c>
      <c r="B7648" s="16" t="s">
        <v>49170</v>
      </c>
      <c r="C7648" s="16" t="s">
        <v>49171</v>
      </c>
      <c r="D7648" s="16" t="s">
        <v>16</v>
      </c>
      <c r="E7648" s="17" t="s">
        <v>49172</v>
      </c>
      <c r="F7648" s="16" t="s">
        <v>5334</v>
      </c>
      <c r="G7648" s="16">
        <v>23.61</v>
      </c>
      <c r="H7648" s="16"/>
      <c r="I7648" s="16"/>
      <c r="J7648" s="16" t="s">
        <v>49173</v>
      </c>
      <c r="K7648" s="16" t="s">
        <v>49174</v>
      </c>
      <c r="L7648" s="16"/>
      <c r="M7648" s="25" t="s">
        <v>49175</v>
      </c>
      <c r="N7648" s="12"/>
      <c r="O7648" s="12"/>
      <c r="P7648" s="13">
        <f>IFERROR(__xludf.DUMMYFUNCTION("VALUE(SUBSTITUTE((INDEX(SPLIT(A7648,"",""),1)),""."","","",1))"),68.960213)</f>
        <v>68.960213</v>
      </c>
      <c r="Q7648" s="13">
        <f>IFERROR(__xludf.DUMMYFUNCTION("VALUE(SUBSTITUTE((INDEX(SPLIT(A7648,"",""),2)),""."","","",1))"),33.102577)</f>
        <v>33.102577</v>
      </c>
      <c r="R7648" s="14" t="b">
        <f t="shared" si="1"/>
        <v>0</v>
      </c>
      <c r="S7648" s="14" t="str">
        <f t="shared" si="2"/>
        <v>68.960213,33.102577</v>
      </c>
      <c r="T7648" s="12"/>
    </row>
    <row r="7649">
      <c r="A7649" s="18" t="s">
        <v>49176</v>
      </c>
      <c r="B7649" s="8" t="s">
        <v>49177</v>
      </c>
      <c r="C7649" s="8" t="s">
        <v>49178</v>
      </c>
      <c r="D7649" s="8" t="s">
        <v>16</v>
      </c>
      <c r="E7649" s="19" t="s">
        <v>49179</v>
      </c>
      <c r="F7649" s="8" t="s">
        <v>5334</v>
      </c>
      <c r="G7649" s="8">
        <v>23.61</v>
      </c>
      <c r="H7649" s="8"/>
      <c r="I7649" s="8"/>
      <c r="J7649" s="8" t="s">
        <v>49180</v>
      </c>
      <c r="K7649" s="8" t="s">
        <v>49181</v>
      </c>
      <c r="L7649" s="8"/>
      <c r="M7649" s="24" t="s">
        <v>49182</v>
      </c>
      <c r="N7649" s="12"/>
      <c r="O7649" s="12"/>
      <c r="P7649" s="13">
        <f>IFERROR(__xludf.DUMMYFUNCTION("VALUE(SUBSTITUTE((INDEX(SPLIT(A7649,"",""),1)),""."","","",1))"),68.926352)</f>
        <v>68.926352</v>
      </c>
      <c r="Q7649" s="13">
        <f>IFERROR(__xludf.DUMMYFUNCTION("VALUE(SUBSTITUTE((INDEX(SPLIT(A7649,"",""),2)),""."","","",1))"),33.118073)</f>
        <v>33.118073</v>
      </c>
      <c r="R7649" s="14" t="b">
        <f t="shared" si="1"/>
        <v>0</v>
      </c>
      <c r="S7649" s="14" t="str">
        <f t="shared" si="2"/>
        <v>68.926352,33.118073</v>
      </c>
      <c r="T7649" s="12"/>
    </row>
    <row r="7650">
      <c r="A7650" s="208" t="s">
        <v>49183</v>
      </c>
      <c r="B7650" s="8" t="s">
        <v>15800</v>
      </c>
      <c r="C7650" s="8" t="s">
        <v>15801</v>
      </c>
      <c r="D7650" s="8" t="s">
        <v>16</v>
      </c>
      <c r="E7650" s="9" t="s">
        <v>49184</v>
      </c>
      <c r="F7650" s="10" t="s">
        <v>21049</v>
      </c>
      <c r="G7650" s="8">
        <v>23.61</v>
      </c>
      <c r="H7650" s="8"/>
      <c r="I7650" s="10"/>
      <c r="J7650" s="10" t="s">
        <v>49185</v>
      </c>
      <c r="K7650" s="10" t="s">
        <v>49186</v>
      </c>
      <c r="L7650" s="11" t="s">
        <v>49187</v>
      </c>
      <c r="M7650" s="10"/>
      <c r="N7650" s="12"/>
      <c r="O7650" s="12"/>
      <c r="P7650" s="13">
        <f>IFERROR(__xludf.DUMMYFUNCTION("VALUE(SUBSTITUTE((INDEX(SPLIT(A7650,"",""),1)),""."","","",1))"),52.969071)</f>
        <v>52.969071</v>
      </c>
      <c r="Q7650" s="13">
        <f>IFERROR(__xludf.DUMMYFUNCTION("VALUE(SUBSTITUTE((INDEX(SPLIT(A7650,"",""),2)),""."","","",1))"),67.635799)</f>
        <v>67.635799</v>
      </c>
      <c r="R7650" s="14" t="b">
        <f t="shared" si="1"/>
        <v>0</v>
      </c>
      <c r="S7650" s="14" t="str">
        <f t="shared" si="2"/>
        <v>52.969071,67.635799</v>
      </c>
      <c r="T7650" s="12"/>
    </row>
    <row r="7651">
      <c r="A7651" s="20" t="s">
        <v>31176</v>
      </c>
      <c r="B7651" s="16" t="s">
        <v>49188</v>
      </c>
      <c r="C7651" s="16" t="s">
        <v>49189</v>
      </c>
      <c r="D7651" s="16" t="s">
        <v>16</v>
      </c>
      <c r="E7651" s="21" t="s">
        <v>49190</v>
      </c>
      <c r="F7651" s="22" t="s">
        <v>3760</v>
      </c>
      <c r="G7651" s="16">
        <v>23.61</v>
      </c>
      <c r="H7651" s="16"/>
      <c r="I7651" s="22"/>
      <c r="J7651" s="22" t="s">
        <v>49191</v>
      </c>
      <c r="K7651" s="22" t="s">
        <v>49192</v>
      </c>
      <c r="L7651" s="23" t="s">
        <v>49193</v>
      </c>
      <c r="M7651" s="22"/>
      <c r="N7651" s="12"/>
      <c r="O7651" s="12"/>
      <c r="P7651" s="13">
        <f>IFERROR(__xludf.DUMMYFUNCTION("VALUE(SUBSTITUTE((INDEX(SPLIT(A7651,"",""),1)),""."","","",1))"),61.641075)</f>
        <v>61.641075</v>
      </c>
      <c r="Q7651" s="13">
        <f>IFERROR(__xludf.DUMMYFUNCTION("VALUE(SUBSTITUTE((INDEX(SPLIT(A7651,"",""),2)),""."","","",1))"),147.879162)</f>
        <v>147.879162</v>
      </c>
      <c r="R7651" s="14" t="b">
        <f t="shared" si="1"/>
        <v>0</v>
      </c>
      <c r="S7651" s="14" t="str">
        <f t="shared" si="2"/>
        <v>61.641075,147.879162</v>
      </c>
      <c r="T7651" s="12"/>
    </row>
    <row r="7652">
      <c r="A7652" s="7" t="s">
        <v>31176</v>
      </c>
      <c r="B7652" s="8" t="s">
        <v>2623</v>
      </c>
      <c r="C7652" s="8" t="s">
        <v>2624</v>
      </c>
      <c r="D7652" s="8" t="s">
        <v>16</v>
      </c>
      <c r="E7652" s="9" t="s">
        <v>49194</v>
      </c>
      <c r="F7652" s="10" t="s">
        <v>3760</v>
      </c>
      <c r="G7652" s="8">
        <v>23.61</v>
      </c>
      <c r="H7652" s="8"/>
      <c r="I7652" s="10"/>
      <c r="J7652" s="10" t="s">
        <v>49195</v>
      </c>
      <c r="K7652" s="10" t="s">
        <v>49196</v>
      </c>
      <c r="L7652" s="11" t="s">
        <v>49197</v>
      </c>
      <c r="M7652" s="10"/>
      <c r="N7652" s="12"/>
      <c r="O7652" s="12"/>
      <c r="P7652" s="13">
        <f>IFERROR(__xludf.DUMMYFUNCTION("VALUE(SUBSTITUTE((INDEX(SPLIT(A7652,"",""),1)),""."","","",1))"),61.641075)</f>
        <v>61.641075</v>
      </c>
      <c r="Q7652" s="13">
        <f>IFERROR(__xludf.DUMMYFUNCTION("VALUE(SUBSTITUTE((INDEX(SPLIT(A7652,"",""),2)),""."","","",1))"),147.879162)</f>
        <v>147.879162</v>
      </c>
      <c r="R7652" s="14" t="b">
        <f t="shared" si="1"/>
        <v>0</v>
      </c>
      <c r="S7652" s="14" t="str">
        <f t="shared" si="2"/>
        <v>61.641075,147.879162</v>
      </c>
      <c r="T7652" s="12"/>
    </row>
    <row r="7653">
      <c r="A7653" s="20" t="s">
        <v>49198</v>
      </c>
      <c r="B7653" s="16" t="s">
        <v>49199</v>
      </c>
      <c r="C7653" s="16" t="s">
        <v>49200</v>
      </c>
      <c r="D7653" s="16" t="s">
        <v>16</v>
      </c>
      <c r="E7653" s="21" t="s">
        <v>49201</v>
      </c>
      <c r="F7653" s="22" t="s">
        <v>3169</v>
      </c>
      <c r="G7653" s="16">
        <v>23.61</v>
      </c>
      <c r="H7653" s="16"/>
      <c r="I7653" s="22"/>
      <c r="J7653" s="22" t="s">
        <v>49202</v>
      </c>
      <c r="K7653" s="22" t="s">
        <v>49203</v>
      </c>
      <c r="L7653" s="23" t="s">
        <v>49204</v>
      </c>
      <c r="M7653" s="22"/>
      <c r="N7653" s="12"/>
      <c r="O7653" s="12"/>
      <c r="P7653" s="13">
        <f>IFERROR(__xludf.DUMMYFUNCTION("VALUE(SUBSTITUTE((INDEX(SPLIT(A7653,"",""),1)),""."","","",1))"),69.345853)</f>
        <v>69.345853</v>
      </c>
      <c r="Q7653" s="13">
        <f>IFERROR(__xludf.DUMMYFUNCTION("VALUE(SUBSTITUTE((INDEX(SPLIT(A7653,"",""),2)),""."","","",1))"),88.203044)</f>
        <v>88.203044</v>
      </c>
      <c r="R7653" s="14" t="b">
        <f t="shared" si="1"/>
        <v>0</v>
      </c>
      <c r="S7653" s="14" t="str">
        <f t="shared" si="2"/>
        <v>69.345853,88.203044</v>
      </c>
      <c r="T7653" s="12"/>
    </row>
    <row r="7654">
      <c r="A7654" s="7" t="s">
        <v>49205</v>
      </c>
      <c r="B7654" s="8" t="s">
        <v>217</v>
      </c>
      <c r="C7654" s="8" t="s">
        <v>218</v>
      </c>
      <c r="D7654" s="8" t="s">
        <v>16</v>
      </c>
      <c r="E7654" s="9" t="s">
        <v>49206</v>
      </c>
      <c r="F7654" s="10" t="s">
        <v>3169</v>
      </c>
      <c r="G7654" s="8">
        <v>23.61</v>
      </c>
      <c r="H7654" s="8"/>
      <c r="I7654" s="10"/>
      <c r="J7654" s="10" t="s">
        <v>49207</v>
      </c>
      <c r="K7654" s="10" t="s">
        <v>49208</v>
      </c>
      <c r="L7654" s="11" t="s">
        <v>49209</v>
      </c>
      <c r="M7654" s="10"/>
      <c r="N7654" s="12"/>
      <c r="O7654" s="12"/>
      <c r="P7654" s="13">
        <f>IFERROR(__xludf.DUMMYFUNCTION("VALUE(SUBSTITUTE((INDEX(SPLIT(A7654,"",""),1)),""."","","",1))"),69.326798)</f>
        <v>69.326798</v>
      </c>
      <c r="Q7654" s="13">
        <f>IFERROR(__xludf.DUMMYFUNCTION("VALUE(SUBSTITUTE((INDEX(SPLIT(A7654,"",""),2)),""."","","",1))"),88.208012)</f>
        <v>88.208012</v>
      </c>
      <c r="R7654" s="14" t="b">
        <f t="shared" si="1"/>
        <v>0</v>
      </c>
      <c r="S7654" s="14" t="str">
        <f t="shared" si="2"/>
        <v>69.326798,88.208012</v>
      </c>
      <c r="T7654" s="12"/>
    </row>
    <row r="7655">
      <c r="A7655" s="8" t="s">
        <v>49210</v>
      </c>
      <c r="B7655" s="8" t="s">
        <v>2582</v>
      </c>
      <c r="C7655" s="8" t="s">
        <v>2583</v>
      </c>
      <c r="D7655" s="8" t="s">
        <v>16</v>
      </c>
      <c r="E7655" s="19" t="s">
        <v>49211</v>
      </c>
      <c r="F7655" s="8" t="s">
        <v>5334</v>
      </c>
      <c r="G7655" s="8">
        <v>23.61</v>
      </c>
      <c r="H7655" s="8"/>
      <c r="I7655" s="8"/>
      <c r="J7655" s="8" t="s">
        <v>49212</v>
      </c>
      <c r="K7655" s="8" t="s">
        <v>49213</v>
      </c>
      <c r="L7655" s="8"/>
      <c r="M7655" s="8"/>
      <c r="N7655" s="12"/>
      <c r="O7655" s="12"/>
      <c r="P7655" s="13">
        <f>IFERROR(__xludf.DUMMYFUNCTION("VALUE(SUBSTITUTE((INDEX(SPLIT(A7655,"",""),1)),""."","","",1))"),67.939949036)</f>
        <v>67.93994904</v>
      </c>
      <c r="Q7655" s="13">
        <f>IFERROR(__xludf.DUMMYFUNCTION("VALUE(SUBSTITUTE((INDEX(SPLIT(A7655,"",""),2)),""."","","",1))"),32.911369324)</f>
        <v>32.91136932</v>
      </c>
      <c r="R7655" s="14" t="b">
        <f t="shared" si="1"/>
        <v>0</v>
      </c>
      <c r="S7655" s="14" t="str">
        <f t="shared" si="2"/>
        <v>67.939949036,32.911369324</v>
      </c>
      <c r="T7655" s="12"/>
    </row>
    <row r="7656">
      <c r="A7656" s="8" t="s">
        <v>49214</v>
      </c>
      <c r="B7656" s="8" t="s">
        <v>49215</v>
      </c>
      <c r="C7656" s="8" t="s">
        <v>49216</v>
      </c>
      <c r="D7656" s="8" t="s">
        <v>16</v>
      </c>
      <c r="E7656" s="19" t="s">
        <v>49217</v>
      </c>
      <c r="F7656" s="8" t="s">
        <v>5334</v>
      </c>
      <c r="G7656" s="8">
        <v>23.61</v>
      </c>
      <c r="H7656" s="8"/>
      <c r="I7656" s="8"/>
      <c r="J7656" s="8" t="s">
        <v>49218</v>
      </c>
      <c r="K7656" s="8" t="s">
        <v>49219</v>
      </c>
      <c r="L7656" s="8"/>
      <c r="M7656" s="24" t="s">
        <v>49220</v>
      </c>
      <c r="N7656" s="12"/>
      <c r="O7656" s="12"/>
      <c r="P7656" s="13">
        <f>IFERROR(__xludf.DUMMYFUNCTION("VALUE(SUBSTITUTE((INDEX(SPLIT(A7656,"",""),1)),""."","","",1))"),68.901390076)</f>
        <v>68.90139008</v>
      </c>
      <c r="Q7656" s="13">
        <f>IFERROR(__xludf.DUMMYFUNCTION("VALUE(SUBSTITUTE((INDEX(SPLIT(A7656,"",""),2)),""."","","",1))"),33.073486328)</f>
        <v>33.07348633</v>
      </c>
      <c r="R7656" s="14" t="b">
        <f t="shared" si="1"/>
        <v>0</v>
      </c>
      <c r="S7656" s="14" t="str">
        <f t="shared" si="2"/>
        <v>68.901390076,33.073486328</v>
      </c>
      <c r="T7656" s="12"/>
    </row>
    <row r="7657">
      <c r="A7657" s="16" t="s">
        <v>49221</v>
      </c>
      <c r="B7657" s="16" t="s">
        <v>49222</v>
      </c>
      <c r="C7657" s="16" t="s">
        <v>49223</v>
      </c>
      <c r="D7657" s="16" t="s">
        <v>16</v>
      </c>
      <c r="E7657" s="17" t="s">
        <v>49224</v>
      </c>
      <c r="F7657" s="16" t="s">
        <v>49225</v>
      </c>
      <c r="G7657" s="16">
        <v>23.61</v>
      </c>
      <c r="H7657" s="16"/>
      <c r="I7657" s="16"/>
      <c r="J7657" s="16" t="s">
        <v>49226</v>
      </c>
      <c r="K7657" s="16" t="s">
        <v>49227</v>
      </c>
      <c r="L7657" s="16"/>
      <c r="M7657" s="16"/>
      <c r="N7657" s="12"/>
      <c r="O7657" s="12"/>
      <c r="P7657" s="13">
        <f>IFERROR(__xludf.DUMMYFUNCTION("VALUE(SUBSTITUTE((INDEX(SPLIT(A7657,"",""),1)),""."","","",1))"),69.348872606339)</f>
        <v>69.34887261</v>
      </c>
      <c r="Q7657" s="13">
        <f>IFERROR(__xludf.DUMMYFUNCTION("VALUE(SUBSTITUTE((INDEX(SPLIT(A7657,"",""),2)),""."","","",1))"),88.214216292004)</f>
        <v>88.21421629</v>
      </c>
      <c r="R7657" s="14" t="b">
        <f t="shared" si="1"/>
        <v>0</v>
      </c>
      <c r="S7657" s="14" t="str">
        <f t="shared" si="2"/>
        <v>69.348872606339,88.214216292004</v>
      </c>
      <c r="T7657" s="12"/>
    </row>
    <row r="7658">
      <c r="A7658" s="22" t="s">
        <v>27064</v>
      </c>
      <c r="B7658" s="16" t="s">
        <v>49228</v>
      </c>
      <c r="C7658" s="16" t="s">
        <v>49229</v>
      </c>
      <c r="D7658" s="16" t="s">
        <v>16</v>
      </c>
      <c r="E7658" s="21" t="s">
        <v>49230</v>
      </c>
      <c r="F7658" s="22" t="s">
        <v>18995</v>
      </c>
      <c r="G7658" s="16">
        <v>23.61</v>
      </c>
      <c r="H7658" s="16"/>
      <c r="I7658" s="28" t="s">
        <v>49231</v>
      </c>
      <c r="J7658" s="22" t="s">
        <v>49232</v>
      </c>
      <c r="K7658" s="22" t="s">
        <v>49233</v>
      </c>
      <c r="L7658" s="23" t="s">
        <v>49234</v>
      </c>
      <c r="M7658" s="22"/>
      <c r="N7658" s="12"/>
      <c r="O7658" s="12"/>
      <c r="P7658" s="13">
        <f>IFERROR(__xludf.DUMMYFUNCTION("VALUE(SUBSTITUTE((INDEX(SPLIT(A7658,"",""),1)),""."","","",1))"),65.526705)</f>
        <v>65.526705</v>
      </c>
      <c r="Q7658" s="13">
        <f>IFERROR(__xludf.DUMMYFUNCTION("VALUE(SUBSTITUTE((INDEX(SPLIT(A7658,"",""),2)),""."","","",1))"),72.550062)</f>
        <v>72.550062</v>
      </c>
      <c r="R7658" s="14" t="b">
        <f t="shared" si="1"/>
        <v>0</v>
      </c>
      <c r="S7658" s="14" t="str">
        <f t="shared" si="2"/>
        <v>65.526705,72.550062</v>
      </c>
      <c r="T7658" s="12"/>
    </row>
    <row r="7659">
      <c r="A7659" s="10" t="s">
        <v>27081</v>
      </c>
      <c r="B7659" s="8" t="s">
        <v>49235</v>
      </c>
      <c r="C7659" s="8" t="s">
        <v>49236</v>
      </c>
      <c r="D7659" s="8" t="s">
        <v>16</v>
      </c>
      <c r="E7659" s="9" t="s">
        <v>49237</v>
      </c>
      <c r="F7659" s="10" t="s">
        <v>23238</v>
      </c>
      <c r="G7659" s="8">
        <v>23.61</v>
      </c>
      <c r="H7659" s="8"/>
      <c r="I7659" s="10"/>
      <c r="J7659" s="10" t="s">
        <v>49238</v>
      </c>
      <c r="K7659" s="10" t="s">
        <v>49239</v>
      </c>
      <c r="L7659" s="29" t="s">
        <v>49240</v>
      </c>
      <c r="M7659" s="10"/>
      <c r="N7659" s="12"/>
      <c r="O7659" s="12"/>
      <c r="P7659" s="13">
        <f>IFERROR(__xludf.DUMMYFUNCTION("VALUE(SUBSTITUTE((INDEX(SPLIT(A7659,"",""),1)),""."","","",1))"),54.862731)</f>
        <v>54.862731</v>
      </c>
      <c r="Q7659" s="13">
        <f>IFERROR(__xludf.DUMMYFUNCTION("VALUE(SUBSTITUTE((INDEX(SPLIT(A7659,"",""),2)),""."","","",1))"),73.104161)</f>
        <v>73.104161</v>
      </c>
      <c r="R7659" s="14" t="b">
        <f t="shared" si="1"/>
        <v>0</v>
      </c>
      <c r="S7659" s="14" t="str">
        <f t="shared" si="2"/>
        <v>54.862731,73.104161</v>
      </c>
      <c r="T7659" s="12"/>
    </row>
    <row r="7660">
      <c r="A7660" s="10" t="s">
        <v>27096</v>
      </c>
      <c r="B7660" s="8" t="s">
        <v>886</v>
      </c>
      <c r="C7660" s="8" t="s">
        <v>887</v>
      </c>
      <c r="D7660" s="8" t="s">
        <v>16</v>
      </c>
      <c r="E7660" s="9" t="s">
        <v>49241</v>
      </c>
      <c r="F7660" s="10" t="s">
        <v>23238</v>
      </c>
      <c r="G7660" s="8">
        <v>23.61</v>
      </c>
      <c r="H7660" s="8"/>
      <c r="I7660" s="10"/>
      <c r="J7660" s="10" t="s">
        <v>49242</v>
      </c>
      <c r="K7660" s="10" t="s">
        <v>49243</v>
      </c>
      <c r="L7660" s="11" t="s">
        <v>49244</v>
      </c>
      <c r="M7660" s="10"/>
      <c r="N7660" s="12"/>
      <c r="O7660" s="12"/>
      <c r="P7660" s="13">
        <f>IFERROR(__xludf.DUMMYFUNCTION("VALUE(SUBSTITUTE((INDEX(SPLIT(A7660,"",""),1)),""."","","",1))"),54.991149)</f>
        <v>54.991149</v>
      </c>
      <c r="Q7660" s="13">
        <f>IFERROR(__xludf.DUMMYFUNCTION("VALUE(SUBSTITUTE((INDEX(SPLIT(A7660,"",""),2)),""."","","",1))"),73.194235)</f>
        <v>73.194235</v>
      </c>
      <c r="R7660" s="14" t="b">
        <f t="shared" si="1"/>
        <v>0</v>
      </c>
      <c r="S7660" s="14" t="str">
        <f t="shared" si="2"/>
        <v>54.991149,73.194235</v>
      </c>
      <c r="T7660" s="12"/>
    </row>
    <row r="7661">
      <c r="A7661" s="16" t="s">
        <v>27102</v>
      </c>
      <c r="B7661" s="16" t="s">
        <v>834</v>
      </c>
      <c r="C7661" s="16" t="s">
        <v>835</v>
      </c>
      <c r="D7661" s="16" t="s">
        <v>16</v>
      </c>
      <c r="E7661" s="17" t="s">
        <v>49245</v>
      </c>
      <c r="F7661" s="16" t="s">
        <v>23238</v>
      </c>
      <c r="G7661" s="16">
        <v>23.61</v>
      </c>
      <c r="H7661" s="16"/>
      <c r="I7661" s="16"/>
      <c r="J7661" s="16" t="s">
        <v>49246</v>
      </c>
      <c r="K7661" s="16" t="s">
        <v>49247</v>
      </c>
      <c r="L7661" s="16"/>
      <c r="M7661" s="16"/>
      <c r="N7661" s="12"/>
      <c r="O7661" s="12"/>
      <c r="P7661" s="13">
        <f>IFERROR(__xludf.DUMMYFUNCTION("VALUE(SUBSTITUTE((INDEX(SPLIT(A7661,"",""),1)),""."","","",1))"),55.002072)</f>
        <v>55.002072</v>
      </c>
      <c r="Q7661" s="13">
        <f>IFERROR(__xludf.DUMMYFUNCTION("VALUE(SUBSTITUTE((INDEX(SPLIT(A7661,"",""),2)),""."","","",1))"),73.19764)</f>
        <v>73.19764</v>
      </c>
      <c r="R7661" s="14" t="b">
        <f t="shared" si="1"/>
        <v>0</v>
      </c>
      <c r="S7661" s="14" t="str">
        <f t="shared" si="2"/>
        <v>55.002072,73.19764</v>
      </c>
      <c r="T7661" s="12"/>
    </row>
    <row r="7662">
      <c r="A7662" s="10" t="s">
        <v>27108</v>
      </c>
      <c r="B7662" s="8" t="s">
        <v>49248</v>
      </c>
      <c r="C7662" s="8" t="s">
        <v>49249</v>
      </c>
      <c r="D7662" s="8" t="s">
        <v>16</v>
      </c>
      <c r="E7662" s="9" t="s">
        <v>49250</v>
      </c>
      <c r="F7662" s="10" t="s">
        <v>23238</v>
      </c>
      <c r="G7662" s="8">
        <v>23.61</v>
      </c>
      <c r="H7662" s="8"/>
      <c r="I7662" s="31" t="s">
        <v>49251</v>
      </c>
      <c r="J7662" s="10" t="s">
        <v>49252</v>
      </c>
      <c r="K7662" s="10" t="s">
        <v>49253</v>
      </c>
      <c r="L7662" s="11" t="s">
        <v>49254</v>
      </c>
      <c r="M7662" s="11" t="s">
        <v>49255</v>
      </c>
      <c r="N7662" s="12"/>
      <c r="O7662" s="12"/>
      <c r="P7662" s="13">
        <f>IFERROR(__xludf.DUMMYFUNCTION("VALUE(SUBSTITUTE((INDEX(SPLIT(A7662,"",""),1)),""."","","",1))"),55.004742)</f>
        <v>55.004742</v>
      </c>
      <c r="Q7662" s="13">
        <f>IFERROR(__xludf.DUMMYFUNCTION("VALUE(SUBSTITUTE((INDEX(SPLIT(A7662,"",""),2)),""."","","",1))"),73.202293)</f>
        <v>73.202293</v>
      </c>
      <c r="R7662" s="14" t="b">
        <f t="shared" si="1"/>
        <v>0</v>
      </c>
      <c r="S7662" s="14" t="str">
        <f t="shared" si="2"/>
        <v>55.004742,73.202293</v>
      </c>
      <c r="T7662" s="12"/>
    </row>
    <row r="7663">
      <c r="A7663" s="16" t="s">
        <v>27114</v>
      </c>
      <c r="B7663" s="16" t="s">
        <v>49256</v>
      </c>
      <c r="C7663" s="16" t="s">
        <v>49257</v>
      </c>
      <c r="D7663" s="16" t="s">
        <v>16</v>
      </c>
      <c r="E7663" s="17" t="s">
        <v>33150</v>
      </c>
      <c r="F7663" s="16" t="s">
        <v>23238</v>
      </c>
      <c r="G7663" s="16">
        <v>23.61</v>
      </c>
      <c r="H7663" s="16"/>
      <c r="I7663" s="16"/>
      <c r="J7663" s="16" t="s">
        <v>49258</v>
      </c>
      <c r="K7663" s="16" t="s">
        <v>49259</v>
      </c>
      <c r="L7663" s="16"/>
      <c r="M7663" s="16"/>
      <c r="N7663" s="12"/>
      <c r="O7663" s="12"/>
      <c r="P7663" s="13">
        <f>IFERROR(__xludf.DUMMYFUNCTION("VALUE(SUBSTITUTE((INDEX(SPLIT(A7663,"",""),1)),""."","","",1))"),54.997068)</f>
        <v>54.997068</v>
      </c>
      <c r="Q7663" s="13">
        <f>IFERROR(__xludf.DUMMYFUNCTION("VALUE(SUBSTITUTE((INDEX(SPLIT(A7663,"",""),2)),""."","","",1))"),73.204844)</f>
        <v>73.204844</v>
      </c>
      <c r="R7663" s="14" t="b">
        <f t="shared" si="1"/>
        <v>0</v>
      </c>
      <c r="S7663" s="14" t="str">
        <f t="shared" si="2"/>
        <v>54.997068,73.204844</v>
      </c>
      <c r="T7663" s="12"/>
    </row>
    <row r="7664">
      <c r="A7664" s="10" t="s">
        <v>27119</v>
      </c>
      <c r="B7664" s="8" t="s">
        <v>49260</v>
      </c>
      <c r="C7664" s="8" t="s">
        <v>49261</v>
      </c>
      <c r="D7664" s="8" t="s">
        <v>16</v>
      </c>
      <c r="E7664" s="9" t="s">
        <v>49262</v>
      </c>
      <c r="F7664" s="10" t="s">
        <v>23238</v>
      </c>
      <c r="G7664" s="8">
        <v>23.61</v>
      </c>
      <c r="H7664" s="8"/>
      <c r="I7664" s="10"/>
      <c r="J7664" s="10" t="s">
        <v>49263</v>
      </c>
      <c r="K7664" s="10" t="s">
        <v>49264</v>
      </c>
      <c r="L7664" s="11" t="s">
        <v>49265</v>
      </c>
      <c r="M7664" s="10"/>
      <c r="N7664" s="12"/>
      <c r="O7664" s="12"/>
      <c r="P7664" s="13">
        <f>IFERROR(__xludf.DUMMYFUNCTION("VALUE(SUBSTITUTE((INDEX(SPLIT(A7664,"",""),1)),""."","","",1))"),55.037103)</f>
        <v>55.037103</v>
      </c>
      <c r="Q7664" s="13">
        <f>IFERROR(__xludf.DUMMYFUNCTION("VALUE(SUBSTITUTE((INDEX(SPLIT(A7664,"",""),2)),""."","","",1))"),73.207342)</f>
        <v>73.207342</v>
      </c>
      <c r="R7664" s="14" t="b">
        <f t="shared" si="1"/>
        <v>0</v>
      </c>
      <c r="S7664" s="14" t="str">
        <f t="shared" si="2"/>
        <v>55.037103,73.207342</v>
      </c>
      <c r="T7664" s="12"/>
    </row>
    <row r="7665">
      <c r="A7665" s="22" t="s">
        <v>27126</v>
      </c>
      <c r="B7665" s="16" t="s">
        <v>44049</v>
      </c>
      <c r="C7665" s="16" t="s">
        <v>49266</v>
      </c>
      <c r="D7665" s="16" t="s">
        <v>16</v>
      </c>
      <c r="E7665" s="21" t="s">
        <v>49267</v>
      </c>
      <c r="F7665" s="22" t="s">
        <v>23238</v>
      </c>
      <c r="G7665" s="16">
        <v>23.61</v>
      </c>
      <c r="H7665" s="16"/>
      <c r="I7665" s="22"/>
      <c r="J7665" s="22" t="s">
        <v>49268</v>
      </c>
      <c r="K7665" s="22" t="s">
        <v>49269</v>
      </c>
      <c r="L7665" s="30" t="s">
        <v>49270</v>
      </c>
      <c r="M7665" s="22"/>
      <c r="N7665" s="12"/>
      <c r="O7665" s="12"/>
      <c r="P7665" s="13">
        <f>IFERROR(__xludf.DUMMYFUNCTION("VALUE(SUBSTITUTE((INDEX(SPLIT(A7665,"",""),1)),""."","","",1))"),55.033821)</f>
        <v>55.033821</v>
      </c>
      <c r="Q7665" s="13">
        <f>IFERROR(__xludf.DUMMYFUNCTION("VALUE(SUBSTITUTE((INDEX(SPLIT(A7665,"",""),2)),""."","","",1))"),73.208177)</f>
        <v>73.208177</v>
      </c>
      <c r="R7665" s="14" t="b">
        <f t="shared" si="1"/>
        <v>0</v>
      </c>
      <c r="S7665" s="14" t="str">
        <f t="shared" si="2"/>
        <v>55.033821,73.208177</v>
      </c>
      <c r="T7665" s="12"/>
    </row>
    <row r="7666">
      <c r="A7666" s="8" t="s">
        <v>27131</v>
      </c>
      <c r="B7666" s="8" t="s">
        <v>49271</v>
      </c>
      <c r="C7666" s="8" t="s">
        <v>49272</v>
      </c>
      <c r="D7666" s="8" t="s">
        <v>16</v>
      </c>
      <c r="E7666" s="19" t="s">
        <v>49273</v>
      </c>
      <c r="F7666" s="8" t="s">
        <v>23238</v>
      </c>
      <c r="G7666" s="8">
        <v>23.61</v>
      </c>
      <c r="H7666" s="8"/>
      <c r="I7666" s="8"/>
      <c r="J7666" s="8" t="s">
        <v>49274</v>
      </c>
      <c r="K7666" s="8" t="s">
        <v>49275</v>
      </c>
      <c r="L7666" s="8"/>
      <c r="M7666" s="8"/>
      <c r="N7666" s="12"/>
      <c r="O7666" s="12"/>
      <c r="P7666" s="13">
        <f>IFERROR(__xludf.DUMMYFUNCTION("VALUE(SUBSTITUTE((INDEX(SPLIT(A7666,"",""),1)),""."","","",1))"),55.03669)</f>
        <v>55.03669</v>
      </c>
      <c r="Q7666" s="13">
        <f>IFERROR(__xludf.DUMMYFUNCTION("VALUE(SUBSTITUTE((INDEX(SPLIT(A7666,"",""),2)),""."","","",1))"),73.210189)</f>
        <v>73.210189</v>
      </c>
      <c r="R7666" s="14" t="b">
        <f t="shared" si="1"/>
        <v>0</v>
      </c>
      <c r="S7666" s="14" t="str">
        <f t="shared" si="2"/>
        <v>55.03669,73.210189</v>
      </c>
      <c r="T7666" s="12"/>
    </row>
    <row r="7667">
      <c r="A7667" s="22" t="s">
        <v>27138</v>
      </c>
      <c r="B7667" s="16" t="s">
        <v>49276</v>
      </c>
      <c r="C7667" s="16" t="s">
        <v>49277</v>
      </c>
      <c r="D7667" s="16" t="s">
        <v>16</v>
      </c>
      <c r="E7667" s="21" t="s">
        <v>49278</v>
      </c>
      <c r="F7667" s="22" t="s">
        <v>23238</v>
      </c>
      <c r="G7667" s="16">
        <v>23.61</v>
      </c>
      <c r="H7667" s="16"/>
      <c r="I7667" s="22"/>
      <c r="J7667" s="22" t="s">
        <v>49279</v>
      </c>
      <c r="K7667" s="22" t="s">
        <v>49280</v>
      </c>
      <c r="L7667" s="23" t="s">
        <v>49281</v>
      </c>
      <c r="M7667" s="22"/>
      <c r="N7667" s="12"/>
      <c r="O7667" s="12"/>
      <c r="P7667" s="13">
        <f>IFERROR(__xludf.DUMMYFUNCTION("VALUE(SUBSTITUTE((INDEX(SPLIT(A7667,"",""),1)),""."","","",1))"),55.035772)</f>
        <v>55.035772</v>
      </c>
      <c r="Q7667" s="13">
        <f>IFERROR(__xludf.DUMMYFUNCTION("VALUE(SUBSTITUTE((INDEX(SPLIT(A7667,"",""),2)),""."","","",1))"),73.214151)</f>
        <v>73.214151</v>
      </c>
      <c r="R7667" s="14" t="b">
        <f t="shared" si="1"/>
        <v>0</v>
      </c>
      <c r="S7667" s="14" t="str">
        <f t="shared" si="2"/>
        <v>55.035772,73.214151</v>
      </c>
      <c r="T7667" s="12"/>
    </row>
    <row r="7668">
      <c r="A7668" s="8" t="s">
        <v>27144</v>
      </c>
      <c r="B7668" s="8" t="s">
        <v>49282</v>
      </c>
      <c r="C7668" s="8" t="s">
        <v>49283</v>
      </c>
      <c r="D7668" s="8" t="s">
        <v>16</v>
      </c>
      <c r="E7668" s="19" t="s">
        <v>49284</v>
      </c>
      <c r="F7668" s="8" t="s">
        <v>23238</v>
      </c>
      <c r="G7668" s="8">
        <v>23.61</v>
      </c>
      <c r="H7668" s="8"/>
      <c r="I7668" s="8"/>
      <c r="J7668" s="8" t="s">
        <v>49285</v>
      </c>
      <c r="K7668" s="8" t="s">
        <v>49286</v>
      </c>
      <c r="L7668" s="8"/>
      <c r="M7668" s="24" t="s">
        <v>49287</v>
      </c>
      <c r="N7668" s="12"/>
      <c r="O7668" s="12"/>
      <c r="P7668" s="13">
        <f>IFERROR(__xludf.DUMMYFUNCTION("VALUE(SUBSTITUTE((INDEX(SPLIT(A7668,"",""),1)),""."","","",1))"),55.181385)</f>
        <v>55.181385</v>
      </c>
      <c r="Q7668" s="13">
        <f>IFERROR(__xludf.DUMMYFUNCTION("VALUE(SUBSTITUTE((INDEX(SPLIT(A7668,"",""),2)),""."","","",1))"),73.21504)</f>
        <v>73.21504</v>
      </c>
      <c r="R7668" s="14" t="b">
        <f t="shared" si="1"/>
        <v>0</v>
      </c>
      <c r="S7668" s="14" t="str">
        <f t="shared" si="2"/>
        <v>55.181385,73.21504</v>
      </c>
      <c r="T7668" s="12"/>
    </row>
    <row r="7669">
      <c r="A7669" s="22" t="s">
        <v>27151</v>
      </c>
      <c r="B7669" s="16" t="s">
        <v>49288</v>
      </c>
      <c r="C7669" s="16" t="s">
        <v>49289</v>
      </c>
      <c r="D7669" s="16" t="s">
        <v>16</v>
      </c>
      <c r="E7669" s="21" t="s">
        <v>49290</v>
      </c>
      <c r="F7669" s="22" t="s">
        <v>23238</v>
      </c>
      <c r="G7669" s="16">
        <v>23.61</v>
      </c>
      <c r="H7669" s="16"/>
      <c r="I7669" s="22"/>
      <c r="J7669" s="22" t="s">
        <v>49291</v>
      </c>
      <c r="K7669" s="22" t="s">
        <v>49292</v>
      </c>
      <c r="L7669" s="23" t="s">
        <v>49293</v>
      </c>
      <c r="M7669" s="22"/>
      <c r="N7669" s="12"/>
      <c r="O7669" s="12"/>
      <c r="P7669" s="13">
        <f>IFERROR(__xludf.DUMMYFUNCTION("VALUE(SUBSTITUTE((INDEX(SPLIT(A7669,"",""),1)),""."","","",1))"),54.975047)</f>
        <v>54.975047</v>
      </c>
      <c r="Q7669" s="13">
        <f>IFERROR(__xludf.DUMMYFUNCTION("VALUE(SUBSTITUTE((INDEX(SPLIT(A7669,"",""),2)),""."","","",1))"),73.220466)</f>
        <v>73.220466</v>
      </c>
      <c r="R7669" s="14" t="b">
        <f t="shared" si="1"/>
        <v>0</v>
      </c>
      <c r="S7669" s="14" t="str">
        <f t="shared" si="2"/>
        <v>54.975047,73.220466</v>
      </c>
      <c r="T7669" s="12"/>
    </row>
    <row r="7670">
      <c r="A7670" s="10" t="s">
        <v>27157</v>
      </c>
      <c r="B7670" s="8" t="s">
        <v>49294</v>
      </c>
      <c r="C7670" s="8" t="s">
        <v>49295</v>
      </c>
      <c r="D7670" s="8" t="s">
        <v>16</v>
      </c>
      <c r="E7670" s="9" t="s">
        <v>49296</v>
      </c>
      <c r="F7670" s="10" t="s">
        <v>23238</v>
      </c>
      <c r="G7670" s="8">
        <v>23.61</v>
      </c>
      <c r="H7670" s="8"/>
      <c r="I7670" s="10"/>
      <c r="J7670" s="10" t="s">
        <v>49297</v>
      </c>
      <c r="K7670" s="10" t="s">
        <v>49298</v>
      </c>
      <c r="L7670" s="11" t="s">
        <v>49299</v>
      </c>
      <c r="M7670" s="10"/>
      <c r="N7670" s="12"/>
      <c r="O7670" s="12"/>
      <c r="P7670" s="13">
        <f>IFERROR(__xludf.DUMMYFUNCTION("VALUE(SUBSTITUTE((INDEX(SPLIT(A7670,"",""),1)),""."","","",1))"),54.924112)</f>
        <v>54.924112</v>
      </c>
      <c r="Q7670" s="13">
        <f>IFERROR(__xludf.DUMMYFUNCTION("VALUE(SUBSTITUTE((INDEX(SPLIT(A7670,"",""),2)),""."","","",1))"),73.244487)</f>
        <v>73.244487</v>
      </c>
      <c r="R7670" s="14" t="b">
        <f t="shared" si="1"/>
        <v>0</v>
      </c>
      <c r="S7670" s="14" t="str">
        <f t="shared" si="2"/>
        <v>54.924112,73.244487</v>
      </c>
      <c r="T7670" s="12"/>
    </row>
    <row r="7671">
      <c r="A7671" s="16" t="s">
        <v>27163</v>
      </c>
      <c r="B7671" s="16" t="s">
        <v>49300</v>
      </c>
      <c r="C7671" s="16" t="s">
        <v>49301</v>
      </c>
      <c r="D7671" s="16" t="s">
        <v>16</v>
      </c>
      <c r="E7671" s="17" t="s">
        <v>49302</v>
      </c>
      <c r="F7671" s="16" t="s">
        <v>23238</v>
      </c>
      <c r="G7671" s="16">
        <v>23.61</v>
      </c>
      <c r="H7671" s="16"/>
      <c r="I7671" s="16"/>
      <c r="J7671" s="16" t="s">
        <v>49303</v>
      </c>
      <c r="K7671" s="16" t="s">
        <v>49304</v>
      </c>
      <c r="L7671" s="16"/>
      <c r="M7671" s="25" t="s">
        <v>49305</v>
      </c>
      <c r="N7671" s="12"/>
      <c r="O7671" s="12"/>
      <c r="P7671" s="13">
        <f>IFERROR(__xludf.DUMMYFUNCTION("VALUE(SUBSTITUTE((INDEX(SPLIT(A7671,"",""),1)),""."","","",1))"),55.062034)</f>
        <v>55.062034</v>
      </c>
      <c r="Q7671" s="13">
        <f>IFERROR(__xludf.DUMMYFUNCTION("VALUE(SUBSTITUTE((INDEX(SPLIT(A7671,"",""),2)),""."","","",1))"),73.254216)</f>
        <v>73.254216</v>
      </c>
      <c r="R7671" s="14" t="b">
        <f t="shared" si="1"/>
        <v>0</v>
      </c>
      <c r="S7671" s="14" t="str">
        <f t="shared" si="2"/>
        <v>55.062034,73.254216</v>
      </c>
      <c r="T7671" s="12"/>
    </row>
    <row r="7672">
      <c r="A7672" s="8" t="s">
        <v>27170</v>
      </c>
      <c r="B7672" s="8" t="s">
        <v>49306</v>
      </c>
      <c r="C7672" s="8" t="s">
        <v>49307</v>
      </c>
      <c r="D7672" s="8" t="s">
        <v>16</v>
      </c>
      <c r="E7672" s="19" t="s">
        <v>49308</v>
      </c>
      <c r="F7672" s="8" t="s">
        <v>23238</v>
      </c>
      <c r="G7672" s="8">
        <v>23.61</v>
      </c>
      <c r="H7672" s="8"/>
      <c r="I7672" s="8"/>
      <c r="J7672" s="8" t="s">
        <v>49309</v>
      </c>
      <c r="K7672" s="8" t="s">
        <v>49310</v>
      </c>
      <c r="L7672" s="8"/>
      <c r="M7672" s="8"/>
      <c r="N7672" s="12"/>
      <c r="O7672" s="12"/>
      <c r="P7672" s="13">
        <f>IFERROR(__xludf.DUMMYFUNCTION("VALUE(SUBSTITUTE((INDEX(SPLIT(A7672,"",""),1)),""."","","",1))"),55.049266)</f>
        <v>55.049266</v>
      </c>
      <c r="Q7672" s="13">
        <f>IFERROR(__xludf.DUMMYFUNCTION("VALUE(SUBSTITUTE((INDEX(SPLIT(A7672,"",""),2)),""."","","",1))"),73.261672)</f>
        <v>73.261672</v>
      </c>
      <c r="R7672" s="14" t="b">
        <f t="shared" si="1"/>
        <v>0</v>
      </c>
      <c r="S7672" s="14" t="str">
        <f t="shared" si="2"/>
        <v>55.049266,73.261672</v>
      </c>
      <c r="T7672" s="12"/>
    </row>
    <row r="7673">
      <c r="A7673" s="16" t="s">
        <v>27174</v>
      </c>
      <c r="B7673" s="16" t="s">
        <v>20739</v>
      </c>
      <c r="C7673" s="16" t="s">
        <v>20740</v>
      </c>
      <c r="D7673" s="16" t="s">
        <v>16</v>
      </c>
      <c r="E7673" s="17" t="s">
        <v>49311</v>
      </c>
      <c r="F7673" s="16" t="s">
        <v>23238</v>
      </c>
      <c r="G7673" s="16">
        <v>23.61</v>
      </c>
      <c r="H7673" s="16"/>
      <c r="I7673" s="16"/>
      <c r="J7673" s="16" t="s">
        <v>49312</v>
      </c>
      <c r="K7673" s="16" t="s">
        <v>49259</v>
      </c>
      <c r="L7673" s="16"/>
      <c r="M7673" s="16"/>
      <c r="N7673" s="12"/>
      <c r="O7673" s="12"/>
      <c r="P7673" s="13">
        <f>IFERROR(__xludf.DUMMYFUNCTION("VALUE(SUBSTITUTE((INDEX(SPLIT(A7673,"",""),1)),""."","","",1))"),55.083951)</f>
        <v>55.083951</v>
      </c>
      <c r="Q7673" s="13">
        <f>IFERROR(__xludf.DUMMYFUNCTION("VALUE(SUBSTITUTE((INDEX(SPLIT(A7673,"",""),2)),""."","","",1))"),73.26204)</f>
        <v>73.26204</v>
      </c>
      <c r="R7673" s="14" t="b">
        <f t="shared" si="1"/>
        <v>0</v>
      </c>
      <c r="S7673" s="14" t="str">
        <f t="shared" si="2"/>
        <v>55.083951,73.26204</v>
      </c>
      <c r="T7673" s="12"/>
    </row>
    <row r="7674">
      <c r="A7674" s="8" t="s">
        <v>27180</v>
      </c>
      <c r="B7674" s="8" t="s">
        <v>17326</v>
      </c>
      <c r="C7674" s="8" t="s">
        <v>17327</v>
      </c>
      <c r="D7674" s="8" t="s">
        <v>16</v>
      </c>
      <c r="E7674" s="19" t="s">
        <v>49313</v>
      </c>
      <c r="F7674" s="8" t="s">
        <v>23238</v>
      </c>
      <c r="G7674" s="8">
        <v>23.61</v>
      </c>
      <c r="H7674" s="8"/>
      <c r="I7674" s="8"/>
      <c r="J7674" s="8" t="s">
        <v>49314</v>
      </c>
      <c r="K7674" s="8" t="s">
        <v>49315</v>
      </c>
      <c r="L7674" s="8"/>
      <c r="M7674" s="24" t="s">
        <v>49316</v>
      </c>
      <c r="N7674" s="12"/>
      <c r="O7674" s="12"/>
      <c r="P7674" s="13">
        <f>IFERROR(__xludf.DUMMYFUNCTION("VALUE(SUBSTITUTE((INDEX(SPLIT(A7674,"",""),1)),""."","","",1))"),54.997115)</f>
        <v>54.997115</v>
      </c>
      <c r="Q7674" s="13">
        <f>IFERROR(__xludf.DUMMYFUNCTION("VALUE(SUBSTITUTE((INDEX(SPLIT(A7674,"",""),2)),""."","","",1))"),73.264546)</f>
        <v>73.264546</v>
      </c>
      <c r="R7674" s="14" t="b">
        <f t="shared" si="1"/>
        <v>0</v>
      </c>
      <c r="S7674" s="14" t="str">
        <f t="shared" si="2"/>
        <v>54.997115,73.264546</v>
      </c>
      <c r="T7674" s="12"/>
    </row>
    <row r="7675">
      <c r="A7675" s="22" t="s">
        <v>27185</v>
      </c>
      <c r="B7675" s="16" t="s">
        <v>49317</v>
      </c>
      <c r="C7675" s="16" t="s">
        <v>49318</v>
      </c>
      <c r="D7675" s="16" t="s">
        <v>16</v>
      </c>
      <c r="E7675" s="21" t="s">
        <v>49319</v>
      </c>
      <c r="F7675" s="22" t="s">
        <v>23238</v>
      </c>
      <c r="G7675" s="16">
        <v>23.61</v>
      </c>
      <c r="H7675" s="16"/>
      <c r="I7675" s="28" t="s">
        <v>49320</v>
      </c>
      <c r="J7675" s="22" t="s">
        <v>49321</v>
      </c>
      <c r="K7675" s="22" t="s">
        <v>49322</v>
      </c>
      <c r="L7675" s="30" t="s">
        <v>49323</v>
      </c>
      <c r="M7675" s="22"/>
      <c r="N7675" s="12"/>
      <c r="O7675" s="12"/>
      <c r="P7675" s="13">
        <f>IFERROR(__xludf.DUMMYFUNCTION("VALUE(SUBSTITUTE((INDEX(SPLIT(A7675,"",""),1)),""."","","",1))"),55.056383)</f>
        <v>55.056383</v>
      </c>
      <c r="Q7675" s="13">
        <f>IFERROR(__xludf.DUMMYFUNCTION("VALUE(SUBSTITUTE((INDEX(SPLIT(A7675,"",""),2)),""."","","",1))"),73.26487)</f>
        <v>73.26487</v>
      </c>
      <c r="R7675" s="14" t="b">
        <f t="shared" si="1"/>
        <v>0</v>
      </c>
      <c r="S7675" s="14" t="str">
        <f t="shared" si="2"/>
        <v>55.056383,73.26487</v>
      </c>
      <c r="T7675" s="12"/>
    </row>
    <row r="7676">
      <c r="A7676" s="10" t="s">
        <v>27185</v>
      </c>
      <c r="B7676" s="8" t="s">
        <v>19199</v>
      </c>
      <c r="C7676" s="8" t="s">
        <v>19200</v>
      </c>
      <c r="D7676" s="8" t="s">
        <v>16</v>
      </c>
      <c r="E7676" s="9" t="s">
        <v>49324</v>
      </c>
      <c r="F7676" s="10" t="s">
        <v>23238</v>
      </c>
      <c r="G7676" s="8">
        <v>23.61</v>
      </c>
      <c r="H7676" s="8"/>
      <c r="I7676" s="10"/>
      <c r="J7676" s="10" t="s">
        <v>49325</v>
      </c>
      <c r="K7676" s="10" t="s">
        <v>49326</v>
      </c>
      <c r="L7676" s="11" t="s">
        <v>49327</v>
      </c>
      <c r="M7676" s="10"/>
      <c r="N7676" s="12"/>
      <c r="O7676" s="12"/>
      <c r="P7676" s="13">
        <f>IFERROR(__xludf.DUMMYFUNCTION("VALUE(SUBSTITUTE((INDEX(SPLIT(A7676,"",""),1)),""."","","",1))"),55.056383)</f>
        <v>55.056383</v>
      </c>
      <c r="Q7676" s="13">
        <f>IFERROR(__xludf.DUMMYFUNCTION("VALUE(SUBSTITUTE((INDEX(SPLIT(A7676,"",""),2)),""."","","",1))"),73.26487)</f>
        <v>73.26487</v>
      </c>
      <c r="R7676" s="14" t="b">
        <f t="shared" si="1"/>
        <v>0</v>
      </c>
      <c r="S7676" s="14" t="str">
        <f t="shared" si="2"/>
        <v>55.056383,73.26487</v>
      </c>
      <c r="T7676" s="12"/>
    </row>
    <row r="7677">
      <c r="A7677" s="22" t="s">
        <v>27197</v>
      </c>
      <c r="B7677" s="16" t="s">
        <v>15788</v>
      </c>
      <c r="C7677" s="16" t="s">
        <v>15789</v>
      </c>
      <c r="D7677" s="16" t="s">
        <v>16</v>
      </c>
      <c r="E7677" s="21" t="s">
        <v>49328</v>
      </c>
      <c r="F7677" s="22" t="s">
        <v>23238</v>
      </c>
      <c r="G7677" s="16">
        <v>23.61</v>
      </c>
      <c r="H7677" s="16"/>
      <c r="I7677" s="22"/>
      <c r="J7677" s="22" t="s">
        <v>49329</v>
      </c>
      <c r="K7677" s="22" t="s">
        <v>49330</v>
      </c>
      <c r="L7677" s="23" t="s">
        <v>49331</v>
      </c>
      <c r="M7677" s="22"/>
      <c r="N7677" s="12"/>
      <c r="O7677" s="12"/>
      <c r="P7677" s="13">
        <f>IFERROR(__xludf.DUMMYFUNCTION("VALUE(SUBSTITUTE((INDEX(SPLIT(A7677,"",""),1)),""."","","",1))"),55.056151)</f>
        <v>55.056151</v>
      </c>
      <c r="Q7677" s="13">
        <f>IFERROR(__xludf.DUMMYFUNCTION("VALUE(SUBSTITUTE((INDEX(SPLIT(A7677,"",""),2)),""."","","",1))"),73.271068)</f>
        <v>73.271068</v>
      </c>
      <c r="R7677" s="14" t="b">
        <f t="shared" si="1"/>
        <v>0</v>
      </c>
      <c r="S7677" s="14" t="str">
        <f t="shared" si="2"/>
        <v>55.056151,73.271068</v>
      </c>
      <c r="T7677" s="12"/>
    </row>
    <row r="7678">
      <c r="A7678" s="8" t="s">
        <v>27204</v>
      </c>
      <c r="B7678" s="8" t="s">
        <v>49332</v>
      </c>
      <c r="C7678" s="8" t="s">
        <v>49333</v>
      </c>
      <c r="D7678" s="8" t="s">
        <v>16</v>
      </c>
      <c r="E7678" s="19" t="s">
        <v>49334</v>
      </c>
      <c r="F7678" s="8" t="s">
        <v>23238</v>
      </c>
      <c r="G7678" s="8">
        <v>23.61</v>
      </c>
      <c r="H7678" s="8"/>
      <c r="I7678" s="8"/>
      <c r="J7678" s="8" t="s">
        <v>49335</v>
      </c>
      <c r="K7678" s="8" t="s">
        <v>49336</v>
      </c>
      <c r="L7678" s="8"/>
      <c r="M7678" s="8"/>
      <c r="N7678" s="12"/>
      <c r="O7678" s="12"/>
      <c r="P7678" s="13">
        <f>IFERROR(__xludf.DUMMYFUNCTION("VALUE(SUBSTITUTE((INDEX(SPLIT(A7678,"",""),1)),""."","","",1))"),54.987012)</f>
        <v>54.987012</v>
      </c>
      <c r="Q7678" s="13">
        <f>IFERROR(__xludf.DUMMYFUNCTION("VALUE(SUBSTITUTE((INDEX(SPLIT(A7678,"",""),2)),""."","","",1))"),73.277419)</f>
        <v>73.277419</v>
      </c>
      <c r="R7678" s="14" t="b">
        <f t="shared" si="1"/>
        <v>0</v>
      </c>
      <c r="S7678" s="14" t="str">
        <f t="shared" si="2"/>
        <v>54.987012,73.277419</v>
      </c>
      <c r="T7678" s="12"/>
    </row>
    <row r="7679">
      <c r="A7679" s="16" t="s">
        <v>27211</v>
      </c>
      <c r="B7679" s="16" t="s">
        <v>49337</v>
      </c>
      <c r="C7679" s="16" t="s">
        <v>49338</v>
      </c>
      <c r="D7679" s="16" t="s">
        <v>16</v>
      </c>
      <c r="E7679" s="17" t="s">
        <v>49339</v>
      </c>
      <c r="F7679" s="16" t="s">
        <v>23238</v>
      </c>
      <c r="G7679" s="16">
        <v>23.61</v>
      </c>
      <c r="H7679" s="16"/>
      <c r="I7679" s="16"/>
      <c r="J7679" s="16" t="s">
        <v>49340</v>
      </c>
      <c r="K7679" s="16" t="s">
        <v>49341</v>
      </c>
      <c r="L7679" s="16"/>
      <c r="M7679" s="25" t="s">
        <v>49342</v>
      </c>
      <c r="N7679" s="12"/>
      <c r="O7679" s="12"/>
      <c r="P7679" s="13">
        <f>IFERROR(__xludf.DUMMYFUNCTION("VALUE(SUBSTITUTE((INDEX(SPLIT(A7679,"",""),1)),""."","","",1))"),54.951353)</f>
        <v>54.951353</v>
      </c>
      <c r="Q7679" s="13">
        <f>IFERROR(__xludf.DUMMYFUNCTION("VALUE(SUBSTITUTE((INDEX(SPLIT(A7679,"",""),2)),""."","","",1))"),73.277931)</f>
        <v>73.277931</v>
      </c>
      <c r="R7679" s="14" t="b">
        <f t="shared" si="1"/>
        <v>0</v>
      </c>
      <c r="S7679" s="14" t="str">
        <f t="shared" si="2"/>
        <v>54.951353,73.277931</v>
      </c>
      <c r="T7679" s="12"/>
    </row>
    <row r="7680">
      <c r="A7680" s="8" t="s">
        <v>27217</v>
      </c>
      <c r="B7680" s="8" t="s">
        <v>49343</v>
      </c>
      <c r="C7680" s="8" t="s">
        <v>49344</v>
      </c>
      <c r="D7680" s="8" t="s">
        <v>16</v>
      </c>
      <c r="E7680" s="19" t="s">
        <v>49345</v>
      </c>
      <c r="F7680" s="8" t="s">
        <v>23238</v>
      </c>
      <c r="G7680" s="8">
        <v>23.61</v>
      </c>
      <c r="H7680" s="8"/>
      <c r="I7680" s="8"/>
      <c r="J7680" s="8" t="s">
        <v>49346</v>
      </c>
      <c r="K7680" s="8" t="s">
        <v>49347</v>
      </c>
      <c r="L7680" s="8"/>
      <c r="M7680" s="8"/>
      <c r="N7680" s="12"/>
      <c r="O7680" s="12"/>
      <c r="P7680" s="13">
        <f>IFERROR(__xludf.DUMMYFUNCTION("VALUE(SUBSTITUTE((INDEX(SPLIT(A7680,"",""),1)),""."","","",1))"),55.065463)</f>
        <v>55.065463</v>
      </c>
      <c r="Q7680" s="13">
        <f>IFERROR(__xludf.DUMMYFUNCTION("VALUE(SUBSTITUTE((INDEX(SPLIT(A7680,"",""),2)),""."","","",1))"),73.279719)</f>
        <v>73.279719</v>
      </c>
      <c r="R7680" s="14" t="b">
        <f t="shared" si="1"/>
        <v>0</v>
      </c>
      <c r="S7680" s="14" t="str">
        <f t="shared" si="2"/>
        <v>55.065463,73.279719</v>
      </c>
      <c r="T7680" s="12"/>
    </row>
    <row r="7681">
      <c r="A7681" s="16" t="s">
        <v>27223</v>
      </c>
      <c r="B7681" s="16" t="s">
        <v>49348</v>
      </c>
      <c r="C7681" s="16" t="s">
        <v>49349</v>
      </c>
      <c r="D7681" s="16" t="s">
        <v>16</v>
      </c>
      <c r="E7681" s="17" t="s">
        <v>49350</v>
      </c>
      <c r="F7681" s="16" t="s">
        <v>23238</v>
      </c>
      <c r="G7681" s="16">
        <v>23.61</v>
      </c>
      <c r="H7681" s="16"/>
      <c r="I7681" s="16"/>
      <c r="J7681" s="16" t="s">
        <v>49351</v>
      </c>
      <c r="K7681" s="16" t="s">
        <v>49352</v>
      </c>
      <c r="L7681" s="16"/>
      <c r="M7681" s="25" t="s">
        <v>49353</v>
      </c>
      <c r="N7681" s="12"/>
      <c r="O7681" s="12"/>
      <c r="P7681" s="13">
        <f>IFERROR(__xludf.DUMMYFUNCTION("VALUE(SUBSTITUTE((INDEX(SPLIT(A7681,"",""),1)),""."","","",1))"),55.055599)</f>
        <v>55.055599</v>
      </c>
      <c r="Q7681" s="13">
        <f>IFERROR(__xludf.DUMMYFUNCTION("VALUE(SUBSTITUTE((INDEX(SPLIT(A7681,"",""),2)),""."","","",1))"),73.283743)</f>
        <v>73.283743</v>
      </c>
      <c r="R7681" s="14" t="b">
        <f t="shared" si="1"/>
        <v>0</v>
      </c>
      <c r="S7681" s="14" t="str">
        <f t="shared" si="2"/>
        <v>55.055599,73.283743</v>
      </c>
      <c r="T7681" s="12"/>
    </row>
    <row r="7682">
      <c r="A7682" s="10" t="s">
        <v>27228</v>
      </c>
      <c r="B7682" s="8" t="s">
        <v>49354</v>
      </c>
      <c r="C7682" s="8" t="s">
        <v>49355</v>
      </c>
      <c r="D7682" s="8" t="s">
        <v>16</v>
      </c>
      <c r="E7682" s="9" t="s">
        <v>49356</v>
      </c>
      <c r="F7682" s="10" t="s">
        <v>23238</v>
      </c>
      <c r="G7682" s="8">
        <v>23.61</v>
      </c>
      <c r="H7682" s="8"/>
      <c r="I7682" s="10"/>
      <c r="J7682" s="10" t="s">
        <v>49357</v>
      </c>
      <c r="K7682" s="10" t="s">
        <v>49358</v>
      </c>
      <c r="L7682" s="11" t="s">
        <v>49359</v>
      </c>
      <c r="M7682" s="10"/>
      <c r="N7682" s="12"/>
      <c r="O7682" s="12"/>
      <c r="P7682" s="13">
        <f>IFERROR(__xludf.DUMMYFUNCTION("VALUE(SUBSTITUTE((INDEX(SPLIT(A7682,"",""),1)),""."","","",1))"),55.047064)</f>
        <v>55.047064</v>
      </c>
      <c r="Q7682" s="13">
        <f>IFERROR(__xludf.DUMMYFUNCTION("VALUE(SUBSTITUTE((INDEX(SPLIT(A7682,"",""),2)),""."","","",1))"),73.286043)</f>
        <v>73.286043</v>
      </c>
      <c r="R7682" s="14" t="b">
        <f t="shared" si="1"/>
        <v>0</v>
      </c>
      <c r="S7682" s="14" t="str">
        <f t="shared" si="2"/>
        <v>55.047064,73.286043</v>
      </c>
      <c r="T7682" s="12"/>
    </row>
    <row r="7683">
      <c r="A7683" s="16" t="s">
        <v>27234</v>
      </c>
      <c r="B7683" s="16" t="s">
        <v>49360</v>
      </c>
      <c r="C7683" s="16" t="s">
        <v>49361</v>
      </c>
      <c r="D7683" s="16" t="s">
        <v>16</v>
      </c>
      <c r="E7683" s="17" t="s">
        <v>49362</v>
      </c>
      <c r="F7683" s="16" t="s">
        <v>23238</v>
      </c>
      <c r="G7683" s="16">
        <v>23.61</v>
      </c>
      <c r="H7683" s="16"/>
      <c r="I7683" s="16"/>
      <c r="J7683" s="16" t="s">
        <v>49363</v>
      </c>
      <c r="K7683" s="16" t="s">
        <v>49364</v>
      </c>
      <c r="L7683" s="16"/>
      <c r="M7683" s="25" t="s">
        <v>49365</v>
      </c>
      <c r="N7683" s="12"/>
      <c r="O7683" s="12"/>
      <c r="P7683" s="13">
        <f>IFERROR(__xludf.DUMMYFUNCTION("VALUE(SUBSTITUTE((INDEX(SPLIT(A7683,"",""),1)),""."","","",1))"),54.938674)</f>
        <v>54.938674</v>
      </c>
      <c r="Q7683" s="13">
        <f>IFERROR(__xludf.DUMMYFUNCTION("VALUE(SUBSTITUTE((INDEX(SPLIT(A7683,"",""),2)),""."","","",1))"),73.290481)</f>
        <v>73.290481</v>
      </c>
      <c r="R7683" s="14" t="b">
        <f t="shared" si="1"/>
        <v>0</v>
      </c>
      <c r="S7683" s="14" t="str">
        <f t="shared" si="2"/>
        <v>54.938674,73.290481</v>
      </c>
      <c r="T7683" s="12"/>
    </row>
    <row r="7684">
      <c r="A7684" s="10" t="s">
        <v>27241</v>
      </c>
      <c r="B7684" s="8" t="s">
        <v>16341</v>
      </c>
      <c r="C7684" s="8" t="s">
        <v>16342</v>
      </c>
      <c r="D7684" s="8" t="s">
        <v>16</v>
      </c>
      <c r="E7684" s="9" t="s">
        <v>49366</v>
      </c>
      <c r="F7684" s="10" t="s">
        <v>23238</v>
      </c>
      <c r="G7684" s="8">
        <v>23.61</v>
      </c>
      <c r="H7684" s="8"/>
      <c r="I7684" s="10"/>
      <c r="J7684" s="10" t="s">
        <v>49367</v>
      </c>
      <c r="K7684" s="10" t="s">
        <v>49368</v>
      </c>
      <c r="L7684" s="11" t="s">
        <v>49369</v>
      </c>
      <c r="M7684" s="10"/>
      <c r="N7684" s="12"/>
      <c r="O7684" s="12"/>
      <c r="P7684" s="13">
        <f>IFERROR(__xludf.DUMMYFUNCTION("VALUE(SUBSTITUTE((INDEX(SPLIT(A7684,"",""),1)),""."","","",1))"),54.948117)</f>
        <v>54.948117</v>
      </c>
      <c r="Q7684" s="13">
        <f>IFERROR(__xludf.DUMMYFUNCTION("VALUE(SUBSTITUTE((INDEX(SPLIT(A7684,"",""),2)),""."","","",1))"),73.292727)</f>
        <v>73.292727</v>
      </c>
      <c r="R7684" s="14" t="b">
        <f t="shared" si="1"/>
        <v>0</v>
      </c>
      <c r="S7684" s="14" t="str">
        <f t="shared" si="2"/>
        <v>54.948117,73.292727</v>
      </c>
      <c r="T7684" s="12"/>
    </row>
    <row r="7685">
      <c r="A7685" s="22" t="s">
        <v>27247</v>
      </c>
      <c r="B7685" s="16" t="s">
        <v>97</v>
      </c>
      <c r="C7685" s="16" t="s">
        <v>98</v>
      </c>
      <c r="D7685" s="16" t="s">
        <v>16</v>
      </c>
      <c r="E7685" s="21" t="s">
        <v>49370</v>
      </c>
      <c r="F7685" s="22" t="s">
        <v>23238</v>
      </c>
      <c r="G7685" s="16">
        <v>23.61</v>
      </c>
      <c r="H7685" s="16"/>
      <c r="I7685" s="22"/>
      <c r="J7685" s="22" t="s">
        <v>49371</v>
      </c>
      <c r="K7685" s="22" t="s">
        <v>49372</v>
      </c>
      <c r="L7685" s="30" t="s">
        <v>49373</v>
      </c>
      <c r="M7685" s="22"/>
      <c r="N7685" s="12"/>
      <c r="O7685" s="12"/>
      <c r="P7685" s="13">
        <f>IFERROR(__xludf.DUMMYFUNCTION("VALUE(SUBSTITUTE((INDEX(SPLIT(A7685,"",""),1)),""."","","",1))"),55.04497)</f>
        <v>55.04497</v>
      </c>
      <c r="Q7685" s="13">
        <f>IFERROR(__xludf.DUMMYFUNCTION("VALUE(SUBSTITUTE((INDEX(SPLIT(A7685,"",""),2)),""."","","",1))"),73.294415)</f>
        <v>73.294415</v>
      </c>
      <c r="R7685" s="14" t="b">
        <f t="shared" si="1"/>
        <v>0</v>
      </c>
      <c r="S7685" s="14" t="str">
        <f t="shared" si="2"/>
        <v>55.04497,73.294415</v>
      </c>
      <c r="T7685" s="12"/>
    </row>
    <row r="7686">
      <c r="A7686" s="10" t="s">
        <v>27253</v>
      </c>
      <c r="B7686" s="8" t="s">
        <v>47495</v>
      </c>
      <c r="C7686" s="8" t="s">
        <v>49374</v>
      </c>
      <c r="D7686" s="8" t="s">
        <v>16</v>
      </c>
      <c r="E7686" s="9" t="s">
        <v>49375</v>
      </c>
      <c r="F7686" s="10" t="s">
        <v>23238</v>
      </c>
      <c r="G7686" s="8">
        <v>23.61</v>
      </c>
      <c r="H7686" s="8"/>
      <c r="I7686" s="10"/>
      <c r="J7686" s="10" t="s">
        <v>49376</v>
      </c>
      <c r="K7686" s="10" t="s">
        <v>49377</v>
      </c>
      <c r="L7686" s="11" t="s">
        <v>49378</v>
      </c>
      <c r="M7686" s="10"/>
      <c r="N7686" s="12"/>
      <c r="O7686" s="12"/>
      <c r="P7686" s="13">
        <f>IFERROR(__xludf.DUMMYFUNCTION("VALUE(SUBSTITUTE((INDEX(SPLIT(A7686,"",""),1)),""."","","",1))"),55.002583)</f>
        <v>55.002583</v>
      </c>
      <c r="Q7686" s="13">
        <f>IFERROR(__xludf.DUMMYFUNCTION("VALUE(SUBSTITUTE((INDEX(SPLIT(A7686,"",""),2)),""."","","",1))"),73.296491)</f>
        <v>73.296491</v>
      </c>
      <c r="R7686" s="14" t="b">
        <f t="shared" si="1"/>
        <v>0</v>
      </c>
      <c r="S7686" s="14" t="str">
        <f t="shared" si="2"/>
        <v>55.002583,73.296491</v>
      </c>
      <c r="T7686" s="12"/>
    </row>
    <row r="7687">
      <c r="A7687" s="22" t="s">
        <v>27260</v>
      </c>
      <c r="B7687" s="16" t="s">
        <v>49379</v>
      </c>
      <c r="C7687" s="16" t="s">
        <v>49380</v>
      </c>
      <c r="D7687" s="16" t="s">
        <v>16</v>
      </c>
      <c r="E7687" s="21" t="s">
        <v>49381</v>
      </c>
      <c r="F7687" s="22" t="s">
        <v>23238</v>
      </c>
      <c r="G7687" s="16">
        <v>23.61</v>
      </c>
      <c r="H7687" s="16"/>
      <c r="I7687" s="22"/>
      <c r="J7687" s="22" t="s">
        <v>49382</v>
      </c>
      <c r="K7687" s="22" t="s">
        <v>49383</v>
      </c>
      <c r="L7687" s="23" t="s">
        <v>49384</v>
      </c>
      <c r="M7687" s="23" t="s">
        <v>49385</v>
      </c>
      <c r="N7687" s="12"/>
      <c r="O7687" s="12"/>
      <c r="P7687" s="13">
        <f>IFERROR(__xludf.DUMMYFUNCTION("VALUE(SUBSTITUTE((INDEX(SPLIT(A7687,"",""),1)),""."","","",1))"),54.979351)</f>
        <v>54.979351</v>
      </c>
      <c r="Q7687" s="13">
        <f>IFERROR(__xludf.DUMMYFUNCTION("VALUE(SUBSTITUTE((INDEX(SPLIT(A7687,"",""),2)),""."","","",1))"),73.299787)</f>
        <v>73.299787</v>
      </c>
      <c r="R7687" s="14" t="b">
        <f t="shared" si="1"/>
        <v>0</v>
      </c>
      <c r="S7687" s="14" t="str">
        <f t="shared" si="2"/>
        <v>54.979351,73.299787</v>
      </c>
      <c r="T7687" s="12"/>
    </row>
    <row r="7688">
      <c r="A7688" s="8" t="s">
        <v>27265</v>
      </c>
      <c r="B7688" s="8" t="s">
        <v>49386</v>
      </c>
      <c r="C7688" s="8" t="s">
        <v>49387</v>
      </c>
      <c r="D7688" s="8" t="s">
        <v>16</v>
      </c>
      <c r="E7688" s="19" t="s">
        <v>49388</v>
      </c>
      <c r="F7688" s="8" t="s">
        <v>23238</v>
      </c>
      <c r="G7688" s="8">
        <v>23.61</v>
      </c>
      <c r="H7688" s="8"/>
      <c r="I7688" s="8"/>
      <c r="J7688" s="8" t="s">
        <v>49389</v>
      </c>
      <c r="K7688" s="8" t="s">
        <v>49390</v>
      </c>
      <c r="L7688" s="8"/>
      <c r="M7688" s="8"/>
      <c r="N7688" s="12"/>
      <c r="O7688" s="12"/>
      <c r="P7688" s="13">
        <f>IFERROR(__xludf.DUMMYFUNCTION("VALUE(SUBSTITUTE((INDEX(SPLIT(A7688,"",""),1)),""."","","",1))"),55.072304)</f>
        <v>55.072304</v>
      </c>
      <c r="Q7688" s="13">
        <f>IFERROR(__xludf.DUMMYFUNCTION("VALUE(SUBSTITUTE((INDEX(SPLIT(A7688,"",""),2)),""."","","",1))"),73.30038)</f>
        <v>73.30038</v>
      </c>
      <c r="R7688" s="14" t="b">
        <f t="shared" si="1"/>
        <v>0</v>
      </c>
      <c r="S7688" s="14" t="str">
        <f t="shared" si="2"/>
        <v>55.072304,73.30038</v>
      </c>
      <c r="T7688" s="12"/>
    </row>
    <row r="7689">
      <c r="A7689" s="22" t="s">
        <v>27271</v>
      </c>
      <c r="B7689" s="16" t="s">
        <v>49391</v>
      </c>
      <c r="C7689" s="16" t="s">
        <v>49392</v>
      </c>
      <c r="D7689" s="16" t="s">
        <v>16</v>
      </c>
      <c r="E7689" s="21" t="s">
        <v>49393</v>
      </c>
      <c r="F7689" s="22" t="s">
        <v>23238</v>
      </c>
      <c r="G7689" s="16">
        <v>23.61</v>
      </c>
      <c r="H7689" s="16"/>
      <c r="I7689" s="22"/>
      <c r="J7689" s="22" t="s">
        <v>49394</v>
      </c>
      <c r="K7689" s="22" t="s">
        <v>49395</v>
      </c>
      <c r="L7689" s="23" t="s">
        <v>49396</v>
      </c>
      <c r="M7689" s="23" t="s">
        <v>49397</v>
      </c>
      <c r="N7689" s="12"/>
      <c r="O7689" s="12"/>
      <c r="P7689" s="13">
        <f>IFERROR(__xludf.DUMMYFUNCTION("VALUE(SUBSTITUTE((INDEX(SPLIT(A7689,"",""),1)),""."","","",1))"),55.066587)</f>
        <v>55.066587</v>
      </c>
      <c r="Q7689" s="13">
        <f>IFERROR(__xludf.DUMMYFUNCTION("VALUE(SUBSTITUTE((INDEX(SPLIT(A7689,"",""),2)),""."","","",1))"),73.303533)</f>
        <v>73.303533</v>
      </c>
      <c r="R7689" s="14" t="b">
        <f t="shared" si="1"/>
        <v>0</v>
      </c>
      <c r="S7689" s="14" t="str">
        <f t="shared" si="2"/>
        <v>55.066587,73.303533</v>
      </c>
      <c r="T7689" s="12"/>
    </row>
    <row r="7690">
      <c r="A7690" s="8" t="s">
        <v>27277</v>
      </c>
      <c r="B7690" s="8" t="s">
        <v>49398</v>
      </c>
      <c r="C7690" s="8" t="s">
        <v>49399</v>
      </c>
      <c r="D7690" s="8" t="s">
        <v>16</v>
      </c>
      <c r="E7690" s="19" t="s">
        <v>49400</v>
      </c>
      <c r="F7690" s="8" t="s">
        <v>23238</v>
      </c>
      <c r="G7690" s="8">
        <v>23.61</v>
      </c>
      <c r="H7690" s="8"/>
      <c r="I7690" s="8"/>
      <c r="J7690" s="8" t="s">
        <v>49401</v>
      </c>
      <c r="K7690" s="8" t="s">
        <v>49402</v>
      </c>
      <c r="L7690" s="8"/>
      <c r="M7690" s="24" t="s">
        <v>49403</v>
      </c>
      <c r="N7690" s="12"/>
      <c r="O7690" s="12"/>
      <c r="P7690" s="13">
        <f>IFERROR(__xludf.DUMMYFUNCTION("VALUE(SUBSTITUTE((INDEX(SPLIT(A7690,"",""),1)),""."","","",1))"),55.003146)</f>
        <v>55.003146</v>
      </c>
      <c r="Q7690" s="13">
        <f>IFERROR(__xludf.DUMMYFUNCTION("VALUE(SUBSTITUTE((INDEX(SPLIT(A7690,"",""),2)),""."","","",1))"),73.304108)</f>
        <v>73.304108</v>
      </c>
      <c r="R7690" s="14" t="b">
        <f t="shared" si="1"/>
        <v>0</v>
      </c>
      <c r="S7690" s="14" t="str">
        <f t="shared" si="2"/>
        <v>55.003146,73.304108</v>
      </c>
      <c r="T7690" s="12"/>
    </row>
    <row r="7691">
      <c r="A7691" s="16" t="s">
        <v>27284</v>
      </c>
      <c r="B7691" s="16" t="s">
        <v>49404</v>
      </c>
      <c r="C7691" s="16" t="s">
        <v>49405</v>
      </c>
      <c r="D7691" s="16" t="s">
        <v>16</v>
      </c>
      <c r="E7691" s="17" t="s">
        <v>49406</v>
      </c>
      <c r="F7691" s="16" t="s">
        <v>23238</v>
      </c>
      <c r="G7691" s="16">
        <v>23.61</v>
      </c>
      <c r="H7691" s="16"/>
      <c r="I7691" s="16"/>
      <c r="J7691" s="16" t="s">
        <v>49407</v>
      </c>
      <c r="K7691" s="16" t="s">
        <v>49408</v>
      </c>
      <c r="L7691" s="16"/>
      <c r="M7691" s="16"/>
      <c r="N7691" s="12"/>
      <c r="O7691" s="12"/>
      <c r="P7691" s="13">
        <f>IFERROR(__xludf.DUMMYFUNCTION("VALUE(SUBSTITUTE((INDEX(SPLIT(A7691,"",""),1)),""."","","",1))"),54.994119)</f>
        <v>54.994119</v>
      </c>
      <c r="Q7691" s="13">
        <f>IFERROR(__xludf.DUMMYFUNCTION("VALUE(SUBSTITUTE((INDEX(SPLIT(A7691,"",""),2)),""."","","",1))"),73.307908)</f>
        <v>73.307908</v>
      </c>
      <c r="R7691" s="14" t="b">
        <f t="shared" si="1"/>
        <v>0</v>
      </c>
      <c r="S7691" s="14" t="str">
        <f t="shared" si="2"/>
        <v>54.994119,73.307908</v>
      </c>
      <c r="T7691" s="12"/>
    </row>
    <row r="7692">
      <c r="A7692" s="10" t="s">
        <v>27290</v>
      </c>
      <c r="B7692" s="8" t="s">
        <v>14</v>
      </c>
      <c r="C7692" s="8" t="s">
        <v>15</v>
      </c>
      <c r="D7692" s="8" t="s">
        <v>16</v>
      </c>
      <c r="E7692" s="9" t="s">
        <v>49409</v>
      </c>
      <c r="F7692" s="10" t="s">
        <v>23238</v>
      </c>
      <c r="G7692" s="8">
        <v>23.61</v>
      </c>
      <c r="H7692" s="8"/>
      <c r="I7692" s="10"/>
      <c r="J7692" s="10" t="s">
        <v>49410</v>
      </c>
      <c r="K7692" s="10" t="s">
        <v>49411</v>
      </c>
      <c r="L7692" s="11" t="s">
        <v>49412</v>
      </c>
      <c r="M7692" s="11" t="s">
        <v>49413</v>
      </c>
      <c r="N7692" s="12"/>
      <c r="O7692" s="12"/>
      <c r="P7692" s="13">
        <f>IFERROR(__xludf.DUMMYFUNCTION("VALUE(SUBSTITUTE((INDEX(SPLIT(A7692,"",""),1)),""."","","",1))"),54.946907)</f>
        <v>54.946907</v>
      </c>
      <c r="Q7692" s="13">
        <f>IFERROR(__xludf.DUMMYFUNCTION("VALUE(SUBSTITUTE((INDEX(SPLIT(A7692,"",""),2)),""."","","",1))"),73.310055)</f>
        <v>73.310055</v>
      </c>
      <c r="R7692" s="14" t="b">
        <f t="shared" si="1"/>
        <v>0</v>
      </c>
      <c r="S7692" s="14" t="str">
        <f t="shared" si="2"/>
        <v>54.946907,73.310055</v>
      </c>
      <c r="T7692" s="12"/>
    </row>
    <row r="7693">
      <c r="A7693" s="22" t="s">
        <v>27296</v>
      </c>
      <c r="B7693" s="16" t="s">
        <v>49414</v>
      </c>
      <c r="C7693" s="16" t="s">
        <v>49415</v>
      </c>
      <c r="D7693" s="16" t="s">
        <v>16</v>
      </c>
      <c r="E7693" s="21" t="s">
        <v>49416</v>
      </c>
      <c r="F7693" s="22" t="s">
        <v>23238</v>
      </c>
      <c r="G7693" s="16">
        <v>23.61</v>
      </c>
      <c r="H7693" s="16"/>
      <c r="I7693" s="22"/>
      <c r="J7693" s="22" t="s">
        <v>49417</v>
      </c>
      <c r="K7693" s="22" t="s">
        <v>49418</v>
      </c>
      <c r="L7693" s="23" t="s">
        <v>49419</v>
      </c>
      <c r="M7693" s="22"/>
      <c r="N7693" s="12"/>
      <c r="O7693" s="12"/>
      <c r="P7693" s="13">
        <f>IFERROR(__xludf.DUMMYFUNCTION("VALUE(SUBSTITUTE((INDEX(SPLIT(A7693,"",""),1)),""."","","",1))"),54.944223)</f>
        <v>54.944223</v>
      </c>
      <c r="Q7693" s="13">
        <f>IFERROR(__xludf.DUMMYFUNCTION("VALUE(SUBSTITUTE((INDEX(SPLIT(A7693,"",""),2)),""."","","",1))"),73.31372)</f>
        <v>73.31372</v>
      </c>
      <c r="R7693" s="14" t="b">
        <f t="shared" si="1"/>
        <v>0</v>
      </c>
      <c r="S7693" s="14" t="str">
        <f t="shared" si="2"/>
        <v>54.944223,73.31372</v>
      </c>
      <c r="T7693" s="12"/>
    </row>
    <row r="7694">
      <c r="A7694" s="8" t="s">
        <v>27301</v>
      </c>
      <c r="B7694" s="8" t="s">
        <v>49420</v>
      </c>
      <c r="C7694" s="8" t="s">
        <v>49421</v>
      </c>
      <c r="D7694" s="8" t="s">
        <v>16</v>
      </c>
      <c r="E7694" s="19" t="s">
        <v>49422</v>
      </c>
      <c r="F7694" s="8" t="s">
        <v>23238</v>
      </c>
      <c r="G7694" s="8">
        <v>23.61</v>
      </c>
      <c r="H7694" s="8"/>
      <c r="I7694" s="8"/>
      <c r="J7694" s="8" t="s">
        <v>49423</v>
      </c>
      <c r="K7694" s="8" t="s">
        <v>49424</v>
      </c>
      <c r="L7694" s="8"/>
      <c r="M7694" s="24" t="s">
        <v>49425</v>
      </c>
      <c r="N7694" s="12"/>
      <c r="O7694" s="12"/>
      <c r="P7694" s="13">
        <f>IFERROR(__xludf.DUMMYFUNCTION("VALUE(SUBSTITUTE((INDEX(SPLIT(A7694,"",""),1)),""."","","",1))"),54.910125)</f>
        <v>54.910125</v>
      </c>
      <c r="Q7694" s="13">
        <f>IFERROR(__xludf.DUMMYFUNCTION("VALUE(SUBSTITUTE((INDEX(SPLIT(A7694,"",""),2)),""."","","",1))"),73.314421)</f>
        <v>73.314421</v>
      </c>
      <c r="R7694" s="14" t="b">
        <f t="shared" si="1"/>
        <v>0</v>
      </c>
      <c r="S7694" s="14" t="str">
        <f t="shared" si="2"/>
        <v>54.910125,73.314421</v>
      </c>
      <c r="T7694" s="12"/>
    </row>
    <row r="7695">
      <c r="A7695" s="22" t="s">
        <v>27309</v>
      </c>
      <c r="B7695" s="16" t="s">
        <v>49426</v>
      </c>
      <c r="C7695" s="16" t="s">
        <v>49427</v>
      </c>
      <c r="D7695" s="16" t="s">
        <v>16</v>
      </c>
      <c r="E7695" s="21" t="s">
        <v>49428</v>
      </c>
      <c r="F7695" s="22" t="s">
        <v>23238</v>
      </c>
      <c r="G7695" s="16">
        <v>23.61</v>
      </c>
      <c r="H7695" s="16"/>
      <c r="I7695" s="22"/>
      <c r="J7695" s="22" t="s">
        <v>49429</v>
      </c>
      <c r="K7695" s="22" t="s">
        <v>49430</v>
      </c>
      <c r="L7695" s="23" t="s">
        <v>49431</v>
      </c>
      <c r="M7695" s="22"/>
      <c r="N7695" s="12"/>
      <c r="O7695" s="12"/>
      <c r="P7695" s="13">
        <f>IFERROR(__xludf.DUMMYFUNCTION("VALUE(SUBSTITUTE((INDEX(SPLIT(A7695,"",""),1)),""."","","",1))"),54.990385)</f>
        <v>54.990385</v>
      </c>
      <c r="Q7695" s="13">
        <f>IFERROR(__xludf.DUMMYFUNCTION("VALUE(SUBSTITUTE((INDEX(SPLIT(A7695,"",""),2)),""."","","",1))"),73.315283)</f>
        <v>73.315283</v>
      </c>
      <c r="R7695" s="14" t="b">
        <f t="shared" si="1"/>
        <v>0</v>
      </c>
      <c r="S7695" s="14" t="str">
        <f t="shared" si="2"/>
        <v>54.990385,73.315283</v>
      </c>
      <c r="T7695" s="12"/>
    </row>
    <row r="7696">
      <c r="A7696" s="8" t="s">
        <v>27316</v>
      </c>
      <c r="B7696" s="8" t="s">
        <v>49432</v>
      </c>
      <c r="C7696" s="8" t="s">
        <v>49433</v>
      </c>
      <c r="D7696" s="8" t="s">
        <v>16</v>
      </c>
      <c r="E7696" s="19" t="s">
        <v>49434</v>
      </c>
      <c r="F7696" s="8" t="s">
        <v>23238</v>
      </c>
      <c r="G7696" s="8">
        <v>23.61</v>
      </c>
      <c r="H7696" s="8"/>
      <c r="I7696" s="8"/>
      <c r="J7696" s="8" t="s">
        <v>49435</v>
      </c>
      <c r="K7696" s="8" t="s">
        <v>49436</v>
      </c>
      <c r="L7696" s="8"/>
      <c r="M7696" s="24" t="s">
        <v>49437</v>
      </c>
      <c r="N7696" s="12"/>
      <c r="O7696" s="12"/>
      <c r="P7696" s="13">
        <f>IFERROR(__xludf.DUMMYFUNCTION("VALUE(SUBSTITUTE((INDEX(SPLIT(A7696,"",""),1)),""."","","",1))"),54.988185)</f>
        <v>54.988185</v>
      </c>
      <c r="Q7696" s="13">
        <f>IFERROR(__xludf.DUMMYFUNCTION("VALUE(SUBSTITUTE((INDEX(SPLIT(A7696,"",""),2)),""."","","",1))"),73.32185)</f>
        <v>73.32185</v>
      </c>
      <c r="R7696" s="14" t="b">
        <f t="shared" si="1"/>
        <v>0</v>
      </c>
      <c r="S7696" s="14" t="str">
        <f t="shared" si="2"/>
        <v>54.988185,73.32185</v>
      </c>
      <c r="T7696" s="12"/>
    </row>
    <row r="7697">
      <c r="A7697" s="16" t="s">
        <v>27323</v>
      </c>
      <c r="B7697" s="16" t="s">
        <v>49438</v>
      </c>
      <c r="C7697" s="16" t="s">
        <v>49439</v>
      </c>
      <c r="D7697" s="16" t="s">
        <v>16</v>
      </c>
      <c r="E7697" s="17" t="s">
        <v>49440</v>
      </c>
      <c r="F7697" s="16" t="s">
        <v>23238</v>
      </c>
      <c r="G7697" s="16">
        <v>23.61</v>
      </c>
      <c r="H7697" s="16"/>
      <c r="I7697" s="16"/>
      <c r="J7697" s="16" t="s">
        <v>49441</v>
      </c>
      <c r="K7697" s="16" t="s">
        <v>49442</v>
      </c>
      <c r="L7697" s="16"/>
      <c r="M7697" s="25" t="s">
        <v>49443</v>
      </c>
      <c r="N7697" s="12"/>
      <c r="O7697" s="12"/>
      <c r="P7697" s="13">
        <f>IFERROR(__xludf.DUMMYFUNCTION("VALUE(SUBSTITUTE((INDEX(SPLIT(A7697,"",""),1)),""."","","",1))"),54.938995)</f>
        <v>54.938995</v>
      </c>
      <c r="Q7697" s="13">
        <f>IFERROR(__xludf.DUMMYFUNCTION("VALUE(SUBSTITUTE((INDEX(SPLIT(A7697,"",""),2)),""."","","",1))"),73.324895)</f>
        <v>73.324895</v>
      </c>
      <c r="R7697" s="14" t="b">
        <f t="shared" si="1"/>
        <v>0</v>
      </c>
      <c r="S7697" s="14" t="str">
        <f t="shared" si="2"/>
        <v>54.938995,73.324895</v>
      </c>
      <c r="T7697" s="12"/>
    </row>
    <row r="7698">
      <c r="A7698" s="10" t="s">
        <v>27329</v>
      </c>
      <c r="B7698" s="8" t="s">
        <v>49444</v>
      </c>
      <c r="C7698" s="8" t="s">
        <v>49445</v>
      </c>
      <c r="D7698" s="8" t="s">
        <v>16</v>
      </c>
      <c r="E7698" s="9" t="s">
        <v>49446</v>
      </c>
      <c r="F7698" s="10" t="s">
        <v>23238</v>
      </c>
      <c r="G7698" s="8">
        <v>23.61</v>
      </c>
      <c r="H7698" s="8"/>
      <c r="I7698" s="10"/>
      <c r="J7698" s="10" t="s">
        <v>49447</v>
      </c>
      <c r="K7698" s="10" t="s">
        <v>49448</v>
      </c>
      <c r="L7698" s="11" t="s">
        <v>49449</v>
      </c>
      <c r="M7698" s="10"/>
      <c r="N7698" s="12"/>
      <c r="O7698" s="12"/>
      <c r="P7698" s="13">
        <f>IFERROR(__xludf.DUMMYFUNCTION("VALUE(SUBSTITUTE((INDEX(SPLIT(A7698,"",""),1)),""."","","",1))"),55.003621)</f>
        <v>55.003621</v>
      </c>
      <c r="Q7698" s="13">
        <f>IFERROR(__xludf.DUMMYFUNCTION("VALUE(SUBSTITUTE((INDEX(SPLIT(A7698,"",""),2)),""."","","",1))"),73.343724)</f>
        <v>73.343724</v>
      </c>
      <c r="R7698" s="14" t="b">
        <f t="shared" si="1"/>
        <v>0</v>
      </c>
      <c r="S7698" s="14" t="str">
        <f t="shared" si="2"/>
        <v>55.003621,73.343724</v>
      </c>
      <c r="T7698" s="12"/>
    </row>
    <row r="7699">
      <c r="A7699" s="22" t="s">
        <v>27336</v>
      </c>
      <c r="B7699" s="16" t="s">
        <v>49450</v>
      </c>
      <c r="C7699" s="16" t="s">
        <v>49451</v>
      </c>
      <c r="D7699" s="16" t="s">
        <v>16</v>
      </c>
      <c r="E7699" s="21" t="s">
        <v>49452</v>
      </c>
      <c r="F7699" s="22" t="s">
        <v>23238</v>
      </c>
      <c r="G7699" s="16">
        <v>23.61</v>
      </c>
      <c r="H7699" s="16"/>
      <c r="I7699" s="22"/>
      <c r="J7699" s="22" t="s">
        <v>49453</v>
      </c>
      <c r="K7699" s="22" t="s">
        <v>49454</v>
      </c>
      <c r="L7699" s="23" t="s">
        <v>49455</v>
      </c>
      <c r="M7699" s="23" t="s">
        <v>49456</v>
      </c>
      <c r="N7699" s="12"/>
      <c r="O7699" s="12"/>
      <c r="P7699" s="13">
        <f>IFERROR(__xludf.DUMMYFUNCTION("VALUE(SUBSTITUTE((INDEX(SPLIT(A7699,"",""),1)),""."","","",1))"),55.026938)</f>
        <v>55.026938</v>
      </c>
      <c r="Q7699" s="13">
        <f>IFERROR(__xludf.DUMMYFUNCTION("VALUE(SUBSTITUTE((INDEX(SPLIT(A7699,"",""),2)),""."","","",1))"),73.363864)</f>
        <v>73.363864</v>
      </c>
      <c r="R7699" s="14" t="b">
        <f t="shared" si="1"/>
        <v>0</v>
      </c>
      <c r="S7699" s="14" t="str">
        <f t="shared" si="2"/>
        <v>55.026938,73.363864</v>
      </c>
      <c r="T7699" s="12"/>
    </row>
    <row r="7700">
      <c r="A7700" s="8" t="s">
        <v>27341</v>
      </c>
      <c r="B7700" s="8" t="s">
        <v>1663</v>
      </c>
      <c r="C7700" s="8" t="s">
        <v>1664</v>
      </c>
      <c r="D7700" s="8" t="s">
        <v>16</v>
      </c>
      <c r="E7700" s="19" t="s">
        <v>49457</v>
      </c>
      <c r="F7700" s="8" t="s">
        <v>23238</v>
      </c>
      <c r="G7700" s="8">
        <v>23.61</v>
      </c>
      <c r="H7700" s="8"/>
      <c r="I7700" s="8"/>
      <c r="J7700" s="8" t="s">
        <v>49458</v>
      </c>
      <c r="K7700" s="8" t="s">
        <v>49459</v>
      </c>
      <c r="L7700" s="8"/>
      <c r="M7700" s="8"/>
      <c r="N7700" s="12"/>
      <c r="O7700" s="12"/>
      <c r="P7700" s="13">
        <f>IFERROR(__xludf.DUMMYFUNCTION("VALUE(SUBSTITUTE((INDEX(SPLIT(A7700,"",""),1)),""."","","",1))"),54.989347)</f>
        <v>54.989347</v>
      </c>
      <c r="Q7700" s="13">
        <f>IFERROR(__xludf.DUMMYFUNCTION("VALUE(SUBSTITUTE((INDEX(SPLIT(A7700,"",""),2)),""."","","",1))"),73.368221)</f>
        <v>73.368221</v>
      </c>
      <c r="R7700" s="14" t="b">
        <f t="shared" si="1"/>
        <v>0</v>
      </c>
      <c r="S7700" s="14" t="str">
        <f t="shared" si="2"/>
        <v>54.989347,73.368221</v>
      </c>
      <c r="T7700" s="12"/>
    </row>
    <row r="7701">
      <c r="A7701" s="16" t="s">
        <v>27347</v>
      </c>
      <c r="B7701" s="16" t="s">
        <v>49460</v>
      </c>
      <c r="C7701" s="16" t="s">
        <v>49461</v>
      </c>
      <c r="D7701" s="16" t="s">
        <v>16</v>
      </c>
      <c r="E7701" s="17" t="s">
        <v>49462</v>
      </c>
      <c r="F7701" s="16" t="s">
        <v>23238</v>
      </c>
      <c r="G7701" s="16">
        <v>23.61</v>
      </c>
      <c r="H7701" s="16"/>
      <c r="I7701" s="16"/>
      <c r="J7701" s="16" t="s">
        <v>49463</v>
      </c>
      <c r="K7701" s="16" t="s">
        <v>49464</v>
      </c>
      <c r="L7701" s="16"/>
      <c r="M7701" s="25" t="s">
        <v>49465</v>
      </c>
      <c r="N7701" s="12"/>
      <c r="O7701" s="12"/>
      <c r="P7701" s="13">
        <f>IFERROR(__xludf.DUMMYFUNCTION("VALUE(SUBSTITUTE((INDEX(SPLIT(A7701,"",""),1)),""."","","",1))"),54.997817)</f>
        <v>54.997817</v>
      </c>
      <c r="Q7701" s="13">
        <f>IFERROR(__xludf.DUMMYFUNCTION("VALUE(SUBSTITUTE((INDEX(SPLIT(A7701,"",""),2)),""."","","",1))"),73.369919)</f>
        <v>73.369919</v>
      </c>
      <c r="R7701" s="14" t="b">
        <f t="shared" si="1"/>
        <v>0</v>
      </c>
      <c r="S7701" s="14" t="str">
        <f t="shared" si="2"/>
        <v>54.997817,73.369919</v>
      </c>
      <c r="T7701" s="12"/>
    </row>
    <row r="7702">
      <c r="A7702" s="8" t="s">
        <v>27353</v>
      </c>
      <c r="B7702" s="8" t="s">
        <v>763</v>
      </c>
      <c r="C7702" s="8" t="s">
        <v>764</v>
      </c>
      <c r="D7702" s="8" t="s">
        <v>16</v>
      </c>
      <c r="E7702" s="19" t="s">
        <v>49466</v>
      </c>
      <c r="F7702" s="8" t="s">
        <v>23238</v>
      </c>
      <c r="G7702" s="8">
        <v>23.61</v>
      </c>
      <c r="H7702" s="8"/>
      <c r="I7702" s="8"/>
      <c r="J7702" s="8" t="s">
        <v>49467</v>
      </c>
      <c r="K7702" s="8" t="s">
        <v>49468</v>
      </c>
      <c r="L7702" s="8"/>
      <c r="M7702" s="24" t="s">
        <v>49469</v>
      </c>
      <c r="N7702" s="12"/>
      <c r="O7702" s="12"/>
      <c r="P7702" s="13">
        <f>IFERROR(__xludf.DUMMYFUNCTION("VALUE(SUBSTITUTE((INDEX(SPLIT(A7702,"",""),1)),""."","","",1))"),54.937898)</f>
        <v>54.937898</v>
      </c>
      <c r="Q7702" s="13">
        <f>IFERROR(__xludf.DUMMYFUNCTION("VALUE(SUBSTITUTE((INDEX(SPLIT(A7702,"",""),2)),""."","","",1))"),73.377042)</f>
        <v>73.377042</v>
      </c>
      <c r="R7702" s="14" t="b">
        <f t="shared" si="1"/>
        <v>0</v>
      </c>
      <c r="S7702" s="14" t="str">
        <f t="shared" si="2"/>
        <v>54.937898,73.377042</v>
      </c>
      <c r="T7702" s="12"/>
    </row>
    <row r="7703">
      <c r="A7703" s="16" t="s">
        <v>27359</v>
      </c>
      <c r="B7703" s="16" t="s">
        <v>9866</v>
      </c>
      <c r="C7703" s="16" t="s">
        <v>9867</v>
      </c>
      <c r="D7703" s="16" t="s">
        <v>16</v>
      </c>
      <c r="E7703" s="17" t="s">
        <v>49470</v>
      </c>
      <c r="F7703" s="16" t="s">
        <v>23238</v>
      </c>
      <c r="G7703" s="16">
        <v>23.61</v>
      </c>
      <c r="H7703" s="16"/>
      <c r="I7703" s="16"/>
      <c r="J7703" s="16" t="s">
        <v>49471</v>
      </c>
      <c r="K7703" s="16" t="s">
        <v>49472</v>
      </c>
      <c r="L7703" s="16"/>
      <c r="M7703" s="16"/>
      <c r="N7703" s="12"/>
      <c r="O7703" s="12"/>
      <c r="P7703" s="13">
        <f>IFERROR(__xludf.DUMMYFUNCTION("VALUE(SUBSTITUTE((INDEX(SPLIT(A7703,"",""),1)),""."","","",1))"),54.964391)</f>
        <v>54.964391</v>
      </c>
      <c r="Q7703" s="13">
        <f>IFERROR(__xludf.DUMMYFUNCTION("VALUE(SUBSTITUTE((INDEX(SPLIT(A7703,"",""),2)),""."","","",1))"),73.386062)</f>
        <v>73.386062</v>
      </c>
      <c r="R7703" s="14" t="b">
        <f t="shared" si="1"/>
        <v>0</v>
      </c>
      <c r="S7703" s="14" t="str">
        <f t="shared" si="2"/>
        <v>54.964391,73.386062</v>
      </c>
      <c r="T7703" s="12"/>
    </row>
    <row r="7704">
      <c r="A7704" s="10" t="s">
        <v>27366</v>
      </c>
      <c r="B7704" s="8" t="s">
        <v>49473</v>
      </c>
      <c r="C7704" s="8" t="s">
        <v>49474</v>
      </c>
      <c r="D7704" s="8" t="s">
        <v>16</v>
      </c>
      <c r="E7704" s="9" t="s">
        <v>49475</v>
      </c>
      <c r="F7704" s="10" t="s">
        <v>23238</v>
      </c>
      <c r="G7704" s="8">
        <v>23.61</v>
      </c>
      <c r="H7704" s="8"/>
      <c r="I7704" s="10"/>
      <c r="J7704" s="10" t="s">
        <v>49476</v>
      </c>
      <c r="K7704" s="10" t="s">
        <v>49477</v>
      </c>
      <c r="L7704" s="11" t="s">
        <v>49478</v>
      </c>
      <c r="M7704" s="10"/>
      <c r="N7704" s="12"/>
      <c r="O7704" s="12"/>
      <c r="P7704" s="13">
        <f>IFERROR(__xludf.DUMMYFUNCTION("VALUE(SUBSTITUTE((INDEX(SPLIT(A7704,"",""),1)),""."","","",1))"),54.982337)</f>
        <v>54.982337</v>
      </c>
      <c r="Q7704" s="13">
        <f>IFERROR(__xludf.DUMMYFUNCTION("VALUE(SUBSTITUTE((INDEX(SPLIT(A7704,"",""),2)),""."","","",1))"),73.386672)</f>
        <v>73.386672</v>
      </c>
      <c r="R7704" s="14" t="b">
        <f t="shared" si="1"/>
        <v>0</v>
      </c>
      <c r="S7704" s="14" t="str">
        <f t="shared" si="2"/>
        <v>54.982337,73.386672</v>
      </c>
      <c r="T7704" s="12"/>
    </row>
    <row r="7705">
      <c r="A7705" s="16" t="s">
        <v>27372</v>
      </c>
      <c r="B7705" s="16" t="s">
        <v>49479</v>
      </c>
      <c r="C7705" s="16" t="s">
        <v>49480</v>
      </c>
      <c r="D7705" s="16" t="s">
        <v>16</v>
      </c>
      <c r="E7705" s="17" t="s">
        <v>49481</v>
      </c>
      <c r="F7705" s="16" t="s">
        <v>23238</v>
      </c>
      <c r="G7705" s="16">
        <v>23.61</v>
      </c>
      <c r="H7705" s="16"/>
      <c r="I7705" s="16"/>
      <c r="J7705" s="16" t="s">
        <v>49482</v>
      </c>
      <c r="K7705" s="16" t="s">
        <v>49483</v>
      </c>
      <c r="L7705" s="16"/>
      <c r="M7705" s="16"/>
      <c r="N7705" s="12"/>
      <c r="O7705" s="12"/>
      <c r="P7705" s="13">
        <f>IFERROR(__xludf.DUMMYFUNCTION("VALUE(SUBSTITUTE((INDEX(SPLIT(A7705,"",""),1)),""."","","",1))"),54.96945)</f>
        <v>54.96945</v>
      </c>
      <c r="Q7705" s="13">
        <f>IFERROR(__xludf.DUMMYFUNCTION("VALUE(SUBSTITUTE((INDEX(SPLIT(A7705,"",""),2)),""."","","",1))"),73.395045)</f>
        <v>73.395045</v>
      </c>
      <c r="R7705" s="14" t="b">
        <f t="shared" si="1"/>
        <v>0</v>
      </c>
      <c r="S7705" s="14" t="str">
        <f t="shared" si="2"/>
        <v>54.96945,73.395045</v>
      </c>
      <c r="T7705" s="12"/>
    </row>
    <row r="7706">
      <c r="A7706" s="10" t="s">
        <v>27379</v>
      </c>
      <c r="B7706" s="8" t="s">
        <v>49484</v>
      </c>
      <c r="C7706" s="8" t="s">
        <v>49485</v>
      </c>
      <c r="D7706" s="8" t="s">
        <v>16</v>
      </c>
      <c r="E7706" s="9" t="s">
        <v>49486</v>
      </c>
      <c r="F7706" s="10" t="s">
        <v>3883</v>
      </c>
      <c r="G7706" s="8">
        <v>23.61</v>
      </c>
      <c r="H7706" s="8"/>
      <c r="I7706" s="10"/>
      <c r="J7706" s="10" t="s">
        <v>49487</v>
      </c>
      <c r="K7706" s="10" t="s">
        <v>49488</v>
      </c>
      <c r="L7706" s="11" t="s">
        <v>49489</v>
      </c>
      <c r="M7706" s="11" t="s">
        <v>49490</v>
      </c>
      <c r="N7706" s="12"/>
      <c r="O7706" s="12"/>
      <c r="P7706" s="13">
        <f>IFERROR(__xludf.DUMMYFUNCTION("VALUE(SUBSTITUTE((INDEX(SPLIT(A7706,"",""),1)),""."","","",1))"),54.980973)</f>
        <v>54.980973</v>
      </c>
      <c r="Q7706" s="13">
        <f>IFERROR(__xludf.DUMMYFUNCTION("VALUE(SUBSTITUTE((INDEX(SPLIT(A7706,"",""),2)),""."","","",1))"),73.396419)</f>
        <v>73.396419</v>
      </c>
      <c r="R7706" s="14" t="b">
        <f t="shared" si="1"/>
        <v>0</v>
      </c>
      <c r="S7706" s="14" t="str">
        <f t="shared" si="2"/>
        <v>54.980973,73.396419</v>
      </c>
      <c r="T7706" s="12"/>
    </row>
    <row r="7707">
      <c r="A7707" s="22" t="s">
        <v>27385</v>
      </c>
      <c r="B7707" s="16" t="s">
        <v>49491</v>
      </c>
      <c r="C7707" s="16" t="s">
        <v>49492</v>
      </c>
      <c r="D7707" s="16" t="s">
        <v>16</v>
      </c>
      <c r="E7707" s="21" t="s">
        <v>49493</v>
      </c>
      <c r="F7707" s="22" t="s">
        <v>23238</v>
      </c>
      <c r="G7707" s="16">
        <v>23.61</v>
      </c>
      <c r="H7707" s="16"/>
      <c r="I7707" s="22"/>
      <c r="J7707" s="22" t="s">
        <v>49494</v>
      </c>
      <c r="K7707" s="22" t="s">
        <v>49495</v>
      </c>
      <c r="L7707" s="30" t="s">
        <v>49496</v>
      </c>
      <c r="M7707" s="22"/>
      <c r="N7707" s="12"/>
      <c r="O7707" s="12"/>
      <c r="P7707" s="13">
        <f>IFERROR(__xludf.DUMMYFUNCTION("VALUE(SUBSTITUTE((INDEX(SPLIT(A7707,"",""),1)),""."","","",1))"),54.963248)</f>
        <v>54.963248</v>
      </c>
      <c r="Q7707" s="13">
        <f>IFERROR(__xludf.DUMMYFUNCTION("VALUE(SUBSTITUTE((INDEX(SPLIT(A7707,"",""),2)),""."","","",1))"),73.405753)</f>
        <v>73.405753</v>
      </c>
      <c r="R7707" s="14" t="b">
        <f t="shared" si="1"/>
        <v>0</v>
      </c>
      <c r="S7707" s="14" t="str">
        <f t="shared" si="2"/>
        <v>54.963248,73.405753</v>
      </c>
      <c r="T7707" s="12"/>
    </row>
    <row r="7708">
      <c r="A7708" s="16" t="s">
        <v>27397</v>
      </c>
      <c r="B7708" s="16" t="s">
        <v>49497</v>
      </c>
      <c r="C7708" s="16" t="s">
        <v>49498</v>
      </c>
      <c r="D7708" s="16" t="s">
        <v>16</v>
      </c>
      <c r="E7708" s="17" t="s">
        <v>49499</v>
      </c>
      <c r="F7708" s="16" t="s">
        <v>23238</v>
      </c>
      <c r="G7708" s="16">
        <v>23.61</v>
      </c>
      <c r="H7708" s="16"/>
      <c r="I7708" s="16"/>
      <c r="J7708" s="16" t="s">
        <v>49500</v>
      </c>
      <c r="K7708" s="16" t="s">
        <v>49501</v>
      </c>
      <c r="L7708" s="16"/>
      <c r="M7708" s="25" t="s">
        <v>27719</v>
      </c>
      <c r="N7708" s="12"/>
      <c r="O7708" s="12"/>
      <c r="P7708" s="13">
        <f>IFERROR(__xludf.DUMMYFUNCTION("VALUE(SUBSTITUTE((INDEX(SPLIT(A7708,"",""),1)),""."","","",1))"),54.937702)</f>
        <v>54.937702</v>
      </c>
      <c r="Q7708" s="13">
        <f>IFERROR(__xludf.DUMMYFUNCTION("VALUE(SUBSTITUTE((INDEX(SPLIT(A7708,"",""),2)),""."","","",1))"),73.431013)</f>
        <v>73.431013</v>
      </c>
      <c r="R7708" s="14" t="b">
        <f t="shared" si="1"/>
        <v>0</v>
      </c>
      <c r="S7708" s="14" t="str">
        <f t="shared" si="2"/>
        <v>54.937702,73.431013</v>
      </c>
      <c r="T7708" s="12"/>
    </row>
    <row r="7709">
      <c r="A7709" s="8" t="s">
        <v>27404</v>
      </c>
      <c r="B7709" s="8" t="s">
        <v>2522</v>
      </c>
      <c r="C7709" s="8" t="s">
        <v>2523</v>
      </c>
      <c r="D7709" s="8" t="s">
        <v>16</v>
      </c>
      <c r="E7709" s="19" t="s">
        <v>49502</v>
      </c>
      <c r="F7709" s="8" t="s">
        <v>23238</v>
      </c>
      <c r="G7709" s="8">
        <v>23.61</v>
      </c>
      <c r="H7709" s="8"/>
      <c r="I7709" s="8"/>
      <c r="J7709" s="8" t="s">
        <v>49503</v>
      </c>
      <c r="K7709" s="8" t="s">
        <v>43932</v>
      </c>
      <c r="L7709" s="8"/>
      <c r="M7709" s="24" t="s">
        <v>49504</v>
      </c>
      <c r="N7709" s="12"/>
      <c r="O7709" s="12"/>
      <c r="P7709" s="13">
        <f>IFERROR(__xludf.DUMMYFUNCTION("VALUE(SUBSTITUTE((INDEX(SPLIT(A7709,"",""),1)),""."","","",1))"),55.016698)</f>
        <v>55.016698</v>
      </c>
      <c r="Q7709" s="13">
        <f>IFERROR(__xludf.DUMMYFUNCTION("VALUE(SUBSTITUTE((INDEX(SPLIT(A7709,"",""),2)),""."","","",1))"),73.431193)</f>
        <v>73.431193</v>
      </c>
      <c r="R7709" s="14" t="b">
        <f t="shared" si="1"/>
        <v>0</v>
      </c>
      <c r="S7709" s="14" t="str">
        <f t="shared" si="2"/>
        <v>55.016698,73.431193</v>
      </c>
      <c r="T7709" s="12"/>
    </row>
    <row r="7710">
      <c r="A7710" s="22" t="s">
        <v>27412</v>
      </c>
      <c r="B7710" s="16" t="s">
        <v>49505</v>
      </c>
      <c r="C7710" s="16" t="s">
        <v>49506</v>
      </c>
      <c r="D7710" s="16" t="s">
        <v>16</v>
      </c>
      <c r="E7710" s="21" t="s">
        <v>49507</v>
      </c>
      <c r="F7710" s="22" t="s">
        <v>23238</v>
      </c>
      <c r="G7710" s="16">
        <v>23.61</v>
      </c>
      <c r="H7710" s="16"/>
      <c r="I7710" s="22"/>
      <c r="J7710" s="22" t="s">
        <v>49508</v>
      </c>
      <c r="K7710" s="22" t="s">
        <v>49509</v>
      </c>
      <c r="L7710" s="23" t="s">
        <v>49510</v>
      </c>
      <c r="M7710" s="22"/>
      <c r="N7710" s="12"/>
      <c r="O7710" s="12"/>
      <c r="P7710" s="13">
        <f>IFERROR(__xludf.DUMMYFUNCTION("VALUE(SUBSTITUTE((INDEX(SPLIT(A7710,"",""),1)),""."","","",1))"),55.021798)</f>
        <v>55.021798</v>
      </c>
      <c r="Q7710" s="13">
        <f>IFERROR(__xludf.DUMMYFUNCTION("VALUE(SUBSTITUTE((INDEX(SPLIT(A7710,"",""),2)),""."","","",1))"),73.431579)</f>
        <v>73.431579</v>
      </c>
      <c r="R7710" s="14" t="b">
        <f t="shared" si="1"/>
        <v>0</v>
      </c>
      <c r="S7710" s="14" t="str">
        <f t="shared" si="2"/>
        <v>55.021798,73.431579</v>
      </c>
      <c r="T7710" s="12"/>
    </row>
    <row r="7711">
      <c r="A7711" s="10" t="s">
        <v>27419</v>
      </c>
      <c r="B7711" s="8" t="s">
        <v>49511</v>
      </c>
      <c r="C7711" s="8" t="s">
        <v>49512</v>
      </c>
      <c r="D7711" s="8" t="s">
        <v>16</v>
      </c>
      <c r="E7711" s="9" t="s">
        <v>49513</v>
      </c>
      <c r="F7711" s="10" t="s">
        <v>23238</v>
      </c>
      <c r="G7711" s="8">
        <v>23.61</v>
      </c>
      <c r="H7711" s="8"/>
      <c r="I7711" s="10"/>
      <c r="J7711" s="10" t="s">
        <v>49514</v>
      </c>
      <c r="K7711" s="10" t="s">
        <v>49515</v>
      </c>
      <c r="L7711" s="11" t="s">
        <v>49516</v>
      </c>
      <c r="M7711" s="11" t="s">
        <v>49517</v>
      </c>
      <c r="N7711" s="12"/>
      <c r="O7711" s="12"/>
      <c r="P7711" s="13">
        <f>IFERROR(__xludf.DUMMYFUNCTION("VALUE(SUBSTITUTE((INDEX(SPLIT(A7711,"",""),1)),""."","","",1))"),54.984884)</f>
        <v>54.984884</v>
      </c>
      <c r="Q7711" s="13">
        <f>IFERROR(__xludf.DUMMYFUNCTION("VALUE(SUBSTITUTE((INDEX(SPLIT(A7711,"",""),2)),""."","","",1))"),73.43325)</f>
        <v>73.43325</v>
      </c>
      <c r="R7711" s="14" t="b">
        <f t="shared" si="1"/>
        <v>0</v>
      </c>
      <c r="S7711" s="14" t="str">
        <f t="shared" si="2"/>
        <v>54.984884,73.43325</v>
      </c>
      <c r="T7711" s="12"/>
    </row>
    <row r="7712">
      <c r="A7712" s="22" t="s">
        <v>27426</v>
      </c>
      <c r="B7712" s="16" t="s">
        <v>49518</v>
      </c>
      <c r="C7712" s="16" t="s">
        <v>49519</v>
      </c>
      <c r="D7712" s="16" t="s">
        <v>16</v>
      </c>
      <c r="E7712" s="21" t="s">
        <v>49520</v>
      </c>
      <c r="F7712" s="22" t="s">
        <v>23238</v>
      </c>
      <c r="G7712" s="16">
        <v>23.61</v>
      </c>
      <c r="H7712" s="16"/>
      <c r="I7712" s="22"/>
      <c r="J7712" s="22" t="s">
        <v>49521</v>
      </c>
      <c r="K7712" s="22" t="s">
        <v>49522</v>
      </c>
      <c r="L7712" s="23" t="s">
        <v>49523</v>
      </c>
      <c r="M7712" s="22"/>
      <c r="N7712" s="12"/>
      <c r="O7712" s="12"/>
      <c r="P7712" s="13">
        <f>IFERROR(__xludf.DUMMYFUNCTION("VALUE(SUBSTITUTE((INDEX(SPLIT(A7712,"",""),1)),""."","","",1))"),54.90762)</f>
        <v>54.90762</v>
      </c>
      <c r="Q7712" s="13">
        <f>IFERROR(__xludf.DUMMYFUNCTION("VALUE(SUBSTITUTE((INDEX(SPLIT(A7712,"",""),2)),""."","","",1))"),73.440437)</f>
        <v>73.440437</v>
      </c>
      <c r="R7712" s="14" t="b">
        <f t="shared" si="1"/>
        <v>0</v>
      </c>
      <c r="S7712" s="14" t="str">
        <f t="shared" si="2"/>
        <v>54.90762,73.440437</v>
      </c>
      <c r="T7712" s="12"/>
    </row>
    <row r="7713">
      <c r="A7713" s="16" t="s">
        <v>27454</v>
      </c>
      <c r="B7713" s="16" t="s">
        <v>49524</v>
      </c>
      <c r="C7713" s="16" t="s">
        <v>49525</v>
      </c>
      <c r="D7713" s="16" t="s">
        <v>16</v>
      </c>
      <c r="E7713" s="17" t="s">
        <v>49526</v>
      </c>
      <c r="F7713" s="16" t="s">
        <v>23238</v>
      </c>
      <c r="G7713" s="16">
        <v>23.61</v>
      </c>
      <c r="H7713" s="16"/>
      <c r="I7713" s="16"/>
      <c r="J7713" s="16" t="s">
        <v>49527</v>
      </c>
      <c r="K7713" s="16" t="s">
        <v>49528</v>
      </c>
      <c r="L7713" s="16"/>
      <c r="M7713" s="25" t="s">
        <v>49529</v>
      </c>
      <c r="N7713" s="12"/>
      <c r="O7713" s="12"/>
      <c r="P7713" s="13">
        <f>IFERROR(__xludf.DUMMYFUNCTION("VALUE(SUBSTITUTE((INDEX(SPLIT(A7713,"",""),1)),""."","","",1))"),55.028151)</f>
        <v>55.028151</v>
      </c>
      <c r="Q7713" s="13">
        <f>IFERROR(__xludf.DUMMYFUNCTION("VALUE(SUBSTITUTE((INDEX(SPLIT(A7713,"",""),2)),""."","","",1))"),73.466892)</f>
        <v>73.466892</v>
      </c>
      <c r="R7713" s="14" t="b">
        <f t="shared" si="1"/>
        <v>0</v>
      </c>
      <c r="S7713" s="14" t="str">
        <f t="shared" si="2"/>
        <v>55.028151,73.466892</v>
      </c>
      <c r="T7713" s="12"/>
    </row>
    <row r="7714">
      <c r="A7714" s="8" t="s">
        <v>27460</v>
      </c>
      <c r="B7714" s="8" t="s">
        <v>49530</v>
      </c>
      <c r="C7714" s="8" t="s">
        <v>49531</v>
      </c>
      <c r="D7714" s="8" t="s">
        <v>16</v>
      </c>
      <c r="E7714" s="19" t="s">
        <v>49532</v>
      </c>
      <c r="F7714" s="8" t="s">
        <v>23238</v>
      </c>
      <c r="G7714" s="8">
        <v>23.61</v>
      </c>
      <c r="H7714" s="8"/>
      <c r="I7714" s="8"/>
      <c r="J7714" s="8" t="s">
        <v>49533</v>
      </c>
      <c r="K7714" s="8" t="s">
        <v>49534</v>
      </c>
      <c r="L7714" s="8"/>
      <c r="M7714" s="24" t="s">
        <v>49535</v>
      </c>
      <c r="N7714" s="12"/>
      <c r="O7714" s="12"/>
      <c r="P7714" s="13">
        <f>IFERROR(__xludf.DUMMYFUNCTION("VALUE(SUBSTITUTE((INDEX(SPLIT(A7714,"",""),1)),""."","","",1))"),54.971398)</f>
        <v>54.971398</v>
      </c>
      <c r="Q7714" s="13">
        <f>IFERROR(__xludf.DUMMYFUNCTION("VALUE(SUBSTITUTE((INDEX(SPLIT(A7714,"",""),2)),""."","","",1))"),73.473638)</f>
        <v>73.473638</v>
      </c>
      <c r="R7714" s="14" t="b">
        <f t="shared" si="1"/>
        <v>0</v>
      </c>
      <c r="S7714" s="14" t="str">
        <f t="shared" si="2"/>
        <v>54.971398,73.473638</v>
      </c>
      <c r="T7714" s="12"/>
    </row>
    <row r="7715">
      <c r="A7715" s="16" t="s">
        <v>27479</v>
      </c>
      <c r="B7715" s="16" t="s">
        <v>49536</v>
      </c>
      <c r="C7715" s="16" t="s">
        <v>49537</v>
      </c>
      <c r="D7715" s="16" t="s">
        <v>16</v>
      </c>
      <c r="E7715" s="17" t="s">
        <v>49538</v>
      </c>
      <c r="F7715" s="16" t="s">
        <v>23238</v>
      </c>
      <c r="G7715" s="16">
        <v>23.61</v>
      </c>
      <c r="H7715" s="16"/>
      <c r="I7715" s="16"/>
      <c r="J7715" s="16" t="s">
        <v>49539</v>
      </c>
      <c r="K7715" s="16" t="s">
        <v>49540</v>
      </c>
      <c r="L7715" s="16"/>
      <c r="M7715" s="16"/>
      <c r="N7715" s="12"/>
      <c r="O7715" s="12"/>
      <c r="P7715" s="13">
        <f>IFERROR(__xludf.DUMMYFUNCTION("VALUE(SUBSTITUTE((INDEX(SPLIT(A7715,"",""),1)),""."","","",1))"),54.897588)</f>
        <v>54.897588</v>
      </c>
      <c r="Q7715" s="13">
        <f>IFERROR(__xludf.DUMMYFUNCTION("VALUE(SUBSTITUTE((INDEX(SPLIT(A7715,"",""),2)),""."","","",1))"),73.521348)</f>
        <v>73.521348</v>
      </c>
      <c r="R7715" s="14" t="b">
        <f t="shared" si="1"/>
        <v>0</v>
      </c>
      <c r="S7715" s="14" t="str">
        <f t="shared" si="2"/>
        <v>54.897588,73.521348</v>
      </c>
      <c r="T7715" s="12"/>
    </row>
    <row r="7716">
      <c r="A7716" s="10" t="s">
        <v>27485</v>
      </c>
      <c r="B7716" s="8" t="s">
        <v>49541</v>
      </c>
      <c r="C7716" s="8" t="s">
        <v>49542</v>
      </c>
      <c r="D7716" s="8" t="s">
        <v>16</v>
      </c>
      <c r="E7716" s="9" t="s">
        <v>49543</v>
      </c>
      <c r="F7716" s="10" t="s">
        <v>37625</v>
      </c>
      <c r="G7716" s="8">
        <v>23.61</v>
      </c>
      <c r="H7716" s="8"/>
      <c r="I7716" s="10"/>
      <c r="J7716" s="10" t="s">
        <v>49544</v>
      </c>
      <c r="K7716" s="10" t="s">
        <v>49545</v>
      </c>
      <c r="L7716" s="11" t="s">
        <v>49546</v>
      </c>
      <c r="M7716" s="10"/>
      <c r="N7716" s="12"/>
      <c r="O7716" s="12"/>
      <c r="P7716" s="13">
        <f>IFERROR(__xludf.DUMMYFUNCTION("VALUE(SUBSTITUTE((INDEX(SPLIT(A7716,"",""),1)),""."","","",1))"),61.590252)</f>
        <v>61.590252</v>
      </c>
      <c r="Q7716" s="13">
        <f>IFERROR(__xludf.DUMMYFUNCTION("VALUE(SUBSTITUTE((INDEX(SPLIT(A7716,"",""),2)),""."","","",1))"),73.727412)</f>
        <v>73.727412</v>
      </c>
      <c r="R7716" s="14" t="b">
        <f t="shared" si="1"/>
        <v>0</v>
      </c>
      <c r="S7716" s="14" t="str">
        <f t="shared" si="2"/>
        <v>61.590252,73.727412</v>
      </c>
      <c r="T7716" s="12"/>
    </row>
    <row r="7717">
      <c r="A7717" s="10" t="s">
        <v>27500</v>
      </c>
      <c r="B7717" s="8" t="s">
        <v>49547</v>
      </c>
      <c r="C7717" s="8" t="s">
        <v>49548</v>
      </c>
      <c r="D7717" s="8" t="s">
        <v>16</v>
      </c>
      <c r="E7717" s="9" t="s">
        <v>49549</v>
      </c>
      <c r="F7717" s="10" t="s">
        <v>23238</v>
      </c>
      <c r="G7717" s="8">
        <v>23.61</v>
      </c>
      <c r="H7717" s="8"/>
      <c r="I7717" s="10"/>
      <c r="J7717" s="10" t="s">
        <v>49550</v>
      </c>
      <c r="K7717" s="10" t="s">
        <v>49551</v>
      </c>
      <c r="L7717" s="11" t="s">
        <v>49552</v>
      </c>
      <c r="M7717" s="11" t="s">
        <v>49553</v>
      </c>
      <c r="N7717" s="12"/>
      <c r="O7717" s="12"/>
      <c r="P7717" s="13">
        <f>IFERROR(__xludf.DUMMYFUNCTION("VALUE(SUBSTITUTE((INDEX(SPLIT(A7717,"",""),1)),""."","","",1))"),54.768786)</f>
        <v>54.768786</v>
      </c>
      <c r="Q7717" s="13">
        <f>IFERROR(__xludf.DUMMYFUNCTION("VALUE(SUBSTITUTE((INDEX(SPLIT(A7717,"",""),2)),""."","","",1))"),74.277424)</f>
        <v>74.277424</v>
      </c>
      <c r="R7717" s="14" t="b">
        <f t="shared" si="1"/>
        <v>0</v>
      </c>
      <c r="S7717" s="14" t="str">
        <f t="shared" si="2"/>
        <v>54.768786,74.277424</v>
      </c>
      <c r="T7717" s="12"/>
    </row>
    <row r="7718">
      <c r="A7718" s="22" t="s">
        <v>27505</v>
      </c>
      <c r="B7718" s="16" t="s">
        <v>49554</v>
      </c>
      <c r="C7718" s="16" t="s">
        <v>49555</v>
      </c>
      <c r="D7718" s="16" t="s">
        <v>16</v>
      </c>
      <c r="E7718" s="21" t="s">
        <v>49556</v>
      </c>
      <c r="F7718" s="22" t="s">
        <v>10045</v>
      </c>
      <c r="G7718" s="16">
        <v>23.61</v>
      </c>
      <c r="H7718" s="16"/>
      <c r="I7718" s="22"/>
      <c r="J7718" s="22" t="s">
        <v>49557</v>
      </c>
      <c r="K7718" s="22" t="s">
        <v>49558</v>
      </c>
      <c r="L7718" s="23" t="s">
        <v>49559</v>
      </c>
      <c r="M7718" s="23" t="s">
        <v>49560</v>
      </c>
      <c r="N7718" s="12"/>
      <c r="O7718" s="12"/>
      <c r="P7718" s="13">
        <f>IFERROR(__xludf.DUMMYFUNCTION("VALUE(SUBSTITUTE((INDEX(SPLIT(A7718,"",""),1)),""."","","",1))"),62.2956)</f>
        <v>62.2956</v>
      </c>
      <c r="Q7718" s="13">
        <f>IFERROR(__xludf.DUMMYFUNCTION("VALUE(SUBSTITUTE((INDEX(SPLIT(A7718,"",""),2)),""."","","",1))"),74.511336)</f>
        <v>74.511336</v>
      </c>
      <c r="R7718" s="14" t="b">
        <f t="shared" si="1"/>
        <v>0</v>
      </c>
      <c r="S7718" s="14" t="str">
        <f t="shared" si="2"/>
        <v>62.2956,74.511336</v>
      </c>
      <c r="T7718" s="12"/>
    </row>
    <row r="7719">
      <c r="A7719" s="22" t="s">
        <v>27520</v>
      </c>
      <c r="B7719" s="16" t="s">
        <v>49561</v>
      </c>
      <c r="C7719" s="16" t="s">
        <v>49562</v>
      </c>
      <c r="D7719" s="16" t="s">
        <v>16</v>
      </c>
      <c r="E7719" s="21" t="s">
        <v>49563</v>
      </c>
      <c r="F7719" s="22" t="s">
        <v>4881</v>
      </c>
      <c r="G7719" s="16">
        <v>23.61</v>
      </c>
      <c r="H7719" s="16"/>
      <c r="I7719" s="22"/>
      <c r="J7719" s="22" t="s">
        <v>49564</v>
      </c>
      <c r="K7719" s="22" t="s">
        <v>49565</v>
      </c>
      <c r="L7719" s="23" t="s">
        <v>49566</v>
      </c>
      <c r="M7719" s="22"/>
      <c r="N7719" s="12"/>
      <c r="O7719" s="12"/>
      <c r="P7719" s="13">
        <f>IFERROR(__xludf.DUMMYFUNCTION("VALUE(SUBSTITUTE((INDEX(SPLIT(A7719,"",""),1)),""."","","",1))"),63.17298)</f>
        <v>63.17298</v>
      </c>
      <c r="Q7719" s="13">
        <f>IFERROR(__xludf.DUMMYFUNCTION("VALUE(SUBSTITUTE((INDEX(SPLIT(A7719,"",""),2)),""."","","",1))"),75.4503)</f>
        <v>75.4503</v>
      </c>
      <c r="R7719" s="14" t="b">
        <f t="shared" si="1"/>
        <v>0</v>
      </c>
      <c r="S7719" s="14" t="str">
        <f t="shared" si="2"/>
        <v>63.17298,75.4503</v>
      </c>
      <c r="T7719" s="12"/>
    </row>
    <row r="7720">
      <c r="A7720" s="8" t="s">
        <v>27540</v>
      </c>
      <c r="B7720" s="8" t="s">
        <v>49567</v>
      </c>
      <c r="C7720" s="8" t="s">
        <v>49568</v>
      </c>
      <c r="D7720" s="8" t="s">
        <v>16</v>
      </c>
      <c r="E7720" s="19" t="s">
        <v>49569</v>
      </c>
      <c r="F7720" s="8" t="s">
        <v>4881</v>
      </c>
      <c r="G7720" s="8">
        <v>23.61</v>
      </c>
      <c r="H7720" s="8"/>
      <c r="I7720" s="8"/>
      <c r="J7720" s="8" t="s">
        <v>49570</v>
      </c>
      <c r="K7720" s="8" t="s">
        <v>49571</v>
      </c>
      <c r="L7720" s="8"/>
      <c r="M7720" s="8"/>
      <c r="N7720" s="12"/>
      <c r="O7720" s="12"/>
      <c r="P7720" s="13">
        <f>IFERROR(__xludf.DUMMYFUNCTION("VALUE(SUBSTITUTE((INDEX(SPLIT(A7720,"",""),1)),""."","","",1))"),64.438703)</f>
        <v>64.438703</v>
      </c>
      <c r="Q7720" s="13">
        <f>IFERROR(__xludf.DUMMYFUNCTION("VALUE(SUBSTITUTE((INDEX(SPLIT(A7720,"",""),2)),""."","","",1))"),76.462549)</f>
        <v>76.462549</v>
      </c>
      <c r="R7720" s="14" t="b">
        <f t="shared" si="1"/>
        <v>0</v>
      </c>
      <c r="S7720" s="14" t="str">
        <f t="shared" si="2"/>
        <v>64.438703,76.462549</v>
      </c>
      <c r="T7720" s="12"/>
    </row>
    <row r="7721">
      <c r="A7721" s="16" t="s">
        <v>27546</v>
      </c>
      <c r="B7721" s="16" t="s">
        <v>49572</v>
      </c>
      <c r="C7721" s="16" t="s">
        <v>49573</v>
      </c>
      <c r="D7721" s="16" t="s">
        <v>16</v>
      </c>
      <c r="E7721" s="17" t="s">
        <v>49574</v>
      </c>
      <c r="F7721" s="16" t="s">
        <v>4881</v>
      </c>
      <c r="G7721" s="16">
        <v>23.61</v>
      </c>
      <c r="H7721" s="16"/>
      <c r="I7721" s="16"/>
      <c r="J7721" s="16" t="s">
        <v>49575</v>
      </c>
      <c r="K7721" s="16" t="s">
        <v>49571</v>
      </c>
      <c r="L7721" s="16"/>
      <c r="M7721" s="25" t="s">
        <v>49576</v>
      </c>
      <c r="N7721" s="12"/>
      <c r="O7721" s="12"/>
      <c r="P7721" s="13">
        <f>IFERROR(__xludf.DUMMYFUNCTION("VALUE(SUBSTITUTE((INDEX(SPLIT(A7721,"",""),1)),""."","","",1))"),64.442037)</f>
        <v>64.442037</v>
      </c>
      <c r="Q7721" s="13">
        <f>IFERROR(__xludf.DUMMYFUNCTION("VALUE(SUBSTITUTE((INDEX(SPLIT(A7721,"",""),2)),""."","","",1))"),76.497862)</f>
        <v>76.497862</v>
      </c>
      <c r="R7721" s="14" t="b">
        <f t="shared" si="1"/>
        <v>0</v>
      </c>
      <c r="S7721" s="14" t="str">
        <f t="shared" si="2"/>
        <v>64.442037,76.497862</v>
      </c>
      <c r="T7721" s="12"/>
    </row>
    <row r="7722">
      <c r="A7722" s="16" t="s">
        <v>27585</v>
      </c>
      <c r="B7722" s="16" t="s">
        <v>18846</v>
      </c>
      <c r="C7722" s="16" t="s">
        <v>18847</v>
      </c>
      <c r="D7722" s="16" t="s">
        <v>16</v>
      </c>
      <c r="E7722" s="17" t="s">
        <v>49577</v>
      </c>
      <c r="F7722" s="16" t="s">
        <v>4881</v>
      </c>
      <c r="G7722" s="16">
        <v>23.61</v>
      </c>
      <c r="H7722" s="16"/>
      <c r="I7722" s="16"/>
      <c r="J7722" s="16" t="s">
        <v>49578</v>
      </c>
      <c r="K7722" s="16" t="s">
        <v>49579</v>
      </c>
      <c r="L7722" s="16"/>
      <c r="M7722" s="25" t="s">
        <v>49580</v>
      </c>
      <c r="N7722" s="12"/>
      <c r="O7722" s="12"/>
      <c r="P7722" s="13">
        <f>IFERROR(__xludf.DUMMYFUNCTION("VALUE(SUBSTITUTE((INDEX(SPLIT(A7722,"",""),1)),""."","","",1))"),66.081105)</f>
        <v>66.081105</v>
      </c>
      <c r="Q7722" s="13">
        <f>IFERROR(__xludf.DUMMYFUNCTION("VALUE(SUBSTITUTE((INDEX(SPLIT(A7722,"",""),2)),""."","","",1))"),76.649946)</f>
        <v>76.649946</v>
      </c>
      <c r="R7722" s="14" t="b">
        <f t="shared" si="1"/>
        <v>0</v>
      </c>
      <c r="S7722" s="14" t="str">
        <f t="shared" si="2"/>
        <v>66.081105,76.649946</v>
      </c>
      <c r="T7722" s="12"/>
    </row>
    <row r="7723">
      <c r="A7723" s="10" t="s">
        <v>27593</v>
      </c>
      <c r="B7723" s="8" t="s">
        <v>9063</v>
      </c>
      <c r="C7723" s="8" t="s">
        <v>9064</v>
      </c>
      <c r="D7723" s="8" t="s">
        <v>16</v>
      </c>
      <c r="E7723" s="9" t="s">
        <v>49581</v>
      </c>
      <c r="F7723" s="10" t="s">
        <v>4881</v>
      </c>
      <c r="G7723" s="8">
        <v>23.61</v>
      </c>
      <c r="H7723" s="8"/>
      <c r="I7723" s="10"/>
      <c r="J7723" s="10" t="s">
        <v>49582</v>
      </c>
      <c r="K7723" s="10" t="s">
        <v>49583</v>
      </c>
      <c r="L7723" s="11" t="s">
        <v>49584</v>
      </c>
      <c r="M7723" s="10"/>
      <c r="N7723" s="12"/>
      <c r="O7723" s="12"/>
      <c r="P7723" s="13">
        <f>IFERROR(__xludf.DUMMYFUNCTION("VALUE(SUBSTITUTE((INDEX(SPLIT(A7723,"",""),1)),""."","","",1))"),66.098324)</f>
        <v>66.098324</v>
      </c>
      <c r="Q7723" s="13">
        <f>IFERROR(__xludf.DUMMYFUNCTION("VALUE(SUBSTITUTE((INDEX(SPLIT(A7723,"",""),2)),""."","","",1))"),76.676878)</f>
        <v>76.676878</v>
      </c>
      <c r="R7723" s="14" t="b">
        <f t="shared" si="1"/>
        <v>0</v>
      </c>
      <c r="S7723" s="14" t="str">
        <f t="shared" si="2"/>
        <v>66.098324,76.676878</v>
      </c>
      <c r="T7723" s="12"/>
    </row>
    <row r="7724">
      <c r="A7724" s="22" t="s">
        <v>27623</v>
      </c>
      <c r="B7724" s="16" t="s">
        <v>49585</v>
      </c>
      <c r="C7724" s="16" t="s">
        <v>49586</v>
      </c>
      <c r="D7724" s="16" t="s">
        <v>16</v>
      </c>
      <c r="E7724" s="21" t="s">
        <v>49587</v>
      </c>
      <c r="F7724" s="22" t="s">
        <v>16731</v>
      </c>
      <c r="G7724" s="16">
        <v>23.61</v>
      </c>
      <c r="H7724" s="16"/>
      <c r="I7724" s="22"/>
      <c r="J7724" s="22" t="s">
        <v>49588</v>
      </c>
      <c r="K7724" s="22" t="s">
        <v>49589</v>
      </c>
      <c r="L7724" s="23" t="s">
        <v>49590</v>
      </c>
      <c r="M7724" s="23" t="s">
        <v>49591</v>
      </c>
      <c r="N7724" s="12"/>
      <c r="O7724" s="12"/>
      <c r="P7724" s="13">
        <f>IFERROR(__xludf.DUMMYFUNCTION("VALUE(SUBSTITUTE((INDEX(SPLIT(A7724,"",""),1)),""."","","",1))"),52.996296)</f>
        <v>52.996296</v>
      </c>
      <c r="Q7724" s="13">
        <f>IFERROR(__xludf.DUMMYFUNCTION("VALUE(SUBSTITUTE((INDEX(SPLIT(A7724,"",""),2)),""."","","",1))"),78.675243)</f>
        <v>78.675243</v>
      </c>
      <c r="R7724" s="14" t="b">
        <f t="shared" si="1"/>
        <v>0</v>
      </c>
      <c r="S7724" s="14" t="str">
        <f t="shared" si="2"/>
        <v>52.996296,78.675243</v>
      </c>
      <c r="T7724" s="12"/>
    </row>
    <row r="7725">
      <c r="A7725" s="10" t="s">
        <v>27631</v>
      </c>
      <c r="B7725" s="8" t="s">
        <v>49592</v>
      </c>
      <c r="C7725" s="8" t="s">
        <v>49593</v>
      </c>
      <c r="D7725" s="8" t="s">
        <v>16</v>
      </c>
      <c r="E7725" s="9" t="s">
        <v>49594</v>
      </c>
      <c r="F7725" s="10" t="s">
        <v>16731</v>
      </c>
      <c r="G7725" s="8">
        <v>23.61</v>
      </c>
      <c r="H7725" s="8"/>
      <c r="I7725" s="10"/>
      <c r="J7725" s="10" t="s">
        <v>49595</v>
      </c>
      <c r="K7725" s="10" t="s">
        <v>49596</v>
      </c>
      <c r="L7725" s="11" t="s">
        <v>49597</v>
      </c>
      <c r="M7725" s="10"/>
      <c r="N7725" s="12"/>
      <c r="O7725" s="12"/>
      <c r="P7725" s="13">
        <f>IFERROR(__xludf.DUMMYFUNCTION("VALUE(SUBSTITUTE((INDEX(SPLIT(A7725,"",""),1)),""."","","",1))"),51.825375)</f>
        <v>51.825375</v>
      </c>
      <c r="Q7725" s="13">
        <f>IFERROR(__xludf.DUMMYFUNCTION("VALUE(SUBSTITUTE((INDEX(SPLIT(A7725,"",""),2)),""."","","",1))"),79.767828)</f>
        <v>79.767828</v>
      </c>
      <c r="R7725" s="14" t="b">
        <f t="shared" si="1"/>
        <v>0</v>
      </c>
      <c r="S7725" s="14" t="str">
        <f t="shared" si="2"/>
        <v>51.825375,79.767828</v>
      </c>
      <c r="T7725" s="12"/>
    </row>
    <row r="7726">
      <c r="A7726" s="16" t="s">
        <v>27637</v>
      </c>
      <c r="B7726" s="16" t="s">
        <v>49598</v>
      </c>
      <c r="C7726" s="16" t="s">
        <v>49599</v>
      </c>
      <c r="D7726" s="16" t="s">
        <v>16</v>
      </c>
      <c r="E7726" s="17" t="s">
        <v>49600</v>
      </c>
      <c r="F7726" s="16" t="s">
        <v>16731</v>
      </c>
      <c r="G7726" s="16">
        <v>23.61</v>
      </c>
      <c r="H7726" s="16"/>
      <c r="I7726" s="16"/>
      <c r="J7726" s="16" t="s">
        <v>49601</v>
      </c>
      <c r="K7726" s="16" t="s">
        <v>49602</v>
      </c>
      <c r="L7726" s="16"/>
      <c r="M7726" s="25" t="s">
        <v>49603</v>
      </c>
      <c r="N7726" s="12"/>
      <c r="O7726" s="12"/>
      <c r="P7726" s="13">
        <f>IFERROR(__xludf.DUMMYFUNCTION("VALUE(SUBSTITUTE((INDEX(SPLIT(A7726,"",""),1)),""."","","",1))"),51.548603)</f>
        <v>51.548603</v>
      </c>
      <c r="Q7726" s="13">
        <f>IFERROR(__xludf.DUMMYFUNCTION("VALUE(SUBSTITUTE((INDEX(SPLIT(A7726,"",""),2)),""."","","",1))"),81.21258)</f>
        <v>81.21258</v>
      </c>
      <c r="R7726" s="14" t="b">
        <f t="shared" si="1"/>
        <v>0</v>
      </c>
      <c r="S7726" s="14" t="str">
        <f t="shared" si="2"/>
        <v>51.548603,81.21258</v>
      </c>
      <c r="T7726" s="12"/>
    </row>
    <row r="7727">
      <c r="A7727" s="8" t="s">
        <v>27644</v>
      </c>
      <c r="B7727" s="8" t="s">
        <v>49604</v>
      </c>
      <c r="C7727" s="8" t="s">
        <v>49605</v>
      </c>
      <c r="D7727" s="8" t="s">
        <v>16</v>
      </c>
      <c r="E7727" s="19" t="s">
        <v>49606</v>
      </c>
      <c r="F7727" s="8" t="s">
        <v>16731</v>
      </c>
      <c r="G7727" s="8">
        <v>23.61</v>
      </c>
      <c r="H7727" s="8"/>
      <c r="I7727" s="8"/>
      <c r="J7727" s="8" t="s">
        <v>49607</v>
      </c>
      <c r="K7727" s="8" t="s">
        <v>49608</v>
      </c>
      <c r="L7727" s="8"/>
      <c r="M7727" s="8"/>
      <c r="N7727" s="12"/>
      <c r="O7727" s="12"/>
      <c r="P7727" s="13">
        <f>IFERROR(__xludf.DUMMYFUNCTION("VALUE(SUBSTITUTE((INDEX(SPLIT(A7727,"",""),1)),""."","","",1))"),50.955921)</f>
        <v>50.955921</v>
      </c>
      <c r="Q7727" s="13">
        <f>IFERROR(__xludf.DUMMYFUNCTION("VALUE(SUBSTITUTE((INDEX(SPLIT(A7727,"",""),2)),""."","","",1))"),81.792703)</f>
        <v>81.792703</v>
      </c>
      <c r="R7727" s="14" t="b">
        <f t="shared" si="1"/>
        <v>0</v>
      </c>
      <c r="S7727" s="14" t="str">
        <f t="shared" si="2"/>
        <v>50.955921,81.792703</v>
      </c>
      <c r="T7727" s="12"/>
    </row>
    <row r="7728">
      <c r="A7728" s="22" t="s">
        <v>27652</v>
      </c>
      <c r="B7728" s="16" t="s">
        <v>1321</v>
      </c>
      <c r="C7728" s="16" t="s">
        <v>1322</v>
      </c>
      <c r="D7728" s="16" t="s">
        <v>16</v>
      </c>
      <c r="E7728" s="21" t="s">
        <v>49609</v>
      </c>
      <c r="F7728" s="22" t="s">
        <v>9648</v>
      </c>
      <c r="G7728" s="16">
        <v>23.61</v>
      </c>
      <c r="H7728" s="16"/>
      <c r="I7728" s="22"/>
      <c r="J7728" s="22" t="s">
        <v>49610</v>
      </c>
      <c r="K7728" s="22" t="s">
        <v>49611</v>
      </c>
      <c r="L7728" s="23" t="s">
        <v>49612</v>
      </c>
      <c r="M7728" s="22"/>
      <c r="N7728" s="12"/>
      <c r="O7728" s="12"/>
      <c r="P7728" s="13">
        <f>IFERROR(__xludf.DUMMYFUNCTION("VALUE(SUBSTITUTE((INDEX(SPLIT(A7728,"",""),1)),""."","","",1))"),54.355238)</f>
        <v>54.355238</v>
      </c>
      <c r="Q7728" s="13">
        <f>IFERROR(__xludf.DUMMYFUNCTION("VALUE(SUBSTITUTE((INDEX(SPLIT(A7728,"",""),2)),""."","","",1))"),81.871332)</f>
        <v>81.871332</v>
      </c>
      <c r="R7728" s="14" t="b">
        <f t="shared" si="1"/>
        <v>0</v>
      </c>
      <c r="S7728" s="14" t="str">
        <f t="shared" si="2"/>
        <v>54.355238,81.871332</v>
      </c>
      <c r="T7728" s="12"/>
    </row>
    <row r="7729">
      <c r="A7729" s="10" t="s">
        <v>27658</v>
      </c>
      <c r="B7729" s="8" t="s">
        <v>49613</v>
      </c>
      <c r="C7729" s="8" t="s">
        <v>49614</v>
      </c>
      <c r="D7729" s="8" t="s">
        <v>16</v>
      </c>
      <c r="E7729" s="9" t="s">
        <v>49615</v>
      </c>
      <c r="F7729" s="10" t="s">
        <v>9648</v>
      </c>
      <c r="G7729" s="8">
        <v>23.61</v>
      </c>
      <c r="H7729" s="8"/>
      <c r="I7729" s="10"/>
      <c r="J7729" s="10" t="s">
        <v>49616</v>
      </c>
      <c r="K7729" s="10" t="s">
        <v>49617</v>
      </c>
      <c r="L7729" s="11" t="s">
        <v>49618</v>
      </c>
      <c r="M7729" s="10"/>
      <c r="N7729" s="12"/>
      <c r="O7729" s="12"/>
      <c r="P7729" s="13">
        <f>IFERROR(__xludf.DUMMYFUNCTION("VALUE(SUBSTITUTE((INDEX(SPLIT(A7729,"",""),1)),""."","","",1))"),53.787098)</f>
        <v>53.787098</v>
      </c>
      <c r="Q7729" s="13">
        <f>IFERROR(__xludf.DUMMYFUNCTION("VALUE(SUBSTITUTE((INDEX(SPLIT(A7729,"",""),2)),""."","","",1))"),82.312746)</f>
        <v>82.312746</v>
      </c>
      <c r="R7729" s="14" t="b">
        <f t="shared" si="1"/>
        <v>0</v>
      </c>
      <c r="S7729" s="14" t="str">
        <f t="shared" si="2"/>
        <v>53.787098,82.312746</v>
      </c>
      <c r="T7729" s="12"/>
    </row>
    <row r="7730">
      <c r="A7730" s="10" t="s">
        <v>27681</v>
      </c>
      <c r="B7730" s="8" t="s">
        <v>29745</v>
      </c>
      <c r="C7730" s="8" t="s">
        <v>29746</v>
      </c>
      <c r="D7730" s="8" t="s">
        <v>16</v>
      </c>
      <c r="E7730" s="9" t="s">
        <v>49619</v>
      </c>
      <c r="F7730" s="10" t="s">
        <v>16731</v>
      </c>
      <c r="G7730" s="8">
        <v>23.61</v>
      </c>
      <c r="H7730" s="8"/>
      <c r="I7730" s="10"/>
      <c r="J7730" s="10" t="s">
        <v>49620</v>
      </c>
      <c r="K7730" s="10" t="s">
        <v>49621</v>
      </c>
      <c r="L7730" s="11" t="s">
        <v>49622</v>
      </c>
      <c r="M7730" s="10"/>
      <c r="N7730" s="12"/>
      <c r="O7730" s="12"/>
      <c r="P7730" s="13">
        <f>IFERROR(__xludf.DUMMYFUNCTION("VALUE(SUBSTITUTE((INDEX(SPLIT(A7730,"",""),1)),""."","","",1))"),52.497403)</f>
        <v>52.497403</v>
      </c>
      <c r="Q7730" s="13">
        <f>IFERROR(__xludf.DUMMYFUNCTION("VALUE(SUBSTITUTE((INDEX(SPLIT(A7730,"",""),2)),""."","","",1))"),82.770438)</f>
        <v>82.770438</v>
      </c>
      <c r="R7730" s="14" t="b">
        <f t="shared" si="1"/>
        <v>0</v>
      </c>
      <c r="S7730" s="14" t="str">
        <f t="shared" si="2"/>
        <v>52.497403,82.770438</v>
      </c>
      <c r="T7730" s="12"/>
    </row>
    <row r="7731">
      <c r="A7731" s="16" t="s">
        <v>27688</v>
      </c>
      <c r="B7731" s="16" t="s">
        <v>20455</v>
      </c>
      <c r="C7731" s="16" t="s">
        <v>20456</v>
      </c>
      <c r="D7731" s="16" t="s">
        <v>16</v>
      </c>
      <c r="E7731" s="17" t="s">
        <v>49623</v>
      </c>
      <c r="F7731" s="16" t="s">
        <v>9648</v>
      </c>
      <c r="G7731" s="16">
        <v>23.61</v>
      </c>
      <c r="H7731" s="16"/>
      <c r="I7731" s="16"/>
      <c r="J7731" s="16" t="s">
        <v>49624</v>
      </c>
      <c r="K7731" s="16" t="s">
        <v>49625</v>
      </c>
      <c r="L7731" s="16"/>
      <c r="M7731" s="16"/>
      <c r="N7731" s="12"/>
      <c r="O7731" s="12"/>
      <c r="P7731" s="13">
        <f>IFERROR(__xludf.DUMMYFUNCTION("VALUE(SUBSTITUTE((INDEX(SPLIT(A7731,"",""),1)),""."","","",1))"),54.888724)</f>
        <v>54.888724</v>
      </c>
      <c r="Q7731" s="13">
        <f>IFERROR(__xludf.DUMMYFUNCTION("VALUE(SUBSTITUTE((INDEX(SPLIT(A7731,"",""),2)),""."","","",1))"),82.781325)</f>
        <v>82.781325</v>
      </c>
      <c r="R7731" s="14" t="b">
        <f t="shared" si="1"/>
        <v>0</v>
      </c>
      <c r="S7731" s="14" t="str">
        <f t="shared" si="2"/>
        <v>54.888724,82.781325</v>
      </c>
      <c r="T7731" s="12"/>
    </row>
    <row r="7732">
      <c r="A7732" s="10" t="s">
        <v>27693</v>
      </c>
      <c r="B7732" s="8" t="s">
        <v>49626</v>
      </c>
      <c r="C7732" s="8" t="s">
        <v>49627</v>
      </c>
      <c r="D7732" s="8" t="s">
        <v>16</v>
      </c>
      <c r="E7732" s="9" t="s">
        <v>49628</v>
      </c>
      <c r="F7732" s="10" t="s">
        <v>9648</v>
      </c>
      <c r="G7732" s="8">
        <v>23.61</v>
      </c>
      <c r="H7732" s="8"/>
      <c r="I7732" s="10"/>
      <c r="J7732" s="10" t="s">
        <v>49629</v>
      </c>
      <c r="K7732" s="10" t="s">
        <v>49630</v>
      </c>
      <c r="L7732" s="11" t="s">
        <v>49631</v>
      </c>
      <c r="M7732" s="10"/>
      <c r="N7732" s="12"/>
      <c r="O7732" s="12"/>
      <c r="P7732" s="13">
        <f>IFERROR(__xludf.DUMMYFUNCTION("VALUE(SUBSTITUTE((INDEX(SPLIT(A7732,"",""),1)),""."","","",1))"),55.006394)</f>
        <v>55.006394</v>
      </c>
      <c r="Q7732" s="13">
        <f>IFERROR(__xludf.DUMMYFUNCTION("VALUE(SUBSTITUTE((INDEX(SPLIT(A7732,"",""),2)),""."","","",1))"),82.782727)</f>
        <v>82.782727</v>
      </c>
      <c r="R7732" s="14" t="b">
        <f t="shared" si="1"/>
        <v>0</v>
      </c>
      <c r="S7732" s="14" t="str">
        <f t="shared" si="2"/>
        <v>55.006394,82.782727</v>
      </c>
      <c r="T7732" s="12"/>
    </row>
    <row r="7733">
      <c r="A7733" s="16" t="s">
        <v>27699</v>
      </c>
      <c r="B7733" s="16" t="s">
        <v>49632</v>
      </c>
      <c r="C7733" s="16" t="s">
        <v>49633</v>
      </c>
      <c r="D7733" s="16" t="s">
        <v>16</v>
      </c>
      <c r="E7733" s="17" t="s">
        <v>49634</v>
      </c>
      <c r="F7733" s="16" t="s">
        <v>9648</v>
      </c>
      <c r="G7733" s="16">
        <v>23.61</v>
      </c>
      <c r="H7733" s="16"/>
      <c r="I7733" s="16"/>
      <c r="J7733" s="16" t="s">
        <v>49635</v>
      </c>
      <c r="K7733" s="16" t="s">
        <v>49636</v>
      </c>
      <c r="L7733" s="16"/>
      <c r="M7733" s="16"/>
      <c r="N7733" s="12"/>
      <c r="O7733" s="12"/>
      <c r="P7733" s="13">
        <f>IFERROR(__xludf.DUMMYFUNCTION("VALUE(SUBSTITUTE((INDEX(SPLIT(A7733,"",""),1)),""."","","",1))"),54.971833)</f>
        <v>54.971833</v>
      </c>
      <c r="Q7733" s="13">
        <f>IFERROR(__xludf.DUMMYFUNCTION("VALUE(SUBSTITUTE((INDEX(SPLIT(A7733,"",""),2)),""."","","",1))"),82.788503)</f>
        <v>82.788503</v>
      </c>
      <c r="R7733" s="14" t="b">
        <f t="shared" si="1"/>
        <v>0</v>
      </c>
      <c r="S7733" s="14" t="str">
        <f t="shared" si="2"/>
        <v>54.971833,82.788503</v>
      </c>
      <c r="T7733" s="12"/>
    </row>
    <row r="7734">
      <c r="A7734" s="8" t="s">
        <v>27707</v>
      </c>
      <c r="B7734" s="8" t="s">
        <v>49637</v>
      </c>
      <c r="C7734" s="8" t="s">
        <v>49638</v>
      </c>
      <c r="D7734" s="8" t="s">
        <v>16</v>
      </c>
      <c r="E7734" s="19" t="s">
        <v>49639</v>
      </c>
      <c r="F7734" s="8" t="s">
        <v>9648</v>
      </c>
      <c r="G7734" s="8">
        <v>23.61</v>
      </c>
      <c r="H7734" s="8"/>
      <c r="I7734" s="8"/>
      <c r="J7734" s="8" t="s">
        <v>49640</v>
      </c>
      <c r="K7734" s="8" t="s">
        <v>49641</v>
      </c>
      <c r="L7734" s="8"/>
      <c r="M7734" s="8"/>
      <c r="N7734" s="12"/>
      <c r="O7734" s="12"/>
      <c r="P7734" s="13">
        <f>IFERROR(__xludf.DUMMYFUNCTION("VALUE(SUBSTITUTE((INDEX(SPLIT(A7734,"",""),1)),""."","","",1))"),55.053402)</f>
        <v>55.053402</v>
      </c>
      <c r="Q7734" s="13">
        <f>IFERROR(__xludf.DUMMYFUNCTION("VALUE(SUBSTITUTE((INDEX(SPLIT(A7734,"",""),2)),""."","","",1))"),82.793129)</f>
        <v>82.793129</v>
      </c>
      <c r="R7734" s="14" t="b">
        <f t="shared" si="1"/>
        <v>0</v>
      </c>
      <c r="S7734" s="14" t="str">
        <f t="shared" si="2"/>
        <v>55.053402,82.793129</v>
      </c>
      <c r="T7734" s="12"/>
    </row>
    <row r="7735">
      <c r="A7735" s="16" t="s">
        <v>27713</v>
      </c>
      <c r="B7735" s="16" t="s">
        <v>49642</v>
      </c>
      <c r="C7735" s="16" t="s">
        <v>49643</v>
      </c>
      <c r="D7735" s="16" t="s">
        <v>16</v>
      </c>
      <c r="E7735" s="17" t="s">
        <v>49644</v>
      </c>
      <c r="F7735" s="16" t="s">
        <v>9648</v>
      </c>
      <c r="G7735" s="16">
        <v>23.61</v>
      </c>
      <c r="H7735" s="16"/>
      <c r="I7735" s="16"/>
      <c r="J7735" s="16" t="s">
        <v>49645</v>
      </c>
      <c r="K7735" s="16" t="s">
        <v>49646</v>
      </c>
      <c r="L7735" s="16"/>
      <c r="M7735" s="25" t="s">
        <v>49647</v>
      </c>
      <c r="N7735" s="12"/>
      <c r="O7735" s="12"/>
      <c r="P7735" s="13">
        <f>IFERROR(__xludf.DUMMYFUNCTION("VALUE(SUBSTITUTE((INDEX(SPLIT(A7735,"",""),1)),""."","","",1))"),55.008769)</f>
        <v>55.008769</v>
      </c>
      <c r="Q7735" s="13">
        <f>IFERROR(__xludf.DUMMYFUNCTION("VALUE(SUBSTITUTE((INDEX(SPLIT(A7735,"",""),2)),""."","","",1))"),82.804897)</f>
        <v>82.804897</v>
      </c>
      <c r="R7735" s="14" t="b">
        <f t="shared" si="1"/>
        <v>0</v>
      </c>
      <c r="S7735" s="14" t="str">
        <f t="shared" si="2"/>
        <v>55.008769,82.804897</v>
      </c>
      <c r="T7735" s="12"/>
    </row>
    <row r="7736">
      <c r="A7736" s="10" t="s">
        <v>27720</v>
      </c>
      <c r="B7736" s="8" t="s">
        <v>49648</v>
      </c>
      <c r="C7736" s="8" t="s">
        <v>49649</v>
      </c>
      <c r="D7736" s="8" t="s">
        <v>16</v>
      </c>
      <c r="E7736" s="9" t="s">
        <v>49650</v>
      </c>
      <c r="F7736" s="10" t="s">
        <v>9648</v>
      </c>
      <c r="G7736" s="8">
        <v>23.61</v>
      </c>
      <c r="H7736" s="8"/>
      <c r="I7736" s="10"/>
      <c r="J7736" s="10" t="s">
        <v>49651</v>
      </c>
      <c r="K7736" s="10" t="s">
        <v>49652</v>
      </c>
      <c r="L7736" s="11" t="s">
        <v>49653</v>
      </c>
      <c r="M7736" s="10"/>
      <c r="N7736" s="12"/>
      <c r="O7736" s="12"/>
      <c r="P7736" s="13">
        <f>IFERROR(__xludf.DUMMYFUNCTION("VALUE(SUBSTITUTE((INDEX(SPLIT(A7736,"",""),1)),""."","","",1))"),54.923999)</f>
        <v>54.923999</v>
      </c>
      <c r="Q7736" s="13">
        <f>IFERROR(__xludf.DUMMYFUNCTION("VALUE(SUBSTITUTE((INDEX(SPLIT(A7736,"",""),2)),""."","","",1))"),82.810925)</f>
        <v>82.810925</v>
      </c>
      <c r="R7736" s="14" t="b">
        <f t="shared" si="1"/>
        <v>0</v>
      </c>
      <c r="S7736" s="14" t="str">
        <f t="shared" si="2"/>
        <v>54.923999,82.810925</v>
      </c>
      <c r="T7736" s="12"/>
    </row>
    <row r="7737">
      <c r="A7737" s="22" t="s">
        <v>27728</v>
      </c>
      <c r="B7737" s="16" t="s">
        <v>49654</v>
      </c>
      <c r="C7737" s="16" t="s">
        <v>49655</v>
      </c>
      <c r="D7737" s="16" t="s">
        <v>16</v>
      </c>
      <c r="E7737" s="21" t="s">
        <v>49656</v>
      </c>
      <c r="F7737" s="22" t="s">
        <v>9648</v>
      </c>
      <c r="G7737" s="16">
        <v>23.61</v>
      </c>
      <c r="H7737" s="16"/>
      <c r="I7737" s="22"/>
      <c r="J7737" s="22" t="s">
        <v>49657</v>
      </c>
      <c r="K7737" s="22" t="s">
        <v>49658</v>
      </c>
      <c r="L7737" s="23" t="s">
        <v>49659</v>
      </c>
      <c r="M7737" s="22"/>
      <c r="N7737" s="12"/>
      <c r="O7737" s="12"/>
      <c r="P7737" s="13">
        <f>IFERROR(__xludf.DUMMYFUNCTION("VALUE(SUBSTITUTE((INDEX(SPLIT(A7737,"",""),1)),""."","","",1))"),55.000657)</f>
        <v>55.000657</v>
      </c>
      <c r="Q7737" s="13">
        <f>IFERROR(__xludf.DUMMYFUNCTION("VALUE(SUBSTITUTE((INDEX(SPLIT(A7737,"",""),2)),""."","","",1))"),82.81282)</f>
        <v>82.81282</v>
      </c>
      <c r="R7737" s="14" t="b">
        <f t="shared" si="1"/>
        <v>0</v>
      </c>
      <c r="S7737" s="14" t="str">
        <f t="shared" si="2"/>
        <v>55.000657,82.81282</v>
      </c>
      <c r="T7737" s="12"/>
    </row>
    <row r="7738">
      <c r="A7738" s="10" t="s">
        <v>27735</v>
      </c>
      <c r="B7738" s="8" t="s">
        <v>49660</v>
      </c>
      <c r="C7738" s="8" t="s">
        <v>49661</v>
      </c>
      <c r="D7738" s="8" t="s">
        <v>16</v>
      </c>
      <c r="E7738" s="9" t="s">
        <v>49662</v>
      </c>
      <c r="F7738" s="10" t="s">
        <v>9648</v>
      </c>
      <c r="G7738" s="8">
        <v>23.61</v>
      </c>
      <c r="H7738" s="8"/>
      <c r="I7738" s="10"/>
      <c r="J7738" s="10" t="s">
        <v>49663</v>
      </c>
      <c r="K7738" s="10" t="s">
        <v>49664</v>
      </c>
      <c r="L7738" s="11" t="s">
        <v>49665</v>
      </c>
      <c r="M7738" s="10"/>
      <c r="N7738" s="12"/>
      <c r="O7738" s="12"/>
      <c r="P7738" s="13">
        <f>IFERROR(__xludf.DUMMYFUNCTION("VALUE(SUBSTITUTE((INDEX(SPLIT(A7738,"",""),1)),""."","","",1))"),54.998039)</f>
        <v>54.998039</v>
      </c>
      <c r="Q7738" s="13">
        <f>IFERROR(__xludf.DUMMYFUNCTION("VALUE(SUBSTITUTE((INDEX(SPLIT(A7738,"",""),2)),""."","","",1))"),82.82201)</f>
        <v>82.82201</v>
      </c>
      <c r="R7738" s="14" t="b">
        <f t="shared" si="1"/>
        <v>0</v>
      </c>
      <c r="S7738" s="14" t="str">
        <f t="shared" si="2"/>
        <v>54.998039,82.82201</v>
      </c>
      <c r="T7738" s="12"/>
    </row>
    <row r="7739">
      <c r="A7739" s="22" t="s">
        <v>27740</v>
      </c>
      <c r="B7739" s="16" t="s">
        <v>49666</v>
      </c>
      <c r="C7739" s="16" t="s">
        <v>49667</v>
      </c>
      <c r="D7739" s="16" t="s">
        <v>16</v>
      </c>
      <c r="E7739" s="21" t="s">
        <v>49668</v>
      </c>
      <c r="F7739" s="22" t="s">
        <v>9648</v>
      </c>
      <c r="G7739" s="16">
        <v>23.61</v>
      </c>
      <c r="H7739" s="16"/>
      <c r="I7739" s="22"/>
      <c r="J7739" s="22" t="s">
        <v>49669</v>
      </c>
      <c r="K7739" s="22" t="s">
        <v>49670</v>
      </c>
      <c r="L7739" s="23" t="s">
        <v>49671</v>
      </c>
      <c r="M7739" s="23" t="s">
        <v>49672</v>
      </c>
      <c r="N7739" s="12"/>
      <c r="O7739" s="12"/>
      <c r="P7739" s="13">
        <f>IFERROR(__xludf.DUMMYFUNCTION("VALUE(SUBSTITUTE((INDEX(SPLIT(A7739,"",""),1)),""."","","",1))"),55.008774)</f>
        <v>55.008774</v>
      </c>
      <c r="Q7739" s="13">
        <f>IFERROR(__xludf.DUMMYFUNCTION("VALUE(SUBSTITUTE((INDEX(SPLIT(A7739,"",""),2)),""."","","",1))"),82.827149)</f>
        <v>82.827149</v>
      </c>
      <c r="R7739" s="14" t="b">
        <f t="shared" si="1"/>
        <v>0</v>
      </c>
      <c r="S7739" s="14" t="str">
        <f t="shared" si="2"/>
        <v>55.008774,82.827149</v>
      </c>
      <c r="T7739" s="12"/>
    </row>
    <row r="7740">
      <c r="A7740" s="10" t="s">
        <v>27746</v>
      </c>
      <c r="B7740" s="8" t="s">
        <v>49673</v>
      </c>
      <c r="C7740" s="8" t="s">
        <v>49674</v>
      </c>
      <c r="D7740" s="8" t="s">
        <v>16</v>
      </c>
      <c r="E7740" s="9" t="s">
        <v>49675</v>
      </c>
      <c r="F7740" s="10" t="s">
        <v>9648</v>
      </c>
      <c r="G7740" s="8">
        <v>23.61</v>
      </c>
      <c r="H7740" s="8"/>
      <c r="I7740" s="10"/>
      <c r="J7740" s="10" t="s">
        <v>49676</v>
      </c>
      <c r="K7740" s="10" t="s">
        <v>25500</v>
      </c>
      <c r="L7740" s="11" t="s">
        <v>49677</v>
      </c>
      <c r="M7740" s="10"/>
      <c r="N7740" s="12"/>
      <c r="O7740" s="12"/>
      <c r="P7740" s="13">
        <f>IFERROR(__xludf.DUMMYFUNCTION("VALUE(SUBSTITUTE((INDEX(SPLIT(A7740,"",""),1)),""."","","",1))"),54.997647)</f>
        <v>54.997647</v>
      </c>
      <c r="Q7740" s="13">
        <f>IFERROR(__xludf.DUMMYFUNCTION("VALUE(SUBSTITUTE((INDEX(SPLIT(A7740,"",""),2)),""."","","",1))"),82.831703)</f>
        <v>82.831703</v>
      </c>
      <c r="R7740" s="14" t="b">
        <f t="shared" si="1"/>
        <v>0</v>
      </c>
      <c r="S7740" s="14" t="str">
        <f t="shared" si="2"/>
        <v>54.997647,82.831703</v>
      </c>
      <c r="T7740" s="12"/>
    </row>
    <row r="7741">
      <c r="A7741" s="22" t="s">
        <v>27752</v>
      </c>
      <c r="B7741" s="16" t="s">
        <v>49678</v>
      </c>
      <c r="C7741" s="16" t="s">
        <v>49679</v>
      </c>
      <c r="D7741" s="16" t="s">
        <v>16</v>
      </c>
      <c r="E7741" s="21" t="s">
        <v>49680</v>
      </c>
      <c r="F7741" s="22" t="s">
        <v>9648</v>
      </c>
      <c r="G7741" s="16">
        <v>23.61</v>
      </c>
      <c r="H7741" s="16"/>
      <c r="I7741" s="22"/>
      <c r="J7741" s="22" t="s">
        <v>49681</v>
      </c>
      <c r="K7741" s="22" t="s">
        <v>49682</v>
      </c>
      <c r="L7741" s="23" t="s">
        <v>49683</v>
      </c>
      <c r="M7741" s="22"/>
      <c r="N7741" s="12"/>
      <c r="O7741" s="12"/>
      <c r="P7741" s="13">
        <f>IFERROR(__xludf.DUMMYFUNCTION("VALUE(SUBSTITUTE((INDEX(SPLIT(A7741,"",""),1)),""."","","",1))"),54.985597)</f>
        <v>54.985597</v>
      </c>
      <c r="Q7741" s="13">
        <f>IFERROR(__xludf.DUMMYFUNCTION("VALUE(SUBSTITUTE((INDEX(SPLIT(A7741,"",""),2)),""."","","",1))"),82.841567)</f>
        <v>82.841567</v>
      </c>
      <c r="R7741" s="14" t="b">
        <f t="shared" si="1"/>
        <v>0</v>
      </c>
      <c r="S7741" s="14" t="str">
        <f t="shared" si="2"/>
        <v>54.985597,82.841567</v>
      </c>
      <c r="T7741" s="12"/>
    </row>
    <row r="7742">
      <c r="A7742" s="10" t="s">
        <v>27760</v>
      </c>
      <c r="B7742" s="8" t="s">
        <v>49684</v>
      </c>
      <c r="C7742" s="8" t="s">
        <v>49685</v>
      </c>
      <c r="D7742" s="8" t="s">
        <v>16</v>
      </c>
      <c r="E7742" s="9" t="s">
        <v>49686</v>
      </c>
      <c r="F7742" s="10" t="s">
        <v>9648</v>
      </c>
      <c r="G7742" s="8">
        <v>23.61</v>
      </c>
      <c r="H7742" s="8"/>
      <c r="I7742" s="10"/>
      <c r="J7742" s="10" t="s">
        <v>49687</v>
      </c>
      <c r="K7742" s="10" t="s">
        <v>49688</v>
      </c>
      <c r="L7742" s="11" t="s">
        <v>49689</v>
      </c>
      <c r="M7742" s="10"/>
      <c r="N7742" s="12"/>
      <c r="O7742" s="12"/>
      <c r="P7742" s="13">
        <f>IFERROR(__xludf.DUMMYFUNCTION("VALUE(SUBSTITUTE((INDEX(SPLIT(A7742,"",""),1)),""."","","",1))"),54.997528)</f>
        <v>54.997528</v>
      </c>
      <c r="Q7742" s="13">
        <f>IFERROR(__xludf.DUMMYFUNCTION("VALUE(SUBSTITUTE((INDEX(SPLIT(A7742,"",""),2)),""."","","",1))"),82.845941)</f>
        <v>82.845941</v>
      </c>
      <c r="R7742" s="14" t="b">
        <f t="shared" si="1"/>
        <v>0</v>
      </c>
      <c r="S7742" s="14" t="str">
        <f t="shared" si="2"/>
        <v>54.997528,82.845941</v>
      </c>
      <c r="T7742" s="12"/>
    </row>
    <row r="7743">
      <c r="A7743" s="16" t="s">
        <v>27767</v>
      </c>
      <c r="B7743" s="16" t="s">
        <v>49690</v>
      </c>
      <c r="C7743" s="16" t="s">
        <v>49691</v>
      </c>
      <c r="D7743" s="16" t="s">
        <v>16</v>
      </c>
      <c r="E7743" s="17" t="s">
        <v>49692</v>
      </c>
      <c r="F7743" s="16" t="s">
        <v>9648</v>
      </c>
      <c r="G7743" s="16">
        <v>23.61</v>
      </c>
      <c r="H7743" s="16"/>
      <c r="I7743" s="16"/>
      <c r="J7743" s="16" t="s">
        <v>49693</v>
      </c>
      <c r="K7743" s="16" t="s">
        <v>49694</v>
      </c>
      <c r="L7743" s="16"/>
      <c r="M7743" s="25" t="s">
        <v>49695</v>
      </c>
      <c r="N7743" s="12"/>
      <c r="O7743" s="12"/>
      <c r="P7743" s="13">
        <f>IFERROR(__xludf.DUMMYFUNCTION("VALUE(SUBSTITUTE((INDEX(SPLIT(A7743,"",""),1)),""."","","",1))"),54.942677)</f>
        <v>54.942677</v>
      </c>
      <c r="Q7743" s="13">
        <f>IFERROR(__xludf.DUMMYFUNCTION("VALUE(SUBSTITUTE((INDEX(SPLIT(A7743,"",""),2)),""."","","",1))"),82.847504)</f>
        <v>82.847504</v>
      </c>
      <c r="R7743" s="14" t="b">
        <f t="shared" si="1"/>
        <v>0</v>
      </c>
      <c r="S7743" s="14" t="str">
        <f t="shared" si="2"/>
        <v>54.942677,82.847504</v>
      </c>
      <c r="T7743" s="12"/>
    </row>
    <row r="7744">
      <c r="A7744" s="10" t="s">
        <v>27774</v>
      </c>
      <c r="B7744" s="8" t="s">
        <v>49696</v>
      </c>
      <c r="C7744" s="8" t="s">
        <v>49697</v>
      </c>
      <c r="D7744" s="8" t="s">
        <v>16</v>
      </c>
      <c r="E7744" s="9" t="s">
        <v>49698</v>
      </c>
      <c r="F7744" s="10" t="s">
        <v>9648</v>
      </c>
      <c r="G7744" s="8">
        <v>23.61</v>
      </c>
      <c r="H7744" s="8"/>
      <c r="I7744" s="10"/>
      <c r="J7744" s="10" t="s">
        <v>49699</v>
      </c>
      <c r="K7744" s="10" t="s">
        <v>49700</v>
      </c>
      <c r="L7744" s="11" t="s">
        <v>49701</v>
      </c>
      <c r="M7744" s="10"/>
      <c r="N7744" s="12"/>
      <c r="O7744" s="12"/>
      <c r="P7744" s="13">
        <f>IFERROR(__xludf.DUMMYFUNCTION("VALUE(SUBSTITUTE((INDEX(SPLIT(A7744,"",""),1)),""."","","",1))"),54.999186)</f>
        <v>54.999186</v>
      </c>
      <c r="Q7744" s="13">
        <f>IFERROR(__xludf.DUMMYFUNCTION("VALUE(SUBSTITUTE((INDEX(SPLIT(A7744,"",""),2)),""."","","",1))"),82.85125)</f>
        <v>82.85125</v>
      </c>
      <c r="R7744" s="14" t="b">
        <f t="shared" si="1"/>
        <v>0</v>
      </c>
      <c r="S7744" s="14" t="str">
        <f t="shared" si="2"/>
        <v>54.999186,82.85125</v>
      </c>
      <c r="T7744" s="12"/>
    </row>
    <row r="7745">
      <c r="A7745" s="22" t="s">
        <v>27782</v>
      </c>
      <c r="B7745" s="16" t="s">
        <v>49702</v>
      </c>
      <c r="C7745" s="16" t="s">
        <v>49703</v>
      </c>
      <c r="D7745" s="16" t="s">
        <v>16</v>
      </c>
      <c r="E7745" s="21" t="s">
        <v>49704</v>
      </c>
      <c r="F7745" s="22" t="s">
        <v>9648</v>
      </c>
      <c r="G7745" s="16">
        <v>23.61</v>
      </c>
      <c r="H7745" s="16"/>
      <c r="I7745" s="22"/>
      <c r="J7745" s="22" t="s">
        <v>49705</v>
      </c>
      <c r="K7745" s="22" t="s">
        <v>49706</v>
      </c>
      <c r="L7745" s="23" t="s">
        <v>49707</v>
      </c>
      <c r="M7745" s="22"/>
      <c r="N7745" s="12"/>
      <c r="O7745" s="12"/>
      <c r="P7745" s="13">
        <f>IFERROR(__xludf.DUMMYFUNCTION("VALUE(SUBSTITUTE((INDEX(SPLIT(A7745,"",""),1)),""."","","",1))"),54.997951)</f>
        <v>54.997951</v>
      </c>
      <c r="Q7745" s="13">
        <f>IFERROR(__xludf.DUMMYFUNCTION("VALUE(SUBSTITUTE((INDEX(SPLIT(A7745,"",""),2)),""."","","",1))"),82.857395)</f>
        <v>82.857395</v>
      </c>
      <c r="R7745" s="14" t="b">
        <f t="shared" si="1"/>
        <v>0</v>
      </c>
      <c r="S7745" s="14" t="str">
        <f t="shared" si="2"/>
        <v>54.997951,82.857395</v>
      </c>
      <c r="T7745" s="12"/>
    </row>
    <row r="7746">
      <c r="A7746" s="8" t="s">
        <v>27789</v>
      </c>
      <c r="B7746" s="8" t="s">
        <v>49708</v>
      </c>
      <c r="C7746" s="8" t="s">
        <v>49709</v>
      </c>
      <c r="D7746" s="8" t="s">
        <v>16</v>
      </c>
      <c r="E7746" s="19" t="s">
        <v>49710</v>
      </c>
      <c r="F7746" s="8" t="s">
        <v>9648</v>
      </c>
      <c r="G7746" s="8">
        <v>23.61</v>
      </c>
      <c r="H7746" s="8"/>
      <c r="I7746" s="8"/>
      <c r="J7746" s="8" t="s">
        <v>49711</v>
      </c>
      <c r="K7746" s="8" t="s">
        <v>49712</v>
      </c>
      <c r="L7746" s="8"/>
      <c r="M7746" s="8"/>
      <c r="N7746" s="12"/>
      <c r="O7746" s="12"/>
      <c r="P7746" s="13">
        <f>IFERROR(__xludf.DUMMYFUNCTION("VALUE(SUBSTITUTE((INDEX(SPLIT(A7746,"",""),1)),""."","","",1))"),54.984992)</f>
        <v>54.984992</v>
      </c>
      <c r="Q7746" s="13">
        <f>IFERROR(__xludf.DUMMYFUNCTION("VALUE(SUBSTITUTE((INDEX(SPLIT(A7746,"",""),2)),""."","","",1))"),82.869828)</f>
        <v>82.869828</v>
      </c>
      <c r="R7746" s="14" t="b">
        <f t="shared" si="1"/>
        <v>0</v>
      </c>
      <c r="S7746" s="14" t="str">
        <f t="shared" si="2"/>
        <v>54.984992,82.869828</v>
      </c>
      <c r="T7746" s="12"/>
    </row>
    <row r="7747">
      <c r="A7747" s="22" t="s">
        <v>27795</v>
      </c>
      <c r="B7747" s="16" t="s">
        <v>49713</v>
      </c>
      <c r="C7747" s="16" t="s">
        <v>49714</v>
      </c>
      <c r="D7747" s="16" t="s">
        <v>16</v>
      </c>
      <c r="E7747" s="21" t="s">
        <v>49715</v>
      </c>
      <c r="F7747" s="22" t="s">
        <v>9648</v>
      </c>
      <c r="G7747" s="16">
        <v>23.61</v>
      </c>
      <c r="H7747" s="16"/>
      <c r="I7747" s="22"/>
      <c r="J7747" s="22" t="s">
        <v>49716</v>
      </c>
      <c r="K7747" s="22" t="s">
        <v>49717</v>
      </c>
      <c r="L7747" s="23" t="s">
        <v>49718</v>
      </c>
      <c r="M7747" s="22"/>
      <c r="N7747" s="12"/>
      <c r="O7747" s="12"/>
      <c r="P7747" s="13">
        <f>IFERROR(__xludf.DUMMYFUNCTION("VALUE(SUBSTITUTE((INDEX(SPLIT(A7747,"",""),1)),""."","","",1))"),55.042612)</f>
        <v>55.042612</v>
      </c>
      <c r="Q7747" s="13">
        <f>IFERROR(__xludf.DUMMYFUNCTION("VALUE(SUBSTITUTE((INDEX(SPLIT(A7747,"",""),2)),""."","","",1))"),82.871768)</f>
        <v>82.871768</v>
      </c>
      <c r="R7747" s="14" t="b">
        <f t="shared" si="1"/>
        <v>0</v>
      </c>
      <c r="S7747" s="14" t="str">
        <f t="shared" si="2"/>
        <v>55.042612,82.871768</v>
      </c>
      <c r="T7747" s="12"/>
    </row>
    <row r="7748">
      <c r="A7748" s="8" t="s">
        <v>27804</v>
      </c>
      <c r="B7748" s="8" t="s">
        <v>49719</v>
      </c>
      <c r="C7748" s="8" t="s">
        <v>49720</v>
      </c>
      <c r="D7748" s="8" t="s">
        <v>16</v>
      </c>
      <c r="E7748" s="19" t="s">
        <v>49721</v>
      </c>
      <c r="F7748" s="8" t="s">
        <v>9648</v>
      </c>
      <c r="G7748" s="8">
        <v>23.61</v>
      </c>
      <c r="H7748" s="8"/>
      <c r="I7748" s="8"/>
      <c r="J7748" s="8" t="s">
        <v>49722</v>
      </c>
      <c r="K7748" s="8" t="s">
        <v>49717</v>
      </c>
      <c r="L7748" s="8"/>
      <c r="M7748" s="8"/>
      <c r="N7748" s="12"/>
      <c r="O7748" s="12"/>
      <c r="P7748" s="13">
        <f>IFERROR(__xludf.DUMMYFUNCTION("VALUE(SUBSTITUTE((INDEX(SPLIT(A7748,"",""),1)),""."","","",1))"),55.045702)</f>
        <v>55.045702</v>
      </c>
      <c r="Q7748" s="13">
        <f>IFERROR(__xludf.DUMMYFUNCTION("VALUE(SUBSTITUTE((INDEX(SPLIT(A7748,"",""),2)),""."","","",1))"),82.8767)</f>
        <v>82.8767</v>
      </c>
      <c r="R7748" s="14" t="b">
        <f t="shared" si="1"/>
        <v>0</v>
      </c>
      <c r="S7748" s="14" t="str">
        <f t="shared" si="2"/>
        <v>55.045702,82.8767</v>
      </c>
      <c r="T7748" s="12"/>
    </row>
    <row r="7749">
      <c r="A7749" s="22" t="s">
        <v>27811</v>
      </c>
      <c r="B7749" s="16" t="s">
        <v>49723</v>
      </c>
      <c r="C7749" s="16" t="s">
        <v>49724</v>
      </c>
      <c r="D7749" s="16" t="s">
        <v>16</v>
      </c>
      <c r="E7749" s="21" t="s">
        <v>49725</v>
      </c>
      <c r="F7749" s="22" t="s">
        <v>9648</v>
      </c>
      <c r="G7749" s="16">
        <v>23.61</v>
      </c>
      <c r="H7749" s="16"/>
      <c r="I7749" s="22"/>
      <c r="J7749" s="22" t="s">
        <v>49726</v>
      </c>
      <c r="K7749" s="22" t="s">
        <v>49727</v>
      </c>
      <c r="L7749" s="23" t="s">
        <v>49728</v>
      </c>
      <c r="M7749" s="22"/>
      <c r="N7749" s="12"/>
      <c r="O7749" s="12"/>
      <c r="P7749" s="13">
        <f>IFERROR(__xludf.DUMMYFUNCTION("VALUE(SUBSTITUTE((INDEX(SPLIT(A7749,"",""),1)),""."","","",1))"),55.067654)</f>
        <v>55.067654</v>
      </c>
      <c r="Q7749" s="13">
        <f>IFERROR(__xludf.DUMMYFUNCTION("VALUE(SUBSTITUTE((INDEX(SPLIT(A7749,"",""),2)),""."","","",1))"),82.878748)</f>
        <v>82.878748</v>
      </c>
      <c r="R7749" s="14" t="b">
        <f t="shared" si="1"/>
        <v>0</v>
      </c>
      <c r="S7749" s="14" t="str">
        <f t="shared" si="2"/>
        <v>55.067654,82.878748</v>
      </c>
      <c r="T7749" s="12"/>
    </row>
    <row r="7750">
      <c r="A7750" s="10" t="s">
        <v>27819</v>
      </c>
      <c r="B7750" s="8" t="s">
        <v>49729</v>
      </c>
      <c r="C7750" s="8" t="s">
        <v>49730</v>
      </c>
      <c r="D7750" s="8" t="s">
        <v>16</v>
      </c>
      <c r="E7750" s="9" t="s">
        <v>49731</v>
      </c>
      <c r="F7750" s="10" t="s">
        <v>9648</v>
      </c>
      <c r="G7750" s="8">
        <v>23.61</v>
      </c>
      <c r="H7750" s="8"/>
      <c r="I7750" s="10"/>
      <c r="J7750" s="10" t="s">
        <v>49732</v>
      </c>
      <c r="K7750" s="10" t="s">
        <v>49733</v>
      </c>
      <c r="L7750" s="11" t="s">
        <v>49734</v>
      </c>
      <c r="M7750" s="11" t="s">
        <v>49735</v>
      </c>
      <c r="N7750" s="12"/>
      <c r="O7750" s="12"/>
      <c r="P7750" s="13">
        <f>IFERROR(__xludf.DUMMYFUNCTION("VALUE(SUBSTITUTE((INDEX(SPLIT(A7750,"",""),1)),""."","","",1))"),54.99179)</f>
        <v>54.99179</v>
      </c>
      <c r="Q7750" s="13">
        <f>IFERROR(__xludf.DUMMYFUNCTION("VALUE(SUBSTITUTE((INDEX(SPLIT(A7750,"",""),2)),""."","","",1))"),82.893633)</f>
        <v>82.893633</v>
      </c>
      <c r="R7750" s="14" t="b">
        <f t="shared" si="1"/>
        <v>0</v>
      </c>
      <c r="S7750" s="14" t="str">
        <f t="shared" si="2"/>
        <v>54.99179,82.893633</v>
      </c>
      <c r="T7750" s="12"/>
    </row>
    <row r="7751">
      <c r="A7751" s="22" t="s">
        <v>27826</v>
      </c>
      <c r="B7751" s="16" t="s">
        <v>49736</v>
      </c>
      <c r="C7751" s="16" t="s">
        <v>49737</v>
      </c>
      <c r="D7751" s="16" t="s">
        <v>16</v>
      </c>
      <c r="E7751" s="21" t="s">
        <v>49738</v>
      </c>
      <c r="F7751" s="22" t="s">
        <v>9648</v>
      </c>
      <c r="G7751" s="16">
        <v>23.61</v>
      </c>
      <c r="H7751" s="16"/>
      <c r="I7751" s="28" t="s">
        <v>49739</v>
      </c>
      <c r="J7751" s="22" t="s">
        <v>49740</v>
      </c>
      <c r="K7751" s="22" t="s">
        <v>49741</v>
      </c>
      <c r="L7751" s="23" t="s">
        <v>49742</v>
      </c>
      <c r="M7751" s="23" t="s">
        <v>49743</v>
      </c>
      <c r="N7751" s="12"/>
      <c r="O7751" s="12"/>
      <c r="P7751" s="13">
        <f>IFERROR(__xludf.DUMMYFUNCTION("VALUE(SUBSTITUTE((INDEX(SPLIT(A7751,"",""),1)),""."","","",1))"),55.129638)</f>
        <v>55.129638</v>
      </c>
      <c r="Q7751" s="13">
        <f>IFERROR(__xludf.DUMMYFUNCTION("VALUE(SUBSTITUTE((INDEX(SPLIT(A7751,"",""),2)),""."","","",1))"),82.898448)</f>
        <v>82.898448</v>
      </c>
      <c r="R7751" s="14" t="b">
        <f t="shared" si="1"/>
        <v>0</v>
      </c>
      <c r="S7751" s="14" t="str">
        <f t="shared" si="2"/>
        <v>55.129638,82.898448</v>
      </c>
      <c r="T7751" s="12"/>
    </row>
    <row r="7752">
      <c r="A7752" s="10" t="s">
        <v>27833</v>
      </c>
      <c r="B7752" s="8" t="s">
        <v>49744</v>
      </c>
      <c r="C7752" s="8" t="s">
        <v>49745</v>
      </c>
      <c r="D7752" s="8" t="s">
        <v>16</v>
      </c>
      <c r="E7752" s="9" t="s">
        <v>49746</v>
      </c>
      <c r="F7752" s="10" t="s">
        <v>9648</v>
      </c>
      <c r="G7752" s="8">
        <v>23.61</v>
      </c>
      <c r="H7752" s="8"/>
      <c r="I7752" s="10"/>
      <c r="J7752" s="10" t="s">
        <v>49747</v>
      </c>
      <c r="K7752" s="10" t="s">
        <v>49748</v>
      </c>
      <c r="L7752" s="11" t="s">
        <v>49749</v>
      </c>
      <c r="M7752" s="10"/>
      <c r="N7752" s="12"/>
      <c r="O7752" s="12"/>
      <c r="P7752" s="13">
        <f>IFERROR(__xludf.DUMMYFUNCTION("VALUE(SUBSTITUTE((INDEX(SPLIT(A7752,"",""),1)),""."","","",1))"),55.030266)</f>
        <v>55.030266</v>
      </c>
      <c r="Q7752" s="13">
        <f>IFERROR(__xludf.DUMMYFUNCTION("VALUE(SUBSTITUTE((INDEX(SPLIT(A7752,"",""),2)),""."","","",1))"),82.900029)</f>
        <v>82.900029</v>
      </c>
      <c r="R7752" s="14" t="b">
        <f t="shared" si="1"/>
        <v>0</v>
      </c>
      <c r="S7752" s="14" t="str">
        <f t="shared" si="2"/>
        <v>55.030266,82.900029</v>
      </c>
      <c r="T7752" s="12"/>
    </row>
    <row r="7753">
      <c r="A7753" s="22" t="s">
        <v>27841</v>
      </c>
      <c r="B7753" s="16" t="s">
        <v>49750</v>
      </c>
      <c r="C7753" s="16" t="s">
        <v>49751</v>
      </c>
      <c r="D7753" s="16" t="s">
        <v>16</v>
      </c>
      <c r="E7753" s="21" t="s">
        <v>49752</v>
      </c>
      <c r="F7753" s="22" t="s">
        <v>9648</v>
      </c>
      <c r="G7753" s="16">
        <v>23.61</v>
      </c>
      <c r="H7753" s="16"/>
      <c r="I7753" s="22"/>
      <c r="J7753" s="22" t="s">
        <v>49753</v>
      </c>
      <c r="K7753" s="22" t="s">
        <v>49754</v>
      </c>
      <c r="L7753" s="23" t="s">
        <v>49755</v>
      </c>
      <c r="M7753" s="22"/>
      <c r="N7753" s="12"/>
      <c r="O7753" s="12"/>
      <c r="P7753" s="13">
        <f>IFERROR(__xludf.DUMMYFUNCTION("VALUE(SUBSTITUTE((INDEX(SPLIT(A7753,"",""),1)),""."","","",1))"),55.039945)</f>
        <v>55.039945</v>
      </c>
      <c r="Q7753" s="13">
        <f>IFERROR(__xludf.DUMMYFUNCTION("VALUE(SUBSTITUTE((INDEX(SPLIT(A7753,"",""),2)),""."","","",1))"),82.900209)</f>
        <v>82.900209</v>
      </c>
      <c r="R7753" s="14" t="b">
        <f t="shared" si="1"/>
        <v>0</v>
      </c>
      <c r="S7753" s="14" t="str">
        <f t="shared" si="2"/>
        <v>55.039945,82.900209</v>
      </c>
      <c r="T7753" s="12"/>
    </row>
    <row r="7754">
      <c r="A7754" s="8" t="s">
        <v>27848</v>
      </c>
      <c r="B7754" s="8" t="s">
        <v>49756</v>
      </c>
      <c r="C7754" s="8" t="s">
        <v>49757</v>
      </c>
      <c r="D7754" s="8" t="s">
        <v>16</v>
      </c>
      <c r="E7754" s="19" t="s">
        <v>49758</v>
      </c>
      <c r="F7754" s="8" t="s">
        <v>9648</v>
      </c>
      <c r="G7754" s="8">
        <v>23.61</v>
      </c>
      <c r="H7754" s="8"/>
      <c r="I7754" s="8"/>
      <c r="J7754" s="8" t="s">
        <v>49759</v>
      </c>
      <c r="K7754" s="8" t="s">
        <v>49760</v>
      </c>
      <c r="L7754" s="8"/>
      <c r="M7754" s="24" t="s">
        <v>49761</v>
      </c>
      <c r="N7754" s="12"/>
      <c r="O7754" s="12"/>
      <c r="P7754" s="13">
        <f>IFERROR(__xludf.DUMMYFUNCTION("VALUE(SUBSTITUTE((INDEX(SPLIT(A7754,"",""),1)),""."","","",1))"),54.956678)</f>
        <v>54.956678</v>
      </c>
      <c r="Q7754" s="13">
        <f>IFERROR(__xludf.DUMMYFUNCTION("VALUE(SUBSTITUTE((INDEX(SPLIT(A7754,"",""),2)),""."","","",1))"),82.902993)</f>
        <v>82.902993</v>
      </c>
      <c r="R7754" s="14" t="b">
        <f t="shared" si="1"/>
        <v>0</v>
      </c>
      <c r="S7754" s="14" t="str">
        <f t="shared" si="2"/>
        <v>54.956678,82.902993</v>
      </c>
      <c r="T7754" s="12"/>
    </row>
    <row r="7755">
      <c r="A7755" s="22" t="s">
        <v>27855</v>
      </c>
      <c r="B7755" s="16" t="s">
        <v>29055</v>
      </c>
      <c r="C7755" s="16" t="s">
        <v>29056</v>
      </c>
      <c r="D7755" s="16" t="s">
        <v>16</v>
      </c>
      <c r="E7755" s="21" t="s">
        <v>49762</v>
      </c>
      <c r="F7755" s="22" t="s">
        <v>9648</v>
      </c>
      <c r="G7755" s="16">
        <v>23.61</v>
      </c>
      <c r="H7755" s="16"/>
      <c r="I7755" s="22"/>
      <c r="J7755" s="22" t="s">
        <v>49763</v>
      </c>
      <c r="K7755" s="22" t="s">
        <v>49700</v>
      </c>
      <c r="L7755" s="23" t="s">
        <v>49701</v>
      </c>
      <c r="M7755" s="22"/>
      <c r="N7755" s="12"/>
      <c r="O7755" s="12"/>
      <c r="P7755" s="13">
        <f>IFERROR(__xludf.DUMMYFUNCTION("VALUE(SUBSTITUTE((INDEX(SPLIT(A7755,"",""),1)),""."","","",1))"),55.028455)</f>
        <v>55.028455</v>
      </c>
      <c r="Q7755" s="13">
        <f>IFERROR(__xludf.DUMMYFUNCTION("VALUE(SUBSTITUTE((INDEX(SPLIT(A7755,"",""),2)),""."","","",1))"),82.905257)</f>
        <v>82.905257</v>
      </c>
      <c r="R7755" s="14" t="b">
        <f t="shared" si="1"/>
        <v>0</v>
      </c>
      <c r="S7755" s="14" t="str">
        <f t="shared" si="2"/>
        <v>55.028455,82.905257</v>
      </c>
      <c r="T7755" s="12"/>
    </row>
    <row r="7756">
      <c r="A7756" s="10" t="s">
        <v>27861</v>
      </c>
      <c r="B7756" s="8" t="s">
        <v>49764</v>
      </c>
      <c r="C7756" s="8" t="s">
        <v>49765</v>
      </c>
      <c r="D7756" s="8" t="s">
        <v>16</v>
      </c>
      <c r="E7756" s="9" t="s">
        <v>49766</v>
      </c>
      <c r="F7756" s="10" t="s">
        <v>26306</v>
      </c>
      <c r="G7756" s="8">
        <v>23.61</v>
      </c>
      <c r="H7756" s="8"/>
      <c r="I7756" s="10"/>
      <c r="J7756" s="10" t="s">
        <v>49767</v>
      </c>
      <c r="K7756" s="10" t="s">
        <v>49768</v>
      </c>
      <c r="L7756" s="11" t="s">
        <v>49769</v>
      </c>
      <c r="M7756" s="10"/>
      <c r="N7756" s="12"/>
      <c r="O7756" s="12"/>
      <c r="P7756" s="13">
        <f>IFERROR(__xludf.DUMMYFUNCTION("VALUE(SUBSTITUTE((INDEX(SPLIT(A7756,"",""),1)),""."","","",1))"),55.026778)</f>
        <v>55.026778</v>
      </c>
      <c r="Q7756" s="13">
        <f>IFERROR(__xludf.DUMMYFUNCTION("VALUE(SUBSTITUTE((INDEX(SPLIT(A7756,"",""),2)),""."","","",1))"),82.906092)</f>
        <v>82.906092</v>
      </c>
      <c r="R7756" s="14" t="b">
        <f t="shared" si="1"/>
        <v>0</v>
      </c>
      <c r="S7756" s="14" t="str">
        <f t="shared" si="2"/>
        <v>55.026778,82.906092</v>
      </c>
      <c r="T7756" s="12"/>
    </row>
    <row r="7757">
      <c r="A7757" s="16" t="s">
        <v>27868</v>
      </c>
      <c r="B7757" s="16" t="s">
        <v>49770</v>
      </c>
      <c r="C7757" s="16" t="s">
        <v>49771</v>
      </c>
      <c r="D7757" s="16" t="s">
        <v>16</v>
      </c>
      <c r="E7757" s="17" t="s">
        <v>49772</v>
      </c>
      <c r="F7757" s="16" t="s">
        <v>9648</v>
      </c>
      <c r="G7757" s="16">
        <v>23.61</v>
      </c>
      <c r="H7757" s="16"/>
      <c r="I7757" s="16"/>
      <c r="J7757" s="16" t="s">
        <v>49773</v>
      </c>
      <c r="K7757" s="16" t="s">
        <v>49774</v>
      </c>
      <c r="L7757" s="16"/>
      <c r="M7757" s="16"/>
      <c r="N7757" s="12"/>
      <c r="O7757" s="12"/>
      <c r="P7757" s="13">
        <f>IFERROR(__xludf.DUMMYFUNCTION("VALUE(SUBSTITUTE((INDEX(SPLIT(A7757,"",""),1)),""."","","",1))"),55.053701)</f>
        <v>55.053701</v>
      </c>
      <c r="Q7757" s="13">
        <f>IFERROR(__xludf.DUMMYFUNCTION("VALUE(SUBSTITUTE((INDEX(SPLIT(A7757,"",""),2)),""."","","",1))"),82.907359)</f>
        <v>82.907359</v>
      </c>
      <c r="R7757" s="14" t="b">
        <f t="shared" si="1"/>
        <v>0</v>
      </c>
      <c r="S7757" s="14" t="str">
        <f t="shared" si="2"/>
        <v>55.053701,82.907359</v>
      </c>
      <c r="T7757" s="12"/>
    </row>
    <row r="7758">
      <c r="A7758" s="8" t="s">
        <v>27877</v>
      </c>
      <c r="B7758" s="8" t="s">
        <v>49775</v>
      </c>
      <c r="C7758" s="8" t="s">
        <v>49776</v>
      </c>
      <c r="D7758" s="8" t="s">
        <v>16</v>
      </c>
      <c r="E7758" s="19" t="s">
        <v>49777</v>
      </c>
      <c r="F7758" s="8" t="s">
        <v>9648</v>
      </c>
      <c r="G7758" s="8">
        <v>23.61</v>
      </c>
      <c r="H7758" s="8"/>
      <c r="I7758" s="8"/>
      <c r="J7758" s="8" t="s">
        <v>49778</v>
      </c>
      <c r="K7758" s="8" t="s">
        <v>49779</v>
      </c>
      <c r="L7758" s="8"/>
      <c r="M7758" s="8"/>
      <c r="N7758" s="12"/>
      <c r="O7758" s="12"/>
      <c r="P7758" s="13">
        <f>IFERROR(__xludf.DUMMYFUNCTION("VALUE(SUBSTITUTE((INDEX(SPLIT(A7758,"",""),1)),""."","","",1))"),54.989213)</f>
        <v>54.989213</v>
      </c>
      <c r="Q7758" s="13">
        <f>IFERROR(__xludf.DUMMYFUNCTION("VALUE(SUBSTITUTE((INDEX(SPLIT(A7758,"",""),2)),""."","","",1))"),82.908222)</f>
        <v>82.908222</v>
      </c>
      <c r="R7758" s="14" t="b">
        <f t="shared" si="1"/>
        <v>0</v>
      </c>
      <c r="S7758" s="14" t="str">
        <f t="shared" si="2"/>
        <v>54.989213,82.908222</v>
      </c>
      <c r="T7758" s="12"/>
    </row>
    <row r="7759">
      <c r="A7759" s="16" t="s">
        <v>27877</v>
      </c>
      <c r="B7759" s="16" t="s">
        <v>49780</v>
      </c>
      <c r="C7759" s="16" t="s">
        <v>49781</v>
      </c>
      <c r="D7759" s="16" t="s">
        <v>16</v>
      </c>
      <c r="E7759" s="17" t="s">
        <v>49782</v>
      </c>
      <c r="F7759" s="16" t="s">
        <v>9648</v>
      </c>
      <c r="G7759" s="16">
        <v>23.61</v>
      </c>
      <c r="H7759" s="16"/>
      <c r="I7759" s="16"/>
      <c r="J7759" s="16" t="s">
        <v>49783</v>
      </c>
      <c r="K7759" s="16" t="s">
        <v>49784</v>
      </c>
      <c r="L7759" s="16"/>
      <c r="M7759" s="25" t="s">
        <v>49785</v>
      </c>
      <c r="N7759" s="12"/>
      <c r="O7759" s="12"/>
      <c r="P7759" s="13">
        <f>IFERROR(__xludf.DUMMYFUNCTION("VALUE(SUBSTITUTE((INDEX(SPLIT(A7759,"",""),1)),""."","","",1))"),54.989213)</f>
        <v>54.989213</v>
      </c>
      <c r="Q7759" s="13">
        <f>IFERROR(__xludf.DUMMYFUNCTION("VALUE(SUBSTITUTE((INDEX(SPLIT(A7759,"",""),2)),""."","","",1))"),82.908222)</f>
        <v>82.908222</v>
      </c>
      <c r="R7759" s="14" t="b">
        <f t="shared" si="1"/>
        <v>0</v>
      </c>
      <c r="S7759" s="14" t="str">
        <f t="shared" si="2"/>
        <v>54.989213,82.908222</v>
      </c>
      <c r="T7759" s="12"/>
    </row>
    <row r="7760">
      <c r="A7760" s="10" t="s">
        <v>27891</v>
      </c>
      <c r="B7760" s="8" t="s">
        <v>49786</v>
      </c>
      <c r="C7760" s="8" t="s">
        <v>49787</v>
      </c>
      <c r="D7760" s="8" t="s">
        <v>16</v>
      </c>
      <c r="E7760" s="9" t="s">
        <v>49788</v>
      </c>
      <c r="F7760" s="10" t="s">
        <v>9648</v>
      </c>
      <c r="G7760" s="8">
        <v>23.61</v>
      </c>
      <c r="H7760" s="8"/>
      <c r="I7760" s="10"/>
      <c r="J7760" s="10" t="s">
        <v>49789</v>
      </c>
      <c r="K7760" s="10" t="s">
        <v>49790</v>
      </c>
      <c r="L7760" s="11" t="s">
        <v>49791</v>
      </c>
      <c r="M7760" s="10"/>
      <c r="N7760" s="12"/>
      <c r="O7760" s="12"/>
      <c r="P7760" s="13">
        <f>IFERROR(__xludf.DUMMYFUNCTION("VALUE(SUBSTITUTE((INDEX(SPLIT(A7760,"",""),1)),""."","","",1))"),54.958575)</f>
        <v>54.958575</v>
      </c>
      <c r="Q7760" s="13">
        <f>IFERROR(__xludf.DUMMYFUNCTION("VALUE(SUBSTITUTE((INDEX(SPLIT(A7760,"",""),2)),""."","","",1))"),82.90885)</f>
        <v>82.90885</v>
      </c>
      <c r="R7760" s="14" t="b">
        <f t="shared" si="1"/>
        <v>0</v>
      </c>
      <c r="S7760" s="14" t="str">
        <f t="shared" si="2"/>
        <v>54.958575,82.90885</v>
      </c>
      <c r="T7760" s="12"/>
    </row>
    <row r="7761">
      <c r="A7761" s="16" t="s">
        <v>27898</v>
      </c>
      <c r="B7761" s="16" t="s">
        <v>49792</v>
      </c>
      <c r="C7761" s="16" t="s">
        <v>49793</v>
      </c>
      <c r="D7761" s="16" t="s">
        <v>16</v>
      </c>
      <c r="E7761" s="17" t="s">
        <v>49794</v>
      </c>
      <c r="F7761" s="16" t="s">
        <v>9648</v>
      </c>
      <c r="G7761" s="16">
        <v>23.61</v>
      </c>
      <c r="H7761" s="16"/>
      <c r="I7761" s="16"/>
      <c r="J7761" s="16" t="s">
        <v>49795</v>
      </c>
      <c r="K7761" s="16" t="s">
        <v>49796</v>
      </c>
      <c r="L7761" s="16"/>
      <c r="M7761" s="25" t="s">
        <v>49797</v>
      </c>
      <c r="N7761" s="12"/>
      <c r="O7761" s="12"/>
      <c r="P7761" s="13">
        <f>IFERROR(__xludf.DUMMYFUNCTION("VALUE(SUBSTITUTE((INDEX(SPLIT(A7761,"",""),1)),""."","","",1))"),54.958756)</f>
        <v>54.958756</v>
      </c>
      <c r="Q7761" s="13">
        <f>IFERROR(__xludf.DUMMYFUNCTION("VALUE(SUBSTITUTE((INDEX(SPLIT(A7761,"",""),2)),""."","","",1))"),82.910359)</f>
        <v>82.910359</v>
      </c>
      <c r="R7761" s="14" t="b">
        <f t="shared" si="1"/>
        <v>0</v>
      </c>
      <c r="S7761" s="14" t="str">
        <f t="shared" si="2"/>
        <v>54.958756,82.910359</v>
      </c>
      <c r="T7761" s="12"/>
    </row>
    <row r="7762">
      <c r="A7762" s="8" t="s">
        <v>27905</v>
      </c>
      <c r="B7762" s="8" t="s">
        <v>49798</v>
      </c>
      <c r="C7762" s="8" t="s">
        <v>49799</v>
      </c>
      <c r="D7762" s="8" t="s">
        <v>16</v>
      </c>
      <c r="E7762" s="19" t="s">
        <v>49800</v>
      </c>
      <c r="F7762" s="8" t="s">
        <v>9648</v>
      </c>
      <c r="G7762" s="8">
        <v>23.61</v>
      </c>
      <c r="H7762" s="8"/>
      <c r="I7762" s="8"/>
      <c r="J7762" s="8" t="s">
        <v>49801</v>
      </c>
      <c r="K7762" s="8" t="s">
        <v>49802</v>
      </c>
      <c r="L7762" s="8"/>
      <c r="M7762" s="24" t="s">
        <v>49803</v>
      </c>
      <c r="N7762" s="12"/>
      <c r="O7762" s="12"/>
      <c r="P7762" s="13">
        <f>IFERROR(__xludf.DUMMYFUNCTION("VALUE(SUBSTITUTE((INDEX(SPLIT(A7762,"",""),1)),""."","","",1))"),55.063385)</f>
        <v>55.063385</v>
      </c>
      <c r="Q7762" s="13">
        <f>IFERROR(__xludf.DUMMYFUNCTION("VALUE(SUBSTITUTE((INDEX(SPLIT(A7762,"",""),2)),""."","","",1))"),82.912524)</f>
        <v>82.912524</v>
      </c>
      <c r="R7762" s="14" t="b">
        <f t="shared" si="1"/>
        <v>0</v>
      </c>
      <c r="S7762" s="14" t="str">
        <f t="shared" si="2"/>
        <v>55.063385,82.912524</v>
      </c>
      <c r="T7762" s="12"/>
    </row>
    <row r="7763">
      <c r="A7763" s="22" t="s">
        <v>27912</v>
      </c>
      <c r="B7763" s="16" t="s">
        <v>809</v>
      </c>
      <c r="C7763" s="16" t="s">
        <v>810</v>
      </c>
      <c r="D7763" s="16" t="s">
        <v>16</v>
      </c>
      <c r="E7763" s="21" t="s">
        <v>49804</v>
      </c>
      <c r="F7763" s="22" t="s">
        <v>9648</v>
      </c>
      <c r="G7763" s="16">
        <v>23.61</v>
      </c>
      <c r="H7763" s="16"/>
      <c r="I7763" s="22"/>
      <c r="J7763" s="22" t="s">
        <v>49805</v>
      </c>
      <c r="K7763" s="22" t="s">
        <v>49806</v>
      </c>
      <c r="L7763" s="23" t="s">
        <v>49807</v>
      </c>
      <c r="M7763" s="22"/>
      <c r="N7763" s="12"/>
      <c r="O7763" s="12"/>
      <c r="P7763" s="13">
        <f>IFERROR(__xludf.DUMMYFUNCTION("VALUE(SUBSTITUTE((INDEX(SPLIT(A7763,"",""),1)),""."","","",1))"),54.961279)</f>
        <v>54.961279</v>
      </c>
      <c r="Q7763" s="13">
        <f>IFERROR(__xludf.DUMMYFUNCTION("VALUE(SUBSTITUTE((INDEX(SPLIT(A7763,"",""),2)),""."","","",1))"),82.912767)</f>
        <v>82.912767</v>
      </c>
      <c r="R7763" s="14" t="b">
        <f t="shared" si="1"/>
        <v>0</v>
      </c>
      <c r="S7763" s="14" t="str">
        <f t="shared" si="2"/>
        <v>54.961279,82.912767</v>
      </c>
      <c r="T7763" s="12"/>
    </row>
    <row r="7764">
      <c r="A7764" s="8" t="s">
        <v>27919</v>
      </c>
      <c r="B7764" s="8" t="s">
        <v>49808</v>
      </c>
      <c r="C7764" s="8" t="s">
        <v>49809</v>
      </c>
      <c r="D7764" s="8" t="s">
        <v>16</v>
      </c>
      <c r="E7764" s="19" t="s">
        <v>49810</v>
      </c>
      <c r="F7764" s="8" t="s">
        <v>9648</v>
      </c>
      <c r="G7764" s="8">
        <v>23.61</v>
      </c>
      <c r="H7764" s="8"/>
      <c r="I7764" s="8"/>
      <c r="J7764" s="8" t="s">
        <v>49811</v>
      </c>
      <c r="K7764" s="8" t="s">
        <v>49712</v>
      </c>
      <c r="L7764" s="8"/>
      <c r="M7764" s="8"/>
      <c r="N7764" s="12"/>
      <c r="O7764" s="12"/>
      <c r="P7764" s="13">
        <f>IFERROR(__xludf.DUMMYFUNCTION("VALUE(SUBSTITUTE((INDEX(SPLIT(A7764,"",""),1)),""."","","",1))"),55.043855)</f>
        <v>55.043855</v>
      </c>
      <c r="Q7764" s="13">
        <f>IFERROR(__xludf.DUMMYFUNCTION("VALUE(SUBSTITUTE((INDEX(SPLIT(A7764,"",""),2)),""."","","",1))"),82.912983)</f>
        <v>82.912983</v>
      </c>
      <c r="R7764" s="14" t="b">
        <f t="shared" si="1"/>
        <v>0</v>
      </c>
      <c r="S7764" s="14" t="str">
        <f t="shared" si="2"/>
        <v>55.043855,82.912983</v>
      </c>
      <c r="T7764" s="12"/>
    </row>
    <row r="7765">
      <c r="A7765" s="22" t="s">
        <v>27919</v>
      </c>
      <c r="B7765" s="16" t="s">
        <v>49812</v>
      </c>
      <c r="C7765" s="16" t="s">
        <v>49813</v>
      </c>
      <c r="D7765" s="16" t="s">
        <v>16</v>
      </c>
      <c r="E7765" s="21" t="s">
        <v>49814</v>
      </c>
      <c r="F7765" s="22" t="s">
        <v>9648</v>
      </c>
      <c r="G7765" s="16">
        <v>23.61</v>
      </c>
      <c r="H7765" s="16"/>
      <c r="I7765" s="22"/>
      <c r="J7765" s="22" t="s">
        <v>49815</v>
      </c>
      <c r="K7765" s="22" t="s">
        <v>49712</v>
      </c>
      <c r="L7765" s="23" t="s">
        <v>49816</v>
      </c>
      <c r="M7765" s="23" t="s">
        <v>49817</v>
      </c>
      <c r="N7765" s="12"/>
      <c r="O7765" s="12"/>
      <c r="P7765" s="13">
        <f>IFERROR(__xludf.DUMMYFUNCTION("VALUE(SUBSTITUTE((INDEX(SPLIT(A7765,"",""),1)),""."","","",1))"),55.043855)</f>
        <v>55.043855</v>
      </c>
      <c r="Q7765" s="13">
        <f>IFERROR(__xludf.DUMMYFUNCTION("VALUE(SUBSTITUTE((INDEX(SPLIT(A7765,"",""),2)),""."","","",1))"),82.912983)</f>
        <v>82.912983</v>
      </c>
      <c r="R7765" s="14" t="b">
        <f t="shared" si="1"/>
        <v>0</v>
      </c>
      <c r="S7765" s="14" t="str">
        <f t="shared" si="2"/>
        <v>55.043855,82.912983</v>
      </c>
      <c r="T7765" s="12"/>
    </row>
    <row r="7766">
      <c r="A7766" s="8" t="s">
        <v>27919</v>
      </c>
      <c r="B7766" s="8" t="s">
        <v>49818</v>
      </c>
      <c r="C7766" s="8" t="s">
        <v>49819</v>
      </c>
      <c r="D7766" s="8" t="s">
        <v>16</v>
      </c>
      <c r="E7766" s="19" t="s">
        <v>49820</v>
      </c>
      <c r="F7766" s="8" t="s">
        <v>9648</v>
      </c>
      <c r="G7766" s="8">
        <v>23.61</v>
      </c>
      <c r="H7766" s="8"/>
      <c r="I7766" s="8"/>
      <c r="J7766" s="8" t="s">
        <v>49821</v>
      </c>
      <c r="K7766" s="8" t="s">
        <v>49712</v>
      </c>
      <c r="L7766" s="8"/>
      <c r="M7766" s="24" t="s">
        <v>49822</v>
      </c>
      <c r="N7766" s="12"/>
      <c r="O7766" s="12"/>
      <c r="P7766" s="13">
        <f>IFERROR(__xludf.DUMMYFUNCTION("VALUE(SUBSTITUTE((INDEX(SPLIT(A7766,"",""),1)),""."","","",1))"),55.043855)</f>
        <v>55.043855</v>
      </c>
      <c r="Q7766" s="13">
        <f>IFERROR(__xludf.DUMMYFUNCTION("VALUE(SUBSTITUTE((INDEX(SPLIT(A7766,"",""),2)),""."","","",1))"),82.912983)</f>
        <v>82.912983</v>
      </c>
      <c r="R7766" s="14" t="b">
        <f t="shared" si="1"/>
        <v>0</v>
      </c>
      <c r="S7766" s="14" t="str">
        <f t="shared" si="2"/>
        <v>55.043855,82.912983</v>
      </c>
      <c r="T7766" s="12"/>
    </row>
    <row r="7767">
      <c r="A7767" s="16" t="s">
        <v>27937</v>
      </c>
      <c r="B7767" s="16" t="s">
        <v>49823</v>
      </c>
      <c r="C7767" s="16" t="s">
        <v>49824</v>
      </c>
      <c r="D7767" s="16" t="s">
        <v>16</v>
      </c>
      <c r="E7767" s="17" t="s">
        <v>49825</v>
      </c>
      <c r="F7767" s="16" t="s">
        <v>9648</v>
      </c>
      <c r="G7767" s="16">
        <v>23.61</v>
      </c>
      <c r="H7767" s="16"/>
      <c r="I7767" s="16"/>
      <c r="J7767" s="16" t="s">
        <v>49826</v>
      </c>
      <c r="K7767" s="16" t="s">
        <v>49827</v>
      </c>
      <c r="L7767" s="16"/>
      <c r="M7767" s="25" t="s">
        <v>49828</v>
      </c>
      <c r="N7767" s="12"/>
      <c r="O7767" s="12"/>
      <c r="P7767" s="13">
        <f>IFERROR(__xludf.DUMMYFUNCTION("VALUE(SUBSTITUTE((INDEX(SPLIT(A7767,"",""),1)),""."","","",1))"),55.024394)</f>
        <v>55.024394</v>
      </c>
      <c r="Q7767" s="13">
        <f>IFERROR(__xludf.DUMMYFUNCTION("VALUE(SUBSTITUTE((INDEX(SPLIT(A7767,"",""),2)),""."","","",1))"),82.920016)</f>
        <v>82.920016</v>
      </c>
      <c r="R7767" s="14" t="b">
        <f t="shared" si="1"/>
        <v>0</v>
      </c>
      <c r="S7767" s="14" t="str">
        <f t="shared" si="2"/>
        <v>55.024394,82.920016</v>
      </c>
      <c r="T7767" s="12"/>
    </row>
    <row r="7768">
      <c r="A7768" s="8" t="s">
        <v>27937</v>
      </c>
      <c r="B7768" s="8" t="s">
        <v>49829</v>
      </c>
      <c r="C7768" s="8" t="s">
        <v>49830</v>
      </c>
      <c r="D7768" s="8" t="s">
        <v>16</v>
      </c>
      <c r="E7768" s="19" t="s">
        <v>49831</v>
      </c>
      <c r="F7768" s="8" t="s">
        <v>9648</v>
      </c>
      <c r="G7768" s="8">
        <v>23.61</v>
      </c>
      <c r="H7768" s="8"/>
      <c r="I7768" s="8"/>
      <c r="J7768" s="8" t="s">
        <v>49832</v>
      </c>
      <c r="K7768" s="8" t="s">
        <v>49833</v>
      </c>
      <c r="L7768" s="8"/>
      <c r="M7768" s="24" t="s">
        <v>49834</v>
      </c>
      <c r="N7768" s="12"/>
      <c r="O7768" s="12"/>
      <c r="P7768" s="13">
        <f>IFERROR(__xludf.DUMMYFUNCTION("VALUE(SUBSTITUTE((INDEX(SPLIT(A7768,"",""),1)),""."","","",1))"),55.024394)</f>
        <v>55.024394</v>
      </c>
      <c r="Q7768" s="13">
        <f>IFERROR(__xludf.DUMMYFUNCTION("VALUE(SUBSTITUTE((INDEX(SPLIT(A7768,"",""),2)),""."","","",1))"),82.920016)</f>
        <v>82.920016</v>
      </c>
      <c r="R7768" s="14" t="b">
        <f t="shared" si="1"/>
        <v>0</v>
      </c>
      <c r="S7768" s="14" t="str">
        <f t="shared" si="2"/>
        <v>55.024394,82.920016</v>
      </c>
      <c r="T7768" s="12"/>
    </row>
    <row r="7769">
      <c r="A7769" s="16" t="s">
        <v>27950</v>
      </c>
      <c r="B7769" s="16" t="s">
        <v>49835</v>
      </c>
      <c r="C7769" s="16" t="s">
        <v>49836</v>
      </c>
      <c r="D7769" s="16" t="s">
        <v>16</v>
      </c>
      <c r="E7769" s="17" t="s">
        <v>49837</v>
      </c>
      <c r="F7769" s="16" t="s">
        <v>9648</v>
      </c>
      <c r="G7769" s="16">
        <v>23.61</v>
      </c>
      <c r="H7769" s="16"/>
      <c r="I7769" s="16"/>
      <c r="J7769" s="16" t="s">
        <v>49838</v>
      </c>
      <c r="K7769" s="16" t="s">
        <v>49839</v>
      </c>
      <c r="L7769" s="16"/>
      <c r="M7769" s="25" t="s">
        <v>49840</v>
      </c>
      <c r="N7769" s="12"/>
      <c r="O7769" s="12"/>
      <c r="P7769" s="13">
        <f>IFERROR(__xludf.DUMMYFUNCTION("VALUE(SUBSTITUTE((INDEX(SPLIT(A7769,"",""),1)),""."","","",1))"),55.1271)</f>
        <v>55.1271</v>
      </c>
      <c r="Q7769" s="13">
        <f>IFERROR(__xludf.DUMMYFUNCTION("VALUE(SUBSTITUTE((INDEX(SPLIT(A7769,"",""),2)),""."","","",1))"),82.920376)</f>
        <v>82.920376</v>
      </c>
      <c r="R7769" s="14" t="b">
        <f t="shared" si="1"/>
        <v>0</v>
      </c>
      <c r="S7769" s="14" t="str">
        <f t="shared" si="2"/>
        <v>55.1271,82.920376</v>
      </c>
      <c r="T7769" s="12"/>
    </row>
    <row r="7770">
      <c r="A7770" s="8" t="s">
        <v>27956</v>
      </c>
      <c r="B7770" s="8" t="s">
        <v>49841</v>
      </c>
      <c r="C7770" s="8" t="s">
        <v>49842</v>
      </c>
      <c r="D7770" s="8" t="s">
        <v>16</v>
      </c>
      <c r="E7770" s="19" t="s">
        <v>49843</v>
      </c>
      <c r="F7770" s="8" t="s">
        <v>9648</v>
      </c>
      <c r="G7770" s="8">
        <v>23.61</v>
      </c>
      <c r="H7770" s="8"/>
      <c r="I7770" s="8"/>
      <c r="J7770" s="8" t="s">
        <v>49844</v>
      </c>
      <c r="K7770" s="8" t="s">
        <v>49845</v>
      </c>
      <c r="L7770" s="8"/>
      <c r="M7770" s="8"/>
      <c r="N7770" s="12"/>
      <c r="O7770" s="12"/>
      <c r="P7770" s="13">
        <f>IFERROR(__xludf.DUMMYFUNCTION("VALUE(SUBSTITUTE((INDEX(SPLIT(A7770,"",""),1)),""."","","",1))"),55.025668)</f>
        <v>55.025668</v>
      </c>
      <c r="Q7770" s="13">
        <f>IFERROR(__xludf.DUMMYFUNCTION("VALUE(SUBSTITUTE((INDEX(SPLIT(A7770,"",""),2)),""."","","",1))"),82.923942)</f>
        <v>82.923942</v>
      </c>
      <c r="R7770" s="14" t="b">
        <f t="shared" si="1"/>
        <v>0</v>
      </c>
      <c r="S7770" s="14" t="str">
        <f t="shared" si="2"/>
        <v>55.025668,82.923942</v>
      </c>
      <c r="T7770" s="12"/>
    </row>
    <row r="7771">
      <c r="A7771" s="22" t="s">
        <v>27962</v>
      </c>
      <c r="B7771" s="16" t="s">
        <v>49846</v>
      </c>
      <c r="C7771" s="16" t="s">
        <v>49847</v>
      </c>
      <c r="D7771" s="16" t="s">
        <v>16</v>
      </c>
      <c r="E7771" s="21" t="s">
        <v>49848</v>
      </c>
      <c r="F7771" s="22" t="s">
        <v>9648</v>
      </c>
      <c r="G7771" s="16">
        <v>23.61</v>
      </c>
      <c r="H7771" s="16"/>
      <c r="I7771" s="22"/>
      <c r="J7771" s="22" t="s">
        <v>49849</v>
      </c>
      <c r="K7771" s="22" t="s">
        <v>49850</v>
      </c>
      <c r="L7771" s="23" t="s">
        <v>49851</v>
      </c>
      <c r="M7771" s="22"/>
      <c r="N7771" s="12"/>
      <c r="O7771" s="12"/>
      <c r="P7771" s="13">
        <f>IFERROR(__xludf.DUMMYFUNCTION("VALUE(SUBSTITUTE((INDEX(SPLIT(A7771,"",""),1)),""."","","",1))"),55.119662)</f>
        <v>55.119662</v>
      </c>
      <c r="Q7771" s="13">
        <f>IFERROR(__xludf.DUMMYFUNCTION("VALUE(SUBSTITUTE((INDEX(SPLIT(A7771,"",""),2)),""."","","",1))"),82.925496)</f>
        <v>82.925496</v>
      </c>
      <c r="R7771" s="14" t="b">
        <f t="shared" si="1"/>
        <v>0</v>
      </c>
      <c r="S7771" s="14" t="str">
        <f t="shared" si="2"/>
        <v>55.119662,82.925496</v>
      </c>
      <c r="T7771" s="12"/>
    </row>
    <row r="7772">
      <c r="A7772" s="8" t="s">
        <v>27968</v>
      </c>
      <c r="B7772" s="8" t="s">
        <v>49852</v>
      </c>
      <c r="C7772" s="8" t="s">
        <v>49853</v>
      </c>
      <c r="D7772" s="8" t="s">
        <v>16</v>
      </c>
      <c r="E7772" s="19" t="s">
        <v>49854</v>
      </c>
      <c r="F7772" s="8" t="s">
        <v>9648</v>
      </c>
      <c r="G7772" s="8">
        <v>23.61</v>
      </c>
      <c r="H7772" s="8"/>
      <c r="I7772" s="8"/>
      <c r="J7772" s="8" t="s">
        <v>49855</v>
      </c>
      <c r="K7772" s="8" t="s">
        <v>49856</v>
      </c>
      <c r="L7772" s="8"/>
      <c r="M7772" s="24" t="s">
        <v>49857</v>
      </c>
      <c r="N7772" s="12"/>
      <c r="O7772" s="12"/>
      <c r="P7772" s="13">
        <f>IFERROR(__xludf.DUMMYFUNCTION("VALUE(SUBSTITUTE((INDEX(SPLIT(A7772,"",""),1)),""."","","",1))"),55.11045)</f>
        <v>55.11045</v>
      </c>
      <c r="Q7772" s="13">
        <f>IFERROR(__xludf.DUMMYFUNCTION("VALUE(SUBSTITUTE((INDEX(SPLIT(A7772,"",""),2)),""."","","",1))"),82.92732)</f>
        <v>82.92732</v>
      </c>
      <c r="R7772" s="14" t="b">
        <f t="shared" si="1"/>
        <v>0</v>
      </c>
      <c r="S7772" s="14" t="str">
        <f t="shared" si="2"/>
        <v>55.11045,82.92732</v>
      </c>
      <c r="T7772" s="12"/>
    </row>
    <row r="7773">
      <c r="A7773" s="16" t="s">
        <v>27976</v>
      </c>
      <c r="B7773" s="16" t="s">
        <v>49858</v>
      </c>
      <c r="C7773" s="16" t="s">
        <v>49859</v>
      </c>
      <c r="D7773" s="16" t="s">
        <v>16</v>
      </c>
      <c r="E7773" s="17" t="s">
        <v>49860</v>
      </c>
      <c r="F7773" s="16" t="s">
        <v>9648</v>
      </c>
      <c r="G7773" s="16">
        <v>23.61</v>
      </c>
      <c r="H7773" s="16"/>
      <c r="I7773" s="16"/>
      <c r="J7773" s="16" t="s">
        <v>49861</v>
      </c>
      <c r="K7773" s="16" t="s">
        <v>49862</v>
      </c>
      <c r="L7773" s="16"/>
      <c r="M7773" s="16"/>
      <c r="N7773" s="12"/>
      <c r="O7773" s="12"/>
      <c r="P7773" s="13">
        <f>IFERROR(__xludf.DUMMYFUNCTION("VALUE(SUBSTITUTE((INDEX(SPLIT(A7773,"",""),1)),""."","","",1))"),55.080627)</f>
        <v>55.080627</v>
      </c>
      <c r="Q7773" s="13">
        <f>IFERROR(__xludf.DUMMYFUNCTION("VALUE(SUBSTITUTE((INDEX(SPLIT(A7773,"",""),2)),""."","","",1))"),82.929925)</f>
        <v>82.929925</v>
      </c>
      <c r="R7773" s="14" t="b">
        <f t="shared" si="1"/>
        <v>0</v>
      </c>
      <c r="S7773" s="14" t="str">
        <f t="shared" si="2"/>
        <v>55.080627,82.929925</v>
      </c>
      <c r="T7773" s="12"/>
    </row>
    <row r="7774">
      <c r="A7774" s="8" t="s">
        <v>27976</v>
      </c>
      <c r="B7774" s="8" t="s">
        <v>49863</v>
      </c>
      <c r="C7774" s="8" t="s">
        <v>49864</v>
      </c>
      <c r="D7774" s="8" t="s">
        <v>16</v>
      </c>
      <c r="E7774" s="19" t="s">
        <v>49865</v>
      </c>
      <c r="F7774" s="8" t="s">
        <v>9648</v>
      </c>
      <c r="G7774" s="8">
        <v>23.61</v>
      </c>
      <c r="H7774" s="8"/>
      <c r="I7774" s="8"/>
      <c r="J7774" s="8" t="s">
        <v>49866</v>
      </c>
      <c r="K7774" s="8" t="s">
        <v>49862</v>
      </c>
      <c r="L7774" s="8"/>
      <c r="M7774" s="24" t="s">
        <v>49867</v>
      </c>
      <c r="N7774" s="12"/>
      <c r="O7774" s="12"/>
      <c r="P7774" s="13">
        <f>IFERROR(__xludf.DUMMYFUNCTION("VALUE(SUBSTITUTE((INDEX(SPLIT(A7774,"",""),1)),""."","","",1))"),55.080627)</f>
        <v>55.080627</v>
      </c>
      <c r="Q7774" s="13">
        <f>IFERROR(__xludf.DUMMYFUNCTION("VALUE(SUBSTITUTE((INDEX(SPLIT(A7774,"",""),2)),""."","","",1))"),82.929925)</f>
        <v>82.929925</v>
      </c>
      <c r="R7774" s="14" t="b">
        <f t="shared" si="1"/>
        <v>0</v>
      </c>
      <c r="S7774" s="14" t="str">
        <f t="shared" si="2"/>
        <v>55.080627,82.929925</v>
      </c>
      <c r="T7774" s="12"/>
    </row>
    <row r="7775">
      <c r="A7775" s="22" t="s">
        <v>27988</v>
      </c>
      <c r="B7775" s="16" t="s">
        <v>49868</v>
      </c>
      <c r="C7775" s="16" t="s">
        <v>49869</v>
      </c>
      <c r="D7775" s="16" t="s">
        <v>16</v>
      </c>
      <c r="E7775" s="21" t="s">
        <v>49870</v>
      </c>
      <c r="F7775" s="22" t="s">
        <v>9648</v>
      </c>
      <c r="G7775" s="16">
        <v>23.61</v>
      </c>
      <c r="H7775" s="16"/>
      <c r="I7775" s="22"/>
      <c r="J7775" s="22" t="s">
        <v>49871</v>
      </c>
      <c r="K7775" s="22" t="s">
        <v>49872</v>
      </c>
      <c r="L7775" s="30" t="s">
        <v>49873</v>
      </c>
      <c r="M7775" s="22"/>
      <c r="N7775" s="12"/>
      <c r="O7775" s="12"/>
      <c r="P7775" s="13">
        <f>IFERROR(__xludf.DUMMYFUNCTION("VALUE(SUBSTITUTE((INDEX(SPLIT(A7775,"",""),1)),""."","","",1))"),55.031659)</f>
        <v>55.031659</v>
      </c>
      <c r="Q7775" s="13">
        <f>IFERROR(__xludf.DUMMYFUNCTION("VALUE(SUBSTITUTE((INDEX(SPLIT(A7775,"",""),2)),""."","","",1))"),82.931093)</f>
        <v>82.931093</v>
      </c>
      <c r="R7775" s="14" t="b">
        <f t="shared" si="1"/>
        <v>0</v>
      </c>
      <c r="S7775" s="14" t="str">
        <f t="shared" si="2"/>
        <v>55.031659,82.931093</v>
      </c>
      <c r="T7775" s="12"/>
    </row>
    <row r="7776">
      <c r="A7776" s="10" t="s">
        <v>27994</v>
      </c>
      <c r="B7776" s="8" t="s">
        <v>49874</v>
      </c>
      <c r="C7776" s="8" t="s">
        <v>49875</v>
      </c>
      <c r="D7776" s="8" t="s">
        <v>16</v>
      </c>
      <c r="E7776" s="9" t="s">
        <v>49876</v>
      </c>
      <c r="F7776" s="10" t="s">
        <v>9648</v>
      </c>
      <c r="G7776" s="8">
        <v>23.61</v>
      </c>
      <c r="H7776" s="8"/>
      <c r="I7776" s="10"/>
      <c r="J7776" s="10" t="s">
        <v>49877</v>
      </c>
      <c r="K7776" s="10" t="s">
        <v>32110</v>
      </c>
      <c r="L7776" s="11" t="s">
        <v>49878</v>
      </c>
      <c r="M7776" s="11" t="s">
        <v>49879</v>
      </c>
      <c r="N7776" s="12"/>
      <c r="O7776" s="12"/>
      <c r="P7776" s="13">
        <f>IFERROR(__xludf.DUMMYFUNCTION("VALUE(SUBSTITUTE((INDEX(SPLIT(A7776,"",""),1)),""."","","",1))"),54.950697)</f>
        <v>54.950697</v>
      </c>
      <c r="Q7776" s="13">
        <f>IFERROR(__xludf.DUMMYFUNCTION("VALUE(SUBSTITUTE((INDEX(SPLIT(A7776,"",""),2)),""."","","",1))"),82.933302)</f>
        <v>82.933302</v>
      </c>
      <c r="R7776" s="14" t="b">
        <f t="shared" si="1"/>
        <v>0</v>
      </c>
      <c r="S7776" s="14" t="str">
        <f t="shared" si="2"/>
        <v>54.950697,82.933302</v>
      </c>
      <c r="T7776" s="12"/>
    </row>
    <row r="7777">
      <c r="A7777" s="22" t="s">
        <v>28000</v>
      </c>
      <c r="B7777" s="16" t="s">
        <v>49880</v>
      </c>
      <c r="C7777" s="16" t="s">
        <v>49881</v>
      </c>
      <c r="D7777" s="16" t="s">
        <v>16</v>
      </c>
      <c r="E7777" s="21" t="s">
        <v>49882</v>
      </c>
      <c r="F7777" s="22" t="s">
        <v>16731</v>
      </c>
      <c r="G7777" s="16">
        <v>23.61</v>
      </c>
      <c r="H7777" s="16"/>
      <c r="I7777" s="22"/>
      <c r="J7777" s="22" t="s">
        <v>49883</v>
      </c>
      <c r="K7777" s="22" t="s">
        <v>49884</v>
      </c>
      <c r="L7777" s="23" t="s">
        <v>49885</v>
      </c>
      <c r="M7777" s="23" t="s">
        <v>49886</v>
      </c>
      <c r="N7777" s="12"/>
      <c r="O7777" s="12"/>
      <c r="P7777" s="13">
        <f>IFERROR(__xludf.DUMMYFUNCTION("VALUE(SUBSTITUTE((INDEX(SPLIT(A7777,"",""),1)),""."","","",1))"),55.02797)</f>
        <v>55.02797</v>
      </c>
      <c r="Q7777" s="13">
        <f>IFERROR(__xludf.DUMMYFUNCTION("VALUE(SUBSTITUTE((INDEX(SPLIT(A7777,"",""),2)),""."","","",1))"),82.935009)</f>
        <v>82.935009</v>
      </c>
      <c r="R7777" s="14" t="b">
        <f t="shared" si="1"/>
        <v>0</v>
      </c>
      <c r="S7777" s="14" t="str">
        <f t="shared" si="2"/>
        <v>55.02797,82.935009</v>
      </c>
      <c r="T7777" s="12"/>
    </row>
    <row r="7778">
      <c r="A7778" s="8" t="s">
        <v>28007</v>
      </c>
      <c r="B7778" s="8" t="s">
        <v>49887</v>
      </c>
      <c r="C7778" s="8" t="s">
        <v>49888</v>
      </c>
      <c r="D7778" s="8" t="s">
        <v>16</v>
      </c>
      <c r="E7778" s="19" t="s">
        <v>49889</v>
      </c>
      <c r="F7778" s="8" t="s">
        <v>9648</v>
      </c>
      <c r="G7778" s="8">
        <v>23.61</v>
      </c>
      <c r="H7778" s="8"/>
      <c r="I7778" s="8"/>
      <c r="J7778" s="8" t="s">
        <v>49890</v>
      </c>
      <c r="K7778" s="8" t="s">
        <v>49891</v>
      </c>
      <c r="L7778" s="8"/>
      <c r="M7778" s="8"/>
      <c r="N7778" s="12"/>
      <c r="O7778" s="12"/>
      <c r="P7778" s="13">
        <f>IFERROR(__xludf.DUMMYFUNCTION("VALUE(SUBSTITUTE((INDEX(SPLIT(A7778,"",""),1)),""."","","",1))"),54.960126)</f>
        <v>54.960126</v>
      </c>
      <c r="Q7778" s="13">
        <f>IFERROR(__xludf.DUMMYFUNCTION("VALUE(SUBSTITUTE((INDEX(SPLIT(A7778,"",""),2)),""."","","",1))"),82.93553)</f>
        <v>82.93553</v>
      </c>
      <c r="R7778" s="14" t="b">
        <f t="shared" si="1"/>
        <v>0</v>
      </c>
      <c r="S7778" s="14" t="str">
        <f t="shared" si="2"/>
        <v>54.960126,82.93553</v>
      </c>
      <c r="T7778" s="12"/>
    </row>
    <row r="7779">
      <c r="A7779" s="22" t="s">
        <v>28014</v>
      </c>
      <c r="B7779" s="16" t="s">
        <v>49892</v>
      </c>
      <c r="C7779" s="16" t="s">
        <v>49893</v>
      </c>
      <c r="D7779" s="16" t="s">
        <v>16</v>
      </c>
      <c r="E7779" s="21" t="s">
        <v>49894</v>
      </c>
      <c r="F7779" s="22" t="s">
        <v>9648</v>
      </c>
      <c r="G7779" s="16">
        <v>23.61</v>
      </c>
      <c r="H7779" s="16"/>
      <c r="I7779" s="22"/>
      <c r="J7779" s="22" t="s">
        <v>49895</v>
      </c>
      <c r="K7779" s="22" t="s">
        <v>49896</v>
      </c>
      <c r="L7779" s="23" t="s">
        <v>49897</v>
      </c>
      <c r="M7779" s="22"/>
      <c r="N7779" s="12"/>
      <c r="O7779" s="12"/>
      <c r="P7779" s="13">
        <f>IFERROR(__xludf.DUMMYFUNCTION("VALUE(SUBSTITUTE((INDEX(SPLIT(A7779,"",""),1)),""."","","",1))"),55.111351)</f>
        <v>55.111351</v>
      </c>
      <c r="Q7779" s="13">
        <f>IFERROR(__xludf.DUMMYFUNCTION("VALUE(SUBSTITUTE((INDEX(SPLIT(A7779,"",""),2)),""."","","",1))"),82.935701)</f>
        <v>82.935701</v>
      </c>
      <c r="R7779" s="14" t="b">
        <f t="shared" si="1"/>
        <v>0</v>
      </c>
      <c r="S7779" s="14" t="str">
        <f t="shared" si="2"/>
        <v>55.111351,82.935701</v>
      </c>
      <c r="T7779" s="12"/>
    </row>
    <row r="7780">
      <c r="A7780" s="10" t="s">
        <v>28022</v>
      </c>
      <c r="B7780" s="8" t="s">
        <v>49898</v>
      </c>
      <c r="C7780" s="8" t="s">
        <v>49899</v>
      </c>
      <c r="D7780" s="8" t="s">
        <v>16</v>
      </c>
      <c r="E7780" s="9" t="s">
        <v>49900</v>
      </c>
      <c r="F7780" s="10" t="s">
        <v>9648</v>
      </c>
      <c r="G7780" s="8">
        <v>23.61</v>
      </c>
      <c r="H7780" s="8"/>
      <c r="I7780" s="10"/>
      <c r="J7780" s="10" t="s">
        <v>49901</v>
      </c>
      <c r="K7780" s="10" t="s">
        <v>49902</v>
      </c>
      <c r="L7780" s="11" t="s">
        <v>49903</v>
      </c>
      <c r="M7780" s="11" t="s">
        <v>49904</v>
      </c>
      <c r="N7780" s="12"/>
      <c r="O7780" s="12"/>
      <c r="P7780" s="13">
        <f>IFERROR(__xludf.DUMMYFUNCTION("VALUE(SUBSTITUTE((INDEX(SPLIT(A7780,"",""),1)),""."","","",1))"),55.071737)</f>
        <v>55.071737</v>
      </c>
      <c r="Q7780" s="13">
        <f>IFERROR(__xludf.DUMMYFUNCTION("VALUE(SUBSTITUTE((INDEX(SPLIT(A7780,"",""),2)),""."","","",1))"),82.936294)</f>
        <v>82.936294</v>
      </c>
      <c r="R7780" s="14" t="b">
        <f t="shared" si="1"/>
        <v>0</v>
      </c>
      <c r="S7780" s="14" t="str">
        <f t="shared" si="2"/>
        <v>55.071737,82.936294</v>
      </c>
      <c r="T7780" s="12"/>
    </row>
    <row r="7781">
      <c r="A7781" s="16" t="s">
        <v>28029</v>
      </c>
      <c r="B7781" s="16" t="s">
        <v>49905</v>
      </c>
      <c r="C7781" s="16" t="s">
        <v>49906</v>
      </c>
      <c r="D7781" s="16" t="s">
        <v>16</v>
      </c>
      <c r="E7781" s="17" t="s">
        <v>49907</v>
      </c>
      <c r="F7781" s="16" t="s">
        <v>9648</v>
      </c>
      <c r="G7781" s="16">
        <v>23.61</v>
      </c>
      <c r="H7781" s="16"/>
      <c r="I7781" s="16"/>
      <c r="J7781" s="16" t="s">
        <v>49908</v>
      </c>
      <c r="K7781" s="16" t="s">
        <v>49909</v>
      </c>
      <c r="L7781" s="16"/>
      <c r="M7781" s="16"/>
      <c r="N7781" s="12"/>
      <c r="O7781" s="12"/>
      <c r="P7781" s="13">
        <f>IFERROR(__xludf.DUMMYFUNCTION("VALUE(SUBSTITUTE((INDEX(SPLIT(A7781,"",""),1)),""."","","",1))"),55.050107)</f>
        <v>55.050107</v>
      </c>
      <c r="Q7781" s="13">
        <f>IFERROR(__xludf.DUMMYFUNCTION("VALUE(SUBSTITUTE((INDEX(SPLIT(A7781,"",""),2)),""."","","",1))"),82.941288)</f>
        <v>82.941288</v>
      </c>
      <c r="R7781" s="14" t="b">
        <f t="shared" si="1"/>
        <v>0</v>
      </c>
      <c r="S7781" s="14" t="str">
        <f t="shared" si="2"/>
        <v>55.050107,82.941288</v>
      </c>
      <c r="T7781" s="12"/>
    </row>
    <row r="7782">
      <c r="A7782" s="8" t="s">
        <v>28037</v>
      </c>
      <c r="B7782" s="8" t="s">
        <v>49910</v>
      </c>
      <c r="C7782" s="8" t="s">
        <v>49911</v>
      </c>
      <c r="D7782" s="8" t="s">
        <v>16</v>
      </c>
      <c r="E7782" s="19" t="s">
        <v>49912</v>
      </c>
      <c r="F7782" s="8" t="s">
        <v>23238</v>
      </c>
      <c r="G7782" s="8">
        <v>23.61</v>
      </c>
      <c r="H7782" s="8"/>
      <c r="I7782" s="8"/>
      <c r="J7782" s="8" t="s">
        <v>49913</v>
      </c>
      <c r="K7782" s="8" t="s">
        <v>49914</v>
      </c>
      <c r="L7782" s="8"/>
      <c r="M7782" s="8"/>
      <c r="N7782" s="12"/>
      <c r="O7782" s="12"/>
      <c r="P7782" s="13">
        <f>IFERROR(__xludf.DUMMYFUNCTION("VALUE(SUBSTITUTE((INDEX(SPLIT(A7782,"",""),1)),""."","","",1))"),55.049782)</f>
        <v>55.049782</v>
      </c>
      <c r="Q7782" s="13">
        <f>IFERROR(__xludf.DUMMYFUNCTION("VALUE(SUBSTITUTE((INDEX(SPLIT(A7782,"",""),2)),""."","","",1))"),82.94366)</f>
        <v>82.94366</v>
      </c>
      <c r="R7782" s="14" t="b">
        <f t="shared" si="1"/>
        <v>0</v>
      </c>
      <c r="S7782" s="14" t="str">
        <f t="shared" si="2"/>
        <v>55.049782,82.94366</v>
      </c>
      <c r="T7782" s="12"/>
    </row>
    <row r="7783">
      <c r="A7783" s="22" t="s">
        <v>28042</v>
      </c>
      <c r="B7783" s="16" t="s">
        <v>49915</v>
      </c>
      <c r="C7783" s="16" t="s">
        <v>49916</v>
      </c>
      <c r="D7783" s="16" t="s">
        <v>16</v>
      </c>
      <c r="E7783" s="21" t="s">
        <v>49917</v>
      </c>
      <c r="F7783" s="22" t="s">
        <v>9648</v>
      </c>
      <c r="G7783" s="16">
        <v>23.61</v>
      </c>
      <c r="H7783" s="16"/>
      <c r="I7783" s="22"/>
      <c r="J7783" s="22" t="s">
        <v>49918</v>
      </c>
      <c r="K7783" s="22" t="s">
        <v>49919</v>
      </c>
      <c r="L7783" s="23" t="s">
        <v>49920</v>
      </c>
      <c r="M7783" s="22"/>
      <c r="N7783" s="12"/>
      <c r="O7783" s="12"/>
      <c r="P7783" s="13">
        <f>IFERROR(__xludf.DUMMYFUNCTION("VALUE(SUBSTITUTE((INDEX(SPLIT(A7783,"",""),1)),""."","","",1))"),55.025059)</f>
        <v>55.025059</v>
      </c>
      <c r="Q7783" s="13">
        <f>IFERROR(__xludf.DUMMYFUNCTION("VALUE(SUBSTITUTE((INDEX(SPLIT(A7783,"",""),2)),""."","","",1))"),82.945259)</f>
        <v>82.945259</v>
      </c>
      <c r="R7783" s="14" t="b">
        <f t="shared" si="1"/>
        <v>0</v>
      </c>
      <c r="S7783" s="14" t="str">
        <f t="shared" si="2"/>
        <v>55.025059,82.945259</v>
      </c>
      <c r="T7783" s="12"/>
    </row>
    <row r="7784">
      <c r="A7784" s="8" t="s">
        <v>28050</v>
      </c>
      <c r="B7784" s="8" t="s">
        <v>49921</v>
      </c>
      <c r="C7784" s="8" t="s">
        <v>49922</v>
      </c>
      <c r="D7784" s="8" t="s">
        <v>16</v>
      </c>
      <c r="E7784" s="19" t="s">
        <v>49923</v>
      </c>
      <c r="F7784" s="8" t="s">
        <v>9648</v>
      </c>
      <c r="G7784" s="8">
        <v>23.61</v>
      </c>
      <c r="H7784" s="8"/>
      <c r="I7784" s="8"/>
      <c r="J7784" s="8" t="s">
        <v>49924</v>
      </c>
      <c r="K7784" s="8" t="s">
        <v>49925</v>
      </c>
      <c r="L7784" s="8"/>
      <c r="M7784" s="8"/>
      <c r="N7784" s="12"/>
      <c r="O7784" s="12"/>
      <c r="P7784" s="13">
        <f>IFERROR(__xludf.DUMMYFUNCTION("VALUE(SUBSTITUTE((INDEX(SPLIT(A7784,"",""),1)),""."","","",1))"),55.175087)</f>
        <v>55.175087</v>
      </c>
      <c r="Q7784" s="13">
        <f>IFERROR(__xludf.DUMMYFUNCTION("VALUE(SUBSTITUTE((INDEX(SPLIT(A7784,"",""),2)),""."","","",1))"),82.949876)</f>
        <v>82.949876</v>
      </c>
      <c r="R7784" s="14" t="b">
        <f t="shared" si="1"/>
        <v>0</v>
      </c>
      <c r="S7784" s="14" t="str">
        <f t="shared" si="2"/>
        <v>55.175087,82.949876</v>
      </c>
      <c r="T7784" s="12"/>
    </row>
    <row r="7785">
      <c r="A7785" s="22" t="s">
        <v>28057</v>
      </c>
      <c r="B7785" s="16" t="s">
        <v>49926</v>
      </c>
      <c r="C7785" s="16" t="s">
        <v>49927</v>
      </c>
      <c r="D7785" s="16" t="s">
        <v>16</v>
      </c>
      <c r="E7785" s="21" t="s">
        <v>49928</v>
      </c>
      <c r="F7785" s="22" t="s">
        <v>16731</v>
      </c>
      <c r="G7785" s="16">
        <v>23.61</v>
      </c>
      <c r="H7785" s="16"/>
      <c r="I7785" s="22"/>
      <c r="J7785" s="22" t="s">
        <v>49929</v>
      </c>
      <c r="K7785" s="22" t="s">
        <v>49930</v>
      </c>
      <c r="L7785" s="23" t="s">
        <v>49931</v>
      </c>
      <c r="M7785" s="22"/>
      <c r="N7785" s="12"/>
      <c r="O7785" s="12"/>
      <c r="P7785" s="13">
        <f>IFERROR(__xludf.DUMMYFUNCTION("VALUE(SUBSTITUTE((INDEX(SPLIT(A7785,"",""),1)),""."","","",1))"),53.328224)</f>
        <v>53.328224</v>
      </c>
      <c r="Q7785" s="13">
        <f>IFERROR(__xludf.DUMMYFUNCTION("VALUE(SUBSTITUTE((INDEX(SPLIT(A7785,"",""),2)),""."","","",1))"),82.950963)</f>
        <v>82.950963</v>
      </c>
      <c r="R7785" s="14" t="b">
        <f t="shared" si="1"/>
        <v>0</v>
      </c>
      <c r="S7785" s="14" t="str">
        <f t="shared" si="2"/>
        <v>53.328224,82.950963</v>
      </c>
      <c r="T7785" s="12"/>
    </row>
    <row r="7786">
      <c r="A7786" s="10" t="s">
        <v>28064</v>
      </c>
      <c r="B7786" s="8" t="s">
        <v>49932</v>
      </c>
      <c r="C7786" s="8" t="s">
        <v>49933</v>
      </c>
      <c r="D7786" s="8" t="s">
        <v>16</v>
      </c>
      <c r="E7786" s="9" t="s">
        <v>49934</v>
      </c>
      <c r="F7786" s="10" t="s">
        <v>9648</v>
      </c>
      <c r="G7786" s="8">
        <v>23.61</v>
      </c>
      <c r="H7786" s="8"/>
      <c r="I7786" s="10"/>
      <c r="J7786" s="10" t="s">
        <v>49935</v>
      </c>
      <c r="K7786" s="10" t="s">
        <v>49936</v>
      </c>
      <c r="L7786" s="11" t="s">
        <v>49937</v>
      </c>
      <c r="M7786" s="10"/>
      <c r="N7786" s="12"/>
      <c r="O7786" s="12"/>
      <c r="P7786" s="13">
        <f>IFERROR(__xludf.DUMMYFUNCTION("VALUE(SUBSTITUTE((INDEX(SPLIT(A7786,"",""),1)),""."","","",1))"),54.852221)</f>
        <v>54.852221</v>
      </c>
      <c r="Q7786" s="13">
        <f>IFERROR(__xludf.DUMMYFUNCTION("VALUE(SUBSTITUTE((INDEX(SPLIT(A7786,"",""),2)),""."","","",1))"),82.953272)</f>
        <v>82.953272</v>
      </c>
      <c r="R7786" s="14" t="b">
        <f t="shared" si="1"/>
        <v>0</v>
      </c>
      <c r="S7786" s="14" t="str">
        <f t="shared" si="2"/>
        <v>54.852221,82.953272</v>
      </c>
      <c r="T7786" s="12"/>
    </row>
    <row r="7787">
      <c r="A7787" s="22" t="s">
        <v>28064</v>
      </c>
      <c r="B7787" s="16" t="s">
        <v>21566</v>
      </c>
      <c r="C7787" s="16" t="s">
        <v>21567</v>
      </c>
      <c r="D7787" s="16" t="s">
        <v>16</v>
      </c>
      <c r="E7787" s="21" t="s">
        <v>49938</v>
      </c>
      <c r="F7787" s="22" t="s">
        <v>9648</v>
      </c>
      <c r="G7787" s="16">
        <v>23.61</v>
      </c>
      <c r="H7787" s="16"/>
      <c r="I7787" s="22"/>
      <c r="J7787" s="22" t="s">
        <v>49939</v>
      </c>
      <c r="K7787" s="22" t="s">
        <v>49940</v>
      </c>
      <c r="L7787" s="23" t="s">
        <v>49941</v>
      </c>
      <c r="M7787" s="22"/>
      <c r="N7787" s="12"/>
      <c r="O7787" s="12"/>
      <c r="P7787" s="13">
        <f>IFERROR(__xludf.DUMMYFUNCTION("VALUE(SUBSTITUTE((INDEX(SPLIT(A7787,"",""),1)),""."","","",1))"),54.852221)</f>
        <v>54.852221</v>
      </c>
      <c r="Q7787" s="13">
        <f>IFERROR(__xludf.DUMMYFUNCTION("VALUE(SUBSTITUTE((INDEX(SPLIT(A7787,"",""),2)),""."","","",1))"),82.953272)</f>
        <v>82.953272</v>
      </c>
      <c r="R7787" s="14" t="b">
        <f t="shared" si="1"/>
        <v>0</v>
      </c>
      <c r="S7787" s="14" t="str">
        <f t="shared" si="2"/>
        <v>54.852221,82.953272</v>
      </c>
      <c r="T7787" s="12"/>
    </row>
    <row r="7788">
      <c r="A7788" s="8" t="s">
        <v>28075</v>
      </c>
      <c r="B7788" s="8" t="s">
        <v>49942</v>
      </c>
      <c r="C7788" s="8" t="s">
        <v>49943</v>
      </c>
      <c r="D7788" s="8" t="s">
        <v>16</v>
      </c>
      <c r="E7788" s="19" t="s">
        <v>49944</v>
      </c>
      <c r="F7788" s="8" t="s">
        <v>9648</v>
      </c>
      <c r="G7788" s="8">
        <v>23.61</v>
      </c>
      <c r="H7788" s="8"/>
      <c r="I7788" s="8"/>
      <c r="J7788" s="8" t="s">
        <v>49945</v>
      </c>
      <c r="K7788" s="8" t="s">
        <v>49946</v>
      </c>
      <c r="L7788" s="8"/>
      <c r="M7788" s="24" t="s">
        <v>49947</v>
      </c>
      <c r="N7788" s="12"/>
      <c r="O7788" s="12"/>
      <c r="P7788" s="13">
        <f>IFERROR(__xludf.DUMMYFUNCTION("VALUE(SUBSTITUTE((INDEX(SPLIT(A7788,"",""),1)),""."","","",1))"),54.850801)</f>
        <v>54.850801</v>
      </c>
      <c r="Q7788" s="13">
        <f>IFERROR(__xludf.DUMMYFUNCTION("VALUE(SUBSTITUTE((INDEX(SPLIT(A7788,"",""),2)),""."","","",1))"),82.954269)</f>
        <v>82.954269</v>
      </c>
      <c r="R7788" s="14" t="b">
        <f t="shared" si="1"/>
        <v>0</v>
      </c>
      <c r="S7788" s="14" t="str">
        <f t="shared" si="2"/>
        <v>54.850801,82.954269</v>
      </c>
      <c r="T7788" s="12"/>
    </row>
    <row r="7789">
      <c r="A7789" s="22" t="s">
        <v>28082</v>
      </c>
      <c r="B7789" s="16" t="s">
        <v>49948</v>
      </c>
      <c r="C7789" s="16" t="s">
        <v>49949</v>
      </c>
      <c r="D7789" s="16" t="s">
        <v>16</v>
      </c>
      <c r="E7789" s="21" t="s">
        <v>49950</v>
      </c>
      <c r="F7789" s="22" t="s">
        <v>9648</v>
      </c>
      <c r="G7789" s="16">
        <v>23.61</v>
      </c>
      <c r="H7789" s="16"/>
      <c r="I7789" s="22"/>
      <c r="J7789" s="22" t="s">
        <v>49951</v>
      </c>
      <c r="K7789" s="22" t="s">
        <v>49952</v>
      </c>
      <c r="L7789" s="23" t="s">
        <v>49953</v>
      </c>
      <c r="M7789" s="22"/>
      <c r="N7789" s="12"/>
      <c r="O7789" s="12"/>
      <c r="P7789" s="13">
        <f>IFERROR(__xludf.DUMMYFUNCTION("VALUE(SUBSTITUTE((INDEX(SPLIT(A7789,"",""),1)),""."","","",1))"),54.862409)</f>
        <v>54.862409</v>
      </c>
      <c r="Q7789" s="13">
        <f>IFERROR(__xludf.DUMMYFUNCTION("VALUE(SUBSTITUTE((INDEX(SPLIT(A7789,"",""),2)),""."","","",1))"),82.955751)</f>
        <v>82.955751</v>
      </c>
      <c r="R7789" s="14" t="b">
        <f t="shared" si="1"/>
        <v>0</v>
      </c>
      <c r="S7789" s="14" t="str">
        <f t="shared" si="2"/>
        <v>54.862409,82.955751</v>
      </c>
      <c r="T7789" s="12"/>
    </row>
    <row r="7790">
      <c r="A7790" s="8" t="s">
        <v>28089</v>
      </c>
      <c r="B7790" s="8" t="s">
        <v>683</v>
      </c>
      <c r="C7790" s="8" t="s">
        <v>684</v>
      </c>
      <c r="D7790" s="8" t="s">
        <v>16</v>
      </c>
      <c r="E7790" s="19" t="s">
        <v>49954</v>
      </c>
      <c r="F7790" s="8" t="s">
        <v>9648</v>
      </c>
      <c r="G7790" s="8">
        <v>23.61</v>
      </c>
      <c r="H7790" s="8"/>
      <c r="I7790" s="8"/>
      <c r="J7790" s="8" t="s">
        <v>49955</v>
      </c>
      <c r="K7790" s="8" t="s">
        <v>49956</v>
      </c>
      <c r="L7790" s="8"/>
      <c r="M7790" s="8"/>
      <c r="N7790" s="12"/>
      <c r="O7790" s="12"/>
      <c r="P7790" s="13">
        <f>IFERROR(__xludf.DUMMYFUNCTION("VALUE(SUBSTITUTE((INDEX(SPLIT(A7790,"",""),1)),""."","","",1))"),55.012476)</f>
        <v>55.012476</v>
      </c>
      <c r="Q7790" s="13">
        <f>IFERROR(__xludf.DUMMYFUNCTION("VALUE(SUBSTITUTE((INDEX(SPLIT(A7790,"",""),2)),""."","","",1))"),82.961042)</f>
        <v>82.961042</v>
      </c>
      <c r="R7790" s="14" t="b">
        <f t="shared" si="1"/>
        <v>0</v>
      </c>
      <c r="S7790" s="14" t="str">
        <f t="shared" si="2"/>
        <v>55.012476,82.961042</v>
      </c>
      <c r="T7790" s="12"/>
    </row>
    <row r="7791">
      <c r="A7791" s="22" t="s">
        <v>28095</v>
      </c>
      <c r="B7791" s="16" t="s">
        <v>49957</v>
      </c>
      <c r="C7791" s="16" t="s">
        <v>49958</v>
      </c>
      <c r="D7791" s="16" t="s">
        <v>16</v>
      </c>
      <c r="E7791" s="21" t="s">
        <v>49959</v>
      </c>
      <c r="F7791" s="22" t="s">
        <v>9648</v>
      </c>
      <c r="G7791" s="16">
        <v>23.61</v>
      </c>
      <c r="H7791" s="16"/>
      <c r="I7791" s="22"/>
      <c r="J7791" s="22" t="s">
        <v>49960</v>
      </c>
      <c r="K7791" s="22" t="s">
        <v>49961</v>
      </c>
      <c r="L7791" s="23" t="s">
        <v>49962</v>
      </c>
      <c r="M7791" s="23" t="s">
        <v>49963</v>
      </c>
      <c r="N7791" s="12"/>
      <c r="O7791" s="12"/>
      <c r="P7791" s="13">
        <f>IFERROR(__xludf.DUMMYFUNCTION("VALUE(SUBSTITUTE((INDEX(SPLIT(A7791,"",""),1)),""."","","",1))"),54.957857)</f>
        <v>54.957857</v>
      </c>
      <c r="Q7791" s="13">
        <f>IFERROR(__xludf.DUMMYFUNCTION("VALUE(SUBSTITUTE((INDEX(SPLIT(A7791,"",""),2)),""."","","",1))"),82.963189)</f>
        <v>82.963189</v>
      </c>
      <c r="R7791" s="14" t="b">
        <f t="shared" si="1"/>
        <v>0</v>
      </c>
      <c r="S7791" s="14" t="str">
        <f t="shared" si="2"/>
        <v>54.957857,82.963189</v>
      </c>
      <c r="T7791" s="12"/>
    </row>
    <row r="7792">
      <c r="A7792" s="8" t="s">
        <v>28101</v>
      </c>
      <c r="B7792" s="8" t="s">
        <v>49964</v>
      </c>
      <c r="C7792" s="8" t="s">
        <v>49965</v>
      </c>
      <c r="D7792" s="8" t="s">
        <v>16</v>
      </c>
      <c r="E7792" s="19" t="s">
        <v>49966</v>
      </c>
      <c r="F7792" s="8" t="s">
        <v>9648</v>
      </c>
      <c r="G7792" s="8">
        <v>23.61</v>
      </c>
      <c r="H7792" s="8"/>
      <c r="I7792" s="8"/>
      <c r="J7792" s="8" t="s">
        <v>49967</v>
      </c>
      <c r="K7792" s="8" t="s">
        <v>49968</v>
      </c>
      <c r="L7792" s="8"/>
      <c r="M7792" s="24" t="s">
        <v>49969</v>
      </c>
      <c r="N7792" s="12"/>
      <c r="O7792" s="12"/>
      <c r="P7792" s="13">
        <f>IFERROR(__xludf.DUMMYFUNCTION("VALUE(SUBSTITUTE((INDEX(SPLIT(A7792,"",""),1)),""."","","",1))"),55.047182)</f>
        <v>55.047182</v>
      </c>
      <c r="Q7792" s="13">
        <f>IFERROR(__xludf.DUMMYFUNCTION("VALUE(SUBSTITUTE((INDEX(SPLIT(A7792,"",""),2)),""."","","",1))"),82.964869)</f>
        <v>82.964869</v>
      </c>
      <c r="R7792" s="14" t="b">
        <f t="shared" si="1"/>
        <v>0</v>
      </c>
      <c r="S7792" s="14" t="str">
        <f t="shared" si="2"/>
        <v>55.047182,82.964869</v>
      </c>
      <c r="T7792" s="12"/>
    </row>
    <row r="7793">
      <c r="A7793" s="22" t="s">
        <v>28110</v>
      </c>
      <c r="B7793" s="16" t="s">
        <v>49970</v>
      </c>
      <c r="C7793" s="16" t="s">
        <v>49971</v>
      </c>
      <c r="D7793" s="16" t="s">
        <v>16</v>
      </c>
      <c r="E7793" s="21" t="s">
        <v>49972</v>
      </c>
      <c r="F7793" s="22" t="s">
        <v>9648</v>
      </c>
      <c r="G7793" s="16">
        <v>23.61</v>
      </c>
      <c r="H7793" s="16"/>
      <c r="I7793" s="22"/>
      <c r="J7793" s="22" t="s">
        <v>49973</v>
      </c>
      <c r="K7793" s="22" t="s">
        <v>49974</v>
      </c>
      <c r="L7793" s="23" t="s">
        <v>49975</v>
      </c>
      <c r="M7793" s="23" t="s">
        <v>49976</v>
      </c>
      <c r="N7793" s="12"/>
      <c r="O7793" s="12"/>
      <c r="P7793" s="13">
        <f>IFERROR(__xludf.DUMMYFUNCTION("VALUE(SUBSTITUTE((INDEX(SPLIT(A7793,"",""),1)),""."","","",1))"),55.056775)</f>
        <v>55.056775</v>
      </c>
      <c r="Q7793" s="13">
        <f>IFERROR(__xludf.DUMMYFUNCTION("VALUE(SUBSTITUTE((INDEX(SPLIT(A7793,"",""),2)),""."","","",1))"),82.96795)</f>
        <v>82.96795</v>
      </c>
      <c r="R7793" s="14" t="b">
        <f t="shared" si="1"/>
        <v>0</v>
      </c>
      <c r="S7793" s="14" t="str">
        <f t="shared" si="2"/>
        <v>55.056775,82.96795</v>
      </c>
      <c r="T7793" s="12"/>
    </row>
    <row r="7794">
      <c r="A7794" s="8" t="s">
        <v>28114</v>
      </c>
      <c r="B7794" s="8" t="s">
        <v>49977</v>
      </c>
      <c r="C7794" s="8" t="s">
        <v>49978</v>
      </c>
      <c r="D7794" s="8" t="s">
        <v>16</v>
      </c>
      <c r="E7794" s="19" t="s">
        <v>49979</v>
      </c>
      <c r="F7794" s="8" t="s">
        <v>9648</v>
      </c>
      <c r="G7794" s="8">
        <v>23.61</v>
      </c>
      <c r="H7794" s="8"/>
      <c r="I7794" s="8"/>
      <c r="J7794" s="8" t="s">
        <v>49980</v>
      </c>
      <c r="K7794" s="8" t="s">
        <v>49981</v>
      </c>
      <c r="L7794" s="8"/>
      <c r="M7794" s="24" t="s">
        <v>49982</v>
      </c>
      <c r="N7794" s="12"/>
      <c r="O7794" s="12"/>
      <c r="P7794" s="13">
        <f>IFERROR(__xludf.DUMMYFUNCTION("VALUE(SUBSTITUTE((INDEX(SPLIT(A7794,"",""),1)),""."","","",1))"),55.161044)</f>
        <v>55.161044</v>
      </c>
      <c r="Q7794" s="13">
        <f>IFERROR(__xludf.DUMMYFUNCTION("VALUE(SUBSTITUTE((INDEX(SPLIT(A7794,"",""),2)),""."","","",1))"),82.971858)</f>
        <v>82.971858</v>
      </c>
      <c r="R7794" s="14" t="b">
        <f t="shared" si="1"/>
        <v>0</v>
      </c>
      <c r="S7794" s="14" t="str">
        <f t="shared" si="2"/>
        <v>55.161044,82.971858</v>
      </c>
      <c r="T7794" s="12"/>
    </row>
    <row r="7795">
      <c r="A7795" s="22" t="s">
        <v>28114</v>
      </c>
      <c r="B7795" s="16" t="s">
        <v>9866</v>
      </c>
      <c r="C7795" s="16" t="s">
        <v>9867</v>
      </c>
      <c r="D7795" s="16" t="s">
        <v>16</v>
      </c>
      <c r="E7795" s="21" t="s">
        <v>49983</v>
      </c>
      <c r="F7795" s="22" t="s">
        <v>9648</v>
      </c>
      <c r="G7795" s="16">
        <v>23.61</v>
      </c>
      <c r="H7795" s="16"/>
      <c r="I7795" s="22"/>
      <c r="J7795" s="22" t="s">
        <v>49984</v>
      </c>
      <c r="K7795" s="22" t="s">
        <v>49985</v>
      </c>
      <c r="L7795" s="23" t="s">
        <v>49986</v>
      </c>
      <c r="M7795" s="22"/>
      <c r="N7795" s="12"/>
      <c r="O7795" s="12"/>
      <c r="P7795" s="13">
        <f>IFERROR(__xludf.DUMMYFUNCTION("VALUE(SUBSTITUTE((INDEX(SPLIT(A7795,"",""),1)),""."","","",1))"),55.161044)</f>
        <v>55.161044</v>
      </c>
      <c r="Q7795" s="13">
        <f>IFERROR(__xludf.DUMMYFUNCTION("VALUE(SUBSTITUTE((INDEX(SPLIT(A7795,"",""),2)),""."","","",1))"),82.971858)</f>
        <v>82.971858</v>
      </c>
      <c r="R7795" s="14" t="b">
        <f t="shared" si="1"/>
        <v>0</v>
      </c>
      <c r="S7795" s="14" t="str">
        <f t="shared" si="2"/>
        <v>55.161044,82.971858</v>
      </c>
      <c r="T7795" s="12"/>
    </row>
    <row r="7796">
      <c r="A7796" s="10" t="s">
        <v>28126</v>
      </c>
      <c r="B7796" s="8" t="s">
        <v>49750</v>
      </c>
      <c r="C7796" s="8" t="s">
        <v>49751</v>
      </c>
      <c r="D7796" s="8" t="s">
        <v>16</v>
      </c>
      <c r="E7796" s="9" t="s">
        <v>49987</v>
      </c>
      <c r="F7796" s="10" t="s">
        <v>9648</v>
      </c>
      <c r="G7796" s="8">
        <v>23.61</v>
      </c>
      <c r="H7796" s="8"/>
      <c r="I7796" s="10"/>
      <c r="J7796" s="10" t="s">
        <v>49988</v>
      </c>
      <c r="K7796" s="10" t="s">
        <v>49754</v>
      </c>
      <c r="L7796" s="11" t="s">
        <v>49989</v>
      </c>
      <c r="M7796" s="10"/>
      <c r="N7796" s="12"/>
      <c r="O7796" s="12"/>
      <c r="P7796" s="13">
        <f>IFERROR(__xludf.DUMMYFUNCTION("VALUE(SUBSTITUTE((INDEX(SPLIT(A7796,"",""),1)),""."","","",1))"),54.929829)</f>
        <v>54.929829</v>
      </c>
      <c r="Q7796" s="13">
        <f>IFERROR(__xludf.DUMMYFUNCTION("VALUE(SUBSTITUTE((INDEX(SPLIT(A7796,"",""),2)),""."","","",1))"),82.972352)</f>
        <v>82.972352</v>
      </c>
      <c r="R7796" s="14" t="b">
        <f t="shared" si="1"/>
        <v>0</v>
      </c>
      <c r="S7796" s="14" t="str">
        <f t="shared" si="2"/>
        <v>54.929829,82.972352</v>
      </c>
      <c r="T7796" s="12"/>
    </row>
    <row r="7797">
      <c r="A7797" s="16" t="s">
        <v>28129</v>
      </c>
      <c r="B7797" s="16" t="s">
        <v>40339</v>
      </c>
      <c r="C7797" s="16" t="s">
        <v>49990</v>
      </c>
      <c r="D7797" s="16" t="s">
        <v>16</v>
      </c>
      <c r="E7797" s="17" t="s">
        <v>49991</v>
      </c>
      <c r="F7797" s="16" t="s">
        <v>9648</v>
      </c>
      <c r="G7797" s="16">
        <v>23.61</v>
      </c>
      <c r="H7797" s="16"/>
      <c r="I7797" s="16"/>
      <c r="J7797" s="16" t="s">
        <v>49992</v>
      </c>
      <c r="K7797" s="16" t="s">
        <v>49993</v>
      </c>
      <c r="L7797" s="16"/>
      <c r="M7797" s="25" t="s">
        <v>49994</v>
      </c>
      <c r="N7797" s="12"/>
      <c r="O7797" s="12"/>
      <c r="P7797" s="13">
        <f>IFERROR(__xludf.DUMMYFUNCTION("VALUE(SUBSTITUTE((INDEX(SPLIT(A7797,"",""),1)),""."","","",1))"),55.021374)</f>
        <v>55.021374</v>
      </c>
      <c r="Q7797" s="13">
        <f>IFERROR(__xludf.DUMMYFUNCTION("VALUE(SUBSTITUTE((INDEX(SPLIT(A7797,"",""),2)),""."","","",1))"),82.972586)</f>
        <v>82.972586</v>
      </c>
      <c r="R7797" s="14" t="b">
        <f t="shared" si="1"/>
        <v>0</v>
      </c>
      <c r="S7797" s="14" t="str">
        <f t="shared" si="2"/>
        <v>55.021374,82.972586</v>
      </c>
      <c r="T7797" s="12"/>
    </row>
    <row r="7798">
      <c r="A7798" s="10" t="s">
        <v>28135</v>
      </c>
      <c r="B7798" s="8" t="s">
        <v>17196</v>
      </c>
      <c r="C7798" s="8" t="s">
        <v>17197</v>
      </c>
      <c r="D7798" s="8" t="s">
        <v>16</v>
      </c>
      <c r="E7798" s="9" t="s">
        <v>49995</v>
      </c>
      <c r="F7798" s="10" t="s">
        <v>9648</v>
      </c>
      <c r="G7798" s="8">
        <v>23.61</v>
      </c>
      <c r="H7798" s="8"/>
      <c r="I7798" s="10"/>
      <c r="J7798" s="10" t="s">
        <v>49996</v>
      </c>
      <c r="K7798" s="10" t="s">
        <v>49997</v>
      </c>
      <c r="L7798" s="11" t="s">
        <v>49998</v>
      </c>
      <c r="M7798" s="10"/>
      <c r="N7798" s="12"/>
      <c r="O7798" s="12"/>
      <c r="P7798" s="13">
        <f>IFERROR(__xludf.DUMMYFUNCTION("VALUE(SUBSTITUTE((INDEX(SPLIT(A7798,"",""),1)),""."","","",1))"),55.061792)</f>
        <v>55.061792</v>
      </c>
      <c r="Q7798" s="13">
        <f>IFERROR(__xludf.DUMMYFUNCTION("VALUE(SUBSTITUTE((INDEX(SPLIT(A7798,"",""),2)),""."","","",1))"),82.97352)</f>
        <v>82.97352</v>
      </c>
      <c r="R7798" s="14" t="b">
        <f t="shared" si="1"/>
        <v>0</v>
      </c>
      <c r="S7798" s="14" t="str">
        <f t="shared" si="2"/>
        <v>55.061792,82.97352</v>
      </c>
      <c r="T7798" s="12"/>
    </row>
    <row r="7799">
      <c r="A7799" s="16" t="s">
        <v>28140</v>
      </c>
      <c r="B7799" s="16" t="s">
        <v>39279</v>
      </c>
      <c r="C7799" s="16" t="s">
        <v>49999</v>
      </c>
      <c r="D7799" s="16" t="s">
        <v>16</v>
      </c>
      <c r="E7799" s="17" t="s">
        <v>50000</v>
      </c>
      <c r="F7799" s="16" t="s">
        <v>9648</v>
      </c>
      <c r="G7799" s="16">
        <v>23.61</v>
      </c>
      <c r="H7799" s="16"/>
      <c r="I7799" s="16"/>
      <c r="J7799" s="16" t="s">
        <v>50001</v>
      </c>
      <c r="K7799" s="16" t="s">
        <v>50002</v>
      </c>
      <c r="L7799" s="16"/>
      <c r="M7799" s="16"/>
      <c r="N7799" s="12"/>
      <c r="O7799" s="12"/>
      <c r="P7799" s="13">
        <f>IFERROR(__xludf.DUMMYFUNCTION("VALUE(SUBSTITUTE((INDEX(SPLIT(A7799,"",""),1)),""."","","",1))"),55.078427)</f>
        <v>55.078427</v>
      </c>
      <c r="Q7799" s="13">
        <f>IFERROR(__xludf.DUMMYFUNCTION("VALUE(SUBSTITUTE((INDEX(SPLIT(A7799,"",""),2)),""."","","",1))"),82.975622)</f>
        <v>82.975622</v>
      </c>
      <c r="R7799" s="14" t="b">
        <f t="shared" si="1"/>
        <v>0</v>
      </c>
      <c r="S7799" s="14" t="str">
        <f t="shared" si="2"/>
        <v>55.078427,82.975622</v>
      </c>
      <c r="T7799" s="12"/>
    </row>
    <row r="7800">
      <c r="A7800" s="10" t="s">
        <v>28147</v>
      </c>
      <c r="B7800" s="8" t="s">
        <v>50003</v>
      </c>
      <c r="C7800" s="8" t="s">
        <v>50004</v>
      </c>
      <c r="D7800" s="8" t="s">
        <v>16</v>
      </c>
      <c r="E7800" s="9" t="s">
        <v>50005</v>
      </c>
      <c r="F7800" s="10" t="s">
        <v>9648</v>
      </c>
      <c r="G7800" s="8">
        <v>23.61</v>
      </c>
      <c r="H7800" s="8"/>
      <c r="I7800" s="10"/>
      <c r="J7800" s="10" t="s">
        <v>50006</v>
      </c>
      <c r="K7800" s="10" t="s">
        <v>50007</v>
      </c>
      <c r="L7800" s="29" t="s">
        <v>50008</v>
      </c>
      <c r="M7800" s="10"/>
      <c r="N7800" s="12"/>
      <c r="O7800" s="12"/>
      <c r="P7800" s="13">
        <f>IFERROR(__xludf.DUMMYFUNCTION("VALUE(SUBSTITUTE((INDEX(SPLIT(A7800,"",""),1)),""."","","",1))"),55.085827)</f>
        <v>55.085827</v>
      </c>
      <c r="Q7800" s="13">
        <f>IFERROR(__xludf.DUMMYFUNCTION("VALUE(SUBSTITUTE((INDEX(SPLIT(A7800,"",""),2)),""."","","",1))"),82.976044)</f>
        <v>82.976044</v>
      </c>
      <c r="R7800" s="14" t="b">
        <f t="shared" si="1"/>
        <v>0</v>
      </c>
      <c r="S7800" s="14" t="str">
        <f t="shared" si="2"/>
        <v>55.085827,82.976044</v>
      </c>
      <c r="T7800" s="12"/>
    </row>
    <row r="7801">
      <c r="A7801" s="16" t="s">
        <v>28154</v>
      </c>
      <c r="B7801" s="16" t="s">
        <v>50009</v>
      </c>
      <c r="C7801" s="16" t="s">
        <v>50010</v>
      </c>
      <c r="D7801" s="16" t="s">
        <v>16</v>
      </c>
      <c r="E7801" s="17" t="s">
        <v>50011</v>
      </c>
      <c r="F7801" s="16" t="s">
        <v>9648</v>
      </c>
      <c r="G7801" s="16">
        <v>23.61</v>
      </c>
      <c r="H7801" s="16"/>
      <c r="I7801" s="16"/>
      <c r="J7801" s="16" t="s">
        <v>50012</v>
      </c>
      <c r="K7801" s="16" t="s">
        <v>50013</v>
      </c>
      <c r="L7801" s="16"/>
      <c r="M7801" s="25" t="s">
        <v>50014</v>
      </c>
      <c r="N7801" s="12"/>
      <c r="O7801" s="12"/>
      <c r="P7801" s="13">
        <f>IFERROR(__xludf.DUMMYFUNCTION("VALUE(SUBSTITUTE((INDEX(SPLIT(A7801,"",""),1)),""."","","",1))"),55.037134)</f>
        <v>55.037134</v>
      </c>
      <c r="Q7801" s="13">
        <f>IFERROR(__xludf.DUMMYFUNCTION("VALUE(SUBSTITUTE((INDEX(SPLIT(A7801,"",""),2)),""."","","",1))"),82.978497)</f>
        <v>82.978497</v>
      </c>
      <c r="R7801" s="14" t="b">
        <f t="shared" si="1"/>
        <v>0</v>
      </c>
      <c r="S7801" s="14" t="str">
        <f t="shared" si="2"/>
        <v>55.037134,82.978497</v>
      </c>
      <c r="T7801" s="12"/>
    </row>
    <row r="7802">
      <c r="A7802" s="8" t="s">
        <v>28161</v>
      </c>
      <c r="B7802" s="8" t="s">
        <v>50015</v>
      </c>
      <c r="C7802" s="8" t="s">
        <v>50016</v>
      </c>
      <c r="D7802" s="8" t="s">
        <v>16</v>
      </c>
      <c r="E7802" s="19" t="s">
        <v>50017</v>
      </c>
      <c r="F7802" s="8" t="s">
        <v>9648</v>
      </c>
      <c r="G7802" s="8">
        <v>23.61</v>
      </c>
      <c r="H7802" s="8"/>
      <c r="I7802" s="8"/>
      <c r="J7802" s="8" t="s">
        <v>50018</v>
      </c>
      <c r="K7802" s="8" t="s">
        <v>50019</v>
      </c>
      <c r="L7802" s="8"/>
      <c r="M7802" s="8"/>
      <c r="N7802" s="12"/>
      <c r="O7802" s="12"/>
      <c r="P7802" s="13">
        <f>IFERROR(__xludf.DUMMYFUNCTION("VALUE(SUBSTITUTE((INDEX(SPLIT(A7802,"",""),1)),""."","","",1))"),55.019728)</f>
        <v>55.019728</v>
      </c>
      <c r="Q7802" s="13">
        <f>IFERROR(__xludf.DUMMYFUNCTION("VALUE(SUBSTITUTE((INDEX(SPLIT(A7802,"",""),2)),""."","","",1))"),82.984713)</f>
        <v>82.984713</v>
      </c>
      <c r="R7802" s="14" t="b">
        <f t="shared" si="1"/>
        <v>0</v>
      </c>
      <c r="S7802" s="14" t="str">
        <f t="shared" si="2"/>
        <v>55.019728,82.984713</v>
      </c>
      <c r="T7802" s="12"/>
    </row>
    <row r="7803">
      <c r="A7803" s="22" t="s">
        <v>28167</v>
      </c>
      <c r="B7803" s="16" t="s">
        <v>50020</v>
      </c>
      <c r="C7803" s="16" t="s">
        <v>50021</v>
      </c>
      <c r="D7803" s="16" t="s">
        <v>16</v>
      </c>
      <c r="E7803" s="21" t="s">
        <v>50022</v>
      </c>
      <c r="F7803" s="22" t="s">
        <v>9648</v>
      </c>
      <c r="G7803" s="16">
        <v>23.61</v>
      </c>
      <c r="H7803" s="16"/>
      <c r="I7803" s="22"/>
      <c r="J7803" s="22" t="s">
        <v>50023</v>
      </c>
      <c r="K7803" s="22" t="s">
        <v>50024</v>
      </c>
      <c r="L7803" s="23" t="s">
        <v>50025</v>
      </c>
      <c r="M7803" s="22"/>
      <c r="N7803" s="12"/>
      <c r="O7803" s="12"/>
      <c r="P7803" s="13">
        <f>IFERROR(__xludf.DUMMYFUNCTION("VALUE(SUBSTITUTE((INDEX(SPLIT(A7803,"",""),1)),""."","","",1))"),55.109023)</f>
        <v>55.109023</v>
      </c>
      <c r="Q7803" s="13">
        <f>IFERROR(__xludf.DUMMYFUNCTION("VALUE(SUBSTITUTE((INDEX(SPLIT(A7803,"",""),2)),""."","","",1))"),82.989268)</f>
        <v>82.989268</v>
      </c>
      <c r="R7803" s="14" t="b">
        <f t="shared" si="1"/>
        <v>0</v>
      </c>
      <c r="S7803" s="14" t="str">
        <f t="shared" si="2"/>
        <v>55.109023,82.989268</v>
      </c>
      <c r="T7803" s="12"/>
    </row>
    <row r="7804">
      <c r="A7804" s="10" t="s">
        <v>28167</v>
      </c>
      <c r="B7804" s="8" t="s">
        <v>50026</v>
      </c>
      <c r="C7804" s="8" t="s">
        <v>50027</v>
      </c>
      <c r="D7804" s="8" t="s">
        <v>16</v>
      </c>
      <c r="E7804" s="9" t="s">
        <v>50028</v>
      </c>
      <c r="F7804" s="10" t="s">
        <v>9648</v>
      </c>
      <c r="G7804" s="8">
        <v>23.61</v>
      </c>
      <c r="H7804" s="8"/>
      <c r="I7804" s="10"/>
      <c r="J7804" s="10" t="s">
        <v>50029</v>
      </c>
      <c r="K7804" s="10" t="s">
        <v>50024</v>
      </c>
      <c r="L7804" s="11" t="s">
        <v>50025</v>
      </c>
      <c r="M7804" s="11" t="s">
        <v>50030</v>
      </c>
      <c r="N7804" s="12"/>
      <c r="O7804" s="12"/>
      <c r="P7804" s="13">
        <f>IFERROR(__xludf.DUMMYFUNCTION("VALUE(SUBSTITUTE((INDEX(SPLIT(A7804,"",""),1)),""."","","",1))"),55.109023)</f>
        <v>55.109023</v>
      </c>
      <c r="Q7804" s="13">
        <f>IFERROR(__xludf.DUMMYFUNCTION("VALUE(SUBSTITUTE((INDEX(SPLIT(A7804,"",""),2)),""."","","",1))"),82.989268)</f>
        <v>82.989268</v>
      </c>
      <c r="R7804" s="14" t="b">
        <f t="shared" si="1"/>
        <v>0</v>
      </c>
      <c r="S7804" s="14" t="str">
        <f t="shared" si="2"/>
        <v>55.109023,82.989268</v>
      </c>
      <c r="T7804" s="12"/>
    </row>
    <row r="7805">
      <c r="A7805" s="22" t="s">
        <v>28179</v>
      </c>
      <c r="B7805" s="16" t="s">
        <v>1840</v>
      </c>
      <c r="C7805" s="16" t="s">
        <v>1841</v>
      </c>
      <c r="D7805" s="16" t="s">
        <v>16</v>
      </c>
      <c r="E7805" s="21" t="s">
        <v>50031</v>
      </c>
      <c r="F7805" s="22" t="s">
        <v>9648</v>
      </c>
      <c r="G7805" s="16">
        <v>23.61</v>
      </c>
      <c r="H7805" s="16"/>
      <c r="I7805" s="22"/>
      <c r="J7805" s="22" t="s">
        <v>50032</v>
      </c>
      <c r="K7805" s="22" t="s">
        <v>50033</v>
      </c>
      <c r="L7805" s="30" t="s">
        <v>50034</v>
      </c>
      <c r="M7805" s="22"/>
      <c r="N7805" s="12"/>
      <c r="O7805" s="12"/>
      <c r="P7805" s="13">
        <f>IFERROR(__xludf.DUMMYFUNCTION("VALUE(SUBSTITUTE((INDEX(SPLIT(A7805,"",""),1)),""."","","",1))"),55.039904)</f>
        <v>55.039904</v>
      </c>
      <c r="Q7805" s="13">
        <f>IFERROR(__xludf.DUMMYFUNCTION("VALUE(SUBSTITUTE((INDEX(SPLIT(A7805,"",""),2)),""."","","",1))"),82.990759)</f>
        <v>82.990759</v>
      </c>
      <c r="R7805" s="14" t="b">
        <f t="shared" si="1"/>
        <v>0</v>
      </c>
      <c r="S7805" s="14" t="str">
        <f t="shared" si="2"/>
        <v>55.039904,82.990759</v>
      </c>
      <c r="T7805" s="12"/>
    </row>
    <row r="7806">
      <c r="A7806" s="10" t="s">
        <v>28186</v>
      </c>
      <c r="B7806" s="8" t="s">
        <v>50035</v>
      </c>
      <c r="C7806" s="8" t="s">
        <v>50036</v>
      </c>
      <c r="D7806" s="8" t="s">
        <v>16</v>
      </c>
      <c r="E7806" s="9" t="s">
        <v>50037</v>
      </c>
      <c r="F7806" s="10" t="s">
        <v>28210</v>
      </c>
      <c r="G7806" s="8">
        <v>23.61</v>
      </c>
      <c r="H7806" s="8"/>
      <c r="I7806" s="10"/>
      <c r="J7806" s="10" t="s">
        <v>50038</v>
      </c>
      <c r="K7806" s="10" t="s">
        <v>50039</v>
      </c>
      <c r="L7806" s="11" t="s">
        <v>50040</v>
      </c>
      <c r="M7806" s="10"/>
      <c r="N7806" s="12"/>
      <c r="O7806" s="12"/>
      <c r="P7806" s="13">
        <f>IFERROR(__xludf.DUMMYFUNCTION("VALUE(SUBSTITUTE((INDEX(SPLIT(A7806,"",""),1)),""."","","",1))"),55.051685)</f>
        <v>55.051685</v>
      </c>
      <c r="Q7806" s="13">
        <f>IFERROR(__xludf.DUMMYFUNCTION("VALUE(SUBSTITUTE((INDEX(SPLIT(A7806,"",""),2)),""."","","",1))"),82.995789)</f>
        <v>82.995789</v>
      </c>
      <c r="R7806" s="14" t="b">
        <f t="shared" si="1"/>
        <v>0</v>
      </c>
      <c r="S7806" s="14" t="str">
        <f t="shared" si="2"/>
        <v>55.051685,82.995789</v>
      </c>
      <c r="T7806" s="12"/>
    </row>
    <row r="7807">
      <c r="A7807" s="22" t="s">
        <v>28192</v>
      </c>
      <c r="B7807" s="16" t="s">
        <v>28945</v>
      </c>
      <c r="C7807" s="16" t="s">
        <v>28946</v>
      </c>
      <c r="D7807" s="16" t="s">
        <v>16</v>
      </c>
      <c r="E7807" s="21" t="s">
        <v>50041</v>
      </c>
      <c r="F7807" s="22" t="s">
        <v>9648</v>
      </c>
      <c r="G7807" s="16">
        <v>23.61</v>
      </c>
      <c r="H7807" s="16"/>
      <c r="I7807" s="22"/>
      <c r="J7807" s="22" t="s">
        <v>50042</v>
      </c>
      <c r="K7807" s="22" t="s">
        <v>50043</v>
      </c>
      <c r="L7807" s="23" t="s">
        <v>50044</v>
      </c>
      <c r="M7807" s="23" t="s">
        <v>50045</v>
      </c>
      <c r="N7807" s="12"/>
      <c r="O7807" s="12"/>
      <c r="P7807" s="13">
        <f>IFERROR(__xludf.DUMMYFUNCTION("VALUE(SUBSTITUTE((INDEX(SPLIT(A7807,"",""),1)),""."","","",1))"),55.046285)</f>
        <v>55.046285</v>
      </c>
      <c r="Q7807" s="13">
        <f>IFERROR(__xludf.DUMMYFUNCTION("VALUE(SUBSTITUTE((INDEX(SPLIT(A7807,"",""),2)),""."","","",1))"),82.999311)</f>
        <v>82.999311</v>
      </c>
      <c r="R7807" s="14" t="b">
        <f t="shared" si="1"/>
        <v>0</v>
      </c>
      <c r="S7807" s="14" t="str">
        <f t="shared" si="2"/>
        <v>55.046285,82.999311</v>
      </c>
      <c r="T7807" s="12"/>
    </row>
    <row r="7808">
      <c r="A7808" s="10" t="s">
        <v>28199</v>
      </c>
      <c r="B7808" s="8" t="s">
        <v>50046</v>
      </c>
      <c r="C7808" s="8" t="s">
        <v>50047</v>
      </c>
      <c r="D7808" s="8" t="s">
        <v>16</v>
      </c>
      <c r="E7808" s="9" t="s">
        <v>50048</v>
      </c>
      <c r="F7808" s="10" t="s">
        <v>9648</v>
      </c>
      <c r="G7808" s="8">
        <v>23.61</v>
      </c>
      <c r="H7808" s="8"/>
      <c r="I7808" s="10"/>
      <c r="J7808" s="10" t="s">
        <v>50049</v>
      </c>
      <c r="K7808" s="10" t="s">
        <v>50050</v>
      </c>
      <c r="L7808" s="11" t="s">
        <v>50051</v>
      </c>
      <c r="M7808" s="10"/>
      <c r="N7808" s="12"/>
      <c r="O7808" s="12"/>
      <c r="P7808" s="13">
        <f>IFERROR(__xludf.DUMMYFUNCTION("VALUE(SUBSTITUTE((INDEX(SPLIT(A7808,"",""),1)),""."","","",1))"),55.002764)</f>
        <v>55.002764</v>
      </c>
      <c r="Q7808" s="13">
        <f>IFERROR(__xludf.DUMMYFUNCTION("VALUE(SUBSTITUTE((INDEX(SPLIT(A7808,"",""),2)),""."","","",1))"),83.002033)</f>
        <v>83.002033</v>
      </c>
      <c r="R7808" s="14" t="b">
        <f t="shared" si="1"/>
        <v>0</v>
      </c>
      <c r="S7808" s="14" t="str">
        <f t="shared" si="2"/>
        <v>55.002764,83.002033</v>
      </c>
      <c r="T7808" s="12"/>
    </row>
    <row r="7809">
      <c r="A7809" s="16" t="s">
        <v>28206</v>
      </c>
      <c r="B7809" s="16" t="s">
        <v>50052</v>
      </c>
      <c r="C7809" s="16" t="s">
        <v>50053</v>
      </c>
      <c r="D7809" s="16" t="s">
        <v>16</v>
      </c>
      <c r="E7809" s="17" t="s">
        <v>50054</v>
      </c>
      <c r="F7809" s="16" t="s">
        <v>9648</v>
      </c>
      <c r="G7809" s="16">
        <v>23.61</v>
      </c>
      <c r="H7809" s="16"/>
      <c r="I7809" s="16"/>
      <c r="J7809" s="16" t="s">
        <v>50055</v>
      </c>
      <c r="K7809" s="16" t="s">
        <v>50056</v>
      </c>
      <c r="L7809" s="16"/>
      <c r="M7809" s="16"/>
      <c r="N7809" s="12"/>
      <c r="O7809" s="12"/>
      <c r="P7809" s="13">
        <f>IFERROR(__xludf.DUMMYFUNCTION("VALUE(SUBSTITUTE((INDEX(SPLIT(A7809,"",""),1)),""."","","",1))"),55.003425)</f>
        <v>55.003425</v>
      </c>
      <c r="Q7809" s="13">
        <f>IFERROR(__xludf.DUMMYFUNCTION("VALUE(SUBSTITUTE((INDEX(SPLIT(A7809,"",""),2)),""."","","",1))"),83.028533)</f>
        <v>83.028533</v>
      </c>
      <c r="R7809" s="14" t="b">
        <f t="shared" si="1"/>
        <v>0</v>
      </c>
      <c r="S7809" s="14" t="str">
        <f t="shared" si="2"/>
        <v>55.003425,83.028533</v>
      </c>
      <c r="T7809" s="12"/>
    </row>
    <row r="7810">
      <c r="A7810" s="10" t="s">
        <v>28214</v>
      </c>
      <c r="B7810" s="8" t="s">
        <v>50057</v>
      </c>
      <c r="C7810" s="8" t="s">
        <v>50058</v>
      </c>
      <c r="D7810" s="8" t="s">
        <v>16</v>
      </c>
      <c r="E7810" s="9" t="s">
        <v>50059</v>
      </c>
      <c r="F7810" s="10" t="s">
        <v>9648</v>
      </c>
      <c r="G7810" s="8">
        <v>23.61</v>
      </c>
      <c r="H7810" s="8"/>
      <c r="I7810" s="10"/>
      <c r="J7810" s="10" t="s">
        <v>50060</v>
      </c>
      <c r="K7810" s="10" t="s">
        <v>49733</v>
      </c>
      <c r="L7810" s="29" t="s">
        <v>50061</v>
      </c>
      <c r="M7810" s="10"/>
      <c r="N7810" s="12"/>
      <c r="O7810" s="12"/>
      <c r="P7810" s="13">
        <f>IFERROR(__xludf.DUMMYFUNCTION("VALUE(SUBSTITUTE((INDEX(SPLIT(A7810,"",""),1)),""."","","",1))"),54.848976)</f>
        <v>54.848976</v>
      </c>
      <c r="Q7810" s="13">
        <f>IFERROR(__xludf.DUMMYFUNCTION("VALUE(SUBSTITUTE((INDEX(SPLIT(A7810,"",""),2)),""."","","",1))"),83.031075)</f>
        <v>83.031075</v>
      </c>
      <c r="R7810" s="14" t="b">
        <f t="shared" si="1"/>
        <v>0</v>
      </c>
      <c r="S7810" s="14" t="str">
        <f t="shared" si="2"/>
        <v>54.848976,83.031075</v>
      </c>
      <c r="T7810" s="12"/>
    </row>
    <row r="7811">
      <c r="A7811" s="22" t="s">
        <v>28218</v>
      </c>
      <c r="B7811" s="16" t="s">
        <v>50062</v>
      </c>
      <c r="C7811" s="16" t="s">
        <v>50063</v>
      </c>
      <c r="D7811" s="16" t="s">
        <v>16</v>
      </c>
      <c r="E7811" s="21" t="s">
        <v>50064</v>
      </c>
      <c r="F7811" s="22" t="s">
        <v>9648</v>
      </c>
      <c r="G7811" s="16">
        <v>23.61</v>
      </c>
      <c r="H7811" s="16"/>
      <c r="I7811" s="22"/>
      <c r="J7811" s="22" t="s">
        <v>50065</v>
      </c>
      <c r="K7811" s="22" t="s">
        <v>50066</v>
      </c>
      <c r="L7811" s="23" t="s">
        <v>50067</v>
      </c>
      <c r="M7811" s="22"/>
      <c r="N7811" s="12"/>
      <c r="O7811" s="12"/>
      <c r="P7811" s="13">
        <f>IFERROR(__xludf.DUMMYFUNCTION("VALUE(SUBSTITUTE((INDEX(SPLIT(A7811,"",""),1)),""."","","",1))"),54.853262)</f>
        <v>54.853262</v>
      </c>
      <c r="Q7811" s="13">
        <f>IFERROR(__xludf.DUMMYFUNCTION("VALUE(SUBSTITUTE((INDEX(SPLIT(A7811,"",""),2)),""."","","",1))"),83.03845)</f>
        <v>83.03845</v>
      </c>
      <c r="R7811" s="14" t="b">
        <f t="shared" si="1"/>
        <v>0</v>
      </c>
      <c r="S7811" s="14" t="str">
        <f t="shared" si="2"/>
        <v>54.853262,83.03845</v>
      </c>
      <c r="T7811" s="12"/>
    </row>
    <row r="7812">
      <c r="A7812" s="8" t="s">
        <v>28225</v>
      </c>
      <c r="B7812" s="8" t="s">
        <v>50068</v>
      </c>
      <c r="C7812" s="8" t="s">
        <v>50069</v>
      </c>
      <c r="D7812" s="8" t="s">
        <v>16</v>
      </c>
      <c r="E7812" s="19" t="s">
        <v>50070</v>
      </c>
      <c r="F7812" s="8" t="s">
        <v>9648</v>
      </c>
      <c r="G7812" s="8">
        <v>23.61</v>
      </c>
      <c r="H7812" s="8"/>
      <c r="I7812" s="8"/>
      <c r="J7812" s="8" t="s">
        <v>50071</v>
      </c>
      <c r="K7812" s="8" t="s">
        <v>43844</v>
      </c>
      <c r="L7812" s="8"/>
      <c r="M7812" s="8"/>
      <c r="N7812" s="12"/>
      <c r="O7812" s="12"/>
      <c r="P7812" s="13">
        <f>IFERROR(__xludf.DUMMYFUNCTION("VALUE(SUBSTITUTE((INDEX(SPLIT(A7812,"",""),1)),""."","","",1))"),54.739389)</f>
        <v>54.739389</v>
      </c>
      <c r="Q7812" s="13">
        <f>IFERROR(__xludf.DUMMYFUNCTION("VALUE(SUBSTITUTE((INDEX(SPLIT(A7812,"",""),2)),""."","","",1))"),83.044137)</f>
        <v>83.044137</v>
      </c>
      <c r="R7812" s="14" t="b">
        <f t="shared" si="1"/>
        <v>0</v>
      </c>
      <c r="S7812" s="14" t="str">
        <f t="shared" si="2"/>
        <v>54.739389,83.044137</v>
      </c>
      <c r="T7812" s="12"/>
    </row>
    <row r="7813">
      <c r="A7813" s="16" t="s">
        <v>28230</v>
      </c>
      <c r="B7813" s="16" t="s">
        <v>50072</v>
      </c>
      <c r="C7813" s="16" t="s">
        <v>50073</v>
      </c>
      <c r="D7813" s="16" t="s">
        <v>16</v>
      </c>
      <c r="E7813" s="17" t="s">
        <v>50074</v>
      </c>
      <c r="F7813" s="16" t="s">
        <v>9648</v>
      </c>
      <c r="G7813" s="16">
        <v>23.61</v>
      </c>
      <c r="H7813" s="16"/>
      <c r="I7813" s="16"/>
      <c r="J7813" s="16" t="s">
        <v>50075</v>
      </c>
      <c r="K7813" s="16" t="s">
        <v>50076</v>
      </c>
      <c r="L7813" s="16"/>
      <c r="M7813" s="25" t="s">
        <v>50077</v>
      </c>
      <c r="N7813" s="12"/>
      <c r="O7813" s="12"/>
      <c r="P7813" s="13">
        <f>IFERROR(__xludf.DUMMYFUNCTION("VALUE(SUBSTITUTE((INDEX(SPLIT(A7813,"",""),1)),""."","","",1))"),55.089429)</f>
        <v>55.089429</v>
      </c>
      <c r="Q7813" s="13">
        <f>IFERROR(__xludf.DUMMYFUNCTION("VALUE(SUBSTITUTE((INDEX(SPLIT(A7813,"",""),2)),""."","","",1))"),83.045879)</f>
        <v>83.045879</v>
      </c>
      <c r="R7813" s="14" t="b">
        <f t="shared" si="1"/>
        <v>0</v>
      </c>
      <c r="S7813" s="14" t="str">
        <f t="shared" si="2"/>
        <v>55.089429,83.045879</v>
      </c>
      <c r="T7813" s="12"/>
    </row>
    <row r="7814">
      <c r="A7814" s="10" t="s">
        <v>28235</v>
      </c>
      <c r="B7814" s="8" t="s">
        <v>50078</v>
      </c>
      <c r="C7814" s="8" t="s">
        <v>50079</v>
      </c>
      <c r="D7814" s="8" t="s">
        <v>16</v>
      </c>
      <c r="E7814" s="9" t="s">
        <v>50080</v>
      </c>
      <c r="F7814" s="10" t="s">
        <v>9648</v>
      </c>
      <c r="G7814" s="8">
        <v>23.61</v>
      </c>
      <c r="H7814" s="8"/>
      <c r="I7814" s="10"/>
      <c r="J7814" s="10" t="s">
        <v>50081</v>
      </c>
      <c r="K7814" s="10" t="s">
        <v>50082</v>
      </c>
      <c r="L7814" s="29" t="s">
        <v>50083</v>
      </c>
      <c r="M7814" s="10"/>
      <c r="N7814" s="12"/>
      <c r="O7814" s="12"/>
      <c r="P7814" s="13">
        <f>IFERROR(__xludf.DUMMYFUNCTION("VALUE(SUBSTITUTE((INDEX(SPLIT(A7814,"",""),1)),""."","","",1))"),55.010746)</f>
        <v>55.010746</v>
      </c>
      <c r="Q7814" s="13">
        <f>IFERROR(__xludf.DUMMYFUNCTION("VALUE(SUBSTITUTE((INDEX(SPLIT(A7814,"",""),2)),""."","","",1))"),83.050488)</f>
        <v>83.050488</v>
      </c>
      <c r="R7814" s="14" t="b">
        <f t="shared" si="1"/>
        <v>0</v>
      </c>
      <c r="S7814" s="14" t="str">
        <f t="shared" si="2"/>
        <v>55.010746,83.050488</v>
      </c>
      <c r="T7814" s="12"/>
    </row>
    <row r="7815">
      <c r="A7815" s="22" t="s">
        <v>28242</v>
      </c>
      <c r="B7815" s="16" t="s">
        <v>50084</v>
      </c>
      <c r="C7815" s="16" t="s">
        <v>50085</v>
      </c>
      <c r="D7815" s="16" t="s">
        <v>16</v>
      </c>
      <c r="E7815" s="21" t="s">
        <v>50086</v>
      </c>
      <c r="F7815" s="22" t="s">
        <v>9648</v>
      </c>
      <c r="G7815" s="16">
        <v>23.61</v>
      </c>
      <c r="H7815" s="16"/>
      <c r="I7815" s="22"/>
      <c r="J7815" s="22" t="s">
        <v>50087</v>
      </c>
      <c r="K7815" s="22" t="s">
        <v>50088</v>
      </c>
      <c r="L7815" s="30" t="s">
        <v>50089</v>
      </c>
      <c r="M7815" s="22"/>
      <c r="N7815" s="12"/>
      <c r="O7815" s="12"/>
      <c r="P7815" s="13">
        <f>IFERROR(__xludf.DUMMYFUNCTION("VALUE(SUBSTITUTE((INDEX(SPLIT(A7815,"",""),1)),""."","","",1))"),54.970628)</f>
        <v>54.970628</v>
      </c>
      <c r="Q7815" s="13">
        <f>IFERROR(__xludf.DUMMYFUNCTION("VALUE(SUBSTITUTE((INDEX(SPLIT(A7815,"",""),2)),""."","","",1))"),83.052114)</f>
        <v>83.052114</v>
      </c>
      <c r="R7815" s="14" t="b">
        <f t="shared" si="1"/>
        <v>0</v>
      </c>
      <c r="S7815" s="14" t="str">
        <f t="shared" si="2"/>
        <v>54.970628,83.052114</v>
      </c>
      <c r="T7815" s="12"/>
    </row>
    <row r="7816">
      <c r="A7816" s="10" t="s">
        <v>28242</v>
      </c>
      <c r="B7816" s="8" t="s">
        <v>50090</v>
      </c>
      <c r="C7816" s="8" t="s">
        <v>50091</v>
      </c>
      <c r="D7816" s="8" t="s">
        <v>16</v>
      </c>
      <c r="E7816" s="9" t="s">
        <v>50092</v>
      </c>
      <c r="F7816" s="10" t="s">
        <v>9648</v>
      </c>
      <c r="G7816" s="8">
        <v>23.61</v>
      </c>
      <c r="H7816" s="8"/>
      <c r="I7816" s="10"/>
      <c r="J7816" s="10" t="s">
        <v>50087</v>
      </c>
      <c r="K7816" s="10" t="s">
        <v>50088</v>
      </c>
      <c r="L7816" s="11" t="s">
        <v>50093</v>
      </c>
      <c r="M7816" s="10"/>
      <c r="N7816" s="12"/>
      <c r="O7816" s="12"/>
      <c r="P7816" s="13">
        <f>IFERROR(__xludf.DUMMYFUNCTION("VALUE(SUBSTITUTE((INDEX(SPLIT(A7816,"",""),1)),""."","","",1))"),54.970628)</f>
        <v>54.970628</v>
      </c>
      <c r="Q7816" s="13">
        <f>IFERROR(__xludf.DUMMYFUNCTION("VALUE(SUBSTITUTE((INDEX(SPLIT(A7816,"",""),2)),""."","","",1))"),83.052114)</f>
        <v>83.052114</v>
      </c>
      <c r="R7816" s="14" t="b">
        <f t="shared" si="1"/>
        <v>0</v>
      </c>
      <c r="S7816" s="14" t="str">
        <f t="shared" si="2"/>
        <v>54.970628,83.052114</v>
      </c>
      <c r="T7816" s="12"/>
    </row>
    <row r="7817">
      <c r="A7817" s="16" t="s">
        <v>28254</v>
      </c>
      <c r="B7817" s="16" t="s">
        <v>50094</v>
      </c>
      <c r="C7817" s="16" t="s">
        <v>50095</v>
      </c>
      <c r="D7817" s="16" t="s">
        <v>16</v>
      </c>
      <c r="E7817" s="17" t="s">
        <v>50096</v>
      </c>
      <c r="F7817" s="16" t="s">
        <v>9648</v>
      </c>
      <c r="G7817" s="16">
        <v>23.61</v>
      </c>
      <c r="H7817" s="16"/>
      <c r="I7817" s="16"/>
      <c r="J7817" s="16" t="s">
        <v>50097</v>
      </c>
      <c r="K7817" s="16" t="s">
        <v>50098</v>
      </c>
      <c r="L7817" s="16"/>
      <c r="M7817" s="16"/>
      <c r="N7817" s="12"/>
      <c r="O7817" s="12"/>
      <c r="P7817" s="13">
        <f>IFERROR(__xludf.DUMMYFUNCTION("VALUE(SUBSTITUTE((INDEX(SPLIT(A7817,"",""),1)),""."","","",1))"),54.99383)</f>
        <v>54.99383</v>
      </c>
      <c r="Q7817" s="13">
        <f>IFERROR(__xludf.DUMMYFUNCTION("VALUE(SUBSTITUTE((INDEX(SPLIT(A7817,"",""),2)),""."","","",1))"),83.052536)</f>
        <v>83.052536</v>
      </c>
      <c r="R7817" s="14" t="b">
        <f t="shared" si="1"/>
        <v>0</v>
      </c>
      <c r="S7817" s="14" t="str">
        <f t="shared" si="2"/>
        <v>54.99383,83.052536</v>
      </c>
      <c r="T7817" s="12"/>
    </row>
    <row r="7818">
      <c r="A7818" s="10" t="s">
        <v>28261</v>
      </c>
      <c r="B7818" s="8" t="s">
        <v>50099</v>
      </c>
      <c r="C7818" s="8" t="s">
        <v>50100</v>
      </c>
      <c r="D7818" s="8" t="s">
        <v>16</v>
      </c>
      <c r="E7818" s="9" t="s">
        <v>50101</v>
      </c>
      <c r="F7818" s="10" t="s">
        <v>9648</v>
      </c>
      <c r="G7818" s="8">
        <v>23.61</v>
      </c>
      <c r="H7818" s="8"/>
      <c r="I7818" s="10"/>
      <c r="J7818" s="10" t="s">
        <v>50102</v>
      </c>
      <c r="K7818" s="10" t="s">
        <v>50103</v>
      </c>
      <c r="L7818" s="29" t="s">
        <v>50104</v>
      </c>
      <c r="M7818" s="10"/>
      <c r="N7818" s="12"/>
      <c r="O7818" s="12"/>
      <c r="P7818" s="13">
        <f>IFERROR(__xludf.DUMMYFUNCTION("VALUE(SUBSTITUTE((INDEX(SPLIT(A7818,"",""),1)),""."","","",1))"),54.970923)</f>
        <v>54.970923</v>
      </c>
      <c r="Q7818" s="13">
        <f>IFERROR(__xludf.DUMMYFUNCTION("VALUE(SUBSTITUTE((INDEX(SPLIT(A7818,"",""),2)),""."","","",1))"),83.056093)</f>
        <v>83.056093</v>
      </c>
      <c r="R7818" s="14" t="b">
        <f t="shared" si="1"/>
        <v>0</v>
      </c>
      <c r="S7818" s="14" t="str">
        <f t="shared" si="2"/>
        <v>54.970923,83.056093</v>
      </c>
      <c r="T7818" s="12"/>
    </row>
    <row r="7819">
      <c r="A7819" s="16" t="s">
        <v>28268</v>
      </c>
      <c r="B7819" s="16" t="s">
        <v>40866</v>
      </c>
      <c r="C7819" s="16" t="s">
        <v>50105</v>
      </c>
      <c r="D7819" s="16" t="s">
        <v>16</v>
      </c>
      <c r="E7819" s="17" t="s">
        <v>50106</v>
      </c>
      <c r="F7819" s="16" t="s">
        <v>9648</v>
      </c>
      <c r="G7819" s="16">
        <v>23.61</v>
      </c>
      <c r="H7819" s="16"/>
      <c r="I7819" s="16"/>
      <c r="J7819" s="16" t="s">
        <v>50107</v>
      </c>
      <c r="K7819" s="16" t="s">
        <v>50108</v>
      </c>
      <c r="L7819" s="16"/>
      <c r="M7819" s="16"/>
      <c r="N7819" s="12"/>
      <c r="O7819" s="12"/>
      <c r="P7819" s="13">
        <f>IFERROR(__xludf.DUMMYFUNCTION("VALUE(SUBSTITUTE((INDEX(SPLIT(A7819,"",""),1)),""."","","",1))"),54.999557)</f>
        <v>54.999557</v>
      </c>
      <c r="Q7819" s="13">
        <f>IFERROR(__xludf.DUMMYFUNCTION("VALUE(SUBSTITUTE((INDEX(SPLIT(A7819,"",""),2)),""."","","",1))"),83.05736)</f>
        <v>83.05736</v>
      </c>
      <c r="R7819" s="14" t="b">
        <f t="shared" si="1"/>
        <v>0</v>
      </c>
      <c r="S7819" s="14" t="str">
        <f t="shared" si="2"/>
        <v>54.999557,83.05736</v>
      </c>
      <c r="T7819" s="12"/>
    </row>
    <row r="7820">
      <c r="A7820" s="10" t="s">
        <v>28275</v>
      </c>
      <c r="B7820" s="8" t="s">
        <v>50109</v>
      </c>
      <c r="C7820" s="8" t="s">
        <v>50110</v>
      </c>
      <c r="D7820" s="8" t="s">
        <v>16</v>
      </c>
      <c r="E7820" s="9" t="s">
        <v>50111</v>
      </c>
      <c r="F7820" s="10" t="s">
        <v>9648</v>
      </c>
      <c r="G7820" s="8">
        <v>23.61</v>
      </c>
      <c r="H7820" s="8"/>
      <c r="I7820" s="10"/>
      <c r="J7820" s="10" t="s">
        <v>50112</v>
      </c>
      <c r="K7820" s="10" t="s">
        <v>50113</v>
      </c>
      <c r="L7820" s="11" t="s">
        <v>50114</v>
      </c>
      <c r="M7820" s="10"/>
      <c r="N7820" s="12"/>
      <c r="O7820" s="12"/>
      <c r="P7820" s="13">
        <f>IFERROR(__xludf.DUMMYFUNCTION("VALUE(SUBSTITUTE((INDEX(SPLIT(A7820,"",""),1)),""."","","",1))"),55.008475)</f>
        <v>55.008475</v>
      </c>
      <c r="Q7820" s="13">
        <f>IFERROR(__xludf.DUMMYFUNCTION("VALUE(SUBSTITUTE((INDEX(SPLIT(A7820,"",""),2)),""."","","",1))"),83.057477)</f>
        <v>83.057477</v>
      </c>
      <c r="R7820" s="14" t="b">
        <f t="shared" si="1"/>
        <v>0</v>
      </c>
      <c r="S7820" s="14" t="str">
        <f t="shared" si="2"/>
        <v>55.008475,83.057477</v>
      </c>
      <c r="T7820" s="12"/>
    </row>
    <row r="7821">
      <c r="A7821" s="22" t="s">
        <v>28283</v>
      </c>
      <c r="B7821" s="16" t="s">
        <v>50115</v>
      </c>
      <c r="C7821" s="16" t="s">
        <v>50116</v>
      </c>
      <c r="D7821" s="16" t="s">
        <v>16</v>
      </c>
      <c r="E7821" s="21" t="s">
        <v>50117</v>
      </c>
      <c r="F7821" s="22" t="s">
        <v>9648</v>
      </c>
      <c r="G7821" s="16">
        <v>23.61</v>
      </c>
      <c r="H7821" s="16"/>
      <c r="I7821" s="22"/>
      <c r="J7821" s="22" t="s">
        <v>50118</v>
      </c>
      <c r="K7821" s="22" t="s">
        <v>50119</v>
      </c>
      <c r="L7821" s="23" t="s">
        <v>50120</v>
      </c>
      <c r="M7821" s="22"/>
      <c r="N7821" s="12"/>
      <c r="O7821" s="12"/>
      <c r="P7821" s="13">
        <f>IFERROR(__xludf.DUMMYFUNCTION("VALUE(SUBSTITUTE((INDEX(SPLIT(A7821,"",""),1)),""."","","",1))"),54.970287)</f>
        <v>54.970287</v>
      </c>
      <c r="Q7821" s="13">
        <f>IFERROR(__xludf.DUMMYFUNCTION("VALUE(SUBSTITUTE((INDEX(SPLIT(A7821,"",""),2)),""."","","",1))"),83.058105)</f>
        <v>83.058105</v>
      </c>
      <c r="R7821" s="14" t="b">
        <f t="shared" si="1"/>
        <v>0</v>
      </c>
      <c r="S7821" s="14" t="str">
        <f t="shared" si="2"/>
        <v>54.970287,83.058105</v>
      </c>
      <c r="T7821" s="12"/>
    </row>
    <row r="7822">
      <c r="A7822" s="10" t="s">
        <v>28289</v>
      </c>
      <c r="B7822" s="8" t="s">
        <v>50046</v>
      </c>
      <c r="C7822" s="8" t="s">
        <v>50047</v>
      </c>
      <c r="D7822" s="8" t="s">
        <v>16</v>
      </c>
      <c r="E7822" s="9" t="s">
        <v>50121</v>
      </c>
      <c r="F7822" s="10" t="s">
        <v>9648</v>
      </c>
      <c r="G7822" s="8">
        <v>23.61</v>
      </c>
      <c r="H7822" s="8"/>
      <c r="I7822" s="10"/>
      <c r="J7822" s="10" t="s">
        <v>50122</v>
      </c>
      <c r="K7822" s="10" t="s">
        <v>50123</v>
      </c>
      <c r="L7822" s="29" t="s">
        <v>50124</v>
      </c>
      <c r="M7822" s="10"/>
      <c r="N7822" s="12"/>
      <c r="O7822" s="12"/>
      <c r="P7822" s="13">
        <f>IFERROR(__xludf.DUMMYFUNCTION("VALUE(SUBSTITUTE((INDEX(SPLIT(A7822,"",""),1)),""."","","",1))"),55.007922)</f>
        <v>55.007922</v>
      </c>
      <c r="Q7822" s="13">
        <f>IFERROR(__xludf.DUMMYFUNCTION("VALUE(SUBSTITUTE((INDEX(SPLIT(A7822,"",""),2)),""."","","",1))"),83.058887)</f>
        <v>83.058887</v>
      </c>
      <c r="R7822" s="14" t="b">
        <f t="shared" si="1"/>
        <v>0</v>
      </c>
      <c r="S7822" s="14" t="str">
        <f t="shared" si="2"/>
        <v>55.007922,83.058887</v>
      </c>
      <c r="T7822" s="12"/>
    </row>
    <row r="7823">
      <c r="A7823" s="16" t="s">
        <v>28293</v>
      </c>
      <c r="B7823" s="16" t="s">
        <v>50125</v>
      </c>
      <c r="C7823" s="16" t="s">
        <v>50126</v>
      </c>
      <c r="D7823" s="16" t="s">
        <v>16</v>
      </c>
      <c r="E7823" s="17" t="s">
        <v>50127</v>
      </c>
      <c r="F7823" s="16" t="s">
        <v>9648</v>
      </c>
      <c r="G7823" s="16">
        <v>23.61</v>
      </c>
      <c r="H7823" s="16"/>
      <c r="I7823" s="16"/>
      <c r="J7823" s="16" t="s">
        <v>50128</v>
      </c>
      <c r="K7823" s="16" t="s">
        <v>50129</v>
      </c>
      <c r="L7823" s="16"/>
      <c r="M7823" s="25" t="s">
        <v>50130</v>
      </c>
      <c r="N7823" s="12"/>
      <c r="O7823" s="12"/>
      <c r="P7823" s="13">
        <f>IFERROR(__xludf.DUMMYFUNCTION("VALUE(SUBSTITUTE((INDEX(SPLIT(A7823,"",""),1)),""."","","",1))"),54.954838)</f>
        <v>54.954838</v>
      </c>
      <c r="Q7823" s="13">
        <f>IFERROR(__xludf.DUMMYFUNCTION("VALUE(SUBSTITUTE((INDEX(SPLIT(A7823,"",""),2)),""."","","",1))"),83.060019)</f>
        <v>83.060019</v>
      </c>
      <c r="R7823" s="14" t="b">
        <f t="shared" si="1"/>
        <v>0</v>
      </c>
      <c r="S7823" s="14" t="str">
        <f t="shared" si="2"/>
        <v>54.954838,83.060019</v>
      </c>
      <c r="T7823" s="12"/>
    </row>
    <row r="7824">
      <c r="A7824" s="10" t="s">
        <v>28300</v>
      </c>
      <c r="B7824" s="8" t="s">
        <v>50131</v>
      </c>
      <c r="C7824" s="8" t="s">
        <v>50132</v>
      </c>
      <c r="D7824" s="8" t="s">
        <v>16</v>
      </c>
      <c r="E7824" s="9" t="s">
        <v>50133</v>
      </c>
      <c r="F7824" s="10" t="s">
        <v>9648</v>
      </c>
      <c r="G7824" s="8">
        <v>23.61</v>
      </c>
      <c r="H7824" s="8"/>
      <c r="I7824" s="10"/>
      <c r="J7824" s="10" t="s">
        <v>50134</v>
      </c>
      <c r="K7824" s="10" t="s">
        <v>50135</v>
      </c>
      <c r="L7824" s="11" t="s">
        <v>50136</v>
      </c>
      <c r="M7824" s="11" t="s">
        <v>50137</v>
      </c>
      <c r="N7824" s="12"/>
      <c r="O7824" s="12"/>
      <c r="P7824" s="13">
        <f>IFERROR(__xludf.DUMMYFUNCTION("VALUE(SUBSTITUTE((INDEX(SPLIT(A7824,"",""),1)),""."","","",1))"),54.938669)</f>
        <v>54.938669</v>
      </c>
      <c r="Q7824" s="13">
        <f>IFERROR(__xludf.DUMMYFUNCTION("VALUE(SUBSTITUTE((INDEX(SPLIT(A7824,"",""),2)),""."","","",1))"),83.068643)</f>
        <v>83.068643</v>
      </c>
      <c r="R7824" s="14" t="b">
        <f t="shared" si="1"/>
        <v>0</v>
      </c>
      <c r="S7824" s="14" t="str">
        <f t="shared" si="2"/>
        <v>54.938669,83.068643</v>
      </c>
      <c r="T7824" s="12"/>
    </row>
    <row r="7825">
      <c r="A7825" s="22" t="s">
        <v>28307</v>
      </c>
      <c r="B7825" s="16" t="s">
        <v>50138</v>
      </c>
      <c r="C7825" s="16" t="s">
        <v>50139</v>
      </c>
      <c r="D7825" s="16" t="s">
        <v>16</v>
      </c>
      <c r="E7825" s="21" t="s">
        <v>50140</v>
      </c>
      <c r="F7825" s="22" t="s">
        <v>9648</v>
      </c>
      <c r="G7825" s="16">
        <v>23.61</v>
      </c>
      <c r="H7825" s="16"/>
      <c r="I7825" s="22"/>
      <c r="J7825" s="22" t="s">
        <v>50141</v>
      </c>
      <c r="K7825" s="22" t="s">
        <v>50142</v>
      </c>
      <c r="L7825" s="23" t="s">
        <v>50143</v>
      </c>
      <c r="M7825" s="23" t="s">
        <v>50144</v>
      </c>
      <c r="N7825" s="12"/>
      <c r="O7825" s="12"/>
      <c r="P7825" s="13">
        <f>IFERROR(__xludf.DUMMYFUNCTION("VALUE(SUBSTITUTE((INDEX(SPLIT(A7825,"",""),1)),""."","","",1))"),54.769638)</f>
        <v>54.769638</v>
      </c>
      <c r="Q7825" s="13">
        <f>IFERROR(__xludf.DUMMYFUNCTION("VALUE(SUBSTITUTE((INDEX(SPLIT(A7825,"",""),2)),""."","","",1))"),83.075236)</f>
        <v>83.075236</v>
      </c>
      <c r="R7825" s="14" t="b">
        <f t="shared" si="1"/>
        <v>0</v>
      </c>
      <c r="S7825" s="14" t="str">
        <f t="shared" si="2"/>
        <v>54.769638,83.075236</v>
      </c>
      <c r="T7825" s="12"/>
    </row>
    <row r="7826">
      <c r="A7826" s="8" t="s">
        <v>28311</v>
      </c>
      <c r="B7826" s="8" t="s">
        <v>50145</v>
      </c>
      <c r="C7826" s="8" t="s">
        <v>50146</v>
      </c>
      <c r="D7826" s="8" t="s">
        <v>16</v>
      </c>
      <c r="E7826" s="19" t="s">
        <v>50147</v>
      </c>
      <c r="F7826" s="8" t="s">
        <v>9648</v>
      </c>
      <c r="G7826" s="8">
        <v>23.61</v>
      </c>
      <c r="H7826" s="8"/>
      <c r="I7826" s="8"/>
      <c r="J7826" s="8" t="s">
        <v>50148</v>
      </c>
      <c r="K7826" s="8" t="s">
        <v>50149</v>
      </c>
      <c r="L7826" s="8"/>
      <c r="M7826" s="24" t="s">
        <v>50150</v>
      </c>
      <c r="N7826" s="12"/>
      <c r="O7826" s="12"/>
      <c r="P7826" s="13">
        <f>IFERROR(__xludf.DUMMYFUNCTION("VALUE(SUBSTITUTE((INDEX(SPLIT(A7826,"",""),1)),""."","","",1))"),54.991036)</f>
        <v>54.991036</v>
      </c>
      <c r="Q7826" s="13">
        <f>IFERROR(__xludf.DUMMYFUNCTION("VALUE(SUBSTITUTE((INDEX(SPLIT(A7826,"",""),2)),""."","","",1))"),83.083869)</f>
        <v>83.083869</v>
      </c>
      <c r="R7826" s="14" t="b">
        <f t="shared" si="1"/>
        <v>0</v>
      </c>
      <c r="S7826" s="14" t="str">
        <f t="shared" si="2"/>
        <v>54.991036,83.083869</v>
      </c>
      <c r="T7826" s="12"/>
    </row>
    <row r="7827">
      <c r="A7827" s="16" t="s">
        <v>28317</v>
      </c>
      <c r="B7827" s="16" t="s">
        <v>50151</v>
      </c>
      <c r="C7827" s="16" t="s">
        <v>50152</v>
      </c>
      <c r="D7827" s="16" t="s">
        <v>16</v>
      </c>
      <c r="E7827" s="17" t="s">
        <v>50153</v>
      </c>
      <c r="F7827" s="16" t="s">
        <v>9648</v>
      </c>
      <c r="G7827" s="16">
        <v>23.61</v>
      </c>
      <c r="H7827" s="16"/>
      <c r="I7827" s="16"/>
      <c r="J7827" s="16" t="s">
        <v>50154</v>
      </c>
      <c r="K7827" s="16" t="s">
        <v>50155</v>
      </c>
      <c r="L7827" s="16"/>
      <c r="M7827" s="16"/>
      <c r="N7827" s="12"/>
      <c r="O7827" s="12"/>
      <c r="P7827" s="13">
        <f>IFERROR(__xludf.DUMMYFUNCTION("VALUE(SUBSTITUTE((INDEX(SPLIT(A7827,"",""),1)),""."","","",1))"),54.761914)</f>
        <v>54.761914</v>
      </c>
      <c r="Q7827" s="13">
        <f>IFERROR(__xludf.DUMMYFUNCTION("VALUE(SUBSTITUTE((INDEX(SPLIT(A7827,"",""),2)),""."","","",1))"),83.100569)</f>
        <v>83.100569</v>
      </c>
      <c r="R7827" s="14" t="b">
        <f t="shared" si="1"/>
        <v>0</v>
      </c>
      <c r="S7827" s="14" t="str">
        <f t="shared" si="2"/>
        <v>54.761914,83.100569</v>
      </c>
      <c r="T7827" s="12"/>
    </row>
    <row r="7828">
      <c r="A7828" s="10" t="s">
        <v>28324</v>
      </c>
      <c r="B7828" s="8" t="s">
        <v>50156</v>
      </c>
      <c r="C7828" s="8" t="s">
        <v>50157</v>
      </c>
      <c r="D7828" s="8" t="s">
        <v>16</v>
      </c>
      <c r="E7828" s="9" t="s">
        <v>50158</v>
      </c>
      <c r="F7828" s="10" t="s">
        <v>9648</v>
      </c>
      <c r="G7828" s="8">
        <v>23.61</v>
      </c>
      <c r="H7828" s="8"/>
      <c r="I7828" s="10"/>
      <c r="J7828" s="10" t="s">
        <v>50159</v>
      </c>
      <c r="K7828" s="10" t="s">
        <v>50160</v>
      </c>
      <c r="L7828" s="11" t="s">
        <v>50161</v>
      </c>
      <c r="M7828" s="11" t="s">
        <v>50162</v>
      </c>
      <c r="N7828" s="12"/>
      <c r="O7828" s="12"/>
      <c r="P7828" s="13">
        <f>IFERROR(__xludf.DUMMYFUNCTION("VALUE(SUBSTITUTE((INDEX(SPLIT(A7828,"",""),1)),""."","","",1))"),54.751606)</f>
        <v>54.751606</v>
      </c>
      <c r="Q7828" s="13">
        <f>IFERROR(__xludf.DUMMYFUNCTION("VALUE(SUBSTITUTE((INDEX(SPLIT(A7828,"",""),2)),""."","","",1))"),83.128973)</f>
        <v>83.128973</v>
      </c>
      <c r="R7828" s="14" t="b">
        <f t="shared" si="1"/>
        <v>0</v>
      </c>
      <c r="S7828" s="14" t="str">
        <f t="shared" si="2"/>
        <v>54.751606,83.128973</v>
      </c>
      <c r="T7828" s="12"/>
    </row>
    <row r="7829">
      <c r="A7829" s="22" t="s">
        <v>28331</v>
      </c>
      <c r="B7829" s="16" t="s">
        <v>50163</v>
      </c>
      <c r="C7829" s="16" t="s">
        <v>50164</v>
      </c>
      <c r="D7829" s="16" t="s">
        <v>16</v>
      </c>
      <c r="E7829" s="21" t="s">
        <v>50165</v>
      </c>
      <c r="F7829" s="22" t="s">
        <v>9648</v>
      </c>
      <c r="G7829" s="16">
        <v>23.61</v>
      </c>
      <c r="H7829" s="16"/>
      <c r="I7829" s="22"/>
      <c r="J7829" s="22" t="s">
        <v>50166</v>
      </c>
      <c r="K7829" s="22" t="s">
        <v>50167</v>
      </c>
      <c r="L7829" s="23" t="s">
        <v>50168</v>
      </c>
      <c r="M7829" s="22"/>
      <c r="N7829" s="12"/>
      <c r="O7829" s="12"/>
      <c r="P7829" s="13">
        <f>IFERROR(__xludf.DUMMYFUNCTION("VALUE(SUBSTITUTE((INDEX(SPLIT(A7829,"",""),1)),""."","","",1))"),55.186109)</f>
        <v>55.186109</v>
      </c>
      <c r="Q7829" s="13">
        <f>IFERROR(__xludf.DUMMYFUNCTION("VALUE(SUBSTITUTE((INDEX(SPLIT(A7829,"",""),2)),""."","","",1))"),83.13545)</f>
        <v>83.13545</v>
      </c>
      <c r="R7829" s="14" t="b">
        <f t="shared" si="1"/>
        <v>0</v>
      </c>
      <c r="S7829" s="14" t="str">
        <f t="shared" si="2"/>
        <v>55.186109,83.13545</v>
      </c>
      <c r="T7829" s="12"/>
    </row>
    <row r="7830">
      <c r="A7830" s="10" t="s">
        <v>28338</v>
      </c>
      <c r="B7830" s="8" t="s">
        <v>50169</v>
      </c>
      <c r="C7830" s="8" t="s">
        <v>50170</v>
      </c>
      <c r="D7830" s="8" t="s">
        <v>16</v>
      </c>
      <c r="E7830" s="9" t="s">
        <v>50171</v>
      </c>
      <c r="F7830" s="10" t="s">
        <v>9648</v>
      </c>
      <c r="G7830" s="8">
        <v>23.61</v>
      </c>
      <c r="H7830" s="8"/>
      <c r="I7830" s="10"/>
      <c r="J7830" s="10" t="s">
        <v>50172</v>
      </c>
      <c r="K7830" s="10" t="s">
        <v>50173</v>
      </c>
      <c r="L7830" s="11" t="s">
        <v>50174</v>
      </c>
      <c r="M7830" s="10"/>
      <c r="N7830" s="12"/>
      <c r="O7830" s="12"/>
      <c r="P7830" s="13">
        <f>IFERROR(__xludf.DUMMYFUNCTION("VALUE(SUBSTITUTE((INDEX(SPLIT(A7830,"",""),1)),""."","","",1))"),54.748333)</f>
        <v>54.748333</v>
      </c>
      <c r="Q7830" s="13">
        <f>IFERROR(__xludf.DUMMYFUNCTION("VALUE(SUBSTITUTE((INDEX(SPLIT(A7830,"",""),2)),""."","","",1))"),83.138406)</f>
        <v>83.138406</v>
      </c>
      <c r="R7830" s="14" t="b">
        <f t="shared" si="1"/>
        <v>0</v>
      </c>
      <c r="S7830" s="14" t="str">
        <f t="shared" si="2"/>
        <v>54.748333,83.138406</v>
      </c>
      <c r="T7830" s="12"/>
    </row>
    <row r="7831">
      <c r="A7831" s="22" t="s">
        <v>28345</v>
      </c>
      <c r="B7831" s="16" t="s">
        <v>2623</v>
      </c>
      <c r="C7831" s="16" t="s">
        <v>2624</v>
      </c>
      <c r="D7831" s="16" t="s">
        <v>16</v>
      </c>
      <c r="E7831" s="21" t="s">
        <v>50175</v>
      </c>
      <c r="F7831" s="22" t="s">
        <v>9648</v>
      </c>
      <c r="G7831" s="16">
        <v>23.61</v>
      </c>
      <c r="H7831" s="16"/>
      <c r="I7831" s="22"/>
      <c r="J7831" s="22" t="s">
        <v>50176</v>
      </c>
      <c r="K7831" s="22" t="s">
        <v>50177</v>
      </c>
      <c r="L7831" s="23" t="s">
        <v>50178</v>
      </c>
      <c r="M7831" s="22"/>
      <c r="N7831" s="12"/>
      <c r="O7831" s="12"/>
      <c r="P7831" s="13">
        <f>IFERROR(__xludf.DUMMYFUNCTION("VALUE(SUBSTITUTE((INDEX(SPLIT(A7831,"",""),1)),""."","","",1))"),54.745713)</f>
        <v>54.745713</v>
      </c>
      <c r="Q7831" s="13">
        <f>IFERROR(__xludf.DUMMYFUNCTION("VALUE(SUBSTITUTE((INDEX(SPLIT(A7831,"",""),2)),""."","","",1))"),83.144101)</f>
        <v>83.144101</v>
      </c>
      <c r="R7831" s="14" t="b">
        <f t="shared" si="1"/>
        <v>0</v>
      </c>
      <c r="S7831" s="14" t="str">
        <f t="shared" si="2"/>
        <v>54.745713,83.144101</v>
      </c>
      <c r="T7831" s="12"/>
    </row>
    <row r="7832">
      <c r="A7832" s="8" t="s">
        <v>28350</v>
      </c>
      <c r="B7832" s="8" t="s">
        <v>50179</v>
      </c>
      <c r="C7832" s="8" t="s">
        <v>50180</v>
      </c>
      <c r="D7832" s="8" t="s">
        <v>16</v>
      </c>
      <c r="E7832" s="19" t="s">
        <v>50181</v>
      </c>
      <c r="F7832" s="8" t="s">
        <v>9648</v>
      </c>
      <c r="G7832" s="8">
        <v>23.61</v>
      </c>
      <c r="H7832" s="8"/>
      <c r="I7832" s="8"/>
      <c r="J7832" s="8" t="s">
        <v>50182</v>
      </c>
      <c r="K7832" s="8" t="s">
        <v>25441</v>
      </c>
      <c r="L7832" s="8"/>
      <c r="M7832" s="24" t="s">
        <v>49904</v>
      </c>
      <c r="N7832" s="12"/>
      <c r="O7832" s="12"/>
      <c r="P7832" s="13">
        <f>IFERROR(__xludf.DUMMYFUNCTION("VALUE(SUBSTITUTE((INDEX(SPLIT(A7832,"",""),1)),""."","","",1))"),54.752593)</f>
        <v>54.752593</v>
      </c>
      <c r="Q7832" s="13">
        <f>IFERROR(__xludf.DUMMYFUNCTION("VALUE(SUBSTITUTE((INDEX(SPLIT(A7832,"",""),2)),""."","","",1))"),83.156731)</f>
        <v>83.156731</v>
      </c>
      <c r="R7832" s="14" t="b">
        <f t="shared" si="1"/>
        <v>0</v>
      </c>
      <c r="S7832" s="14" t="str">
        <f t="shared" si="2"/>
        <v>54.752593,83.156731</v>
      </c>
      <c r="T7832" s="12"/>
    </row>
    <row r="7833">
      <c r="A7833" s="22" t="s">
        <v>28350</v>
      </c>
      <c r="B7833" s="16" t="s">
        <v>50183</v>
      </c>
      <c r="C7833" s="16" t="s">
        <v>50184</v>
      </c>
      <c r="D7833" s="16" t="s">
        <v>16</v>
      </c>
      <c r="E7833" s="21" t="s">
        <v>50185</v>
      </c>
      <c r="F7833" s="22" t="s">
        <v>9648</v>
      </c>
      <c r="G7833" s="16">
        <v>23.61</v>
      </c>
      <c r="H7833" s="16"/>
      <c r="I7833" s="22"/>
      <c r="J7833" s="22" t="s">
        <v>50186</v>
      </c>
      <c r="K7833" s="22" t="s">
        <v>50187</v>
      </c>
      <c r="L7833" s="23" t="s">
        <v>50188</v>
      </c>
      <c r="M7833" s="22"/>
      <c r="N7833" s="12"/>
      <c r="O7833" s="12"/>
      <c r="P7833" s="13">
        <f>IFERROR(__xludf.DUMMYFUNCTION("VALUE(SUBSTITUTE((INDEX(SPLIT(A7833,"",""),1)),""."","","",1))"),54.752593)</f>
        <v>54.752593</v>
      </c>
      <c r="Q7833" s="13">
        <f>IFERROR(__xludf.DUMMYFUNCTION("VALUE(SUBSTITUTE((INDEX(SPLIT(A7833,"",""),2)),""."","","",1))"),83.156731)</f>
        <v>83.156731</v>
      </c>
      <c r="R7833" s="14" t="b">
        <f t="shared" si="1"/>
        <v>0</v>
      </c>
      <c r="S7833" s="14" t="str">
        <f t="shared" si="2"/>
        <v>54.752593,83.156731</v>
      </c>
      <c r="T7833" s="12"/>
    </row>
    <row r="7834">
      <c r="A7834" s="10" t="s">
        <v>28364</v>
      </c>
      <c r="B7834" s="8" t="s">
        <v>50189</v>
      </c>
      <c r="C7834" s="8" t="s">
        <v>50190</v>
      </c>
      <c r="D7834" s="8" t="s">
        <v>16</v>
      </c>
      <c r="E7834" s="9" t="s">
        <v>50191</v>
      </c>
      <c r="F7834" s="10" t="s">
        <v>9648</v>
      </c>
      <c r="G7834" s="8">
        <v>23.61</v>
      </c>
      <c r="H7834" s="8"/>
      <c r="I7834" s="10"/>
      <c r="J7834" s="10" t="s">
        <v>50192</v>
      </c>
      <c r="K7834" s="10" t="s">
        <v>50193</v>
      </c>
      <c r="L7834" s="11" t="s">
        <v>50194</v>
      </c>
      <c r="M7834" s="10"/>
      <c r="N7834" s="12"/>
      <c r="O7834" s="12"/>
      <c r="P7834" s="13">
        <f>IFERROR(__xludf.DUMMYFUNCTION("VALUE(SUBSTITUTE((INDEX(SPLIT(A7834,"",""),1)),""."","","",1))"),54.961636)</f>
        <v>54.961636</v>
      </c>
      <c r="Q7834" s="13">
        <f>IFERROR(__xludf.DUMMYFUNCTION("VALUE(SUBSTITUTE((INDEX(SPLIT(A7834,"",""),2)),""."","","",1))"),83.218778)</f>
        <v>83.218778</v>
      </c>
      <c r="R7834" s="14" t="b">
        <f t="shared" si="1"/>
        <v>0</v>
      </c>
      <c r="S7834" s="14" t="str">
        <f t="shared" si="2"/>
        <v>54.961636,83.218778</v>
      </c>
      <c r="T7834" s="12"/>
    </row>
    <row r="7835">
      <c r="A7835" s="16" t="s">
        <v>28372</v>
      </c>
      <c r="B7835" s="16" t="s">
        <v>50195</v>
      </c>
      <c r="C7835" s="16" t="s">
        <v>50196</v>
      </c>
      <c r="D7835" s="16" t="s">
        <v>16</v>
      </c>
      <c r="E7835" s="17" t="s">
        <v>50197</v>
      </c>
      <c r="F7835" s="16" t="s">
        <v>9648</v>
      </c>
      <c r="G7835" s="16">
        <v>23.61</v>
      </c>
      <c r="H7835" s="16"/>
      <c r="I7835" s="16"/>
      <c r="J7835" s="16" t="s">
        <v>50198</v>
      </c>
      <c r="K7835" s="16" t="s">
        <v>50199</v>
      </c>
      <c r="L7835" s="16"/>
      <c r="M7835" s="25" t="s">
        <v>50200</v>
      </c>
      <c r="N7835" s="12"/>
      <c r="O7835" s="12"/>
      <c r="P7835" s="13">
        <f>IFERROR(__xludf.DUMMYFUNCTION("VALUE(SUBSTITUTE((INDEX(SPLIT(A7835,"",""),1)),""."","","",1))"),55.063091)</f>
        <v>55.063091</v>
      </c>
      <c r="Q7835" s="13">
        <f>IFERROR(__xludf.DUMMYFUNCTION("VALUE(SUBSTITUTE((INDEX(SPLIT(A7835,"",""),2)),""."","","",1))"),83.224204)</f>
        <v>83.224204</v>
      </c>
      <c r="R7835" s="14" t="b">
        <f t="shared" si="1"/>
        <v>0</v>
      </c>
      <c r="S7835" s="14" t="str">
        <f t="shared" si="2"/>
        <v>55.063091,83.224204</v>
      </c>
      <c r="T7835" s="12"/>
    </row>
    <row r="7836">
      <c r="A7836" s="8" t="s">
        <v>28379</v>
      </c>
      <c r="B7836" s="8" t="s">
        <v>12708</v>
      </c>
      <c r="C7836" s="8" t="s">
        <v>12709</v>
      </c>
      <c r="D7836" s="8" t="s">
        <v>16</v>
      </c>
      <c r="E7836" s="19" t="s">
        <v>50201</v>
      </c>
      <c r="F7836" s="8" t="s">
        <v>9648</v>
      </c>
      <c r="G7836" s="8">
        <v>23.61</v>
      </c>
      <c r="H7836" s="8"/>
      <c r="I7836" s="8"/>
      <c r="J7836" s="8" t="s">
        <v>50202</v>
      </c>
      <c r="K7836" s="8" t="s">
        <v>50203</v>
      </c>
      <c r="L7836" s="8"/>
      <c r="M7836" s="8"/>
      <c r="N7836" s="12"/>
      <c r="O7836" s="12"/>
      <c r="P7836" s="13">
        <f>IFERROR(__xludf.DUMMYFUNCTION("VALUE(SUBSTITUTE((INDEX(SPLIT(A7836,"",""),1)),""."","","",1))"),54.661979)</f>
        <v>54.661979</v>
      </c>
      <c r="Q7836" s="13">
        <f>IFERROR(__xludf.DUMMYFUNCTION("VALUE(SUBSTITUTE((INDEX(SPLIT(A7836,"",""),2)),""."","","",1))"),83.279298)</f>
        <v>83.279298</v>
      </c>
      <c r="R7836" s="14" t="b">
        <f t="shared" si="1"/>
        <v>0</v>
      </c>
      <c r="S7836" s="14" t="str">
        <f t="shared" si="2"/>
        <v>54.661979,83.279298</v>
      </c>
      <c r="T7836" s="12"/>
    </row>
    <row r="7837">
      <c r="A7837" s="22" t="s">
        <v>28387</v>
      </c>
      <c r="B7837" s="16" t="s">
        <v>50204</v>
      </c>
      <c r="C7837" s="16" t="s">
        <v>50205</v>
      </c>
      <c r="D7837" s="16" t="s">
        <v>16</v>
      </c>
      <c r="E7837" s="21" t="s">
        <v>50206</v>
      </c>
      <c r="F7837" s="22" t="s">
        <v>9648</v>
      </c>
      <c r="G7837" s="16">
        <v>23.61</v>
      </c>
      <c r="H7837" s="16"/>
      <c r="I7837" s="22"/>
      <c r="J7837" s="22" t="s">
        <v>50207</v>
      </c>
      <c r="K7837" s="22" t="s">
        <v>50208</v>
      </c>
      <c r="L7837" s="23" t="s">
        <v>50209</v>
      </c>
      <c r="M7837" s="22"/>
      <c r="N7837" s="12"/>
      <c r="O7837" s="12"/>
      <c r="P7837" s="13">
        <f>IFERROR(__xludf.DUMMYFUNCTION("VALUE(SUBSTITUTE((INDEX(SPLIT(A7837,"",""),1)),""."","","",1))"),54.611867)</f>
        <v>54.611867</v>
      </c>
      <c r="Q7837" s="13">
        <f>IFERROR(__xludf.DUMMYFUNCTION("VALUE(SUBSTITUTE((INDEX(SPLIT(A7837,"",""),2)),""."","","",1))"),83.298135)</f>
        <v>83.298135</v>
      </c>
      <c r="R7837" s="14" t="b">
        <f t="shared" si="1"/>
        <v>0</v>
      </c>
      <c r="S7837" s="14" t="str">
        <f t="shared" si="2"/>
        <v>54.611867,83.298135</v>
      </c>
      <c r="T7837" s="12"/>
    </row>
    <row r="7838">
      <c r="A7838" s="10" t="s">
        <v>28395</v>
      </c>
      <c r="B7838" s="8" t="s">
        <v>130</v>
      </c>
      <c r="C7838" s="8" t="s">
        <v>131</v>
      </c>
      <c r="D7838" s="8" t="s">
        <v>16</v>
      </c>
      <c r="E7838" s="9" t="s">
        <v>50210</v>
      </c>
      <c r="F7838" s="10" t="s">
        <v>9648</v>
      </c>
      <c r="G7838" s="8">
        <v>23.61</v>
      </c>
      <c r="H7838" s="8"/>
      <c r="I7838" s="10"/>
      <c r="J7838" s="10" t="s">
        <v>50211</v>
      </c>
      <c r="K7838" s="10" t="s">
        <v>50212</v>
      </c>
      <c r="L7838" s="11" t="s">
        <v>50213</v>
      </c>
      <c r="M7838" s="10"/>
      <c r="N7838" s="12"/>
      <c r="O7838" s="12"/>
      <c r="P7838" s="13">
        <f>IFERROR(__xludf.DUMMYFUNCTION("VALUE(SUBSTITUTE((INDEX(SPLIT(A7838,"",""),1)),""."","","",1))"),54.624176)</f>
        <v>54.624176</v>
      </c>
      <c r="Q7838" s="13">
        <f>IFERROR(__xludf.DUMMYFUNCTION("VALUE(SUBSTITUTE((INDEX(SPLIT(A7838,"",""),2)),""."","","",1))"),83.301082)</f>
        <v>83.301082</v>
      </c>
      <c r="R7838" s="14" t="b">
        <f t="shared" si="1"/>
        <v>0</v>
      </c>
      <c r="S7838" s="14" t="str">
        <f t="shared" si="2"/>
        <v>54.624176,83.301082</v>
      </c>
      <c r="T7838" s="12"/>
    </row>
    <row r="7839">
      <c r="A7839" s="22" t="s">
        <v>28402</v>
      </c>
      <c r="B7839" s="16" t="s">
        <v>50214</v>
      </c>
      <c r="C7839" s="16" t="s">
        <v>50215</v>
      </c>
      <c r="D7839" s="16" t="s">
        <v>16</v>
      </c>
      <c r="E7839" s="21" t="s">
        <v>50216</v>
      </c>
      <c r="F7839" s="22" t="s">
        <v>9648</v>
      </c>
      <c r="G7839" s="16">
        <v>23.61</v>
      </c>
      <c r="H7839" s="16"/>
      <c r="I7839" s="22"/>
      <c r="J7839" s="22" t="s">
        <v>50217</v>
      </c>
      <c r="K7839" s="22" t="s">
        <v>50218</v>
      </c>
      <c r="L7839" s="23" t="s">
        <v>50219</v>
      </c>
      <c r="M7839" s="22"/>
      <c r="N7839" s="12"/>
      <c r="O7839" s="12"/>
      <c r="P7839" s="13">
        <f>IFERROR(__xludf.DUMMYFUNCTION("VALUE(SUBSTITUTE((INDEX(SPLIT(A7839,"",""),1)),""."","","",1))"),54.649182)</f>
        <v>54.649182</v>
      </c>
      <c r="Q7839" s="13">
        <f>IFERROR(__xludf.DUMMYFUNCTION("VALUE(SUBSTITUTE((INDEX(SPLIT(A7839,"",""),2)),""."","","",1))"),83.311367)</f>
        <v>83.311367</v>
      </c>
      <c r="R7839" s="14" t="b">
        <f t="shared" si="1"/>
        <v>0</v>
      </c>
      <c r="S7839" s="14" t="str">
        <f t="shared" si="2"/>
        <v>54.649182,83.311367</v>
      </c>
      <c r="T7839" s="12"/>
    </row>
    <row r="7840">
      <c r="A7840" s="10" t="s">
        <v>28409</v>
      </c>
      <c r="B7840" s="8" t="s">
        <v>50220</v>
      </c>
      <c r="C7840" s="8" t="s">
        <v>50221</v>
      </c>
      <c r="D7840" s="8" t="s">
        <v>16</v>
      </c>
      <c r="E7840" s="9" t="s">
        <v>50222</v>
      </c>
      <c r="F7840" s="10" t="s">
        <v>9648</v>
      </c>
      <c r="G7840" s="8">
        <v>23.61</v>
      </c>
      <c r="H7840" s="8"/>
      <c r="I7840" s="10"/>
      <c r="J7840" s="10" t="s">
        <v>50223</v>
      </c>
      <c r="K7840" s="10" t="s">
        <v>50224</v>
      </c>
      <c r="L7840" s="11" t="s">
        <v>50225</v>
      </c>
      <c r="M7840" s="10"/>
      <c r="N7840" s="12"/>
      <c r="O7840" s="12"/>
      <c r="P7840" s="13">
        <f>IFERROR(__xludf.DUMMYFUNCTION("VALUE(SUBSTITUTE((INDEX(SPLIT(A7840,"",""),1)),""."","","",1))"),54.650219)</f>
        <v>54.650219</v>
      </c>
      <c r="Q7840" s="13">
        <f>IFERROR(__xludf.DUMMYFUNCTION("VALUE(SUBSTITUTE((INDEX(SPLIT(A7840,"",""),2)),""."","","",1))"),83.314044)</f>
        <v>83.314044</v>
      </c>
      <c r="R7840" s="14" t="b">
        <f t="shared" si="1"/>
        <v>0</v>
      </c>
      <c r="S7840" s="14" t="str">
        <f t="shared" si="2"/>
        <v>54.650219,83.314044</v>
      </c>
      <c r="T7840" s="12"/>
    </row>
    <row r="7841">
      <c r="A7841" s="16" t="s">
        <v>28416</v>
      </c>
      <c r="B7841" s="16" t="s">
        <v>50226</v>
      </c>
      <c r="C7841" s="16" t="s">
        <v>50227</v>
      </c>
      <c r="D7841" s="16" t="s">
        <v>16</v>
      </c>
      <c r="E7841" s="17" t="s">
        <v>50228</v>
      </c>
      <c r="F7841" s="16" t="s">
        <v>9648</v>
      </c>
      <c r="G7841" s="16">
        <v>23.61</v>
      </c>
      <c r="H7841" s="16"/>
      <c r="I7841" s="16"/>
      <c r="J7841" s="16" t="s">
        <v>50229</v>
      </c>
      <c r="K7841" s="16" t="s">
        <v>50230</v>
      </c>
      <c r="L7841" s="16"/>
      <c r="M7841" s="16"/>
      <c r="N7841" s="12"/>
      <c r="O7841" s="12"/>
      <c r="P7841" s="13">
        <f>IFERROR(__xludf.DUMMYFUNCTION("VALUE(SUBSTITUTE((INDEX(SPLIT(A7841,"",""),1)),""."","","",1))"),54.462236)</f>
        <v>54.462236</v>
      </c>
      <c r="Q7841" s="13">
        <f>IFERROR(__xludf.DUMMYFUNCTION("VALUE(SUBSTITUTE((INDEX(SPLIT(A7841,"",""),2)),""."","","",1))"),83.385559)</f>
        <v>83.385559</v>
      </c>
      <c r="R7841" s="14" t="b">
        <f t="shared" si="1"/>
        <v>0</v>
      </c>
      <c r="S7841" s="14" t="str">
        <f t="shared" si="2"/>
        <v>54.462236,83.385559</v>
      </c>
      <c r="T7841" s="12"/>
    </row>
    <row r="7842">
      <c r="A7842" s="10" t="s">
        <v>28423</v>
      </c>
      <c r="B7842" s="8" t="s">
        <v>50231</v>
      </c>
      <c r="C7842" s="8" t="s">
        <v>50232</v>
      </c>
      <c r="D7842" s="8" t="s">
        <v>16</v>
      </c>
      <c r="E7842" s="9" t="s">
        <v>50233</v>
      </c>
      <c r="F7842" s="10" t="s">
        <v>9648</v>
      </c>
      <c r="G7842" s="8">
        <v>23.61</v>
      </c>
      <c r="H7842" s="8"/>
      <c r="I7842" s="10"/>
      <c r="J7842" s="10" t="s">
        <v>50234</v>
      </c>
      <c r="K7842" s="10" t="s">
        <v>50235</v>
      </c>
      <c r="L7842" s="11" t="s">
        <v>50236</v>
      </c>
      <c r="M7842" s="10"/>
      <c r="N7842" s="12"/>
      <c r="O7842" s="12"/>
      <c r="P7842" s="13">
        <f>IFERROR(__xludf.DUMMYFUNCTION("VALUE(SUBSTITUTE((INDEX(SPLIT(A7842,"",""),1)),""."","","",1))"),55.036184)</f>
        <v>55.036184</v>
      </c>
      <c r="Q7842" s="13">
        <f>IFERROR(__xludf.DUMMYFUNCTION("VALUE(SUBSTITUTE((INDEX(SPLIT(A7842,"",""),2)),""."","","",1))"),83.420261)</f>
        <v>83.420261</v>
      </c>
      <c r="R7842" s="14" t="b">
        <f t="shared" si="1"/>
        <v>0</v>
      </c>
      <c r="S7842" s="14" t="str">
        <f t="shared" si="2"/>
        <v>55.036184,83.420261</v>
      </c>
      <c r="T7842" s="12"/>
    </row>
    <row r="7843">
      <c r="A7843" s="16" t="s">
        <v>28432</v>
      </c>
      <c r="B7843" s="16" t="s">
        <v>50237</v>
      </c>
      <c r="C7843" s="16" t="s">
        <v>50238</v>
      </c>
      <c r="D7843" s="16" t="s">
        <v>16</v>
      </c>
      <c r="E7843" s="17" t="s">
        <v>50239</v>
      </c>
      <c r="F7843" s="16" t="s">
        <v>16731</v>
      </c>
      <c r="G7843" s="16">
        <v>23.61</v>
      </c>
      <c r="H7843" s="16"/>
      <c r="I7843" s="16"/>
      <c r="J7843" s="16" t="s">
        <v>50240</v>
      </c>
      <c r="K7843" s="16" t="s">
        <v>50241</v>
      </c>
      <c r="L7843" s="16"/>
      <c r="M7843" s="25" t="s">
        <v>50242</v>
      </c>
      <c r="N7843" s="12"/>
      <c r="O7843" s="12"/>
      <c r="P7843" s="13">
        <f>IFERROR(__xludf.DUMMYFUNCTION("VALUE(SUBSTITUTE((INDEX(SPLIT(A7843,"",""),1)),""."","","",1))"),53.345387)</f>
        <v>53.345387</v>
      </c>
      <c r="Q7843" s="13">
        <f>IFERROR(__xludf.DUMMYFUNCTION("VALUE(SUBSTITUTE((INDEX(SPLIT(A7843,"",""),2)),""."","","",1))"),83.553877)</f>
        <v>83.553877</v>
      </c>
      <c r="R7843" s="14" t="b">
        <f t="shared" si="1"/>
        <v>0</v>
      </c>
      <c r="S7843" s="14" t="str">
        <f t="shared" si="2"/>
        <v>53.345387,83.553877</v>
      </c>
      <c r="T7843" s="12"/>
    </row>
    <row r="7844">
      <c r="A7844" s="8" t="s">
        <v>28439</v>
      </c>
      <c r="B7844" s="8" t="s">
        <v>50243</v>
      </c>
      <c r="C7844" s="8" t="s">
        <v>50244</v>
      </c>
      <c r="D7844" s="8" t="s">
        <v>16</v>
      </c>
      <c r="E7844" s="19" t="s">
        <v>50245</v>
      </c>
      <c r="F7844" s="8" t="s">
        <v>16731</v>
      </c>
      <c r="G7844" s="8">
        <v>23.61</v>
      </c>
      <c r="H7844" s="8"/>
      <c r="I7844" s="8"/>
      <c r="J7844" s="8" t="s">
        <v>50246</v>
      </c>
      <c r="K7844" s="8" t="s">
        <v>50247</v>
      </c>
      <c r="L7844" s="8"/>
      <c r="M7844" s="8"/>
      <c r="N7844" s="12"/>
      <c r="O7844" s="12"/>
      <c r="P7844" s="13">
        <f>IFERROR(__xludf.DUMMYFUNCTION("VALUE(SUBSTITUTE((INDEX(SPLIT(A7844,"",""),1)),""."","","",1))"),53.288565)</f>
        <v>53.288565</v>
      </c>
      <c r="Q7844" s="13">
        <f>IFERROR(__xludf.DUMMYFUNCTION("VALUE(SUBSTITUTE((INDEX(SPLIT(A7844,"",""),2)),""."","","",1))"),83.567244)</f>
        <v>83.567244</v>
      </c>
      <c r="R7844" s="14" t="b">
        <f t="shared" si="1"/>
        <v>0</v>
      </c>
      <c r="S7844" s="14" t="str">
        <f t="shared" si="2"/>
        <v>53.288565,83.567244</v>
      </c>
      <c r="T7844" s="12"/>
    </row>
    <row r="7845">
      <c r="A7845" s="16" t="s">
        <v>28444</v>
      </c>
      <c r="B7845" s="16" t="s">
        <v>50248</v>
      </c>
      <c r="C7845" s="16" t="s">
        <v>50249</v>
      </c>
      <c r="D7845" s="16" t="s">
        <v>16</v>
      </c>
      <c r="E7845" s="17" t="s">
        <v>50250</v>
      </c>
      <c r="F7845" s="16" t="s">
        <v>16731</v>
      </c>
      <c r="G7845" s="16">
        <v>23.61</v>
      </c>
      <c r="H7845" s="16"/>
      <c r="I7845" s="16"/>
      <c r="J7845" s="16" t="s">
        <v>50251</v>
      </c>
      <c r="K7845" s="16" t="s">
        <v>50252</v>
      </c>
      <c r="L7845" s="16"/>
      <c r="M7845" s="16"/>
      <c r="N7845" s="12"/>
      <c r="O7845" s="12"/>
      <c r="P7845" s="13">
        <f>IFERROR(__xludf.DUMMYFUNCTION("VALUE(SUBSTITUTE((INDEX(SPLIT(A7845,"",""),1)),""."","","",1))"),53.340688)</f>
        <v>53.340688</v>
      </c>
      <c r="Q7845" s="13">
        <f>IFERROR(__xludf.DUMMYFUNCTION("VALUE(SUBSTITUTE((INDEX(SPLIT(A7845,"",""),2)),""."","","",1))"),83.610363)</f>
        <v>83.610363</v>
      </c>
      <c r="R7845" s="14" t="b">
        <f t="shared" si="1"/>
        <v>0</v>
      </c>
      <c r="S7845" s="14" t="str">
        <f t="shared" si="2"/>
        <v>53.340688,83.610363</v>
      </c>
      <c r="T7845" s="12"/>
    </row>
    <row r="7846">
      <c r="A7846" s="10" t="s">
        <v>28450</v>
      </c>
      <c r="B7846" s="8" t="s">
        <v>50253</v>
      </c>
      <c r="C7846" s="8" t="s">
        <v>50254</v>
      </c>
      <c r="D7846" s="8" t="s">
        <v>16</v>
      </c>
      <c r="E7846" s="9" t="s">
        <v>50255</v>
      </c>
      <c r="F7846" s="10" t="s">
        <v>16731</v>
      </c>
      <c r="G7846" s="8">
        <v>23.61</v>
      </c>
      <c r="H7846" s="8"/>
      <c r="I7846" s="10"/>
      <c r="J7846" s="10" t="s">
        <v>50256</v>
      </c>
      <c r="K7846" s="10" t="s">
        <v>50257</v>
      </c>
      <c r="L7846" s="11" t="s">
        <v>50258</v>
      </c>
      <c r="M7846" s="10"/>
      <c r="N7846" s="12"/>
      <c r="O7846" s="12"/>
      <c r="P7846" s="13">
        <f>IFERROR(__xludf.DUMMYFUNCTION("VALUE(SUBSTITUTE((INDEX(SPLIT(A7846,"",""),1)),""."","","",1))"),53.344156)</f>
        <v>53.344156</v>
      </c>
      <c r="Q7846" s="13">
        <f>IFERROR(__xludf.DUMMYFUNCTION("VALUE(SUBSTITUTE((INDEX(SPLIT(A7846,"",""),2)),""."","","",1))"),83.610812)</f>
        <v>83.610812</v>
      </c>
      <c r="R7846" s="14" t="b">
        <f t="shared" si="1"/>
        <v>0</v>
      </c>
      <c r="S7846" s="14" t="str">
        <f t="shared" si="2"/>
        <v>53.344156,83.610812</v>
      </c>
      <c r="T7846" s="12"/>
    </row>
    <row r="7847">
      <c r="A7847" s="22" t="s">
        <v>28456</v>
      </c>
      <c r="B7847" s="16" t="s">
        <v>50259</v>
      </c>
      <c r="C7847" s="16" t="s">
        <v>50260</v>
      </c>
      <c r="D7847" s="16" t="s">
        <v>16</v>
      </c>
      <c r="E7847" s="21" t="s">
        <v>50261</v>
      </c>
      <c r="F7847" s="22" t="s">
        <v>16731</v>
      </c>
      <c r="G7847" s="16">
        <v>23.61</v>
      </c>
      <c r="H7847" s="16"/>
      <c r="I7847" s="22"/>
      <c r="J7847" s="22" t="s">
        <v>50262</v>
      </c>
      <c r="K7847" s="22" t="s">
        <v>50263</v>
      </c>
      <c r="L7847" s="23" t="s">
        <v>50264</v>
      </c>
      <c r="M7847" s="22"/>
      <c r="N7847" s="12"/>
      <c r="O7847" s="12"/>
      <c r="P7847" s="13">
        <f>IFERROR(__xludf.DUMMYFUNCTION("VALUE(SUBSTITUTE((INDEX(SPLIT(A7847,"",""),1)),""."","","",1))"),53.325137)</f>
        <v>53.325137</v>
      </c>
      <c r="Q7847" s="13">
        <f>IFERROR(__xludf.DUMMYFUNCTION("VALUE(SUBSTITUTE((INDEX(SPLIT(A7847,"",""),2)),""."","","",1))"),83.610857)</f>
        <v>83.610857</v>
      </c>
      <c r="R7847" s="14" t="b">
        <f t="shared" si="1"/>
        <v>0</v>
      </c>
      <c r="S7847" s="14" t="str">
        <f t="shared" si="2"/>
        <v>53.325137,83.610857</v>
      </c>
      <c r="T7847" s="12"/>
    </row>
    <row r="7848">
      <c r="A7848" s="10" t="s">
        <v>28456</v>
      </c>
      <c r="B7848" s="8" t="s">
        <v>50265</v>
      </c>
      <c r="C7848" s="8" t="s">
        <v>50266</v>
      </c>
      <c r="D7848" s="8" t="s">
        <v>16</v>
      </c>
      <c r="E7848" s="9" t="s">
        <v>50267</v>
      </c>
      <c r="F7848" s="10" t="s">
        <v>16731</v>
      </c>
      <c r="G7848" s="8">
        <v>23.61</v>
      </c>
      <c r="H7848" s="8"/>
      <c r="I7848" s="10"/>
      <c r="J7848" s="10" t="s">
        <v>50268</v>
      </c>
      <c r="K7848" s="10" t="s">
        <v>50269</v>
      </c>
      <c r="L7848" s="11" t="s">
        <v>50270</v>
      </c>
      <c r="M7848" s="10"/>
      <c r="N7848" s="12"/>
      <c r="O7848" s="12"/>
      <c r="P7848" s="13">
        <f>IFERROR(__xludf.DUMMYFUNCTION("VALUE(SUBSTITUTE((INDEX(SPLIT(A7848,"",""),1)),""."","","",1))"),53.325137)</f>
        <v>53.325137</v>
      </c>
      <c r="Q7848" s="13">
        <f>IFERROR(__xludf.DUMMYFUNCTION("VALUE(SUBSTITUTE((INDEX(SPLIT(A7848,"",""),2)),""."","","",1))"),83.610857)</f>
        <v>83.610857</v>
      </c>
      <c r="R7848" s="14" t="b">
        <f t="shared" si="1"/>
        <v>0</v>
      </c>
      <c r="S7848" s="14" t="str">
        <f t="shared" si="2"/>
        <v>53.325137,83.610857</v>
      </c>
      <c r="T7848" s="12"/>
    </row>
    <row r="7849">
      <c r="A7849" s="22" t="s">
        <v>28469</v>
      </c>
      <c r="B7849" s="16" t="s">
        <v>1840</v>
      </c>
      <c r="C7849" s="16" t="s">
        <v>1841</v>
      </c>
      <c r="D7849" s="16" t="s">
        <v>16</v>
      </c>
      <c r="E7849" s="21" t="s">
        <v>50271</v>
      </c>
      <c r="F7849" s="22" t="s">
        <v>16731</v>
      </c>
      <c r="G7849" s="16">
        <v>23.61</v>
      </c>
      <c r="H7849" s="16"/>
      <c r="I7849" s="22"/>
      <c r="J7849" s="22" t="s">
        <v>50272</v>
      </c>
      <c r="K7849" s="22" t="s">
        <v>50273</v>
      </c>
      <c r="L7849" s="23" t="s">
        <v>50274</v>
      </c>
      <c r="M7849" s="22"/>
      <c r="N7849" s="12"/>
      <c r="O7849" s="12"/>
      <c r="P7849" s="13">
        <f>IFERROR(__xludf.DUMMYFUNCTION("VALUE(SUBSTITUTE((INDEX(SPLIT(A7849,"",""),1)),""."","","",1))"),53.324987)</f>
        <v>53.324987</v>
      </c>
      <c r="Q7849" s="13">
        <f>IFERROR(__xludf.DUMMYFUNCTION("VALUE(SUBSTITUTE((INDEX(SPLIT(A7849,"",""),2)),""."","","",1))"),83.614405)</f>
        <v>83.614405</v>
      </c>
      <c r="R7849" s="14" t="b">
        <f t="shared" si="1"/>
        <v>0</v>
      </c>
      <c r="S7849" s="14" t="str">
        <f t="shared" si="2"/>
        <v>53.324987,83.614405</v>
      </c>
      <c r="T7849" s="12"/>
    </row>
    <row r="7850">
      <c r="A7850" s="8" t="s">
        <v>28476</v>
      </c>
      <c r="B7850" s="8" t="s">
        <v>50275</v>
      </c>
      <c r="C7850" s="8" t="s">
        <v>50276</v>
      </c>
      <c r="D7850" s="8" t="s">
        <v>16</v>
      </c>
      <c r="E7850" s="19" t="s">
        <v>50277</v>
      </c>
      <c r="F7850" s="8" t="s">
        <v>16731</v>
      </c>
      <c r="G7850" s="8">
        <v>23.61</v>
      </c>
      <c r="H7850" s="8"/>
      <c r="I7850" s="8"/>
      <c r="J7850" s="8" t="s">
        <v>50278</v>
      </c>
      <c r="K7850" s="8" t="s">
        <v>50279</v>
      </c>
      <c r="L7850" s="8"/>
      <c r="M7850" s="24" t="s">
        <v>50280</v>
      </c>
      <c r="N7850" s="12"/>
      <c r="O7850" s="12"/>
      <c r="P7850" s="13">
        <f>IFERROR(__xludf.DUMMYFUNCTION("VALUE(SUBSTITUTE((INDEX(SPLIT(A7850,"",""),1)),""."","","",1))"),53.328106)</f>
        <v>53.328106</v>
      </c>
      <c r="Q7850" s="13">
        <f>IFERROR(__xludf.DUMMYFUNCTION("VALUE(SUBSTITUTE((INDEX(SPLIT(A7850,"",""),2)),""."","","",1))"),83.619067)</f>
        <v>83.619067</v>
      </c>
      <c r="R7850" s="14" t="b">
        <f t="shared" si="1"/>
        <v>0</v>
      </c>
      <c r="S7850" s="14" t="str">
        <f t="shared" si="2"/>
        <v>53.328106,83.619067</v>
      </c>
      <c r="T7850" s="12"/>
    </row>
    <row r="7851">
      <c r="A7851" s="16" t="s">
        <v>28483</v>
      </c>
      <c r="B7851" s="16" t="s">
        <v>50281</v>
      </c>
      <c r="C7851" s="16" t="s">
        <v>50282</v>
      </c>
      <c r="D7851" s="16" t="s">
        <v>16</v>
      </c>
      <c r="E7851" s="17" t="s">
        <v>50283</v>
      </c>
      <c r="F7851" s="16" t="s">
        <v>16731</v>
      </c>
      <c r="G7851" s="16">
        <v>23.61</v>
      </c>
      <c r="H7851" s="16"/>
      <c r="I7851" s="16"/>
      <c r="J7851" s="16" t="s">
        <v>50284</v>
      </c>
      <c r="K7851" s="16" t="s">
        <v>26963</v>
      </c>
      <c r="L7851" s="16"/>
      <c r="M7851" s="16"/>
      <c r="N7851" s="12"/>
      <c r="O7851" s="12"/>
      <c r="P7851" s="13">
        <f>IFERROR(__xludf.DUMMYFUNCTION("VALUE(SUBSTITUTE((INDEX(SPLIT(A7851,"",""),1)),""."","","",1))"),53.306917)</f>
        <v>53.306917</v>
      </c>
      <c r="Q7851" s="13">
        <f>IFERROR(__xludf.DUMMYFUNCTION("VALUE(SUBSTITUTE((INDEX(SPLIT(A7851,"",""),2)),""."","","",1))"),83.619597)</f>
        <v>83.619597</v>
      </c>
      <c r="R7851" s="14" t="b">
        <f t="shared" si="1"/>
        <v>0</v>
      </c>
      <c r="S7851" s="14" t="str">
        <f t="shared" si="2"/>
        <v>53.306917,83.619597</v>
      </c>
      <c r="T7851" s="12"/>
    </row>
    <row r="7852">
      <c r="A7852" s="8" t="s">
        <v>28491</v>
      </c>
      <c r="B7852" s="8" t="s">
        <v>50285</v>
      </c>
      <c r="C7852" s="8" t="s">
        <v>50286</v>
      </c>
      <c r="D7852" s="8" t="s">
        <v>16</v>
      </c>
      <c r="E7852" s="19" t="s">
        <v>50287</v>
      </c>
      <c r="F7852" s="8" t="s">
        <v>16731</v>
      </c>
      <c r="G7852" s="8">
        <v>23.61</v>
      </c>
      <c r="H7852" s="8"/>
      <c r="I7852" s="8"/>
      <c r="J7852" s="8" t="s">
        <v>50288</v>
      </c>
      <c r="K7852" s="8" t="s">
        <v>50289</v>
      </c>
      <c r="L7852" s="8"/>
      <c r="M7852" s="8"/>
      <c r="N7852" s="12"/>
      <c r="O7852" s="12"/>
      <c r="P7852" s="13">
        <f>IFERROR(__xludf.DUMMYFUNCTION("VALUE(SUBSTITUTE((INDEX(SPLIT(A7852,"",""),1)),""."","","",1))"),53.308225)</f>
        <v>53.308225</v>
      </c>
      <c r="Q7852" s="13">
        <f>IFERROR(__xludf.DUMMYFUNCTION("VALUE(SUBSTITUTE((INDEX(SPLIT(A7852,"",""),2)),""."","","",1))"),83.6239)</f>
        <v>83.6239</v>
      </c>
      <c r="R7852" s="14" t="b">
        <f t="shared" si="1"/>
        <v>0</v>
      </c>
      <c r="S7852" s="14" t="str">
        <f t="shared" si="2"/>
        <v>53.308225,83.6239</v>
      </c>
      <c r="T7852" s="12"/>
    </row>
    <row r="7853">
      <c r="A7853" s="22" t="s">
        <v>28491</v>
      </c>
      <c r="B7853" s="16" t="s">
        <v>50290</v>
      </c>
      <c r="C7853" s="16" t="s">
        <v>50291</v>
      </c>
      <c r="D7853" s="16" t="s">
        <v>16</v>
      </c>
      <c r="E7853" s="21" t="s">
        <v>50292</v>
      </c>
      <c r="F7853" s="22" t="s">
        <v>16731</v>
      </c>
      <c r="G7853" s="16">
        <v>23.61</v>
      </c>
      <c r="H7853" s="16"/>
      <c r="I7853" s="22"/>
      <c r="J7853" s="22" t="s">
        <v>50293</v>
      </c>
      <c r="K7853" s="22" t="s">
        <v>24499</v>
      </c>
      <c r="L7853" s="23" t="s">
        <v>24500</v>
      </c>
      <c r="M7853" s="22"/>
      <c r="N7853" s="12"/>
      <c r="O7853" s="12"/>
      <c r="P7853" s="13">
        <f>IFERROR(__xludf.DUMMYFUNCTION("VALUE(SUBSTITUTE((INDEX(SPLIT(A7853,"",""),1)),""."","","",1))"),53.308225)</f>
        <v>53.308225</v>
      </c>
      <c r="Q7853" s="13">
        <f>IFERROR(__xludf.DUMMYFUNCTION("VALUE(SUBSTITUTE((INDEX(SPLIT(A7853,"",""),2)),""."","","",1))"),83.6239)</f>
        <v>83.6239</v>
      </c>
      <c r="R7853" s="14" t="b">
        <f t="shared" si="1"/>
        <v>0</v>
      </c>
      <c r="S7853" s="14" t="str">
        <f t="shared" si="2"/>
        <v>53.308225,83.6239</v>
      </c>
      <c r="T7853" s="12"/>
    </row>
    <row r="7854">
      <c r="A7854" s="8" t="s">
        <v>28504</v>
      </c>
      <c r="B7854" s="8" t="s">
        <v>50294</v>
      </c>
      <c r="C7854" s="8" t="s">
        <v>50295</v>
      </c>
      <c r="D7854" s="8" t="s">
        <v>16</v>
      </c>
      <c r="E7854" s="19" t="s">
        <v>50296</v>
      </c>
      <c r="F7854" s="8" t="s">
        <v>16731</v>
      </c>
      <c r="G7854" s="8">
        <v>23.61</v>
      </c>
      <c r="H7854" s="8"/>
      <c r="I7854" s="8"/>
      <c r="J7854" s="8" t="s">
        <v>50297</v>
      </c>
      <c r="K7854" s="8" t="s">
        <v>50298</v>
      </c>
      <c r="L7854" s="8"/>
      <c r="M7854" s="24" t="s">
        <v>50299</v>
      </c>
      <c r="N7854" s="12"/>
      <c r="O7854" s="12"/>
      <c r="P7854" s="13">
        <f>IFERROR(__xludf.DUMMYFUNCTION("VALUE(SUBSTITUTE((INDEX(SPLIT(A7854,"",""),1)),""."","","",1))"),53.310204)</f>
        <v>53.310204</v>
      </c>
      <c r="Q7854" s="13">
        <f>IFERROR(__xludf.DUMMYFUNCTION("VALUE(SUBSTITUTE((INDEX(SPLIT(A7854,"",""),2)),""."","","",1))"),83.625526)</f>
        <v>83.625526</v>
      </c>
      <c r="R7854" s="14" t="b">
        <f t="shared" si="1"/>
        <v>0</v>
      </c>
      <c r="S7854" s="14" t="str">
        <f t="shared" si="2"/>
        <v>53.310204,83.625526</v>
      </c>
      <c r="T7854" s="12"/>
    </row>
    <row r="7855">
      <c r="A7855" s="8" t="s">
        <v>28517</v>
      </c>
      <c r="B7855" s="8" t="s">
        <v>50300</v>
      </c>
      <c r="C7855" s="8" t="s">
        <v>50301</v>
      </c>
      <c r="D7855" s="8" t="s">
        <v>16</v>
      </c>
      <c r="E7855" s="19" t="s">
        <v>50302</v>
      </c>
      <c r="F7855" s="8" t="s">
        <v>16731</v>
      </c>
      <c r="G7855" s="8">
        <v>23.61</v>
      </c>
      <c r="H7855" s="8"/>
      <c r="I7855" s="8"/>
      <c r="J7855" s="8" t="s">
        <v>50303</v>
      </c>
      <c r="K7855" s="8" t="s">
        <v>50304</v>
      </c>
      <c r="L7855" s="8"/>
      <c r="M7855" s="8"/>
      <c r="N7855" s="12"/>
      <c r="O7855" s="12"/>
      <c r="P7855" s="13">
        <f>IFERROR(__xludf.DUMMYFUNCTION("VALUE(SUBSTITUTE((INDEX(SPLIT(A7855,"",""),1)),""."","","",1))"),53.321313)</f>
        <v>53.321313</v>
      </c>
      <c r="Q7855" s="13">
        <f>IFERROR(__xludf.DUMMYFUNCTION("VALUE(SUBSTITUTE((INDEX(SPLIT(A7855,"",""),2)),""."","","",1))"),83.633198)</f>
        <v>83.633198</v>
      </c>
      <c r="R7855" s="14" t="b">
        <f t="shared" si="1"/>
        <v>0</v>
      </c>
      <c r="S7855" s="14" t="str">
        <f t="shared" si="2"/>
        <v>53.321313,83.633198</v>
      </c>
      <c r="T7855" s="12"/>
    </row>
    <row r="7856">
      <c r="A7856" s="22" t="s">
        <v>28522</v>
      </c>
      <c r="B7856" s="16" t="s">
        <v>50305</v>
      </c>
      <c r="C7856" s="16" t="s">
        <v>50306</v>
      </c>
      <c r="D7856" s="16" t="s">
        <v>16</v>
      </c>
      <c r="E7856" s="21" t="s">
        <v>50307</v>
      </c>
      <c r="F7856" s="22" t="s">
        <v>16731</v>
      </c>
      <c r="G7856" s="16">
        <v>23.61</v>
      </c>
      <c r="H7856" s="16"/>
      <c r="I7856" s="22"/>
      <c r="J7856" s="22" t="s">
        <v>50308</v>
      </c>
      <c r="K7856" s="22" t="s">
        <v>50309</v>
      </c>
      <c r="L7856" s="23" t="s">
        <v>50310</v>
      </c>
      <c r="M7856" s="22"/>
      <c r="N7856" s="12"/>
      <c r="O7856" s="12"/>
      <c r="P7856" s="13">
        <f>IFERROR(__xludf.DUMMYFUNCTION("VALUE(SUBSTITUTE((INDEX(SPLIT(A7856,"",""),1)),""."","","",1))"),53.307057)</f>
        <v>53.307057</v>
      </c>
      <c r="Q7856" s="13">
        <f>IFERROR(__xludf.DUMMYFUNCTION("VALUE(SUBSTITUTE((INDEX(SPLIT(A7856,"",""),2)),""."","","",1))"),83.633611)</f>
        <v>83.633611</v>
      </c>
      <c r="R7856" s="14" t="b">
        <f t="shared" si="1"/>
        <v>0</v>
      </c>
      <c r="S7856" s="14" t="str">
        <f t="shared" si="2"/>
        <v>53.307057,83.633611</v>
      </c>
      <c r="T7856" s="12"/>
    </row>
    <row r="7857">
      <c r="A7857" s="10" t="s">
        <v>28528</v>
      </c>
      <c r="B7857" s="8" t="s">
        <v>50311</v>
      </c>
      <c r="C7857" s="8" t="s">
        <v>50312</v>
      </c>
      <c r="D7857" s="8" t="s">
        <v>16</v>
      </c>
      <c r="E7857" s="9" t="s">
        <v>50313</v>
      </c>
      <c r="F7857" s="10" t="s">
        <v>16731</v>
      </c>
      <c r="G7857" s="8">
        <v>23.61</v>
      </c>
      <c r="H7857" s="8"/>
      <c r="I7857" s="10"/>
      <c r="J7857" s="10" t="s">
        <v>50314</v>
      </c>
      <c r="K7857" s="10" t="s">
        <v>50315</v>
      </c>
      <c r="L7857" s="11" t="s">
        <v>50316</v>
      </c>
      <c r="M7857" s="11" t="s">
        <v>50317</v>
      </c>
      <c r="N7857" s="12"/>
      <c r="O7857" s="12"/>
      <c r="P7857" s="13">
        <f>IFERROR(__xludf.DUMMYFUNCTION("VALUE(SUBSTITUTE((INDEX(SPLIT(A7857,"",""),1)),""."","","",1))"),53.321932)</f>
        <v>53.321932</v>
      </c>
      <c r="Q7857" s="13">
        <f>IFERROR(__xludf.DUMMYFUNCTION("VALUE(SUBSTITUTE((INDEX(SPLIT(A7857,"",""),2)),""."","","",1))"),83.634141)</f>
        <v>83.634141</v>
      </c>
      <c r="R7857" s="14" t="b">
        <f t="shared" si="1"/>
        <v>0</v>
      </c>
      <c r="S7857" s="14" t="str">
        <f t="shared" si="2"/>
        <v>53.321932,83.634141</v>
      </c>
      <c r="T7857" s="12"/>
    </row>
    <row r="7858">
      <c r="A7858" s="22" t="s">
        <v>28528</v>
      </c>
      <c r="B7858" s="16" t="s">
        <v>50318</v>
      </c>
      <c r="C7858" s="16" t="s">
        <v>50319</v>
      </c>
      <c r="D7858" s="16" t="s">
        <v>16</v>
      </c>
      <c r="E7858" s="21" t="s">
        <v>50320</v>
      </c>
      <c r="F7858" s="22" t="s">
        <v>16731</v>
      </c>
      <c r="G7858" s="16">
        <v>23.61</v>
      </c>
      <c r="H7858" s="16"/>
      <c r="I7858" s="22"/>
      <c r="J7858" s="22" t="s">
        <v>50321</v>
      </c>
      <c r="K7858" s="22" t="s">
        <v>50322</v>
      </c>
      <c r="L7858" s="23" t="s">
        <v>50323</v>
      </c>
      <c r="M7858" s="22"/>
      <c r="N7858" s="12"/>
      <c r="O7858" s="12"/>
      <c r="P7858" s="13">
        <f>IFERROR(__xludf.DUMMYFUNCTION("VALUE(SUBSTITUTE((INDEX(SPLIT(A7858,"",""),1)),""."","","",1))"),53.321932)</f>
        <v>53.321932</v>
      </c>
      <c r="Q7858" s="13">
        <f>IFERROR(__xludf.DUMMYFUNCTION("VALUE(SUBSTITUTE((INDEX(SPLIT(A7858,"",""),2)),""."","","",1))"),83.634141)</f>
        <v>83.634141</v>
      </c>
      <c r="R7858" s="14" t="b">
        <f t="shared" si="1"/>
        <v>0</v>
      </c>
      <c r="S7858" s="14" t="str">
        <f t="shared" si="2"/>
        <v>53.321932,83.634141</v>
      </c>
      <c r="T7858" s="12"/>
    </row>
    <row r="7859">
      <c r="A7859" s="10" t="s">
        <v>28542</v>
      </c>
      <c r="B7859" s="8" t="s">
        <v>50324</v>
      </c>
      <c r="C7859" s="8" t="s">
        <v>50325</v>
      </c>
      <c r="D7859" s="8" t="s">
        <v>16</v>
      </c>
      <c r="E7859" s="9" t="s">
        <v>50326</v>
      </c>
      <c r="F7859" s="10" t="s">
        <v>16731</v>
      </c>
      <c r="G7859" s="8">
        <v>23.61</v>
      </c>
      <c r="H7859" s="8"/>
      <c r="I7859" s="10"/>
      <c r="J7859" s="10" t="s">
        <v>50327</v>
      </c>
      <c r="K7859" s="10" t="s">
        <v>50328</v>
      </c>
      <c r="L7859" s="11" t="s">
        <v>50329</v>
      </c>
      <c r="M7859" s="10"/>
      <c r="N7859" s="12"/>
      <c r="O7859" s="12"/>
      <c r="P7859" s="13">
        <f>IFERROR(__xludf.DUMMYFUNCTION("VALUE(SUBSTITUTE((INDEX(SPLIT(A7859,"",""),1)),""."","","",1))"),53.332451)</f>
        <v>53.332451</v>
      </c>
      <c r="Q7859" s="13">
        <f>IFERROR(__xludf.DUMMYFUNCTION("VALUE(SUBSTITUTE((INDEX(SPLIT(A7859,"",""),2)),""."","","",1))"),83.636333)</f>
        <v>83.636333</v>
      </c>
      <c r="R7859" s="14" t="b">
        <f t="shared" si="1"/>
        <v>0</v>
      </c>
      <c r="S7859" s="14" t="str">
        <f t="shared" si="2"/>
        <v>53.332451,83.636333</v>
      </c>
      <c r="T7859" s="12"/>
    </row>
    <row r="7860">
      <c r="A7860" s="22" t="s">
        <v>28542</v>
      </c>
      <c r="B7860" s="16" t="s">
        <v>50330</v>
      </c>
      <c r="C7860" s="16" t="s">
        <v>50331</v>
      </c>
      <c r="D7860" s="16" t="s">
        <v>16</v>
      </c>
      <c r="E7860" s="21" t="s">
        <v>50332</v>
      </c>
      <c r="F7860" s="22" t="s">
        <v>16731</v>
      </c>
      <c r="G7860" s="16">
        <v>23.61</v>
      </c>
      <c r="H7860" s="16"/>
      <c r="I7860" s="22"/>
      <c r="J7860" s="22" t="s">
        <v>50333</v>
      </c>
      <c r="K7860" s="22" t="s">
        <v>50334</v>
      </c>
      <c r="L7860" s="23" t="s">
        <v>50335</v>
      </c>
      <c r="M7860" s="22"/>
      <c r="N7860" s="12"/>
      <c r="O7860" s="12"/>
      <c r="P7860" s="13">
        <f>IFERROR(__xludf.DUMMYFUNCTION("VALUE(SUBSTITUTE((INDEX(SPLIT(A7860,"",""),1)),""."","","",1))"),53.332451)</f>
        <v>53.332451</v>
      </c>
      <c r="Q7860" s="13">
        <f>IFERROR(__xludf.DUMMYFUNCTION("VALUE(SUBSTITUTE((INDEX(SPLIT(A7860,"",""),2)),""."","","",1))"),83.636333)</f>
        <v>83.636333</v>
      </c>
      <c r="R7860" s="14" t="b">
        <f t="shared" si="1"/>
        <v>0</v>
      </c>
      <c r="S7860" s="14" t="str">
        <f t="shared" si="2"/>
        <v>53.332451,83.636333</v>
      </c>
      <c r="T7860" s="12"/>
    </row>
    <row r="7861">
      <c r="A7861" s="8" t="s">
        <v>28555</v>
      </c>
      <c r="B7861" s="8" t="s">
        <v>50336</v>
      </c>
      <c r="C7861" s="8" t="s">
        <v>50337</v>
      </c>
      <c r="D7861" s="8" t="s">
        <v>16</v>
      </c>
      <c r="E7861" s="19" t="s">
        <v>50338</v>
      </c>
      <c r="F7861" s="8" t="s">
        <v>16731</v>
      </c>
      <c r="G7861" s="8">
        <v>23.61</v>
      </c>
      <c r="H7861" s="8"/>
      <c r="I7861" s="8"/>
      <c r="J7861" s="8" t="s">
        <v>50339</v>
      </c>
      <c r="K7861" s="8" t="s">
        <v>50340</v>
      </c>
      <c r="L7861" s="8"/>
      <c r="M7861" s="24" t="s">
        <v>50341</v>
      </c>
      <c r="N7861" s="12"/>
      <c r="O7861" s="12"/>
      <c r="P7861" s="13">
        <f>IFERROR(__xludf.DUMMYFUNCTION("VALUE(SUBSTITUTE((INDEX(SPLIT(A7861,"",""),1)),""."","","",1))"),53.306433)</f>
        <v>53.306433</v>
      </c>
      <c r="Q7861" s="13">
        <f>IFERROR(__xludf.DUMMYFUNCTION("VALUE(SUBSTITUTE((INDEX(SPLIT(A7861,"",""),2)),""."","","",1))"),83.638812)</f>
        <v>83.638812</v>
      </c>
      <c r="R7861" s="14" t="b">
        <f t="shared" si="1"/>
        <v>0</v>
      </c>
      <c r="S7861" s="14" t="str">
        <f t="shared" si="2"/>
        <v>53.306433,83.638812</v>
      </c>
      <c r="T7861" s="12"/>
    </row>
    <row r="7862">
      <c r="A7862" s="16" t="s">
        <v>28561</v>
      </c>
      <c r="B7862" s="16" t="s">
        <v>50342</v>
      </c>
      <c r="C7862" s="16" t="s">
        <v>50343</v>
      </c>
      <c r="D7862" s="16" t="s">
        <v>16</v>
      </c>
      <c r="E7862" s="17" t="s">
        <v>50344</v>
      </c>
      <c r="F7862" s="16" t="s">
        <v>16731</v>
      </c>
      <c r="G7862" s="16">
        <v>23.61</v>
      </c>
      <c r="H7862" s="16"/>
      <c r="I7862" s="16"/>
      <c r="J7862" s="16" t="s">
        <v>50345</v>
      </c>
      <c r="K7862" s="16" t="s">
        <v>50346</v>
      </c>
      <c r="L7862" s="16"/>
      <c r="M7862" s="25" t="s">
        <v>50347</v>
      </c>
      <c r="N7862" s="12"/>
      <c r="O7862" s="12"/>
      <c r="P7862" s="13">
        <f>IFERROR(__xludf.DUMMYFUNCTION("VALUE(SUBSTITUTE((INDEX(SPLIT(A7862,"",""),1)),""."","","",1))"),53.345005)</f>
        <v>53.345005</v>
      </c>
      <c r="Q7862" s="13">
        <f>IFERROR(__xludf.DUMMYFUNCTION("VALUE(SUBSTITUTE((INDEX(SPLIT(A7862,"",""),2)),""."","","",1))"),83.655207)</f>
        <v>83.655207</v>
      </c>
      <c r="R7862" s="14" t="b">
        <f t="shared" si="1"/>
        <v>0</v>
      </c>
      <c r="S7862" s="14" t="str">
        <f t="shared" si="2"/>
        <v>53.345005,83.655207</v>
      </c>
      <c r="T7862" s="12"/>
    </row>
    <row r="7863">
      <c r="A7863" s="8" t="s">
        <v>28568</v>
      </c>
      <c r="B7863" s="8" t="s">
        <v>50348</v>
      </c>
      <c r="C7863" s="8" t="s">
        <v>50349</v>
      </c>
      <c r="D7863" s="8" t="s">
        <v>16</v>
      </c>
      <c r="E7863" s="19" t="s">
        <v>50350</v>
      </c>
      <c r="F7863" s="8" t="s">
        <v>16731</v>
      </c>
      <c r="G7863" s="8">
        <v>23.61</v>
      </c>
      <c r="H7863" s="8"/>
      <c r="I7863" s="8"/>
      <c r="J7863" s="8" t="s">
        <v>50351</v>
      </c>
      <c r="K7863" s="8" t="s">
        <v>50352</v>
      </c>
      <c r="L7863" s="8"/>
      <c r="M7863" s="24" t="s">
        <v>50353</v>
      </c>
      <c r="N7863" s="12"/>
      <c r="O7863" s="12"/>
      <c r="P7863" s="13">
        <f>IFERROR(__xludf.DUMMYFUNCTION("VALUE(SUBSTITUTE((INDEX(SPLIT(A7863,"",""),1)),""."","","",1))"),53.372392)</f>
        <v>53.372392</v>
      </c>
      <c r="Q7863" s="13">
        <f>IFERROR(__xludf.DUMMYFUNCTION("VALUE(SUBSTITUTE((INDEX(SPLIT(A7863,"",""),2)),""."","","",1))"),83.669157)</f>
        <v>83.669157</v>
      </c>
      <c r="R7863" s="14" t="b">
        <f t="shared" si="1"/>
        <v>0</v>
      </c>
      <c r="S7863" s="14" t="str">
        <f t="shared" si="2"/>
        <v>53.372392,83.669157</v>
      </c>
      <c r="T7863" s="12"/>
    </row>
    <row r="7864">
      <c r="A7864" s="16" t="s">
        <v>28576</v>
      </c>
      <c r="B7864" s="16" t="s">
        <v>26134</v>
      </c>
      <c r="C7864" s="16" t="s">
        <v>26135</v>
      </c>
      <c r="D7864" s="16" t="s">
        <v>16</v>
      </c>
      <c r="E7864" s="17" t="s">
        <v>50354</v>
      </c>
      <c r="F7864" s="16" t="s">
        <v>16731</v>
      </c>
      <c r="G7864" s="16">
        <v>23.61</v>
      </c>
      <c r="H7864" s="16"/>
      <c r="I7864" s="16"/>
      <c r="J7864" s="16" t="s">
        <v>50355</v>
      </c>
      <c r="K7864" s="16" t="s">
        <v>50356</v>
      </c>
      <c r="L7864" s="16"/>
      <c r="M7864" s="25" t="s">
        <v>50357</v>
      </c>
      <c r="N7864" s="12"/>
      <c r="O7864" s="12"/>
      <c r="P7864" s="13">
        <f>IFERROR(__xludf.DUMMYFUNCTION("VALUE(SUBSTITUTE((INDEX(SPLIT(A7864,"",""),1)),""."","","",1))"),53.326326)</f>
        <v>53.326326</v>
      </c>
      <c r="Q7864" s="13">
        <f>IFERROR(__xludf.DUMMYFUNCTION("VALUE(SUBSTITUTE((INDEX(SPLIT(A7864,"",""),2)),""."","","",1))"),83.669346)</f>
        <v>83.669346</v>
      </c>
      <c r="R7864" s="14" t="b">
        <f t="shared" si="1"/>
        <v>0</v>
      </c>
      <c r="S7864" s="14" t="str">
        <f t="shared" si="2"/>
        <v>53.326326,83.669346</v>
      </c>
      <c r="T7864" s="12"/>
    </row>
    <row r="7865">
      <c r="A7865" s="8" t="s">
        <v>28582</v>
      </c>
      <c r="B7865" s="8" t="s">
        <v>50358</v>
      </c>
      <c r="C7865" s="8" t="s">
        <v>50359</v>
      </c>
      <c r="D7865" s="8" t="s">
        <v>16</v>
      </c>
      <c r="E7865" s="19" t="s">
        <v>50360</v>
      </c>
      <c r="F7865" s="8" t="s">
        <v>16731</v>
      </c>
      <c r="G7865" s="8">
        <v>23.61</v>
      </c>
      <c r="H7865" s="8"/>
      <c r="I7865" s="8"/>
      <c r="J7865" s="8" t="s">
        <v>50361</v>
      </c>
      <c r="K7865" s="8" t="s">
        <v>50362</v>
      </c>
      <c r="L7865" s="8"/>
      <c r="M7865" s="8"/>
      <c r="N7865" s="12"/>
      <c r="O7865" s="12"/>
      <c r="P7865" s="13">
        <f>IFERROR(__xludf.DUMMYFUNCTION("VALUE(SUBSTITUTE((INDEX(SPLIT(A7865,"",""),1)),""."","","",1))"),53.328741)</f>
        <v>53.328741</v>
      </c>
      <c r="Q7865" s="13">
        <f>IFERROR(__xludf.DUMMYFUNCTION("VALUE(SUBSTITUTE((INDEX(SPLIT(A7865,"",""),2)),""."","","",1))"),83.684258)</f>
        <v>83.684258</v>
      </c>
      <c r="R7865" s="14" t="b">
        <f t="shared" si="1"/>
        <v>0</v>
      </c>
      <c r="S7865" s="14" t="str">
        <f t="shared" si="2"/>
        <v>53.328741,83.684258</v>
      </c>
      <c r="T7865" s="12"/>
    </row>
    <row r="7866">
      <c r="A7866" s="22" t="s">
        <v>28586</v>
      </c>
      <c r="B7866" s="16" t="s">
        <v>50363</v>
      </c>
      <c r="C7866" s="16" t="s">
        <v>50364</v>
      </c>
      <c r="D7866" s="16" t="s">
        <v>16</v>
      </c>
      <c r="E7866" s="21" t="s">
        <v>50365</v>
      </c>
      <c r="F7866" s="22" t="s">
        <v>16731</v>
      </c>
      <c r="G7866" s="16">
        <v>23.61</v>
      </c>
      <c r="H7866" s="16"/>
      <c r="I7866" s="22"/>
      <c r="J7866" s="22" t="s">
        <v>50366</v>
      </c>
      <c r="K7866" s="22" t="s">
        <v>50367</v>
      </c>
      <c r="L7866" s="23" t="s">
        <v>50368</v>
      </c>
      <c r="M7866" s="22"/>
      <c r="N7866" s="12"/>
      <c r="O7866" s="12"/>
      <c r="P7866" s="13">
        <f>IFERROR(__xludf.DUMMYFUNCTION("VALUE(SUBSTITUTE((INDEX(SPLIT(A7866,"",""),1)),""."","","",1))"),53.390557)</f>
        <v>53.390557</v>
      </c>
      <c r="Q7866" s="13">
        <f>IFERROR(__xludf.DUMMYFUNCTION("VALUE(SUBSTITUTE((INDEX(SPLIT(A7866,"",""),2)),""."","","",1))"),83.68442)</f>
        <v>83.68442</v>
      </c>
      <c r="R7866" s="14" t="b">
        <f t="shared" si="1"/>
        <v>0</v>
      </c>
      <c r="S7866" s="14" t="str">
        <f t="shared" si="2"/>
        <v>53.390557,83.68442</v>
      </c>
      <c r="T7866" s="12"/>
    </row>
    <row r="7867">
      <c r="A7867" s="10" t="s">
        <v>28594</v>
      </c>
      <c r="B7867" s="8" t="s">
        <v>651</v>
      </c>
      <c r="C7867" s="8" t="s">
        <v>652</v>
      </c>
      <c r="D7867" s="8" t="s">
        <v>16</v>
      </c>
      <c r="E7867" s="9" t="s">
        <v>50369</v>
      </c>
      <c r="F7867" s="10" t="s">
        <v>16731</v>
      </c>
      <c r="G7867" s="8">
        <v>23.61</v>
      </c>
      <c r="H7867" s="8"/>
      <c r="I7867" s="10"/>
      <c r="J7867" s="10" t="s">
        <v>50370</v>
      </c>
      <c r="K7867" s="10" t="s">
        <v>50371</v>
      </c>
      <c r="L7867" s="11" t="s">
        <v>50372</v>
      </c>
      <c r="M7867" s="10"/>
      <c r="N7867" s="12"/>
      <c r="O7867" s="12"/>
      <c r="P7867" s="13">
        <f>IFERROR(__xludf.DUMMYFUNCTION("VALUE(SUBSTITUTE((INDEX(SPLIT(A7867,"",""),1)),""."","","",1))"),53.330332)</f>
        <v>53.330332</v>
      </c>
      <c r="Q7867" s="13">
        <f>IFERROR(__xludf.DUMMYFUNCTION("VALUE(SUBSTITUTE((INDEX(SPLIT(A7867,"",""),2)),""."","","",1))"),83.684608)</f>
        <v>83.684608</v>
      </c>
      <c r="R7867" s="14" t="b">
        <f t="shared" si="1"/>
        <v>0</v>
      </c>
      <c r="S7867" s="14" t="str">
        <f t="shared" si="2"/>
        <v>53.330332,83.684608</v>
      </c>
      <c r="T7867" s="12"/>
    </row>
    <row r="7868">
      <c r="A7868" s="22" t="s">
        <v>28601</v>
      </c>
      <c r="B7868" s="16" t="s">
        <v>50373</v>
      </c>
      <c r="C7868" s="16" t="s">
        <v>50374</v>
      </c>
      <c r="D7868" s="16" t="s">
        <v>16</v>
      </c>
      <c r="E7868" s="21" t="s">
        <v>50375</v>
      </c>
      <c r="F7868" s="22" t="s">
        <v>9648</v>
      </c>
      <c r="G7868" s="16">
        <v>23.61</v>
      </c>
      <c r="H7868" s="16"/>
      <c r="I7868" s="22"/>
      <c r="J7868" s="22" t="s">
        <v>50376</v>
      </c>
      <c r="K7868" s="22" t="s">
        <v>50377</v>
      </c>
      <c r="L7868" s="23" t="s">
        <v>50378</v>
      </c>
      <c r="M7868" s="22"/>
      <c r="N7868" s="12"/>
      <c r="O7868" s="12"/>
      <c r="P7868" s="13">
        <f>IFERROR(__xludf.DUMMYFUNCTION("VALUE(SUBSTITUTE((INDEX(SPLIT(A7868,"",""),1)),""."","","",1))"),53.393548)</f>
        <v>53.393548</v>
      </c>
      <c r="Q7868" s="13">
        <f>IFERROR(__xludf.DUMMYFUNCTION("VALUE(SUBSTITUTE((INDEX(SPLIT(A7868,"",""),2)),""."","","",1))"),83.688013)</f>
        <v>83.688013</v>
      </c>
      <c r="R7868" s="14" t="b">
        <f t="shared" si="1"/>
        <v>0</v>
      </c>
      <c r="S7868" s="14" t="str">
        <f t="shared" si="2"/>
        <v>53.393548,83.688013</v>
      </c>
      <c r="T7868" s="12"/>
    </row>
    <row r="7869">
      <c r="A7869" s="10" t="s">
        <v>28609</v>
      </c>
      <c r="B7869" s="8" t="s">
        <v>4745</v>
      </c>
      <c r="C7869" s="8" t="s">
        <v>2779</v>
      </c>
      <c r="D7869" s="8" t="s">
        <v>16</v>
      </c>
      <c r="E7869" s="9" t="s">
        <v>50379</v>
      </c>
      <c r="F7869" s="10" t="s">
        <v>16731</v>
      </c>
      <c r="G7869" s="8">
        <v>23.61</v>
      </c>
      <c r="H7869" s="8"/>
      <c r="I7869" s="10"/>
      <c r="J7869" s="10" t="s">
        <v>50380</v>
      </c>
      <c r="K7869" s="10" t="s">
        <v>50381</v>
      </c>
      <c r="L7869" s="11" t="s">
        <v>50382</v>
      </c>
      <c r="M7869" s="11" t="s">
        <v>50383</v>
      </c>
      <c r="N7869" s="12"/>
      <c r="O7869" s="12"/>
      <c r="P7869" s="13">
        <f>IFERROR(__xludf.DUMMYFUNCTION("VALUE(SUBSTITUTE((INDEX(SPLIT(A7869,"",""),1)),""."","","",1))"),53.67282)</f>
        <v>53.67282</v>
      </c>
      <c r="Q7869" s="13">
        <f>IFERROR(__xludf.DUMMYFUNCTION("VALUE(SUBSTITUTE((INDEX(SPLIT(A7869,"",""),2)),""."","","",1))"),83.69555)</f>
        <v>83.69555</v>
      </c>
      <c r="R7869" s="14" t="b">
        <f t="shared" si="1"/>
        <v>0</v>
      </c>
      <c r="S7869" s="14" t="str">
        <f t="shared" si="2"/>
        <v>53.67282,83.69555</v>
      </c>
      <c r="T7869" s="12"/>
    </row>
    <row r="7870">
      <c r="A7870" s="22" t="s">
        <v>28609</v>
      </c>
      <c r="B7870" s="16" t="s">
        <v>50384</v>
      </c>
      <c r="C7870" s="16" t="s">
        <v>50385</v>
      </c>
      <c r="D7870" s="16" t="s">
        <v>16</v>
      </c>
      <c r="E7870" s="21" t="s">
        <v>50386</v>
      </c>
      <c r="F7870" s="22" t="s">
        <v>16731</v>
      </c>
      <c r="G7870" s="16">
        <v>23.61</v>
      </c>
      <c r="H7870" s="16"/>
      <c r="I7870" s="22"/>
      <c r="J7870" s="22" t="s">
        <v>50387</v>
      </c>
      <c r="K7870" s="22" t="s">
        <v>50388</v>
      </c>
      <c r="L7870" s="23" t="s">
        <v>50389</v>
      </c>
      <c r="M7870" s="22"/>
      <c r="N7870" s="12"/>
      <c r="O7870" s="12"/>
      <c r="P7870" s="13">
        <f>IFERROR(__xludf.DUMMYFUNCTION("VALUE(SUBSTITUTE((INDEX(SPLIT(A7870,"",""),1)),""."","","",1))"),53.67282)</f>
        <v>53.67282</v>
      </c>
      <c r="Q7870" s="13">
        <f>IFERROR(__xludf.DUMMYFUNCTION("VALUE(SUBSTITUTE((INDEX(SPLIT(A7870,"",""),2)),""."","","",1))"),83.69555)</f>
        <v>83.69555</v>
      </c>
      <c r="R7870" s="14" t="b">
        <f t="shared" si="1"/>
        <v>0</v>
      </c>
      <c r="S7870" s="14" t="str">
        <f t="shared" si="2"/>
        <v>53.67282,83.69555</v>
      </c>
      <c r="T7870" s="12"/>
    </row>
    <row r="7871">
      <c r="A7871" s="8" t="s">
        <v>28621</v>
      </c>
      <c r="B7871" s="8" t="s">
        <v>50390</v>
      </c>
      <c r="C7871" s="8" t="s">
        <v>50391</v>
      </c>
      <c r="D7871" s="8" t="s">
        <v>16</v>
      </c>
      <c r="E7871" s="19" t="s">
        <v>50392</v>
      </c>
      <c r="F7871" s="8" t="s">
        <v>16731</v>
      </c>
      <c r="G7871" s="8">
        <v>23.61</v>
      </c>
      <c r="H7871" s="8"/>
      <c r="I7871" s="27" t="s">
        <v>50393</v>
      </c>
      <c r="J7871" s="8" t="s">
        <v>50394</v>
      </c>
      <c r="K7871" s="8" t="s">
        <v>50395</v>
      </c>
      <c r="L7871" s="8"/>
      <c r="M7871" s="8"/>
      <c r="N7871" s="12"/>
      <c r="O7871" s="12"/>
      <c r="P7871" s="13">
        <f>IFERROR(__xludf.DUMMYFUNCTION("VALUE(SUBSTITUTE((INDEX(SPLIT(A7871,"",""),1)),""."","","",1))"),53.394069)</f>
        <v>53.394069</v>
      </c>
      <c r="Q7871" s="13">
        <f>IFERROR(__xludf.DUMMYFUNCTION("VALUE(SUBSTITUTE((INDEX(SPLIT(A7871,"",""),2)),""."","","",1))"),83.71366)</f>
        <v>83.71366</v>
      </c>
      <c r="R7871" s="14" t="b">
        <f t="shared" si="1"/>
        <v>0</v>
      </c>
      <c r="S7871" s="14" t="str">
        <f t="shared" si="2"/>
        <v>53.394069,83.71366</v>
      </c>
      <c r="T7871" s="12"/>
    </row>
    <row r="7872">
      <c r="A7872" s="22" t="s">
        <v>28627</v>
      </c>
      <c r="B7872" s="16" t="s">
        <v>50396</v>
      </c>
      <c r="C7872" s="16" t="s">
        <v>50397</v>
      </c>
      <c r="D7872" s="16" t="s">
        <v>16</v>
      </c>
      <c r="E7872" s="21" t="s">
        <v>50398</v>
      </c>
      <c r="F7872" s="22" t="s">
        <v>16731</v>
      </c>
      <c r="G7872" s="16">
        <v>23.61</v>
      </c>
      <c r="H7872" s="16"/>
      <c r="I7872" s="22"/>
      <c r="J7872" s="22" t="s">
        <v>50399</v>
      </c>
      <c r="K7872" s="22" t="s">
        <v>50400</v>
      </c>
      <c r="L7872" s="23" t="s">
        <v>50401</v>
      </c>
      <c r="M7872" s="23" t="s">
        <v>50402</v>
      </c>
      <c r="N7872" s="12"/>
      <c r="O7872" s="12"/>
      <c r="P7872" s="13">
        <f>IFERROR(__xludf.DUMMYFUNCTION("VALUE(SUBSTITUTE((INDEX(SPLIT(A7872,"",""),1)),""."","","",1))"),53.334054)</f>
        <v>53.334054</v>
      </c>
      <c r="Q7872" s="13">
        <f>IFERROR(__xludf.DUMMYFUNCTION("VALUE(SUBSTITUTE((INDEX(SPLIT(A7872,"",""),2)),""."","","",1))"),83.74635)</f>
        <v>83.74635</v>
      </c>
      <c r="R7872" s="14" t="b">
        <f t="shared" si="1"/>
        <v>0</v>
      </c>
      <c r="S7872" s="14" t="str">
        <f t="shared" si="2"/>
        <v>53.334054,83.74635</v>
      </c>
      <c r="T7872" s="12"/>
    </row>
    <row r="7873">
      <c r="A7873" s="10" t="s">
        <v>28627</v>
      </c>
      <c r="B7873" s="8" t="s">
        <v>50403</v>
      </c>
      <c r="C7873" s="8" t="s">
        <v>50404</v>
      </c>
      <c r="D7873" s="8" t="s">
        <v>16</v>
      </c>
      <c r="E7873" s="9" t="s">
        <v>50405</v>
      </c>
      <c r="F7873" s="10" t="s">
        <v>16731</v>
      </c>
      <c r="G7873" s="8">
        <v>23.61</v>
      </c>
      <c r="H7873" s="8"/>
      <c r="I7873" s="10"/>
      <c r="J7873" s="10" t="s">
        <v>50406</v>
      </c>
      <c r="K7873" s="10" t="s">
        <v>50407</v>
      </c>
      <c r="L7873" s="11" t="s">
        <v>50408</v>
      </c>
      <c r="M7873" s="10"/>
      <c r="N7873" s="12"/>
      <c r="O7873" s="12"/>
      <c r="P7873" s="13">
        <f>IFERROR(__xludf.DUMMYFUNCTION("VALUE(SUBSTITUTE((INDEX(SPLIT(A7873,"",""),1)),""."","","",1))"),53.334054)</f>
        <v>53.334054</v>
      </c>
      <c r="Q7873" s="13">
        <f>IFERROR(__xludf.DUMMYFUNCTION("VALUE(SUBSTITUTE((INDEX(SPLIT(A7873,"",""),2)),""."","","",1))"),83.74635)</f>
        <v>83.74635</v>
      </c>
      <c r="R7873" s="14" t="b">
        <f t="shared" si="1"/>
        <v>0</v>
      </c>
      <c r="S7873" s="14" t="str">
        <f t="shared" si="2"/>
        <v>53.334054,83.74635</v>
      </c>
      <c r="T7873" s="12"/>
    </row>
    <row r="7874">
      <c r="A7874" s="22" t="s">
        <v>28627</v>
      </c>
      <c r="B7874" s="16" t="s">
        <v>50409</v>
      </c>
      <c r="C7874" s="16" t="s">
        <v>50410</v>
      </c>
      <c r="D7874" s="16" t="s">
        <v>16</v>
      </c>
      <c r="E7874" s="21" t="s">
        <v>50411</v>
      </c>
      <c r="F7874" s="22" t="s">
        <v>16731</v>
      </c>
      <c r="G7874" s="16">
        <v>23.61</v>
      </c>
      <c r="H7874" s="16"/>
      <c r="I7874" s="22"/>
      <c r="J7874" s="22" t="s">
        <v>50412</v>
      </c>
      <c r="K7874" s="22" t="s">
        <v>50407</v>
      </c>
      <c r="L7874" s="30" t="s">
        <v>50413</v>
      </c>
      <c r="M7874" s="22"/>
      <c r="N7874" s="12"/>
      <c r="O7874" s="12"/>
      <c r="P7874" s="13">
        <f>IFERROR(__xludf.DUMMYFUNCTION("VALUE(SUBSTITUTE((INDEX(SPLIT(A7874,"",""),1)),""."","","",1))"),53.334054)</f>
        <v>53.334054</v>
      </c>
      <c r="Q7874" s="13">
        <f>IFERROR(__xludf.DUMMYFUNCTION("VALUE(SUBSTITUTE((INDEX(SPLIT(A7874,"",""),2)),""."","","",1))"),83.74635)</f>
        <v>83.74635</v>
      </c>
      <c r="R7874" s="14" t="b">
        <f t="shared" si="1"/>
        <v>0</v>
      </c>
      <c r="S7874" s="14" t="str">
        <f t="shared" si="2"/>
        <v>53.334054,83.74635</v>
      </c>
      <c r="T7874" s="12"/>
    </row>
    <row r="7875">
      <c r="A7875" s="8" t="s">
        <v>28647</v>
      </c>
      <c r="B7875" s="8" t="s">
        <v>7829</v>
      </c>
      <c r="C7875" s="8" t="s">
        <v>7830</v>
      </c>
      <c r="D7875" s="8" t="s">
        <v>16</v>
      </c>
      <c r="E7875" s="19" t="s">
        <v>50414</v>
      </c>
      <c r="F7875" s="8" t="s">
        <v>16731</v>
      </c>
      <c r="G7875" s="8">
        <v>23.61</v>
      </c>
      <c r="H7875" s="8"/>
      <c r="I7875" s="8"/>
      <c r="J7875" s="8" t="s">
        <v>50415</v>
      </c>
      <c r="K7875" s="8" t="s">
        <v>50416</v>
      </c>
      <c r="L7875" s="8"/>
      <c r="M7875" s="24" t="s">
        <v>50417</v>
      </c>
      <c r="N7875" s="12"/>
      <c r="O7875" s="12"/>
      <c r="P7875" s="13">
        <f>IFERROR(__xludf.DUMMYFUNCTION("VALUE(SUBSTITUTE((INDEX(SPLIT(A7875,"",""),1)),""."","","",1))"),53.340253)</f>
        <v>53.340253</v>
      </c>
      <c r="Q7875" s="13">
        <f>IFERROR(__xludf.DUMMYFUNCTION("VALUE(SUBSTITUTE((INDEX(SPLIT(A7875,"",""),2)),""."","","",1))"),83.75288)</f>
        <v>83.75288</v>
      </c>
      <c r="R7875" s="14" t="b">
        <f t="shared" si="1"/>
        <v>0</v>
      </c>
      <c r="S7875" s="14" t="str">
        <f t="shared" si="2"/>
        <v>53.340253,83.75288</v>
      </c>
      <c r="T7875" s="12"/>
    </row>
    <row r="7876">
      <c r="A7876" s="16" t="s">
        <v>28654</v>
      </c>
      <c r="B7876" s="16" t="s">
        <v>50418</v>
      </c>
      <c r="C7876" s="16" t="s">
        <v>50419</v>
      </c>
      <c r="D7876" s="16" t="s">
        <v>16</v>
      </c>
      <c r="E7876" s="17" t="s">
        <v>50420</v>
      </c>
      <c r="F7876" s="16" t="s">
        <v>16731</v>
      </c>
      <c r="G7876" s="16">
        <v>23.61</v>
      </c>
      <c r="H7876" s="16"/>
      <c r="I7876" s="16"/>
      <c r="J7876" s="16" t="s">
        <v>50421</v>
      </c>
      <c r="K7876" s="16" t="s">
        <v>50422</v>
      </c>
      <c r="L7876" s="16"/>
      <c r="M7876" s="25" t="s">
        <v>50423</v>
      </c>
      <c r="N7876" s="12"/>
      <c r="O7876" s="12"/>
      <c r="P7876" s="13">
        <f>IFERROR(__xludf.DUMMYFUNCTION("VALUE(SUBSTITUTE((INDEX(SPLIT(A7876,"",""),1)),""."","","",1))"),53.34014)</f>
        <v>53.34014</v>
      </c>
      <c r="Q7876" s="13">
        <f>IFERROR(__xludf.DUMMYFUNCTION("VALUE(SUBSTITUTE((INDEX(SPLIT(A7876,"",""),2)),""."","","",1))"),83.753896)</f>
        <v>83.753896</v>
      </c>
      <c r="R7876" s="14" t="b">
        <f t="shared" si="1"/>
        <v>0</v>
      </c>
      <c r="S7876" s="14" t="str">
        <f t="shared" si="2"/>
        <v>53.34014,83.753896</v>
      </c>
      <c r="T7876" s="12"/>
    </row>
    <row r="7877">
      <c r="A7877" s="8" t="s">
        <v>28658</v>
      </c>
      <c r="B7877" s="8" t="s">
        <v>50424</v>
      </c>
      <c r="C7877" s="8" t="s">
        <v>50425</v>
      </c>
      <c r="D7877" s="8" t="s">
        <v>16</v>
      </c>
      <c r="E7877" s="19" t="s">
        <v>50426</v>
      </c>
      <c r="F7877" s="8" t="s">
        <v>16731</v>
      </c>
      <c r="G7877" s="8">
        <v>23.61</v>
      </c>
      <c r="H7877" s="8"/>
      <c r="I7877" s="8"/>
      <c r="J7877" s="8" t="s">
        <v>50427</v>
      </c>
      <c r="K7877" s="8" t="s">
        <v>50428</v>
      </c>
      <c r="L7877" s="8"/>
      <c r="M7877" s="8"/>
      <c r="N7877" s="12"/>
      <c r="O7877" s="12"/>
      <c r="P7877" s="13">
        <f>IFERROR(__xludf.DUMMYFUNCTION("VALUE(SUBSTITUTE((INDEX(SPLIT(A7877,"",""),1)),""."","","",1))"),53.355815)</f>
        <v>53.355815</v>
      </c>
      <c r="Q7877" s="13">
        <f>IFERROR(__xludf.DUMMYFUNCTION("VALUE(SUBSTITUTE((INDEX(SPLIT(A7877,"",""),2)),""."","","",1))"),83.775581)</f>
        <v>83.775581</v>
      </c>
      <c r="R7877" s="14" t="b">
        <f t="shared" si="1"/>
        <v>0</v>
      </c>
      <c r="S7877" s="14" t="str">
        <f t="shared" si="2"/>
        <v>53.355815,83.775581</v>
      </c>
      <c r="T7877" s="12"/>
    </row>
    <row r="7878">
      <c r="A7878" s="16" t="s">
        <v>28665</v>
      </c>
      <c r="B7878" s="16" t="s">
        <v>50429</v>
      </c>
      <c r="C7878" s="16" t="s">
        <v>50430</v>
      </c>
      <c r="D7878" s="16" t="s">
        <v>16</v>
      </c>
      <c r="E7878" s="17" t="s">
        <v>50431</v>
      </c>
      <c r="F7878" s="16" t="s">
        <v>16731</v>
      </c>
      <c r="G7878" s="16">
        <v>23.61</v>
      </c>
      <c r="H7878" s="16"/>
      <c r="I7878" s="16"/>
      <c r="J7878" s="16" t="s">
        <v>50432</v>
      </c>
      <c r="K7878" s="16" t="s">
        <v>50433</v>
      </c>
      <c r="L7878" s="16"/>
      <c r="M7878" s="16"/>
      <c r="N7878" s="12"/>
      <c r="O7878" s="12"/>
      <c r="P7878" s="13">
        <f>IFERROR(__xludf.DUMMYFUNCTION("VALUE(SUBSTITUTE((INDEX(SPLIT(A7878,"",""),1)),""."","","",1))"),53.346785)</f>
        <v>53.346785</v>
      </c>
      <c r="Q7878" s="13">
        <f>IFERROR(__xludf.DUMMYFUNCTION("VALUE(SUBSTITUTE((INDEX(SPLIT(A7878,"",""),2)),""."","","",1))"),83.776856)</f>
        <v>83.776856</v>
      </c>
      <c r="R7878" s="14" t="b">
        <f t="shared" si="1"/>
        <v>0</v>
      </c>
      <c r="S7878" s="14" t="str">
        <f t="shared" si="2"/>
        <v>53.346785,83.776856</v>
      </c>
      <c r="T7878" s="12"/>
    </row>
    <row r="7879">
      <c r="A7879" s="10" t="s">
        <v>28665</v>
      </c>
      <c r="B7879" s="8" t="s">
        <v>50434</v>
      </c>
      <c r="C7879" s="8" t="s">
        <v>50435</v>
      </c>
      <c r="D7879" s="8" t="s">
        <v>16</v>
      </c>
      <c r="E7879" s="9" t="s">
        <v>50436</v>
      </c>
      <c r="F7879" s="10" t="s">
        <v>16731</v>
      </c>
      <c r="G7879" s="8">
        <v>23.61</v>
      </c>
      <c r="H7879" s="8"/>
      <c r="I7879" s="31" t="s">
        <v>50437</v>
      </c>
      <c r="J7879" s="10" t="s">
        <v>50438</v>
      </c>
      <c r="K7879" s="10" t="s">
        <v>50439</v>
      </c>
      <c r="L7879" s="11" t="s">
        <v>50440</v>
      </c>
      <c r="M7879" s="10"/>
      <c r="N7879" s="12"/>
      <c r="O7879" s="12"/>
      <c r="P7879" s="13">
        <f>IFERROR(__xludf.DUMMYFUNCTION("VALUE(SUBSTITUTE((INDEX(SPLIT(A7879,"",""),1)),""."","","",1))"),53.346785)</f>
        <v>53.346785</v>
      </c>
      <c r="Q7879" s="13">
        <f>IFERROR(__xludf.DUMMYFUNCTION("VALUE(SUBSTITUTE((INDEX(SPLIT(A7879,"",""),2)),""."","","",1))"),83.776856)</f>
        <v>83.776856</v>
      </c>
      <c r="R7879" s="14" t="b">
        <f t="shared" si="1"/>
        <v>0</v>
      </c>
      <c r="S7879" s="14" t="str">
        <f t="shared" si="2"/>
        <v>53.346785,83.776856</v>
      </c>
      <c r="T7879" s="12"/>
    </row>
    <row r="7880">
      <c r="A7880" s="22" t="s">
        <v>28665</v>
      </c>
      <c r="B7880" s="16" t="s">
        <v>50441</v>
      </c>
      <c r="C7880" s="16" t="s">
        <v>50442</v>
      </c>
      <c r="D7880" s="16" t="s">
        <v>16</v>
      </c>
      <c r="E7880" s="21" t="s">
        <v>50443</v>
      </c>
      <c r="F7880" s="22" t="s">
        <v>16731</v>
      </c>
      <c r="G7880" s="16">
        <v>23.61</v>
      </c>
      <c r="H7880" s="16"/>
      <c r="I7880" s="22"/>
      <c r="J7880" s="22" t="s">
        <v>50444</v>
      </c>
      <c r="K7880" s="22" t="s">
        <v>50445</v>
      </c>
      <c r="L7880" s="23" t="s">
        <v>50446</v>
      </c>
      <c r="M7880" s="22"/>
      <c r="N7880" s="12"/>
      <c r="O7880" s="12"/>
      <c r="P7880" s="13">
        <f>IFERROR(__xludf.DUMMYFUNCTION("VALUE(SUBSTITUTE((INDEX(SPLIT(A7880,"",""),1)),""."","","",1))"),53.346785)</f>
        <v>53.346785</v>
      </c>
      <c r="Q7880" s="13">
        <f>IFERROR(__xludf.DUMMYFUNCTION("VALUE(SUBSTITUTE((INDEX(SPLIT(A7880,"",""),2)),""."","","",1))"),83.776856)</f>
        <v>83.776856</v>
      </c>
      <c r="R7880" s="14" t="b">
        <f t="shared" si="1"/>
        <v>0</v>
      </c>
      <c r="S7880" s="14" t="str">
        <f t="shared" si="2"/>
        <v>53.346785,83.776856</v>
      </c>
      <c r="T7880" s="12"/>
    </row>
    <row r="7881">
      <c r="A7881" s="8" t="s">
        <v>28679</v>
      </c>
      <c r="B7881" s="8" t="s">
        <v>50447</v>
      </c>
      <c r="C7881" s="8" t="s">
        <v>50448</v>
      </c>
      <c r="D7881" s="8" t="s">
        <v>16</v>
      </c>
      <c r="E7881" s="19" t="s">
        <v>50449</v>
      </c>
      <c r="F7881" s="8" t="s">
        <v>16731</v>
      </c>
      <c r="G7881" s="8">
        <v>23.61</v>
      </c>
      <c r="H7881" s="8"/>
      <c r="I7881" s="8"/>
      <c r="J7881" s="8" t="s">
        <v>50450</v>
      </c>
      <c r="K7881" s="8" t="s">
        <v>50451</v>
      </c>
      <c r="L7881" s="8"/>
      <c r="M7881" s="8"/>
      <c r="N7881" s="12"/>
      <c r="O7881" s="12"/>
      <c r="P7881" s="13">
        <f>IFERROR(__xludf.DUMMYFUNCTION("VALUE(SUBSTITUTE((INDEX(SPLIT(A7881,"",""),1)),""."","","",1))"),53.325508)</f>
        <v>53.325508</v>
      </c>
      <c r="Q7881" s="13">
        <f>IFERROR(__xludf.DUMMYFUNCTION("VALUE(SUBSTITUTE((INDEX(SPLIT(A7881,"",""),2)),""."","","",1))"),83.779084)</f>
        <v>83.779084</v>
      </c>
      <c r="R7881" s="14" t="b">
        <f t="shared" si="1"/>
        <v>0</v>
      </c>
      <c r="S7881" s="14" t="str">
        <f t="shared" si="2"/>
        <v>53.325508,83.779084</v>
      </c>
      <c r="T7881" s="12"/>
    </row>
    <row r="7882">
      <c r="A7882" s="22" t="s">
        <v>28686</v>
      </c>
      <c r="B7882" s="16" t="s">
        <v>50452</v>
      </c>
      <c r="C7882" s="16" t="s">
        <v>50453</v>
      </c>
      <c r="D7882" s="16" t="s">
        <v>16</v>
      </c>
      <c r="E7882" s="21" t="s">
        <v>50454</v>
      </c>
      <c r="F7882" s="22" t="s">
        <v>16731</v>
      </c>
      <c r="G7882" s="16">
        <v>23.61</v>
      </c>
      <c r="H7882" s="16"/>
      <c r="I7882" s="22"/>
      <c r="J7882" s="22" t="s">
        <v>50455</v>
      </c>
      <c r="K7882" s="22" t="s">
        <v>50456</v>
      </c>
      <c r="L7882" s="23" t="s">
        <v>50457</v>
      </c>
      <c r="M7882" s="23" t="s">
        <v>50458</v>
      </c>
      <c r="N7882" s="12"/>
      <c r="O7882" s="12"/>
      <c r="P7882" s="13">
        <f>IFERROR(__xludf.DUMMYFUNCTION("VALUE(SUBSTITUTE((INDEX(SPLIT(A7882,"",""),1)),""."","","",1))"),53.330827)</f>
        <v>53.330827</v>
      </c>
      <c r="Q7882" s="13">
        <f>IFERROR(__xludf.DUMMYFUNCTION("VALUE(SUBSTITUTE((INDEX(SPLIT(A7882,"",""),2)),""."","","",1))"),83.780108)</f>
        <v>83.780108</v>
      </c>
      <c r="R7882" s="14" t="b">
        <f t="shared" si="1"/>
        <v>0</v>
      </c>
      <c r="S7882" s="14" t="str">
        <f t="shared" si="2"/>
        <v>53.330827,83.780108</v>
      </c>
      <c r="T7882" s="12"/>
    </row>
    <row r="7883">
      <c r="A7883" s="8" t="s">
        <v>28691</v>
      </c>
      <c r="B7883" s="8" t="s">
        <v>50459</v>
      </c>
      <c r="C7883" s="8" t="s">
        <v>50460</v>
      </c>
      <c r="D7883" s="8" t="s">
        <v>16</v>
      </c>
      <c r="E7883" s="19" t="s">
        <v>50461</v>
      </c>
      <c r="F7883" s="8" t="s">
        <v>16731</v>
      </c>
      <c r="G7883" s="8">
        <v>23.61</v>
      </c>
      <c r="H7883" s="8"/>
      <c r="I7883" s="8"/>
      <c r="J7883" s="8" t="s">
        <v>50462</v>
      </c>
      <c r="K7883" s="8" t="s">
        <v>50463</v>
      </c>
      <c r="L7883" s="8"/>
      <c r="M7883" s="8"/>
      <c r="N7883" s="12"/>
      <c r="O7883" s="12"/>
      <c r="P7883" s="13">
        <f>IFERROR(__xludf.DUMMYFUNCTION("VALUE(SUBSTITUTE((INDEX(SPLIT(A7883,"",""),1)),""."","","",1))"),53.339683)</f>
        <v>53.339683</v>
      </c>
      <c r="Q7883" s="13">
        <f>IFERROR(__xludf.DUMMYFUNCTION("VALUE(SUBSTITUTE((INDEX(SPLIT(A7883,"",""),2)),""."","","",1))"),83.782255)</f>
        <v>83.782255</v>
      </c>
      <c r="R7883" s="14" t="b">
        <f t="shared" si="1"/>
        <v>0</v>
      </c>
      <c r="S7883" s="14" t="str">
        <f t="shared" si="2"/>
        <v>53.339683,83.782255</v>
      </c>
      <c r="T7883" s="12"/>
    </row>
    <row r="7884">
      <c r="A7884" s="22" t="s">
        <v>28698</v>
      </c>
      <c r="B7884" s="16" t="s">
        <v>38871</v>
      </c>
      <c r="C7884" s="16" t="s">
        <v>50464</v>
      </c>
      <c r="D7884" s="16" t="s">
        <v>16</v>
      </c>
      <c r="E7884" s="21" t="s">
        <v>50465</v>
      </c>
      <c r="F7884" s="22" t="s">
        <v>16731</v>
      </c>
      <c r="G7884" s="16">
        <v>23.61</v>
      </c>
      <c r="H7884" s="16"/>
      <c r="I7884" s="22"/>
      <c r="J7884" s="22" t="s">
        <v>50466</v>
      </c>
      <c r="K7884" s="22" t="s">
        <v>50445</v>
      </c>
      <c r="L7884" s="23" t="s">
        <v>50467</v>
      </c>
      <c r="M7884" s="22"/>
      <c r="N7884" s="12"/>
      <c r="O7884" s="12"/>
      <c r="P7884" s="13">
        <f>IFERROR(__xludf.DUMMYFUNCTION("VALUE(SUBSTITUTE((INDEX(SPLIT(A7884,"",""),1)),""."","","",1))"),53.339156)</f>
        <v>53.339156</v>
      </c>
      <c r="Q7884" s="13">
        <f>IFERROR(__xludf.DUMMYFUNCTION("VALUE(SUBSTITUTE((INDEX(SPLIT(A7884,"",""),2)),""."","","",1))"),83.785435)</f>
        <v>83.785435</v>
      </c>
      <c r="R7884" s="14" t="b">
        <f t="shared" si="1"/>
        <v>0</v>
      </c>
      <c r="S7884" s="14" t="str">
        <f t="shared" si="2"/>
        <v>53.339156,83.785435</v>
      </c>
      <c r="T7884" s="12"/>
    </row>
    <row r="7885">
      <c r="A7885" s="10" t="s">
        <v>28705</v>
      </c>
      <c r="B7885" s="8" t="s">
        <v>50468</v>
      </c>
      <c r="C7885" s="8" t="s">
        <v>32265</v>
      </c>
      <c r="D7885" s="8" t="s">
        <v>16</v>
      </c>
      <c r="E7885" s="9" t="s">
        <v>50469</v>
      </c>
      <c r="F7885" s="10" t="s">
        <v>16731</v>
      </c>
      <c r="G7885" s="8">
        <v>23.61</v>
      </c>
      <c r="H7885" s="8"/>
      <c r="I7885" s="10"/>
      <c r="J7885" s="10" t="s">
        <v>50470</v>
      </c>
      <c r="K7885" s="10" t="s">
        <v>50471</v>
      </c>
      <c r="L7885" s="11" t="s">
        <v>32269</v>
      </c>
      <c r="M7885" s="10"/>
      <c r="N7885" s="12"/>
      <c r="O7885" s="12"/>
      <c r="P7885" s="13">
        <f>IFERROR(__xludf.DUMMYFUNCTION("VALUE(SUBSTITUTE((INDEX(SPLIT(A7885,"",""),1)),""."","","",1))"),53.334209)</f>
        <v>53.334209</v>
      </c>
      <c r="Q7885" s="13">
        <f>IFERROR(__xludf.DUMMYFUNCTION("VALUE(SUBSTITUTE((INDEX(SPLIT(A7885,"",""),2)),""."","","",1))"),83.794419)</f>
        <v>83.794419</v>
      </c>
      <c r="R7885" s="14" t="b">
        <f t="shared" si="1"/>
        <v>0</v>
      </c>
      <c r="S7885" s="14" t="str">
        <f t="shared" si="2"/>
        <v>53.334209,83.794419</v>
      </c>
      <c r="T7885" s="12"/>
    </row>
    <row r="7886">
      <c r="A7886" s="22" t="s">
        <v>28709</v>
      </c>
      <c r="B7886" s="16" t="s">
        <v>50472</v>
      </c>
      <c r="C7886" s="16" t="s">
        <v>50473</v>
      </c>
      <c r="D7886" s="16" t="s">
        <v>16</v>
      </c>
      <c r="E7886" s="21" t="s">
        <v>50474</v>
      </c>
      <c r="F7886" s="22" t="s">
        <v>16731</v>
      </c>
      <c r="G7886" s="16">
        <v>23.61</v>
      </c>
      <c r="H7886" s="16"/>
      <c r="I7886" s="22"/>
      <c r="J7886" s="22" t="s">
        <v>50475</v>
      </c>
      <c r="K7886" s="22" t="s">
        <v>50476</v>
      </c>
      <c r="L7886" s="23" t="s">
        <v>50477</v>
      </c>
      <c r="M7886" s="22"/>
      <c r="N7886" s="12"/>
      <c r="O7886" s="12"/>
      <c r="P7886" s="13">
        <f>IFERROR(__xludf.DUMMYFUNCTION("VALUE(SUBSTITUTE((INDEX(SPLIT(A7886,"",""),1)),""."","","",1))"),53.33479)</f>
        <v>53.33479</v>
      </c>
      <c r="Q7886" s="13">
        <f>IFERROR(__xludf.DUMMYFUNCTION("VALUE(SUBSTITUTE((INDEX(SPLIT(A7886,"",""),2)),""."","","",1))"),83.796727)</f>
        <v>83.796727</v>
      </c>
      <c r="R7886" s="14" t="b">
        <f t="shared" si="1"/>
        <v>0</v>
      </c>
      <c r="S7886" s="14" t="str">
        <f t="shared" si="2"/>
        <v>53.33479,83.796727</v>
      </c>
      <c r="T7886" s="12"/>
    </row>
    <row r="7887">
      <c r="A7887" s="10" t="s">
        <v>28713</v>
      </c>
      <c r="B7887" s="8" t="s">
        <v>50478</v>
      </c>
      <c r="C7887" s="8" t="s">
        <v>50479</v>
      </c>
      <c r="D7887" s="8" t="s">
        <v>16</v>
      </c>
      <c r="E7887" s="9" t="s">
        <v>50480</v>
      </c>
      <c r="F7887" s="10" t="s">
        <v>16731</v>
      </c>
      <c r="G7887" s="8">
        <v>23.61</v>
      </c>
      <c r="H7887" s="8"/>
      <c r="I7887" s="31" t="s">
        <v>50481</v>
      </c>
      <c r="J7887" s="10" t="s">
        <v>50482</v>
      </c>
      <c r="K7887" s="10" t="s">
        <v>50483</v>
      </c>
      <c r="L7887" s="11" t="s">
        <v>50484</v>
      </c>
      <c r="M7887" s="10"/>
      <c r="N7887" s="12"/>
      <c r="O7887" s="12"/>
      <c r="P7887" s="13">
        <f>IFERROR(__xludf.DUMMYFUNCTION("VALUE(SUBSTITUTE((INDEX(SPLIT(A7887,"",""),1)),""."","","",1))"),53.334295)</f>
        <v>53.334295</v>
      </c>
      <c r="Q7887" s="13">
        <f>IFERROR(__xludf.DUMMYFUNCTION("VALUE(SUBSTITUTE((INDEX(SPLIT(A7887,"",""),2)),""."","","",1))"),83.797832)</f>
        <v>83.797832</v>
      </c>
      <c r="R7887" s="14" t="b">
        <f t="shared" si="1"/>
        <v>0</v>
      </c>
      <c r="S7887" s="14" t="str">
        <f t="shared" si="2"/>
        <v>53.334295,83.797832</v>
      </c>
      <c r="T7887" s="12"/>
    </row>
    <row r="7888">
      <c r="A7888" s="22" t="s">
        <v>28721</v>
      </c>
      <c r="B7888" s="16" t="s">
        <v>50485</v>
      </c>
      <c r="C7888" s="16" t="s">
        <v>50486</v>
      </c>
      <c r="D7888" s="16" t="s">
        <v>16</v>
      </c>
      <c r="E7888" s="21" t="s">
        <v>50487</v>
      </c>
      <c r="F7888" s="22" t="s">
        <v>16731</v>
      </c>
      <c r="G7888" s="16">
        <v>23.61</v>
      </c>
      <c r="H7888" s="16"/>
      <c r="I7888" s="22"/>
      <c r="J7888" s="22" t="s">
        <v>50488</v>
      </c>
      <c r="K7888" s="22" t="s">
        <v>50315</v>
      </c>
      <c r="L7888" s="23" t="s">
        <v>50489</v>
      </c>
      <c r="M7888" s="23" t="s">
        <v>50490</v>
      </c>
      <c r="N7888" s="12"/>
      <c r="O7888" s="12"/>
      <c r="P7888" s="13">
        <f>IFERROR(__xludf.DUMMYFUNCTION("VALUE(SUBSTITUTE((INDEX(SPLIT(A7888,"",""),1)),""."","","",1))"),53.461617)</f>
        <v>53.461617</v>
      </c>
      <c r="Q7888" s="13">
        <f>IFERROR(__xludf.DUMMYFUNCTION("VALUE(SUBSTITUTE((INDEX(SPLIT(A7888,"",""),2)),""."","","",1))"),83.918161)</f>
        <v>83.918161</v>
      </c>
      <c r="R7888" s="14" t="b">
        <f t="shared" si="1"/>
        <v>0</v>
      </c>
      <c r="S7888" s="14" t="str">
        <f t="shared" si="2"/>
        <v>53.461617,83.918161</v>
      </c>
      <c r="T7888" s="12"/>
    </row>
    <row r="7889">
      <c r="A7889" s="10" t="s">
        <v>28727</v>
      </c>
      <c r="B7889" s="8" t="s">
        <v>23182</v>
      </c>
      <c r="C7889" s="8" t="s">
        <v>23183</v>
      </c>
      <c r="D7889" s="8" t="s">
        <v>16</v>
      </c>
      <c r="E7889" s="9" t="s">
        <v>50491</v>
      </c>
      <c r="F7889" s="10" t="s">
        <v>16731</v>
      </c>
      <c r="G7889" s="8">
        <v>23.61</v>
      </c>
      <c r="H7889" s="8"/>
      <c r="I7889" s="10"/>
      <c r="J7889" s="10" t="s">
        <v>50492</v>
      </c>
      <c r="K7889" s="10" t="s">
        <v>50493</v>
      </c>
      <c r="L7889" s="11" t="s">
        <v>50494</v>
      </c>
      <c r="M7889" s="10"/>
      <c r="N7889" s="12"/>
      <c r="O7889" s="12"/>
      <c r="P7889" s="13">
        <f>IFERROR(__xludf.DUMMYFUNCTION("VALUE(SUBSTITUTE((INDEX(SPLIT(A7889,"",""),1)),""."","","",1))"),53.412021)</f>
        <v>53.412021</v>
      </c>
      <c r="Q7889" s="13">
        <f>IFERROR(__xludf.DUMMYFUNCTION("VALUE(SUBSTITUTE((INDEX(SPLIT(A7889,"",""),2)),""."","","",1))"),83.931079)</f>
        <v>83.931079</v>
      </c>
      <c r="R7889" s="14" t="b">
        <f t="shared" si="1"/>
        <v>0</v>
      </c>
      <c r="S7889" s="14" t="str">
        <f t="shared" si="2"/>
        <v>53.412021,83.931079</v>
      </c>
      <c r="T7889" s="12"/>
    </row>
    <row r="7890">
      <c r="A7890" s="16" t="s">
        <v>28733</v>
      </c>
      <c r="B7890" s="16" t="s">
        <v>50495</v>
      </c>
      <c r="C7890" s="16" t="s">
        <v>50496</v>
      </c>
      <c r="D7890" s="16" t="s">
        <v>16</v>
      </c>
      <c r="E7890" s="17" t="s">
        <v>50497</v>
      </c>
      <c r="F7890" s="16" t="s">
        <v>16731</v>
      </c>
      <c r="G7890" s="16">
        <v>23.61</v>
      </c>
      <c r="H7890" s="16"/>
      <c r="I7890" s="16"/>
      <c r="J7890" s="16" t="s">
        <v>50498</v>
      </c>
      <c r="K7890" s="16" t="s">
        <v>50499</v>
      </c>
      <c r="L7890" s="16"/>
      <c r="M7890" s="16"/>
      <c r="N7890" s="12"/>
      <c r="O7890" s="12"/>
      <c r="P7890" s="13">
        <f>IFERROR(__xludf.DUMMYFUNCTION("VALUE(SUBSTITUTE((INDEX(SPLIT(A7890,"",""),1)),""."","","",1))"),53.382469)</f>
        <v>53.382469</v>
      </c>
      <c r="Q7890" s="13">
        <f>IFERROR(__xludf.DUMMYFUNCTION("VALUE(SUBSTITUTE((INDEX(SPLIT(A7890,"",""),2)),""."","","",1))"),83.939631)</f>
        <v>83.939631</v>
      </c>
      <c r="R7890" s="14" t="b">
        <f t="shared" si="1"/>
        <v>0</v>
      </c>
      <c r="S7890" s="14" t="str">
        <f t="shared" si="2"/>
        <v>53.382469,83.939631</v>
      </c>
      <c r="T7890" s="12"/>
    </row>
    <row r="7891">
      <c r="A7891" s="10" t="s">
        <v>28739</v>
      </c>
      <c r="B7891" s="8" t="s">
        <v>19290</v>
      </c>
      <c r="C7891" s="8" t="s">
        <v>19291</v>
      </c>
      <c r="D7891" s="8" t="s">
        <v>16</v>
      </c>
      <c r="E7891" s="9" t="s">
        <v>50500</v>
      </c>
      <c r="F7891" s="10" t="s">
        <v>16731</v>
      </c>
      <c r="G7891" s="8">
        <v>23.61</v>
      </c>
      <c r="H7891" s="8"/>
      <c r="I7891" s="10"/>
      <c r="J7891" s="10" t="s">
        <v>50501</v>
      </c>
      <c r="K7891" s="10" t="s">
        <v>50502</v>
      </c>
      <c r="L7891" s="11" t="s">
        <v>50503</v>
      </c>
      <c r="M7891" s="11" t="s">
        <v>50504</v>
      </c>
      <c r="N7891" s="12"/>
      <c r="O7891" s="12"/>
      <c r="P7891" s="13">
        <f>IFERROR(__xludf.DUMMYFUNCTION("VALUE(SUBSTITUTE((INDEX(SPLIT(A7891,"",""),1)),""."","","",1))"),53.387566)</f>
        <v>53.387566</v>
      </c>
      <c r="Q7891" s="13">
        <f>IFERROR(__xludf.DUMMYFUNCTION("VALUE(SUBSTITUTE((INDEX(SPLIT(A7891,"",""),2)),""."","","",1))"),83.958262)</f>
        <v>83.958262</v>
      </c>
      <c r="R7891" s="14" t="b">
        <f t="shared" si="1"/>
        <v>0</v>
      </c>
      <c r="S7891" s="14" t="str">
        <f t="shared" si="2"/>
        <v>53.387566,83.958262</v>
      </c>
      <c r="T7891" s="12"/>
    </row>
    <row r="7892">
      <c r="A7892" s="16" t="s">
        <v>28746</v>
      </c>
      <c r="B7892" s="16" t="s">
        <v>50505</v>
      </c>
      <c r="C7892" s="16" t="s">
        <v>50506</v>
      </c>
      <c r="D7892" s="16" t="s">
        <v>16</v>
      </c>
      <c r="E7892" s="17" t="s">
        <v>50507</v>
      </c>
      <c r="F7892" s="16" t="s">
        <v>16731</v>
      </c>
      <c r="G7892" s="16">
        <v>23.61</v>
      </c>
      <c r="H7892" s="16"/>
      <c r="I7892" s="16"/>
      <c r="J7892" s="16" t="s">
        <v>50508</v>
      </c>
      <c r="K7892" s="16" t="s">
        <v>50509</v>
      </c>
      <c r="L7892" s="16"/>
      <c r="M7892" s="16"/>
      <c r="N7892" s="12"/>
      <c r="O7892" s="12"/>
      <c r="P7892" s="13">
        <f>IFERROR(__xludf.DUMMYFUNCTION("VALUE(SUBSTITUTE((INDEX(SPLIT(A7892,"",""),1)),""."","","",1))"),53.352477)</f>
        <v>53.352477</v>
      </c>
      <c r="Q7892" s="13">
        <f>IFERROR(__xludf.DUMMYFUNCTION("VALUE(SUBSTITUTE((INDEX(SPLIT(A7892,"",""),2)),""."","","",1))"),83.974854)</f>
        <v>83.974854</v>
      </c>
      <c r="R7892" s="14" t="b">
        <f t="shared" si="1"/>
        <v>0</v>
      </c>
      <c r="S7892" s="14" t="str">
        <f t="shared" si="2"/>
        <v>53.352477,83.974854</v>
      </c>
      <c r="T7892" s="12"/>
    </row>
    <row r="7893">
      <c r="A7893" s="8" t="s">
        <v>28753</v>
      </c>
      <c r="B7893" s="8" t="s">
        <v>50510</v>
      </c>
      <c r="C7893" s="8" t="s">
        <v>50511</v>
      </c>
      <c r="D7893" s="8" t="s">
        <v>16</v>
      </c>
      <c r="E7893" s="19" t="s">
        <v>50512</v>
      </c>
      <c r="F7893" s="8" t="s">
        <v>16731</v>
      </c>
      <c r="G7893" s="8">
        <v>23.61</v>
      </c>
      <c r="H7893" s="8"/>
      <c r="I7893" s="8"/>
      <c r="J7893" s="8" t="s">
        <v>50513</v>
      </c>
      <c r="K7893" s="8" t="s">
        <v>50514</v>
      </c>
      <c r="L7893" s="8"/>
      <c r="M7893" s="24" t="s">
        <v>50515</v>
      </c>
      <c r="N7893" s="12"/>
      <c r="O7893" s="12"/>
      <c r="P7893" s="13">
        <f>IFERROR(__xludf.DUMMYFUNCTION("VALUE(SUBSTITUTE((INDEX(SPLIT(A7893,"",""),1)),""."","","",1))"),53.394353)</f>
        <v>53.394353</v>
      </c>
      <c r="Q7893" s="13">
        <f>IFERROR(__xludf.DUMMYFUNCTION("VALUE(SUBSTITUTE((INDEX(SPLIT(A7893,"",""),2)),""."","","",1))"),83.987682)</f>
        <v>83.987682</v>
      </c>
      <c r="R7893" s="14" t="b">
        <f t="shared" si="1"/>
        <v>0</v>
      </c>
      <c r="S7893" s="14" t="str">
        <f t="shared" si="2"/>
        <v>53.394353,83.987682</v>
      </c>
      <c r="T7893" s="12"/>
    </row>
    <row r="7894">
      <c r="A7894" s="22" t="s">
        <v>28758</v>
      </c>
      <c r="B7894" s="16" t="s">
        <v>50516</v>
      </c>
      <c r="C7894" s="16" t="s">
        <v>50517</v>
      </c>
      <c r="D7894" s="16" t="s">
        <v>16</v>
      </c>
      <c r="E7894" s="21" t="s">
        <v>50518</v>
      </c>
      <c r="F7894" s="22" t="s">
        <v>16731</v>
      </c>
      <c r="G7894" s="16">
        <v>23.61</v>
      </c>
      <c r="H7894" s="16"/>
      <c r="I7894" s="22"/>
      <c r="J7894" s="22" t="s">
        <v>50519</v>
      </c>
      <c r="K7894" s="22" t="s">
        <v>50520</v>
      </c>
      <c r="L7894" s="23" t="s">
        <v>50521</v>
      </c>
      <c r="M7894" s="22"/>
      <c r="N7894" s="12"/>
      <c r="O7894" s="12"/>
      <c r="P7894" s="13">
        <f>IFERROR(__xludf.DUMMYFUNCTION("VALUE(SUBSTITUTE((INDEX(SPLIT(A7894,"",""),1)),""."","","",1))"),53.408618)</f>
        <v>53.408618</v>
      </c>
      <c r="Q7894" s="13">
        <f>IFERROR(__xludf.DUMMYFUNCTION("VALUE(SUBSTITUTE((INDEX(SPLIT(A7894,"",""),2)),""."","","",1))"),84.310123)</f>
        <v>84.310123</v>
      </c>
      <c r="R7894" s="14" t="b">
        <f t="shared" si="1"/>
        <v>0</v>
      </c>
      <c r="S7894" s="14" t="str">
        <f t="shared" si="2"/>
        <v>53.408618,84.310123</v>
      </c>
      <c r="T7894" s="12"/>
    </row>
    <row r="7895">
      <c r="A7895" s="10" t="s">
        <v>28765</v>
      </c>
      <c r="B7895" s="8" t="s">
        <v>50522</v>
      </c>
      <c r="C7895" s="8" t="s">
        <v>50523</v>
      </c>
      <c r="D7895" s="8" t="s">
        <v>16</v>
      </c>
      <c r="E7895" s="9" t="s">
        <v>50524</v>
      </c>
      <c r="F7895" s="10" t="s">
        <v>9648</v>
      </c>
      <c r="G7895" s="8">
        <v>23.61</v>
      </c>
      <c r="H7895" s="8"/>
      <c r="I7895" s="10"/>
      <c r="J7895" s="10" t="s">
        <v>50525</v>
      </c>
      <c r="K7895" s="10" t="s">
        <v>50526</v>
      </c>
      <c r="L7895" s="11" t="s">
        <v>50527</v>
      </c>
      <c r="M7895" s="11" t="s">
        <v>50528</v>
      </c>
      <c r="N7895" s="12"/>
      <c r="O7895" s="12"/>
      <c r="P7895" s="13">
        <f>IFERROR(__xludf.DUMMYFUNCTION("VALUE(SUBSTITUTE((INDEX(SPLIT(A7895,"",""),1)),""."","","",1))"),55.234753)</f>
        <v>55.234753</v>
      </c>
      <c r="Q7895" s="13">
        <f>IFERROR(__xludf.DUMMYFUNCTION("VALUE(SUBSTITUTE((INDEX(SPLIT(A7895,"",""),2)),""."","","",1))"),84.385878)</f>
        <v>84.385878</v>
      </c>
      <c r="R7895" s="14" t="b">
        <f t="shared" si="1"/>
        <v>0</v>
      </c>
      <c r="S7895" s="14" t="str">
        <f t="shared" si="2"/>
        <v>55.234753,84.385878</v>
      </c>
      <c r="T7895" s="12"/>
    </row>
    <row r="7896">
      <c r="A7896" s="10" t="s">
        <v>28995</v>
      </c>
      <c r="B7896" s="8" t="s">
        <v>50529</v>
      </c>
      <c r="C7896" s="8" t="s">
        <v>50530</v>
      </c>
      <c r="D7896" s="8" t="s">
        <v>16</v>
      </c>
      <c r="E7896" s="9" t="s">
        <v>50531</v>
      </c>
      <c r="F7896" s="10" t="s">
        <v>16731</v>
      </c>
      <c r="G7896" s="8">
        <v>23.61</v>
      </c>
      <c r="H7896" s="8"/>
      <c r="I7896" s="10"/>
      <c r="J7896" s="10" t="s">
        <v>50532</v>
      </c>
      <c r="K7896" s="10" t="s">
        <v>50533</v>
      </c>
      <c r="L7896" s="11" t="s">
        <v>50534</v>
      </c>
      <c r="M7896" s="10"/>
      <c r="N7896" s="12"/>
      <c r="O7896" s="12"/>
      <c r="P7896" s="13">
        <f>IFERROR(__xludf.DUMMYFUNCTION("VALUE(SUBSTITUTE((INDEX(SPLIT(A7896,"",""),1)),""."","","",1))"),52.519125)</f>
        <v>52.519125</v>
      </c>
      <c r="Q7896" s="13">
        <f>IFERROR(__xludf.DUMMYFUNCTION("VALUE(SUBSTITUTE((INDEX(SPLIT(A7896,"",""),2)),""."","","",1))"),85.125479)</f>
        <v>85.125479</v>
      </c>
      <c r="R7896" s="14" t="b">
        <f t="shared" si="1"/>
        <v>0</v>
      </c>
      <c r="S7896" s="14" t="str">
        <f t="shared" si="2"/>
        <v>52.519125,85.125479</v>
      </c>
      <c r="T7896" s="12"/>
    </row>
    <row r="7897">
      <c r="A7897" s="22" t="s">
        <v>28995</v>
      </c>
      <c r="B7897" s="16" t="s">
        <v>50535</v>
      </c>
      <c r="C7897" s="16" t="s">
        <v>50536</v>
      </c>
      <c r="D7897" s="16" t="s">
        <v>16</v>
      </c>
      <c r="E7897" s="21" t="s">
        <v>50537</v>
      </c>
      <c r="F7897" s="22" t="s">
        <v>16731</v>
      </c>
      <c r="G7897" s="16">
        <v>23.61</v>
      </c>
      <c r="H7897" s="16"/>
      <c r="I7897" s="22"/>
      <c r="J7897" s="22" t="s">
        <v>50538</v>
      </c>
      <c r="K7897" s="22" t="s">
        <v>50539</v>
      </c>
      <c r="L7897" s="23" t="s">
        <v>50540</v>
      </c>
      <c r="M7897" s="22"/>
      <c r="N7897" s="12"/>
      <c r="O7897" s="12"/>
      <c r="P7897" s="13">
        <f>IFERROR(__xludf.DUMMYFUNCTION("VALUE(SUBSTITUTE((INDEX(SPLIT(A7897,"",""),1)),""."","","",1))"),52.519125)</f>
        <v>52.519125</v>
      </c>
      <c r="Q7897" s="13">
        <f>IFERROR(__xludf.DUMMYFUNCTION("VALUE(SUBSTITUTE((INDEX(SPLIT(A7897,"",""),2)),""."","","",1))"),85.125479)</f>
        <v>85.125479</v>
      </c>
      <c r="R7897" s="14" t="b">
        <f t="shared" si="1"/>
        <v>0</v>
      </c>
      <c r="S7897" s="14" t="str">
        <f t="shared" si="2"/>
        <v>52.519125,85.125479</v>
      </c>
      <c r="T7897" s="12"/>
    </row>
    <row r="7898">
      <c r="A7898" s="10" t="s">
        <v>29005</v>
      </c>
      <c r="B7898" s="8" t="s">
        <v>50541</v>
      </c>
      <c r="C7898" s="8" t="s">
        <v>50542</v>
      </c>
      <c r="D7898" s="8" t="s">
        <v>16</v>
      </c>
      <c r="E7898" s="9" t="s">
        <v>50543</v>
      </c>
      <c r="F7898" s="10" t="s">
        <v>16731</v>
      </c>
      <c r="G7898" s="8">
        <v>23.61</v>
      </c>
      <c r="H7898" s="8"/>
      <c r="I7898" s="10"/>
      <c r="J7898" s="10" t="s">
        <v>50544</v>
      </c>
      <c r="K7898" s="10" t="s">
        <v>50545</v>
      </c>
      <c r="L7898" s="11" t="s">
        <v>50546</v>
      </c>
      <c r="M7898" s="10"/>
      <c r="N7898" s="12"/>
      <c r="O7898" s="12"/>
      <c r="P7898" s="13">
        <f>IFERROR(__xludf.DUMMYFUNCTION("VALUE(SUBSTITUTE((INDEX(SPLIT(A7898,"",""),1)),""."","","",1))"),52.51399)</f>
        <v>52.51399</v>
      </c>
      <c r="Q7898" s="13">
        <f>IFERROR(__xludf.DUMMYFUNCTION("VALUE(SUBSTITUTE((INDEX(SPLIT(A7898,"",""),2)),""."","","",1))"),85.126198)</f>
        <v>85.126198</v>
      </c>
      <c r="R7898" s="14" t="b">
        <f t="shared" si="1"/>
        <v>0</v>
      </c>
      <c r="S7898" s="14" t="str">
        <f t="shared" si="2"/>
        <v>52.51399,85.126198</v>
      </c>
      <c r="T7898" s="12"/>
    </row>
    <row r="7899">
      <c r="A7899" s="22" t="s">
        <v>29005</v>
      </c>
      <c r="B7899" s="16" t="s">
        <v>50547</v>
      </c>
      <c r="C7899" s="16" t="s">
        <v>50548</v>
      </c>
      <c r="D7899" s="16" t="s">
        <v>16</v>
      </c>
      <c r="E7899" s="21" t="s">
        <v>50549</v>
      </c>
      <c r="F7899" s="22" t="s">
        <v>16731</v>
      </c>
      <c r="G7899" s="16">
        <v>23.61</v>
      </c>
      <c r="H7899" s="16"/>
      <c r="I7899" s="22"/>
      <c r="J7899" s="22" t="s">
        <v>50550</v>
      </c>
      <c r="K7899" s="22" t="s">
        <v>50551</v>
      </c>
      <c r="L7899" s="23" t="s">
        <v>50552</v>
      </c>
      <c r="M7899" s="22"/>
      <c r="N7899" s="12"/>
      <c r="O7899" s="12"/>
      <c r="P7899" s="13">
        <f>IFERROR(__xludf.DUMMYFUNCTION("VALUE(SUBSTITUTE((INDEX(SPLIT(A7899,"",""),1)),""."","","",1))"),52.51399)</f>
        <v>52.51399</v>
      </c>
      <c r="Q7899" s="13">
        <f>IFERROR(__xludf.DUMMYFUNCTION("VALUE(SUBSTITUTE((INDEX(SPLIT(A7899,"",""),2)),""."","","",1))"),85.126198)</f>
        <v>85.126198</v>
      </c>
      <c r="R7899" s="14" t="b">
        <f t="shared" si="1"/>
        <v>0</v>
      </c>
      <c r="S7899" s="14" t="str">
        <f t="shared" si="2"/>
        <v>52.51399,85.126198</v>
      </c>
      <c r="T7899" s="12"/>
    </row>
    <row r="7900">
      <c r="A7900" s="10" t="s">
        <v>29005</v>
      </c>
      <c r="B7900" s="8" t="s">
        <v>50553</v>
      </c>
      <c r="C7900" s="8" t="s">
        <v>50554</v>
      </c>
      <c r="D7900" s="8" t="s">
        <v>16</v>
      </c>
      <c r="E7900" s="9" t="s">
        <v>50555</v>
      </c>
      <c r="F7900" s="10" t="s">
        <v>16731</v>
      </c>
      <c r="G7900" s="8">
        <v>23.61</v>
      </c>
      <c r="H7900" s="8"/>
      <c r="I7900" s="10"/>
      <c r="J7900" s="10" t="s">
        <v>50556</v>
      </c>
      <c r="K7900" s="10" t="s">
        <v>50557</v>
      </c>
      <c r="L7900" s="11" t="s">
        <v>50546</v>
      </c>
      <c r="M7900" s="11" t="s">
        <v>50558</v>
      </c>
      <c r="N7900" s="12"/>
      <c r="O7900" s="12"/>
      <c r="P7900" s="13">
        <f>IFERROR(__xludf.DUMMYFUNCTION("VALUE(SUBSTITUTE((INDEX(SPLIT(A7900,"",""),1)),""."","","",1))"),52.51399)</f>
        <v>52.51399</v>
      </c>
      <c r="Q7900" s="13">
        <f>IFERROR(__xludf.DUMMYFUNCTION("VALUE(SUBSTITUTE((INDEX(SPLIT(A7900,"",""),2)),""."","","",1))"),85.126198)</f>
        <v>85.126198</v>
      </c>
      <c r="R7900" s="14" t="b">
        <f t="shared" si="1"/>
        <v>0</v>
      </c>
      <c r="S7900" s="14" t="str">
        <f t="shared" si="2"/>
        <v>52.51399,85.126198</v>
      </c>
      <c r="T7900" s="12"/>
    </row>
    <row r="7901">
      <c r="A7901" s="16" t="s">
        <v>29024</v>
      </c>
      <c r="B7901" s="16" t="s">
        <v>50559</v>
      </c>
      <c r="C7901" s="16" t="s">
        <v>50560</v>
      </c>
      <c r="D7901" s="16" t="s">
        <v>16</v>
      </c>
      <c r="E7901" s="17" t="s">
        <v>50561</v>
      </c>
      <c r="F7901" s="16" t="s">
        <v>16731</v>
      </c>
      <c r="G7901" s="16">
        <v>23.61</v>
      </c>
      <c r="H7901" s="16"/>
      <c r="I7901" s="16"/>
      <c r="J7901" s="16" t="s">
        <v>50562</v>
      </c>
      <c r="K7901" s="16" t="s">
        <v>50563</v>
      </c>
      <c r="L7901" s="16"/>
      <c r="M7901" s="25" t="s">
        <v>50564</v>
      </c>
      <c r="N7901" s="12"/>
      <c r="O7901" s="12"/>
      <c r="P7901" s="13">
        <f>IFERROR(__xludf.DUMMYFUNCTION("VALUE(SUBSTITUTE((INDEX(SPLIT(A7901,"",""),1)),""."","","",1))"),52.50743)</f>
        <v>52.50743</v>
      </c>
      <c r="Q7901" s="13">
        <f>IFERROR(__xludf.DUMMYFUNCTION("VALUE(SUBSTITUTE((INDEX(SPLIT(A7901,"",""),2)),""."","","",1))"),85.131067)</f>
        <v>85.131067</v>
      </c>
      <c r="R7901" s="14" t="b">
        <f t="shared" si="1"/>
        <v>0</v>
      </c>
      <c r="S7901" s="14" t="str">
        <f t="shared" si="2"/>
        <v>52.50743,85.131067</v>
      </c>
      <c r="T7901" s="12"/>
    </row>
    <row r="7902">
      <c r="A7902" s="10" t="s">
        <v>29031</v>
      </c>
      <c r="B7902" s="8" t="s">
        <v>50565</v>
      </c>
      <c r="C7902" s="8" t="s">
        <v>50566</v>
      </c>
      <c r="D7902" s="8" t="s">
        <v>16</v>
      </c>
      <c r="E7902" s="9" t="s">
        <v>50567</v>
      </c>
      <c r="F7902" s="10" t="s">
        <v>16731</v>
      </c>
      <c r="G7902" s="8">
        <v>23.61</v>
      </c>
      <c r="H7902" s="8"/>
      <c r="I7902" s="10"/>
      <c r="J7902" s="10" t="s">
        <v>50568</v>
      </c>
      <c r="K7902" s="10" t="s">
        <v>37940</v>
      </c>
      <c r="L7902" s="11" t="s">
        <v>37941</v>
      </c>
      <c r="M7902" s="10"/>
      <c r="N7902" s="12"/>
      <c r="O7902" s="12"/>
      <c r="P7902" s="13">
        <f>IFERROR(__xludf.DUMMYFUNCTION("VALUE(SUBSTITUTE((INDEX(SPLIT(A7902,"",""),1)),""."","","",1))"),52.492282)</f>
        <v>52.492282</v>
      </c>
      <c r="Q7902" s="13">
        <f>IFERROR(__xludf.DUMMYFUNCTION("VALUE(SUBSTITUTE((INDEX(SPLIT(A7902,"",""),2)),""."","","",1))"),85.145413)</f>
        <v>85.145413</v>
      </c>
      <c r="R7902" s="14" t="b">
        <f t="shared" si="1"/>
        <v>0</v>
      </c>
      <c r="S7902" s="14" t="str">
        <f t="shared" si="2"/>
        <v>52.492282,85.145413</v>
      </c>
      <c r="T7902" s="12"/>
    </row>
    <row r="7903">
      <c r="A7903" s="16" t="s">
        <v>29031</v>
      </c>
      <c r="B7903" s="16" t="s">
        <v>50569</v>
      </c>
      <c r="C7903" s="16" t="s">
        <v>50570</v>
      </c>
      <c r="D7903" s="16" t="s">
        <v>16</v>
      </c>
      <c r="E7903" s="17" t="s">
        <v>50571</v>
      </c>
      <c r="F7903" s="16" t="s">
        <v>16731</v>
      </c>
      <c r="G7903" s="16">
        <v>23.61</v>
      </c>
      <c r="H7903" s="16"/>
      <c r="I7903" s="16"/>
      <c r="J7903" s="16" t="s">
        <v>50572</v>
      </c>
      <c r="K7903" s="16" t="s">
        <v>37940</v>
      </c>
      <c r="L7903" s="16"/>
      <c r="M7903" s="25" t="s">
        <v>50573</v>
      </c>
      <c r="N7903" s="12"/>
      <c r="O7903" s="12"/>
      <c r="P7903" s="13">
        <f>IFERROR(__xludf.DUMMYFUNCTION("VALUE(SUBSTITUTE((INDEX(SPLIT(A7903,"",""),1)),""."","","",1))"),52.492282)</f>
        <v>52.492282</v>
      </c>
      <c r="Q7903" s="13">
        <f>IFERROR(__xludf.DUMMYFUNCTION("VALUE(SUBSTITUTE((INDEX(SPLIT(A7903,"",""),2)),""."","","",1))"),85.145413)</f>
        <v>85.145413</v>
      </c>
      <c r="R7903" s="14" t="b">
        <f t="shared" si="1"/>
        <v>0</v>
      </c>
      <c r="S7903" s="14" t="str">
        <f t="shared" si="2"/>
        <v>52.492282,85.145413</v>
      </c>
      <c r="T7903" s="12"/>
    </row>
    <row r="7904">
      <c r="A7904" s="16" t="s">
        <v>29050</v>
      </c>
      <c r="B7904" s="16" t="s">
        <v>50574</v>
      </c>
      <c r="C7904" s="16" t="s">
        <v>50575</v>
      </c>
      <c r="D7904" s="16" t="s">
        <v>16</v>
      </c>
      <c r="E7904" s="17" t="s">
        <v>50576</v>
      </c>
      <c r="F7904" s="16" t="s">
        <v>16731</v>
      </c>
      <c r="G7904" s="16">
        <v>23.61</v>
      </c>
      <c r="H7904" s="16"/>
      <c r="I7904" s="16"/>
      <c r="J7904" s="16" t="s">
        <v>50577</v>
      </c>
      <c r="K7904" s="16" t="s">
        <v>50578</v>
      </c>
      <c r="L7904" s="16"/>
      <c r="M7904" s="16"/>
      <c r="N7904" s="12"/>
      <c r="O7904" s="12"/>
      <c r="P7904" s="13">
        <f>IFERROR(__xludf.DUMMYFUNCTION("VALUE(SUBSTITUTE((INDEX(SPLIT(A7904,"",""),1)),""."","","",1))"),52.504174)</f>
        <v>52.504174</v>
      </c>
      <c r="Q7904" s="13">
        <f>IFERROR(__xludf.DUMMYFUNCTION("VALUE(SUBSTITUTE((INDEX(SPLIT(A7904,"",""),2)),""."","","",1))"),85.184894)</f>
        <v>85.184894</v>
      </c>
      <c r="R7904" s="14" t="b">
        <f t="shared" si="1"/>
        <v>0</v>
      </c>
      <c r="S7904" s="14" t="str">
        <f t="shared" si="2"/>
        <v>52.504174,85.184894</v>
      </c>
      <c r="T7904" s="12"/>
    </row>
    <row r="7905">
      <c r="A7905" s="10" t="s">
        <v>29054</v>
      </c>
      <c r="B7905" s="8" t="s">
        <v>50579</v>
      </c>
      <c r="C7905" s="8" t="s">
        <v>50580</v>
      </c>
      <c r="D7905" s="8" t="s">
        <v>16</v>
      </c>
      <c r="E7905" s="9" t="s">
        <v>50581</v>
      </c>
      <c r="F7905" s="10" t="s">
        <v>16731</v>
      </c>
      <c r="G7905" s="8">
        <v>23.61</v>
      </c>
      <c r="H7905" s="8"/>
      <c r="I7905" s="31" t="s">
        <v>50582</v>
      </c>
      <c r="J7905" s="10" t="s">
        <v>50583</v>
      </c>
      <c r="K7905" s="10" t="s">
        <v>50584</v>
      </c>
      <c r="L7905" s="11" t="s">
        <v>50585</v>
      </c>
      <c r="M7905" s="10"/>
      <c r="N7905" s="12"/>
      <c r="O7905" s="12"/>
      <c r="P7905" s="13">
        <f>IFERROR(__xludf.DUMMYFUNCTION("VALUE(SUBSTITUTE((INDEX(SPLIT(A7905,"",""),1)),""."","","",1))"),52.535748)</f>
        <v>52.535748</v>
      </c>
      <c r="Q7905" s="13">
        <f>IFERROR(__xludf.DUMMYFUNCTION("VALUE(SUBSTITUTE((INDEX(SPLIT(A7905,"",""),2)),""."","","",1))"),85.251495)</f>
        <v>85.251495</v>
      </c>
      <c r="R7905" s="14" t="b">
        <f t="shared" si="1"/>
        <v>0</v>
      </c>
      <c r="S7905" s="14" t="str">
        <f t="shared" si="2"/>
        <v>52.535748,85.251495</v>
      </c>
      <c r="T7905" s="12"/>
    </row>
    <row r="7906">
      <c r="A7906" s="16" t="s">
        <v>29060</v>
      </c>
      <c r="B7906" s="16" t="s">
        <v>50586</v>
      </c>
      <c r="C7906" s="16" t="s">
        <v>50587</v>
      </c>
      <c r="D7906" s="16" t="s">
        <v>16</v>
      </c>
      <c r="E7906" s="17" t="s">
        <v>50588</v>
      </c>
      <c r="F7906" s="16" t="s">
        <v>23481</v>
      </c>
      <c r="G7906" s="16">
        <v>23.61</v>
      </c>
      <c r="H7906" s="16"/>
      <c r="I7906" s="16"/>
      <c r="J7906" s="16" t="s">
        <v>50589</v>
      </c>
      <c r="K7906" s="16" t="s">
        <v>50590</v>
      </c>
      <c r="L7906" s="16"/>
      <c r="M7906" s="25" t="s">
        <v>50591</v>
      </c>
      <c r="N7906" s="12"/>
      <c r="O7906" s="12"/>
      <c r="P7906" s="13">
        <f>IFERROR(__xludf.DUMMYFUNCTION("VALUE(SUBSTITUTE((INDEX(SPLIT(A7906,"",""),1)),""."","","",1))"),51.981036)</f>
        <v>51.981036</v>
      </c>
      <c r="Q7906" s="13">
        <f>IFERROR(__xludf.DUMMYFUNCTION("VALUE(SUBSTITUTE((INDEX(SPLIT(A7906,"",""),2)),""."","","",1))"),85.85457)</f>
        <v>85.85457</v>
      </c>
      <c r="R7906" s="14" t="b">
        <f t="shared" si="1"/>
        <v>0</v>
      </c>
      <c r="S7906" s="14" t="str">
        <f t="shared" si="2"/>
        <v>51.981036,85.85457</v>
      </c>
      <c r="T7906" s="12"/>
    </row>
    <row r="7907">
      <c r="A7907" s="10" t="s">
        <v>29067</v>
      </c>
      <c r="B7907" s="8" t="s">
        <v>50592</v>
      </c>
      <c r="C7907" s="8" t="s">
        <v>50593</v>
      </c>
      <c r="D7907" s="8" t="s">
        <v>16</v>
      </c>
      <c r="E7907" s="9" t="s">
        <v>50594</v>
      </c>
      <c r="F7907" s="10" t="s">
        <v>23481</v>
      </c>
      <c r="G7907" s="8">
        <v>23.61</v>
      </c>
      <c r="H7907" s="8"/>
      <c r="I7907" s="10"/>
      <c r="J7907" s="10" t="s">
        <v>50595</v>
      </c>
      <c r="K7907" s="10" t="s">
        <v>50596</v>
      </c>
      <c r="L7907" s="11" t="s">
        <v>50597</v>
      </c>
      <c r="M7907" s="10"/>
      <c r="N7907" s="12"/>
      <c r="O7907" s="12"/>
      <c r="P7907" s="13">
        <f>IFERROR(__xludf.DUMMYFUNCTION("VALUE(SUBSTITUTE((INDEX(SPLIT(A7907,"",""),1)),""."","","",1))"),51.978695)</f>
        <v>51.978695</v>
      </c>
      <c r="Q7907" s="13">
        <f>IFERROR(__xludf.DUMMYFUNCTION("VALUE(SUBSTITUTE((INDEX(SPLIT(A7907,"",""),2)),""."","","",1))"),85.873677)</f>
        <v>85.873677</v>
      </c>
      <c r="R7907" s="14" t="b">
        <f t="shared" si="1"/>
        <v>0</v>
      </c>
      <c r="S7907" s="14" t="str">
        <f t="shared" si="2"/>
        <v>51.978695,85.873677</v>
      </c>
      <c r="T7907" s="12"/>
    </row>
    <row r="7908">
      <c r="A7908" s="16" t="s">
        <v>29075</v>
      </c>
      <c r="B7908" s="16" t="s">
        <v>20455</v>
      </c>
      <c r="C7908" s="16" t="s">
        <v>20456</v>
      </c>
      <c r="D7908" s="16" t="s">
        <v>16</v>
      </c>
      <c r="E7908" s="17" t="s">
        <v>50598</v>
      </c>
      <c r="F7908" s="16" t="s">
        <v>23481</v>
      </c>
      <c r="G7908" s="16">
        <v>23.61</v>
      </c>
      <c r="H7908" s="16"/>
      <c r="I7908" s="16"/>
      <c r="J7908" s="16" t="s">
        <v>50599</v>
      </c>
      <c r="K7908" s="16" t="s">
        <v>50600</v>
      </c>
      <c r="L7908" s="16"/>
      <c r="M7908" s="16"/>
      <c r="N7908" s="12"/>
      <c r="O7908" s="12"/>
      <c r="P7908" s="13">
        <f>IFERROR(__xludf.DUMMYFUNCTION("VALUE(SUBSTITUTE((INDEX(SPLIT(A7908,"",""),1)),""."","","",1))"),51.983693)</f>
        <v>51.983693</v>
      </c>
      <c r="Q7908" s="13">
        <f>IFERROR(__xludf.DUMMYFUNCTION("VALUE(SUBSTITUTE((INDEX(SPLIT(A7908,"",""),2)),""."","","",1))"),85.886092)</f>
        <v>85.886092</v>
      </c>
      <c r="R7908" s="14" t="b">
        <f t="shared" si="1"/>
        <v>0</v>
      </c>
      <c r="S7908" s="14" t="str">
        <f t="shared" si="2"/>
        <v>51.983693,85.886092</v>
      </c>
      <c r="T7908" s="12"/>
    </row>
    <row r="7909">
      <c r="A7909" s="10" t="s">
        <v>29082</v>
      </c>
      <c r="B7909" s="8" t="s">
        <v>969</v>
      </c>
      <c r="C7909" s="8" t="s">
        <v>970</v>
      </c>
      <c r="D7909" s="8" t="s">
        <v>16</v>
      </c>
      <c r="E7909" s="9" t="s">
        <v>50601</v>
      </c>
      <c r="F7909" s="10" t="s">
        <v>23481</v>
      </c>
      <c r="G7909" s="8">
        <v>23.61</v>
      </c>
      <c r="H7909" s="8"/>
      <c r="I7909" s="10"/>
      <c r="J7909" s="10" t="s">
        <v>50602</v>
      </c>
      <c r="K7909" s="10" t="s">
        <v>50603</v>
      </c>
      <c r="L7909" s="11" t="s">
        <v>50604</v>
      </c>
      <c r="M7909" s="11" t="s">
        <v>50605</v>
      </c>
      <c r="N7909" s="12"/>
      <c r="O7909" s="12"/>
      <c r="P7909" s="13">
        <f>IFERROR(__xludf.DUMMYFUNCTION("VALUE(SUBSTITUTE((INDEX(SPLIT(A7909,"",""),1)),""."","","",1))"),51.96771)</f>
        <v>51.96771</v>
      </c>
      <c r="Q7909" s="13">
        <f>IFERROR(__xludf.DUMMYFUNCTION("VALUE(SUBSTITUTE((INDEX(SPLIT(A7909,"",""),2)),""."","","",1))"),85.897006)</f>
        <v>85.897006</v>
      </c>
      <c r="R7909" s="14" t="b">
        <f t="shared" si="1"/>
        <v>0</v>
      </c>
      <c r="S7909" s="14" t="str">
        <f t="shared" si="2"/>
        <v>51.96771,85.897006</v>
      </c>
      <c r="T7909" s="12"/>
    </row>
    <row r="7910">
      <c r="A7910" s="16" t="s">
        <v>29088</v>
      </c>
      <c r="B7910" s="16" t="s">
        <v>39246</v>
      </c>
      <c r="C7910" s="16" t="s">
        <v>50606</v>
      </c>
      <c r="D7910" s="16" t="s">
        <v>16</v>
      </c>
      <c r="E7910" s="17" t="s">
        <v>50607</v>
      </c>
      <c r="F7910" s="16" t="s">
        <v>23481</v>
      </c>
      <c r="G7910" s="16">
        <v>23.61</v>
      </c>
      <c r="H7910" s="16"/>
      <c r="I7910" s="16"/>
      <c r="J7910" s="16" t="s">
        <v>50608</v>
      </c>
      <c r="K7910" s="16" t="s">
        <v>50609</v>
      </c>
      <c r="L7910" s="16"/>
      <c r="M7910" s="25" t="s">
        <v>50610</v>
      </c>
      <c r="N7910" s="12"/>
      <c r="O7910" s="12"/>
      <c r="P7910" s="13">
        <f>IFERROR(__xludf.DUMMYFUNCTION("VALUE(SUBSTITUTE((INDEX(SPLIT(A7910,"",""),1)),""."","","",1))"),51.954585)</f>
        <v>51.954585</v>
      </c>
      <c r="Q7910" s="13">
        <f>IFERROR(__xludf.DUMMYFUNCTION("VALUE(SUBSTITUTE((INDEX(SPLIT(A7910,"",""),2)),""."","","",1))"),85.946926)</f>
        <v>85.946926</v>
      </c>
      <c r="R7910" s="14" t="b">
        <f t="shared" si="1"/>
        <v>0</v>
      </c>
      <c r="S7910" s="14" t="str">
        <f t="shared" si="2"/>
        <v>51.954585,85.946926</v>
      </c>
      <c r="T7910" s="12"/>
    </row>
    <row r="7911">
      <c r="A7911" s="10" t="s">
        <v>29108</v>
      </c>
      <c r="B7911" s="8" t="s">
        <v>50611</v>
      </c>
      <c r="C7911" s="8" t="s">
        <v>50612</v>
      </c>
      <c r="D7911" s="8" t="s">
        <v>16</v>
      </c>
      <c r="E7911" s="9" t="s">
        <v>50613</v>
      </c>
      <c r="F7911" s="10" t="s">
        <v>23481</v>
      </c>
      <c r="G7911" s="8">
        <v>23.61</v>
      </c>
      <c r="H7911" s="8"/>
      <c r="I7911" s="10"/>
      <c r="J7911" s="10" t="s">
        <v>50614</v>
      </c>
      <c r="K7911" s="10" t="s">
        <v>50615</v>
      </c>
      <c r="L7911" s="11" t="s">
        <v>50616</v>
      </c>
      <c r="M7911" s="10"/>
      <c r="N7911" s="12"/>
      <c r="O7911" s="12"/>
      <c r="P7911" s="13">
        <f>IFERROR(__xludf.DUMMYFUNCTION("VALUE(SUBSTITUTE((INDEX(SPLIT(A7911,"",""),1)),""."","","",1))"),51.894779)</f>
        <v>51.894779</v>
      </c>
      <c r="Q7911" s="13">
        <f>IFERROR(__xludf.DUMMYFUNCTION("VALUE(SUBSTITUTE((INDEX(SPLIT(A7911,"",""),2)),""."","","",1))"),85.990323)</f>
        <v>85.990323</v>
      </c>
      <c r="R7911" s="14" t="b">
        <f t="shared" si="1"/>
        <v>0</v>
      </c>
      <c r="S7911" s="14" t="str">
        <f t="shared" si="2"/>
        <v>51.894779,85.990323</v>
      </c>
      <c r="T7911" s="12"/>
    </row>
    <row r="7912">
      <c r="A7912" s="16" t="s">
        <v>29127</v>
      </c>
      <c r="B7912" s="16" t="s">
        <v>50617</v>
      </c>
      <c r="C7912" s="16" t="s">
        <v>50618</v>
      </c>
      <c r="D7912" s="16" t="s">
        <v>16</v>
      </c>
      <c r="E7912" s="17" t="s">
        <v>50619</v>
      </c>
      <c r="F7912" s="16" t="s">
        <v>24698</v>
      </c>
      <c r="G7912" s="16">
        <v>23.61</v>
      </c>
      <c r="H7912" s="16"/>
      <c r="I7912" s="16"/>
      <c r="J7912" s="16" t="s">
        <v>50620</v>
      </c>
      <c r="K7912" s="16" t="s">
        <v>50621</v>
      </c>
      <c r="L7912" s="16"/>
      <c r="M7912" s="16"/>
      <c r="N7912" s="12"/>
      <c r="O7912" s="12"/>
      <c r="P7912" s="13">
        <f>IFERROR(__xludf.DUMMYFUNCTION("VALUE(SUBSTITUTE((INDEX(SPLIT(A7912,"",""),1)),""."","","",1))"),54.293876)</f>
        <v>54.293876</v>
      </c>
      <c r="Q7912" s="13">
        <f>IFERROR(__xludf.DUMMYFUNCTION("VALUE(SUBSTITUTE((INDEX(SPLIT(A7912,"",""),2)),""."","","",1))"),85.994222)</f>
        <v>85.994222</v>
      </c>
      <c r="R7912" s="14" t="b">
        <f t="shared" si="1"/>
        <v>0</v>
      </c>
      <c r="S7912" s="14" t="str">
        <f t="shared" si="2"/>
        <v>54.293876,85.994222</v>
      </c>
      <c r="T7912" s="12"/>
    </row>
    <row r="7913">
      <c r="A7913" s="10" t="s">
        <v>29134</v>
      </c>
      <c r="B7913" s="8" t="s">
        <v>50622</v>
      </c>
      <c r="C7913" s="8" t="s">
        <v>50623</v>
      </c>
      <c r="D7913" s="8" t="s">
        <v>16</v>
      </c>
      <c r="E7913" s="9" t="s">
        <v>50624</v>
      </c>
      <c r="F7913" s="10" t="s">
        <v>23481</v>
      </c>
      <c r="G7913" s="8">
        <v>23.61</v>
      </c>
      <c r="H7913" s="8"/>
      <c r="I7913" s="10"/>
      <c r="J7913" s="10" t="s">
        <v>50625</v>
      </c>
      <c r="K7913" s="10" t="s">
        <v>50626</v>
      </c>
      <c r="L7913" s="11" t="s">
        <v>50627</v>
      </c>
      <c r="M7913" s="10"/>
      <c r="N7913" s="12"/>
      <c r="O7913" s="12"/>
      <c r="P7913" s="13">
        <f>IFERROR(__xludf.DUMMYFUNCTION("VALUE(SUBSTITUTE((INDEX(SPLIT(A7913,"",""),1)),""."","","",1))"),51.892834)</f>
        <v>51.892834</v>
      </c>
      <c r="Q7913" s="13">
        <f>IFERROR(__xludf.DUMMYFUNCTION("VALUE(SUBSTITUTE((INDEX(SPLIT(A7913,"",""),2)),""."","","",1))"),85.995596)</f>
        <v>85.995596</v>
      </c>
      <c r="R7913" s="14" t="b">
        <f t="shared" si="1"/>
        <v>0</v>
      </c>
      <c r="S7913" s="14" t="str">
        <f t="shared" si="2"/>
        <v>51.892834,85.995596</v>
      </c>
      <c r="T7913" s="12"/>
    </row>
    <row r="7914">
      <c r="A7914" s="16" t="s">
        <v>29140</v>
      </c>
      <c r="B7914" s="16" t="s">
        <v>50628</v>
      </c>
      <c r="C7914" s="16" t="s">
        <v>50629</v>
      </c>
      <c r="D7914" s="16" t="s">
        <v>16</v>
      </c>
      <c r="E7914" s="17" t="s">
        <v>50630</v>
      </c>
      <c r="F7914" s="16" t="s">
        <v>23481</v>
      </c>
      <c r="G7914" s="16">
        <v>23.61</v>
      </c>
      <c r="H7914" s="16"/>
      <c r="I7914" s="16"/>
      <c r="J7914" s="16" t="s">
        <v>50631</v>
      </c>
      <c r="K7914" s="16" t="s">
        <v>50632</v>
      </c>
      <c r="L7914" s="16"/>
      <c r="M7914" s="16"/>
      <c r="N7914" s="12"/>
      <c r="O7914" s="12"/>
      <c r="P7914" s="13">
        <f>IFERROR(__xludf.DUMMYFUNCTION("VALUE(SUBSTITUTE((INDEX(SPLIT(A7914,"",""),1)),""."","","",1))"),51.97424)</f>
        <v>51.97424</v>
      </c>
      <c r="Q7914" s="13">
        <f>IFERROR(__xludf.DUMMYFUNCTION("VALUE(SUBSTITUTE((INDEX(SPLIT(A7914,"",""),2)),""."","","",1))"),86.001714)</f>
        <v>86.001714</v>
      </c>
      <c r="R7914" s="14" t="b">
        <f t="shared" si="1"/>
        <v>0</v>
      </c>
      <c r="S7914" s="14" t="str">
        <f t="shared" si="2"/>
        <v>51.97424,86.001714</v>
      </c>
      <c r="T7914" s="12"/>
    </row>
    <row r="7915">
      <c r="A7915" s="10" t="s">
        <v>29194</v>
      </c>
      <c r="B7915" s="8" t="s">
        <v>50633</v>
      </c>
      <c r="C7915" s="8" t="s">
        <v>50634</v>
      </c>
      <c r="D7915" s="8" t="s">
        <v>16</v>
      </c>
      <c r="E7915" s="9" t="s">
        <v>50635</v>
      </c>
      <c r="F7915" s="10" t="s">
        <v>23481</v>
      </c>
      <c r="G7915" s="8">
        <v>23.61</v>
      </c>
      <c r="H7915" s="8"/>
      <c r="I7915" s="10"/>
      <c r="J7915" s="10" t="s">
        <v>50636</v>
      </c>
      <c r="K7915" s="10" t="s">
        <v>50637</v>
      </c>
      <c r="L7915" s="11" t="s">
        <v>50638</v>
      </c>
      <c r="M7915" s="10"/>
      <c r="N7915" s="12"/>
      <c r="O7915" s="12"/>
      <c r="P7915" s="13">
        <f>IFERROR(__xludf.DUMMYFUNCTION("VALUE(SUBSTITUTE((INDEX(SPLIT(A7915,"",""),1)),""."","","",1))"),50.738549)</f>
        <v>50.738549</v>
      </c>
      <c r="Q7915" s="13">
        <f>IFERROR(__xludf.DUMMYFUNCTION("VALUE(SUBSTITUTE((INDEX(SPLIT(A7915,"",""),2)),""."","","",1))"),86.149289)</f>
        <v>86.149289</v>
      </c>
      <c r="R7915" s="14" t="b">
        <f t="shared" si="1"/>
        <v>0</v>
      </c>
      <c r="S7915" s="14" t="str">
        <f t="shared" si="2"/>
        <v>50.738549,86.149289</v>
      </c>
      <c r="T7915" s="12"/>
    </row>
    <row r="7916">
      <c r="A7916" s="16" t="s">
        <v>29200</v>
      </c>
      <c r="B7916" s="16" t="s">
        <v>50639</v>
      </c>
      <c r="C7916" s="16" t="s">
        <v>50640</v>
      </c>
      <c r="D7916" s="16" t="s">
        <v>16</v>
      </c>
      <c r="E7916" s="17" t="s">
        <v>50641</v>
      </c>
      <c r="F7916" s="16" t="s">
        <v>24698</v>
      </c>
      <c r="G7916" s="16">
        <v>23.61</v>
      </c>
      <c r="H7916" s="16"/>
      <c r="I7916" s="16"/>
      <c r="J7916" s="16" t="s">
        <v>50642</v>
      </c>
      <c r="K7916" s="16" t="s">
        <v>50643</v>
      </c>
      <c r="L7916" s="16"/>
      <c r="M7916" s="16"/>
      <c r="N7916" s="12"/>
      <c r="O7916" s="12"/>
      <c r="P7916" s="13">
        <f>IFERROR(__xludf.DUMMYFUNCTION("VALUE(SUBSTITUTE((INDEX(SPLIT(A7916,"",""),1)),""."","","",1))"),54.663115)</f>
        <v>54.663115</v>
      </c>
      <c r="Q7916" s="13">
        <f>IFERROR(__xludf.DUMMYFUNCTION("VALUE(SUBSTITUTE((INDEX(SPLIT(A7916,"",""),2)),""."","","",1))"),86.152882)</f>
        <v>86.152882</v>
      </c>
      <c r="R7916" s="14" t="b">
        <f t="shared" si="1"/>
        <v>0</v>
      </c>
      <c r="S7916" s="14" t="str">
        <f t="shared" si="2"/>
        <v>54.663115,86.152882</v>
      </c>
      <c r="T7916" s="12"/>
    </row>
    <row r="7917">
      <c r="A7917" s="8" t="s">
        <v>29232</v>
      </c>
      <c r="B7917" s="8" t="s">
        <v>50644</v>
      </c>
      <c r="C7917" s="8" t="s">
        <v>50645</v>
      </c>
      <c r="D7917" s="8" t="s">
        <v>16</v>
      </c>
      <c r="E7917" s="19" t="s">
        <v>50646</v>
      </c>
      <c r="F7917" s="8" t="s">
        <v>24698</v>
      </c>
      <c r="G7917" s="8">
        <v>23.61</v>
      </c>
      <c r="H7917" s="8"/>
      <c r="I7917" s="8"/>
      <c r="J7917" s="8" t="s">
        <v>50647</v>
      </c>
      <c r="K7917" s="8" t="s">
        <v>50648</v>
      </c>
      <c r="L7917" s="8"/>
      <c r="M7917" s="8"/>
      <c r="N7917" s="12"/>
      <c r="O7917" s="12"/>
      <c r="P7917" s="13">
        <f>IFERROR(__xludf.DUMMYFUNCTION("VALUE(SUBSTITUTE((INDEX(SPLIT(A7917,"",""),1)),""."","","",1))"),53.856705)</f>
        <v>53.856705</v>
      </c>
      <c r="Q7917" s="13">
        <f>IFERROR(__xludf.DUMMYFUNCTION("VALUE(SUBSTITUTE((INDEX(SPLIT(A7917,"",""),2)),""."","","",1))"),86.646579)</f>
        <v>86.646579</v>
      </c>
      <c r="R7917" s="14" t="b">
        <f t="shared" si="1"/>
        <v>0</v>
      </c>
      <c r="S7917" s="14" t="str">
        <f t="shared" si="2"/>
        <v>53.856705,86.646579</v>
      </c>
      <c r="T7917" s="12"/>
    </row>
    <row r="7918">
      <c r="A7918" s="22" t="s">
        <v>29239</v>
      </c>
      <c r="B7918" s="16" t="s">
        <v>50649</v>
      </c>
      <c r="C7918" s="16" t="s">
        <v>50650</v>
      </c>
      <c r="D7918" s="16" t="s">
        <v>16</v>
      </c>
      <c r="E7918" s="21" t="s">
        <v>50651</v>
      </c>
      <c r="F7918" s="22" t="s">
        <v>24698</v>
      </c>
      <c r="G7918" s="16">
        <v>23.61</v>
      </c>
      <c r="H7918" s="16"/>
      <c r="I7918" s="22"/>
      <c r="J7918" s="22" t="s">
        <v>50652</v>
      </c>
      <c r="K7918" s="22" t="s">
        <v>50653</v>
      </c>
      <c r="L7918" s="23" t="s">
        <v>50654</v>
      </c>
      <c r="M7918" s="22"/>
      <c r="N7918" s="12"/>
      <c r="O7918" s="12"/>
      <c r="P7918" s="13">
        <f>IFERROR(__xludf.DUMMYFUNCTION("VALUE(SUBSTITUTE((INDEX(SPLIT(A7918,"",""),1)),""."","","",1))"),53.959802)</f>
        <v>53.959802</v>
      </c>
      <c r="Q7918" s="13">
        <f>IFERROR(__xludf.DUMMYFUNCTION("VALUE(SUBSTITUTE((INDEX(SPLIT(A7918,"",""),2)),""."","","",1))"),86.716971)</f>
        <v>86.716971</v>
      </c>
      <c r="R7918" s="14" t="b">
        <f t="shared" si="1"/>
        <v>0</v>
      </c>
      <c r="S7918" s="14" t="str">
        <f t="shared" si="2"/>
        <v>53.959802,86.716971</v>
      </c>
      <c r="T7918" s="12"/>
    </row>
    <row r="7919">
      <c r="A7919" s="22" t="s">
        <v>29252</v>
      </c>
      <c r="B7919" s="16" t="s">
        <v>50655</v>
      </c>
      <c r="C7919" s="16" t="s">
        <v>50656</v>
      </c>
      <c r="D7919" s="16" t="s">
        <v>16</v>
      </c>
      <c r="E7919" s="21" t="s">
        <v>50657</v>
      </c>
      <c r="F7919" s="22" t="s">
        <v>24698</v>
      </c>
      <c r="G7919" s="16">
        <v>23.61</v>
      </c>
      <c r="H7919" s="16"/>
      <c r="I7919" s="22"/>
      <c r="J7919" s="22" t="s">
        <v>50658</v>
      </c>
      <c r="K7919" s="22" t="s">
        <v>50659</v>
      </c>
      <c r="L7919" s="30" t="s">
        <v>50660</v>
      </c>
      <c r="M7919" s="22"/>
      <c r="N7919" s="12"/>
      <c r="O7919" s="12"/>
      <c r="P7919" s="13">
        <f>IFERROR(__xludf.DUMMYFUNCTION("VALUE(SUBSTITUTE((INDEX(SPLIT(A7919,"",""),1)),""."","","",1))"),55.004158)</f>
        <v>55.004158</v>
      </c>
      <c r="Q7919" s="13">
        <f>IFERROR(__xludf.DUMMYFUNCTION("VALUE(SUBSTITUTE((INDEX(SPLIT(A7919,"",""),2)),""."","","",1))"),86.948242)</f>
        <v>86.948242</v>
      </c>
      <c r="R7919" s="14" t="b">
        <f t="shared" si="1"/>
        <v>0</v>
      </c>
      <c r="S7919" s="14" t="str">
        <f t="shared" si="2"/>
        <v>55.004158,86.948242</v>
      </c>
      <c r="T7919" s="12"/>
    </row>
    <row r="7920">
      <c r="A7920" s="8" t="s">
        <v>29259</v>
      </c>
      <c r="B7920" s="8" t="s">
        <v>50661</v>
      </c>
      <c r="C7920" s="8" t="s">
        <v>50662</v>
      </c>
      <c r="D7920" s="8" t="s">
        <v>16</v>
      </c>
      <c r="E7920" s="19" t="s">
        <v>50663</v>
      </c>
      <c r="F7920" s="8" t="s">
        <v>24698</v>
      </c>
      <c r="G7920" s="8">
        <v>23.61</v>
      </c>
      <c r="H7920" s="8"/>
      <c r="I7920" s="8"/>
      <c r="J7920" s="8" t="s">
        <v>50664</v>
      </c>
      <c r="K7920" s="8" t="s">
        <v>50665</v>
      </c>
      <c r="L7920" s="8"/>
      <c r="M7920" s="24" t="s">
        <v>50666</v>
      </c>
      <c r="N7920" s="12"/>
      <c r="O7920" s="12"/>
      <c r="P7920" s="13">
        <f>IFERROR(__xludf.DUMMYFUNCTION("VALUE(SUBSTITUTE((INDEX(SPLIT(A7920,"",""),1)),""."","","",1))"),53.753576)</f>
        <v>53.753576</v>
      </c>
      <c r="Q7920" s="13">
        <f>IFERROR(__xludf.DUMMYFUNCTION("VALUE(SUBSTITUTE((INDEX(SPLIT(A7920,"",""),2)),""."","","",1))"),87.104908)</f>
        <v>87.104908</v>
      </c>
      <c r="R7920" s="14" t="b">
        <f t="shared" si="1"/>
        <v>0</v>
      </c>
      <c r="S7920" s="14" t="str">
        <f t="shared" si="2"/>
        <v>53.753576,87.104908</v>
      </c>
      <c r="T7920" s="12"/>
    </row>
    <row r="7921">
      <c r="A7921" s="16" t="s">
        <v>29264</v>
      </c>
      <c r="B7921" s="16" t="s">
        <v>50667</v>
      </c>
      <c r="C7921" s="16" t="s">
        <v>50668</v>
      </c>
      <c r="D7921" s="16" t="s">
        <v>16</v>
      </c>
      <c r="E7921" s="17" t="s">
        <v>50669</v>
      </c>
      <c r="F7921" s="16" t="s">
        <v>24698</v>
      </c>
      <c r="G7921" s="16">
        <v>23.61</v>
      </c>
      <c r="H7921" s="16"/>
      <c r="I7921" s="16"/>
      <c r="J7921" s="16" t="s">
        <v>50670</v>
      </c>
      <c r="K7921" s="16" t="s">
        <v>50671</v>
      </c>
      <c r="L7921" s="16"/>
      <c r="M7921" s="16"/>
      <c r="N7921" s="12"/>
      <c r="O7921" s="12"/>
      <c r="P7921" s="13">
        <f>IFERROR(__xludf.DUMMYFUNCTION("VALUE(SUBSTITUTE((INDEX(SPLIT(A7921,"",""),1)),""."","","",1))"),53.743135)</f>
        <v>53.743135</v>
      </c>
      <c r="Q7921" s="13">
        <f>IFERROR(__xludf.DUMMYFUNCTION("VALUE(SUBSTITUTE((INDEX(SPLIT(A7921,"",""),2)),""."","","",1))"),87.115535)</f>
        <v>87.115535</v>
      </c>
      <c r="R7921" s="14" t="b">
        <f t="shared" si="1"/>
        <v>0</v>
      </c>
      <c r="S7921" s="14" t="str">
        <f t="shared" si="2"/>
        <v>53.743135,87.115535</v>
      </c>
      <c r="T7921" s="12"/>
    </row>
    <row r="7922">
      <c r="A7922" s="8" t="s">
        <v>29272</v>
      </c>
      <c r="B7922" s="8" t="s">
        <v>4745</v>
      </c>
      <c r="C7922" s="8" t="s">
        <v>2779</v>
      </c>
      <c r="D7922" s="8" t="s">
        <v>16</v>
      </c>
      <c r="E7922" s="19" t="s">
        <v>50672</v>
      </c>
      <c r="F7922" s="8" t="s">
        <v>24698</v>
      </c>
      <c r="G7922" s="8">
        <v>23.61</v>
      </c>
      <c r="H7922" s="8"/>
      <c r="I7922" s="8"/>
      <c r="J7922" s="8" t="s">
        <v>50673</v>
      </c>
      <c r="K7922" s="8" t="s">
        <v>50674</v>
      </c>
      <c r="L7922" s="8"/>
      <c r="M7922" s="8"/>
      <c r="N7922" s="12"/>
      <c r="O7922" s="12"/>
      <c r="P7922" s="13">
        <f>IFERROR(__xludf.DUMMYFUNCTION("VALUE(SUBSTITUTE((INDEX(SPLIT(A7922,"",""),1)),""."","","",1))"),53.760512)</f>
        <v>53.760512</v>
      </c>
      <c r="Q7922" s="13">
        <f>IFERROR(__xludf.DUMMYFUNCTION("VALUE(SUBSTITUTE((INDEX(SPLIT(A7922,"",""),2)),""."","","",1))"),87.12371)</f>
        <v>87.12371</v>
      </c>
      <c r="R7922" s="14" t="b">
        <f t="shared" si="1"/>
        <v>0</v>
      </c>
      <c r="S7922" s="14" t="str">
        <f t="shared" si="2"/>
        <v>53.760512,87.12371</v>
      </c>
      <c r="T7922" s="12"/>
    </row>
    <row r="7923">
      <c r="A7923" s="22" t="s">
        <v>29280</v>
      </c>
      <c r="B7923" s="16" t="s">
        <v>32032</v>
      </c>
      <c r="C7923" s="16" t="s">
        <v>32033</v>
      </c>
      <c r="D7923" s="16" t="s">
        <v>16</v>
      </c>
      <c r="E7923" s="21" t="s">
        <v>50675</v>
      </c>
      <c r="F7923" s="22" t="s">
        <v>24698</v>
      </c>
      <c r="G7923" s="16">
        <v>23.61</v>
      </c>
      <c r="H7923" s="16"/>
      <c r="I7923" s="22"/>
      <c r="J7923" s="22" t="s">
        <v>50676</v>
      </c>
      <c r="K7923" s="22" t="s">
        <v>50677</v>
      </c>
      <c r="L7923" s="23" t="s">
        <v>50678</v>
      </c>
      <c r="M7923" s="22"/>
      <c r="N7923" s="12"/>
      <c r="O7923" s="12"/>
      <c r="P7923" s="13">
        <f>IFERROR(__xludf.DUMMYFUNCTION("VALUE(SUBSTITUTE((INDEX(SPLIT(A7923,"",""),1)),""."","","",1))"),53.793108)</f>
        <v>53.793108</v>
      </c>
      <c r="Q7923" s="13">
        <f>IFERROR(__xludf.DUMMYFUNCTION("VALUE(SUBSTITUTE((INDEX(SPLIT(A7923,"",""),2)),""."","","",1))"),87.123728)</f>
        <v>87.123728</v>
      </c>
      <c r="R7923" s="14" t="b">
        <f t="shared" si="1"/>
        <v>0</v>
      </c>
      <c r="S7923" s="14" t="str">
        <f t="shared" si="2"/>
        <v>53.793108,87.123728</v>
      </c>
      <c r="T7923" s="12"/>
    </row>
    <row r="7924">
      <c r="A7924" s="8" t="s">
        <v>29287</v>
      </c>
      <c r="B7924" s="8" t="s">
        <v>50679</v>
      </c>
      <c r="C7924" s="8" t="s">
        <v>50680</v>
      </c>
      <c r="D7924" s="8" t="s">
        <v>16</v>
      </c>
      <c r="E7924" s="19" t="s">
        <v>50681</v>
      </c>
      <c r="F7924" s="8" t="s">
        <v>24698</v>
      </c>
      <c r="G7924" s="8">
        <v>23.61</v>
      </c>
      <c r="H7924" s="8"/>
      <c r="I7924" s="8"/>
      <c r="J7924" s="8" t="s">
        <v>50682</v>
      </c>
      <c r="K7924" s="8" t="s">
        <v>50683</v>
      </c>
      <c r="L7924" s="8"/>
      <c r="M7924" s="24" t="s">
        <v>50684</v>
      </c>
      <c r="N7924" s="12"/>
      <c r="O7924" s="12"/>
      <c r="P7924" s="13">
        <f>IFERROR(__xludf.DUMMYFUNCTION("VALUE(SUBSTITUTE((INDEX(SPLIT(A7924,"",""),1)),""."","","",1))"),53.784597)</f>
        <v>53.784597</v>
      </c>
      <c r="Q7924" s="13">
        <f>IFERROR(__xludf.DUMMYFUNCTION("VALUE(SUBSTITUTE((INDEX(SPLIT(A7924,"",""),2)),""."","","",1))"),87.1238)</f>
        <v>87.1238</v>
      </c>
      <c r="R7924" s="14" t="b">
        <f t="shared" si="1"/>
        <v>0</v>
      </c>
      <c r="S7924" s="14" t="str">
        <f t="shared" si="2"/>
        <v>53.784597,87.1238</v>
      </c>
      <c r="T7924" s="12"/>
    </row>
    <row r="7925">
      <c r="A7925" s="16" t="s">
        <v>29294</v>
      </c>
      <c r="B7925" s="16" t="s">
        <v>50685</v>
      </c>
      <c r="C7925" s="16" t="s">
        <v>50686</v>
      </c>
      <c r="D7925" s="16" t="s">
        <v>16</v>
      </c>
      <c r="E7925" s="17" t="s">
        <v>50687</v>
      </c>
      <c r="F7925" s="16" t="s">
        <v>24698</v>
      </c>
      <c r="G7925" s="16">
        <v>23.61</v>
      </c>
      <c r="H7925" s="16"/>
      <c r="I7925" s="16"/>
      <c r="J7925" s="16" t="s">
        <v>50688</v>
      </c>
      <c r="K7925" s="16" t="s">
        <v>50689</v>
      </c>
      <c r="L7925" s="16"/>
      <c r="M7925" s="25" t="s">
        <v>50690</v>
      </c>
      <c r="N7925" s="12"/>
      <c r="O7925" s="12"/>
      <c r="P7925" s="13">
        <f>IFERROR(__xludf.DUMMYFUNCTION("VALUE(SUBSTITUTE((INDEX(SPLIT(A7925,"",""),1)),""."","","",1))"),53.891168)</f>
        <v>53.891168</v>
      </c>
      <c r="Q7925" s="13">
        <f>IFERROR(__xludf.DUMMYFUNCTION("VALUE(SUBSTITUTE((INDEX(SPLIT(A7925,"",""),2)),""."","","",1))"),87.125893)</f>
        <v>87.125893</v>
      </c>
      <c r="R7925" s="14" t="b">
        <f t="shared" si="1"/>
        <v>0</v>
      </c>
      <c r="S7925" s="14" t="str">
        <f t="shared" si="2"/>
        <v>53.891168,87.125893</v>
      </c>
      <c r="T7925" s="12"/>
    </row>
    <row r="7926">
      <c r="A7926" s="8" t="s">
        <v>29300</v>
      </c>
      <c r="B7926" s="8" t="s">
        <v>50691</v>
      </c>
      <c r="C7926" s="8" t="s">
        <v>50692</v>
      </c>
      <c r="D7926" s="8" t="s">
        <v>16</v>
      </c>
      <c r="E7926" s="19" t="s">
        <v>50693</v>
      </c>
      <c r="F7926" s="8" t="s">
        <v>24698</v>
      </c>
      <c r="G7926" s="8">
        <v>23.61</v>
      </c>
      <c r="H7926" s="8"/>
      <c r="I7926" s="8"/>
      <c r="J7926" s="8" t="s">
        <v>50694</v>
      </c>
      <c r="K7926" s="8" t="s">
        <v>50695</v>
      </c>
      <c r="L7926" s="8"/>
      <c r="M7926" s="24" t="s">
        <v>50696</v>
      </c>
      <c r="N7926" s="12"/>
      <c r="O7926" s="12"/>
      <c r="P7926" s="13">
        <f>IFERROR(__xludf.DUMMYFUNCTION("VALUE(SUBSTITUTE((INDEX(SPLIT(A7926,"",""),1)),""."","","",1))"),53.768289)</f>
        <v>53.768289</v>
      </c>
      <c r="Q7926" s="13">
        <f>IFERROR(__xludf.DUMMYFUNCTION("VALUE(SUBSTITUTE((INDEX(SPLIT(A7926,"",""),2)),""."","","",1))"),87.135064)</f>
        <v>87.135064</v>
      </c>
      <c r="R7926" s="14" t="b">
        <f t="shared" si="1"/>
        <v>0</v>
      </c>
      <c r="S7926" s="14" t="str">
        <f t="shared" si="2"/>
        <v>53.768289,87.135064</v>
      </c>
      <c r="T7926" s="12"/>
    </row>
    <row r="7927">
      <c r="A7927" s="22" t="s">
        <v>29307</v>
      </c>
      <c r="B7927" s="16" t="s">
        <v>50697</v>
      </c>
      <c r="C7927" s="16" t="s">
        <v>50698</v>
      </c>
      <c r="D7927" s="16" t="s">
        <v>16</v>
      </c>
      <c r="E7927" s="21" t="s">
        <v>50699</v>
      </c>
      <c r="F7927" s="22" t="s">
        <v>24698</v>
      </c>
      <c r="G7927" s="16">
        <v>23.61</v>
      </c>
      <c r="H7927" s="16"/>
      <c r="I7927" s="22"/>
      <c r="J7927" s="22" t="s">
        <v>50700</v>
      </c>
      <c r="K7927" s="22" t="s">
        <v>50701</v>
      </c>
      <c r="L7927" s="23" t="s">
        <v>50702</v>
      </c>
      <c r="M7927" s="22"/>
      <c r="N7927" s="12"/>
      <c r="O7927" s="12"/>
      <c r="P7927" s="13">
        <f>IFERROR(__xludf.DUMMYFUNCTION("VALUE(SUBSTITUTE((INDEX(SPLIT(A7927,"",""),1)),""."","","",1))"),53.752383)</f>
        <v>53.752383</v>
      </c>
      <c r="Q7927" s="13">
        <f>IFERROR(__xludf.DUMMYFUNCTION("VALUE(SUBSTITUTE((INDEX(SPLIT(A7927,"",""),2)),""."","","",1))"),87.136933)</f>
        <v>87.136933</v>
      </c>
      <c r="R7927" s="14" t="b">
        <f t="shared" si="1"/>
        <v>0</v>
      </c>
      <c r="S7927" s="14" t="str">
        <f t="shared" si="2"/>
        <v>53.752383,87.136933</v>
      </c>
      <c r="T7927" s="12"/>
    </row>
    <row r="7928">
      <c r="A7928" s="10" t="s">
        <v>29314</v>
      </c>
      <c r="B7928" s="8" t="s">
        <v>13329</v>
      </c>
      <c r="C7928" s="8" t="s">
        <v>13330</v>
      </c>
      <c r="D7928" s="8" t="s">
        <v>16</v>
      </c>
      <c r="E7928" s="9" t="s">
        <v>50703</v>
      </c>
      <c r="F7928" s="10" t="s">
        <v>24698</v>
      </c>
      <c r="G7928" s="8">
        <v>23.61</v>
      </c>
      <c r="H7928" s="8"/>
      <c r="I7928" s="10"/>
      <c r="J7928" s="10" t="s">
        <v>50704</v>
      </c>
      <c r="K7928" s="10" t="s">
        <v>50705</v>
      </c>
      <c r="L7928" s="11" t="s">
        <v>50706</v>
      </c>
      <c r="M7928" s="10"/>
      <c r="N7928" s="12"/>
      <c r="O7928" s="12"/>
      <c r="P7928" s="13">
        <f>IFERROR(__xludf.DUMMYFUNCTION("VALUE(SUBSTITUTE((INDEX(SPLIT(A7928,"",""),1)),""."","","",1))"),53.743577)</f>
        <v>53.743577</v>
      </c>
      <c r="Q7928" s="13">
        <f>IFERROR(__xludf.DUMMYFUNCTION("VALUE(SUBSTITUTE((INDEX(SPLIT(A7928,"",""),2)),""."","","",1))"),87.154809)</f>
        <v>87.154809</v>
      </c>
      <c r="R7928" s="14" t="b">
        <f t="shared" si="1"/>
        <v>0</v>
      </c>
      <c r="S7928" s="14" t="str">
        <f t="shared" si="2"/>
        <v>53.743577,87.154809</v>
      </c>
      <c r="T7928" s="12"/>
    </row>
    <row r="7929">
      <c r="A7929" s="22" t="s">
        <v>29321</v>
      </c>
      <c r="B7929" s="16" t="s">
        <v>50707</v>
      </c>
      <c r="C7929" s="16" t="s">
        <v>50708</v>
      </c>
      <c r="D7929" s="16" t="s">
        <v>16</v>
      </c>
      <c r="E7929" s="21" t="s">
        <v>50709</v>
      </c>
      <c r="F7929" s="22" t="s">
        <v>24698</v>
      </c>
      <c r="G7929" s="16">
        <v>23.61</v>
      </c>
      <c r="H7929" s="16"/>
      <c r="I7929" s="22"/>
      <c r="J7929" s="22" t="s">
        <v>50710</v>
      </c>
      <c r="K7929" s="22" t="s">
        <v>50711</v>
      </c>
      <c r="L7929" s="23" t="s">
        <v>50712</v>
      </c>
      <c r="M7929" s="22"/>
      <c r="N7929" s="12"/>
      <c r="O7929" s="12"/>
      <c r="P7929" s="13">
        <f>IFERROR(__xludf.DUMMYFUNCTION("VALUE(SUBSTITUTE((INDEX(SPLIT(A7929,"",""),1)),""."","","",1))"),53.668915)</f>
        <v>53.668915</v>
      </c>
      <c r="Q7929" s="13">
        <f>IFERROR(__xludf.DUMMYFUNCTION("VALUE(SUBSTITUTE((INDEX(SPLIT(A7929,"",""),2)),""."","","",1))"),87.158735)</f>
        <v>87.158735</v>
      </c>
      <c r="R7929" s="14" t="b">
        <f t="shared" si="1"/>
        <v>0</v>
      </c>
      <c r="S7929" s="14" t="str">
        <f t="shared" si="2"/>
        <v>53.668915,87.158735</v>
      </c>
      <c r="T7929" s="12"/>
    </row>
    <row r="7930">
      <c r="A7930" s="10" t="s">
        <v>29328</v>
      </c>
      <c r="B7930" s="8" t="s">
        <v>50713</v>
      </c>
      <c r="C7930" s="8" t="s">
        <v>50714</v>
      </c>
      <c r="D7930" s="8" t="s">
        <v>16</v>
      </c>
      <c r="E7930" s="9" t="s">
        <v>50715</v>
      </c>
      <c r="F7930" s="10" t="s">
        <v>24698</v>
      </c>
      <c r="G7930" s="8">
        <v>23.61</v>
      </c>
      <c r="H7930" s="8"/>
      <c r="I7930" s="10"/>
      <c r="J7930" s="10" t="s">
        <v>50716</v>
      </c>
      <c r="K7930" s="10" t="s">
        <v>50717</v>
      </c>
      <c r="L7930" s="11" t="s">
        <v>50718</v>
      </c>
      <c r="M7930" s="10"/>
      <c r="N7930" s="12"/>
      <c r="O7930" s="12"/>
      <c r="P7930" s="13">
        <f>IFERROR(__xludf.DUMMYFUNCTION("VALUE(SUBSTITUTE((INDEX(SPLIT(A7930,"",""),1)),""."","","",1))"),53.758724)</f>
        <v>53.758724</v>
      </c>
      <c r="Q7930" s="13">
        <f>IFERROR(__xludf.DUMMYFUNCTION("VALUE(SUBSTITUTE((INDEX(SPLIT(A7930,"",""),2)),""."","","",1))"),87.162265)</f>
        <v>87.162265</v>
      </c>
      <c r="R7930" s="14" t="b">
        <f t="shared" si="1"/>
        <v>0</v>
      </c>
      <c r="S7930" s="14" t="str">
        <f t="shared" si="2"/>
        <v>53.758724,87.162265</v>
      </c>
      <c r="T7930" s="12"/>
    </row>
    <row r="7931">
      <c r="A7931" s="16" t="s">
        <v>29335</v>
      </c>
      <c r="B7931" s="16" t="s">
        <v>50719</v>
      </c>
      <c r="C7931" s="16" t="s">
        <v>50720</v>
      </c>
      <c r="D7931" s="16" t="s">
        <v>16</v>
      </c>
      <c r="E7931" s="17" t="s">
        <v>50721</v>
      </c>
      <c r="F7931" s="16" t="s">
        <v>24698</v>
      </c>
      <c r="G7931" s="16">
        <v>23.61</v>
      </c>
      <c r="H7931" s="16"/>
      <c r="I7931" s="16"/>
      <c r="J7931" s="16" t="s">
        <v>50722</v>
      </c>
      <c r="K7931" s="16" t="s">
        <v>50723</v>
      </c>
      <c r="L7931" s="16"/>
      <c r="M7931" s="16"/>
      <c r="N7931" s="12"/>
      <c r="O7931" s="12"/>
      <c r="P7931" s="13">
        <f>IFERROR(__xludf.DUMMYFUNCTION("VALUE(SUBSTITUTE((INDEX(SPLIT(A7931,"",""),1)),""."","","",1))"),53.849392)</f>
        <v>53.849392</v>
      </c>
      <c r="Q7931" s="13">
        <f>IFERROR(__xludf.DUMMYFUNCTION("VALUE(SUBSTITUTE((INDEX(SPLIT(A7931,"",""),2)),""."","","",1))"),87.19588)</f>
        <v>87.19588</v>
      </c>
      <c r="R7931" s="14" t="b">
        <f t="shared" si="1"/>
        <v>0</v>
      </c>
      <c r="S7931" s="14" t="str">
        <f t="shared" si="2"/>
        <v>53.849392,87.19588</v>
      </c>
      <c r="T7931" s="12"/>
    </row>
    <row r="7932">
      <c r="A7932" s="10" t="s">
        <v>29340</v>
      </c>
      <c r="B7932" s="8" t="s">
        <v>50724</v>
      </c>
      <c r="C7932" s="8" t="s">
        <v>50725</v>
      </c>
      <c r="D7932" s="8" t="s">
        <v>16</v>
      </c>
      <c r="E7932" s="9" t="s">
        <v>50726</v>
      </c>
      <c r="F7932" s="10" t="s">
        <v>24698</v>
      </c>
      <c r="G7932" s="8">
        <v>23.61</v>
      </c>
      <c r="H7932" s="8"/>
      <c r="I7932" s="10"/>
      <c r="J7932" s="10" t="s">
        <v>50727</v>
      </c>
      <c r="K7932" s="10" t="s">
        <v>50728</v>
      </c>
      <c r="L7932" s="11" t="s">
        <v>50729</v>
      </c>
      <c r="M7932" s="11" t="s">
        <v>50730</v>
      </c>
      <c r="N7932" s="12"/>
      <c r="O7932" s="12"/>
      <c r="P7932" s="13">
        <f>IFERROR(__xludf.DUMMYFUNCTION("VALUE(SUBSTITUTE((INDEX(SPLIT(A7932,"",""),1)),""."","","",1))"),53.763855)</f>
        <v>53.763855</v>
      </c>
      <c r="Q7932" s="13">
        <f>IFERROR(__xludf.DUMMYFUNCTION("VALUE(SUBSTITUTE((INDEX(SPLIT(A7932,"",""),2)),""."","","",1))"),87.218751)</f>
        <v>87.218751</v>
      </c>
      <c r="R7932" s="14" t="b">
        <f t="shared" si="1"/>
        <v>0</v>
      </c>
      <c r="S7932" s="14" t="str">
        <f t="shared" si="2"/>
        <v>53.763855,87.218751</v>
      </c>
      <c r="T7932" s="12"/>
    </row>
    <row r="7933">
      <c r="A7933" s="16" t="s">
        <v>29347</v>
      </c>
      <c r="B7933" s="16" t="s">
        <v>33988</v>
      </c>
      <c r="C7933" s="16" t="s">
        <v>50731</v>
      </c>
      <c r="D7933" s="16" t="s">
        <v>16</v>
      </c>
      <c r="E7933" s="17" t="s">
        <v>50732</v>
      </c>
      <c r="F7933" s="16" t="s">
        <v>24698</v>
      </c>
      <c r="G7933" s="16">
        <v>23.61</v>
      </c>
      <c r="H7933" s="16"/>
      <c r="I7933" s="16"/>
      <c r="J7933" s="16" t="s">
        <v>50733</v>
      </c>
      <c r="K7933" s="16" t="s">
        <v>50734</v>
      </c>
      <c r="L7933" s="16"/>
      <c r="M7933" s="16"/>
      <c r="N7933" s="12"/>
      <c r="O7933" s="12"/>
      <c r="P7933" s="13">
        <f>IFERROR(__xludf.DUMMYFUNCTION("VALUE(SUBSTITUTE((INDEX(SPLIT(A7933,"",""),1)),""."","","",1))"),53.78048)</f>
        <v>53.78048</v>
      </c>
      <c r="Q7933" s="13">
        <f>IFERROR(__xludf.DUMMYFUNCTION("VALUE(SUBSTITUTE((INDEX(SPLIT(A7933,"",""),2)),""."","","",1))"),87.224231)</f>
        <v>87.224231</v>
      </c>
      <c r="R7933" s="14" t="b">
        <f t="shared" si="1"/>
        <v>0</v>
      </c>
      <c r="S7933" s="14" t="str">
        <f t="shared" si="2"/>
        <v>53.78048,87.224231</v>
      </c>
      <c r="T7933" s="12"/>
    </row>
    <row r="7934">
      <c r="A7934" s="8" t="s">
        <v>29354</v>
      </c>
      <c r="B7934" s="8" t="s">
        <v>50735</v>
      </c>
      <c r="C7934" s="8" t="s">
        <v>50736</v>
      </c>
      <c r="D7934" s="8" t="s">
        <v>16</v>
      </c>
      <c r="E7934" s="19" t="s">
        <v>50737</v>
      </c>
      <c r="F7934" s="8" t="s">
        <v>24698</v>
      </c>
      <c r="G7934" s="8">
        <v>23.61</v>
      </c>
      <c r="H7934" s="8"/>
      <c r="I7934" s="27" t="s">
        <v>50738</v>
      </c>
      <c r="J7934" s="8" t="s">
        <v>50739</v>
      </c>
      <c r="K7934" s="8" t="s">
        <v>50740</v>
      </c>
      <c r="L7934" s="8"/>
      <c r="M7934" s="8"/>
      <c r="N7934" s="12"/>
      <c r="O7934" s="12"/>
      <c r="P7934" s="13">
        <f>IFERROR(__xludf.DUMMYFUNCTION("VALUE(SUBSTITUTE((INDEX(SPLIT(A7934,"",""),1)),""."","","",1))"),53.524402)</f>
        <v>53.524402</v>
      </c>
      <c r="Q7934" s="13">
        <f>IFERROR(__xludf.DUMMYFUNCTION("VALUE(SUBSTITUTE((INDEX(SPLIT(A7934,"",""),2)),""."","","",1))"),87.272758)</f>
        <v>87.272758</v>
      </c>
      <c r="R7934" s="14" t="b">
        <f t="shared" si="1"/>
        <v>0</v>
      </c>
      <c r="S7934" s="14" t="str">
        <f t="shared" si="2"/>
        <v>53.524402,87.272758</v>
      </c>
      <c r="T7934" s="12"/>
    </row>
    <row r="7935">
      <c r="A7935" s="16" t="s">
        <v>29359</v>
      </c>
      <c r="B7935" s="16" t="s">
        <v>50741</v>
      </c>
      <c r="C7935" s="16" t="s">
        <v>50742</v>
      </c>
      <c r="D7935" s="16" t="s">
        <v>16</v>
      </c>
      <c r="E7935" s="17" t="s">
        <v>50743</v>
      </c>
      <c r="F7935" s="16" t="s">
        <v>24698</v>
      </c>
      <c r="G7935" s="16">
        <v>23.61</v>
      </c>
      <c r="H7935" s="16"/>
      <c r="I7935" s="16"/>
      <c r="J7935" s="16" t="s">
        <v>50744</v>
      </c>
      <c r="K7935" s="16" t="s">
        <v>50745</v>
      </c>
      <c r="L7935" s="16"/>
      <c r="M7935" s="25" t="s">
        <v>50730</v>
      </c>
      <c r="N7935" s="12"/>
      <c r="O7935" s="12"/>
      <c r="P7935" s="13">
        <f>IFERROR(__xludf.DUMMYFUNCTION("VALUE(SUBSTITUTE((INDEX(SPLIT(A7935,"",""),1)),""."","","",1))"),53.79296)</f>
        <v>53.79296</v>
      </c>
      <c r="Q7935" s="13">
        <f>IFERROR(__xludf.DUMMYFUNCTION("VALUE(SUBSTITUTE((INDEX(SPLIT(A7935,"",""),2)),""."","","",1))"),87.29818)</f>
        <v>87.29818</v>
      </c>
      <c r="R7935" s="14" t="b">
        <f t="shared" si="1"/>
        <v>0</v>
      </c>
      <c r="S7935" s="14" t="str">
        <f t="shared" si="2"/>
        <v>53.79296,87.29818</v>
      </c>
      <c r="T7935" s="12"/>
    </row>
    <row r="7936">
      <c r="A7936" s="10" t="s">
        <v>29365</v>
      </c>
      <c r="B7936" s="8" t="s">
        <v>50746</v>
      </c>
      <c r="C7936" s="8" t="s">
        <v>50747</v>
      </c>
      <c r="D7936" s="8" t="s">
        <v>16</v>
      </c>
      <c r="E7936" s="9" t="s">
        <v>50748</v>
      </c>
      <c r="F7936" s="10" t="s">
        <v>24698</v>
      </c>
      <c r="G7936" s="8">
        <v>23.61</v>
      </c>
      <c r="H7936" s="8"/>
      <c r="I7936" s="10"/>
      <c r="J7936" s="10" t="s">
        <v>50749</v>
      </c>
      <c r="K7936" s="10" t="s">
        <v>50750</v>
      </c>
      <c r="L7936" s="11" t="s">
        <v>50751</v>
      </c>
      <c r="M7936" s="11" t="s">
        <v>50752</v>
      </c>
      <c r="N7936" s="12"/>
      <c r="O7936" s="12"/>
      <c r="P7936" s="13">
        <f>IFERROR(__xludf.DUMMYFUNCTION("VALUE(SUBSTITUTE((INDEX(SPLIT(A7936,"",""),1)),""."","","",1))"),53.792603)</f>
        <v>53.792603</v>
      </c>
      <c r="Q7936" s="13">
        <f>IFERROR(__xludf.DUMMYFUNCTION("VALUE(SUBSTITUTE((INDEX(SPLIT(A7936,"",""),2)),""."","","",1))"),87.30472)</f>
        <v>87.30472</v>
      </c>
      <c r="R7936" s="14" t="b">
        <f t="shared" si="1"/>
        <v>0</v>
      </c>
      <c r="S7936" s="14" t="str">
        <f t="shared" si="2"/>
        <v>53.792603,87.30472</v>
      </c>
      <c r="T7936" s="12"/>
    </row>
    <row r="7937">
      <c r="A7937" s="16" t="s">
        <v>29373</v>
      </c>
      <c r="B7937" s="16" t="s">
        <v>50753</v>
      </c>
      <c r="C7937" s="16" t="s">
        <v>20165</v>
      </c>
      <c r="D7937" s="16" t="s">
        <v>16</v>
      </c>
      <c r="E7937" s="17" t="s">
        <v>50754</v>
      </c>
      <c r="F7937" s="16" t="s">
        <v>24698</v>
      </c>
      <c r="G7937" s="16">
        <v>23.61</v>
      </c>
      <c r="H7937" s="16"/>
      <c r="I7937" s="16"/>
      <c r="J7937" s="16" t="s">
        <v>50755</v>
      </c>
      <c r="K7937" s="16" t="s">
        <v>50756</v>
      </c>
      <c r="L7937" s="16"/>
      <c r="M7937" s="16"/>
      <c r="N7937" s="12"/>
      <c r="O7937" s="12"/>
      <c r="P7937" s="13">
        <f>IFERROR(__xludf.DUMMYFUNCTION("VALUE(SUBSTITUTE((INDEX(SPLIT(A7937,"",""),1)),""."","","",1))"),53.76707)</f>
        <v>53.76707</v>
      </c>
      <c r="Q7937" s="13">
        <f>IFERROR(__xludf.DUMMYFUNCTION("VALUE(SUBSTITUTE((INDEX(SPLIT(A7937,"",""),2)),""."","","",1))"),87.597364)</f>
        <v>87.597364</v>
      </c>
      <c r="R7937" s="14" t="b">
        <f t="shared" si="1"/>
        <v>0</v>
      </c>
      <c r="S7937" s="14" t="str">
        <f t="shared" si="2"/>
        <v>53.76707,87.597364</v>
      </c>
      <c r="T7937" s="12"/>
    </row>
    <row r="7938">
      <c r="A7938" s="10" t="s">
        <v>29380</v>
      </c>
      <c r="B7938" s="8" t="s">
        <v>763</v>
      </c>
      <c r="C7938" s="8" t="s">
        <v>764</v>
      </c>
      <c r="D7938" s="8" t="s">
        <v>16</v>
      </c>
      <c r="E7938" s="9" t="s">
        <v>50757</v>
      </c>
      <c r="F7938" s="10" t="s">
        <v>24698</v>
      </c>
      <c r="G7938" s="8">
        <v>23.61</v>
      </c>
      <c r="H7938" s="8"/>
      <c r="I7938" s="10"/>
      <c r="J7938" s="10" t="s">
        <v>50758</v>
      </c>
      <c r="K7938" s="10" t="s">
        <v>50759</v>
      </c>
      <c r="L7938" s="11" t="s">
        <v>50760</v>
      </c>
      <c r="M7938" s="10"/>
      <c r="N7938" s="12"/>
      <c r="O7938" s="12"/>
      <c r="P7938" s="13">
        <f>IFERROR(__xludf.DUMMYFUNCTION("VALUE(SUBSTITUTE((INDEX(SPLIT(A7938,"",""),1)),""."","","",1))"),53.733916)</f>
        <v>53.733916</v>
      </c>
      <c r="Q7938" s="13">
        <f>IFERROR(__xludf.DUMMYFUNCTION("VALUE(SUBSTITUTE((INDEX(SPLIT(A7938,"",""),2)),""."","","",1))"),87.685516)</f>
        <v>87.685516</v>
      </c>
      <c r="R7938" s="14" t="b">
        <f t="shared" si="1"/>
        <v>0</v>
      </c>
      <c r="S7938" s="14" t="str">
        <f t="shared" si="2"/>
        <v>53.733916,87.685516</v>
      </c>
      <c r="T7938" s="12"/>
    </row>
    <row r="7939">
      <c r="A7939" s="22" t="s">
        <v>49198</v>
      </c>
      <c r="B7939" s="16" t="s">
        <v>17326</v>
      </c>
      <c r="C7939" s="16" t="s">
        <v>17327</v>
      </c>
      <c r="D7939" s="16" t="s">
        <v>16</v>
      </c>
      <c r="E7939" s="21" t="s">
        <v>50761</v>
      </c>
      <c r="F7939" s="22" t="s">
        <v>26306</v>
      </c>
      <c r="G7939" s="16">
        <v>23.61</v>
      </c>
      <c r="H7939" s="16"/>
      <c r="I7939" s="22"/>
      <c r="J7939" s="22" t="s">
        <v>50762</v>
      </c>
      <c r="K7939" s="22" t="s">
        <v>50763</v>
      </c>
      <c r="L7939" s="23" t="s">
        <v>50764</v>
      </c>
      <c r="M7939" s="23" t="s">
        <v>50765</v>
      </c>
      <c r="N7939" s="12"/>
      <c r="O7939" s="12"/>
      <c r="P7939" s="13">
        <f>IFERROR(__xludf.DUMMYFUNCTION("VALUE(SUBSTITUTE((INDEX(SPLIT(A7939,"",""),1)),""."","","",1))"),69.345853)</f>
        <v>69.345853</v>
      </c>
      <c r="Q7939" s="13">
        <f>IFERROR(__xludf.DUMMYFUNCTION("VALUE(SUBSTITUTE((INDEX(SPLIT(A7939,"",""),2)),""."","","",1))"),88.203044)</f>
        <v>88.203044</v>
      </c>
      <c r="R7939" s="14" t="b">
        <f t="shared" si="1"/>
        <v>0</v>
      </c>
      <c r="S7939" s="14" t="str">
        <f t="shared" si="2"/>
        <v>69.345853,88.203044</v>
      </c>
      <c r="T7939" s="12"/>
    </row>
    <row r="7940">
      <c r="A7940" s="8" t="s">
        <v>49205</v>
      </c>
      <c r="B7940" s="8" t="s">
        <v>2830</v>
      </c>
      <c r="C7940" s="8" t="s">
        <v>2831</v>
      </c>
      <c r="D7940" s="8" t="s">
        <v>16</v>
      </c>
      <c r="E7940" s="19" t="s">
        <v>50766</v>
      </c>
      <c r="F7940" s="8" t="s">
        <v>26306</v>
      </c>
      <c r="G7940" s="8">
        <v>23.61</v>
      </c>
      <c r="H7940" s="8"/>
      <c r="I7940" s="8"/>
      <c r="J7940" s="8" t="s">
        <v>50767</v>
      </c>
      <c r="K7940" s="8" t="s">
        <v>50768</v>
      </c>
      <c r="L7940" s="8"/>
      <c r="M7940" s="8"/>
      <c r="N7940" s="12"/>
      <c r="O7940" s="12"/>
      <c r="P7940" s="13">
        <f>IFERROR(__xludf.DUMMYFUNCTION("VALUE(SUBSTITUTE((INDEX(SPLIT(A7940,"",""),1)),""."","","",1))"),69.326798)</f>
        <v>69.326798</v>
      </c>
      <c r="Q7940" s="13">
        <f>IFERROR(__xludf.DUMMYFUNCTION("VALUE(SUBSTITUTE((INDEX(SPLIT(A7940,"",""),2)),""."","","",1))"),88.208012)</f>
        <v>88.208012</v>
      </c>
      <c r="R7940" s="14" t="b">
        <f t="shared" si="1"/>
        <v>0</v>
      </c>
      <c r="S7940" s="14" t="str">
        <f t="shared" si="2"/>
        <v>69.326798,88.208012</v>
      </c>
      <c r="T7940" s="12"/>
    </row>
    <row r="7941">
      <c r="A7941" s="16" t="s">
        <v>29403</v>
      </c>
      <c r="B7941" s="16" t="s">
        <v>50769</v>
      </c>
      <c r="C7941" s="16" t="s">
        <v>50770</v>
      </c>
      <c r="D7941" s="16" t="s">
        <v>16</v>
      </c>
      <c r="E7941" s="17" t="s">
        <v>50771</v>
      </c>
      <c r="F7941" s="16" t="s">
        <v>24801</v>
      </c>
      <c r="G7941" s="16">
        <v>23.61</v>
      </c>
      <c r="H7941" s="16"/>
      <c r="I7941" s="16"/>
      <c r="J7941" s="16" t="s">
        <v>50772</v>
      </c>
      <c r="K7941" s="16" t="s">
        <v>50773</v>
      </c>
      <c r="L7941" s="16"/>
      <c r="M7941" s="25" t="s">
        <v>50774</v>
      </c>
      <c r="N7941" s="12"/>
      <c r="O7941" s="12"/>
      <c r="P7941" s="13">
        <f>IFERROR(__xludf.DUMMYFUNCTION("VALUE(SUBSTITUTE((INDEX(SPLIT(A7941,"",""),1)),""."","","",1))"),54.350421)</f>
        <v>54.350421</v>
      </c>
      <c r="Q7941" s="13">
        <f>IFERROR(__xludf.DUMMYFUNCTION("VALUE(SUBSTITUTE((INDEX(SPLIT(A7941,"",""),2)),""."","","",1))"),89.278202)</f>
        <v>89.278202</v>
      </c>
      <c r="R7941" s="14" t="b">
        <f t="shared" si="1"/>
        <v>0</v>
      </c>
      <c r="S7941" s="14" t="str">
        <f t="shared" si="2"/>
        <v>54.350421,89.278202</v>
      </c>
      <c r="T7941" s="12"/>
    </row>
    <row r="7942">
      <c r="A7942" s="22" t="s">
        <v>29472</v>
      </c>
      <c r="B7942" s="16" t="s">
        <v>50775</v>
      </c>
      <c r="C7942" s="16" t="s">
        <v>50776</v>
      </c>
      <c r="D7942" s="16" t="s">
        <v>16</v>
      </c>
      <c r="E7942" s="21" t="s">
        <v>50777</v>
      </c>
      <c r="F7942" s="22" t="s">
        <v>24801</v>
      </c>
      <c r="G7942" s="16">
        <v>23.61</v>
      </c>
      <c r="H7942" s="16"/>
      <c r="I7942" s="22"/>
      <c r="J7942" s="22" t="s">
        <v>50778</v>
      </c>
      <c r="K7942" s="22" t="s">
        <v>50779</v>
      </c>
      <c r="L7942" s="23" t="s">
        <v>50780</v>
      </c>
      <c r="M7942" s="22"/>
      <c r="N7942" s="12"/>
      <c r="O7942" s="12"/>
      <c r="P7942" s="13">
        <f>IFERROR(__xludf.DUMMYFUNCTION("VALUE(SUBSTITUTE((INDEX(SPLIT(A7942,"",""),1)),""."","","",1))"),53.80634)</f>
        <v>53.80634</v>
      </c>
      <c r="Q7942" s="13">
        <f>IFERROR(__xludf.DUMMYFUNCTION("VALUE(SUBSTITUTE((INDEX(SPLIT(A7942,"",""),2)),""."","","",1))"),91.334248)</f>
        <v>91.334248</v>
      </c>
      <c r="R7942" s="14" t="b">
        <f t="shared" si="1"/>
        <v>0</v>
      </c>
      <c r="S7942" s="14" t="str">
        <f t="shared" si="2"/>
        <v>53.80634,91.334248</v>
      </c>
      <c r="T7942" s="12"/>
    </row>
    <row r="7943">
      <c r="A7943" s="8" t="s">
        <v>29479</v>
      </c>
      <c r="B7943" s="8" t="s">
        <v>50781</v>
      </c>
      <c r="C7943" s="8" t="s">
        <v>50782</v>
      </c>
      <c r="D7943" s="8" t="s">
        <v>16</v>
      </c>
      <c r="E7943" s="19" t="s">
        <v>50783</v>
      </c>
      <c r="F7943" s="8" t="s">
        <v>24801</v>
      </c>
      <c r="G7943" s="8">
        <v>23.61</v>
      </c>
      <c r="H7943" s="8"/>
      <c r="I7943" s="8"/>
      <c r="J7943" s="8" t="s">
        <v>50784</v>
      </c>
      <c r="K7943" s="8" t="s">
        <v>50785</v>
      </c>
      <c r="L7943" s="8"/>
      <c r="M7943" s="24" t="s">
        <v>50786</v>
      </c>
      <c r="N7943" s="12"/>
      <c r="O7943" s="12"/>
      <c r="P7943" s="13">
        <f>IFERROR(__xludf.DUMMYFUNCTION("VALUE(SUBSTITUTE((INDEX(SPLIT(A7943,"",""),1)),""."","","",1))"),53.822187)</f>
        <v>53.822187</v>
      </c>
      <c r="Q7943" s="13">
        <f>IFERROR(__xludf.DUMMYFUNCTION("VALUE(SUBSTITUTE((INDEX(SPLIT(A7943,"",""),2)),""."","","",1))"),91.343986)</f>
        <v>91.343986</v>
      </c>
      <c r="R7943" s="14" t="b">
        <f t="shared" si="1"/>
        <v>0</v>
      </c>
      <c r="S7943" s="14" t="str">
        <f t="shared" si="2"/>
        <v>53.822187,91.343986</v>
      </c>
      <c r="T7943" s="12"/>
    </row>
    <row r="7944">
      <c r="A7944" s="16" t="s">
        <v>29484</v>
      </c>
      <c r="B7944" s="16" t="s">
        <v>50787</v>
      </c>
      <c r="C7944" s="16" t="s">
        <v>50788</v>
      </c>
      <c r="D7944" s="16" t="s">
        <v>16</v>
      </c>
      <c r="E7944" s="17" t="s">
        <v>50789</v>
      </c>
      <c r="F7944" s="16" t="s">
        <v>23481</v>
      </c>
      <c r="G7944" s="16">
        <v>23.61</v>
      </c>
      <c r="H7944" s="16"/>
      <c r="I7944" s="16"/>
      <c r="J7944" s="16" t="s">
        <v>50790</v>
      </c>
      <c r="K7944" s="16" t="s">
        <v>50791</v>
      </c>
      <c r="L7944" s="16"/>
      <c r="M7944" s="25" t="s">
        <v>50792</v>
      </c>
      <c r="N7944" s="12"/>
      <c r="O7944" s="12"/>
      <c r="P7944" s="13">
        <f>IFERROR(__xludf.DUMMYFUNCTION("VALUE(SUBSTITUTE((INDEX(SPLIT(A7944,"",""),1)),""."","","",1))"),53.81794)</f>
        <v>53.81794</v>
      </c>
      <c r="Q7944" s="13">
        <f>IFERROR(__xludf.DUMMYFUNCTION("VALUE(SUBSTITUTE((INDEX(SPLIT(A7944,"",""),2)),""."","","",1))"),91.34572)</f>
        <v>91.34572</v>
      </c>
      <c r="R7944" s="14" t="b">
        <f t="shared" si="1"/>
        <v>0</v>
      </c>
      <c r="S7944" s="14" t="str">
        <f t="shared" si="2"/>
        <v>53.81794,91.34572</v>
      </c>
      <c r="T7944" s="12"/>
    </row>
    <row r="7945">
      <c r="A7945" s="8" t="s">
        <v>29490</v>
      </c>
      <c r="B7945" s="8" t="s">
        <v>50793</v>
      </c>
      <c r="C7945" s="8" t="s">
        <v>50794</v>
      </c>
      <c r="D7945" s="8" t="s">
        <v>16</v>
      </c>
      <c r="E7945" s="19" t="s">
        <v>50795</v>
      </c>
      <c r="F7945" s="8" t="s">
        <v>24801</v>
      </c>
      <c r="G7945" s="8">
        <v>23.61</v>
      </c>
      <c r="H7945" s="8"/>
      <c r="I7945" s="8"/>
      <c r="J7945" s="8" t="s">
        <v>50796</v>
      </c>
      <c r="K7945" s="8" t="s">
        <v>50797</v>
      </c>
      <c r="L7945" s="8"/>
      <c r="M7945" s="8"/>
      <c r="N7945" s="12"/>
      <c r="O7945" s="12"/>
      <c r="P7945" s="13">
        <f>IFERROR(__xludf.DUMMYFUNCTION("VALUE(SUBSTITUTE((INDEX(SPLIT(A7945,"",""),1)),""."","","",1))"),53.593704)</f>
        <v>53.593704</v>
      </c>
      <c r="Q7945" s="13">
        <f>IFERROR(__xludf.DUMMYFUNCTION("VALUE(SUBSTITUTE((INDEX(SPLIT(A7945,"",""),2)),""."","","",1))"),91.373675)</f>
        <v>91.373675</v>
      </c>
      <c r="R7945" s="14" t="b">
        <f t="shared" si="1"/>
        <v>0</v>
      </c>
      <c r="S7945" s="14" t="str">
        <f t="shared" si="2"/>
        <v>53.593704,91.373675</v>
      </c>
      <c r="T7945" s="12"/>
    </row>
    <row r="7946">
      <c r="A7946" s="16" t="s">
        <v>29496</v>
      </c>
      <c r="B7946" s="16" t="s">
        <v>15974</v>
      </c>
      <c r="C7946" s="16" t="s">
        <v>15975</v>
      </c>
      <c r="D7946" s="16" t="s">
        <v>16</v>
      </c>
      <c r="E7946" s="17" t="s">
        <v>50798</v>
      </c>
      <c r="F7946" s="16" t="s">
        <v>24801</v>
      </c>
      <c r="G7946" s="16">
        <v>23.61</v>
      </c>
      <c r="H7946" s="16"/>
      <c r="I7946" s="16"/>
      <c r="J7946" s="16" t="s">
        <v>50799</v>
      </c>
      <c r="K7946" s="16" t="s">
        <v>50800</v>
      </c>
      <c r="L7946" s="16"/>
      <c r="M7946" s="16"/>
      <c r="N7946" s="12"/>
      <c r="O7946" s="12"/>
      <c r="P7946" s="13">
        <f>IFERROR(__xludf.DUMMYFUNCTION("VALUE(SUBSTITUTE((INDEX(SPLIT(A7946,"",""),1)),""."","","",1))"),53.716218)</f>
        <v>53.716218</v>
      </c>
      <c r="Q7946" s="13">
        <f>IFERROR(__xludf.DUMMYFUNCTION("VALUE(SUBSTITUTE((INDEX(SPLIT(A7946,"",""),2)),""."","","",1))"),91.378203)</f>
        <v>91.378203</v>
      </c>
      <c r="R7946" s="14" t="b">
        <f t="shared" si="1"/>
        <v>0</v>
      </c>
      <c r="S7946" s="14" t="str">
        <f t="shared" si="2"/>
        <v>53.716218,91.378203</v>
      </c>
      <c r="T7946" s="12"/>
    </row>
    <row r="7947">
      <c r="A7947" s="10" t="s">
        <v>29496</v>
      </c>
      <c r="B7947" s="8" t="s">
        <v>50801</v>
      </c>
      <c r="C7947" s="8" t="s">
        <v>50802</v>
      </c>
      <c r="D7947" s="8" t="s">
        <v>16</v>
      </c>
      <c r="E7947" s="9" t="s">
        <v>50803</v>
      </c>
      <c r="F7947" s="10" t="s">
        <v>24801</v>
      </c>
      <c r="G7947" s="8">
        <v>23.61</v>
      </c>
      <c r="H7947" s="8"/>
      <c r="I7947" s="10"/>
      <c r="J7947" s="10" t="s">
        <v>50804</v>
      </c>
      <c r="K7947" s="10" t="s">
        <v>50805</v>
      </c>
      <c r="L7947" s="11" t="s">
        <v>50806</v>
      </c>
      <c r="M7947" s="10"/>
      <c r="N7947" s="12"/>
      <c r="O7947" s="12"/>
      <c r="P7947" s="13">
        <f>IFERROR(__xludf.DUMMYFUNCTION("VALUE(SUBSTITUTE((INDEX(SPLIT(A7947,"",""),1)),""."","","",1))"),53.716218)</f>
        <v>53.716218</v>
      </c>
      <c r="Q7947" s="13">
        <f>IFERROR(__xludf.DUMMYFUNCTION("VALUE(SUBSTITUTE((INDEX(SPLIT(A7947,"",""),2)),""."","","",1))"),91.378203)</f>
        <v>91.378203</v>
      </c>
      <c r="R7947" s="14" t="b">
        <f t="shared" si="1"/>
        <v>0</v>
      </c>
      <c r="S7947" s="14" t="str">
        <f t="shared" si="2"/>
        <v>53.716218,91.378203</v>
      </c>
      <c r="T7947" s="12"/>
    </row>
    <row r="7948">
      <c r="A7948" s="16" t="s">
        <v>29511</v>
      </c>
      <c r="B7948" s="16" t="s">
        <v>12011</v>
      </c>
      <c r="C7948" s="16" t="s">
        <v>12012</v>
      </c>
      <c r="D7948" s="16" t="s">
        <v>16</v>
      </c>
      <c r="E7948" s="17" t="s">
        <v>50807</v>
      </c>
      <c r="F7948" s="16" t="s">
        <v>24801</v>
      </c>
      <c r="G7948" s="16">
        <v>23.61</v>
      </c>
      <c r="H7948" s="16"/>
      <c r="I7948" s="16"/>
      <c r="J7948" s="16" t="s">
        <v>50808</v>
      </c>
      <c r="K7948" s="16" t="s">
        <v>50809</v>
      </c>
      <c r="L7948" s="16"/>
      <c r="M7948" s="16"/>
      <c r="N7948" s="12"/>
      <c r="O7948" s="12"/>
      <c r="P7948" s="13">
        <f>IFERROR(__xludf.DUMMYFUNCTION("VALUE(SUBSTITUTE((INDEX(SPLIT(A7948,"",""),1)),""."","","",1))"),53.712844)</f>
        <v>53.712844</v>
      </c>
      <c r="Q7948" s="13">
        <f>IFERROR(__xludf.DUMMYFUNCTION("VALUE(SUBSTITUTE((INDEX(SPLIT(A7948,"",""),2)),""."","","",1))"),91.378284)</f>
        <v>91.378284</v>
      </c>
      <c r="R7948" s="14" t="b">
        <f t="shared" si="1"/>
        <v>0</v>
      </c>
      <c r="S7948" s="14" t="str">
        <f t="shared" si="2"/>
        <v>53.712844,91.378284</v>
      </c>
      <c r="T7948" s="12"/>
    </row>
    <row r="7949">
      <c r="A7949" s="8" t="s">
        <v>29518</v>
      </c>
      <c r="B7949" s="8" t="s">
        <v>50810</v>
      </c>
      <c r="C7949" s="8" t="s">
        <v>50811</v>
      </c>
      <c r="D7949" s="8" t="s">
        <v>16</v>
      </c>
      <c r="E7949" s="19" t="s">
        <v>50812</v>
      </c>
      <c r="F7949" s="8" t="s">
        <v>24801</v>
      </c>
      <c r="G7949" s="8">
        <v>23.61</v>
      </c>
      <c r="H7949" s="8"/>
      <c r="I7949" s="8"/>
      <c r="J7949" s="8" t="s">
        <v>50813</v>
      </c>
      <c r="K7949" s="8" t="s">
        <v>50814</v>
      </c>
      <c r="L7949" s="8"/>
      <c r="M7949" s="24" t="s">
        <v>50815</v>
      </c>
      <c r="N7949" s="12"/>
      <c r="O7949" s="12"/>
      <c r="P7949" s="13">
        <f>IFERROR(__xludf.DUMMYFUNCTION("VALUE(SUBSTITUTE((INDEX(SPLIT(A7949,"",""),1)),""."","","",1))"),53.719122)</f>
        <v>53.719122</v>
      </c>
      <c r="Q7949" s="13">
        <f>IFERROR(__xludf.DUMMYFUNCTION("VALUE(SUBSTITUTE((INDEX(SPLIT(A7949,"",""),2)),""."","","",1))"),91.379065)</f>
        <v>91.379065</v>
      </c>
      <c r="R7949" s="14" t="b">
        <f t="shared" si="1"/>
        <v>0</v>
      </c>
      <c r="S7949" s="14" t="str">
        <f t="shared" si="2"/>
        <v>53.719122,91.379065</v>
      </c>
      <c r="T7949" s="12"/>
    </row>
    <row r="7950">
      <c r="A7950" s="16" t="s">
        <v>29524</v>
      </c>
      <c r="B7950" s="16" t="s">
        <v>50816</v>
      </c>
      <c r="C7950" s="16" t="s">
        <v>50817</v>
      </c>
      <c r="D7950" s="16" t="s">
        <v>16</v>
      </c>
      <c r="E7950" s="17" t="s">
        <v>50818</v>
      </c>
      <c r="F7950" s="16" t="s">
        <v>24801</v>
      </c>
      <c r="G7950" s="16">
        <v>23.61</v>
      </c>
      <c r="H7950" s="16"/>
      <c r="I7950" s="16"/>
      <c r="J7950" s="16" t="s">
        <v>50819</v>
      </c>
      <c r="K7950" s="16" t="s">
        <v>50820</v>
      </c>
      <c r="L7950" s="16"/>
      <c r="M7950" s="16"/>
      <c r="N7950" s="12"/>
      <c r="O7950" s="12"/>
      <c r="P7950" s="13">
        <f>IFERROR(__xludf.DUMMYFUNCTION("VALUE(SUBSTITUTE((INDEX(SPLIT(A7950,"",""),1)),""."","","",1))"),53.712375)</f>
        <v>53.712375</v>
      </c>
      <c r="Q7950" s="13">
        <f>IFERROR(__xludf.DUMMYFUNCTION("VALUE(SUBSTITUTE((INDEX(SPLIT(A7950,"",""),2)),""."","","",1))"),91.380008)</f>
        <v>91.380008</v>
      </c>
      <c r="R7950" s="14" t="b">
        <f t="shared" si="1"/>
        <v>0</v>
      </c>
      <c r="S7950" s="14" t="str">
        <f t="shared" si="2"/>
        <v>53.712375,91.380008</v>
      </c>
      <c r="T7950" s="12"/>
    </row>
    <row r="7951">
      <c r="A7951" s="8" t="s">
        <v>29532</v>
      </c>
      <c r="B7951" s="8" t="s">
        <v>50821</v>
      </c>
      <c r="C7951" s="8" t="s">
        <v>50822</v>
      </c>
      <c r="D7951" s="8" t="s">
        <v>16</v>
      </c>
      <c r="E7951" s="19" t="s">
        <v>50823</v>
      </c>
      <c r="F7951" s="8" t="s">
        <v>24801</v>
      </c>
      <c r="G7951" s="8">
        <v>23.61</v>
      </c>
      <c r="H7951" s="8"/>
      <c r="I7951" s="8"/>
      <c r="J7951" s="8" t="s">
        <v>50824</v>
      </c>
      <c r="K7951" s="8" t="s">
        <v>50825</v>
      </c>
      <c r="L7951" s="8"/>
      <c r="M7951" s="24" t="s">
        <v>50826</v>
      </c>
      <c r="N7951" s="12"/>
      <c r="O7951" s="12"/>
      <c r="P7951" s="13">
        <f>IFERROR(__xludf.DUMMYFUNCTION("VALUE(SUBSTITUTE((INDEX(SPLIT(A7951,"",""),1)),""."","","",1))"),53.679919)</f>
        <v>53.679919</v>
      </c>
      <c r="Q7951" s="13">
        <f>IFERROR(__xludf.DUMMYFUNCTION("VALUE(SUBSTITUTE((INDEX(SPLIT(A7951,"",""),2)),""."","","",1))"),91.382892)</f>
        <v>91.382892</v>
      </c>
      <c r="R7951" s="14" t="b">
        <f t="shared" si="1"/>
        <v>0</v>
      </c>
      <c r="S7951" s="14" t="str">
        <f t="shared" si="2"/>
        <v>53.679919,91.382892</v>
      </c>
      <c r="T7951" s="12"/>
    </row>
    <row r="7952">
      <c r="A7952" s="16" t="s">
        <v>29539</v>
      </c>
      <c r="B7952" s="16" t="s">
        <v>50827</v>
      </c>
      <c r="C7952" s="16" t="s">
        <v>50828</v>
      </c>
      <c r="D7952" s="16" t="s">
        <v>16</v>
      </c>
      <c r="E7952" s="17" t="s">
        <v>50829</v>
      </c>
      <c r="F7952" s="16" t="s">
        <v>24801</v>
      </c>
      <c r="G7952" s="16">
        <v>23.61</v>
      </c>
      <c r="H7952" s="16"/>
      <c r="I7952" s="16"/>
      <c r="J7952" s="16" t="s">
        <v>50830</v>
      </c>
      <c r="K7952" s="16" t="s">
        <v>50831</v>
      </c>
      <c r="L7952" s="16"/>
      <c r="M7952" s="16"/>
      <c r="N7952" s="12"/>
      <c r="O7952" s="12"/>
      <c r="P7952" s="13">
        <f>IFERROR(__xludf.DUMMYFUNCTION("VALUE(SUBSTITUTE((INDEX(SPLIT(A7952,"",""),1)),""."","","",1))"),53.714571)</f>
        <v>53.714571</v>
      </c>
      <c r="Q7952" s="13">
        <f>IFERROR(__xludf.DUMMYFUNCTION("VALUE(SUBSTITUTE((INDEX(SPLIT(A7952,"",""),2)),""."","","",1))"),91.386234)</f>
        <v>91.386234</v>
      </c>
      <c r="R7952" s="14" t="b">
        <f t="shared" si="1"/>
        <v>0</v>
      </c>
      <c r="S7952" s="14" t="str">
        <f t="shared" si="2"/>
        <v>53.714571,91.386234</v>
      </c>
      <c r="T7952" s="12"/>
    </row>
    <row r="7953">
      <c r="A7953" s="10" t="s">
        <v>29546</v>
      </c>
      <c r="B7953" s="8" t="s">
        <v>50832</v>
      </c>
      <c r="C7953" s="8" t="s">
        <v>50833</v>
      </c>
      <c r="D7953" s="8" t="s">
        <v>16</v>
      </c>
      <c r="E7953" s="9" t="s">
        <v>50834</v>
      </c>
      <c r="F7953" s="10" t="s">
        <v>24801</v>
      </c>
      <c r="G7953" s="8">
        <v>23.61</v>
      </c>
      <c r="H7953" s="8"/>
      <c r="I7953" s="10"/>
      <c r="J7953" s="10" t="s">
        <v>50835</v>
      </c>
      <c r="K7953" s="10" t="s">
        <v>50836</v>
      </c>
      <c r="L7953" s="11" t="s">
        <v>50837</v>
      </c>
      <c r="M7953" s="10"/>
      <c r="N7953" s="12"/>
      <c r="O7953" s="12"/>
      <c r="P7953" s="13">
        <f>IFERROR(__xludf.DUMMYFUNCTION("VALUE(SUBSTITUTE((INDEX(SPLIT(A7953,"",""),1)),""."","","",1))"),53.106887)</f>
        <v>53.106887</v>
      </c>
      <c r="Q7953" s="13">
        <f>IFERROR(__xludf.DUMMYFUNCTION("VALUE(SUBSTITUTE((INDEX(SPLIT(A7953,"",""),2)),""."","","",1))"),91.390752)</f>
        <v>91.390752</v>
      </c>
      <c r="R7953" s="14" t="b">
        <f t="shared" si="1"/>
        <v>0</v>
      </c>
      <c r="S7953" s="14" t="str">
        <f t="shared" si="2"/>
        <v>53.106887,91.390752</v>
      </c>
      <c r="T7953" s="12"/>
    </row>
    <row r="7954">
      <c r="A7954" s="22" t="s">
        <v>29553</v>
      </c>
      <c r="B7954" s="16" t="s">
        <v>50838</v>
      </c>
      <c r="C7954" s="16" t="s">
        <v>50839</v>
      </c>
      <c r="D7954" s="16" t="s">
        <v>16</v>
      </c>
      <c r="E7954" s="21" t="s">
        <v>50840</v>
      </c>
      <c r="F7954" s="22" t="s">
        <v>24801</v>
      </c>
      <c r="G7954" s="16">
        <v>23.61</v>
      </c>
      <c r="H7954" s="16"/>
      <c r="I7954" s="22"/>
      <c r="J7954" s="22" t="s">
        <v>50841</v>
      </c>
      <c r="K7954" s="22" t="s">
        <v>50842</v>
      </c>
      <c r="L7954" s="23" t="s">
        <v>50843</v>
      </c>
      <c r="M7954" s="23" t="s">
        <v>50844</v>
      </c>
      <c r="N7954" s="12"/>
      <c r="O7954" s="12"/>
      <c r="P7954" s="13">
        <f>IFERROR(__xludf.DUMMYFUNCTION("VALUE(SUBSTITUTE((INDEX(SPLIT(A7954,"",""),1)),""."","","",1))"),53.67338)</f>
        <v>53.67338</v>
      </c>
      <c r="Q7954" s="13">
        <f>IFERROR(__xludf.DUMMYFUNCTION("VALUE(SUBSTITUTE((INDEX(SPLIT(A7954,"",""),2)),""."","","",1))"),91.392917)</f>
        <v>91.392917</v>
      </c>
      <c r="R7954" s="14" t="b">
        <f t="shared" si="1"/>
        <v>0</v>
      </c>
      <c r="S7954" s="14" t="str">
        <f t="shared" si="2"/>
        <v>53.67338,91.392917</v>
      </c>
      <c r="T7954" s="12"/>
    </row>
    <row r="7955">
      <c r="A7955" s="10" t="s">
        <v>29561</v>
      </c>
      <c r="B7955" s="8" t="s">
        <v>50845</v>
      </c>
      <c r="C7955" s="8" t="s">
        <v>50846</v>
      </c>
      <c r="D7955" s="8" t="s">
        <v>16</v>
      </c>
      <c r="E7955" s="9" t="s">
        <v>50847</v>
      </c>
      <c r="F7955" s="10" t="s">
        <v>24801</v>
      </c>
      <c r="G7955" s="8">
        <v>23.61</v>
      </c>
      <c r="H7955" s="8"/>
      <c r="I7955" s="10"/>
      <c r="J7955" s="10" t="s">
        <v>50848</v>
      </c>
      <c r="K7955" s="10" t="s">
        <v>50849</v>
      </c>
      <c r="L7955" s="11" t="s">
        <v>50850</v>
      </c>
      <c r="M7955" s="11" t="s">
        <v>50851</v>
      </c>
      <c r="N7955" s="12"/>
      <c r="O7955" s="12"/>
      <c r="P7955" s="13">
        <f>IFERROR(__xludf.DUMMYFUNCTION("VALUE(SUBSTITUTE((INDEX(SPLIT(A7955,"",""),1)),""."","","",1))"),53.715621)</f>
        <v>53.715621</v>
      </c>
      <c r="Q7955" s="13">
        <f>IFERROR(__xludf.DUMMYFUNCTION("VALUE(SUBSTITUTE((INDEX(SPLIT(A7955,"",""),2)),""."","","",1))"),91.398693)</f>
        <v>91.398693</v>
      </c>
      <c r="R7955" s="14" t="b">
        <f t="shared" si="1"/>
        <v>0</v>
      </c>
      <c r="S7955" s="14" t="str">
        <f t="shared" si="2"/>
        <v>53.715621,91.398693</v>
      </c>
      <c r="T7955" s="12"/>
    </row>
    <row r="7956">
      <c r="A7956" s="16" t="s">
        <v>29568</v>
      </c>
      <c r="B7956" s="16" t="s">
        <v>50852</v>
      </c>
      <c r="C7956" s="16" t="s">
        <v>50853</v>
      </c>
      <c r="D7956" s="16" t="s">
        <v>16</v>
      </c>
      <c r="E7956" s="17" t="s">
        <v>50854</v>
      </c>
      <c r="F7956" s="16" t="s">
        <v>24801</v>
      </c>
      <c r="G7956" s="16">
        <v>23.61</v>
      </c>
      <c r="H7956" s="16"/>
      <c r="I7956" s="16"/>
      <c r="J7956" s="16" t="s">
        <v>50855</v>
      </c>
      <c r="K7956" s="16" t="s">
        <v>50856</v>
      </c>
      <c r="L7956" s="16"/>
      <c r="M7956" s="16"/>
      <c r="N7956" s="12"/>
      <c r="O7956" s="12"/>
      <c r="P7956" s="13">
        <f>IFERROR(__xludf.DUMMYFUNCTION("VALUE(SUBSTITUTE((INDEX(SPLIT(A7956,"",""),1)),""."","","",1))"),53.721189)</f>
        <v>53.721189</v>
      </c>
      <c r="Q7956" s="13">
        <f>IFERROR(__xludf.DUMMYFUNCTION("VALUE(SUBSTITUTE((INDEX(SPLIT(A7956,"",""),2)),""."","","",1))"),91.402278)</f>
        <v>91.402278</v>
      </c>
      <c r="R7956" s="14" t="b">
        <f t="shared" si="1"/>
        <v>0</v>
      </c>
      <c r="S7956" s="14" t="str">
        <f t="shared" si="2"/>
        <v>53.721189,91.402278</v>
      </c>
      <c r="T7956" s="12"/>
    </row>
    <row r="7957">
      <c r="A7957" s="8" t="s">
        <v>29575</v>
      </c>
      <c r="B7957" s="8" t="s">
        <v>50857</v>
      </c>
      <c r="C7957" s="8" t="s">
        <v>50858</v>
      </c>
      <c r="D7957" s="8" t="s">
        <v>16</v>
      </c>
      <c r="E7957" s="19" t="s">
        <v>50859</v>
      </c>
      <c r="F7957" s="8" t="s">
        <v>24801</v>
      </c>
      <c r="G7957" s="8">
        <v>23.61</v>
      </c>
      <c r="H7957" s="8"/>
      <c r="I7957" s="8"/>
      <c r="J7957" s="8" t="s">
        <v>50860</v>
      </c>
      <c r="K7957" s="8" t="s">
        <v>50861</v>
      </c>
      <c r="L7957" s="8"/>
      <c r="M7957" s="8"/>
      <c r="N7957" s="12"/>
      <c r="O7957" s="12"/>
      <c r="P7957" s="13">
        <f>IFERROR(__xludf.DUMMYFUNCTION("VALUE(SUBSTITUTE((INDEX(SPLIT(A7957,"",""),1)),""."","","",1))"),53.743161)</f>
        <v>53.743161</v>
      </c>
      <c r="Q7957" s="13">
        <f>IFERROR(__xludf.DUMMYFUNCTION("VALUE(SUBSTITUTE((INDEX(SPLIT(A7957,"",""),2)),""."","","",1))"),91.415977)</f>
        <v>91.415977</v>
      </c>
      <c r="R7957" s="14" t="b">
        <f t="shared" si="1"/>
        <v>0</v>
      </c>
      <c r="S7957" s="14" t="str">
        <f t="shared" si="2"/>
        <v>53.743161,91.415977</v>
      </c>
      <c r="T7957" s="12"/>
    </row>
    <row r="7958">
      <c r="A7958" s="16" t="s">
        <v>29582</v>
      </c>
      <c r="B7958" s="16" t="s">
        <v>50862</v>
      </c>
      <c r="C7958" s="16" t="s">
        <v>50863</v>
      </c>
      <c r="D7958" s="16" t="s">
        <v>16</v>
      </c>
      <c r="E7958" s="17" t="s">
        <v>50864</v>
      </c>
      <c r="F7958" s="16" t="s">
        <v>24801</v>
      </c>
      <c r="G7958" s="16">
        <v>23.61</v>
      </c>
      <c r="H7958" s="16"/>
      <c r="I7958" s="16"/>
      <c r="J7958" s="16" t="s">
        <v>50865</v>
      </c>
      <c r="K7958" s="16" t="s">
        <v>50866</v>
      </c>
      <c r="L7958" s="16"/>
      <c r="M7958" s="25" t="s">
        <v>50867</v>
      </c>
      <c r="N7958" s="12"/>
      <c r="O7958" s="12"/>
      <c r="P7958" s="13">
        <f>IFERROR(__xludf.DUMMYFUNCTION("VALUE(SUBSTITUTE((INDEX(SPLIT(A7958,"",""),1)),""."","","",1))"),53.088351)</f>
        <v>53.088351</v>
      </c>
      <c r="Q7958" s="13">
        <f>IFERROR(__xludf.DUMMYFUNCTION("VALUE(SUBSTITUTE((INDEX(SPLIT(A7958,"",""),2)),""."","","",1))"),91.416049)</f>
        <v>91.416049</v>
      </c>
      <c r="R7958" s="14" t="b">
        <f t="shared" si="1"/>
        <v>0</v>
      </c>
      <c r="S7958" s="14" t="str">
        <f t="shared" si="2"/>
        <v>53.088351,91.416049</v>
      </c>
      <c r="T7958" s="12"/>
    </row>
    <row r="7959">
      <c r="A7959" s="10" t="s">
        <v>29589</v>
      </c>
      <c r="B7959" s="8" t="s">
        <v>50868</v>
      </c>
      <c r="C7959" s="8" t="s">
        <v>50869</v>
      </c>
      <c r="D7959" s="8" t="s">
        <v>16</v>
      </c>
      <c r="E7959" s="9" t="s">
        <v>50870</v>
      </c>
      <c r="F7959" s="10" t="s">
        <v>24801</v>
      </c>
      <c r="G7959" s="8">
        <v>23.61</v>
      </c>
      <c r="H7959" s="8"/>
      <c r="I7959" s="10"/>
      <c r="J7959" s="10" t="s">
        <v>50871</v>
      </c>
      <c r="K7959" s="10" t="s">
        <v>50872</v>
      </c>
      <c r="L7959" s="11" t="s">
        <v>50873</v>
      </c>
      <c r="M7959" s="10"/>
      <c r="N7959" s="12"/>
      <c r="O7959" s="12"/>
      <c r="P7959" s="13">
        <f>IFERROR(__xludf.DUMMYFUNCTION("VALUE(SUBSTITUTE((INDEX(SPLIT(A7959,"",""),1)),""."","","",1))"),53.700261)</f>
        <v>53.700261</v>
      </c>
      <c r="Q7959" s="13">
        <f>IFERROR(__xludf.DUMMYFUNCTION("VALUE(SUBSTITUTE((INDEX(SPLIT(A7959,"",""),2)),""."","","",1))"),91.418627)</f>
        <v>91.418627</v>
      </c>
      <c r="R7959" s="14" t="b">
        <f t="shared" si="1"/>
        <v>0</v>
      </c>
      <c r="S7959" s="14" t="str">
        <f t="shared" si="2"/>
        <v>53.700261,91.418627</v>
      </c>
      <c r="T7959" s="12"/>
    </row>
    <row r="7960">
      <c r="A7960" s="16" t="s">
        <v>29589</v>
      </c>
      <c r="B7960" s="16" t="s">
        <v>50874</v>
      </c>
      <c r="C7960" s="16" t="s">
        <v>50875</v>
      </c>
      <c r="D7960" s="16" t="s">
        <v>16</v>
      </c>
      <c r="E7960" s="17" t="s">
        <v>50876</v>
      </c>
      <c r="F7960" s="16" t="s">
        <v>24801</v>
      </c>
      <c r="G7960" s="16">
        <v>23.61</v>
      </c>
      <c r="H7960" s="16"/>
      <c r="I7960" s="16"/>
      <c r="J7960" s="16" t="s">
        <v>50877</v>
      </c>
      <c r="K7960" s="16" t="s">
        <v>50872</v>
      </c>
      <c r="L7960" s="16"/>
      <c r="M7960" s="25" t="s">
        <v>50878</v>
      </c>
      <c r="N7960" s="12"/>
      <c r="O7960" s="12"/>
      <c r="P7960" s="13">
        <f>IFERROR(__xludf.DUMMYFUNCTION("VALUE(SUBSTITUTE((INDEX(SPLIT(A7960,"",""),1)),""."","","",1))"),53.700261)</f>
        <v>53.700261</v>
      </c>
      <c r="Q7960" s="13">
        <f>IFERROR(__xludf.DUMMYFUNCTION("VALUE(SUBSTITUTE((INDEX(SPLIT(A7960,"",""),2)),""."","","",1))"),91.418627)</f>
        <v>91.418627</v>
      </c>
      <c r="R7960" s="14" t="b">
        <f t="shared" si="1"/>
        <v>0</v>
      </c>
      <c r="S7960" s="14" t="str">
        <f t="shared" si="2"/>
        <v>53.700261,91.418627</v>
      </c>
      <c r="T7960" s="12"/>
    </row>
    <row r="7961">
      <c r="A7961" s="8" t="s">
        <v>29602</v>
      </c>
      <c r="B7961" s="8" t="s">
        <v>50879</v>
      </c>
      <c r="C7961" s="8" t="s">
        <v>50880</v>
      </c>
      <c r="D7961" s="8" t="s">
        <v>16</v>
      </c>
      <c r="E7961" s="19" t="s">
        <v>50881</v>
      </c>
      <c r="F7961" s="8" t="s">
        <v>24801</v>
      </c>
      <c r="G7961" s="8">
        <v>23.61</v>
      </c>
      <c r="H7961" s="8"/>
      <c r="I7961" s="8"/>
      <c r="J7961" s="8" t="s">
        <v>50882</v>
      </c>
      <c r="K7961" s="8" t="s">
        <v>50883</v>
      </c>
      <c r="L7961" s="8"/>
      <c r="M7961" s="24" t="s">
        <v>50884</v>
      </c>
      <c r="N7961" s="12"/>
      <c r="O7961" s="12"/>
      <c r="P7961" s="13">
        <f>IFERROR(__xludf.DUMMYFUNCTION("VALUE(SUBSTITUTE((INDEX(SPLIT(A7961,"",""),1)),""."","","",1))"),53.745302)</f>
        <v>53.745302</v>
      </c>
      <c r="Q7961" s="13">
        <f>IFERROR(__xludf.DUMMYFUNCTION("VALUE(SUBSTITUTE((INDEX(SPLIT(A7961,"",""),2)),""."","","",1))"),91.42602)</f>
        <v>91.42602</v>
      </c>
      <c r="R7961" s="14" t="b">
        <f t="shared" si="1"/>
        <v>0</v>
      </c>
      <c r="S7961" s="14" t="str">
        <f t="shared" si="2"/>
        <v>53.745302,91.42602</v>
      </c>
      <c r="T7961" s="12"/>
    </row>
    <row r="7962">
      <c r="A7962" s="16" t="s">
        <v>29609</v>
      </c>
      <c r="B7962" s="16" t="s">
        <v>50885</v>
      </c>
      <c r="C7962" s="16" t="s">
        <v>50886</v>
      </c>
      <c r="D7962" s="16" t="s">
        <v>16</v>
      </c>
      <c r="E7962" s="17" t="s">
        <v>50887</v>
      </c>
      <c r="F7962" s="16" t="s">
        <v>24801</v>
      </c>
      <c r="G7962" s="16">
        <v>23.61</v>
      </c>
      <c r="H7962" s="16"/>
      <c r="I7962" s="16"/>
      <c r="J7962" s="16" t="s">
        <v>50888</v>
      </c>
      <c r="K7962" s="16" t="s">
        <v>50856</v>
      </c>
      <c r="L7962" s="16"/>
      <c r="M7962" s="16"/>
      <c r="N7962" s="12"/>
      <c r="O7962" s="12"/>
      <c r="P7962" s="13">
        <f>IFERROR(__xludf.DUMMYFUNCTION("VALUE(SUBSTITUTE((INDEX(SPLIT(A7962,"",""),1)),""."","","",1))"),53.710404)</f>
        <v>53.710404</v>
      </c>
      <c r="Q7962" s="13">
        <f>IFERROR(__xludf.DUMMYFUNCTION("VALUE(SUBSTITUTE((INDEX(SPLIT(A7962,"",""),2)),""."","","",1))"),91.428679)</f>
        <v>91.428679</v>
      </c>
      <c r="R7962" s="14" t="b">
        <f t="shared" si="1"/>
        <v>0</v>
      </c>
      <c r="S7962" s="14" t="str">
        <f t="shared" si="2"/>
        <v>53.710404,91.428679</v>
      </c>
      <c r="T7962" s="12"/>
    </row>
    <row r="7963">
      <c r="A7963" s="10" t="s">
        <v>29615</v>
      </c>
      <c r="B7963" s="8" t="s">
        <v>89</v>
      </c>
      <c r="C7963" s="8" t="s">
        <v>90</v>
      </c>
      <c r="D7963" s="8" t="s">
        <v>16</v>
      </c>
      <c r="E7963" s="9" t="s">
        <v>50889</v>
      </c>
      <c r="F7963" s="10" t="s">
        <v>24801</v>
      </c>
      <c r="G7963" s="8">
        <v>23.61</v>
      </c>
      <c r="H7963" s="8"/>
      <c r="I7963" s="10"/>
      <c r="J7963" s="10" t="s">
        <v>50890</v>
      </c>
      <c r="K7963" s="10" t="s">
        <v>50891</v>
      </c>
      <c r="L7963" s="11" t="s">
        <v>50892</v>
      </c>
      <c r="M7963" s="10"/>
      <c r="N7963" s="12"/>
      <c r="O7963" s="12"/>
      <c r="P7963" s="13">
        <f>IFERROR(__xludf.DUMMYFUNCTION("VALUE(SUBSTITUTE((INDEX(SPLIT(A7963,"",""),1)),""."","","",1))"),53.704146)</f>
        <v>53.704146</v>
      </c>
      <c r="Q7963" s="13">
        <f>IFERROR(__xludf.DUMMYFUNCTION("VALUE(SUBSTITUTE((INDEX(SPLIT(A7963,"",""),2)),""."","","",1))"),91.435066)</f>
        <v>91.435066</v>
      </c>
      <c r="R7963" s="14" t="b">
        <f t="shared" si="1"/>
        <v>0</v>
      </c>
      <c r="S7963" s="14" t="str">
        <f t="shared" si="2"/>
        <v>53.704146,91.435066</v>
      </c>
      <c r="T7963" s="12"/>
    </row>
    <row r="7964">
      <c r="A7964" s="16" t="s">
        <v>29623</v>
      </c>
      <c r="B7964" s="16" t="s">
        <v>43486</v>
      </c>
      <c r="C7964" s="16" t="s">
        <v>50893</v>
      </c>
      <c r="D7964" s="16" t="s">
        <v>16</v>
      </c>
      <c r="E7964" s="17" t="s">
        <v>50894</v>
      </c>
      <c r="F7964" s="16" t="s">
        <v>24801</v>
      </c>
      <c r="G7964" s="16">
        <v>23.61</v>
      </c>
      <c r="H7964" s="16"/>
      <c r="I7964" s="16"/>
      <c r="J7964" s="16" t="s">
        <v>50895</v>
      </c>
      <c r="K7964" s="16" t="s">
        <v>50891</v>
      </c>
      <c r="L7964" s="16"/>
      <c r="M7964" s="25" t="s">
        <v>50896</v>
      </c>
      <c r="N7964" s="12"/>
      <c r="O7964" s="12"/>
      <c r="P7964" s="13">
        <f>IFERROR(__xludf.DUMMYFUNCTION("VALUE(SUBSTITUTE((INDEX(SPLIT(A7964,"",""),1)),""."","","",1))"),53.721152)</f>
        <v>53.721152</v>
      </c>
      <c r="Q7964" s="13">
        <f>IFERROR(__xludf.DUMMYFUNCTION("VALUE(SUBSTITUTE((INDEX(SPLIT(A7964,"",""),2)),""."","","",1))"),91.442396)</f>
        <v>91.442396</v>
      </c>
      <c r="R7964" s="14" t="b">
        <f t="shared" si="1"/>
        <v>0</v>
      </c>
      <c r="S7964" s="14" t="str">
        <f t="shared" si="2"/>
        <v>53.721152,91.442396</v>
      </c>
      <c r="T7964" s="12"/>
    </row>
    <row r="7965">
      <c r="A7965" s="8" t="s">
        <v>29623</v>
      </c>
      <c r="B7965" s="8" t="s">
        <v>50897</v>
      </c>
      <c r="C7965" s="8" t="s">
        <v>50898</v>
      </c>
      <c r="D7965" s="8" t="s">
        <v>16</v>
      </c>
      <c r="E7965" s="19" t="s">
        <v>50899</v>
      </c>
      <c r="F7965" s="8" t="s">
        <v>24801</v>
      </c>
      <c r="G7965" s="8">
        <v>23.61</v>
      </c>
      <c r="H7965" s="8"/>
      <c r="I7965" s="8"/>
      <c r="J7965" s="8" t="s">
        <v>50900</v>
      </c>
      <c r="K7965" s="8" t="s">
        <v>50901</v>
      </c>
      <c r="L7965" s="8"/>
      <c r="M7965" s="24" t="s">
        <v>50902</v>
      </c>
      <c r="N7965" s="12"/>
      <c r="O7965" s="12"/>
      <c r="P7965" s="13">
        <f>IFERROR(__xludf.DUMMYFUNCTION("VALUE(SUBSTITUTE((INDEX(SPLIT(A7965,"",""),1)),""."","","",1))"),53.721152)</f>
        <v>53.721152</v>
      </c>
      <c r="Q7965" s="13">
        <f>IFERROR(__xludf.DUMMYFUNCTION("VALUE(SUBSTITUTE((INDEX(SPLIT(A7965,"",""),2)),""."","","",1))"),91.442396)</f>
        <v>91.442396</v>
      </c>
      <c r="R7965" s="14" t="b">
        <f t="shared" si="1"/>
        <v>0</v>
      </c>
      <c r="S7965" s="14" t="str">
        <f t="shared" si="2"/>
        <v>53.721152,91.442396</v>
      </c>
      <c r="T7965" s="12"/>
    </row>
    <row r="7966">
      <c r="A7966" s="16" t="s">
        <v>29635</v>
      </c>
      <c r="B7966" s="16" t="s">
        <v>17326</v>
      </c>
      <c r="C7966" s="16" t="s">
        <v>17327</v>
      </c>
      <c r="D7966" s="16" t="s">
        <v>16</v>
      </c>
      <c r="E7966" s="17" t="s">
        <v>50903</v>
      </c>
      <c r="F7966" s="16" t="s">
        <v>24801</v>
      </c>
      <c r="G7966" s="16">
        <v>23.61</v>
      </c>
      <c r="H7966" s="16"/>
      <c r="I7966" s="16"/>
      <c r="J7966" s="16" t="s">
        <v>50904</v>
      </c>
      <c r="K7966" s="16" t="s">
        <v>50905</v>
      </c>
      <c r="L7966" s="16"/>
      <c r="M7966" s="16"/>
      <c r="N7966" s="12"/>
      <c r="O7966" s="12"/>
      <c r="P7966" s="13">
        <f>IFERROR(__xludf.DUMMYFUNCTION("VALUE(SUBSTITUTE((INDEX(SPLIT(A7966,"",""),1)),""."","","",1))"),53.710894)</f>
        <v>53.710894</v>
      </c>
      <c r="Q7966" s="13">
        <f>IFERROR(__xludf.DUMMYFUNCTION("VALUE(SUBSTITUTE((INDEX(SPLIT(A7966,"",""),2)),""."","","",1))"),91.464055)</f>
        <v>91.464055</v>
      </c>
      <c r="R7966" s="14" t="b">
        <f t="shared" si="1"/>
        <v>0</v>
      </c>
      <c r="S7966" s="14" t="str">
        <f t="shared" si="2"/>
        <v>53.710894,91.464055</v>
      </c>
      <c r="T7966" s="12"/>
    </row>
    <row r="7967">
      <c r="A7967" s="10" t="s">
        <v>29642</v>
      </c>
      <c r="B7967" s="8" t="s">
        <v>50906</v>
      </c>
      <c r="C7967" s="8" t="s">
        <v>50907</v>
      </c>
      <c r="D7967" s="8" t="s">
        <v>16</v>
      </c>
      <c r="E7967" s="9" t="s">
        <v>50908</v>
      </c>
      <c r="F7967" s="10" t="s">
        <v>24801</v>
      </c>
      <c r="G7967" s="8">
        <v>23.61</v>
      </c>
      <c r="H7967" s="8"/>
      <c r="I7967" s="10"/>
      <c r="J7967" s="10" t="s">
        <v>50909</v>
      </c>
      <c r="K7967" s="10" t="s">
        <v>50910</v>
      </c>
      <c r="L7967" s="11" t="s">
        <v>50911</v>
      </c>
      <c r="M7967" s="11" t="s">
        <v>50912</v>
      </c>
      <c r="N7967" s="12"/>
      <c r="O7967" s="12"/>
      <c r="P7967" s="13">
        <f>IFERROR(__xludf.DUMMYFUNCTION("VALUE(SUBSTITUTE((INDEX(SPLIT(A7967,"",""),1)),""."","","",1))"),53.693533)</f>
        <v>53.693533</v>
      </c>
      <c r="Q7967" s="13">
        <f>IFERROR(__xludf.DUMMYFUNCTION("VALUE(SUBSTITUTE((INDEX(SPLIT(A7967,"",""),2)),""."","","",1))"),91.514019)</f>
        <v>91.514019</v>
      </c>
      <c r="R7967" s="14" t="b">
        <f t="shared" si="1"/>
        <v>0</v>
      </c>
      <c r="S7967" s="14" t="str">
        <f t="shared" si="2"/>
        <v>53.693533,91.514019</v>
      </c>
      <c r="T7967" s="12"/>
    </row>
    <row r="7968">
      <c r="A7968" s="22" t="s">
        <v>29649</v>
      </c>
      <c r="B7968" s="16" t="s">
        <v>50913</v>
      </c>
      <c r="C7968" s="16" t="s">
        <v>50914</v>
      </c>
      <c r="D7968" s="16" t="s">
        <v>16</v>
      </c>
      <c r="E7968" s="21" t="s">
        <v>50915</v>
      </c>
      <c r="F7968" s="22" t="s">
        <v>24801</v>
      </c>
      <c r="G7968" s="16">
        <v>23.61</v>
      </c>
      <c r="H7968" s="16"/>
      <c r="I7968" s="28" t="s">
        <v>50916</v>
      </c>
      <c r="J7968" s="22" t="s">
        <v>50917</v>
      </c>
      <c r="K7968" s="22" t="s">
        <v>50918</v>
      </c>
      <c r="L7968" s="23" t="s">
        <v>50919</v>
      </c>
      <c r="M7968" s="22"/>
      <c r="N7968" s="12"/>
      <c r="O7968" s="12"/>
      <c r="P7968" s="13">
        <f>IFERROR(__xludf.DUMMYFUNCTION("VALUE(SUBSTITUTE((INDEX(SPLIT(A7968,"",""),1)),""."","","",1))"),53.71019)</f>
        <v>53.71019</v>
      </c>
      <c r="Q7968" s="13">
        <f>IFERROR(__xludf.DUMMYFUNCTION("VALUE(SUBSTITUTE((INDEX(SPLIT(A7968,"",""),2)),""."","","",1))"),91.516157)</f>
        <v>91.516157</v>
      </c>
      <c r="R7968" s="14" t="b">
        <f t="shared" si="1"/>
        <v>0</v>
      </c>
      <c r="S7968" s="14" t="str">
        <f t="shared" si="2"/>
        <v>53.71019,91.516157</v>
      </c>
      <c r="T7968" s="12"/>
    </row>
    <row r="7969">
      <c r="A7969" s="10" t="s">
        <v>29649</v>
      </c>
      <c r="B7969" s="8" t="s">
        <v>50920</v>
      </c>
      <c r="C7969" s="8" t="s">
        <v>50921</v>
      </c>
      <c r="D7969" s="8" t="s">
        <v>16</v>
      </c>
      <c r="E7969" s="9" t="s">
        <v>50922</v>
      </c>
      <c r="F7969" s="10" t="s">
        <v>24801</v>
      </c>
      <c r="G7969" s="8">
        <v>23.61</v>
      </c>
      <c r="H7969" s="8"/>
      <c r="I7969" s="10"/>
      <c r="J7969" s="10" t="s">
        <v>50923</v>
      </c>
      <c r="K7969" s="10" t="s">
        <v>50924</v>
      </c>
      <c r="L7969" s="29" t="s">
        <v>50925</v>
      </c>
      <c r="M7969" s="10"/>
      <c r="N7969" s="12"/>
      <c r="O7969" s="12"/>
      <c r="P7969" s="13">
        <f>IFERROR(__xludf.DUMMYFUNCTION("VALUE(SUBSTITUTE((INDEX(SPLIT(A7969,"",""),1)),""."","","",1))"),53.71019)</f>
        <v>53.71019</v>
      </c>
      <c r="Q7969" s="13">
        <f>IFERROR(__xludf.DUMMYFUNCTION("VALUE(SUBSTITUTE((INDEX(SPLIT(A7969,"",""),2)),""."","","",1))"),91.516157)</f>
        <v>91.516157</v>
      </c>
      <c r="R7969" s="14" t="b">
        <f t="shared" si="1"/>
        <v>0</v>
      </c>
      <c r="S7969" s="14" t="str">
        <f t="shared" si="2"/>
        <v>53.71019,91.516157</v>
      </c>
      <c r="T7969" s="12"/>
    </row>
    <row r="7970">
      <c r="A7970" s="22" t="s">
        <v>29649</v>
      </c>
      <c r="B7970" s="16" t="s">
        <v>50913</v>
      </c>
      <c r="C7970" s="16" t="s">
        <v>50914</v>
      </c>
      <c r="D7970" s="16" t="s">
        <v>16</v>
      </c>
      <c r="E7970" s="21" t="s">
        <v>50926</v>
      </c>
      <c r="F7970" s="22" t="s">
        <v>24801</v>
      </c>
      <c r="G7970" s="16">
        <v>23.61</v>
      </c>
      <c r="H7970" s="16"/>
      <c r="I7970" s="22"/>
      <c r="J7970" s="22" t="s">
        <v>50927</v>
      </c>
      <c r="K7970" s="22" t="s">
        <v>50928</v>
      </c>
      <c r="L7970" s="23" t="s">
        <v>50929</v>
      </c>
      <c r="M7970" s="22"/>
      <c r="N7970" s="12"/>
      <c r="O7970" s="12"/>
      <c r="P7970" s="13">
        <f>IFERROR(__xludf.DUMMYFUNCTION("VALUE(SUBSTITUTE((INDEX(SPLIT(A7970,"",""),1)),""."","","",1))"),53.71019)</f>
        <v>53.71019</v>
      </c>
      <c r="Q7970" s="13">
        <f>IFERROR(__xludf.DUMMYFUNCTION("VALUE(SUBSTITUTE((INDEX(SPLIT(A7970,"",""),2)),""."","","",1))"),91.516157)</f>
        <v>91.516157</v>
      </c>
      <c r="R7970" s="14" t="b">
        <f t="shared" si="1"/>
        <v>0</v>
      </c>
      <c r="S7970" s="14" t="str">
        <f t="shared" si="2"/>
        <v>53.71019,91.516157</v>
      </c>
      <c r="T7970" s="12"/>
    </row>
    <row r="7971">
      <c r="A7971" s="10" t="s">
        <v>29669</v>
      </c>
      <c r="B7971" s="8" t="s">
        <v>50930</v>
      </c>
      <c r="C7971" s="8" t="s">
        <v>50931</v>
      </c>
      <c r="D7971" s="8" t="s">
        <v>16</v>
      </c>
      <c r="E7971" s="9" t="s">
        <v>50932</v>
      </c>
      <c r="F7971" s="10" t="s">
        <v>26306</v>
      </c>
      <c r="G7971" s="8">
        <v>23.61</v>
      </c>
      <c r="H7971" s="8"/>
      <c r="I7971" s="10"/>
      <c r="J7971" s="10" t="s">
        <v>50933</v>
      </c>
      <c r="K7971" s="10" t="s">
        <v>50934</v>
      </c>
      <c r="L7971" s="11" t="s">
        <v>50935</v>
      </c>
      <c r="M7971" s="11" t="s">
        <v>50936</v>
      </c>
      <c r="N7971" s="12"/>
      <c r="O7971" s="12"/>
      <c r="P7971" s="13">
        <f>IFERROR(__xludf.DUMMYFUNCTION("VALUE(SUBSTITUTE((INDEX(SPLIT(A7971,"",""),1)),""."","","",1))"),54.312059)</f>
        <v>54.312059</v>
      </c>
      <c r="Q7971" s="13">
        <f>IFERROR(__xludf.DUMMYFUNCTION("VALUE(SUBSTITUTE((INDEX(SPLIT(A7971,"",""),2)),""."","","",1))"),91.580548)</f>
        <v>91.580548</v>
      </c>
      <c r="R7971" s="14" t="b">
        <f t="shared" si="1"/>
        <v>0</v>
      </c>
      <c r="S7971" s="14" t="str">
        <f t="shared" si="2"/>
        <v>54.312059,91.580548</v>
      </c>
      <c r="T7971" s="12"/>
    </row>
    <row r="7972">
      <c r="A7972" s="16" t="s">
        <v>29676</v>
      </c>
      <c r="B7972" s="16" t="s">
        <v>50937</v>
      </c>
      <c r="C7972" s="16" t="s">
        <v>50938</v>
      </c>
      <c r="D7972" s="16" t="s">
        <v>16</v>
      </c>
      <c r="E7972" s="17" t="s">
        <v>50939</v>
      </c>
      <c r="F7972" s="16" t="s">
        <v>26306</v>
      </c>
      <c r="G7972" s="16">
        <v>23.61</v>
      </c>
      <c r="H7972" s="16"/>
      <c r="I7972" s="16"/>
      <c r="J7972" s="16" t="s">
        <v>50940</v>
      </c>
      <c r="K7972" s="16" t="s">
        <v>50941</v>
      </c>
      <c r="L7972" s="16"/>
      <c r="M7972" s="16"/>
      <c r="N7972" s="12"/>
      <c r="O7972" s="12"/>
      <c r="P7972" s="13">
        <f>IFERROR(__xludf.DUMMYFUNCTION("VALUE(SUBSTITUTE((INDEX(SPLIT(A7972,"",""),1)),""."","","",1))"),53.689571)</f>
        <v>53.689571</v>
      </c>
      <c r="Q7972" s="13">
        <f>IFERROR(__xludf.DUMMYFUNCTION("VALUE(SUBSTITUTE((INDEX(SPLIT(A7972,"",""),2)),""."","","",1))"),91.657471)</f>
        <v>91.657471</v>
      </c>
      <c r="R7972" s="14" t="b">
        <f t="shared" si="1"/>
        <v>0</v>
      </c>
      <c r="S7972" s="14" t="str">
        <f t="shared" si="2"/>
        <v>53.689571,91.657471</v>
      </c>
      <c r="T7972" s="12"/>
    </row>
    <row r="7973">
      <c r="A7973" s="10" t="s">
        <v>29683</v>
      </c>
      <c r="B7973" s="8" t="s">
        <v>50942</v>
      </c>
      <c r="C7973" s="8" t="s">
        <v>50943</v>
      </c>
      <c r="D7973" s="8" t="s">
        <v>16</v>
      </c>
      <c r="E7973" s="9" t="s">
        <v>50944</v>
      </c>
      <c r="F7973" s="10" t="s">
        <v>26306</v>
      </c>
      <c r="G7973" s="8">
        <v>23.61</v>
      </c>
      <c r="H7973" s="8"/>
      <c r="I7973" s="10"/>
      <c r="J7973" s="10" t="s">
        <v>50945</v>
      </c>
      <c r="K7973" s="10" t="s">
        <v>50946</v>
      </c>
      <c r="L7973" s="11" t="s">
        <v>50947</v>
      </c>
      <c r="M7973" s="10"/>
      <c r="N7973" s="12"/>
      <c r="O7973" s="12"/>
      <c r="P7973" s="13">
        <f>IFERROR(__xludf.DUMMYFUNCTION("VALUE(SUBSTITUTE((INDEX(SPLIT(A7973,"",""),1)),""."","","",1))"),53.72129)</f>
        <v>53.72129</v>
      </c>
      <c r="Q7973" s="13">
        <f>IFERROR(__xludf.DUMMYFUNCTION("VALUE(SUBSTITUTE((INDEX(SPLIT(A7973,"",""),2)),""."","","",1))"),91.677899)</f>
        <v>91.677899</v>
      </c>
      <c r="R7973" s="14" t="b">
        <f t="shared" si="1"/>
        <v>0</v>
      </c>
      <c r="S7973" s="14" t="str">
        <f t="shared" si="2"/>
        <v>53.72129,91.677899</v>
      </c>
      <c r="T7973" s="12"/>
    </row>
    <row r="7974">
      <c r="A7974" s="22" t="s">
        <v>29690</v>
      </c>
      <c r="B7974" s="16" t="s">
        <v>50948</v>
      </c>
      <c r="C7974" s="16" t="s">
        <v>50949</v>
      </c>
      <c r="D7974" s="16" t="s">
        <v>16</v>
      </c>
      <c r="E7974" s="21" t="s">
        <v>50950</v>
      </c>
      <c r="F7974" s="22" t="s">
        <v>26306</v>
      </c>
      <c r="G7974" s="16">
        <v>23.61</v>
      </c>
      <c r="H7974" s="16"/>
      <c r="I7974" s="22"/>
      <c r="J7974" s="22" t="s">
        <v>50951</v>
      </c>
      <c r="K7974" s="22" t="s">
        <v>50952</v>
      </c>
      <c r="L7974" s="23" t="s">
        <v>50953</v>
      </c>
      <c r="M7974" s="23" t="s">
        <v>50954</v>
      </c>
      <c r="N7974" s="12"/>
      <c r="O7974" s="12"/>
      <c r="P7974" s="13">
        <f>IFERROR(__xludf.DUMMYFUNCTION("VALUE(SUBSTITUTE((INDEX(SPLIT(A7974,"",""),1)),""."","","",1))"),53.700511)</f>
        <v>53.700511</v>
      </c>
      <c r="Q7974" s="13">
        <f>IFERROR(__xludf.DUMMYFUNCTION("VALUE(SUBSTITUTE((INDEX(SPLIT(A7974,"",""),2)),""."","","",1))"),91.745191)</f>
        <v>91.745191</v>
      </c>
      <c r="R7974" s="14" t="b">
        <f t="shared" si="1"/>
        <v>0</v>
      </c>
      <c r="S7974" s="14" t="str">
        <f t="shared" si="2"/>
        <v>53.700511,91.745191</v>
      </c>
      <c r="T7974" s="12"/>
    </row>
    <row r="7975">
      <c r="A7975" s="10" t="s">
        <v>29696</v>
      </c>
      <c r="B7975" s="8" t="s">
        <v>18748</v>
      </c>
      <c r="C7975" s="8" t="s">
        <v>18749</v>
      </c>
      <c r="D7975" s="8" t="s">
        <v>16</v>
      </c>
      <c r="E7975" s="9" t="s">
        <v>50955</v>
      </c>
      <c r="F7975" s="10" t="s">
        <v>26306</v>
      </c>
      <c r="G7975" s="8">
        <v>23.61</v>
      </c>
      <c r="H7975" s="8"/>
      <c r="I7975" s="10"/>
      <c r="J7975" s="10" t="s">
        <v>50956</v>
      </c>
      <c r="K7975" s="10" t="s">
        <v>50957</v>
      </c>
      <c r="L7975" s="11" t="s">
        <v>50958</v>
      </c>
      <c r="M7975" s="10"/>
      <c r="N7975" s="12"/>
      <c r="O7975" s="12"/>
      <c r="P7975" s="13">
        <f>IFERROR(__xludf.DUMMYFUNCTION("VALUE(SUBSTITUTE((INDEX(SPLIT(A7975,"",""),1)),""."","","",1))"),53.275763)</f>
        <v>53.275763</v>
      </c>
      <c r="Q7975" s="13">
        <f>IFERROR(__xludf.DUMMYFUNCTION("VALUE(SUBSTITUTE((INDEX(SPLIT(A7975,"",""),2)),""."","","",1))"),92.342472)</f>
        <v>92.342472</v>
      </c>
      <c r="R7975" s="14" t="b">
        <f t="shared" si="1"/>
        <v>0</v>
      </c>
      <c r="S7975" s="14" t="str">
        <f t="shared" si="2"/>
        <v>53.275763,92.342472</v>
      </c>
      <c r="T7975" s="12"/>
    </row>
    <row r="7976">
      <c r="A7976" s="8" t="s">
        <v>30243</v>
      </c>
      <c r="B7976" s="8" t="s">
        <v>3698</v>
      </c>
      <c r="C7976" s="8" t="s">
        <v>3699</v>
      </c>
      <c r="D7976" s="8" t="s">
        <v>16</v>
      </c>
      <c r="E7976" s="19" t="s">
        <v>50959</v>
      </c>
      <c r="F7976" s="8" t="s">
        <v>24801</v>
      </c>
      <c r="G7976" s="8">
        <v>23.61</v>
      </c>
      <c r="H7976" s="8"/>
      <c r="I7976" s="8"/>
      <c r="J7976" s="8" t="s">
        <v>50960</v>
      </c>
      <c r="K7976" s="8" t="s">
        <v>50891</v>
      </c>
      <c r="L7976" s="8"/>
      <c r="M7976" s="24" t="s">
        <v>50961</v>
      </c>
      <c r="N7976" s="12"/>
      <c r="O7976" s="12"/>
      <c r="P7976" s="13">
        <f>IFERROR(__xludf.DUMMYFUNCTION("VALUE(SUBSTITUTE((INDEX(SPLIT(A7976,"",""),1)),""."","","",1))"),51.700162)</f>
        <v>51.700162</v>
      </c>
      <c r="Q7976" s="13">
        <f>IFERROR(__xludf.DUMMYFUNCTION("VALUE(SUBSTITUTE((INDEX(SPLIT(A7976,"",""),2)),""."","","",1))"),94.392347)</f>
        <v>94.392347</v>
      </c>
      <c r="R7976" s="14" t="b">
        <f t="shared" si="1"/>
        <v>0</v>
      </c>
      <c r="S7976" s="14" t="str">
        <f t="shared" si="2"/>
        <v>51.700162,94.392347</v>
      </c>
      <c r="T7976" s="12"/>
    </row>
    <row r="7977">
      <c r="A7977" s="22" t="s">
        <v>30249</v>
      </c>
      <c r="B7977" s="16" t="s">
        <v>50962</v>
      </c>
      <c r="C7977" s="16" t="s">
        <v>50963</v>
      </c>
      <c r="D7977" s="16" t="s">
        <v>16</v>
      </c>
      <c r="E7977" s="21" t="s">
        <v>50964</v>
      </c>
      <c r="F7977" s="22" t="s">
        <v>37625</v>
      </c>
      <c r="G7977" s="16">
        <v>23.61</v>
      </c>
      <c r="H7977" s="16"/>
      <c r="I7977" s="22"/>
      <c r="J7977" s="22" t="s">
        <v>50965</v>
      </c>
      <c r="K7977" s="22" t="s">
        <v>50966</v>
      </c>
      <c r="L7977" s="23" t="s">
        <v>50967</v>
      </c>
      <c r="M7977" s="22"/>
      <c r="N7977" s="12"/>
      <c r="O7977" s="12"/>
      <c r="P7977" s="13">
        <f>IFERROR(__xludf.DUMMYFUNCTION("VALUE(SUBSTITUTE((INDEX(SPLIT(A7977,"",""),1)),""."","","",1))"),51.717937)</f>
        <v>51.717937</v>
      </c>
      <c r="Q7977" s="13">
        <f>IFERROR(__xludf.DUMMYFUNCTION("VALUE(SUBSTITUTE((INDEX(SPLIT(A7977,"",""),2)),""."","","",1))"),94.435421)</f>
        <v>94.435421</v>
      </c>
      <c r="R7977" s="14" t="b">
        <f t="shared" si="1"/>
        <v>0</v>
      </c>
      <c r="S7977" s="14" t="str">
        <f t="shared" si="2"/>
        <v>51.717937,94.435421</v>
      </c>
      <c r="T7977" s="12"/>
    </row>
    <row r="7978">
      <c r="A7978" s="8" t="s">
        <v>30256</v>
      </c>
      <c r="B7978" s="8" t="s">
        <v>50968</v>
      </c>
      <c r="C7978" s="8" t="s">
        <v>50969</v>
      </c>
      <c r="D7978" s="8" t="s">
        <v>16</v>
      </c>
      <c r="E7978" s="19" t="s">
        <v>50970</v>
      </c>
      <c r="F7978" s="8" t="s">
        <v>37625</v>
      </c>
      <c r="G7978" s="8">
        <v>23.61</v>
      </c>
      <c r="H7978" s="8"/>
      <c r="I7978" s="8"/>
      <c r="J7978" s="8" t="s">
        <v>50971</v>
      </c>
      <c r="K7978" s="8" t="s">
        <v>50972</v>
      </c>
      <c r="L7978" s="8"/>
      <c r="M7978" s="8"/>
      <c r="N7978" s="12"/>
      <c r="O7978" s="12"/>
      <c r="P7978" s="13">
        <f>IFERROR(__xludf.DUMMYFUNCTION("VALUE(SUBSTITUTE((INDEX(SPLIT(A7978,"",""),1)),""."","","",1))"),51.701825)</f>
        <v>51.701825</v>
      </c>
      <c r="Q7978" s="13">
        <f>IFERROR(__xludf.DUMMYFUNCTION("VALUE(SUBSTITUTE((INDEX(SPLIT(A7978,"",""),2)),""."","","",1))"),94.475109)</f>
        <v>94.475109</v>
      </c>
      <c r="R7978" s="14" t="b">
        <f t="shared" si="1"/>
        <v>0</v>
      </c>
      <c r="S7978" s="14" t="str">
        <f t="shared" si="2"/>
        <v>51.701825,94.475109</v>
      </c>
      <c r="T7978" s="12"/>
    </row>
    <row r="7979">
      <c r="A7979" s="22" t="s">
        <v>30263</v>
      </c>
      <c r="B7979" s="16" t="s">
        <v>50973</v>
      </c>
      <c r="C7979" s="16" t="s">
        <v>50974</v>
      </c>
      <c r="D7979" s="16" t="s">
        <v>16</v>
      </c>
      <c r="E7979" s="21" t="s">
        <v>50975</v>
      </c>
      <c r="F7979" s="22" t="s">
        <v>37625</v>
      </c>
      <c r="G7979" s="16">
        <v>23.61</v>
      </c>
      <c r="H7979" s="16"/>
      <c r="I7979" s="22"/>
      <c r="J7979" s="22" t="s">
        <v>50976</v>
      </c>
      <c r="K7979" s="22" t="s">
        <v>50977</v>
      </c>
      <c r="L7979" s="23" t="s">
        <v>50978</v>
      </c>
      <c r="M7979" s="23" t="s">
        <v>50979</v>
      </c>
      <c r="N7979" s="12"/>
      <c r="O7979" s="12"/>
      <c r="P7979" s="13">
        <f>IFERROR(__xludf.DUMMYFUNCTION("VALUE(SUBSTITUTE((INDEX(SPLIT(A7979,"",""),1)),""."","","",1))"),51.689203)</f>
        <v>51.689203</v>
      </c>
      <c r="Q7979" s="13">
        <f>IFERROR(__xludf.DUMMYFUNCTION("VALUE(SUBSTITUTE((INDEX(SPLIT(A7979,"",""),2)),""."","","",1))"),94.555849)</f>
        <v>94.555849</v>
      </c>
      <c r="R7979" s="14" t="b">
        <f t="shared" si="1"/>
        <v>0</v>
      </c>
      <c r="S7979" s="14" t="str">
        <f t="shared" si="2"/>
        <v>51.689203,94.555849</v>
      </c>
      <c r="T7979" s="12"/>
    </row>
    <row r="7980">
      <c r="A7980" s="112" t="s">
        <v>50980</v>
      </c>
      <c r="B7980" s="34"/>
      <c r="C7980" s="206" t="s">
        <v>50981</v>
      </c>
      <c r="D7980" s="207" t="s">
        <v>49101</v>
      </c>
      <c r="E7980" s="34"/>
      <c r="F7980" s="34"/>
      <c r="G7980" s="34"/>
      <c r="H7980" s="34"/>
      <c r="I7980" s="34"/>
      <c r="J7980" s="34"/>
      <c r="K7980" s="34"/>
      <c r="L7980" s="34"/>
      <c r="M7980" s="34"/>
      <c r="N7980" s="12"/>
      <c r="O7980" s="12"/>
      <c r="P7980" s="13">
        <f>IFERROR(__xludf.DUMMYFUNCTION("VALUE(SUBSTITUTE((INDEX(SPLIT(A7980,"",""),1)),""."","","",1))"),100.1)</f>
        <v>100.1</v>
      </c>
      <c r="Q7980" s="13" t="str">
        <f>IFERROR(__xludf.DUMMYFUNCTION("VALUE(SUBSTITUTE((INDEX(SPLIT(A7980,"",""),2)),""."","","",1))"),"#REF!")</f>
        <v>#REF!</v>
      </c>
      <c r="R7980" s="14" t="b">
        <f t="shared" si="1"/>
        <v>1</v>
      </c>
      <c r="S7980" s="14" t="str">
        <f t="shared" si="2"/>
        <v>#REF!</v>
      </c>
      <c r="T7980" s="12"/>
    </row>
    <row r="7981">
      <c r="A7981" s="112" t="s">
        <v>50982</v>
      </c>
      <c r="B7981" s="34"/>
      <c r="C7981" s="206" t="s">
        <v>50983</v>
      </c>
      <c r="D7981" s="207" t="s">
        <v>49101</v>
      </c>
      <c r="E7981" s="34"/>
      <c r="F7981" s="34"/>
      <c r="G7981" s="34"/>
      <c r="H7981" s="34"/>
      <c r="I7981" s="34"/>
      <c r="J7981" s="34"/>
      <c r="K7981" s="34"/>
      <c r="L7981" s="34"/>
      <c r="M7981" s="34"/>
      <c r="N7981" s="12"/>
      <c r="O7981" s="12"/>
      <c r="P7981" s="13">
        <f>IFERROR(__xludf.DUMMYFUNCTION("VALUE(SUBSTITUTE((INDEX(SPLIT(A7981,"",""),1)),""."","","",1))"),100.1)</f>
        <v>100.1</v>
      </c>
      <c r="Q7981" s="13">
        <f>IFERROR(__xludf.DUMMYFUNCTION("VALUE(SUBSTITUTE((INDEX(SPLIT(A7981,"",""),2)),""."","","",1))"),100.0)</f>
        <v>100</v>
      </c>
      <c r="R7981" s="14" t="b">
        <f t="shared" si="1"/>
        <v>1</v>
      </c>
      <c r="S7981" s="14" t="str">
        <f t="shared" si="2"/>
        <v>100.100,1</v>
      </c>
      <c r="T7981" s="12"/>
    </row>
    <row r="7982">
      <c r="A7982" s="112" t="s">
        <v>50984</v>
      </c>
      <c r="B7982" s="34"/>
      <c r="C7982" s="206" t="s">
        <v>50985</v>
      </c>
      <c r="D7982" s="207" t="s">
        <v>49101</v>
      </c>
      <c r="E7982" s="34"/>
      <c r="F7982" s="34"/>
      <c r="G7982" s="34"/>
      <c r="H7982" s="34"/>
      <c r="I7982" s="34"/>
      <c r="J7982" s="34"/>
      <c r="K7982" s="34"/>
      <c r="L7982" s="34"/>
      <c r="M7982" s="34"/>
      <c r="N7982" s="12"/>
      <c r="O7982" s="12"/>
      <c r="P7982" s="13">
        <f>IFERROR(__xludf.DUMMYFUNCTION("VALUE(SUBSTITUTE((INDEX(SPLIT(A7982,"",""),1)),""."","","",1))"),100.2)</f>
        <v>100.2</v>
      </c>
      <c r="Q7982" s="13">
        <f>IFERROR(__xludf.DUMMYFUNCTION("VALUE(SUBSTITUTE((INDEX(SPLIT(A7982,"",""),2)),""."","","",1))"),100.0)</f>
        <v>100</v>
      </c>
      <c r="R7982" s="14" t="b">
        <f t="shared" si="1"/>
        <v>1</v>
      </c>
      <c r="S7982" s="14" t="str">
        <f t="shared" si="2"/>
        <v>100.100,2</v>
      </c>
      <c r="T7982" s="12"/>
    </row>
    <row r="7983">
      <c r="A7983" s="112" t="s">
        <v>50986</v>
      </c>
      <c r="B7983" s="34"/>
      <c r="C7983" s="206" t="s">
        <v>50987</v>
      </c>
      <c r="D7983" s="207" t="s">
        <v>49101</v>
      </c>
      <c r="E7983" s="34"/>
      <c r="F7983" s="34"/>
      <c r="G7983" s="34"/>
      <c r="H7983" s="34"/>
      <c r="I7983" s="34"/>
      <c r="J7983" s="34"/>
      <c r="K7983" s="34"/>
      <c r="L7983" s="34"/>
      <c r="M7983" s="34"/>
      <c r="N7983" s="12"/>
      <c r="O7983" s="12"/>
      <c r="P7983" s="13">
        <f>IFERROR(__xludf.DUMMYFUNCTION("VALUE(SUBSTITUTE((INDEX(SPLIT(A7983,"",""),1)),""."","","",1))"),100.3)</f>
        <v>100.3</v>
      </c>
      <c r="Q7983" s="13">
        <f>IFERROR(__xludf.DUMMYFUNCTION("VALUE(SUBSTITUTE((INDEX(SPLIT(A7983,"",""),2)),""."","","",1))"),100.0)</f>
        <v>100</v>
      </c>
      <c r="R7983" s="14" t="b">
        <f t="shared" si="1"/>
        <v>1</v>
      </c>
      <c r="S7983" s="14" t="str">
        <f t="shared" si="2"/>
        <v>100.100,3</v>
      </c>
      <c r="T7983" s="12"/>
    </row>
    <row r="7984">
      <c r="A7984" s="112" t="s">
        <v>50988</v>
      </c>
      <c r="B7984" s="34"/>
      <c r="C7984" s="206" t="s">
        <v>50989</v>
      </c>
      <c r="D7984" s="207" t="s">
        <v>49101</v>
      </c>
      <c r="E7984" s="34"/>
      <c r="F7984" s="34"/>
      <c r="G7984" s="34"/>
      <c r="H7984" s="34"/>
      <c r="I7984" s="34"/>
      <c r="J7984" s="34"/>
      <c r="K7984" s="34"/>
      <c r="L7984" s="34"/>
      <c r="M7984" s="34"/>
      <c r="N7984" s="12"/>
      <c r="O7984" s="12"/>
      <c r="P7984" s="13">
        <f>IFERROR(__xludf.DUMMYFUNCTION("VALUE(SUBSTITUTE((INDEX(SPLIT(A7984,"",""),1)),""."","","",1))"),100.4)</f>
        <v>100.4</v>
      </c>
      <c r="Q7984" s="13">
        <f>IFERROR(__xludf.DUMMYFUNCTION("VALUE(SUBSTITUTE((INDEX(SPLIT(A7984,"",""),2)),""."","","",1))"),100.0)</f>
        <v>100</v>
      </c>
      <c r="R7984" s="14" t="b">
        <f t="shared" si="1"/>
        <v>1</v>
      </c>
      <c r="S7984" s="14" t="str">
        <f t="shared" si="2"/>
        <v>100.100,4</v>
      </c>
      <c r="T7984" s="12"/>
    </row>
    <row r="7985">
      <c r="A7985" s="112" t="s">
        <v>50990</v>
      </c>
      <c r="B7985" s="34"/>
      <c r="C7985" s="206" t="s">
        <v>50991</v>
      </c>
      <c r="D7985" s="207" t="s">
        <v>49101</v>
      </c>
      <c r="E7985" s="34"/>
      <c r="F7985" s="34"/>
      <c r="G7985" s="34"/>
      <c r="H7985" s="34"/>
      <c r="I7985" s="34"/>
      <c r="J7985" s="34"/>
      <c r="K7985" s="34"/>
      <c r="L7985" s="34"/>
      <c r="M7985" s="34"/>
      <c r="N7985" s="12"/>
      <c r="O7985" s="12"/>
      <c r="P7985" s="13">
        <f>IFERROR(__xludf.DUMMYFUNCTION("VALUE(SUBSTITUTE((INDEX(SPLIT(A7985,"",""),1)),""."","","",1))"),100.5)</f>
        <v>100.5</v>
      </c>
      <c r="Q7985" s="13">
        <f>IFERROR(__xludf.DUMMYFUNCTION("VALUE(SUBSTITUTE((INDEX(SPLIT(A7985,"",""),2)),""."","","",1))"),100.0)</f>
        <v>100</v>
      </c>
      <c r="R7985" s="14" t="b">
        <f t="shared" si="1"/>
        <v>1</v>
      </c>
      <c r="S7985" s="14" t="str">
        <f t="shared" si="2"/>
        <v>100.100,5</v>
      </c>
      <c r="T7985" s="12"/>
    </row>
    <row r="7986">
      <c r="A7986" s="112" t="s">
        <v>50992</v>
      </c>
      <c r="B7986" s="34"/>
      <c r="C7986" s="206" t="s">
        <v>50993</v>
      </c>
      <c r="D7986" s="207" t="s">
        <v>49101</v>
      </c>
      <c r="E7986" s="34"/>
      <c r="F7986" s="34"/>
      <c r="G7986" s="34"/>
      <c r="H7986" s="34"/>
      <c r="I7986" s="34"/>
      <c r="J7986" s="34"/>
      <c r="K7986" s="34"/>
      <c r="L7986" s="34"/>
      <c r="M7986" s="34"/>
      <c r="N7986" s="12"/>
      <c r="O7986" s="12"/>
      <c r="P7986" s="13">
        <f>IFERROR(__xludf.DUMMYFUNCTION("VALUE(SUBSTITUTE((INDEX(SPLIT(A7986,"",""),1)),""."","","",1))"),100.6)</f>
        <v>100.6</v>
      </c>
      <c r="Q7986" s="13">
        <f>IFERROR(__xludf.DUMMYFUNCTION("VALUE(SUBSTITUTE((INDEX(SPLIT(A7986,"",""),2)),""."","","",1))"),100.0)</f>
        <v>100</v>
      </c>
      <c r="R7986" s="14" t="b">
        <f t="shared" si="1"/>
        <v>1</v>
      </c>
      <c r="S7986" s="14" t="str">
        <f t="shared" si="2"/>
        <v>100.100,6</v>
      </c>
      <c r="T7986" s="12"/>
    </row>
    <row r="7987">
      <c r="A7987" s="112" t="s">
        <v>50994</v>
      </c>
      <c r="B7987" s="34"/>
      <c r="C7987" s="206" t="s">
        <v>50995</v>
      </c>
      <c r="D7987" s="207" t="s">
        <v>49101</v>
      </c>
      <c r="E7987" s="34"/>
      <c r="F7987" s="34"/>
      <c r="G7987" s="34"/>
      <c r="H7987" s="34"/>
      <c r="I7987" s="34"/>
      <c r="J7987" s="34"/>
      <c r="K7987" s="34"/>
      <c r="L7987" s="34"/>
      <c r="M7987" s="34"/>
      <c r="N7987" s="12"/>
      <c r="O7987" s="12"/>
      <c r="P7987" s="13">
        <f>IFERROR(__xludf.DUMMYFUNCTION("VALUE(SUBSTITUTE((INDEX(SPLIT(A7987,"",""),1)),""."","","",1))"),100.7)</f>
        <v>100.7</v>
      </c>
      <c r="Q7987" s="13">
        <f>IFERROR(__xludf.DUMMYFUNCTION("VALUE(SUBSTITUTE((INDEX(SPLIT(A7987,"",""),2)),""."","","",1))"),100.0)</f>
        <v>100</v>
      </c>
      <c r="R7987" s="14" t="b">
        <f t="shared" si="1"/>
        <v>1</v>
      </c>
      <c r="S7987" s="14" t="str">
        <f t="shared" si="2"/>
        <v>100.100,7</v>
      </c>
      <c r="T7987" s="12"/>
    </row>
    <row r="7988">
      <c r="A7988" s="112" t="s">
        <v>50996</v>
      </c>
      <c r="B7988" s="34"/>
      <c r="C7988" s="206" t="s">
        <v>50997</v>
      </c>
      <c r="D7988" s="207" t="s">
        <v>49101</v>
      </c>
      <c r="E7988" s="34"/>
      <c r="F7988" s="34"/>
      <c r="G7988" s="34"/>
      <c r="H7988" s="34"/>
      <c r="I7988" s="34"/>
      <c r="J7988" s="34"/>
      <c r="K7988" s="34"/>
      <c r="L7988" s="34"/>
      <c r="M7988" s="34"/>
      <c r="N7988" s="12"/>
      <c r="O7988" s="12"/>
      <c r="P7988" s="13">
        <f>IFERROR(__xludf.DUMMYFUNCTION("VALUE(SUBSTITUTE((INDEX(SPLIT(A7988,"",""),1)),""."","","",1))"),100.8)</f>
        <v>100.8</v>
      </c>
      <c r="Q7988" s="13">
        <f>IFERROR(__xludf.DUMMYFUNCTION("VALUE(SUBSTITUTE((INDEX(SPLIT(A7988,"",""),2)),""."","","",1))"),100.0)</f>
        <v>100</v>
      </c>
      <c r="R7988" s="14" t="b">
        <f t="shared" si="1"/>
        <v>1</v>
      </c>
      <c r="S7988" s="14" t="str">
        <f t="shared" si="2"/>
        <v>100.100,8</v>
      </c>
      <c r="T7988" s="12"/>
    </row>
    <row r="7989">
      <c r="A7989" s="112" t="s">
        <v>50998</v>
      </c>
      <c r="B7989" s="34"/>
      <c r="C7989" s="206" t="s">
        <v>50999</v>
      </c>
      <c r="D7989" s="207" t="s">
        <v>49101</v>
      </c>
      <c r="E7989" s="34"/>
      <c r="F7989" s="34"/>
      <c r="G7989" s="34"/>
      <c r="H7989" s="34"/>
      <c r="I7989" s="34"/>
      <c r="J7989" s="34"/>
      <c r="K7989" s="34"/>
      <c r="L7989" s="34"/>
      <c r="M7989" s="34"/>
      <c r="N7989" s="12"/>
      <c r="O7989" s="12"/>
      <c r="P7989" s="13">
        <f>IFERROR(__xludf.DUMMYFUNCTION("VALUE(SUBSTITUTE((INDEX(SPLIT(A7989,"",""),1)),""."","","",1))"),100.9)</f>
        <v>100.9</v>
      </c>
      <c r="Q7989" s="13">
        <f>IFERROR(__xludf.DUMMYFUNCTION("VALUE(SUBSTITUTE((INDEX(SPLIT(A7989,"",""),2)),""."","","",1))"),100.0)</f>
        <v>100</v>
      </c>
      <c r="R7989" s="14" t="b">
        <f t="shared" si="1"/>
        <v>1</v>
      </c>
      <c r="S7989" s="14" t="str">
        <f t="shared" si="2"/>
        <v>100.100,9</v>
      </c>
      <c r="T7989" s="12"/>
    </row>
    <row r="7990">
      <c r="A7990" s="112" t="s">
        <v>50982</v>
      </c>
      <c r="B7990" s="34"/>
      <c r="C7990" s="206" t="s">
        <v>51000</v>
      </c>
      <c r="D7990" s="207" t="s">
        <v>49101</v>
      </c>
      <c r="E7990" s="34"/>
      <c r="F7990" s="34"/>
      <c r="G7990" s="34"/>
      <c r="H7990" s="34"/>
      <c r="I7990" s="34"/>
      <c r="J7990" s="34"/>
      <c r="K7990" s="34"/>
      <c r="L7990" s="34"/>
      <c r="M7990" s="34"/>
      <c r="N7990" s="12"/>
      <c r="O7990" s="12"/>
      <c r="P7990" s="13">
        <f>IFERROR(__xludf.DUMMYFUNCTION("VALUE(SUBSTITUTE((INDEX(SPLIT(A7990,"",""),1)),""."","","",1))"),100.1)</f>
        <v>100.1</v>
      </c>
      <c r="Q7990" s="13">
        <f>IFERROR(__xludf.DUMMYFUNCTION("VALUE(SUBSTITUTE((INDEX(SPLIT(A7990,"",""),2)),""."","","",1))"),100.0)</f>
        <v>100</v>
      </c>
      <c r="R7990" s="14" t="b">
        <f t="shared" si="1"/>
        <v>1</v>
      </c>
      <c r="S7990" s="14" t="str">
        <f t="shared" si="2"/>
        <v>100.100,1</v>
      </c>
      <c r="T7990" s="12"/>
    </row>
    <row r="7991">
      <c r="A7991" s="112" t="s">
        <v>51001</v>
      </c>
      <c r="B7991" s="34"/>
      <c r="C7991" s="206" t="s">
        <v>51002</v>
      </c>
      <c r="D7991" s="207" t="s">
        <v>49101</v>
      </c>
      <c r="E7991" s="34"/>
      <c r="F7991" s="34"/>
      <c r="G7991" s="34"/>
      <c r="H7991" s="34"/>
      <c r="I7991" s="34"/>
      <c r="J7991" s="34"/>
      <c r="K7991" s="34"/>
      <c r="L7991" s="34"/>
      <c r="M7991" s="34"/>
      <c r="N7991" s="12"/>
      <c r="O7991" s="12"/>
      <c r="P7991" s="13">
        <f>IFERROR(__xludf.DUMMYFUNCTION("VALUE(SUBSTITUTE((INDEX(SPLIT(A7991,"",""),1)),""."","","",1))"),100.11)</f>
        <v>100.11</v>
      </c>
      <c r="Q7991" s="13">
        <f>IFERROR(__xludf.DUMMYFUNCTION("VALUE(SUBSTITUTE((INDEX(SPLIT(A7991,"",""),2)),""."","","",1))"),100.0)</f>
        <v>100</v>
      </c>
      <c r="R7991" s="14" t="b">
        <f t="shared" si="1"/>
        <v>1</v>
      </c>
      <c r="S7991" s="14" t="str">
        <f t="shared" si="2"/>
        <v>100.100,11</v>
      </c>
      <c r="T7991" s="12"/>
    </row>
    <row r="7992">
      <c r="A7992" s="112" t="s">
        <v>51003</v>
      </c>
      <c r="B7992" s="34"/>
      <c r="C7992" s="206" t="s">
        <v>51004</v>
      </c>
      <c r="D7992" s="207" t="s">
        <v>49101</v>
      </c>
      <c r="E7992" s="34"/>
      <c r="F7992" s="34"/>
      <c r="G7992" s="34"/>
      <c r="H7992" s="34"/>
      <c r="I7992" s="34"/>
      <c r="J7992" s="34"/>
      <c r="K7992" s="34"/>
      <c r="L7992" s="34"/>
      <c r="M7992" s="34"/>
      <c r="N7992" s="12"/>
      <c r="O7992" s="12"/>
      <c r="P7992" s="13">
        <f>IFERROR(__xludf.DUMMYFUNCTION("VALUE(SUBSTITUTE((INDEX(SPLIT(A7992,"",""),1)),""."","","",1))"),100.12)</f>
        <v>100.12</v>
      </c>
      <c r="Q7992" s="13">
        <f>IFERROR(__xludf.DUMMYFUNCTION("VALUE(SUBSTITUTE((INDEX(SPLIT(A7992,"",""),2)),""."","","",1))"),100.0)</f>
        <v>100</v>
      </c>
      <c r="R7992" s="14" t="b">
        <f t="shared" si="1"/>
        <v>1</v>
      </c>
      <c r="S7992" s="14" t="str">
        <f t="shared" si="2"/>
        <v>100.100,12</v>
      </c>
      <c r="T7992" s="12"/>
    </row>
    <row r="7993">
      <c r="A7993" s="112" t="s">
        <v>51005</v>
      </c>
      <c r="B7993" s="34"/>
      <c r="C7993" s="206" t="s">
        <v>51006</v>
      </c>
      <c r="D7993" s="207" t="s">
        <v>49101</v>
      </c>
      <c r="E7993" s="34"/>
      <c r="F7993" s="34"/>
      <c r="G7993" s="34"/>
      <c r="H7993" s="34"/>
      <c r="I7993" s="34"/>
      <c r="J7993" s="34"/>
      <c r="K7993" s="34"/>
      <c r="L7993" s="34"/>
      <c r="M7993" s="34"/>
      <c r="N7993" s="12"/>
      <c r="O7993" s="12"/>
      <c r="P7993" s="13">
        <f>IFERROR(__xludf.DUMMYFUNCTION("VALUE(SUBSTITUTE((INDEX(SPLIT(A7993,"",""),1)),""."","","",1))"),100.13)</f>
        <v>100.13</v>
      </c>
      <c r="Q7993" s="13">
        <f>IFERROR(__xludf.DUMMYFUNCTION("VALUE(SUBSTITUTE((INDEX(SPLIT(A7993,"",""),2)),""."","","",1))"),100.0)</f>
        <v>100</v>
      </c>
      <c r="R7993" s="14" t="b">
        <f t="shared" si="1"/>
        <v>1</v>
      </c>
      <c r="S7993" s="14" t="str">
        <f t="shared" si="2"/>
        <v>100.100,13</v>
      </c>
      <c r="T7993" s="12"/>
    </row>
    <row r="7994">
      <c r="A7994" s="112" t="s">
        <v>51007</v>
      </c>
      <c r="B7994" s="34"/>
      <c r="C7994" s="206" t="s">
        <v>51008</v>
      </c>
      <c r="D7994" s="207" t="s">
        <v>49101</v>
      </c>
      <c r="E7994" s="34"/>
      <c r="F7994" s="34"/>
      <c r="G7994" s="34"/>
      <c r="H7994" s="34"/>
      <c r="I7994" s="34"/>
      <c r="J7994" s="34"/>
      <c r="K7994" s="34"/>
      <c r="L7994" s="34"/>
      <c r="M7994" s="34"/>
      <c r="N7994" s="12"/>
      <c r="O7994" s="12"/>
      <c r="P7994" s="13">
        <f>IFERROR(__xludf.DUMMYFUNCTION("VALUE(SUBSTITUTE((INDEX(SPLIT(A7994,"",""),1)),""."","","",1))"),100.14)</f>
        <v>100.14</v>
      </c>
      <c r="Q7994" s="13">
        <f>IFERROR(__xludf.DUMMYFUNCTION("VALUE(SUBSTITUTE((INDEX(SPLIT(A7994,"",""),2)),""."","","",1))"),100.0)</f>
        <v>100</v>
      </c>
      <c r="R7994" s="14" t="b">
        <f t="shared" si="1"/>
        <v>1</v>
      </c>
      <c r="S7994" s="14" t="str">
        <f t="shared" si="2"/>
        <v>100.100,14</v>
      </c>
      <c r="T7994" s="12"/>
    </row>
    <row r="7995">
      <c r="A7995" s="112" t="s">
        <v>51009</v>
      </c>
      <c r="B7995" s="34"/>
      <c r="C7995" s="206" t="s">
        <v>51010</v>
      </c>
      <c r="D7995" s="207" t="s">
        <v>49101</v>
      </c>
      <c r="E7995" s="34"/>
      <c r="F7995" s="34"/>
      <c r="G7995" s="34"/>
      <c r="H7995" s="34"/>
      <c r="I7995" s="34"/>
      <c r="J7995" s="34"/>
      <c r="K7995" s="34"/>
      <c r="L7995" s="34"/>
      <c r="M7995" s="34"/>
      <c r="N7995" s="12"/>
      <c r="O7995" s="12"/>
      <c r="P7995" s="13">
        <f>IFERROR(__xludf.DUMMYFUNCTION("VALUE(SUBSTITUTE((INDEX(SPLIT(A7995,"",""),1)),""."","","",1))"),100.15)</f>
        <v>100.15</v>
      </c>
      <c r="Q7995" s="13">
        <f>IFERROR(__xludf.DUMMYFUNCTION("VALUE(SUBSTITUTE((INDEX(SPLIT(A7995,"",""),2)),""."","","",1))"),100.0)</f>
        <v>100</v>
      </c>
      <c r="R7995" s="14" t="b">
        <f t="shared" si="1"/>
        <v>1</v>
      </c>
      <c r="S7995" s="14" t="str">
        <f t="shared" si="2"/>
        <v>100.100,15</v>
      </c>
      <c r="T7995" s="12"/>
    </row>
    <row r="7996">
      <c r="A7996" s="112" t="s">
        <v>51011</v>
      </c>
      <c r="B7996" s="34"/>
      <c r="C7996" s="34" t="s">
        <v>51012</v>
      </c>
      <c r="D7996" s="34" t="s">
        <v>51013</v>
      </c>
      <c r="E7996" s="34"/>
      <c r="F7996" s="34"/>
      <c r="G7996" s="34"/>
      <c r="H7996" s="34"/>
      <c r="I7996" s="34"/>
      <c r="J7996" s="34"/>
      <c r="K7996" s="34"/>
      <c r="L7996" s="34"/>
      <c r="M7996" s="34"/>
      <c r="N7996" s="12"/>
      <c r="O7996" s="12"/>
      <c r="P7996" s="13">
        <f>IFERROR(__xludf.DUMMYFUNCTION("VALUE(SUBSTITUTE((INDEX(SPLIT(A7996,"",""),1)),""."","","",1))"),100.16)</f>
        <v>100.16</v>
      </c>
      <c r="Q7996" s="13">
        <f>IFERROR(__xludf.DUMMYFUNCTION("VALUE(SUBSTITUTE((INDEX(SPLIT(A7996,"",""),2)),""."","","",1))"),100.0)</f>
        <v>100</v>
      </c>
      <c r="R7996" s="14" t="b">
        <f t="shared" si="1"/>
        <v>1</v>
      </c>
      <c r="S7996" s="14" t="str">
        <f t="shared" si="2"/>
        <v>100.100,16</v>
      </c>
      <c r="T7996" s="12"/>
    </row>
    <row r="7997">
      <c r="A7997" s="112" t="s">
        <v>51014</v>
      </c>
      <c r="B7997" s="34"/>
      <c r="C7997" s="34" t="s">
        <v>51015</v>
      </c>
      <c r="D7997" s="34" t="s">
        <v>51013</v>
      </c>
      <c r="E7997" s="34"/>
      <c r="F7997" s="34"/>
      <c r="G7997" s="34"/>
      <c r="H7997" s="34"/>
      <c r="I7997" s="34"/>
      <c r="J7997" s="34"/>
      <c r="K7997" s="34"/>
      <c r="L7997" s="34"/>
      <c r="M7997" s="34"/>
      <c r="N7997" s="12"/>
      <c r="O7997" s="12"/>
      <c r="P7997" s="13">
        <f>IFERROR(__xludf.DUMMYFUNCTION("VALUE(SUBSTITUTE((INDEX(SPLIT(A7997,"",""),1)),""."","","",1))"),100.17)</f>
        <v>100.17</v>
      </c>
      <c r="Q7997" s="13">
        <f>IFERROR(__xludf.DUMMYFUNCTION("VALUE(SUBSTITUTE((INDEX(SPLIT(A7997,"",""),2)),""."","","",1))"),100.0)</f>
        <v>100</v>
      </c>
      <c r="R7997" s="14" t="b">
        <f t="shared" si="1"/>
        <v>1</v>
      </c>
      <c r="S7997" s="14" t="str">
        <f t="shared" si="2"/>
        <v>100.100,17</v>
      </c>
      <c r="T7997" s="12"/>
    </row>
    <row r="7998">
      <c r="A7998" s="112" t="s">
        <v>51016</v>
      </c>
      <c r="B7998" s="34"/>
      <c r="C7998" s="34" t="s">
        <v>51017</v>
      </c>
      <c r="D7998" s="34" t="s">
        <v>51013</v>
      </c>
      <c r="E7998" s="34"/>
      <c r="F7998" s="34"/>
      <c r="G7998" s="34"/>
      <c r="H7998" s="34"/>
      <c r="I7998" s="34"/>
      <c r="J7998" s="34"/>
      <c r="K7998" s="34"/>
      <c r="L7998" s="34"/>
      <c r="M7998" s="34"/>
      <c r="N7998" s="12"/>
      <c r="O7998" s="12"/>
      <c r="P7998" s="13">
        <f>IFERROR(__xludf.DUMMYFUNCTION("VALUE(SUBSTITUTE((INDEX(SPLIT(A7998,"",""),1)),""."","","",1))"),100.18)</f>
        <v>100.18</v>
      </c>
      <c r="Q7998" s="13">
        <f>IFERROR(__xludf.DUMMYFUNCTION("VALUE(SUBSTITUTE((INDEX(SPLIT(A7998,"",""),2)),""."","","",1))"),100.0)</f>
        <v>100</v>
      </c>
      <c r="R7998" s="14" t="b">
        <f t="shared" si="1"/>
        <v>1</v>
      </c>
      <c r="S7998" s="14" t="str">
        <f t="shared" si="2"/>
        <v>100.100,18</v>
      </c>
      <c r="T7998" s="12"/>
    </row>
    <row r="7999">
      <c r="A7999" s="112" t="s">
        <v>51018</v>
      </c>
      <c r="B7999" s="34"/>
      <c r="C7999" s="34" t="s">
        <v>51019</v>
      </c>
      <c r="D7999" s="34" t="s">
        <v>51013</v>
      </c>
      <c r="E7999" s="34"/>
      <c r="F7999" s="34"/>
      <c r="G7999" s="34"/>
      <c r="H7999" s="34"/>
      <c r="I7999" s="34"/>
      <c r="J7999" s="34"/>
      <c r="K7999" s="34"/>
      <c r="L7999" s="34"/>
      <c r="M7999" s="34"/>
      <c r="N7999" s="12"/>
      <c r="O7999" s="12"/>
      <c r="P7999" s="13">
        <f>IFERROR(__xludf.DUMMYFUNCTION("VALUE(SUBSTITUTE((INDEX(SPLIT(A7999,"",""),1)),""."","","",1))"),100.19)</f>
        <v>100.19</v>
      </c>
      <c r="Q7999" s="13">
        <f>IFERROR(__xludf.DUMMYFUNCTION("VALUE(SUBSTITUTE((INDEX(SPLIT(A7999,"",""),2)),""."","","",1))"),100.0)</f>
        <v>100</v>
      </c>
      <c r="R7999" s="14" t="b">
        <f t="shared" si="1"/>
        <v>1</v>
      </c>
      <c r="S7999" s="14" t="str">
        <f t="shared" si="2"/>
        <v>100.100,19</v>
      </c>
      <c r="T7999" s="12"/>
    </row>
    <row r="8000">
      <c r="A8000" s="112" t="s">
        <v>50984</v>
      </c>
      <c r="B8000" s="34"/>
      <c r="C8000" s="34" t="s">
        <v>51020</v>
      </c>
      <c r="D8000" s="34" t="s">
        <v>51013</v>
      </c>
      <c r="E8000" s="34"/>
      <c r="F8000" s="34"/>
      <c r="G8000" s="34"/>
      <c r="H8000" s="34"/>
      <c r="I8000" s="34"/>
      <c r="J8000" s="34"/>
      <c r="K8000" s="34"/>
      <c r="L8000" s="34"/>
      <c r="M8000" s="34"/>
      <c r="N8000" s="12"/>
      <c r="O8000" s="12"/>
      <c r="P8000" s="13">
        <f>IFERROR(__xludf.DUMMYFUNCTION("VALUE(SUBSTITUTE((INDEX(SPLIT(A8000,"",""),1)),""."","","",1))"),100.2)</f>
        <v>100.2</v>
      </c>
      <c r="Q8000" s="13">
        <f>IFERROR(__xludf.DUMMYFUNCTION("VALUE(SUBSTITUTE((INDEX(SPLIT(A8000,"",""),2)),""."","","",1))"),100.0)</f>
        <v>100</v>
      </c>
      <c r="R8000" s="14" t="b">
        <f t="shared" si="1"/>
        <v>1</v>
      </c>
      <c r="S8000" s="14" t="str">
        <f t="shared" si="2"/>
        <v>100.100,2</v>
      </c>
      <c r="T8000" s="12"/>
    </row>
    <row r="8001">
      <c r="A8001" s="112" t="s">
        <v>51021</v>
      </c>
      <c r="B8001" s="34"/>
      <c r="C8001" s="34" t="s">
        <v>51022</v>
      </c>
      <c r="D8001" s="34" t="s">
        <v>51013</v>
      </c>
      <c r="E8001" s="34"/>
      <c r="F8001" s="34"/>
      <c r="G8001" s="34"/>
      <c r="H8001" s="34"/>
      <c r="I8001" s="34"/>
      <c r="J8001" s="34"/>
      <c r="K8001" s="34"/>
      <c r="L8001" s="34"/>
      <c r="M8001" s="34"/>
      <c r="N8001" s="12"/>
      <c r="O8001" s="12"/>
      <c r="P8001" s="13">
        <f>IFERROR(__xludf.DUMMYFUNCTION("VALUE(SUBSTITUTE((INDEX(SPLIT(A8001,"",""),1)),""."","","",1))"),100.21)</f>
        <v>100.21</v>
      </c>
      <c r="Q8001" s="13">
        <f>IFERROR(__xludf.DUMMYFUNCTION("VALUE(SUBSTITUTE((INDEX(SPLIT(A8001,"",""),2)),""."","","",1))"),100.0)</f>
        <v>100</v>
      </c>
      <c r="R8001" s="14" t="b">
        <f t="shared" si="1"/>
        <v>1</v>
      </c>
      <c r="S8001" s="14" t="str">
        <f t="shared" si="2"/>
        <v>100.100,21</v>
      </c>
      <c r="T8001" s="12"/>
    </row>
    <row r="8002">
      <c r="A8002" s="112" t="s">
        <v>51023</v>
      </c>
      <c r="B8002" s="34"/>
      <c r="C8002" s="34" t="s">
        <v>32920</v>
      </c>
      <c r="D8002" s="34" t="s">
        <v>51013</v>
      </c>
      <c r="E8002" s="34"/>
      <c r="F8002" s="34"/>
      <c r="G8002" s="34"/>
      <c r="H8002" s="34"/>
      <c r="I8002" s="34"/>
      <c r="J8002" s="34"/>
      <c r="K8002" s="34"/>
      <c r="L8002" s="34"/>
      <c r="M8002" s="34"/>
      <c r="N8002" s="12"/>
      <c r="O8002" s="12"/>
      <c r="P8002" s="13">
        <f>IFERROR(__xludf.DUMMYFUNCTION("VALUE(SUBSTITUTE((INDEX(SPLIT(A8002,"",""),1)),""."","","",1))"),100.22)</f>
        <v>100.22</v>
      </c>
      <c r="Q8002" s="13">
        <f>IFERROR(__xludf.DUMMYFUNCTION("VALUE(SUBSTITUTE((INDEX(SPLIT(A8002,"",""),2)),""."","","",1))"),100.0)</f>
        <v>100</v>
      </c>
      <c r="R8002" s="14" t="b">
        <f t="shared" si="1"/>
        <v>1</v>
      </c>
      <c r="S8002" s="14" t="str">
        <f t="shared" si="2"/>
        <v>100.100,22</v>
      </c>
      <c r="T8002" s="12"/>
    </row>
    <row r="8003">
      <c r="A8003" s="112" t="s">
        <v>51024</v>
      </c>
      <c r="B8003" s="34"/>
      <c r="C8003" s="34" t="s">
        <v>51025</v>
      </c>
      <c r="D8003" s="34" t="s">
        <v>51013</v>
      </c>
      <c r="E8003" s="34"/>
      <c r="F8003" s="34"/>
      <c r="G8003" s="34"/>
      <c r="H8003" s="34"/>
      <c r="I8003" s="34"/>
      <c r="J8003" s="34"/>
      <c r="K8003" s="34"/>
      <c r="L8003" s="34"/>
      <c r="M8003" s="34"/>
      <c r="N8003" s="12"/>
      <c r="O8003" s="12"/>
      <c r="P8003" s="13">
        <f>IFERROR(__xludf.DUMMYFUNCTION("VALUE(SUBSTITUTE((INDEX(SPLIT(A8003,"",""),1)),""."","","",1))"),100.23)</f>
        <v>100.23</v>
      </c>
      <c r="Q8003" s="13">
        <f>IFERROR(__xludf.DUMMYFUNCTION("VALUE(SUBSTITUTE((INDEX(SPLIT(A8003,"",""),2)),""."","","",1))"),100.0)</f>
        <v>100</v>
      </c>
      <c r="R8003" s="14" t="b">
        <f t="shared" si="1"/>
        <v>1</v>
      </c>
      <c r="S8003" s="14" t="str">
        <f t="shared" si="2"/>
        <v>100.100,23</v>
      </c>
      <c r="T8003" s="12"/>
    </row>
    <row r="8004">
      <c r="A8004" s="112" t="s">
        <v>51026</v>
      </c>
      <c r="B8004" s="34"/>
      <c r="C8004" s="34" t="s">
        <v>51027</v>
      </c>
      <c r="D8004" s="34" t="s">
        <v>51013</v>
      </c>
      <c r="E8004" s="34"/>
      <c r="F8004" s="34"/>
      <c r="G8004" s="34"/>
      <c r="H8004" s="34"/>
      <c r="I8004" s="34"/>
      <c r="J8004" s="34"/>
      <c r="K8004" s="34"/>
      <c r="L8004" s="34"/>
      <c r="M8004" s="34"/>
      <c r="N8004" s="12"/>
      <c r="O8004" s="12"/>
      <c r="P8004" s="13">
        <f>IFERROR(__xludf.DUMMYFUNCTION("VALUE(SUBSTITUTE((INDEX(SPLIT(A8004,"",""),1)),""."","","",1))"),100.24)</f>
        <v>100.24</v>
      </c>
      <c r="Q8004" s="13">
        <f>IFERROR(__xludf.DUMMYFUNCTION("VALUE(SUBSTITUTE((INDEX(SPLIT(A8004,"",""),2)),""."","","",1))"),100.0)</f>
        <v>100</v>
      </c>
      <c r="R8004" s="14" t="b">
        <f t="shared" si="1"/>
        <v>1</v>
      </c>
      <c r="S8004" s="14" t="str">
        <f t="shared" si="2"/>
        <v>100.100,24</v>
      </c>
      <c r="T8004" s="12"/>
    </row>
    <row r="8005">
      <c r="A8005" s="112" t="s">
        <v>51028</v>
      </c>
      <c r="B8005" s="34"/>
      <c r="C8005" s="34" t="s">
        <v>51029</v>
      </c>
      <c r="D8005" s="34" t="s">
        <v>51013</v>
      </c>
      <c r="E8005" s="34"/>
      <c r="F8005" s="34"/>
      <c r="G8005" s="34"/>
      <c r="H8005" s="34"/>
      <c r="I8005" s="34"/>
      <c r="J8005" s="34"/>
      <c r="K8005" s="34"/>
      <c r="L8005" s="34"/>
      <c r="M8005" s="34"/>
      <c r="N8005" s="12"/>
      <c r="O8005" s="12"/>
      <c r="P8005" s="13">
        <f>IFERROR(__xludf.DUMMYFUNCTION("VALUE(SUBSTITUTE((INDEX(SPLIT(A8005,"",""),1)),""."","","",1))"),100.25)</f>
        <v>100.25</v>
      </c>
      <c r="Q8005" s="13">
        <f>IFERROR(__xludf.DUMMYFUNCTION("VALUE(SUBSTITUTE((INDEX(SPLIT(A8005,"",""),2)),""."","","",1))"),100.0)</f>
        <v>100</v>
      </c>
      <c r="R8005" s="14" t="b">
        <f t="shared" si="1"/>
        <v>1</v>
      </c>
      <c r="S8005" s="14" t="str">
        <f t="shared" si="2"/>
        <v>100.100,25</v>
      </c>
      <c r="T8005" s="12"/>
    </row>
    <row r="8006">
      <c r="A8006" s="112" t="s">
        <v>51030</v>
      </c>
      <c r="B8006" s="34"/>
      <c r="C8006" s="34" t="s">
        <v>51031</v>
      </c>
      <c r="D8006" s="34" t="s">
        <v>51013</v>
      </c>
      <c r="E8006" s="34"/>
      <c r="F8006" s="34"/>
      <c r="G8006" s="34"/>
      <c r="H8006" s="34"/>
      <c r="I8006" s="34"/>
      <c r="J8006" s="34"/>
      <c r="K8006" s="34"/>
      <c r="L8006" s="34"/>
      <c r="M8006" s="34"/>
      <c r="N8006" s="12"/>
      <c r="O8006" s="12"/>
      <c r="P8006" s="13">
        <f>IFERROR(__xludf.DUMMYFUNCTION("VALUE(SUBSTITUTE((INDEX(SPLIT(A8006,"",""),1)),""."","","",1))"),100.26)</f>
        <v>100.26</v>
      </c>
      <c r="Q8006" s="13">
        <f>IFERROR(__xludf.DUMMYFUNCTION("VALUE(SUBSTITUTE((INDEX(SPLIT(A8006,"",""),2)),""."","","",1))"),100.0)</f>
        <v>100</v>
      </c>
      <c r="R8006" s="14" t="b">
        <f t="shared" si="1"/>
        <v>1</v>
      </c>
      <c r="S8006" s="14" t="str">
        <f t="shared" si="2"/>
        <v>100.100,26</v>
      </c>
      <c r="T8006" s="12"/>
    </row>
    <row r="8007">
      <c r="A8007" s="112" t="s">
        <v>51032</v>
      </c>
      <c r="B8007" s="34"/>
      <c r="C8007" s="34" t="s">
        <v>51033</v>
      </c>
      <c r="D8007" s="34" t="s">
        <v>51013</v>
      </c>
      <c r="E8007" s="34"/>
      <c r="F8007" s="34"/>
      <c r="G8007" s="34"/>
      <c r="H8007" s="34"/>
      <c r="I8007" s="34"/>
      <c r="J8007" s="34"/>
      <c r="K8007" s="34"/>
      <c r="L8007" s="34"/>
      <c r="M8007" s="34"/>
      <c r="N8007" s="12"/>
      <c r="O8007" s="12"/>
      <c r="P8007" s="13">
        <f>IFERROR(__xludf.DUMMYFUNCTION("VALUE(SUBSTITUTE((INDEX(SPLIT(A8007,"",""),1)),""."","","",1))"),100.27)</f>
        <v>100.27</v>
      </c>
      <c r="Q8007" s="13">
        <f>IFERROR(__xludf.DUMMYFUNCTION("VALUE(SUBSTITUTE((INDEX(SPLIT(A8007,"",""),2)),""."","","",1))"),100.0)</f>
        <v>100</v>
      </c>
      <c r="R8007" s="14" t="b">
        <f t="shared" si="1"/>
        <v>1</v>
      </c>
      <c r="S8007" s="14" t="str">
        <f t="shared" si="2"/>
        <v>100.100,27</v>
      </c>
      <c r="T8007" s="12"/>
    </row>
    <row r="8008">
      <c r="A8008" s="112" t="s">
        <v>51034</v>
      </c>
      <c r="B8008" s="34"/>
      <c r="C8008" s="34" t="s">
        <v>51035</v>
      </c>
      <c r="D8008" s="34" t="s">
        <v>51013</v>
      </c>
      <c r="E8008" s="34"/>
      <c r="F8008" s="34"/>
      <c r="G8008" s="34"/>
      <c r="H8008" s="34"/>
      <c r="I8008" s="34"/>
      <c r="J8008" s="34"/>
      <c r="K8008" s="34"/>
      <c r="L8008" s="34"/>
      <c r="M8008" s="34"/>
      <c r="N8008" s="12"/>
      <c r="O8008" s="12"/>
      <c r="P8008" s="13">
        <f>IFERROR(__xludf.DUMMYFUNCTION("VALUE(SUBSTITUTE((INDEX(SPLIT(A8008,"",""),1)),""."","","",1))"),100.28)</f>
        <v>100.28</v>
      </c>
      <c r="Q8008" s="13">
        <f>IFERROR(__xludf.DUMMYFUNCTION("VALUE(SUBSTITUTE((INDEX(SPLIT(A8008,"",""),2)),""."","","",1))"),100.0)</f>
        <v>100</v>
      </c>
      <c r="R8008" s="14" t="b">
        <f t="shared" si="1"/>
        <v>1</v>
      </c>
      <c r="S8008" s="14" t="str">
        <f t="shared" si="2"/>
        <v>100.100,28</v>
      </c>
      <c r="T8008" s="12"/>
    </row>
    <row r="8009">
      <c r="A8009" s="112" t="s">
        <v>51036</v>
      </c>
      <c r="B8009" s="34"/>
      <c r="C8009" s="34" t="s">
        <v>51037</v>
      </c>
      <c r="D8009" s="34" t="s">
        <v>51013</v>
      </c>
      <c r="E8009" s="34"/>
      <c r="F8009" s="34"/>
      <c r="G8009" s="34"/>
      <c r="H8009" s="34"/>
      <c r="I8009" s="34"/>
      <c r="J8009" s="34"/>
      <c r="K8009" s="34"/>
      <c r="L8009" s="34"/>
      <c r="M8009" s="34"/>
      <c r="N8009" s="12"/>
      <c r="O8009" s="12"/>
      <c r="P8009" s="13">
        <f>IFERROR(__xludf.DUMMYFUNCTION("VALUE(SUBSTITUTE((INDEX(SPLIT(A8009,"",""),1)),""."","","",1))"),100.29)</f>
        <v>100.29</v>
      </c>
      <c r="Q8009" s="13">
        <f>IFERROR(__xludf.DUMMYFUNCTION("VALUE(SUBSTITUTE((INDEX(SPLIT(A8009,"",""),2)),""."","","",1))"),100.0)</f>
        <v>100</v>
      </c>
      <c r="R8009" s="14" t="b">
        <f t="shared" si="1"/>
        <v>1</v>
      </c>
      <c r="S8009" s="14" t="str">
        <f t="shared" si="2"/>
        <v>100.100,29</v>
      </c>
      <c r="T8009" s="12"/>
    </row>
    <row r="8010">
      <c r="A8010" s="112" t="s">
        <v>50986</v>
      </c>
      <c r="B8010" s="34"/>
      <c r="C8010" s="34" t="s">
        <v>51038</v>
      </c>
      <c r="D8010" s="34" t="s">
        <v>51013</v>
      </c>
      <c r="E8010" s="34"/>
      <c r="F8010" s="34"/>
      <c r="G8010" s="34"/>
      <c r="H8010" s="34"/>
      <c r="I8010" s="34"/>
      <c r="J8010" s="34"/>
      <c r="K8010" s="34"/>
      <c r="L8010" s="34"/>
      <c r="M8010" s="34"/>
      <c r="N8010" s="12"/>
      <c r="O8010" s="12"/>
      <c r="P8010" s="13">
        <f>IFERROR(__xludf.DUMMYFUNCTION("VALUE(SUBSTITUTE((INDEX(SPLIT(A8010,"",""),1)),""."","","",1))"),100.3)</f>
        <v>100.3</v>
      </c>
      <c r="Q8010" s="13">
        <f>IFERROR(__xludf.DUMMYFUNCTION("VALUE(SUBSTITUTE((INDEX(SPLIT(A8010,"",""),2)),""."","","",1))"),100.0)</f>
        <v>100</v>
      </c>
      <c r="R8010" s="14" t="b">
        <f t="shared" si="1"/>
        <v>1</v>
      </c>
      <c r="S8010" s="14" t="str">
        <f t="shared" si="2"/>
        <v>100.100,3</v>
      </c>
      <c r="T8010" s="12"/>
    </row>
    <row r="8011">
      <c r="A8011" s="112" t="s">
        <v>51039</v>
      </c>
      <c r="B8011" s="34"/>
      <c r="C8011" s="34" t="s">
        <v>51040</v>
      </c>
      <c r="D8011" s="34" t="s">
        <v>51013</v>
      </c>
      <c r="E8011" s="34"/>
      <c r="F8011" s="34"/>
      <c r="G8011" s="34"/>
      <c r="H8011" s="34"/>
      <c r="I8011" s="34"/>
      <c r="J8011" s="34"/>
      <c r="K8011" s="34"/>
      <c r="L8011" s="34"/>
      <c r="M8011" s="34"/>
      <c r="N8011" s="12"/>
      <c r="O8011" s="12"/>
      <c r="P8011" s="13">
        <f>IFERROR(__xludf.DUMMYFUNCTION("VALUE(SUBSTITUTE((INDEX(SPLIT(A8011,"",""),1)),""."","","",1))"),100.31)</f>
        <v>100.31</v>
      </c>
      <c r="Q8011" s="13">
        <f>IFERROR(__xludf.DUMMYFUNCTION("VALUE(SUBSTITUTE((INDEX(SPLIT(A8011,"",""),2)),""."","","",1))"),100.0)</f>
        <v>100</v>
      </c>
      <c r="R8011" s="14" t="b">
        <f t="shared" si="1"/>
        <v>1</v>
      </c>
      <c r="S8011" s="14" t="str">
        <f t="shared" si="2"/>
        <v>100.100,31</v>
      </c>
      <c r="T8011" s="12"/>
    </row>
    <row r="8012">
      <c r="A8012" s="112" t="s">
        <v>51041</v>
      </c>
      <c r="B8012" s="34"/>
      <c r="C8012" s="34" t="s">
        <v>51042</v>
      </c>
      <c r="D8012" s="34" t="s">
        <v>51013</v>
      </c>
      <c r="E8012" s="34"/>
      <c r="F8012" s="34"/>
      <c r="G8012" s="34"/>
      <c r="H8012" s="34"/>
      <c r="I8012" s="34"/>
      <c r="J8012" s="34"/>
      <c r="K8012" s="34"/>
      <c r="L8012" s="34"/>
      <c r="M8012" s="34"/>
      <c r="N8012" s="12"/>
      <c r="O8012" s="12"/>
      <c r="P8012" s="13">
        <f>IFERROR(__xludf.DUMMYFUNCTION("VALUE(SUBSTITUTE((INDEX(SPLIT(A8012,"",""),1)),""."","","",1))"),100.32)</f>
        <v>100.32</v>
      </c>
      <c r="Q8012" s="13">
        <f>IFERROR(__xludf.DUMMYFUNCTION("VALUE(SUBSTITUTE((INDEX(SPLIT(A8012,"",""),2)),""."","","",1))"),100.0)</f>
        <v>100</v>
      </c>
      <c r="R8012" s="14" t="b">
        <f t="shared" si="1"/>
        <v>1</v>
      </c>
      <c r="S8012" s="14" t="str">
        <f t="shared" si="2"/>
        <v>100.100,32</v>
      </c>
      <c r="T8012" s="12"/>
    </row>
    <row r="8013">
      <c r="A8013" s="112" t="s">
        <v>51043</v>
      </c>
      <c r="B8013" s="34"/>
      <c r="C8013" s="34" t="s">
        <v>51044</v>
      </c>
      <c r="D8013" s="34" t="s">
        <v>51013</v>
      </c>
      <c r="E8013" s="34"/>
      <c r="F8013" s="34"/>
      <c r="G8013" s="34"/>
      <c r="H8013" s="34"/>
      <c r="I8013" s="34"/>
      <c r="J8013" s="34"/>
      <c r="K8013" s="34"/>
      <c r="L8013" s="34"/>
      <c r="M8013" s="34"/>
      <c r="N8013" s="12"/>
      <c r="O8013" s="12"/>
      <c r="P8013" s="13">
        <f>IFERROR(__xludf.DUMMYFUNCTION("VALUE(SUBSTITUTE((INDEX(SPLIT(A8013,"",""),1)),""."","","",1))"),100.33)</f>
        <v>100.33</v>
      </c>
      <c r="Q8013" s="13">
        <f>IFERROR(__xludf.DUMMYFUNCTION("VALUE(SUBSTITUTE((INDEX(SPLIT(A8013,"",""),2)),""."","","",1))"),100.0)</f>
        <v>100</v>
      </c>
      <c r="R8013" s="14" t="b">
        <f t="shared" si="1"/>
        <v>1</v>
      </c>
      <c r="S8013" s="14" t="str">
        <f t="shared" si="2"/>
        <v>100.100,33</v>
      </c>
      <c r="T8013" s="12"/>
    </row>
    <row r="8014">
      <c r="A8014" s="112" t="s">
        <v>51045</v>
      </c>
      <c r="B8014" s="34"/>
      <c r="C8014" s="34" t="s">
        <v>51046</v>
      </c>
      <c r="D8014" s="34" t="s">
        <v>51013</v>
      </c>
      <c r="E8014" s="34"/>
      <c r="F8014" s="34"/>
      <c r="G8014" s="34"/>
      <c r="H8014" s="34"/>
      <c r="I8014" s="34"/>
      <c r="J8014" s="34"/>
      <c r="K8014" s="34"/>
      <c r="L8014" s="34"/>
      <c r="M8014" s="34"/>
      <c r="N8014" s="12"/>
      <c r="O8014" s="12"/>
      <c r="P8014" s="13">
        <f>IFERROR(__xludf.DUMMYFUNCTION("VALUE(SUBSTITUTE((INDEX(SPLIT(A8014,"",""),1)),""."","","",1))"),100.34)</f>
        <v>100.34</v>
      </c>
      <c r="Q8014" s="13">
        <f>IFERROR(__xludf.DUMMYFUNCTION("VALUE(SUBSTITUTE((INDEX(SPLIT(A8014,"",""),2)),""."","","",1))"),100.0)</f>
        <v>100</v>
      </c>
      <c r="R8014" s="14" t="b">
        <f t="shared" si="1"/>
        <v>1</v>
      </c>
      <c r="S8014" s="14" t="str">
        <f t="shared" si="2"/>
        <v>100.100,34</v>
      </c>
      <c r="T8014" s="12"/>
    </row>
    <row r="8015">
      <c r="A8015" s="112" t="s">
        <v>51047</v>
      </c>
      <c r="B8015" s="34"/>
      <c r="C8015" s="34" t="s">
        <v>51048</v>
      </c>
      <c r="D8015" s="34" t="s">
        <v>51013</v>
      </c>
      <c r="E8015" s="34"/>
      <c r="F8015" s="34"/>
      <c r="G8015" s="34"/>
      <c r="H8015" s="34"/>
      <c r="I8015" s="34"/>
      <c r="J8015" s="34"/>
      <c r="K8015" s="34"/>
      <c r="L8015" s="34"/>
      <c r="M8015" s="34"/>
      <c r="N8015" s="12"/>
      <c r="O8015" s="12"/>
      <c r="P8015" s="13">
        <f>IFERROR(__xludf.DUMMYFUNCTION("VALUE(SUBSTITUTE((INDEX(SPLIT(A8015,"",""),1)),""."","","",1))"),100.35)</f>
        <v>100.35</v>
      </c>
      <c r="Q8015" s="13">
        <f>IFERROR(__xludf.DUMMYFUNCTION("VALUE(SUBSTITUTE((INDEX(SPLIT(A8015,"",""),2)),""."","","",1))"),100.0)</f>
        <v>100</v>
      </c>
      <c r="R8015" s="14" t="b">
        <f t="shared" si="1"/>
        <v>1</v>
      </c>
      <c r="S8015" s="14" t="str">
        <f t="shared" si="2"/>
        <v>100.100,35</v>
      </c>
      <c r="T8015" s="12"/>
    </row>
    <row r="8016">
      <c r="A8016" s="112" t="s">
        <v>51049</v>
      </c>
      <c r="B8016" s="34"/>
      <c r="C8016" s="34" t="s">
        <v>51050</v>
      </c>
      <c r="D8016" s="34" t="s">
        <v>51013</v>
      </c>
      <c r="E8016" s="34"/>
      <c r="F8016" s="34"/>
      <c r="G8016" s="34"/>
      <c r="H8016" s="34"/>
      <c r="I8016" s="34"/>
      <c r="J8016" s="34"/>
      <c r="K8016" s="34"/>
      <c r="L8016" s="34"/>
      <c r="M8016" s="34"/>
      <c r="N8016" s="12"/>
      <c r="O8016" s="12"/>
      <c r="P8016" s="13">
        <f>IFERROR(__xludf.DUMMYFUNCTION("VALUE(SUBSTITUTE((INDEX(SPLIT(A8016,"",""),1)),""."","","",1))"),100.36)</f>
        <v>100.36</v>
      </c>
      <c r="Q8016" s="13">
        <f>IFERROR(__xludf.DUMMYFUNCTION("VALUE(SUBSTITUTE((INDEX(SPLIT(A8016,"",""),2)),""."","","",1))"),100.0)</f>
        <v>100</v>
      </c>
      <c r="R8016" s="14" t="b">
        <f t="shared" si="1"/>
        <v>1</v>
      </c>
      <c r="S8016" s="14" t="str">
        <f t="shared" si="2"/>
        <v>100.100,36</v>
      </c>
      <c r="T8016" s="12"/>
    </row>
    <row r="8017">
      <c r="A8017" s="112" t="s">
        <v>51051</v>
      </c>
      <c r="B8017" s="34"/>
      <c r="C8017" s="34" t="s">
        <v>51052</v>
      </c>
      <c r="D8017" s="34" t="s">
        <v>51013</v>
      </c>
      <c r="E8017" s="34"/>
      <c r="F8017" s="34"/>
      <c r="G8017" s="34"/>
      <c r="H8017" s="34"/>
      <c r="I8017" s="34"/>
      <c r="J8017" s="34"/>
      <c r="K8017" s="34"/>
      <c r="L8017" s="34"/>
      <c r="M8017" s="34"/>
      <c r="N8017" s="12"/>
      <c r="O8017" s="12"/>
      <c r="P8017" s="13">
        <f>IFERROR(__xludf.DUMMYFUNCTION("VALUE(SUBSTITUTE((INDEX(SPLIT(A8017,"",""),1)),""."","","",1))"),100.37)</f>
        <v>100.37</v>
      </c>
      <c r="Q8017" s="13">
        <f>IFERROR(__xludf.DUMMYFUNCTION("VALUE(SUBSTITUTE((INDEX(SPLIT(A8017,"",""),2)),""."","","",1))"),100.0)</f>
        <v>100</v>
      </c>
      <c r="R8017" s="14" t="b">
        <f t="shared" si="1"/>
        <v>1</v>
      </c>
      <c r="S8017" s="14" t="str">
        <f t="shared" si="2"/>
        <v>100.100,37</v>
      </c>
      <c r="T8017" s="12"/>
    </row>
    <row r="8018">
      <c r="A8018" s="112" t="s">
        <v>51053</v>
      </c>
      <c r="B8018" s="34"/>
      <c r="C8018" s="34" t="s">
        <v>51054</v>
      </c>
      <c r="D8018" s="34" t="s">
        <v>51013</v>
      </c>
      <c r="E8018" s="34"/>
      <c r="F8018" s="34"/>
      <c r="G8018" s="34"/>
      <c r="H8018" s="34"/>
      <c r="I8018" s="34"/>
      <c r="J8018" s="34"/>
      <c r="K8018" s="34"/>
      <c r="L8018" s="34"/>
      <c r="M8018" s="34"/>
      <c r="N8018" s="12"/>
      <c r="O8018" s="12"/>
      <c r="P8018" s="13">
        <f>IFERROR(__xludf.DUMMYFUNCTION("VALUE(SUBSTITUTE((INDEX(SPLIT(A8018,"",""),1)),""."","","",1))"),100.38)</f>
        <v>100.38</v>
      </c>
      <c r="Q8018" s="13">
        <f>IFERROR(__xludf.DUMMYFUNCTION("VALUE(SUBSTITUTE((INDEX(SPLIT(A8018,"",""),2)),""."","","",1))"),100.0)</f>
        <v>100</v>
      </c>
      <c r="R8018" s="14" t="b">
        <f t="shared" si="1"/>
        <v>1</v>
      </c>
      <c r="S8018" s="14" t="str">
        <f t="shared" si="2"/>
        <v>100.100,38</v>
      </c>
      <c r="T8018" s="12"/>
    </row>
    <row r="8019">
      <c r="A8019" s="112" t="s">
        <v>51055</v>
      </c>
      <c r="B8019" s="34"/>
      <c r="C8019" s="34" t="s">
        <v>51015</v>
      </c>
      <c r="D8019" s="34" t="s">
        <v>51013</v>
      </c>
      <c r="E8019" s="34"/>
      <c r="F8019" s="34"/>
      <c r="G8019" s="34"/>
      <c r="H8019" s="34"/>
      <c r="I8019" s="34"/>
      <c r="J8019" s="34"/>
      <c r="K8019" s="34"/>
      <c r="L8019" s="34"/>
      <c r="M8019" s="34"/>
      <c r="N8019" s="12"/>
      <c r="O8019" s="12"/>
      <c r="P8019" s="13">
        <f>IFERROR(__xludf.DUMMYFUNCTION("VALUE(SUBSTITUTE((INDEX(SPLIT(A8019,"",""),1)),""."","","",1))"),100.39)</f>
        <v>100.39</v>
      </c>
      <c r="Q8019" s="13">
        <f>IFERROR(__xludf.DUMMYFUNCTION("VALUE(SUBSTITUTE((INDEX(SPLIT(A8019,"",""),2)),""."","","",1))"),100.0)</f>
        <v>100</v>
      </c>
      <c r="R8019" s="14" t="b">
        <f t="shared" si="1"/>
        <v>1</v>
      </c>
      <c r="S8019" s="14" t="str">
        <f t="shared" si="2"/>
        <v>100.100,39</v>
      </c>
      <c r="T8019" s="12"/>
    </row>
    <row r="8020">
      <c r="A8020" s="112" t="s">
        <v>50988</v>
      </c>
      <c r="B8020" s="34"/>
      <c r="C8020" s="34" t="s">
        <v>51056</v>
      </c>
      <c r="D8020" s="34" t="s">
        <v>51013</v>
      </c>
      <c r="E8020" s="34"/>
      <c r="F8020" s="34"/>
      <c r="G8020" s="34"/>
      <c r="H8020" s="34"/>
      <c r="I8020" s="34"/>
      <c r="J8020" s="34"/>
      <c r="K8020" s="34"/>
      <c r="L8020" s="34"/>
      <c r="M8020" s="34"/>
      <c r="N8020" s="12"/>
      <c r="O8020" s="12"/>
      <c r="P8020" s="13">
        <f>IFERROR(__xludf.DUMMYFUNCTION("VALUE(SUBSTITUTE((INDEX(SPLIT(A8020,"",""),1)),""."","","",1))"),100.4)</f>
        <v>100.4</v>
      </c>
      <c r="Q8020" s="13">
        <f>IFERROR(__xludf.DUMMYFUNCTION("VALUE(SUBSTITUTE((INDEX(SPLIT(A8020,"",""),2)),""."","","",1))"),100.0)</f>
        <v>100</v>
      </c>
      <c r="R8020" s="14" t="b">
        <f t="shared" si="1"/>
        <v>1</v>
      </c>
      <c r="S8020" s="14" t="str">
        <f t="shared" si="2"/>
        <v>100.100,4</v>
      </c>
      <c r="T8020" s="12"/>
    </row>
    <row r="8021">
      <c r="A8021" s="112" t="s">
        <v>51057</v>
      </c>
      <c r="B8021" s="34"/>
      <c r="C8021" s="34" t="s">
        <v>51040</v>
      </c>
      <c r="D8021" s="34" t="s">
        <v>51013</v>
      </c>
      <c r="E8021" s="34"/>
      <c r="F8021" s="34"/>
      <c r="G8021" s="34"/>
      <c r="H8021" s="34"/>
      <c r="I8021" s="34"/>
      <c r="J8021" s="34"/>
      <c r="K8021" s="34"/>
      <c r="L8021" s="34"/>
      <c r="M8021" s="34"/>
      <c r="N8021" s="12"/>
      <c r="O8021" s="12"/>
      <c r="P8021" s="13">
        <f>IFERROR(__xludf.DUMMYFUNCTION("VALUE(SUBSTITUTE((INDEX(SPLIT(A8021,"",""),1)),""."","","",1))"),100.41)</f>
        <v>100.41</v>
      </c>
      <c r="Q8021" s="13">
        <f>IFERROR(__xludf.DUMMYFUNCTION("VALUE(SUBSTITUTE((INDEX(SPLIT(A8021,"",""),2)),""."","","",1))"),100.0)</f>
        <v>100</v>
      </c>
      <c r="R8021" s="14" t="b">
        <f t="shared" si="1"/>
        <v>1</v>
      </c>
      <c r="S8021" s="14" t="str">
        <f t="shared" si="2"/>
        <v>100.100,41</v>
      </c>
      <c r="T8021" s="12"/>
    </row>
    <row r="8022">
      <c r="A8022" s="112" t="s">
        <v>51058</v>
      </c>
      <c r="B8022" s="34"/>
      <c r="C8022" s="34" t="s">
        <v>51038</v>
      </c>
      <c r="D8022" s="34" t="s">
        <v>51013</v>
      </c>
      <c r="E8022" s="34"/>
      <c r="F8022" s="34"/>
      <c r="G8022" s="34"/>
      <c r="H8022" s="34"/>
      <c r="I8022" s="34"/>
      <c r="J8022" s="34"/>
      <c r="K8022" s="34"/>
      <c r="L8022" s="34"/>
      <c r="M8022" s="34"/>
      <c r="N8022" s="12"/>
      <c r="O8022" s="12"/>
      <c r="P8022" s="13">
        <f>IFERROR(__xludf.DUMMYFUNCTION("VALUE(SUBSTITUTE((INDEX(SPLIT(A8022,"",""),1)),""."","","",1))"),100.42)</f>
        <v>100.42</v>
      </c>
      <c r="Q8022" s="13">
        <f>IFERROR(__xludf.DUMMYFUNCTION("VALUE(SUBSTITUTE((INDEX(SPLIT(A8022,"",""),2)),""."","","",1))"),100.0)</f>
        <v>100</v>
      </c>
      <c r="R8022" s="14" t="b">
        <f t="shared" si="1"/>
        <v>1</v>
      </c>
      <c r="S8022" s="14" t="str">
        <f t="shared" si="2"/>
        <v>100.100,42</v>
      </c>
      <c r="T8022" s="12"/>
    </row>
    <row r="8023">
      <c r="A8023" s="112" t="s">
        <v>51059</v>
      </c>
      <c r="B8023" s="34"/>
      <c r="C8023" s="34" t="s">
        <v>51060</v>
      </c>
      <c r="D8023" s="34" t="s">
        <v>51013</v>
      </c>
      <c r="E8023" s="34"/>
      <c r="F8023" s="34"/>
      <c r="G8023" s="34"/>
      <c r="H8023" s="34"/>
      <c r="I8023" s="34"/>
      <c r="J8023" s="34"/>
      <c r="K8023" s="34"/>
      <c r="L8023" s="34"/>
      <c r="M8023" s="34"/>
      <c r="N8023" s="12"/>
      <c r="O8023" s="12"/>
      <c r="P8023" s="13">
        <f>IFERROR(__xludf.DUMMYFUNCTION("VALUE(SUBSTITUTE((INDEX(SPLIT(A8023,"",""),1)),""."","","",1))"),100.43)</f>
        <v>100.43</v>
      </c>
      <c r="Q8023" s="13">
        <f>IFERROR(__xludf.DUMMYFUNCTION("VALUE(SUBSTITUTE((INDEX(SPLIT(A8023,"",""),2)),""."","","",1))"),100.0)</f>
        <v>100</v>
      </c>
      <c r="R8023" s="14" t="b">
        <f t="shared" si="1"/>
        <v>1</v>
      </c>
      <c r="S8023" s="14" t="str">
        <f t="shared" si="2"/>
        <v>100.100,43</v>
      </c>
      <c r="T8023" s="12"/>
    </row>
    <row r="8024">
      <c r="A8024" s="112" t="s">
        <v>51061</v>
      </c>
      <c r="B8024" s="34"/>
      <c r="C8024" s="34" t="s">
        <v>51062</v>
      </c>
      <c r="D8024" s="34" t="s">
        <v>51013</v>
      </c>
      <c r="E8024" s="34"/>
      <c r="F8024" s="34"/>
      <c r="G8024" s="34"/>
      <c r="H8024" s="34"/>
      <c r="I8024" s="34"/>
      <c r="J8024" s="34"/>
      <c r="K8024" s="34"/>
      <c r="L8024" s="34"/>
      <c r="M8024" s="34"/>
      <c r="N8024" s="12"/>
      <c r="O8024" s="12"/>
      <c r="P8024" s="13">
        <f>IFERROR(__xludf.DUMMYFUNCTION("VALUE(SUBSTITUTE((INDEX(SPLIT(A8024,"",""),1)),""."","","",1))"),100.44)</f>
        <v>100.44</v>
      </c>
      <c r="Q8024" s="13">
        <f>IFERROR(__xludf.DUMMYFUNCTION("VALUE(SUBSTITUTE((INDEX(SPLIT(A8024,"",""),2)),""."","","",1))"),100.0)</f>
        <v>100</v>
      </c>
      <c r="R8024" s="14" t="b">
        <f t="shared" si="1"/>
        <v>1</v>
      </c>
      <c r="S8024" s="14" t="str">
        <f t="shared" si="2"/>
        <v>100.100,44</v>
      </c>
      <c r="T8024" s="12"/>
    </row>
    <row r="8025">
      <c r="A8025" s="112" t="s">
        <v>51063</v>
      </c>
      <c r="B8025" s="34"/>
      <c r="C8025" s="34" t="s">
        <v>51046</v>
      </c>
      <c r="D8025" s="34" t="s">
        <v>51013</v>
      </c>
      <c r="E8025" s="34"/>
      <c r="F8025" s="34"/>
      <c r="G8025" s="34"/>
      <c r="H8025" s="34"/>
      <c r="I8025" s="34"/>
      <c r="J8025" s="34"/>
      <c r="K8025" s="34"/>
      <c r="L8025" s="34"/>
      <c r="M8025" s="34"/>
      <c r="N8025" s="12"/>
      <c r="O8025" s="12"/>
      <c r="P8025" s="13">
        <f>IFERROR(__xludf.DUMMYFUNCTION("VALUE(SUBSTITUTE((INDEX(SPLIT(A8025,"",""),1)),""."","","",1))"),100.45)</f>
        <v>100.45</v>
      </c>
      <c r="Q8025" s="13">
        <f>IFERROR(__xludf.DUMMYFUNCTION("VALUE(SUBSTITUTE((INDEX(SPLIT(A8025,"",""),2)),""."","","",1))"),100.0)</f>
        <v>100</v>
      </c>
      <c r="R8025" s="14" t="b">
        <f t="shared" si="1"/>
        <v>1</v>
      </c>
      <c r="S8025" s="14" t="str">
        <f t="shared" si="2"/>
        <v>100.100,45</v>
      </c>
      <c r="T8025" s="12"/>
    </row>
    <row r="8026">
      <c r="A8026" s="112" t="s">
        <v>51064</v>
      </c>
      <c r="B8026" s="34"/>
      <c r="C8026" s="34" t="s">
        <v>51065</v>
      </c>
      <c r="D8026" s="34" t="s">
        <v>51013</v>
      </c>
      <c r="E8026" s="34"/>
      <c r="F8026" s="34"/>
      <c r="G8026" s="34"/>
      <c r="H8026" s="34"/>
      <c r="I8026" s="34"/>
      <c r="J8026" s="34"/>
      <c r="K8026" s="34"/>
      <c r="L8026" s="34"/>
      <c r="M8026" s="34"/>
      <c r="N8026" s="12"/>
      <c r="O8026" s="12"/>
      <c r="P8026" s="13">
        <f>IFERROR(__xludf.DUMMYFUNCTION("VALUE(SUBSTITUTE((INDEX(SPLIT(A8026,"",""),1)),""."","","",1))"),100.46)</f>
        <v>100.46</v>
      </c>
      <c r="Q8026" s="13">
        <f>IFERROR(__xludf.DUMMYFUNCTION("VALUE(SUBSTITUTE((INDEX(SPLIT(A8026,"",""),2)),""."","","",1))"),100.0)</f>
        <v>100</v>
      </c>
      <c r="R8026" s="14" t="b">
        <f t="shared" si="1"/>
        <v>1</v>
      </c>
      <c r="S8026" s="14" t="str">
        <f t="shared" si="2"/>
        <v>100.100,46</v>
      </c>
      <c r="T8026" s="12"/>
    </row>
    <row r="8027">
      <c r="A8027" s="112" t="s">
        <v>51066</v>
      </c>
      <c r="B8027" s="34"/>
      <c r="C8027" s="34" t="s">
        <v>51067</v>
      </c>
      <c r="D8027" s="34" t="s">
        <v>51013</v>
      </c>
      <c r="E8027" s="34"/>
      <c r="F8027" s="34"/>
      <c r="G8027" s="34"/>
      <c r="H8027" s="34"/>
      <c r="I8027" s="34"/>
      <c r="J8027" s="34"/>
      <c r="K8027" s="34"/>
      <c r="L8027" s="34"/>
      <c r="M8027" s="34"/>
      <c r="N8027" s="12"/>
      <c r="O8027" s="12"/>
      <c r="P8027" s="13">
        <f>IFERROR(__xludf.DUMMYFUNCTION("VALUE(SUBSTITUTE((INDEX(SPLIT(A8027,"",""),1)),""."","","",1))"),100.47)</f>
        <v>100.47</v>
      </c>
      <c r="Q8027" s="13">
        <f>IFERROR(__xludf.DUMMYFUNCTION("VALUE(SUBSTITUTE((INDEX(SPLIT(A8027,"",""),2)),""."","","",1))"),100.0)</f>
        <v>100</v>
      </c>
      <c r="R8027" s="14" t="b">
        <f t="shared" si="1"/>
        <v>1</v>
      </c>
      <c r="S8027" s="14" t="str">
        <f t="shared" si="2"/>
        <v>100.100,47</v>
      </c>
      <c r="T8027" s="12"/>
    </row>
    <row r="8028">
      <c r="A8028" s="112" t="s">
        <v>51068</v>
      </c>
      <c r="B8028" s="34"/>
      <c r="C8028" s="34" t="s">
        <v>51069</v>
      </c>
      <c r="D8028" s="34" t="s">
        <v>51013</v>
      </c>
      <c r="E8028" s="34"/>
      <c r="F8028" s="34"/>
      <c r="G8028" s="34"/>
      <c r="H8028" s="34"/>
      <c r="I8028" s="34"/>
      <c r="J8028" s="34"/>
      <c r="K8028" s="34"/>
      <c r="L8028" s="34"/>
      <c r="M8028" s="34"/>
      <c r="N8028" s="12"/>
      <c r="O8028" s="12"/>
      <c r="P8028" s="13">
        <f>IFERROR(__xludf.DUMMYFUNCTION("VALUE(SUBSTITUTE((INDEX(SPLIT(A8028,"",""),1)),""."","","",1))"),100.48)</f>
        <v>100.48</v>
      </c>
      <c r="Q8028" s="13">
        <f>IFERROR(__xludf.DUMMYFUNCTION("VALUE(SUBSTITUTE((INDEX(SPLIT(A8028,"",""),2)),""."","","",1))"),100.0)</f>
        <v>100</v>
      </c>
      <c r="R8028" s="14" t="b">
        <f t="shared" si="1"/>
        <v>1</v>
      </c>
      <c r="S8028" s="14" t="str">
        <f t="shared" si="2"/>
        <v>100.100,48</v>
      </c>
      <c r="T8028" s="12"/>
    </row>
    <row r="8029">
      <c r="A8029" s="112" t="s">
        <v>51070</v>
      </c>
      <c r="B8029" s="34"/>
      <c r="C8029" s="34" t="s">
        <v>51071</v>
      </c>
      <c r="D8029" s="34" t="s">
        <v>51013</v>
      </c>
      <c r="E8029" s="34"/>
      <c r="F8029" s="34"/>
      <c r="G8029" s="34"/>
      <c r="H8029" s="34"/>
      <c r="I8029" s="34"/>
      <c r="J8029" s="34"/>
      <c r="K8029" s="34"/>
      <c r="L8029" s="34"/>
      <c r="M8029" s="34"/>
      <c r="N8029" s="12"/>
      <c r="O8029" s="12"/>
      <c r="P8029" s="13">
        <f>IFERROR(__xludf.DUMMYFUNCTION("VALUE(SUBSTITUTE((INDEX(SPLIT(A8029,"",""),1)),""."","","",1))"),100.49)</f>
        <v>100.49</v>
      </c>
      <c r="Q8029" s="13">
        <f>IFERROR(__xludf.DUMMYFUNCTION("VALUE(SUBSTITUTE((INDEX(SPLIT(A8029,"",""),2)),""."","","",1))"),100.0)</f>
        <v>100</v>
      </c>
      <c r="R8029" s="14" t="b">
        <f t="shared" si="1"/>
        <v>1</v>
      </c>
      <c r="S8029" s="14" t="str">
        <f t="shared" si="2"/>
        <v>100.100,49</v>
      </c>
      <c r="T8029" s="12"/>
    </row>
    <row r="8030">
      <c r="A8030" s="112" t="s">
        <v>50990</v>
      </c>
      <c r="B8030" s="34"/>
      <c r="C8030" s="34" t="s">
        <v>51072</v>
      </c>
      <c r="D8030" s="34" t="s">
        <v>51013</v>
      </c>
      <c r="E8030" s="34"/>
      <c r="F8030" s="34"/>
      <c r="G8030" s="34"/>
      <c r="H8030" s="34"/>
      <c r="I8030" s="34"/>
      <c r="J8030" s="34"/>
      <c r="K8030" s="34"/>
      <c r="L8030" s="34"/>
      <c r="M8030" s="34"/>
      <c r="N8030" s="12"/>
      <c r="O8030" s="12"/>
      <c r="P8030" s="13">
        <f>IFERROR(__xludf.DUMMYFUNCTION("VALUE(SUBSTITUTE((INDEX(SPLIT(A8030,"",""),1)),""."","","",1))"),100.5)</f>
        <v>100.5</v>
      </c>
      <c r="Q8030" s="13">
        <f>IFERROR(__xludf.DUMMYFUNCTION("VALUE(SUBSTITUTE((INDEX(SPLIT(A8030,"",""),2)),""."","","",1))"),100.0)</f>
        <v>100</v>
      </c>
      <c r="R8030" s="14" t="b">
        <f t="shared" si="1"/>
        <v>1</v>
      </c>
      <c r="S8030" s="14" t="str">
        <f t="shared" si="2"/>
        <v>100.100,5</v>
      </c>
      <c r="T8030" s="12"/>
    </row>
    <row r="8031">
      <c r="A8031" s="112" t="s">
        <v>51073</v>
      </c>
      <c r="B8031" s="34"/>
      <c r="C8031" s="34" t="s">
        <v>51017</v>
      </c>
      <c r="D8031" s="34" t="s">
        <v>51013</v>
      </c>
      <c r="E8031" s="34"/>
      <c r="F8031" s="34"/>
      <c r="G8031" s="34"/>
      <c r="H8031" s="34"/>
      <c r="I8031" s="34"/>
      <c r="J8031" s="34"/>
      <c r="K8031" s="34"/>
      <c r="L8031" s="34"/>
      <c r="M8031" s="34"/>
      <c r="N8031" s="12"/>
      <c r="O8031" s="12"/>
      <c r="P8031" s="13">
        <f>IFERROR(__xludf.DUMMYFUNCTION("VALUE(SUBSTITUTE((INDEX(SPLIT(A8031,"",""),1)),""."","","",1))"),100.51)</f>
        <v>100.51</v>
      </c>
      <c r="Q8031" s="13">
        <f>IFERROR(__xludf.DUMMYFUNCTION("VALUE(SUBSTITUTE((INDEX(SPLIT(A8031,"",""),2)),""."","","",1))"),100.0)</f>
        <v>100</v>
      </c>
      <c r="R8031" s="14" t="b">
        <f t="shared" si="1"/>
        <v>1</v>
      </c>
      <c r="S8031" s="14" t="str">
        <f t="shared" si="2"/>
        <v>100.100,51</v>
      </c>
      <c r="T8031" s="12"/>
    </row>
    <row r="8032">
      <c r="A8032" s="112" t="s">
        <v>51074</v>
      </c>
      <c r="B8032" s="34"/>
      <c r="C8032" s="34" t="s">
        <v>51075</v>
      </c>
      <c r="D8032" s="34" t="s">
        <v>51013</v>
      </c>
      <c r="E8032" s="34"/>
      <c r="F8032" s="34"/>
      <c r="G8032" s="34"/>
      <c r="H8032" s="34"/>
      <c r="I8032" s="34"/>
      <c r="J8032" s="34"/>
      <c r="K8032" s="34"/>
      <c r="L8032" s="34"/>
      <c r="M8032" s="34"/>
      <c r="N8032" s="12"/>
      <c r="O8032" s="12"/>
      <c r="P8032" s="13">
        <f>IFERROR(__xludf.DUMMYFUNCTION("VALUE(SUBSTITUTE((INDEX(SPLIT(A8032,"",""),1)),""."","","",1))"),100.52)</f>
        <v>100.52</v>
      </c>
      <c r="Q8032" s="13">
        <f>IFERROR(__xludf.DUMMYFUNCTION("VALUE(SUBSTITUTE((INDEX(SPLIT(A8032,"",""),2)),""."","","",1))"),100.0)</f>
        <v>100</v>
      </c>
      <c r="R8032" s="14" t="b">
        <f t="shared" si="1"/>
        <v>1</v>
      </c>
      <c r="S8032" s="14" t="str">
        <f t="shared" si="2"/>
        <v>100.100,52</v>
      </c>
      <c r="T8032" s="12"/>
    </row>
    <row r="8033">
      <c r="A8033" s="112" t="s">
        <v>51076</v>
      </c>
      <c r="B8033" s="34"/>
      <c r="C8033" s="34" t="s">
        <v>51077</v>
      </c>
      <c r="D8033" s="34" t="s">
        <v>51013</v>
      </c>
      <c r="E8033" s="34"/>
      <c r="F8033" s="34"/>
      <c r="G8033" s="34"/>
      <c r="H8033" s="34"/>
      <c r="I8033" s="34"/>
      <c r="J8033" s="34"/>
      <c r="K8033" s="34"/>
      <c r="L8033" s="34"/>
      <c r="M8033" s="34"/>
      <c r="N8033" s="12"/>
      <c r="O8033" s="12"/>
      <c r="P8033" s="13">
        <f>IFERROR(__xludf.DUMMYFUNCTION("VALUE(SUBSTITUTE((INDEX(SPLIT(A8033,"",""),1)),""."","","",1))"),100.53)</f>
        <v>100.53</v>
      </c>
      <c r="Q8033" s="13">
        <f>IFERROR(__xludf.DUMMYFUNCTION("VALUE(SUBSTITUTE((INDEX(SPLIT(A8033,"",""),2)),""."","","",1))"),100.0)</f>
        <v>100</v>
      </c>
      <c r="R8033" s="14" t="b">
        <f t="shared" si="1"/>
        <v>1</v>
      </c>
      <c r="S8033" s="14" t="str">
        <f t="shared" si="2"/>
        <v>100.100,53</v>
      </c>
      <c r="T8033" s="12"/>
    </row>
    <row r="8034">
      <c r="A8034" s="112" t="s">
        <v>51078</v>
      </c>
      <c r="B8034" s="34"/>
      <c r="C8034" s="34" t="s">
        <v>51079</v>
      </c>
      <c r="D8034" s="34" t="s">
        <v>51013</v>
      </c>
      <c r="E8034" s="34"/>
      <c r="F8034" s="34"/>
      <c r="G8034" s="34"/>
      <c r="H8034" s="34"/>
      <c r="I8034" s="34"/>
      <c r="J8034" s="34"/>
      <c r="K8034" s="34"/>
      <c r="L8034" s="34"/>
      <c r="M8034" s="34"/>
      <c r="N8034" s="12"/>
      <c r="O8034" s="12"/>
      <c r="P8034" s="13">
        <f>IFERROR(__xludf.DUMMYFUNCTION("VALUE(SUBSTITUTE((INDEX(SPLIT(A8034,"",""),1)),""."","","",1))"),100.54)</f>
        <v>100.54</v>
      </c>
      <c r="Q8034" s="13">
        <f>IFERROR(__xludf.DUMMYFUNCTION("VALUE(SUBSTITUTE((INDEX(SPLIT(A8034,"",""),2)),""."","","",1))"),100.0)</f>
        <v>100</v>
      </c>
      <c r="R8034" s="14" t="b">
        <f t="shared" si="1"/>
        <v>1</v>
      </c>
      <c r="S8034" s="14" t="str">
        <f t="shared" si="2"/>
        <v>100.100,54</v>
      </c>
      <c r="T8034" s="12"/>
    </row>
    <row r="8035">
      <c r="A8035" s="112" t="s">
        <v>51080</v>
      </c>
      <c r="B8035" s="34"/>
      <c r="C8035" s="34" t="s">
        <v>51012</v>
      </c>
      <c r="D8035" s="34" t="s">
        <v>51013</v>
      </c>
      <c r="E8035" s="34"/>
      <c r="F8035" s="34"/>
      <c r="G8035" s="34"/>
      <c r="H8035" s="34"/>
      <c r="I8035" s="34"/>
      <c r="J8035" s="34"/>
      <c r="K8035" s="34"/>
      <c r="L8035" s="34"/>
      <c r="M8035" s="34"/>
      <c r="N8035" s="12"/>
      <c r="O8035" s="12"/>
      <c r="P8035" s="13">
        <f>IFERROR(__xludf.DUMMYFUNCTION("VALUE(SUBSTITUTE((INDEX(SPLIT(A8035,"",""),1)),""."","","",1))"),100.55)</f>
        <v>100.55</v>
      </c>
      <c r="Q8035" s="13">
        <f>IFERROR(__xludf.DUMMYFUNCTION("VALUE(SUBSTITUTE((INDEX(SPLIT(A8035,"",""),2)),""."","","",1))"),100.0)</f>
        <v>100</v>
      </c>
      <c r="R8035" s="14" t="b">
        <f t="shared" si="1"/>
        <v>1</v>
      </c>
      <c r="S8035" s="14" t="str">
        <f t="shared" si="2"/>
        <v>100.100,55</v>
      </c>
      <c r="T8035" s="12"/>
    </row>
    <row r="8036">
      <c r="A8036" s="112" t="s">
        <v>51081</v>
      </c>
      <c r="B8036" s="34"/>
      <c r="C8036" s="34" t="s">
        <v>51082</v>
      </c>
      <c r="D8036" s="34" t="s">
        <v>51013</v>
      </c>
      <c r="E8036" s="34"/>
      <c r="F8036" s="34"/>
      <c r="G8036" s="34"/>
      <c r="H8036" s="34"/>
      <c r="I8036" s="34"/>
      <c r="J8036" s="34"/>
      <c r="K8036" s="34"/>
      <c r="L8036" s="34"/>
      <c r="M8036" s="34"/>
      <c r="N8036" s="12"/>
      <c r="O8036" s="12"/>
      <c r="P8036" s="13">
        <f>IFERROR(__xludf.DUMMYFUNCTION("VALUE(SUBSTITUTE((INDEX(SPLIT(A8036,"",""),1)),""."","","",1))"),100.56)</f>
        <v>100.56</v>
      </c>
      <c r="Q8036" s="13">
        <f>IFERROR(__xludf.DUMMYFUNCTION("VALUE(SUBSTITUTE((INDEX(SPLIT(A8036,"",""),2)),""."","","",1))"),100.0)</f>
        <v>100</v>
      </c>
      <c r="R8036" s="14" t="b">
        <f t="shared" si="1"/>
        <v>1</v>
      </c>
      <c r="S8036" s="14" t="str">
        <f t="shared" si="2"/>
        <v>100.100,56</v>
      </c>
      <c r="T8036" s="12"/>
    </row>
    <row r="8037">
      <c r="A8037" s="112" t="s">
        <v>51083</v>
      </c>
      <c r="B8037" s="34"/>
      <c r="C8037" s="34" t="s">
        <v>51084</v>
      </c>
      <c r="D8037" s="34" t="s">
        <v>51013</v>
      </c>
      <c r="E8037" s="34"/>
      <c r="F8037" s="34"/>
      <c r="G8037" s="34"/>
      <c r="H8037" s="34"/>
      <c r="I8037" s="34"/>
      <c r="J8037" s="34"/>
      <c r="K8037" s="34"/>
      <c r="L8037" s="34"/>
      <c r="M8037" s="34"/>
      <c r="N8037" s="12"/>
      <c r="O8037" s="12"/>
      <c r="P8037" s="13">
        <f>IFERROR(__xludf.DUMMYFUNCTION("VALUE(SUBSTITUTE((INDEX(SPLIT(A8037,"",""),1)),""."","","",1))"),100.57)</f>
        <v>100.57</v>
      </c>
      <c r="Q8037" s="13">
        <f>IFERROR(__xludf.DUMMYFUNCTION("VALUE(SUBSTITUTE((INDEX(SPLIT(A8037,"",""),2)),""."","","",1))"),100.0)</f>
        <v>100</v>
      </c>
      <c r="R8037" s="14" t="b">
        <f t="shared" si="1"/>
        <v>1</v>
      </c>
      <c r="S8037" s="14" t="str">
        <f t="shared" si="2"/>
        <v>100.100,57</v>
      </c>
      <c r="T8037" s="12"/>
    </row>
    <row r="8038">
      <c r="A8038" s="112" t="s">
        <v>51085</v>
      </c>
      <c r="B8038" s="34"/>
      <c r="C8038" s="34" t="s">
        <v>51086</v>
      </c>
      <c r="D8038" s="34" t="s">
        <v>51013</v>
      </c>
      <c r="E8038" s="34"/>
      <c r="F8038" s="34"/>
      <c r="G8038" s="34"/>
      <c r="H8038" s="34"/>
      <c r="I8038" s="34"/>
      <c r="J8038" s="34"/>
      <c r="K8038" s="34"/>
      <c r="L8038" s="34"/>
      <c r="M8038" s="34"/>
      <c r="N8038" s="12"/>
      <c r="O8038" s="12"/>
      <c r="P8038" s="13">
        <f>IFERROR(__xludf.DUMMYFUNCTION("VALUE(SUBSTITUTE((INDEX(SPLIT(A8038,"",""),1)),""."","","",1))"),100.58)</f>
        <v>100.58</v>
      </c>
      <c r="Q8038" s="13">
        <f>IFERROR(__xludf.DUMMYFUNCTION("VALUE(SUBSTITUTE((INDEX(SPLIT(A8038,"",""),2)),""."","","",1))"),100.0)</f>
        <v>100</v>
      </c>
      <c r="R8038" s="14" t="b">
        <f t="shared" si="1"/>
        <v>1</v>
      </c>
      <c r="S8038" s="14" t="str">
        <f t="shared" si="2"/>
        <v>100.100,58</v>
      </c>
      <c r="T8038" s="12"/>
    </row>
    <row r="8039">
      <c r="A8039" s="112" t="s">
        <v>51087</v>
      </c>
      <c r="B8039" s="34"/>
      <c r="C8039" s="34" t="s">
        <v>51088</v>
      </c>
      <c r="D8039" s="34" t="s">
        <v>51013</v>
      </c>
      <c r="E8039" s="34"/>
      <c r="F8039" s="34"/>
      <c r="G8039" s="34"/>
      <c r="H8039" s="34"/>
      <c r="I8039" s="34"/>
      <c r="J8039" s="34"/>
      <c r="K8039" s="34"/>
      <c r="L8039" s="34"/>
      <c r="M8039" s="34"/>
      <c r="N8039" s="12"/>
      <c r="O8039" s="12"/>
      <c r="P8039" s="13">
        <f>IFERROR(__xludf.DUMMYFUNCTION("VALUE(SUBSTITUTE((INDEX(SPLIT(A8039,"",""),1)),""."","","",1))"),100.59)</f>
        <v>100.59</v>
      </c>
      <c r="Q8039" s="13">
        <f>IFERROR(__xludf.DUMMYFUNCTION("VALUE(SUBSTITUTE((INDEX(SPLIT(A8039,"",""),2)),""."","","",1))"),100.0)</f>
        <v>100</v>
      </c>
      <c r="R8039" s="14" t="b">
        <f t="shared" si="1"/>
        <v>1</v>
      </c>
      <c r="S8039" s="14" t="str">
        <f t="shared" si="2"/>
        <v>100.100,59</v>
      </c>
      <c r="T8039" s="12"/>
    </row>
    <row r="8040">
      <c r="A8040" s="112" t="s">
        <v>50992</v>
      </c>
      <c r="B8040" s="34"/>
      <c r="C8040" s="34" t="s">
        <v>51089</v>
      </c>
      <c r="D8040" s="34" t="s">
        <v>51013</v>
      </c>
      <c r="E8040" s="34"/>
      <c r="F8040" s="34"/>
      <c r="G8040" s="34"/>
      <c r="H8040" s="34"/>
      <c r="I8040" s="34"/>
      <c r="J8040" s="34"/>
      <c r="K8040" s="34"/>
      <c r="L8040" s="34"/>
      <c r="M8040" s="34"/>
      <c r="N8040" s="12"/>
      <c r="O8040" s="12"/>
      <c r="P8040" s="13">
        <f>IFERROR(__xludf.DUMMYFUNCTION("VALUE(SUBSTITUTE((INDEX(SPLIT(A8040,"",""),1)),""."","","",1))"),100.6)</f>
        <v>100.6</v>
      </c>
      <c r="Q8040" s="13">
        <f>IFERROR(__xludf.DUMMYFUNCTION("VALUE(SUBSTITUTE((INDEX(SPLIT(A8040,"",""),2)),""."","","",1))"),100.0)</f>
        <v>100</v>
      </c>
      <c r="R8040" s="14" t="b">
        <f t="shared" si="1"/>
        <v>1</v>
      </c>
      <c r="S8040" s="14" t="str">
        <f t="shared" si="2"/>
        <v>100.100,6</v>
      </c>
      <c r="T8040" s="12"/>
    </row>
    <row r="8041">
      <c r="A8041" s="112" t="s">
        <v>51090</v>
      </c>
      <c r="B8041" s="34"/>
      <c r="C8041" s="34" t="s">
        <v>51091</v>
      </c>
      <c r="D8041" s="34" t="s">
        <v>51013</v>
      </c>
      <c r="E8041" s="34"/>
      <c r="F8041" s="34"/>
      <c r="G8041" s="34"/>
      <c r="H8041" s="34"/>
      <c r="I8041" s="34"/>
      <c r="J8041" s="34"/>
      <c r="K8041" s="34"/>
      <c r="L8041" s="34"/>
      <c r="M8041" s="34"/>
      <c r="N8041" s="12"/>
      <c r="O8041" s="12"/>
      <c r="P8041" s="13">
        <f>IFERROR(__xludf.DUMMYFUNCTION("VALUE(SUBSTITUTE((INDEX(SPLIT(A8041,"",""),1)),""."","","",1))"),100.61)</f>
        <v>100.61</v>
      </c>
      <c r="Q8041" s="13">
        <f>IFERROR(__xludf.DUMMYFUNCTION("VALUE(SUBSTITUTE((INDEX(SPLIT(A8041,"",""),2)),""."","","",1))"),100.0)</f>
        <v>100</v>
      </c>
      <c r="R8041" s="14" t="b">
        <f t="shared" si="1"/>
        <v>1</v>
      </c>
      <c r="S8041" s="14" t="str">
        <f t="shared" si="2"/>
        <v>100.100,61</v>
      </c>
      <c r="T8041" s="12"/>
    </row>
    <row r="8042">
      <c r="A8042" s="112" t="s">
        <v>51092</v>
      </c>
      <c r="B8042" s="34"/>
      <c r="C8042" s="34" t="s">
        <v>51093</v>
      </c>
      <c r="D8042" s="34" t="s">
        <v>51013</v>
      </c>
      <c r="E8042" s="34"/>
      <c r="F8042" s="34"/>
      <c r="G8042" s="34"/>
      <c r="H8042" s="34"/>
      <c r="I8042" s="34"/>
      <c r="J8042" s="34"/>
      <c r="K8042" s="34"/>
      <c r="L8042" s="34"/>
      <c r="M8042" s="34"/>
      <c r="N8042" s="12"/>
      <c r="O8042" s="12"/>
      <c r="P8042" s="13">
        <f>IFERROR(__xludf.DUMMYFUNCTION("VALUE(SUBSTITUTE((INDEX(SPLIT(A8042,"",""),1)),""."","","",1))"),100.62)</f>
        <v>100.62</v>
      </c>
      <c r="Q8042" s="13">
        <f>IFERROR(__xludf.DUMMYFUNCTION("VALUE(SUBSTITUTE((INDEX(SPLIT(A8042,"",""),2)),""."","","",1))"),100.0)</f>
        <v>100</v>
      </c>
      <c r="R8042" s="14" t="b">
        <f t="shared" si="1"/>
        <v>1</v>
      </c>
      <c r="S8042" s="14" t="str">
        <f t="shared" si="2"/>
        <v>100.100,62</v>
      </c>
      <c r="T8042" s="12"/>
    </row>
    <row r="8043">
      <c r="A8043" s="112" t="s">
        <v>51094</v>
      </c>
      <c r="B8043" s="34"/>
      <c r="C8043" s="34" t="s">
        <v>51095</v>
      </c>
      <c r="D8043" s="34" t="s">
        <v>51013</v>
      </c>
      <c r="E8043" s="34"/>
      <c r="F8043" s="34"/>
      <c r="G8043" s="34"/>
      <c r="H8043" s="34"/>
      <c r="I8043" s="34"/>
      <c r="J8043" s="34"/>
      <c r="K8043" s="34"/>
      <c r="L8043" s="34"/>
      <c r="M8043" s="34"/>
      <c r="N8043" s="12"/>
      <c r="O8043" s="12"/>
      <c r="P8043" s="13">
        <f>IFERROR(__xludf.DUMMYFUNCTION("VALUE(SUBSTITUTE((INDEX(SPLIT(A8043,"",""),1)),""."","","",1))"),100.63)</f>
        <v>100.63</v>
      </c>
      <c r="Q8043" s="13">
        <f>IFERROR(__xludf.DUMMYFUNCTION("VALUE(SUBSTITUTE((INDEX(SPLIT(A8043,"",""),2)),""."","","",1))"),100.0)</f>
        <v>100</v>
      </c>
      <c r="R8043" s="14" t="b">
        <f t="shared" si="1"/>
        <v>1</v>
      </c>
      <c r="S8043" s="14" t="str">
        <f t="shared" si="2"/>
        <v>100.100,63</v>
      </c>
      <c r="T8043" s="12"/>
    </row>
    <row r="8044">
      <c r="A8044" s="112" t="s">
        <v>51096</v>
      </c>
      <c r="B8044" s="34"/>
      <c r="C8044" s="34" t="s">
        <v>51097</v>
      </c>
      <c r="D8044" s="34" t="s">
        <v>51013</v>
      </c>
      <c r="E8044" s="34"/>
      <c r="F8044" s="34"/>
      <c r="G8044" s="34"/>
      <c r="H8044" s="34"/>
      <c r="I8044" s="34"/>
      <c r="J8044" s="34"/>
      <c r="K8044" s="34"/>
      <c r="L8044" s="34"/>
      <c r="M8044" s="34"/>
      <c r="N8044" s="12"/>
      <c r="O8044" s="12"/>
      <c r="P8044" s="13">
        <f>IFERROR(__xludf.DUMMYFUNCTION("VALUE(SUBSTITUTE((INDEX(SPLIT(A8044,"",""),1)),""."","","",1))"),100.64)</f>
        <v>100.64</v>
      </c>
      <c r="Q8044" s="13">
        <f>IFERROR(__xludf.DUMMYFUNCTION("VALUE(SUBSTITUTE((INDEX(SPLIT(A8044,"",""),2)),""."","","",1))"),100.0)</f>
        <v>100</v>
      </c>
      <c r="R8044" s="14" t="b">
        <f t="shared" si="1"/>
        <v>1</v>
      </c>
      <c r="S8044" s="14" t="str">
        <f t="shared" si="2"/>
        <v>100.100,64</v>
      </c>
      <c r="T8044" s="12"/>
    </row>
    <row r="8045">
      <c r="A8045" s="112" t="s">
        <v>51098</v>
      </c>
      <c r="B8045" s="34"/>
      <c r="C8045" s="34" t="s">
        <v>51099</v>
      </c>
      <c r="D8045" s="34" t="s">
        <v>51013</v>
      </c>
      <c r="E8045" s="34"/>
      <c r="F8045" s="34"/>
      <c r="G8045" s="34"/>
      <c r="H8045" s="34"/>
      <c r="I8045" s="34"/>
      <c r="J8045" s="34"/>
      <c r="K8045" s="34"/>
      <c r="L8045" s="34"/>
      <c r="M8045" s="34"/>
      <c r="N8045" s="12"/>
      <c r="O8045" s="12"/>
      <c r="P8045" s="13">
        <f>IFERROR(__xludf.DUMMYFUNCTION("VALUE(SUBSTITUTE((INDEX(SPLIT(A8045,"",""),1)),""."","","",1))"),100.65)</f>
        <v>100.65</v>
      </c>
      <c r="Q8045" s="13">
        <f>IFERROR(__xludf.DUMMYFUNCTION("VALUE(SUBSTITUTE((INDEX(SPLIT(A8045,"",""),2)),""."","","",1))"),100.0)</f>
        <v>100</v>
      </c>
      <c r="R8045" s="14" t="b">
        <f t="shared" si="1"/>
        <v>1</v>
      </c>
      <c r="S8045" s="14" t="str">
        <f t="shared" si="2"/>
        <v>100.100,65</v>
      </c>
      <c r="T8045" s="12"/>
    </row>
    <row r="8046">
      <c r="A8046" s="112" t="s">
        <v>51100</v>
      </c>
      <c r="B8046" s="34"/>
      <c r="C8046" s="34" t="s">
        <v>51025</v>
      </c>
      <c r="D8046" s="34" t="s">
        <v>51013</v>
      </c>
      <c r="E8046" s="34"/>
      <c r="F8046" s="34"/>
      <c r="G8046" s="34"/>
      <c r="H8046" s="34"/>
      <c r="I8046" s="34"/>
      <c r="J8046" s="34"/>
      <c r="K8046" s="34"/>
      <c r="L8046" s="34"/>
      <c r="M8046" s="34"/>
      <c r="N8046" s="12"/>
      <c r="O8046" s="12"/>
      <c r="P8046" s="13">
        <f>IFERROR(__xludf.DUMMYFUNCTION("VALUE(SUBSTITUTE((INDEX(SPLIT(A8046,"",""),1)),""."","","",1))"),100.66)</f>
        <v>100.66</v>
      </c>
      <c r="Q8046" s="13">
        <f>IFERROR(__xludf.DUMMYFUNCTION("VALUE(SUBSTITUTE((INDEX(SPLIT(A8046,"",""),2)),""."","","",1))"),100.0)</f>
        <v>100</v>
      </c>
      <c r="R8046" s="14" t="b">
        <f t="shared" si="1"/>
        <v>1</v>
      </c>
      <c r="S8046" s="14" t="str">
        <f t="shared" si="2"/>
        <v>100.100,66</v>
      </c>
      <c r="T8046" s="12"/>
    </row>
    <row r="8047">
      <c r="A8047" s="112" t="s">
        <v>51101</v>
      </c>
      <c r="B8047" s="34"/>
      <c r="C8047" s="34" t="s">
        <v>51102</v>
      </c>
      <c r="D8047" s="34" t="s">
        <v>51013</v>
      </c>
      <c r="E8047" s="34"/>
      <c r="F8047" s="34"/>
      <c r="G8047" s="34"/>
      <c r="H8047" s="34"/>
      <c r="I8047" s="34"/>
      <c r="J8047" s="34"/>
      <c r="K8047" s="34"/>
      <c r="L8047" s="34"/>
      <c r="M8047" s="34"/>
      <c r="N8047" s="12"/>
      <c r="O8047" s="12"/>
      <c r="P8047" s="13">
        <f>IFERROR(__xludf.DUMMYFUNCTION("VALUE(SUBSTITUTE((INDEX(SPLIT(A8047,"",""),1)),""."","","",1))"),100.67)</f>
        <v>100.67</v>
      </c>
      <c r="Q8047" s="13">
        <f>IFERROR(__xludf.DUMMYFUNCTION("VALUE(SUBSTITUTE((INDEX(SPLIT(A8047,"",""),2)),""."","","",1))"),100.0)</f>
        <v>100</v>
      </c>
      <c r="R8047" s="14" t="b">
        <f t="shared" si="1"/>
        <v>1</v>
      </c>
      <c r="S8047" s="14" t="str">
        <f t="shared" si="2"/>
        <v>100.100,67</v>
      </c>
      <c r="T8047" s="12"/>
    </row>
    <row r="8048">
      <c r="A8048" s="112" t="s">
        <v>51103</v>
      </c>
      <c r="B8048" s="34"/>
      <c r="C8048" s="34" t="s">
        <v>51017</v>
      </c>
      <c r="D8048" s="34" t="s">
        <v>51013</v>
      </c>
      <c r="E8048" s="34"/>
      <c r="F8048" s="34"/>
      <c r="G8048" s="34"/>
      <c r="H8048" s="34"/>
      <c r="I8048" s="34"/>
      <c r="J8048" s="34"/>
      <c r="K8048" s="34"/>
      <c r="L8048" s="34"/>
      <c r="M8048" s="34"/>
      <c r="N8048" s="12"/>
      <c r="O8048" s="12"/>
      <c r="P8048" s="13">
        <f>IFERROR(__xludf.DUMMYFUNCTION("VALUE(SUBSTITUTE((INDEX(SPLIT(A8048,"",""),1)),""."","","",1))"),100.68)</f>
        <v>100.68</v>
      </c>
      <c r="Q8048" s="13">
        <f>IFERROR(__xludf.DUMMYFUNCTION("VALUE(SUBSTITUTE((INDEX(SPLIT(A8048,"",""),2)),""."","","",1))"),100.0)</f>
        <v>100</v>
      </c>
      <c r="R8048" s="14" t="b">
        <f t="shared" si="1"/>
        <v>1</v>
      </c>
      <c r="S8048" s="14" t="str">
        <f t="shared" si="2"/>
        <v>100.100,68</v>
      </c>
      <c r="T8048" s="12"/>
    </row>
    <row r="8049">
      <c r="A8049" s="112" t="s">
        <v>51104</v>
      </c>
      <c r="B8049" s="34"/>
      <c r="C8049" s="34" t="s">
        <v>51025</v>
      </c>
      <c r="D8049" s="34" t="s">
        <v>51013</v>
      </c>
      <c r="E8049" s="34"/>
      <c r="F8049" s="34"/>
      <c r="G8049" s="34"/>
      <c r="H8049" s="34"/>
      <c r="I8049" s="34"/>
      <c r="J8049" s="34"/>
      <c r="K8049" s="34"/>
      <c r="L8049" s="34"/>
      <c r="M8049" s="34"/>
      <c r="N8049" s="12"/>
      <c r="O8049" s="12"/>
      <c r="P8049" s="13">
        <f>IFERROR(__xludf.DUMMYFUNCTION("VALUE(SUBSTITUTE((INDEX(SPLIT(A8049,"",""),1)),""."","","",1))"),100.69)</f>
        <v>100.69</v>
      </c>
      <c r="Q8049" s="13">
        <f>IFERROR(__xludf.DUMMYFUNCTION("VALUE(SUBSTITUTE((INDEX(SPLIT(A8049,"",""),2)),""."","","",1))"),100.0)</f>
        <v>100</v>
      </c>
      <c r="R8049" s="14" t="b">
        <f t="shared" si="1"/>
        <v>1</v>
      </c>
      <c r="S8049" s="14" t="str">
        <f t="shared" si="2"/>
        <v>100.100,69</v>
      </c>
      <c r="T8049" s="12"/>
    </row>
    <row r="8050">
      <c r="A8050" s="112" t="s">
        <v>50994</v>
      </c>
      <c r="B8050" s="34"/>
      <c r="C8050" s="34" t="s">
        <v>51105</v>
      </c>
      <c r="D8050" s="34" t="s">
        <v>51013</v>
      </c>
      <c r="E8050" s="34"/>
      <c r="F8050" s="34"/>
      <c r="G8050" s="34"/>
      <c r="H8050" s="34"/>
      <c r="I8050" s="34"/>
      <c r="J8050" s="34"/>
      <c r="K8050" s="34"/>
      <c r="L8050" s="34"/>
      <c r="M8050" s="34"/>
      <c r="N8050" s="12"/>
      <c r="O8050" s="12"/>
      <c r="P8050" s="13">
        <f>IFERROR(__xludf.DUMMYFUNCTION("VALUE(SUBSTITUTE((INDEX(SPLIT(A8050,"",""),1)),""."","","",1))"),100.7)</f>
        <v>100.7</v>
      </c>
      <c r="Q8050" s="13">
        <f>IFERROR(__xludf.DUMMYFUNCTION("VALUE(SUBSTITUTE((INDEX(SPLIT(A8050,"",""),2)),""."","","",1))"),100.0)</f>
        <v>100</v>
      </c>
      <c r="R8050" s="14" t="b">
        <f t="shared" si="1"/>
        <v>1</v>
      </c>
      <c r="S8050" s="14" t="str">
        <f t="shared" si="2"/>
        <v>100.100,7</v>
      </c>
      <c r="T8050" s="12"/>
    </row>
    <row r="8051">
      <c r="A8051" s="112" t="s">
        <v>51106</v>
      </c>
      <c r="B8051" s="34"/>
      <c r="C8051" s="34" t="s">
        <v>51107</v>
      </c>
      <c r="D8051" s="34" t="s">
        <v>51013</v>
      </c>
      <c r="E8051" s="34"/>
      <c r="F8051" s="34"/>
      <c r="G8051" s="34"/>
      <c r="H8051" s="34"/>
      <c r="I8051" s="34"/>
      <c r="J8051" s="34"/>
      <c r="K8051" s="34"/>
      <c r="L8051" s="34"/>
      <c r="M8051" s="34"/>
      <c r="N8051" s="12"/>
      <c r="O8051" s="12"/>
      <c r="P8051" s="13">
        <f>IFERROR(__xludf.DUMMYFUNCTION("VALUE(SUBSTITUTE((INDEX(SPLIT(A8051,"",""),1)),""."","","",1))"),100.71)</f>
        <v>100.71</v>
      </c>
      <c r="Q8051" s="13">
        <f>IFERROR(__xludf.DUMMYFUNCTION("VALUE(SUBSTITUTE((INDEX(SPLIT(A8051,"",""),2)),""."","","",1))"),100.0)</f>
        <v>100</v>
      </c>
      <c r="R8051" s="14" t="b">
        <f t="shared" si="1"/>
        <v>1</v>
      </c>
      <c r="S8051" s="14" t="str">
        <f t="shared" si="2"/>
        <v>100.100,71</v>
      </c>
      <c r="T8051" s="12"/>
    </row>
    <row r="8052">
      <c r="A8052" s="112" t="s">
        <v>51108</v>
      </c>
      <c r="B8052" s="34"/>
      <c r="C8052" s="34" t="s">
        <v>51035</v>
      </c>
      <c r="D8052" s="34" t="s">
        <v>51013</v>
      </c>
      <c r="E8052" s="34"/>
      <c r="F8052" s="34"/>
      <c r="G8052" s="34"/>
      <c r="H8052" s="34"/>
      <c r="I8052" s="34"/>
      <c r="J8052" s="34"/>
      <c r="K8052" s="34"/>
      <c r="L8052" s="34"/>
      <c r="M8052" s="34"/>
      <c r="N8052" s="12"/>
      <c r="O8052" s="12"/>
      <c r="P8052" s="13">
        <f>IFERROR(__xludf.DUMMYFUNCTION("VALUE(SUBSTITUTE((INDEX(SPLIT(A8052,"",""),1)),""."","","",1))"),100.72)</f>
        <v>100.72</v>
      </c>
      <c r="Q8052" s="13">
        <f>IFERROR(__xludf.DUMMYFUNCTION("VALUE(SUBSTITUTE((INDEX(SPLIT(A8052,"",""),2)),""."","","",1))"),100.0)</f>
        <v>100</v>
      </c>
      <c r="R8052" s="14" t="b">
        <f t="shared" si="1"/>
        <v>1</v>
      </c>
      <c r="S8052" s="14" t="str">
        <f t="shared" si="2"/>
        <v>100.100,72</v>
      </c>
      <c r="T8052" s="12"/>
    </row>
    <row r="8053">
      <c r="A8053" s="112" t="s">
        <v>51109</v>
      </c>
      <c r="B8053" s="34"/>
      <c r="C8053" s="34" t="s">
        <v>51110</v>
      </c>
      <c r="D8053" s="34" t="s">
        <v>51013</v>
      </c>
      <c r="E8053" s="34"/>
      <c r="F8053" s="34"/>
      <c r="G8053" s="34"/>
      <c r="H8053" s="34"/>
      <c r="I8053" s="34"/>
      <c r="J8053" s="34"/>
      <c r="K8053" s="34"/>
      <c r="L8053" s="34"/>
      <c r="M8053" s="34"/>
      <c r="N8053" s="12"/>
      <c r="O8053" s="12"/>
      <c r="P8053" s="13">
        <f>IFERROR(__xludf.DUMMYFUNCTION("VALUE(SUBSTITUTE((INDEX(SPLIT(A8053,"",""),1)),""."","","",1))"),100.73)</f>
        <v>100.73</v>
      </c>
      <c r="Q8053" s="13">
        <f>IFERROR(__xludf.DUMMYFUNCTION("VALUE(SUBSTITUTE((INDEX(SPLIT(A8053,"",""),2)),""."","","",1))"),100.0)</f>
        <v>100</v>
      </c>
      <c r="R8053" s="14" t="b">
        <f t="shared" si="1"/>
        <v>1</v>
      </c>
      <c r="S8053" s="14" t="str">
        <f t="shared" si="2"/>
        <v>100.100,73</v>
      </c>
      <c r="T8053" s="12"/>
    </row>
    <row r="8054">
      <c r="A8054" s="112" t="s">
        <v>51111</v>
      </c>
      <c r="B8054" s="34"/>
      <c r="C8054" s="34" t="s">
        <v>51112</v>
      </c>
      <c r="D8054" s="34" t="s">
        <v>51013</v>
      </c>
      <c r="E8054" s="34"/>
      <c r="F8054" s="34"/>
      <c r="G8054" s="34"/>
      <c r="H8054" s="34"/>
      <c r="I8054" s="34"/>
      <c r="J8054" s="34"/>
      <c r="K8054" s="34"/>
      <c r="L8054" s="34"/>
      <c r="M8054" s="34"/>
      <c r="N8054" s="12"/>
      <c r="O8054" s="12"/>
      <c r="P8054" s="13">
        <f>IFERROR(__xludf.DUMMYFUNCTION("VALUE(SUBSTITUTE((INDEX(SPLIT(A8054,"",""),1)),""."","","",1))"),100.74)</f>
        <v>100.74</v>
      </c>
      <c r="Q8054" s="13">
        <f>IFERROR(__xludf.DUMMYFUNCTION("VALUE(SUBSTITUTE((INDEX(SPLIT(A8054,"",""),2)),""."","","",1))"),100.0)</f>
        <v>100</v>
      </c>
      <c r="R8054" s="14" t="b">
        <f t="shared" si="1"/>
        <v>1</v>
      </c>
      <c r="S8054" s="14" t="str">
        <f t="shared" si="2"/>
        <v>100.100,74</v>
      </c>
      <c r="T8054" s="12"/>
    </row>
    <row r="8055">
      <c r="A8055" s="112" t="s">
        <v>51113</v>
      </c>
      <c r="B8055" s="34"/>
      <c r="C8055" s="34" t="s">
        <v>51114</v>
      </c>
      <c r="D8055" s="34" t="s">
        <v>51013</v>
      </c>
      <c r="E8055" s="34"/>
      <c r="F8055" s="34"/>
      <c r="G8055" s="34"/>
      <c r="H8055" s="34"/>
      <c r="I8055" s="34"/>
      <c r="J8055" s="34"/>
      <c r="K8055" s="34"/>
      <c r="L8055" s="34"/>
      <c r="M8055" s="34"/>
      <c r="N8055" s="12"/>
      <c r="O8055" s="12"/>
      <c r="P8055" s="13">
        <f>IFERROR(__xludf.DUMMYFUNCTION("VALUE(SUBSTITUTE((INDEX(SPLIT(A8055,"",""),1)),""."","","",1))"),100.75)</f>
        <v>100.75</v>
      </c>
      <c r="Q8055" s="13">
        <f>IFERROR(__xludf.DUMMYFUNCTION("VALUE(SUBSTITUTE((INDEX(SPLIT(A8055,"",""),2)),""."","","",1))"),100.0)</f>
        <v>100</v>
      </c>
      <c r="R8055" s="14" t="b">
        <f t="shared" si="1"/>
        <v>1</v>
      </c>
      <c r="S8055" s="14" t="str">
        <f t="shared" si="2"/>
        <v>100.100,75</v>
      </c>
      <c r="T8055" s="12"/>
    </row>
    <row r="8056">
      <c r="A8056" s="112" t="s">
        <v>51115</v>
      </c>
      <c r="B8056" s="34"/>
      <c r="C8056" s="34" t="s">
        <v>51031</v>
      </c>
      <c r="D8056" s="34" t="s">
        <v>51013</v>
      </c>
      <c r="E8056" s="34"/>
      <c r="F8056" s="34"/>
      <c r="G8056" s="34"/>
      <c r="H8056" s="34"/>
      <c r="I8056" s="34"/>
      <c r="J8056" s="34"/>
      <c r="K8056" s="34"/>
      <c r="L8056" s="34"/>
      <c r="M8056" s="34"/>
      <c r="N8056" s="12"/>
      <c r="O8056" s="12"/>
      <c r="P8056" s="13">
        <f>IFERROR(__xludf.DUMMYFUNCTION("VALUE(SUBSTITUTE((INDEX(SPLIT(A8056,"",""),1)),""."","","",1))"),100.76)</f>
        <v>100.76</v>
      </c>
      <c r="Q8056" s="13">
        <f>IFERROR(__xludf.DUMMYFUNCTION("VALUE(SUBSTITUTE((INDEX(SPLIT(A8056,"",""),2)),""."","","",1))"),100.0)</f>
        <v>100</v>
      </c>
      <c r="R8056" s="14" t="b">
        <f t="shared" si="1"/>
        <v>1</v>
      </c>
      <c r="S8056" s="14" t="str">
        <f t="shared" si="2"/>
        <v>100.100,76</v>
      </c>
      <c r="T8056" s="12"/>
    </row>
    <row r="8057">
      <c r="A8057" s="112" t="s">
        <v>51116</v>
      </c>
      <c r="B8057" s="34"/>
      <c r="C8057" s="34" t="s">
        <v>51117</v>
      </c>
      <c r="D8057" s="34" t="s">
        <v>51013</v>
      </c>
      <c r="E8057" s="34"/>
      <c r="F8057" s="34"/>
      <c r="G8057" s="34"/>
      <c r="H8057" s="34"/>
      <c r="I8057" s="34"/>
      <c r="J8057" s="34"/>
      <c r="K8057" s="34"/>
      <c r="L8057" s="34"/>
      <c r="M8057" s="34"/>
      <c r="N8057" s="12"/>
      <c r="O8057" s="12"/>
      <c r="P8057" s="13">
        <f>IFERROR(__xludf.DUMMYFUNCTION("VALUE(SUBSTITUTE((INDEX(SPLIT(A8057,"",""),1)),""."","","",1))"),100.77)</f>
        <v>100.77</v>
      </c>
      <c r="Q8057" s="13">
        <f>IFERROR(__xludf.DUMMYFUNCTION("VALUE(SUBSTITUTE((INDEX(SPLIT(A8057,"",""),2)),""."","","",1))"),100.0)</f>
        <v>100</v>
      </c>
      <c r="R8057" s="14" t="b">
        <f t="shared" si="1"/>
        <v>1</v>
      </c>
      <c r="S8057" s="14" t="str">
        <f t="shared" si="2"/>
        <v>100.100,77</v>
      </c>
      <c r="T8057" s="12"/>
    </row>
    <row r="8058">
      <c r="A8058" s="112" t="s">
        <v>51118</v>
      </c>
      <c r="B8058" s="34"/>
      <c r="C8058" s="34" t="s">
        <v>51119</v>
      </c>
      <c r="D8058" s="34" t="s">
        <v>51013</v>
      </c>
      <c r="E8058" s="34"/>
      <c r="F8058" s="34"/>
      <c r="G8058" s="34"/>
      <c r="H8058" s="34"/>
      <c r="I8058" s="34"/>
      <c r="J8058" s="34"/>
      <c r="K8058" s="34"/>
      <c r="L8058" s="34"/>
      <c r="M8058" s="34"/>
      <c r="N8058" s="12"/>
      <c r="O8058" s="12"/>
      <c r="P8058" s="13">
        <f>IFERROR(__xludf.DUMMYFUNCTION("VALUE(SUBSTITUTE((INDEX(SPLIT(A8058,"",""),1)),""."","","",1))"),100.78)</f>
        <v>100.78</v>
      </c>
      <c r="Q8058" s="13">
        <f>IFERROR(__xludf.DUMMYFUNCTION("VALUE(SUBSTITUTE((INDEX(SPLIT(A8058,"",""),2)),""."","","",1))"),100.0)</f>
        <v>100</v>
      </c>
      <c r="R8058" s="14" t="b">
        <f t="shared" si="1"/>
        <v>1</v>
      </c>
      <c r="S8058" s="14" t="str">
        <f t="shared" si="2"/>
        <v>100.100,78</v>
      </c>
      <c r="T8058" s="12"/>
    </row>
    <row r="8059">
      <c r="A8059" s="112" t="s">
        <v>51120</v>
      </c>
      <c r="B8059" s="34"/>
      <c r="C8059" s="34" t="s">
        <v>51121</v>
      </c>
      <c r="D8059" s="34" t="s">
        <v>51013</v>
      </c>
      <c r="E8059" s="34"/>
      <c r="F8059" s="34"/>
      <c r="G8059" s="34"/>
      <c r="H8059" s="34"/>
      <c r="I8059" s="34"/>
      <c r="J8059" s="34"/>
      <c r="K8059" s="34"/>
      <c r="L8059" s="34"/>
      <c r="M8059" s="34"/>
      <c r="N8059" s="12"/>
      <c r="O8059" s="12"/>
      <c r="P8059" s="13">
        <f>IFERROR(__xludf.DUMMYFUNCTION("VALUE(SUBSTITUTE((INDEX(SPLIT(A8059,"",""),1)),""."","","",1))"),100.79)</f>
        <v>100.79</v>
      </c>
      <c r="Q8059" s="13">
        <f>IFERROR(__xludf.DUMMYFUNCTION("VALUE(SUBSTITUTE((INDEX(SPLIT(A8059,"",""),2)),""."","","",1))"),100.0)</f>
        <v>100</v>
      </c>
      <c r="R8059" s="14" t="b">
        <f t="shared" si="1"/>
        <v>1</v>
      </c>
      <c r="S8059" s="14" t="str">
        <f t="shared" si="2"/>
        <v>100.100,79</v>
      </c>
      <c r="T8059" s="12"/>
    </row>
    <row r="8060">
      <c r="A8060" s="112" t="s">
        <v>50996</v>
      </c>
      <c r="B8060" s="34"/>
      <c r="C8060" s="34" t="s">
        <v>51122</v>
      </c>
      <c r="D8060" s="34" t="s">
        <v>51013</v>
      </c>
      <c r="E8060" s="34"/>
      <c r="F8060" s="34"/>
      <c r="G8060" s="34"/>
      <c r="H8060" s="34"/>
      <c r="I8060" s="34"/>
      <c r="J8060" s="34"/>
      <c r="K8060" s="34"/>
      <c r="L8060" s="34"/>
      <c r="M8060" s="34"/>
      <c r="N8060" s="12"/>
      <c r="O8060" s="12"/>
      <c r="P8060" s="13">
        <f>IFERROR(__xludf.DUMMYFUNCTION("VALUE(SUBSTITUTE((INDEX(SPLIT(A8060,"",""),1)),""."","","",1))"),100.8)</f>
        <v>100.8</v>
      </c>
      <c r="Q8060" s="13">
        <f>IFERROR(__xludf.DUMMYFUNCTION("VALUE(SUBSTITUTE((INDEX(SPLIT(A8060,"",""),2)),""."","","",1))"),100.0)</f>
        <v>100</v>
      </c>
      <c r="R8060" s="14" t="b">
        <f t="shared" si="1"/>
        <v>1</v>
      </c>
      <c r="S8060" s="14" t="str">
        <f t="shared" si="2"/>
        <v>100.100,8</v>
      </c>
      <c r="T8060" s="12"/>
    </row>
    <row r="8061">
      <c r="A8061" s="112" t="s">
        <v>51123</v>
      </c>
      <c r="B8061" s="34"/>
      <c r="C8061" s="34" t="s">
        <v>51124</v>
      </c>
      <c r="D8061" s="34" t="s">
        <v>51013</v>
      </c>
      <c r="E8061" s="34"/>
      <c r="F8061" s="34"/>
      <c r="G8061" s="34"/>
      <c r="H8061" s="34"/>
      <c r="I8061" s="34"/>
      <c r="J8061" s="34"/>
      <c r="K8061" s="34"/>
      <c r="L8061" s="34"/>
      <c r="M8061" s="34"/>
      <c r="N8061" s="12"/>
      <c r="O8061" s="12"/>
      <c r="P8061" s="13">
        <f>IFERROR(__xludf.DUMMYFUNCTION("VALUE(SUBSTITUTE((INDEX(SPLIT(A8061,"",""),1)),""."","","",1))"),100.81)</f>
        <v>100.81</v>
      </c>
      <c r="Q8061" s="13">
        <f>IFERROR(__xludf.DUMMYFUNCTION("VALUE(SUBSTITUTE((INDEX(SPLIT(A8061,"",""),2)),""."","","",1))"),100.0)</f>
        <v>100</v>
      </c>
      <c r="R8061" s="14" t="b">
        <f t="shared" si="1"/>
        <v>1</v>
      </c>
      <c r="S8061" s="14" t="str">
        <f t="shared" si="2"/>
        <v>100.100,81</v>
      </c>
      <c r="T8061" s="12"/>
    </row>
    <row r="8062">
      <c r="A8062" s="112" t="s">
        <v>51125</v>
      </c>
      <c r="B8062" s="34"/>
      <c r="C8062" s="34" t="s">
        <v>51126</v>
      </c>
      <c r="D8062" s="34" t="s">
        <v>51013</v>
      </c>
      <c r="E8062" s="34"/>
      <c r="F8062" s="34"/>
      <c r="G8062" s="34"/>
      <c r="H8062" s="34"/>
      <c r="I8062" s="34"/>
      <c r="J8062" s="34"/>
      <c r="K8062" s="34"/>
      <c r="L8062" s="34"/>
      <c r="M8062" s="34"/>
      <c r="N8062" s="12"/>
      <c r="O8062" s="12"/>
      <c r="P8062" s="13">
        <f>IFERROR(__xludf.DUMMYFUNCTION("VALUE(SUBSTITUTE((INDEX(SPLIT(A8062,"",""),1)),""."","","",1))"),100.82)</f>
        <v>100.82</v>
      </c>
      <c r="Q8062" s="13">
        <f>IFERROR(__xludf.DUMMYFUNCTION("VALUE(SUBSTITUTE((INDEX(SPLIT(A8062,"",""),2)),""."","","",1))"),100.0)</f>
        <v>100</v>
      </c>
      <c r="R8062" s="14" t="b">
        <f t="shared" si="1"/>
        <v>1</v>
      </c>
      <c r="S8062" s="14" t="str">
        <f t="shared" si="2"/>
        <v>100.100,82</v>
      </c>
      <c r="T8062" s="12"/>
    </row>
    <row r="8063">
      <c r="A8063" s="112" t="s">
        <v>51127</v>
      </c>
      <c r="B8063" s="34"/>
      <c r="C8063" s="34" t="s">
        <v>51128</v>
      </c>
      <c r="D8063" s="34" t="s">
        <v>51013</v>
      </c>
      <c r="E8063" s="34"/>
      <c r="F8063" s="34"/>
      <c r="G8063" s="34"/>
      <c r="H8063" s="34"/>
      <c r="I8063" s="34"/>
      <c r="J8063" s="34"/>
      <c r="K8063" s="34"/>
      <c r="L8063" s="34"/>
      <c r="M8063" s="34"/>
      <c r="N8063" s="12"/>
      <c r="O8063" s="12"/>
      <c r="P8063" s="13">
        <f>IFERROR(__xludf.DUMMYFUNCTION("VALUE(SUBSTITUTE((INDEX(SPLIT(A8063,"",""),1)),""."","","",1))"),100.83)</f>
        <v>100.83</v>
      </c>
      <c r="Q8063" s="13">
        <f>IFERROR(__xludf.DUMMYFUNCTION("VALUE(SUBSTITUTE((INDEX(SPLIT(A8063,"",""),2)),""."","","",1))"),100.0)</f>
        <v>100</v>
      </c>
      <c r="R8063" s="14" t="b">
        <f t="shared" si="1"/>
        <v>1</v>
      </c>
      <c r="S8063" s="14" t="str">
        <f t="shared" si="2"/>
        <v>100.100,83</v>
      </c>
      <c r="T8063" s="12"/>
    </row>
    <row r="8064">
      <c r="A8064" s="112" t="s">
        <v>51129</v>
      </c>
      <c r="B8064" s="34"/>
      <c r="C8064" s="34" t="s">
        <v>51130</v>
      </c>
      <c r="D8064" s="34" t="s">
        <v>51013</v>
      </c>
      <c r="E8064" s="34"/>
      <c r="F8064" s="34"/>
      <c r="G8064" s="34"/>
      <c r="H8064" s="34"/>
      <c r="I8064" s="34"/>
      <c r="J8064" s="34"/>
      <c r="K8064" s="34"/>
      <c r="L8064" s="34"/>
      <c r="M8064" s="34"/>
      <c r="N8064" s="12"/>
      <c r="O8064" s="12"/>
      <c r="P8064" s="13">
        <f>IFERROR(__xludf.DUMMYFUNCTION("VALUE(SUBSTITUTE((INDEX(SPLIT(A8064,"",""),1)),""."","","",1))"),100.84)</f>
        <v>100.84</v>
      </c>
      <c r="Q8064" s="13">
        <f>IFERROR(__xludf.DUMMYFUNCTION("VALUE(SUBSTITUTE((INDEX(SPLIT(A8064,"",""),2)),""."","","",1))"),100.0)</f>
        <v>100</v>
      </c>
      <c r="R8064" s="14" t="b">
        <f t="shared" si="1"/>
        <v>1</v>
      </c>
      <c r="S8064" s="14" t="str">
        <f t="shared" si="2"/>
        <v>100.100,84</v>
      </c>
      <c r="T8064" s="12"/>
    </row>
    <row r="8065">
      <c r="A8065" s="112" t="s">
        <v>51131</v>
      </c>
      <c r="B8065" s="34"/>
      <c r="C8065" s="34" t="s">
        <v>51132</v>
      </c>
      <c r="D8065" s="34" t="s">
        <v>51013</v>
      </c>
      <c r="E8065" s="34"/>
      <c r="F8065" s="34"/>
      <c r="G8065" s="34"/>
      <c r="H8065" s="34"/>
      <c r="I8065" s="34"/>
      <c r="J8065" s="34"/>
      <c r="K8065" s="34"/>
      <c r="L8065" s="34"/>
      <c r="M8065" s="34"/>
      <c r="N8065" s="12"/>
      <c r="O8065" s="12"/>
      <c r="P8065" s="13">
        <f>IFERROR(__xludf.DUMMYFUNCTION("VALUE(SUBSTITUTE((INDEX(SPLIT(A8065,"",""),1)),""."","","",1))"),100.85)</f>
        <v>100.85</v>
      </c>
      <c r="Q8065" s="13">
        <f>IFERROR(__xludf.DUMMYFUNCTION("VALUE(SUBSTITUTE((INDEX(SPLIT(A8065,"",""),2)),""."","","",1))"),100.0)</f>
        <v>100</v>
      </c>
      <c r="R8065" s="14" t="b">
        <f t="shared" si="1"/>
        <v>1</v>
      </c>
      <c r="S8065" s="14" t="str">
        <f t="shared" si="2"/>
        <v>100.100,85</v>
      </c>
      <c r="T8065" s="12"/>
    </row>
    <row r="8066">
      <c r="A8066" s="112" t="s">
        <v>51133</v>
      </c>
      <c r="B8066" s="34"/>
      <c r="C8066" s="34" t="s">
        <v>51134</v>
      </c>
      <c r="D8066" s="34" t="s">
        <v>51013</v>
      </c>
      <c r="E8066" s="34"/>
      <c r="F8066" s="34"/>
      <c r="G8066" s="34"/>
      <c r="H8066" s="34"/>
      <c r="I8066" s="34"/>
      <c r="J8066" s="34"/>
      <c r="K8066" s="34"/>
      <c r="L8066" s="34"/>
      <c r="M8066" s="34"/>
      <c r="N8066" s="12"/>
      <c r="O8066" s="12"/>
      <c r="P8066" s="13">
        <f>IFERROR(__xludf.DUMMYFUNCTION("VALUE(SUBSTITUTE((INDEX(SPLIT(A8066,"",""),1)),""."","","",1))"),100.86)</f>
        <v>100.86</v>
      </c>
      <c r="Q8066" s="13">
        <f>IFERROR(__xludf.DUMMYFUNCTION("VALUE(SUBSTITUTE((INDEX(SPLIT(A8066,"",""),2)),""."","","",1))"),100.0)</f>
        <v>100</v>
      </c>
      <c r="R8066" s="14" t="b">
        <f t="shared" si="1"/>
        <v>1</v>
      </c>
      <c r="S8066" s="14" t="str">
        <f t="shared" si="2"/>
        <v>100.100,86</v>
      </c>
      <c r="T8066" s="12"/>
    </row>
    <row r="8067">
      <c r="A8067" s="112" t="s">
        <v>51135</v>
      </c>
      <c r="B8067" s="34"/>
      <c r="C8067" s="34" t="s">
        <v>32920</v>
      </c>
      <c r="D8067" s="34" t="s">
        <v>51013</v>
      </c>
      <c r="E8067" s="34"/>
      <c r="F8067" s="34"/>
      <c r="G8067" s="34"/>
      <c r="H8067" s="34"/>
      <c r="I8067" s="34"/>
      <c r="J8067" s="34"/>
      <c r="K8067" s="34"/>
      <c r="L8067" s="34"/>
      <c r="M8067" s="34"/>
      <c r="N8067" s="12"/>
      <c r="O8067" s="12"/>
      <c r="P8067" s="13">
        <f>IFERROR(__xludf.DUMMYFUNCTION("VALUE(SUBSTITUTE((INDEX(SPLIT(A8067,"",""),1)),""."","","",1))"),100.87)</f>
        <v>100.87</v>
      </c>
      <c r="Q8067" s="13">
        <f>IFERROR(__xludf.DUMMYFUNCTION("VALUE(SUBSTITUTE((INDEX(SPLIT(A8067,"",""),2)),""."","","",1))"),100.0)</f>
        <v>100</v>
      </c>
      <c r="R8067" s="14" t="b">
        <f t="shared" si="1"/>
        <v>1</v>
      </c>
      <c r="S8067" s="14" t="str">
        <f t="shared" si="2"/>
        <v>100.100,87</v>
      </c>
      <c r="T8067" s="12"/>
    </row>
    <row r="8068">
      <c r="A8068" s="112" t="s">
        <v>51136</v>
      </c>
      <c r="B8068" s="34"/>
      <c r="C8068" s="34" t="s">
        <v>51137</v>
      </c>
      <c r="D8068" s="34" t="s">
        <v>51013</v>
      </c>
      <c r="E8068" s="34"/>
      <c r="F8068" s="34"/>
      <c r="G8068" s="34"/>
      <c r="H8068" s="34"/>
      <c r="I8068" s="34"/>
      <c r="J8068" s="34"/>
      <c r="K8068" s="34"/>
      <c r="L8068" s="34"/>
      <c r="M8068" s="34"/>
      <c r="N8068" s="12"/>
      <c r="O8068" s="12"/>
      <c r="P8068" s="13">
        <f>IFERROR(__xludf.DUMMYFUNCTION("VALUE(SUBSTITUTE((INDEX(SPLIT(A8068,"",""),1)),""."","","",1))"),100.88)</f>
        <v>100.88</v>
      </c>
      <c r="Q8068" s="13">
        <f>IFERROR(__xludf.DUMMYFUNCTION("VALUE(SUBSTITUTE((INDEX(SPLIT(A8068,"",""),2)),""."","","",1))"),100.0)</f>
        <v>100</v>
      </c>
      <c r="R8068" s="14" t="b">
        <f t="shared" si="1"/>
        <v>1</v>
      </c>
      <c r="S8068" s="14" t="str">
        <f t="shared" si="2"/>
        <v>100.100,88</v>
      </c>
      <c r="T8068" s="12"/>
    </row>
    <row r="8069">
      <c r="A8069" s="112" t="s">
        <v>51138</v>
      </c>
      <c r="B8069" s="34"/>
      <c r="C8069" s="34" t="s">
        <v>51139</v>
      </c>
      <c r="D8069" s="34" t="s">
        <v>51013</v>
      </c>
      <c r="E8069" s="34"/>
      <c r="F8069" s="34"/>
      <c r="G8069" s="34"/>
      <c r="H8069" s="34"/>
      <c r="I8069" s="34"/>
      <c r="J8069" s="34"/>
      <c r="K8069" s="34"/>
      <c r="L8069" s="34"/>
      <c r="M8069" s="34"/>
      <c r="N8069" s="12"/>
      <c r="O8069" s="12"/>
      <c r="P8069" s="13">
        <f>IFERROR(__xludf.DUMMYFUNCTION("VALUE(SUBSTITUTE((INDEX(SPLIT(A8069,"",""),1)),""."","","",1))"),100.89)</f>
        <v>100.89</v>
      </c>
      <c r="Q8069" s="13">
        <f>IFERROR(__xludf.DUMMYFUNCTION("VALUE(SUBSTITUTE((INDEX(SPLIT(A8069,"",""),2)),""."","","",1))"),100.0)</f>
        <v>100</v>
      </c>
      <c r="R8069" s="14" t="b">
        <f t="shared" si="1"/>
        <v>1</v>
      </c>
      <c r="S8069" s="14" t="str">
        <f t="shared" si="2"/>
        <v>100.100,89</v>
      </c>
      <c r="T8069" s="12"/>
    </row>
    <row r="8070">
      <c r="A8070" s="112" t="s">
        <v>50998</v>
      </c>
      <c r="B8070" s="34"/>
      <c r="C8070" s="34" t="s">
        <v>51140</v>
      </c>
      <c r="D8070" s="34" t="s">
        <v>51013</v>
      </c>
      <c r="E8070" s="34"/>
      <c r="F8070" s="34"/>
      <c r="G8070" s="34"/>
      <c r="H8070" s="34"/>
      <c r="I8070" s="34"/>
      <c r="J8070" s="34"/>
      <c r="K8070" s="34"/>
      <c r="L8070" s="34"/>
      <c r="M8070" s="34"/>
      <c r="N8070" s="12"/>
      <c r="O8070" s="12"/>
      <c r="P8070" s="13">
        <f>IFERROR(__xludf.DUMMYFUNCTION("VALUE(SUBSTITUTE((INDEX(SPLIT(A8070,"",""),1)),""."","","",1))"),100.9)</f>
        <v>100.9</v>
      </c>
      <c r="Q8070" s="13">
        <f>IFERROR(__xludf.DUMMYFUNCTION("VALUE(SUBSTITUTE((INDEX(SPLIT(A8070,"",""),2)),""."","","",1))"),100.0)</f>
        <v>100</v>
      </c>
      <c r="R8070" s="14" t="b">
        <f t="shared" si="1"/>
        <v>1</v>
      </c>
      <c r="S8070" s="14" t="str">
        <f t="shared" si="2"/>
        <v>100.100,9</v>
      </c>
      <c r="T8070" s="12"/>
    </row>
    <row r="8071">
      <c r="A8071" s="112" t="s">
        <v>51141</v>
      </c>
      <c r="B8071" s="34"/>
      <c r="C8071" s="34" t="s">
        <v>51142</v>
      </c>
      <c r="D8071" s="34" t="s">
        <v>51013</v>
      </c>
      <c r="E8071" s="34"/>
      <c r="F8071" s="34"/>
      <c r="G8071" s="34"/>
      <c r="H8071" s="34"/>
      <c r="I8071" s="34"/>
      <c r="J8071" s="34"/>
      <c r="K8071" s="34"/>
      <c r="L8071" s="34"/>
      <c r="M8071" s="34"/>
      <c r="N8071" s="12"/>
      <c r="O8071" s="12"/>
      <c r="P8071" s="13">
        <f>IFERROR(__xludf.DUMMYFUNCTION("VALUE(SUBSTITUTE((INDEX(SPLIT(A8071,"",""),1)),""."","","",1))"),100.91)</f>
        <v>100.91</v>
      </c>
      <c r="Q8071" s="13">
        <f>IFERROR(__xludf.DUMMYFUNCTION("VALUE(SUBSTITUTE((INDEX(SPLIT(A8071,"",""),2)),""."","","",1))"),100.0)</f>
        <v>100</v>
      </c>
      <c r="R8071" s="14" t="b">
        <f t="shared" si="1"/>
        <v>1</v>
      </c>
      <c r="S8071" s="14" t="str">
        <f t="shared" si="2"/>
        <v>100.100,91</v>
      </c>
      <c r="T8071" s="12"/>
    </row>
    <row r="8072">
      <c r="A8072" s="112" t="s">
        <v>51143</v>
      </c>
      <c r="B8072" s="34"/>
      <c r="C8072" s="34" t="s">
        <v>51144</v>
      </c>
      <c r="D8072" s="34" t="s">
        <v>51013</v>
      </c>
      <c r="E8072" s="34"/>
      <c r="F8072" s="34"/>
      <c r="G8072" s="34"/>
      <c r="H8072" s="34"/>
      <c r="I8072" s="34"/>
      <c r="J8072" s="34"/>
      <c r="K8072" s="34"/>
      <c r="L8072" s="34"/>
      <c r="M8072" s="34"/>
      <c r="N8072" s="12"/>
      <c r="O8072" s="12"/>
      <c r="P8072" s="13">
        <f>IFERROR(__xludf.DUMMYFUNCTION("VALUE(SUBSTITUTE((INDEX(SPLIT(A8072,"",""),1)),""."","","",1))"),100.92)</f>
        <v>100.92</v>
      </c>
      <c r="Q8072" s="13">
        <f>IFERROR(__xludf.DUMMYFUNCTION("VALUE(SUBSTITUTE((INDEX(SPLIT(A8072,"",""),2)),""."","","",1))"),100.0)</f>
        <v>100</v>
      </c>
      <c r="R8072" s="14" t="b">
        <f t="shared" si="1"/>
        <v>1</v>
      </c>
      <c r="S8072" s="14" t="str">
        <f t="shared" si="2"/>
        <v>100.100,92</v>
      </c>
      <c r="T8072" s="12"/>
    </row>
    <row r="8073">
      <c r="A8073" s="112" t="s">
        <v>51145</v>
      </c>
      <c r="B8073" s="34"/>
      <c r="C8073" s="34" t="s">
        <v>51146</v>
      </c>
      <c r="D8073" s="34" t="s">
        <v>51013</v>
      </c>
      <c r="E8073" s="34"/>
      <c r="F8073" s="34"/>
      <c r="G8073" s="34"/>
      <c r="H8073" s="34"/>
      <c r="I8073" s="34"/>
      <c r="J8073" s="34"/>
      <c r="K8073" s="34"/>
      <c r="L8073" s="34"/>
      <c r="M8073" s="34"/>
      <c r="N8073" s="12"/>
      <c r="O8073" s="12"/>
      <c r="P8073" s="13">
        <f>IFERROR(__xludf.DUMMYFUNCTION("VALUE(SUBSTITUTE((INDEX(SPLIT(A8073,"",""),1)),""."","","",1))"),100.93)</f>
        <v>100.93</v>
      </c>
      <c r="Q8073" s="13">
        <f>IFERROR(__xludf.DUMMYFUNCTION("VALUE(SUBSTITUTE((INDEX(SPLIT(A8073,"",""),2)),""."","","",1))"),100.0)</f>
        <v>100</v>
      </c>
      <c r="R8073" s="14" t="b">
        <f t="shared" si="1"/>
        <v>1</v>
      </c>
      <c r="S8073" s="14" t="str">
        <f t="shared" si="2"/>
        <v>100.100,93</v>
      </c>
      <c r="T8073" s="12"/>
    </row>
    <row r="8074">
      <c r="A8074" s="112" t="s">
        <v>51147</v>
      </c>
      <c r="B8074" s="34"/>
      <c r="C8074" s="34" t="s">
        <v>51148</v>
      </c>
      <c r="D8074" s="34" t="s">
        <v>51013</v>
      </c>
      <c r="E8074" s="34"/>
      <c r="F8074" s="34"/>
      <c r="G8074" s="34"/>
      <c r="H8074" s="34"/>
      <c r="I8074" s="34"/>
      <c r="J8074" s="34"/>
      <c r="K8074" s="34"/>
      <c r="L8074" s="34"/>
      <c r="M8074" s="34"/>
      <c r="N8074" s="12"/>
      <c r="O8074" s="12"/>
      <c r="P8074" s="13">
        <f>IFERROR(__xludf.DUMMYFUNCTION("VALUE(SUBSTITUTE((INDEX(SPLIT(A8074,"",""),1)),""."","","",1))"),100.94)</f>
        <v>100.94</v>
      </c>
      <c r="Q8074" s="13">
        <f>IFERROR(__xludf.DUMMYFUNCTION("VALUE(SUBSTITUTE((INDEX(SPLIT(A8074,"",""),2)),""."","","",1))"),100.0)</f>
        <v>100</v>
      </c>
      <c r="R8074" s="14" t="b">
        <f t="shared" si="1"/>
        <v>1</v>
      </c>
      <c r="S8074" s="14" t="str">
        <f t="shared" si="2"/>
        <v>100.100,94</v>
      </c>
      <c r="T8074" s="12"/>
    </row>
    <row r="8075">
      <c r="A8075" s="112" t="s">
        <v>51149</v>
      </c>
      <c r="B8075" s="34"/>
      <c r="C8075" s="34" t="s">
        <v>51150</v>
      </c>
      <c r="D8075" s="34" t="s">
        <v>51013</v>
      </c>
      <c r="E8075" s="34"/>
      <c r="F8075" s="34"/>
      <c r="G8075" s="34"/>
      <c r="H8075" s="34"/>
      <c r="I8075" s="34"/>
      <c r="J8075" s="34"/>
      <c r="K8075" s="34"/>
      <c r="L8075" s="34"/>
      <c r="M8075" s="34"/>
      <c r="N8075" s="12"/>
      <c r="O8075" s="12"/>
      <c r="P8075" s="13">
        <f>IFERROR(__xludf.DUMMYFUNCTION("VALUE(SUBSTITUTE((INDEX(SPLIT(A8075,"",""),1)),""."","","",1))"),100.95)</f>
        <v>100.95</v>
      </c>
      <c r="Q8075" s="13">
        <f>IFERROR(__xludf.DUMMYFUNCTION("VALUE(SUBSTITUTE((INDEX(SPLIT(A8075,"",""),2)),""."","","",1))"),100.0)</f>
        <v>100</v>
      </c>
      <c r="R8075" s="14" t="b">
        <f t="shared" si="1"/>
        <v>1</v>
      </c>
      <c r="S8075" s="14" t="str">
        <f t="shared" si="2"/>
        <v>100.100,95</v>
      </c>
      <c r="T8075" s="12"/>
    </row>
    <row r="8076">
      <c r="A8076" s="112" t="s">
        <v>51151</v>
      </c>
      <c r="B8076" s="34"/>
      <c r="C8076" s="34" t="s">
        <v>51152</v>
      </c>
      <c r="D8076" s="34" t="s">
        <v>51013</v>
      </c>
      <c r="E8076" s="34"/>
      <c r="F8076" s="34"/>
      <c r="G8076" s="34"/>
      <c r="H8076" s="34"/>
      <c r="I8076" s="34"/>
      <c r="J8076" s="34"/>
      <c r="K8076" s="34"/>
      <c r="L8076" s="34"/>
      <c r="M8076" s="34"/>
      <c r="N8076" s="12"/>
      <c r="O8076" s="12"/>
      <c r="P8076" s="13">
        <f>IFERROR(__xludf.DUMMYFUNCTION("VALUE(SUBSTITUTE((INDEX(SPLIT(A8076,"",""),1)),""."","","",1))"),100.96)</f>
        <v>100.96</v>
      </c>
      <c r="Q8076" s="13">
        <f>IFERROR(__xludf.DUMMYFUNCTION("VALUE(SUBSTITUTE((INDEX(SPLIT(A8076,"",""),2)),""."","","",1))"),100.0)</f>
        <v>100</v>
      </c>
      <c r="R8076" s="14" t="b">
        <f t="shared" si="1"/>
        <v>1</v>
      </c>
      <c r="S8076" s="14" t="str">
        <f t="shared" si="2"/>
        <v>100.100,96</v>
      </c>
      <c r="T8076" s="12"/>
    </row>
    <row r="8077">
      <c r="A8077" s="112" t="s">
        <v>51153</v>
      </c>
      <c r="B8077" s="34"/>
      <c r="C8077" s="34" t="s">
        <v>51040</v>
      </c>
      <c r="D8077" s="34" t="s">
        <v>51013</v>
      </c>
      <c r="E8077" s="34"/>
      <c r="F8077" s="34"/>
      <c r="G8077" s="34"/>
      <c r="H8077" s="34"/>
      <c r="I8077" s="34"/>
      <c r="J8077" s="34"/>
      <c r="K8077" s="34"/>
      <c r="L8077" s="34"/>
      <c r="M8077" s="34"/>
      <c r="N8077" s="12"/>
      <c r="O8077" s="12"/>
      <c r="P8077" s="13">
        <f>IFERROR(__xludf.DUMMYFUNCTION("VALUE(SUBSTITUTE((INDEX(SPLIT(A8077,"",""),1)),""."","","",1))"),100.97)</f>
        <v>100.97</v>
      </c>
      <c r="Q8077" s="13">
        <f>IFERROR(__xludf.DUMMYFUNCTION("VALUE(SUBSTITUTE((INDEX(SPLIT(A8077,"",""),2)),""."","","",1))"),100.0)</f>
        <v>100</v>
      </c>
      <c r="R8077" s="14" t="b">
        <f t="shared" si="1"/>
        <v>1</v>
      </c>
      <c r="S8077" s="14" t="str">
        <f t="shared" si="2"/>
        <v>100.100,97</v>
      </c>
      <c r="T8077" s="12"/>
    </row>
    <row r="8078">
      <c r="A8078" s="112" t="s">
        <v>51154</v>
      </c>
      <c r="B8078" s="34"/>
      <c r="C8078" s="34" t="s">
        <v>51155</v>
      </c>
      <c r="D8078" s="34" t="s">
        <v>51013</v>
      </c>
      <c r="E8078" s="34"/>
      <c r="F8078" s="34"/>
      <c r="G8078" s="34"/>
      <c r="H8078" s="34"/>
      <c r="I8078" s="34"/>
      <c r="J8078" s="34"/>
      <c r="K8078" s="34"/>
      <c r="L8078" s="34"/>
      <c r="M8078" s="34"/>
      <c r="N8078" s="12"/>
      <c r="O8078" s="12"/>
      <c r="P8078" s="13">
        <f>IFERROR(__xludf.DUMMYFUNCTION("VALUE(SUBSTITUTE((INDEX(SPLIT(A8078,"",""),1)),""."","","",1))"),100.98)</f>
        <v>100.98</v>
      </c>
      <c r="Q8078" s="13">
        <f>IFERROR(__xludf.DUMMYFUNCTION("VALUE(SUBSTITUTE((INDEX(SPLIT(A8078,"",""),2)),""."","","",1))"),100.0)</f>
        <v>100</v>
      </c>
      <c r="R8078" s="14" t="b">
        <f t="shared" si="1"/>
        <v>1</v>
      </c>
      <c r="S8078" s="14" t="str">
        <f t="shared" si="2"/>
        <v>100.100,98</v>
      </c>
      <c r="T8078" s="12"/>
    </row>
    <row r="8079">
      <c r="A8079" s="112" t="s">
        <v>51156</v>
      </c>
      <c r="B8079" s="34"/>
      <c r="C8079" s="34" t="s">
        <v>51157</v>
      </c>
      <c r="D8079" s="34" t="s">
        <v>51013</v>
      </c>
      <c r="E8079" s="34"/>
      <c r="F8079" s="34"/>
      <c r="G8079" s="34"/>
      <c r="H8079" s="34"/>
      <c r="I8079" s="34"/>
      <c r="J8079" s="34"/>
      <c r="K8079" s="34"/>
      <c r="L8079" s="34"/>
      <c r="M8079" s="34"/>
      <c r="N8079" s="12"/>
      <c r="O8079" s="12"/>
      <c r="P8079" s="13">
        <f>IFERROR(__xludf.DUMMYFUNCTION("VALUE(SUBSTITUTE((INDEX(SPLIT(A8079,"",""),1)),""."","","",1))"),100.99)</f>
        <v>100.99</v>
      </c>
      <c r="Q8079" s="13">
        <f>IFERROR(__xludf.DUMMYFUNCTION("VALUE(SUBSTITUTE((INDEX(SPLIT(A8079,"",""),2)),""."","","",1))"),100.0)</f>
        <v>100</v>
      </c>
      <c r="R8079" s="14" t="b">
        <f t="shared" si="1"/>
        <v>1</v>
      </c>
      <c r="S8079" s="14" t="str">
        <f t="shared" si="2"/>
        <v>100.100,99</v>
      </c>
      <c r="T8079" s="12"/>
    </row>
    <row r="8080">
      <c r="A8080" s="112" t="s">
        <v>50982</v>
      </c>
      <c r="B8080" s="34"/>
      <c r="C8080" s="34" t="s">
        <v>51158</v>
      </c>
      <c r="D8080" s="34" t="s">
        <v>51013</v>
      </c>
      <c r="E8080" s="34"/>
      <c r="F8080" s="34"/>
      <c r="G8080" s="34"/>
      <c r="H8080" s="34"/>
      <c r="I8080" s="34"/>
      <c r="J8080" s="34"/>
      <c r="K8080" s="34"/>
      <c r="L8080" s="34"/>
      <c r="M8080" s="34"/>
      <c r="N8080" s="12"/>
      <c r="O8080" s="12"/>
      <c r="P8080" s="13">
        <f>IFERROR(__xludf.DUMMYFUNCTION("VALUE(SUBSTITUTE((INDEX(SPLIT(A8080,"",""),1)),""."","","",1))"),100.1)</f>
        <v>100.1</v>
      </c>
      <c r="Q8080" s="13">
        <f>IFERROR(__xludf.DUMMYFUNCTION("VALUE(SUBSTITUTE((INDEX(SPLIT(A8080,"",""),2)),""."","","",1))"),100.0)</f>
        <v>100</v>
      </c>
      <c r="R8080" s="14" t="b">
        <f t="shared" si="1"/>
        <v>1</v>
      </c>
      <c r="S8080" s="14" t="str">
        <f t="shared" si="2"/>
        <v>100.100,1</v>
      </c>
      <c r="T8080" s="12"/>
    </row>
    <row r="8081">
      <c r="A8081" s="112" t="s">
        <v>51159</v>
      </c>
      <c r="B8081" s="34"/>
      <c r="C8081" s="34" t="s">
        <v>51160</v>
      </c>
      <c r="D8081" s="34" t="s">
        <v>51013</v>
      </c>
      <c r="E8081" s="34"/>
      <c r="F8081" s="34"/>
      <c r="G8081" s="34"/>
      <c r="H8081" s="34"/>
      <c r="I8081" s="34"/>
      <c r="J8081" s="34"/>
      <c r="K8081" s="34"/>
      <c r="L8081" s="34"/>
      <c r="M8081" s="34"/>
      <c r="N8081" s="12"/>
      <c r="O8081" s="12"/>
      <c r="P8081" s="13">
        <f>IFERROR(__xludf.DUMMYFUNCTION("VALUE(SUBSTITUTE((INDEX(SPLIT(A8081,"",""),1)),""."","","",1))"),100.101)</f>
        <v>100.101</v>
      </c>
      <c r="Q8081" s="13">
        <f>IFERROR(__xludf.DUMMYFUNCTION("VALUE(SUBSTITUTE((INDEX(SPLIT(A8081,"",""),2)),""."","","",1))"),100.0)</f>
        <v>100</v>
      </c>
      <c r="R8081" s="14" t="b">
        <f t="shared" si="1"/>
        <v>1</v>
      </c>
      <c r="S8081" s="14" t="str">
        <f t="shared" si="2"/>
        <v>100.100,101</v>
      </c>
      <c r="T8081" s="12"/>
    </row>
    <row r="8082">
      <c r="A8082" s="112" t="s">
        <v>51161</v>
      </c>
      <c r="B8082" s="34"/>
      <c r="C8082" s="34" t="s">
        <v>51029</v>
      </c>
      <c r="D8082" s="34" t="s">
        <v>51013</v>
      </c>
      <c r="E8082" s="34"/>
      <c r="F8082" s="34"/>
      <c r="G8082" s="34"/>
      <c r="H8082" s="34"/>
      <c r="I8082" s="34"/>
      <c r="J8082" s="34"/>
      <c r="K8082" s="34"/>
      <c r="L8082" s="34"/>
      <c r="M8082" s="34"/>
      <c r="N8082" s="12"/>
      <c r="O8082" s="12"/>
      <c r="P8082" s="13">
        <f>IFERROR(__xludf.DUMMYFUNCTION("VALUE(SUBSTITUTE((INDEX(SPLIT(A8082,"",""),1)),""."","","",1))"),100.102)</f>
        <v>100.102</v>
      </c>
      <c r="Q8082" s="13">
        <f>IFERROR(__xludf.DUMMYFUNCTION("VALUE(SUBSTITUTE((INDEX(SPLIT(A8082,"",""),2)),""."","","",1))"),100.0)</f>
        <v>100</v>
      </c>
      <c r="R8082" s="14" t="b">
        <f t="shared" si="1"/>
        <v>1</v>
      </c>
      <c r="S8082" s="14" t="str">
        <f t="shared" si="2"/>
        <v>100.100,102</v>
      </c>
      <c r="T8082" s="12"/>
    </row>
    <row r="8083">
      <c r="A8083" s="112" t="s">
        <v>51162</v>
      </c>
      <c r="B8083" s="34"/>
      <c r="C8083" s="34" t="s">
        <v>51163</v>
      </c>
      <c r="D8083" s="34" t="s">
        <v>51013</v>
      </c>
      <c r="E8083" s="34"/>
      <c r="F8083" s="34"/>
      <c r="G8083" s="34"/>
      <c r="H8083" s="34"/>
      <c r="I8083" s="34"/>
      <c r="J8083" s="34"/>
      <c r="K8083" s="34"/>
      <c r="L8083" s="34"/>
      <c r="M8083" s="34"/>
      <c r="N8083" s="12"/>
      <c r="O8083" s="12"/>
      <c r="P8083" s="13">
        <f>IFERROR(__xludf.DUMMYFUNCTION("VALUE(SUBSTITUTE((INDEX(SPLIT(A8083,"",""),1)),""."","","",1))"),100.103)</f>
        <v>100.103</v>
      </c>
      <c r="Q8083" s="13">
        <f>IFERROR(__xludf.DUMMYFUNCTION("VALUE(SUBSTITUTE((INDEX(SPLIT(A8083,"",""),2)),""."","","",1))"),100.0)</f>
        <v>100</v>
      </c>
      <c r="R8083" s="14" t="b">
        <f t="shared" si="1"/>
        <v>1</v>
      </c>
      <c r="S8083" s="14" t="str">
        <f t="shared" si="2"/>
        <v>100.100,103</v>
      </c>
      <c r="T8083" s="12"/>
    </row>
    <row r="8084">
      <c r="A8084" s="112" t="s">
        <v>51164</v>
      </c>
      <c r="B8084" s="34"/>
      <c r="C8084" s="34" t="s">
        <v>51165</v>
      </c>
      <c r="D8084" s="34" t="s">
        <v>51013</v>
      </c>
      <c r="E8084" s="34"/>
      <c r="F8084" s="34"/>
      <c r="G8084" s="34"/>
      <c r="H8084" s="34"/>
      <c r="I8084" s="34"/>
      <c r="J8084" s="34"/>
      <c r="K8084" s="34"/>
      <c r="L8084" s="34"/>
      <c r="M8084" s="34"/>
      <c r="N8084" s="12"/>
      <c r="O8084" s="12"/>
      <c r="P8084" s="13">
        <f>IFERROR(__xludf.DUMMYFUNCTION("VALUE(SUBSTITUTE((INDEX(SPLIT(A8084,"",""),1)),""."","","",1))"),100.104)</f>
        <v>100.104</v>
      </c>
      <c r="Q8084" s="13">
        <f>IFERROR(__xludf.DUMMYFUNCTION("VALUE(SUBSTITUTE((INDEX(SPLIT(A8084,"",""),2)),""."","","",1))"),100.0)</f>
        <v>100</v>
      </c>
      <c r="R8084" s="14" t="b">
        <f t="shared" si="1"/>
        <v>1</v>
      </c>
      <c r="S8084" s="14" t="str">
        <f t="shared" si="2"/>
        <v>100.100,104</v>
      </c>
      <c r="T8084" s="12"/>
    </row>
    <row r="8085">
      <c r="A8085" s="112" t="s">
        <v>51166</v>
      </c>
      <c r="B8085" s="34"/>
      <c r="C8085" s="34" t="s">
        <v>51167</v>
      </c>
      <c r="D8085" s="34" t="s">
        <v>51013</v>
      </c>
      <c r="E8085" s="34"/>
      <c r="F8085" s="34"/>
      <c r="G8085" s="34"/>
      <c r="H8085" s="34"/>
      <c r="I8085" s="34"/>
      <c r="J8085" s="34"/>
      <c r="K8085" s="34"/>
      <c r="L8085" s="34"/>
      <c r="M8085" s="34"/>
      <c r="N8085" s="12"/>
      <c r="O8085" s="12"/>
      <c r="P8085" s="13">
        <f>IFERROR(__xludf.DUMMYFUNCTION("VALUE(SUBSTITUTE((INDEX(SPLIT(A8085,"",""),1)),""."","","",1))"),100.105)</f>
        <v>100.105</v>
      </c>
      <c r="Q8085" s="13">
        <f>IFERROR(__xludf.DUMMYFUNCTION("VALUE(SUBSTITUTE((INDEX(SPLIT(A8085,"",""),2)),""."","","",1))"),100.0)</f>
        <v>100</v>
      </c>
      <c r="R8085" s="14" t="b">
        <f t="shared" si="1"/>
        <v>1</v>
      </c>
      <c r="S8085" s="14" t="str">
        <f t="shared" si="2"/>
        <v>100.100,105</v>
      </c>
      <c r="T8085" s="12"/>
    </row>
    <row r="8086">
      <c r="A8086" s="112" t="s">
        <v>51168</v>
      </c>
      <c r="B8086" s="34"/>
      <c r="C8086" s="34" t="s">
        <v>51169</v>
      </c>
      <c r="D8086" s="34" t="s">
        <v>51013</v>
      </c>
      <c r="E8086" s="34"/>
      <c r="F8086" s="34"/>
      <c r="G8086" s="34"/>
      <c r="H8086" s="34"/>
      <c r="I8086" s="34"/>
      <c r="J8086" s="34"/>
      <c r="K8086" s="34"/>
      <c r="L8086" s="34"/>
      <c r="M8086" s="34"/>
      <c r="N8086" s="12"/>
      <c r="O8086" s="12"/>
      <c r="P8086" s="13">
        <f>IFERROR(__xludf.DUMMYFUNCTION("VALUE(SUBSTITUTE((INDEX(SPLIT(A8086,"",""),1)),""."","","",1))"),100.106)</f>
        <v>100.106</v>
      </c>
      <c r="Q8086" s="13">
        <f>IFERROR(__xludf.DUMMYFUNCTION("VALUE(SUBSTITUTE((INDEX(SPLIT(A8086,"",""),2)),""."","","",1))"),100.0)</f>
        <v>100</v>
      </c>
      <c r="R8086" s="14" t="b">
        <f t="shared" si="1"/>
        <v>1</v>
      </c>
      <c r="S8086" s="14" t="str">
        <f t="shared" si="2"/>
        <v>100.100,106</v>
      </c>
      <c r="T8086" s="12"/>
    </row>
    <row r="8087">
      <c r="A8087" s="112" t="s">
        <v>51170</v>
      </c>
      <c r="B8087" s="34"/>
      <c r="C8087" s="34" t="s">
        <v>32920</v>
      </c>
      <c r="D8087" s="34" t="s">
        <v>51013</v>
      </c>
      <c r="E8087" s="34"/>
      <c r="F8087" s="34"/>
      <c r="G8087" s="34"/>
      <c r="H8087" s="34"/>
      <c r="I8087" s="34"/>
      <c r="J8087" s="34"/>
      <c r="K8087" s="34"/>
      <c r="L8087" s="34"/>
      <c r="M8087" s="34"/>
      <c r="N8087" s="12"/>
      <c r="O8087" s="12"/>
      <c r="P8087" s="13">
        <f>IFERROR(__xludf.DUMMYFUNCTION("VALUE(SUBSTITUTE((INDEX(SPLIT(A8087,"",""),1)),""."","","",1))"),100.107)</f>
        <v>100.107</v>
      </c>
      <c r="Q8087" s="13">
        <f>IFERROR(__xludf.DUMMYFUNCTION("VALUE(SUBSTITUTE((INDEX(SPLIT(A8087,"",""),2)),""."","","",1))"),100.0)</f>
        <v>100</v>
      </c>
      <c r="R8087" s="14" t="b">
        <f t="shared" si="1"/>
        <v>1</v>
      </c>
      <c r="S8087" s="14" t="str">
        <f t="shared" si="2"/>
        <v>100.100,107</v>
      </c>
      <c r="T8087" s="12"/>
    </row>
    <row r="8088">
      <c r="A8088" s="112" t="s">
        <v>51171</v>
      </c>
      <c r="B8088" s="34"/>
      <c r="C8088" s="34" t="s">
        <v>32920</v>
      </c>
      <c r="D8088" s="34" t="s">
        <v>51013</v>
      </c>
      <c r="E8088" s="34"/>
      <c r="F8088" s="34"/>
      <c r="G8088" s="34"/>
      <c r="H8088" s="34"/>
      <c r="I8088" s="34"/>
      <c r="J8088" s="34"/>
      <c r="K8088" s="34"/>
      <c r="L8088" s="34"/>
      <c r="M8088" s="34"/>
      <c r="N8088" s="12"/>
      <c r="O8088" s="12"/>
      <c r="P8088" s="13">
        <f>IFERROR(__xludf.DUMMYFUNCTION("VALUE(SUBSTITUTE((INDEX(SPLIT(A8088,"",""),1)),""."","","",1))"),100.108)</f>
        <v>100.108</v>
      </c>
      <c r="Q8088" s="13">
        <f>IFERROR(__xludf.DUMMYFUNCTION("VALUE(SUBSTITUTE((INDEX(SPLIT(A8088,"",""),2)),""."","","",1))"),100.0)</f>
        <v>100</v>
      </c>
      <c r="R8088" s="14" t="b">
        <f t="shared" si="1"/>
        <v>1</v>
      </c>
      <c r="S8088" s="14" t="str">
        <f t="shared" si="2"/>
        <v>100.100,108</v>
      </c>
      <c r="T8088" s="12"/>
    </row>
    <row r="8089">
      <c r="A8089" s="112" t="s">
        <v>51172</v>
      </c>
      <c r="B8089" s="34"/>
      <c r="C8089" s="34" t="s">
        <v>51035</v>
      </c>
      <c r="D8089" s="34" t="s">
        <v>51013</v>
      </c>
      <c r="E8089" s="34"/>
      <c r="F8089" s="34"/>
      <c r="G8089" s="34"/>
      <c r="H8089" s="34"/>
      <c r="I8089" s="34"/>
      <c r="J8089" s="34"/>
      <c r="K8089" s="34"/>
      <c r="L8089" s="34"/>
      <c r="M8089" s="34"/>
      <c r="N8089" s="12"/>
      <c r="O8089" s="12"/>
      <c r="P8089" s="13">
        <f>IFERROR(__xludf.DUMMYFUNCTION("VALUE(SUBSTITUTE((INDEX(SPLIT(A8089,"",""),1)),""."","","",1))"),100.109)</f>
        <v>100.109</v>
      </c>
      <c r="Q8089" s="13">
        <f>IFERROR(__xludf.DUMMYFUNCTION("VALUE(SUBSTITUTE((INDEX(SPLIT(A8089,"",""),2)),""."","","",1))"),100.0)</f>
        <v>100</v>
      </c>
      <c r="R8089" s="14" t="b">
        <f t="shared" si="1"/>
        <v>1</v>
      </c>
      <c r="S8089" s="14" t="str">
        <f t="shared" si="2"/>
        <v>100.100,109</v>
      </c>
      <c r="T8089" s="12"/>
    </row>
    <row r="8090">
      <c r="A8090" s="112" t="s">
        <v>51001</v>
      </c>
      <c r="B8090" s="34"/>
      <c r="C8090" s="34" t="s">
        <v>51173</v>
      </c>
      <c r="D8090" s="34" t="s">
        <v>51013</v>
      </c>
      <c r="E8090" s="34"/>
      <c r="F8090" s="34"/>
      <c r="G8090" s="34"/>
      <c r="H8090" s="34"/>
      <c r="I8090" s="34"/>
      <c r="J8090" s="34"/>
      <c r="K8090" s="34"/>
      <c r="L8090" s="34"/>
      <c r="M8090" s="34"/>
      <c r="N8090" s="12"/>
      <c r="O8090" s="12"/>
      <c r="P8090" s="13">
        <f>IFERROR(__xludf.DUMMYFUNCTION("VALUE(SUBSTITUTE((INDEX(SPLIT(A8090,"",""),1)),""."","","",1))"),100.11)</f>
        <v>100.11</v>
      </c>
      <c r="Q8090" s="13">
        <f>IFERROR(__xludf.DUMMYFUNCTION("VALUE(SUBSTITUTE((INDEX(SPLIT(A8090,"",""),2)),""."","","",1))"),100.0)</f>
        <v>100</v>
      </c>
      <c r="R8090" s="14" t="b">
        <f t="shared" si="1"/>
        <v>1</v>
      </c>
      <c r="S8090" s="14" t="str">
        <f t="shared" si="2"/>
        <v>100.100,11</v>
      </c>
      <c r="T8090" s="12"/>
    </row>
    <row r="8091">
      <c r="A8091" s="112" t="s">
        <v>51174</v>
      </c>
      <c r="B8091" s="34"/>
      <c r="C8091" s="34" t="s">
        <v>51175</v>
      </c>
      <c r="D8091" s="34" t="s">
        <v>51013</v>
      </c>
      <c r="E8091" s="34"/>
      <c r="F8091" s="34"/>
      <c r="G8091" s="34"/>
      <c r="H8091" s="34"/>
      <c r="I8091" s="34"/>
      <c r="J8091" s="34"/>
      <c r="K8091" s="34"/>
      <c r="L8091" s="34"/>
      <c r="M8091" s="34"/>
      <c r="N8091" s="12"/>
      <c r="O8091" s="12"/>
      <c r="P8091" s="13">
        <f>IFERROR(__xludf.DUMMYFUNCTION("VALUE(SUBSTITUTE((INDEX(SPLIT(A8091,"",""),1)),""."","","",1))"),100.111)</f>
        <v>100.111</v>
      </c>
      <c r="Q8091" s="13">
        <f>IFERROR(__xludf.DUMMYFUNCTION("VALUE(SUBSTITUTE((INDEX(SPLIT(A8091,"",""),2)),""."","","",1))"),100.0)</f>
        <v>100</v>
      </c>
      <c r="R8091" s="14" t="b">
        <f t="shared" si="1"/>
        <v>1</v>
      </c>
      <c r="S8091" s="14" t="str">
        <f t="shared" si="2"/>
        <v>100.100,111</v>
      </c>
      <c r="T8091" s="12"/>
    </row>
    <row r="8092">
      <c r="A8092" s="112" t="s">
        <v>51176</v>
      </c>
      <c r="B8092" s="34"/>
      <c r="C8092" s="34" t="s">
        <v>51177</v>
      </c>
      <c r="D8092" s="34" t="s">
        <v>51013</v>
      </c>
      <c r="E8092" s="34"/>
      <c r="F8092" s="34"/>
      <c r="G8092" s="34"/>
      <c r="H8092" s="34"/>
      <c r="I8092" s="34"/>
      <c r="J8092" s="34"/>
      <c r="K8092" s="34"/>
      <c r="L8092" s="34"/>
      <c r="M8092" s="34"/>
      <c r="N8092" s="12"/>
      <c r="O8092" s="12"/>
      <c r="P8092" s="13">
        <f>IFERROR(__xludf.DUMMYFUNCTION("VALUE(SUBSTITUTE((INDEX(SPLIT(A8092,"",""),1)),""."","","",1))"),100.112)</f>
        <v>100.112</v>
      </c>
      <c r="Q8092" s="13">
        <f>IFERROR(__xludf.DUMMYFUNCTION("VALUE(SUBSTITUTE((INDEX(SPLIT(A8092,"",""),2)),""."","","",1))"),100.0)</f>
        <v>100</v>
      </c>
      <c r="R8092" s="14" t="b">
        <f t="shared" si="1"/>
        <v>1</v>
      </c>
      <c r="S8092" s="14" t="str">
        <f t="shared" si="2"/>
        <v>100.100,112</v>
      </c>
      <c r="T8092" s="12"/>
    </row>
    <row r="8093">
      <c r="A8093" s="112" t="s">
        <v>51178</v>
      </c>
      <c r="B8093" s="34"/>
      <c r="C8093" s="34" t="s">
        <v>51157</v>
      </c>
      <c r="D8093" s="34" t="s">
        <v>51013</v>
      </c>
      <c r="E8093" s="34"/>
      <c r="F8093" s="34"/>
      <c r="G8093" s="34"/>
      <c r="H8093" s="34"/>
      <c r="I8093" s="34"/>
      <c r="J8093" s="34"/>
      <c r="K8093" s="34"/>
      <c r="L8093" s="34"/>
      <c r="M8093" s="34"/>
      <c r="N8093" s="12"/>
      <c r="O8093" s="12"/>
      <c r="P8093" s="13">
        <f>IFERROR(__xludf.DUMMYFUNCTION("VALUE(SUBSTITUTE((INDEX(SPLIT(A8093,"",""),1)),""."","","",1))"),100.113)</f>
        <v>100.113</v>
      </c>
      <c r="Q8093" s="13">
        <f>IFERROR(__xludf.DUMMYFUNCTION("VALUE(SUBSTITUTE((INDEX(SPLIT(A8093,"",""),2)),""."","","",1))"),100.0)</f>
        <v>100</v>
      </c>
      <c r="R8093" s="14" t="b">
        <f t="shared" si="1"/>
        <v>1</v>
      </c>
      <c r="S8093" s="14" t="str">
        <f t="shared" si="2"/>
        <v>100.100,113</v>
      </c>
      <c r="T8093" s="12"/>
    </row>
    <row r="8094">
      <c r="A8094" s="112" t="s">
        <v>51179</v>
      </c>
      <c r="B8094" s="34"/>
      <c r="C8094" s="34" t="s">
        <v>51180</v>
      </c>
      <c r="D8094" s="34" t="s">
        <v>51013</v>
      </c>
      <c r="E8094" s="34"/>
      <c r="F8094" s="34"/>
      <c r="G8094" s="34"/>
      <c r="H8094" s="34"/>
      <c r="I8094" s="34"/>
      <c r="J8094" s="34"/>
      <c r="K8094" s="34"/>
      <c r="L8094" s="34"/>
      <c r="M8094" s="34"/>
      <c r="N8094" s="12"/>
      <c r="O8094" s="12"/>
      <c r="P8094" s="13">
        <f>IFERROR(__xludf.DUMMYFUNCTION("VALUE(SUBSTITUTE((INDEX(SPLIT(A8094,"",""),1)),""."","","",1))"),100.114)</f>
        <v>100.114</v>
      </c>
      <c r="Q8094" s="13">
        <f>IFERROR(__xludf.DUMMYFUNCTION("VALUE(SUBSTITUTE((INDEX(SPLIT(A8094,"",""),2)),""."","","",1))"),100.0)</f>
        <v>100</v>
      </c>
      <c r="R8094" s="14" t="b">
        <f t="shared" si="1"/>
        <v>1</v>
      </c>
      <c r="S8094" s="14" t="str">
        <f t="shared" si="2"/>
        <v>100.100,114</v>
      </c>
      <c r="T8094" s="12"/>
    </row>
    <row r="8095">
      <c r="A8095" s="112" t="s">
        <v>51181</v>
      </c>
      <c r="B8095" s="34"/>
      <c r="C8095" s="34" t="s">
        <v>51182</v>
      </c>
      <c r="D8095" s="34" t="s">
        <v>51013</v>
      </c>
      <c r="E8095" s="34"/>
      <c r="F8095" s="34"/>
      <c r="G8095" s="34"/>
      <c r="H8095" s="34"/>
      <c r="I8095" s="34"/>
      <c r="J8095" s="34"/>
      <c r="K8095" s="34"/>
      <c r="L8095" s="34"/>
      <c r="M8095" s="34"/>
      <c r="N8095" s="12"/>
      <c r="O8095" s="12"/>
      <c r="P8095" s="13">
        <f>IFERROR(__xludf.DUMMYFUNCTION("VALUE(SUBSTITUTE((INDEX(SPLIT(A8095,"",""),1)),""."","","",1))"),100.115)</f>
        <v>100.115</v>
      </c>
      <c r="Q8095" s="13">
        <f>IFERROR(__xludf.DUMMYFUNCTION("VALUE(SUBSTITUTE((INDEX(SPLIT(A8095,"",""),2)),""."","","",1))"),100.0)</f>
        <v>100</v>
      </c>
      <c r="R8095" s="14" t="b">
        <f t="shared" si="1"/>
        <v>1</v>
      </c>
      <c r="S8095" s="14" t="str">
        <f t="shared" si="2"/>
        <v>100.100,115</v>
      </c>
      <c r="T8095" s="12"/>
    </row>
    <row r="8096">
      <c r="A8096" s="112" t="s">
        <v>51183</v>
      </c>
      <c r="B8096" s="34"/>
      <c r="C8096" s="34" t="s">
        <v>51184</v>
      </c>
      <c r="D8096" s="34" t="s">
        <v>51013</v>
      </c>
      <c r="E8096" s="34"/>
      <c r="F8096" s="34"/>
      <c r="G8096" s="34"/>
      <c r="H8096" s="34"/>
      <c r="I8096" s="34"/>
      <c r="J8096" s="34"/>
      <c r="K8096" s="34"/>
      <c r="L8096" s="34"/>
      <c r="M8096" s="34"/>
      <c r="N8096" s="12"/>
      <c r="O8096" s="12"/>
      <c r="P8096" s="13">
        <f>IFERROR(__xludf.DUMMYFUNCTION("VALUE(SUBSTITUTE((INDEX(SPLIT(A8096,"",""),1)),""."","","",1))"),100.116)</f>
        <v>100.116</v>
      </c>
      <c r="Q8096" s="13">
        <f>IFERROR(__xludf.DUMMYFUNCTION("VALUE(SUBSTITUTE((INDEX(SPLIT(A8096,"",""),2)),""."","","",1))"),100.0)</f>
        <v>100</v>
      </c>
      <c r="R8096" s="14" t="b">
        <f t="shared" si="1"/>
        <v>1</v>
      </c>
      <c r="S8096" s="14" t="str">
        <f t="shared" si="2"/>
        <v>100.100,116</v>
      </c>
      <c r="T8096" s="12"/>
    </row>
    <row r="8097">
      <c r="A8097" s="112" t="s">
        <v>51185</v>
      </c>
      <c r="B8097" s="34"/>
      <c r="C8097" s="34" t="s">
        <v>51186</v>
      </c>
      <c r="D8097" s="34" t="s">
        <v>51013</v>
      </c>
      <c r="E8097" s="34"/>
      <c r="F8097" s="34"/>
      <c r="G8097" s="34"/>
      <c r="H8097" s="34"/>
      <c r="I8097" s="34"/>
      <c r="J8097" s="34"/>
      <c r="K8097" s="34"/>
      <c r="L8097" s="34"/>
      <c r="M8097" s="34"/>
      <c r="N8097" s="12"/>
      <c r="O8097" s="12"/>
      <c r="P8097" s="13">
        <f>IFERROR(__xludf.DUMMYFUNCTION("VALUE(SUBSTITUTE((INDEX(SPLIT(A8097,"",""),1)),""."","","",1))"),100.117)</f>
        <v>100.117</v>
      </c>
      <c r="Q8097" s="13">
        <f>IFERROR(__xludf.DUMMYFUNCTION("VALUE(SUBSTITUTE((INDEX(SPLIT(A8097,"",""),2)),""."","","",1))"),100.0)</f>
        <v>100</v>
      </c>
      <c r="R8097" s="14" t="b">
        <f t="shared" si="1"/>
        <v>1</v>
      </c>
      <c r="S8097" s="14" t="str">
        <f t="shared" si="2"/>
        <v>100.100,117</v>
      </c>
      <c r="T8097" s="12"/>
    </row>
    <row r="8098">
      <c r="A8098" s="112" t="s">
        <v>51187</v>
      </c>
      <c r="B8098" s="34"/>
      <c r="C8098" s="34" t="s">
        <v>51188</v>
      </c>
      <c r="D8098" s="34" t="s">
        <v>51013</v>
      </c>
      <c r="E8098" s="34"/>
      <c r="F8098" s="34"/>
      <c r="G8098" s="34"/>
      <c r="H8098" s="34"/>
      <c r="I8098" s="34"/>
      <c r="J8098" s="34"/>
      <c r="K8098" s="34"/>
      <c r="L8098" s="34"/>
      <c r="M8098" s="34"/>
      <c r="N8098" s="12"/>
      <c r="O8098" s="12"/>
      <c r="P8098" s="13">
        <f>IFERROR(__xludf.DUMMYFUNCTION("VALUE(SUBSTITUTE((INDEX(SPLIT(A8098,"",""),1)),""."","","",1))"),100.118)</f>
        <v>100.118</v>
      </c>
      <c r="Q8098" s="13">
        <f>IFERROR(__xludf.DUMMYFUNCTION("VALUE(SUBSTITUTE((INDEX(SPLIT(A8098,"",""),2)),""."","","",1))"),100.0)</f>
        <v>100</v>
      </c>
      <c r="R8098" s="14" t="b">
        <f t="shared" si="1"/>
        <v>1</v>
      </c>
      <c r="S8098" s="14" t="str">
        <f t="shared" si="2"/>
        <v>100.100,118</v>
      </c>
      <c r="T8098" s="12"/>
    </row>
    <row r="8099">
      <c r="A8099" s="112" t="s">
        <v>51189</v>
      </c>
      <c r="B8099" s="34"/>
      <c r="C8099" s="34" t="s">
        <v>51146</v>
      </c>
      <c r="D8099" s="34" t="s">
        <v>51013</v>
      </c>
      <c r="E8099" s="34"/>
      <c r="F8099" s="34"/>
      <c r="G8099" s="34"/>
      <c r="H8099" s="34"/>
      <c r="I8099" s="34"/>
      <c r="J8099" s="34"/>
      <c r="K8099" s="34"/>
      <c r="L8099" s="34"/>
      <c r="M8099" s="34"/>
      <c r="N8099" s="12"/>
      <c r="O8099" s="12"/>
      <c r="P8099" s="13">
        <f>IFERROR(__xludf.DUMMYFUNCTION("VALUE(SUBSTITUTE((INDEX(SPLIT(A8099,"",""),1)),""."","","",1))"),100.119)</f>
        <v>100.119</v>
      </c>
      <c r="Q8099" s="13">
        <f>IFERROR(__xludf.DUMMYFUNCTION("VALUE(SUBSTITUTE((INDEX(SPLIT(A8099,"",""),2)),""."","","",1))"),100.0)</f>
        <v>100</v>
      </c>
      <c r="R8099" s="14" t="b">
        <f t="shared" si="1"/>
        <v>1</v>
      </c>
      <c r="S8099" s="14" t="str">
        <f t="shared" si="2"/>
        <v>100.100,119</v>
      </c>
      <c r="T8099" s="12"/>
    </row>
    <row r="8100">
      <c r="A8100" s="112" t="s">
        <v>51003</v>
      </c>
      <c r="B8100" s="34"/>
      <c r="C8100" s="34" t="s">
        <v>51190</v>
      </c>
      <c r="D8100" s="34" t="s">
        <v>51013</v>
      </c>
      <c r="E8100" s="34"/>
      <c r="F8100" s="34"/>
      <c r="G8100" s="34"/>
      <c r="H8100" s="34"/>
      <c r="I8100" s="34"/>
      <c r="J8100" s="34"/>
      <c r="K8100" s="34"/>
      <c r="L8100" s="34"/>
      <c r="M8100" s="34"/>
      <c r="N8100" s="12"/>
      <c r="O8100" s="12"/>
      <c r="P8100" s="13">
        <f>IFERROR(__xludf.DUMMYFUNCTION("VALUE(SUBSTITUTE((INDEX(SPLIT(A8100,"",""),1)),""."","","",1))"),100.12)</f>
        <v>100.12</v>
      </c>
      <c r="Q8100" s="13">
        <f>IFERROR(__xludf.DUMMYFUNCTION("VALUE(SUBSTITUTE((INDEX(SPLIT(A8100,"",""),2)),""."","","",1))"),100.0)</f>
        <v>100</v>
      </c>
      <c r="R8100" s="14" t="b">
        <f t="shared" si="1"/>
        <v>1</v>
      </c>
      <c r="S8100" s="14" t="str">
        <f t="shared" si="2"/>
        <v>100.100,12</v>
      </c>
      <c r="T8100" s="12"/>
    </row>
    <row r="8101">
      <c r="A8101" s="112" t="s">
        <v>51191</v>
      </c>
      <c r="B8101" s="34"/>
      <c r="C8101" s="34" t="s">
        <v>51192</v>
      </c>
      <c r="D8101" s="34" t="s">
        <v>51013</v>
      </c>
      <c r="E8101" s="34"/>
      <c r="F8101" s="34"/>
      <c r="G8101" s="34"/>
      <c r="H8101" s="34"/>
      <c r="I8101" s="34"/>
      <c r="J8101" s="34"/>
      <c r="K8101" s="34"/>
      <c r="L8101" s="34"/>
      <c r="M8101" s="34"/>
      <c r="N8101" s="12"/>
      <c r="O8101" s="12"/>
      <c r="P8101" s="13">
        <f>IFERROR(__xludf.DUMMYFUNCTION("VALUE(SUBSTITUTE((INDEX(SPLIT(A8101,"",""),1)),""."","","",1))"),100.121)</f>
        <v>100.121</v>
      </c>
      <c r="Q8101" s="13">
        <f>IFERROR(__xludf.DUMMYFUNCTION("VALUE(SUBSTITUTE((INDEX(SPLIT(A8101,"",""),2)),""."","","",1))"),100.0)</f>
        <v>100</v>
      </c>
      <c r="R8101" s="14" t="b">
        <f t="shared" si="1"/>
        <v>1</v>
      </c>
      <c r="S8101" s="14" t="str">
        <f t="shared" si="2"/>
        <v>100.100,121</v>
      </c>
      <c r="T8101" s="12"/>
    </row>
    <row r="8102">
      <c r="A8102" s="112" t="s">
        <v>51193</v>
      </c>
      <c r="B8102" s="34"/>
      <c r="C8102" s="34" t="s">
        <v>51194</v>
      </c>
      <c r="D8102" s="34" t="s">
        <v>51013</v>
      </c>
      <c r="E8102" s="34"/>
      <c r="F8102" s="34"/>
      <c r="G8102" s="34"/>
      <c r="H8102" s="34"/>
      <c r="I8102" s="34"/>
      <c r="J8102" s="34"/>
      <c r="K8102" s="34"/>
      <c r="L8102" s="34"/>
      <c r="M8102" s="34"/>
      <c r="N8102" s="12"/>
      <c r="O8102" s="12"/>
      <c r="P8102" s="13">
        <f>IFERROR(__xludf.DUMMYFUNCTION("VALUE(SUBSTITUTE((INDEX(SPLIT(A8102,"",""),1)),""."","","",1))"),100.122)</f>
        <v>100.122</v>
      </c>
      <c r="Q8102" s="13">
        <f>IFERROR(__xludf.DUMMYFUNCTION("VALUE(SUBSTITUTE((INDEX(SPLIT(A8102,"",""),2)),""."","","",1))"),100.0)</f>
        <v>100</v>
      </c>
      <c r="R8102" s="14" t="b">
        <f t="shared" si="1"/>
        <v>1</v>
      </c>
      <c r="S8102" s="14" t="str">
        <f t="shared" si="2"/>
        <v>100.100,122</v>
      </c>
      <c r="T8102" s="12"/>
    </row>
    <row r="8103">
      <c r="A8103" s="112" t="s">
        <v>51195</v>
      </c>
      <c r="B8103" s="34"/>
      <c r="C8103" s="34" t="s">
        <v>51196</v>
      </c>
      <c r="D8103" s="34" t="s">
        <v>51013</v>
      </c>
      <c r="E8103" s="34"/>
      <c r="F8103" s="34"/>
      <c r="G8103" s="34"/>
      <c r="H8103" s="34"/>
      <c r="I8103" s="34"/>
      <c r="J8103" s="34"/>
      <c r="K8103" s="34"/>
      <c r="L8103" s="34"/>
      <c r="M8103" s="34"/>
      <c r="N8103" s="12"/>
      <c r="O8103" s="12"/>
      <c r="P8103" s="13">
        <f>IFERROR(__xludf.DUMMYFUNCTION("VALUE(SUBSTITUTE((INDEX(SPLIT(A8103,"",""),1)),""."","","",1))"),100.123)</f>
        <v>100.123</v>
      </c>
      <c r="Q8103" s="13">
        <f>IFERROR(__xludf.DUMMYFUNCTION("VALUE(SUBSTITUTE((INDEX(SPLIT(A8103,"",""),2)),""."","","",1))"),100.0)</f>
        <v>100</v>
      </c>
      <c r="R8103" s="14" t="b">
        <f t="shared" si="1"/>
        <v>1</v>
      </c>
      <c r="S8103" s="14" t="str">
        <f t="shared" si="2"/>
        <v>100.100,123</v>
      </c>
      <c r="T8103" s="12"/>
    </row>
    <row r="8104">
      <c r="A8104" s="112" t="s">
        <v>51197</v>
      </c>
      <c r="B8104" s="34"/>
      <c r="C8104" s="34" t="s">
        <v>51198</v>
      </c>
      <c r="D8104" s="34" t="s">
        <v>51013</v>
      </c>
      <c r="E8104" s="34"/>
      <c r="F8104" s="34"/>
      <c r="G8104" s="34"/>
      <c r="H8104" s="34"/>
      <c r="I8104" s="34"/>
      <c r="J8104" s="34"/>
      <c r="K8104" s="34"/>
      <c r="L8104" s="34"/>
      <c r="M8104" s="34"/>
      <c r="N8104" s="12"/>
      <c r="O8104" s="12"/>
      <c r="P8104" s="13">
        <f>IFERROR(__xludf.DUMMYFUNCTION("VALUE(SUBSTITUTE((INDEX(SPLIT(A8104,"",""),1)),""."","","",1))"),100.124)</f>
        <v>100.124</v>
      </c>
      <c r="Q8104" s="13">
        <f>IFERROR(__xludf.DUMMYFUNCTION("VALUE(SUBSTITUTE((INDEX(SPLIT(A8104,"",""),2)),""."","","",1))"),100.0)</f>
        <v>100</v>
      </c>
      <c r="R8104" s="14" t="b">
        <f t="shared" si="1"/>
        <v>1</v>
      </c>
      <c r="S8104" s="14" t="str">
        <f t="shared" si="2"/>
        <v>100.100,124</v>
      </c>
      <c r="T8104" s="12"/>
    </row>
    <row r="8105">
      <c r="A8105" s="112" t="s">
        <v>51199</v>
      </c>
      <c r="B8105" s="34"/>
      <c r="C8105" s="34" t="s">
        <v>51200</v>
      </c>
      <c r="D8105" s="34" t="s">
        <v>51013</v>
      </c>
      <c r="E8105" s="34"/>
      <c r="F8105" s="34"/>
      <c r="G8105" s="34"/>
      <c r="H8105" s="34"/>
      <c r="I8105" s="34"/>
      <c r="J8105" s="34"/>
      <c r="K8105" s="34"/>
      <c r="L8105" s="34"/>
      <c r="M8105" s="34"/>
      <c r="N8105" s="12"/>
      <c r="O8105" s="12"/>
      <c r="P8105" s="13">
        <f>IFERROR(__xludf.DUMMYFUNCTION("VALUE(SUBSTITUTE((INDEX(SPLIT(A8105,"",""),1)),""."","","",1))"),100.125)</f>
        <v>100.125</v>
      </c>
      <c r="Q8105" s="13">
        <f>IFERROR(__xludf.DUMMYFUNCTION("VALUE(SUBSTITUTE((INDEX(SPLIT(A8105,"",""),2)),""."","","",1))"),100.0)</f>
        <v>100</v>
      </c>
      <c r="R8105" s="14" t="b">
        <f t="shared" si="1"/>
        <v>1</v>
      </c>
      <c r="S8105" s="14" t="str">
        <f t="shared" si="2"/>
        <v>100.100,125</v>
      </c>
      <c r="T8105" s="12"/>
    </row>
    <row r="8106">
      <c r="A8106" s="112" t="s">
        <v>51201</v>
      </c>
      <c r="B8106" s="34"/>
      <c r="C8106" s="34" t="s">
        <v>51202</v>
      </c>
      <c r="D8106" s="34" t="s">
        <v>51013</v>
      </c>
      <c r="E8106" s="34"/>
      <c r="F8106" s="34"/>
      <c r="G8106" s="34"/>
      <c r="H8106" s="34"/>
      <c r="I8106" s="34"/>
      <c r="J8106" s="34"/>
      <c r="K8106" s="34"/>
      <c r="L8106" s="34"/>
      <c r="M8106" s="34"/>
      <c r="N8106" s="12"/>
      <c r="O8106" s="12"/>
      <c r="P8106" s="13">
        <f>IFERROR(__xludf.DUMMYFUNCTION("VALUE(SUBSTITUTE((INDEX(SPLIT(A8106,"",""),1)),""."","","",1))"),100.126)</f>
        <v>100.126</v>
      </c>
      <c r="Q8106" s="13">
        <f>IFERROR(__xludf.DUMMYFUNCTION("VALUE(SUBSTITUTE((INDEX(SPLIT(A8106,"",""),2)),""."","","",1))"),100.0)</f>
        <v>100</v>
      </c>
      <c r="R8106" s="14" t="b">
        <f t="shared" si="1"/>
        <v>1</v>
      </c>
      <c r="S8106" s="14" t="str">
        <f t="shared" si="2"/>
        <v>100.100,126</v>
      </c>
      <c r="T8106" s="12"/>
    </row>
    <row r="8107">
      <c r="A8107" s="112" t="s">
        <v>51203</v>
      </c>
      <c r="B8107" s="34"/>
      <c r="C8107" s="34" t="s">
        <v>51054</v>
      </c>
      <c r="D8107" s="34" t="s">
        <v>51013</v>
      </c>
      <c r="E8107" s="34"/>
      <c r="F8107" s="34"/>
      <c r="G8107" s="34"/>
      <c r="H8107" s="34"/>
      <c r="I8107" s="34"/>
      <c r="J8107" s="34"/>
      <c r="K8107" s="34"/>
      <c r="L8107" s="34"/>
      <c r="M8107" s="34"/>
      <c r="N8107" s="12"/>
      <c r="O8107" s="12"/>
      <c r="P8107" s="13">
        <f>IFERROR(__xludf.DUMMYFUNCTION("VALUE(SUBSTITUTE((INDEX(SPLIT(A8107,"",""),1)),""."","","",1))"),100.127)</f>
        <v>100.127</v>
      </c>
      <c r="Q8107" s="13">
        <f>IFERROR(__xludf.DUMMYFUNCTION("VALUE(SUBSTITUTE((INDEX(SPLIT(A8107,"",""),2)),""."","","",1))"),100.0)</f>
        <v>100</v>
      </c>
      <c r="R8107" s="14" t="b">
        <f t="shared" si="1"/>
        <v>1</v>
      </c>
      <c r="S8107" s="14" t="str">
        <f t="shared" si="2"/>
        <v>100.100,127</v>
      </c>
      <c r="T8107" s="12"/>
    </row>
    <row r="8108">
      <c r="A8108" s="112" t="s">
        <v>51204</v>
      </c>
      <c r="B8108" s="34"/>
      <c r="C8108" s="34" t="s">
        <v>51205</v>
      </c>
      <c r="D8108" s="34" t="s">
        <v>51013</v>
      </c>
      <c r="E8108" s="34"/>
      <c r="F8108" s="34"/>
      <c r="G8108" s="34"/>
      <c r="H8108" s="34"/>
      <c r="I8108" s="34"/>
      <c r="J8108" s="34"/>
      <c r="K8108" s="34"/>
      <c r="L8108" s="34"/>
      <c r="M8108" s="34"/>
      <c r="N8108" s="12"/>
      <c r="O8108" s="12"/>
      <c r="P8108" s="13">
        <f>IFERROR(__xludf.DUMMYFUNCTION("VALUE(SUBSTITUTE((INDEX(SPLIT(A8108,"",""),1)),""."","","",1))"),100.128)</f>
        <v>100.128</v>
      </c>
      <c r="Q8108" s="13">
        <f>IFERROR(__xludf.DUMMYFUNCTION("VALUE(SUBSTITUTE((INDEX(SPLIT(A8108,"",""),2)),""."","","",1))"),100.0)</f>
        <v>100</v>
      </c>
      <c r="R8108" s="14" t="b">
        <f t="shared" si="1"/>
        <v>1</v>
      </c>
      <c r="S8108" s="14" t="str">
        <f t="shared" si="2"/>
        <v>100.100,128</v>
      </c>
      <c r="T8108" s="12"/>
    </row>
    <row r="8109">
      <c r="A8109" s="112" t="s">
        <v>51206</v>
      </c>
      <c r="B8109" s="34"/>
      <c r="C8109" s="34" t="s">
        <v>51017</v>
      </c>
      <c r="D8109" s="34" t="s">
        <v>51013</v>
      </c>
      <c r="E8109" s="34"/>
      <c r="F8109" s="34"/>
      <c r="G8109" s="34"/>
      <c r="H8109" s="34"/>
      <c r="I8109" s="34"/>
      <c r="J8109" s="34"/>
      <c r="K8109" s="34"/>
      <c r="L8109" s="34"/>
      <c r="M8109" s="34"/>
      <c r="N8109" s="12"/>
      <c r="O8109" s="12"/>
      <c r="P8109" s="13">
        <f>IFERROR(__xludf.DUMMYFUNCTION("VALUE(SUBSTITUTE((INDEX(SPLIT(A8109,"",""),1)),""."","","",1))"),100.129)</f>
        <v>100.129</v>
      </c>
      <c r="Q8109" s="13">
        <f>IFERROR(__xludf.DUMMYFUNCTION("VALUE(SUBSTITUTE((INDEX(SPLIT(A8109,"",""),2)),""."","","",1))"),100.0)</f>
        <v>100</v>
      </c>
      <c r="R8109" s="14" t="b">
        <f t="shared" si="1"/>
        <v>1</v>
      </c>
      <c r="S8109" s="14" t="str">
        <f t="shared" si="2"/>
        <v>100.100,129</v>
      </c>
      <c r="T8109" s="12"/>
    </row>
    <row r="8110">
      <c r="A8110" s="112" t="s">
        <v>51005</v>
      </c>
      <c r="B8110" s="34"/>
      <c r="C8110" s="34" t="s">
        <v>51056</v>
      </c>
      <c r="D8110" s="34" t="s">
        <v>51013</v>
      </c>
      <c r="E8110" s="34"/>
      <c r="F8110" s="34"/>
      <c r="G8110" s="34"/>
      <c r="H8110" s="34"/>
      <c r="I8110" s="34"/>
      <c r="J8110" s="34"/>
      <c r="K8110" s="34"/>
      <c r="L8110" s="34"/>
      <c r="M8110" s="34"/>
      <c r="N8110" s="12"/>
      <c r="O8110" s="12"/>
      <c r="P8110" s="13">
        <f>IFERROR(__xludf.DUMMYFUNCTION("VALUE(SUBSTITUTE((INDEX(SPLIT(A8110,"",""),1)),""."","","",1))"),100.13)</f>
        <v>100.13</v>
      </c>
      <c r="Q8110" s="13">
        <f>IFERROR(__xludf.DUMMYFUNCTION("VALUE(SUBSTITUTE((INDEX(SPLIT(A8110,"",""),2)),""."","","",1))"),100.0)</f>
        <v>100</v>
      </c>
      <c r="R8110" s="14" t="b">
        <f t="shared" si="1"/>
        <v>1</v>
      </c>
      <c r="S8110" s="14" t="str">
        <f t="shared" si="2"/>
        <v>100.100,13</v>
      </c>
      <c r="T8110" s="12"/>
    </row>
    <row r="8111">
      <c r="A8111" s="112" t="s">
        <v>51207</v>
      </c>
      <c r="B8111" s="34"/>
      <c r="C8111" s="34" t="s">
        <v>51208</v>
      </c>
      <c r="D8111" s="34" t="s">
        <v>51013</v>
      </c>
      <c r="E8111" s="34"/>
      <c r="F8111" s="34"/>
      <c r="G8111" s="34"/>
      <c r="H8111" s="34"/>
      <c r="I8111" s="34"/>
      <c r="J8111" s="34"/>
      <c r="K8111" s="34"/>
      <c r="L8111" s="34"/>
      <c r="M8111" s="34"/>
      <c r="N8111" s="12"/>
      <c r="O8111" s="12"/>
      <c r="P8111" s="13">
        <f>IFERROR(__xludf.DUMMYFUNCTION("VALUE(SUBSTITUTE((INDEX(SPLIT(A8111,"",""),1)),""."","","",1))"),100.131)</f>
        <v>100.131</v>
      </c>
      <c r="Q8111" s="13">
        <f>IFERROR(__xludf.DUMMYFUNCTION("VALUE(SUBSTITUTE((INDEX(SPLIT(A8111,"",""),2)),""."","","",1))"),100.0)</f>
        <v>100</v>
      </c>
      <c r="R8111" s="14" t="b">
        <f t="shared" si="1"/>
        <v>1</v>
      </c>
      <c r="S8111" s="14" t="str">
        <f t="shared" si="2"/>
        <v>100.100,131</v>
      </c>
      <c r="T8111" s="12"/>
    </row>
    <row r="8112">
      <c r="A8112" s="112" t="s">
        <v>51209</v>
      </c>
      <c r="B8112" s="34"/>
      <c r="C8112" s="34" t="s">
        <v>51060</v>
      </c>
      <c r="D8112" s="34" t="s">
        <v>51013</v>
      </c>
      <c r="E8112" s="34"/>
      <c r="F8112" s="34"/>
      <c r="G8112" s="34"/>
      <c r="H8112" s="34"/>
      <c r="I8112" s="34"/>
      <c r="J8112" s="34"/>
      <c r="K8112" s="34"/>
      <c r="L8112" s="34"/>
      <c r="M8112" s="34"/>
      <c r="N8112" s="12"/>
      <c r="O8112" s="12"/>
      <c r="P8112" s="13">
        <f>IFERROR(__xludf.DUMMYFUNCTION("VALUE(SUBSTITUTE((INDEX(SPLIT(A8112,"",""),1)),""."","","",1))"),100.132)</f>
        <v>100.132</v>
      </c>
      <c r="Q8112" s="13">
        <f>IFERROR(__xludf.DUMMYFUNCTION("VALUE(SUBSTITUTE((INDEX(SPLIT(A8112,"",""),2)),""."","","",1))"),100.0)</f>
        <v>100</v>
      </c>
      <c r="R8112" s="14" t="b">
        <f t="shared" si="1"/>
        <v>1</v>
      </c>
      <c r="S8112" s="14" t="str">
        <f t="shared" si="2"/>
        <v>100.100,132</v>
      </c>
      <c r="T8112" s="12"/>
    </row>
    <row r="8113">
      <c r="A8113" s="112" t="s">
        <v>51210</v>
      </c>
      <c r="B8113" s="34"/>
      <c r="C8113" s="34" t="s">
        <v>51211</v>
      </c>
      <c r="D8113" s="34" t="s">
        <v>51013</v>
      </c>
      <c r="E8113" s="34"/>
      <c r="F8113" s="34"/>
      <c r="G8113" s="34"/>
      <c r="H8113" s="34"/>
      <c r="I8113" s="34"/>
      <c r="J8113" s="34"/>
      <c r="K8113" s="34"/>
      <c r="L8113" s="34"/>
      <c r="M8113" s="34"/>
      <c r="N8113" s="12"/>
      <c r="O8113" s="12"/>
      <c r="P8113" s="13">
        <f>IFERROR(__xludf.DUMMYFUNCTION("VALUE(SUBSTITUTE((INDEX(SPLIT(A8113,"",""),1)),""."","","",1))"),100.133)</f>
        <v>100.133</v>
      </c>
      <c r="Q8113" s="13">
        <f>IFERROR(__xludf.DUMMYFUNCTION("VALUE(SUBSTITUTE((INDEX(SPLIT(A8113,"",""),2)),""."","","",1))"),100.0)</f>
        <v>100</v>
      </c>
      <c r="R8113" s="14" t="b">
        <f t="shared" si="1"/>
        <v>1</v>
      </c>
      <c r="S8113" s="14" t="str">
        <f t="shared" si="2"/>
        <v>100.100,133</v>
      </c>
      <c r="T8113" s="12"/>
    </row>
    <row r="8114">
      <c r="A8114" s="112" t="s">
        <v>51212</v>
      </c>
      <c r="B8114" s="34"/>
      <c r="C8114" s="34" t="s">
        <v>51102</v>
      </c>
      <c r="D8114" s="34" t="s">
        <v>51013</v>
      </c>
      <c r="E8114" s="34"/>
      <c r="F8114" s="34"/>
      <c r="G8114" s="34"/>
      <c r="H8114" s="34"/>
      <c r="I8114" s="34"/>
      <c r="J8114" s="34"/>
      <c r="K8114" s="34"/>
      <c r="L8114" s="34"/>
      <c r="M8114" s="34"/>
      <c r="N8114" s="12"/>
      <c r="O8114" s="12"/>
      <c r="P8114" s="13">
        <f>IFERROR(__xludf.DUMMYFUNCTION("VALUE(SUBSTITUTE((INDEX(SPLIT(A8114,"",""),1)),""."","","",1))"),100.134)</f>
        <v>100.134</v>
      </c>
      <c r="Q8114" s="13">
        <f>IFERROR(__xludf.DUMMYFUNCTION("VALUE(SUBSTITUTE((INDEX(SPLIT(A8114,"",""),2)),""."","","",1))"),100.0)</f>
        <v>100</v>
      </c>
      <c r="R8114" s="14" t="b">
        <f t="shared" si="1"/>
        <v>1</v>
      </c>
      <c r="S8114" s="14" t="str">
        <f t="shared" si="2"/>
        <v>100.100,134</v>
      </c>
      <c r="T8114" s="12"/>
    </row>
    <row r="8115">
      <c r="A8115" s="112" t="s">
        <v>51213</v>
      </c>
      <c r="B8115" s="34"/>
      <c r="C8115" s="34" t="s">
        <v>51214</v>
      </c>
      <c r="D8115" s="34" t="s">
        <v>51013</v>
      </c>
      <c r="E8115" s="34"/>
      <c r="F8115" s="34"/>
      <c r="G8115" s="34"/>
      <c r="H8115" s="34"/>
      <c r="I8115" s="34"/>
      <c r="J8115" s="34"/>
      <c r="K8115" s="34"/>
      <c r="L8115" s="34"/>
      <c r="M8115" s="34"/>
      <c r="N8115" s="12"/>
      <c r="O8115" s="12"/>
      <c r="P8115" s="13">
        <f>IFERROR(__xludf.DUMMYFUNCTION("VALUE(SUBSTITUTE((INDEX(SPLIT(A8115,"",""),1)),""."","","",1))"),100.135)</f>
        <v>100.135</v>
      </c>
      <c r="Q8115" s="13">
        <f>IFERROR(__xludf.DUMMYFUNCTION("VALUE(SUBSTITUTE((INDEX(SPLIT(A8115,"",""),2)),""."","","",1))"),100.0)</f>
        <v>100</v>
      </c>
      <c r="R8115" s="14" t="b">
        <f t="shared" si="1"/>
        <v>1</v>
      </c>
      <c r="S8115" s="14" t="str">
        <f t="shared" si="2"/>
        <v>100.100,135</v>
      </c>
      <c r="T8115" s="12"/>
    </row>
    <row r="8116">
      <c r="A8116" s="112" t="s">
        <v>51215</v>
      </c>
      <c r="B8116" s="34"/>
      <c r="C8116" s="34" t="s">
        <v>51216</v>
      </c>
      <c r="D8116" s="34" t="s">
        <v>51013</v>
      </c>
      <c r="E8116" s="34"/>
      <c r="F8116" s="34"/>
      <c r="G8116" s="34"/>
      <c r="H8116" s="34"/>
      <c r="I8116" s="34"/>
      <c r="J8116" s="34"/>
      <c r="K8116" s="34"/>
      <c r="L8116" s="34"/>
      <c r="M8116" s="34"/>
      <c r="N8116" s="12"/>
      <c r="O8116" s="12"/>
      <c r="P8116" s="13">
        <f>IFERROR(__xludf.DUMMYFUNCTION("VALUE(SUBSTITUTE((INDEX(SPLIT(A8116,"",""),1)),""."","","",1))"),100.136)</f>
        <v>100.136</v>
      </c>
      <c r="Q8116" s="13">
        <f>IFERROR(__xludf.DUMMYFUNCTION("VALUE(SUBSTITUTE((INDEX(SPLIT(A8116,"",""),2)),""."","","",1))"),100.0)</f>
        <v>100</v>
      </c>
      <c r="R8116" s="14" t="b">
        <f t="shared" si="1"/>
        <v>1</v>
      </c>
      <c r="S8116" s="14" t="str">
        <f t="shared" si="2"/>
        <v>100.100,136</v>
      </c>
      <c r="T8116" s="12"/>
    </row>
    <row r="8117">
      <c r="A8117" s="112" t="s">
        <v>51217</v>
      </c>
      <c r="B8117" s="34"/>
      <c r="C8117" s="34" t="s">
        <v>51046</v>
      </c>
      <c r="D8117" s="34" t="s">
        <v>51013</v>
      </c>
      <c r="E8117" s="34"/>
      <c r="F8117" s="34"/>
      <c r="G8117" s="34"/>
      <c r="H8117" s="34"/>
      <c r="I8117" s="34"/>
      <c r="J8117" s="34"/>
      <c r="K8117" s="34"/>
      <c r="L8117" s="34"/>
      <c r="M8117" s="34"/>
      <c r="N8117" s="12"/>
      <c r="O8117" s="12"/>
      <c r="P8117" s="13">
        <f>IFERROR(__xludf.DUMMYFUNCTION("VALUE(SUBSTITUTE((INDEX(SPLIT(A8117,"",""),1)),""."","","",1))"),100.137)</f>
        <v>100.137</v>
      </c>
      <c r="Q8117" s="13">
        <f>IFERROR(__xludf.DUMMYFUNCTION("VALUE(SUBSTITUTE((INDEX(SPLIT(A8117,"",""),2)),""."","","",1))"),100.0)</f>
        <v>100</v>
      </c>
      <c r="R8117" s="14" t="b">
        <f t="shared" si="1"/>
        <v>1</v>
      </c>
      <c r="S8117" s="14" t="str">
        <f t="shared" si="2"/>
        <v>100.100,137</v>
      </c>
      <c r="T8117" s="12"/>
    </row>
    <row r="8118">
      <c r="A8118" s="112" t="s">
        <v>51218</v>
      </c>
      <c r="B8118" s="34"/>
      <c r="C8118" s="34" t="s">
        <v>51037</v>
      </c>
      <c r="D8118" s="34" t="s">
        <v>51013</v>
      </c>
      <c r="E8118" s="34"/>
      <c r="F8118" s="34"/>
      <c r="G8118" s="34"/>
      <c r="H8118" s="34"/>
      <c r="I8118" s="34"/>
      <c r="J8118" s="34"/>
      <c r="K8118" s="34"/>
      <c r="L8118" s="34"/>
      <c r="M8118" s="34"/>
      <c r="N8118" s="12"/>
      <c r="O8118" s="12"/>
      <c r="P8118" s="13">
        <f>IFERROR(__xludf.DUMMYFUNCTION("VALUE(SUBSTITUTE((INDEX(SPLIT(A8118,"",""),1)),""."","","",1))"),100.138)</f>
        <v>100.138</v>
      </c>
      <c r="Q8118" s="13">
        <f>IFERROR(__xludf.DUMMYFUNCTION("VALUE(SUBSTITUTE((INDEX(SPLIT(A8118,"",""),2)),""."","","",1))"),100.0)</f>
        <v>100</v>
      </c>
      <c r="R8118" s="14" t="b">
        <f t="shared" si="1"/>
        <v>1</v>
      </c>
      <c r="S8118" s="14" t="str">
        <f t="shared" si="2"/>
        <v>100.100,138</v>
      </c>
      <c r="T8118" s="12"/>
    </row>
    <row r="8119">
      <c r="A8119" s="112" t="s">
        <v>51219</v>
      </c>
      <c r="B8119" s="34"/>
      <c r="C8119" s="34" t="s">
        <v>51220</v>
      </c>
      <c r="D8119" s="34" t="s">
        <v>51013</v>
      </c>
      <c r="E8119" s="34"/>
      <c r="F8119" s="34"/>
      <c r="G8119" s="34"/>
      <c r="H8119" s="34"/>
      <c r="I8119" s="34"/>
      <c r="J8119" s="34"/>
      <c r="K8119" s="34"/>
      <c r="L8119" s="34"/>
      <c r="M8119" s="34"/>
      <c r="N8119" s="12"/>
      <c r="O8119" s="12"/>
      <c r="P8119" s="13">
        <f>IFERROR(__xludf.DUMMYFUNCTION("VALUE(SUBSTITUTE((INDEX(SPLIT(A8119,"",""),1)),""."","","",1))"),100.139)</f>
        <v>100.139</v>
      </c>
      <c r="Q8119" s="13">
        <f>IFERROR(__xludf.DUMMYFUNCTION("VALUE(SUBSTITUTE((INDEX(SPLIT(A8119,"",""),2)),""."","","",1))"),100.0)</f>
        <v>100</v>
      </c>
      <c r="R8119" s="14" t="b">
        <f t="shared" si="1"/>
        <v>1</v>
      </c>
      <c r="S8119" s="14" t="str">
        <f t="shared" si="2"/>
        <v>100.100,139</v>
      </c>
      <c r="T8119" s="12"/>
    </row>
    <row r="8120">
      <c r="A8120" s="112" t="s">
        <v>51007</v>
      </c>
      <c r="B8120" s="34"/>
      <c r="C8120" s="34" t="s">
        <v>51035</v>
      </c>
      <c r="D8120" s="34" t="s">
        <v>51013</v>
      </c>
      <c r="E8120" s="34"/>
      <c r="F8120" s="34"/>
      <c r="G8120" s="34"/>
      <c r="H8120" s="34"/>
      <c r="I8120" s="34"/>
      <c r="J8120" s="34"/>
      <c r="K8120" s="34"/>
      <c r="L8120" s="34"/>
      <c r="M8120" s="34"/>
      <c r="N8120" s="12"/>
      <c r="O8120" s="12"/>
      <c r="P8120" s="13">
        <f>IFERROR(__xludf.DUMMYFUNCTION("VALUE(SUBSTITUTE((INDEX(SPLIT(A8120,"",""),1)),""."","","",1))"),100.14)</f>
        <v>100.14</v>
      </c>
      <c r="Q8120" s="13">
        <f>IFERROR(__xludf.DUMMYFUNCTION("VALUE(SUBSTITUTE((INDEX(SPLIT(A8120,"",""),2)),""."","","",1))"),100.0)</f>
        <v>100</v>
      </c>
      <c r="R8120" s="14" t="b">
        <f t="shared" si="1"/>
        <v>1</v>
      </c>
      <c r="S8120" s="14" t="str">
        <f t="shared" si="2"/>
        <v>100.100,14</v>
      </c>
      <c r="T8120" s="12"/>
    </row>
    <row r="8121">
      <c r="A8121" s="112" t="s">
        <v>51221</v>
      </c>
      <c r="B8121" s="34"/>
      <c r="C8121" s="34" t="s">
        <v>51222</v>
      </c>
      <c r="D8121" s="34" t="s">
        <v>51013</v>
      </c>
      <c r="E8121" s="34"/>
      <c r="F8121" s="34"/>
      <c r="G8121" s="34"/>
      <c r="H8121" s="34"/>
      <c r="I8121" s="34"/>
      <c r="J8121" s="34"/>
      <c r="K8121" s="34"/>
      <c r="L8121" s="34"/>
      <c r="M8121" s="34"/>
      <c r="N8121" s="12"/>
      <c r="O8121" s="12"/>
      <c r="P8121" s="13">
        <f>IFERROR(__xludf.DUMMYFUNCTION("VALUE(SUBSTITUTE((INDEX(SPLIT(A8121,"",""),1)),""."","","",1))"),100.141)</f>
        <v>100.141</v>
      </c>
      <c r="Q8121" s="13">
        <f>IFERROR(__xludf.DUMMYFUNCTION("VALUE(SUBSTITUTE((INDEX(SPLIT(A8121,"",""),2)),""."","","",1))"),100.0)</f>
        <v>100</v>
      </c>
      <c r="R8121" s="14" t="b">
        <f t="shared" si="1"/>
        <v>1</v>
      </c>
      <c r="S8121" s="14" t="str">
        <f t="shared" si="2"/>
        <v>100.100,141</v>
      </c>
      <c r="T8121" s="12"/>
    </row>
    <row r="8122">
      <c r="A8122" s="112" t="s">
        <v>51223</v>
      </c>
      <c r="B8122" s="34"/>
      <c r="C8122" s="34" t="s">
        <v>51224</v>
      </c>
      <c r="D8122" s="34" t="s">
        <v>51013</v>
      </c>
      <c r="E8122" s="34"/>
      <c r="F8122" s="34"/>
      <c r="G8122" s="34"/>
      <c r="H8122" s="34"/>
      <c r="I8122" s="34"/>
      <c r="J8122" s="34"/>
      <c r="K8122" s="34"/>
      <c r="L8122" s="34"/>
      <c r="M8122" s="34"/>
      <c r="N8122" s="12"/>
      <c r="O8122" s="12"/>
      <c r="P8122" s="13">
        <f>IFERROR(__xludf.DUMMYFUNCTION("VALUE(SUBSTITUTE((INDEX(SPLIT(A8122,"",""),1)),""."","","",1))"),100.142)</f>
        <v>100.142</v>
      </c>
      <c r="Q8122" s="13">
        <f>IFERROR(__xludf.DUMMYFUNCTION("VALUE(SUBSTITUTE((INDEX(SPLIT(A8122,"",""),2)),""."","","",1))"),100.0)</f>
        <v>100</v>
      </c>
      <c r="R8122" s="14" t="b">
        <f t="shared" si="1"/>
        <v>1</v>
      </c>
      <c r="S8122" s="14" t="str">
        <f t="shared" si="2"/>
        <v>100.100,142</v>
      </c>
      <c r="T8122" s="12"/>
    </row>
    <row r="8123">
      <c r="A8123" s="112" t="s">
        <v>51225</v>
      </c>
      <c r="B8123" s="34"/>
      <c r="C8123" s="34" t="s">
        <v>51226</v>
      </c>
      <c r="D8123" s="34" t="s">
        <v>51013</v>
      </c>
      <c r="E8123" s="34"/>
      <c r="F8123" s="34"/>
      <c r="G8123" s="34"/>
      <c r="H8123" s="34"/>
      <c r="I8123" s="34"/>
      <c r="J8123" s="34"/>
      <c r="K8123" s="34"/>
      <c r="L8123" s="34"/>
      <c r="M8123" s="34"/>
      <c r="N8123" s="12"/>
      <c r="O8123" s="12"/>
      <c r="P8123" s="13">
        <f>IFERROR(__xludf.DUMMYFUNCTION("VALUE(SUBSTITUTE((INDEX(SPLIT(A8123,"",""),1)),""."","","",1))"),100.143)</f>
        <v>100.143</v>
      </c>
      <c r="Q8123" s="13">
        <f>IFERROR(__xludf.DUMMYFUNCTION("VALUE(SUBSTITUTE((INDEX(SPLIT(A8123,"",""),2)),""."","","",1))"),100.0)</f>
        <v>100</v>
      </c>
      <c r="R8123" s="14" t="b">
        <f t="shared" si="1"/>
        <v>1</v>
      </c>
      <c r="S8123" s="14" t="str">
        <f t="shared" si="2"/>
        <v>100.100,143</v>
      </c>
      <c r="T8123" s="12"/>
    </row>
    <row r="8124">
      <c r="A8124" s="112" t="s">
        <v>51227</v>
      </c>
      <c r="B8124" s="34"/>
      <c r="C8124" s="34" t="s">
        <v>51044</v>
      </c>
      <c r="D8124" s="34" t="s">
        <v>51013</v>
      </c>
      <c r="E8124" s="34"/>
      <c r="F8124" s="34"/>
      <c r="G8124" s="34"/>
      <c r="H8124" s="34"/>
      <c r="I8124" s="34"/>
      <c r="J8124" s="34"/>
      <c r="K8124" s="34"/>
      <c r="L8124" s="34"/>
      <c r="M8124" s="34"/>
      <c r="N8124" s="12"/>
      <c r="O8124" s="12"/>
      <c r="P8124" s="13">
        <f>IFERROR(__xludf.DUMMYFUNCTION("VALUE(SUBSTITUTE((INDEX(SPLIT(A8124,"",""),1)),""."","","",1))"),100.144)</f>
        <v>100.144</v>
      </c>
      <c r="Q8124" s="13">
        <f>IFERROR(__xludf.DUMMYFUNCTION("VALUE(SUBSTITUTE((INDEX(SPLIT(A8124,"",""),2)),""."","","",1))"),100.0)</f>
        <v>100</v>
      </c>
      <c r="R8124" s="14" t="b">
        <f t="shared" si="1"/>
        <v>1</v>
      </c>
      <c r="S8124" s="14" t="str">
        <f t="shared" si="2"/>
        <v>100.100,144</v>
      </c>
      <c r="T8124" s="12"/>
    </row>
    <row r="8125">
      <c r="A8125" s="112" t="s">
        <v>51228</v>
      </c>
      <c r="B8125" s="34"/>
      <c r="C8125" s="34" t="s">
        <v>51229</v>
      </c>
      <c r="D8125" s="34" t="s">
        <v>51013</v>
      </c>
      <c r="E8125" s="34"/>
      <c r="F8125" s="34"/>
      <c r="G8125" s="34"/>
      <c r="H8125" s="34"/>
      <c r="I8125" s="34"/>
      <c r="J8125" s="34"/>
      <c r="K8125" s="34"/>
      <c r="L8125" s="34"/>
      <c r="M8125" s="34"/>
      <c r="N8125" s="12"/>
      <c r="O8125" s="12"/>
      <c r="P8125" s="13">
        <f>IFERROR(__xludf.DUMMYFUNCTION("VALUE(SUBSTITUTE((INDEX(SPLIT(A8125,"",""),1)),""."","","",1))"),100.145)</f>
        <v>100.145</v>
      </c>
      <c r="Q8125" s="13">
        <f>IFERROR(__xludf.DUMMYFUNCTION("VALUE(SUBSTITUTE((INDEX(SPLIT(A8125,"",""),2)),""."","","",1))"),100.0)</f>
        <v>100</v>
      </c>
      <c r="R8125" s="14" t="b">
        <f t="shared" si="1"/>
        <v>1</v>
      </c>
      <c r="S8125" s="14" t="str">
        <f t="shared" si="2"/>
        <v>100.100,145</v>
      </c>
      <c r="T8125" s="12"/>
    </row>
    <row r="8126">
      <c r="A8126" s="112" t="s">
        <v>51230</v>
      </c>
      <c r="B8126" s="34"/>
      <c r="C8126" s="34" t="s">
        <v>51231</v>
      </c>
      <c r="D8126" s="34" t="s">
        <v>51013</v>
      </c>
      <c r="E8126" s="34"/>
      <c r="F8126" s="34"/>
      <c r="G8126" s="34"/>
      <c r="H8126" s="34"/>
      <c r="I8126" s="34"/>
      <c r="J8126" s="34"/>
      <c r="K8126" s="34"/>
      <c r="L8126" s="34"/>
      <c r="M8126" s="34"/>
      <c r="N8126" s="12"/>
      <c r="O8126" s="12"/>
      <c r="P8126" s="13">
        <f>IFERROR(__xludf.DUMMYFUNCTION("VALUE(SUBSTITUTE((INDEX(SPLIT(A8126,"",""),1)),""."","","",1))"),100.146)</f>
        <v>100.146</v>
      </c>
      <c r="Q8126" s="13">
        <f>IFERROR(__xludf.DUMMYFUNCTION("VALUE(SUBSTITUTE((INDEX(SPLIT(A8126,"",""),2)),""."","","",1))"),100.0)</f>
        <v>100</v>
      </c>
      <c r="R8126" s="14" t="b">
        <f t="shared" si="1"/>
        <v>1</v>
      </c>
      <c r="S8126" s="14" t="str">
        <f t="shared" si="2"/>
        <v>100.100,146</v>
      </c>
      <c r="T8126" s="12"/>
    </row>
    <row r="8127">
      <c r="A8127" s="112" t="s">
        <v>51232</v>
      </c>
      <c r="B8127" s="34"/>
      <c r="C8127" s="34" t="s">
        <v>51233</v>
      </c>
      <c r="D8127" s="34" t="s">
        <v>51013</v>
      </c>
      <c r="E8127" s="34"/>
      <c r="F8127" s="34"/>
      <c r="G8127" s="34"/>
      <c r="H8127" s="34"/>
      <c r="I8127" s="34"/>
      <c r="J8127" s="34"/>
      <c r="K8127" s="34"/>
      <c r="L8127" s="34"/>
      <c r="M8127" s="34"/>
      <c r="N8127" s="12"/>
      <c r="O8127" s="12"/>
      <c r="P8127" s="13">
        <f>IFERROR(__xludf.DUMMYFUNCTION("VALUE(SUBSTITUTE((INDEX(SPLIT(A8127,"",""),1)),""."","","",1))"),100.147)</f>
        <v>100.147</v>
      </c>
      <c r="Q8127" s="13">
        <f>IFERROR(__xludf.DUMMYFUNCTION("VALUE(SUBSTITUTE((INDEX(SPLIT(A8127,"",""),2)),""."","","",1))"),100.0)</f>
        <v>100</v>
      </c>
      <c r="R8127" s="14" t="b">
        <f t="shared" si="1"/>
        <v>1</v>
      </c>
      <c r="S8127" s="14" t="str">
        <f t="shared" si="2"/>
        <v>100.100,147</v>
      </c>
      <c r="T8127" s="12"/>
    </row>
    <row r="8128">
      <c r="A8128" s="112" t="s">
        <v>51234</v>
      </c>
      <c r="B8128" s="34"/>
      <c r="C8128" s="34" t="s">
        <v>51038</v>
      </c>
      <c r="D8128" s="34" t="s">
        <v>51013</v>
      </c>
      <c r="E8128" s="34"/>
      <c r="F8128" s="34"/>
      <c r="G8128" s="34"/>
      <c r="H8128" s="34"/>
      <c r="I8128" s="34"/>
      <c r="J8128" s="34"/>
      <c r="K8128" s="34"/>
      <c r="L8128" s="34"/>
      <c r="M8128" s="34"/>
      <c r="N8128" s="12"/>
      <c r="O8128" s="12"/>
      <c r="P8128" s="13">
        <f>IFERROR(__xludf.DUMMYFUNCTION("VALUE(SUBSTITUTE((INDEX(SPLIT(A8128,"",""),1)),""."","","",1))"),100.148)</f>
        <v>100.148</v>
      </c>
      <c r="Q8128" s="13">
        <f>IFERROR(__xludf.DUMMYFUNCTION("VALUE(SUBSTITUTE((INDEX(SPLIT(A8128,"",""),2)),""."","","",1))"),100.0)</f>
        <v>100</v>
      </c>
      <c r="R8128" s="14" t="b">
        <f t="shared" si="1"/>
        <v>1</v>
      </c>
      <c r="S8128" s="14" t="str">
        <f t="shared" si="2"/>
        <v>100.100,148</v>
      </c>
      <c r="T8128" s="12"/>
    </row>
    <row r="8129">
      <c r="A8129" s="112" t="s">
        <v>51235</v>
      </c>
      <c r="B8129" s="34"/>
      <c r="C8129" s="34" t="s">
        <v>51236</v>
      </c>
      <c r="D8129" s="34" t="s">
        <v>51013</v>
      </c>
      <c r="E8129" s="34"/>
      <c r="F8129" s="34"/>
      <c r="G8129" s="34"/>
      <c r="H8129" s="34"/>
      <c r="I8129" s="34"/>
      <c r="J8129" s="34"/>
      <c r="K8129" s="34"/>
      <c r="L8129" s="34"/>
      <c r="M8129" s="34"/>
      <c r="N8129" s="12"/>
      <c r="O8129" s="12"/>
      <c r="P8129" s="13">
        <f>IFERROR(__xludf.DUMMYFUNCTION("VALUE(SUBSTITUTE((INDEX(SPLIT(A8129,"",""),1)),""."","","",1))"),100.149)</f>
        <v>100.149</v>
      </c>
      <c r="Q8129" s="13">
        <f>IFERROR(__xludf.DUMMYFUNCTION("VALUE(SUBSTITUTE((INDEX(SPLIT(A8129,"",""),2)),""."","","",1))"),100.0)</f>
        <v>100</v>
      </c>
      <c r="R8129" s="14" t="b">
        <f t="shared" si="1"/>
        <v>1</v>
      </c>
      <c r="S8129" s="14" t="str">
        <f t="shared" si="2"/>
        <v>100.100,149</v>
      </c>
      <c r="T8129" s="12"/>
    </row>
    <row r="8130">
      <c r="A8130" s="112" t="s">
        <v>51009</v>
      </c>
      <c r="B8130" s="34"/>
      <c r="C8130" s="34" t="s">
        <v>51237</v>
      </c>
      <c r="D8130" s="34" t="s">
        <v>51013</v>
      </c>
      <c r="E8130" s="34"/>
      <c r="F8130" s="34"/>
      <c r="G8130" s="34"/>
      <c r="H8130" s="34"/>
      <c r="I8130" s="34"/>
      <c r="J8130" s="34"/>
      <c r="K8130" s="34"/>
      <c r="L8130" s="34"/>
      <c r="M8130" s="34"/>
      <c r="N8130" s="12"/>
      <c r="O8130" s="12"/>
      <c r="P8130" s="13">
        <f>IFERROR(__xludf.DUMMYFUNCTION("VALUE(SUBSTITUTE((INDEX(SPLIT(A8130,"",""),1)),""."","","",1))"),100.15)</f>
        <v>100.15</v>
      </c>
      <c r="Q8130" s="13">
        <f>IFERROR(__xludf.DUMMYFUNCTION("VALUE(SUBSTITUTE((INDEX(SPLIT(A8130,"",""),2)),""."","","",1))"),100.0)</f>
        <v>100</v>
      </c>
      <c r="R8130" s="14" t="b">
        <f t="shared" si="1"/>
        <v>1</v>
      </c>
      <c r="S8130" s="14" t="str">
        <f t="shared" si="2"/>
        <v>100.100,15</v>
      </c>
      <c r="T8130" s="12"/>
    </row>
    <row r="8131">
      <c r="A8131" s="112" t="s">
        <v>51238</v>
      </c>
      <c r="B8131" s="34"/>
      <c r="C8131" s="34" t="s">
        <v>51239</v>
      </c>
      <c r="D8131" s="34" t="s">
        <v>51013</v>
      </c>
      <c r="E8131" s="34"/>
      <c r="F8131" s="34"/>
      <c r="G8131" s="34"/>
      <c r="H8131" s="34"/>
      <c r="I8131" s="34"/>
      <c r="J8131" s="34"/>
      <c r="K8131" s="34"/>
      <c r="L8131" s="34"/>
      <c r="M8131" s="34"/>
      <c r="N8131" s="12"/>
      <c r="O8131" s="12"/>
      <c r="P8131" s="13">
        <f>IFERROR(__xludf.DUMMYFUNCTION("VALUE(SUBSTITUTE((INDEX(SPLIT(A8131,"",""),1)),""."","","",1))"),100.151)</f>
        <v>100.151</v>
      </c>
      <c r="Q8131" s="13">
        <f>IFERROR(__xludf.DUMMYFUNCTION("VALUE(SUBSTITUTE((INDEX(SPLIT(A8131,"",""),2)),""."","","",1))"),100.0)</f>
        <v>100</v>
      </c>
      <c r="R8131" s="14" t="b">
        <f t="shared" si="1"/>
        <v>1</v>
      </c>
      <c r="S8131" s="14" t="str">
        <f t="shared" si="2"/>
        <v>100.100,151</v>
      </c>
      <c r="T8131" s="12"/>
    </row>
    <row r="8132">
      <c r="A8132" s="112" t="s">
        <v>51240</v>
      </c>
      <c r="B8132" s="34"/>
      <c r="C8132" s="34" t="s">
        <v>51241</v>
      </c>
      <c r="D8132" s="34" t="s">
        <v>51013</v>
      </c>
      <c r="E8132" s="34"/>
      <c r="F8132" s="34"/>
      <c r="G8132" s="34"/>
      <c r="H8132" s="34"/>
      <c r="I8132" s="34"/>
      <c r="J8132" s="34"/>
      <c r="K8132" s="34"/>
      <c r="L8132" s="34"/>
      <c r="M8132" s="34"/>
      <c r="N8132" s="12"/>
      <c r="O8132" s="12"/>
      <c r="P8132" s="13">
        <f>IFERROR(__xludf.DUMMYFUNCTION("VALUE(SUBSTITUTE((INDEX(SPLIT(A8132,"",""),1)),""."","","",1))"),100.152)</f>
        <v>100.152</v>
      </c>
      <c r="Q8132" s="13">
        <f>IFERROR(__xludf.DUMMYFUNCTION("VALUE(SUBSTITUTE((INDEX(SPLIT(A8132,"",""),2)),""."","","",1))"),100.0)</f>
        <v>100</v>
      </c>
      <c r="R8132" s="14" t="b">
        <f t="shared" si="1"/>
        <v>1</v>
      </c>
      <c r="S8132" s="14" t="str">
        <f t="shared" si="2"/>
        <v>100.100,152</v>
      </c>
      <c r="T8132" s="12"/>
    </row>
    <row r="8133">
      <c r="A8133" s="112" t="s">
        <v>51242</v>
      </c>
      <c r="B8133" s="34"/>
      <c r="C8133" s="34" t="s">
        <v>51243</v>
      </c>
      <c r="D8133" s="34" t="s">
        <v>51013</v>
      </c>
      <c r="E8133" s="34"/>
      <c r="F8133" s="34"/>
      <c r="G8133" s="34"/>
      <c r="H8133" s="34"/>
      <c r="I8133" s="34"/>
      <c r="J8133" s="34"/>
      <c r="K8133" s="34"/>
      <c r="L8133" s="34"/>
      <c r="M8133" s="34"/>
      <c r="N8133" s="12"/>
      <c r="O8133" s="12"/>
      <c r="P8133" s="13">
        <f>IFERROR(__xludf.DUMMYFUNCTION("VALUE(SUBSTITUTE((INDEX(SPLIT(A8133,"",""),1)),""."","","",1))"),100.153)</f>
        <v>100.153</v>
      </c>
      <c r="Q8133" s="13">
        <f>IFERROR(__xludf.DUMMYFUNCTION("VALUE(SUBSTITUTE((INDEX(SPLIT(A8133,"",""),2)),""."","","",1))"),100.0)</f>
        <v>100</v>
      </c>
      <c r="R8133" s="14" t="b">
        <f t="shared" si="1"/>
        <v>1</v>
      </c>
      <c r="S8133" s="14" t="str">
        <f t="shared" si="2"/>
        <v>100.100,153</v>
      </c>
      <c r="T8133" s="12"/>
    </row>
    <row r="8134">
      <c r="A8134" s="112" t="s">
        <v>51244</v>
      </c>
      <c r="B8134" s="34"/>
      <c r="C8134" s="34" t="s">
        <v>51245</v>
      </c>
      <c r="D8134" s="34" t="s">
        <v>51013</v>
      </c>
      <c r="E8134" s="34"/>
      <c r="F8134" s="34"/>
      <c r="G8134" s="34"/>
      <c r="H8134" s="34"/>
      <c r="I8134" s="34"/>
      <c r="J8134" s="34"/>
      <c r="K8134" s="34"/>
      <c r="L8134" s="34"/>
      <c r="M8134" s="34"/>
      <c r="N8134" s="12"/>
      <c r="O8134" s="12"/>
      <c r="P8134" s="13">
        <f>IFERROR(__xludf.DUMMYFUNCTION("VALUE(SUBSTITUTE((INDEX(SPLIT(A8134,"",""),1)),""."","","",1))"),100.154)</f>
        <v>100.154</v>
      </c>
      <c r="Q8134" s="13">
        <f>IFERROR(__xludf.DUMMYFUNCTION("VALUE(SUBSTITUTE((INDEX(SPLIT(A8134,"",""),2)),""."","","",1))"),100.0)</f>
        <v>100</v>
      </c>
      <c r="R8134" s="14" t="b">
        <f t="shared" si="1"/>
        <v>1</v>
      </c>
      <c r="S8134" s="14" t="str">
        <f t="shared" si="2"/>
        <v>100.100,154</v>
      </c>
      <c r="T8134" s="12"/>
    </row>
    <row r="8135">
      <c r="A8135" s="112" t="s">
        <v>51246</v>
      </c>
      <c r="B8135" s="34"/>
      <c r="C8135" s="34" t="s">
        <v>51247</v>
      </c>
      <c r="D8135" s="34" t="s">
        <v>51013</v>
      </c>
      <c r="E8135" s="34"/>
      <c r="F8135" s="34"/>
      <c r="G8135" s="34"/>
      <c r="H8135" s="34"/>
      <c r="I8135" s="34"/>
      <c r="J8135" s="34"/>
      <c r="K8135" s="34"/>
      <c r="L8135" s="34"/>
      <c r="M8135" s="34"/>
      <c r="N8135" s="12"/>
      <c r="O8135" s="12"/>
      <c r="P8135" s="13">
        <f>IFERROR(__xludf.DUMMYFUNCTION("VALUE(SUBSTITUTE((INDEX(SPLIT(A8135,"",""),1)),""."","","",1))"),100.155)</f>
        <v>100.155</v>
      </c>
      <c r="Q8135" s="13">
        <f>IFERROR(__xludf.DUMMYFUNCTION("VALUE(SUBSTITUTE((INDEX(SPLIT(A8135,"",""),2)),""."","","",1))"),100.0)</f>
        <v>100</v>
      </c>
      <c r="R8135" s="14" t="b">
        <f t="shared" si="1"/>
        <v>1</v>
      </c>
      <c r="S8135" s="14" t="str">
        <f t="shared" si="2"/>
        <v>100.100,155</v>
      </c>
      <c r="T8135" s="12"/>
    </row>
    <row r="8136">
      <c r="A8136" s="112" t="s">
        <v>51248</v>
      </c>
      <c r="B8136" s="34"/>
      <c r="C8136" s="34" t="s">
        <v>51249</v>
      </c>
      <c r="D8136" s="34" t="s">
        <v>51013</v>
      </c>
      <c r="E8136" s="34"/>
      <c r="F8136" s="34"/>
      <c r="G8136" s="34"/>
      <c r="H8136" s="34"/>
      <c r="I8136" s="34"/>
      <c r="J8136" s="34"/>
      <c r="K8136" s="34"/>
      <c r="L8136" s="34"/>
      <c r="M8136" s="34"/>
      <c r="N8136" s="12"/>
      <c r="O8136" s="12"/>
      <c r="P8136" s="13">
        <f>IFERROR(__xludf.DUMMYFUNCTION("VALUE(SUBSTITUTE((INDEX(SPLIT(A8136,"",""),1)),""."","","",1))"),100.156)</f>
        <v>100.156</v>
      </c>
      <c r="Q8136" s="13">
        <f>IFERROR(__xludf.DUMMYFUNCTION("VALUE(SUBSTITUTE((INDEX(SPLIT(A8136,"",""),2)),""."","","",1))"),100.0)</f>
        <v>100</v>
      </c>
      <c r="R8136" s="14" t="b">
        <f t="shared" si="1"/>
        <v>1</v>
      </c>
      <c r="S8136" s="14" t="str">
        <f t="shared" si="2"/>
        <v>100.100,156</v>
      </c>
      <c r="T8136" s="12"/>
    </row>
    <row r="8137">
      <c r="A8137" s="112" t="s">
        <v>51250</v>
      </c>
      <c r="B8137" s="34"/>
      <c r="C8137" s="34" t="s">
        <v>51251</v>
      </c>
      <c r="D8137" s="34" t="s">
        <v>51013</v>
      </c>
      <c r="E8137" s="34"/>
      <c r="F8137" s="34"/>
      <c r="G8137" s="34"/>
      <c r="H8137" s="34"/>
      <c r="I8137" s="34"/>
      <c r="J8137" s="34"/>
      <c r="K8137" s="34"/>
      <c r="L8137" s="34"/>
      <c r="M8137" s="34"/>
      <c r="N8137" s="12"/>
      <c r="O8137" s="12"/>
      <c r="P8137" s="13">
        <f>IFERROR(__xludf.DUMMYFUNCTION("VALUE(SUBSTITUTE((INDEX(SPLIT(A8137,"",""),1)),""."","","",1))"),100.157)</f>
        <v>100.157</v>
      </c>
      <c r="Q8137" s="13">
        <f>IFERROR(__xludf.DUMMYFUNCTION("VALUE(SUBSTITUTE((INDEX(SPLIT(A8137,"",""),2)),""."","","",1))"),100.0)</f>
        <v>100</v>
      </c>
      <c r="R8137" s="14" t="b">
        <f t="shared" si="1"/>
        <v>1</v>
      </c>
      <c r="S8137" s="14" t="str">
        <f t="shared" si="2"/>
        <v>100.100,157</v>
      </c>
      <c r="T8137" s="12"/>
    </row>
    <row r="8138">
      <c r="A8138" s="112" t="s">
        <v>51252</v>
      </c>
      <c r="B8138" s="34"/>
      <c r="C8138" s="34" t="s">
        <v>51253</v>
      </c>
      <c r="D8138" s="34" t="s">
        <v>51013</v>
      </c>
      <c r="E8138" s="34"/>
      <c r="F8138" s="34"/>
      <c r="G8138" s="34"/>
      <c r="H8138" s="34"/>
      <c r="I8138" s="34"/>
      <c r="J8138" s="34"/>
      <c r="K8138" s="34"/>
      <c r="L8138" s="34"/>
      <c r="M8138" s="34"/>
      <c r="N8138" s="12"/>
      <c r="O8138" s="12"/>
      <c r="P8138" s="13">
        <f>IFERROR(__xludf.DUMMYFUNCTION("VALUE(SUBSTITUTE((INDEX(SPLIT(A8138,"",""),1)),""."","","",1))"),100.158)</f>
        <v>100.158</v>
      </c>
      <c r="Q8138" s="13">
        <f>IFERROR(__xludf.DUMMYFUNCTION("VALUE(SUBSTITUTE((INDEX(SPLIT(A8138,"",""),2)),""."","","",1))"),100.0)</f>
        <v>100</v>
      </c>
      <c r="R8138" s="14" t="b">
        <f t="shared" si="1"/>
        <v>1</v>
      </c>
      <c r="S8138" s="14" t="str">
        <f t="shared" si="2"/>
        <v>100.100,158</v>
      </c>
      <c r="T8138" s="12"/>
    </row>
    <row r="8139">
      <c r="A8139" s="112" t="s">
        <v>51254</v>
      </c>
      <c r="B8139" s="34"/>
      <c r="C8139" s="34" t="s">
        <v>51255</v>
      </c>
      <c r="D8139" s="34" t="s">
        <v>51013</v>
      </c>
      <c r="E8139" s="34"/>
      <c r="F8139" s="34"/>
      <c r="G8139" s="34"/>
      <c r="H8139" s="34"/>
      <c r="I8139" s="34"/>
      <c r="J8139" s="34"/>
      <c r="K8139" s="34"/>
      <c r="L8139" s="34"/>
      <c r="M8139" s="34"/>
      <c r="N8139" s="12"/>
      <c r="O8139" s="12"/>
      <c r="P8139" s="13">
        <f>IFERROR(__xludf.DUMMYFUNCTION("VALUE(SUBSTITUTE((INDEX(SPLIT(A8139,"",""),1)),""."","","",1))"),100.159)</f>
        <v>100.159</v>
      </c>
      <c r="Q8139" s="13">
        <f>IFERROR(__xludf.DUMMYFUNCTION("VALUE(SUBSTITUTE((INDEX(SPLIT(A8139,"",""),2)),""."","","",1))"),100.0)</f>
        <v>100</v>
      </c>
      <c r="R8139" s="14" t="b">
        <f t="shared" si="1"/>
        <v>1</v>
      </c>
      <c r="S8139" s="14" t="str">
        <f t="shared" si="2"/>
        <v>100.100,159</v>
      </c>
      <c r="T8139" s="12"/>
    </row>
    <row r="8140">
      <c r="A8140" s="112" t="s">
        <v>51011</v>
      </c>
      <c r="B8140" s="34"/>
      <c r="C8140" s="34" t="s">
        <v>51256</v>
      </c>
      <c r="D8140" s="34" t="s">
        <v>51013</v>
      </c>
      <c r="E8140" s="34"/>
      <c r="F8140" s="34"/>
      <c r="G8140" s="34"/>
      <c r="H8140" s="34"/>
      <c r="I8140" s="34"/>
      <c r="J8140" s="34"/>
      <c r="K8140" s="34"/>
      <c r="L8140" s="34"/>
      <c r="M8140" s="34"/>
      <c r="N8140" s="12"/>
      <c r="O8140" s="12"/>
      <c r="P8140" s="13">
        <f>IFERROR(__xludf.DUMMYFUNCTION("VALUE(SUBSTITUTE((INDEX(SPLIT(A8140,"",""),1)),""."","","",1))"),100.16)</f>
        <v>100.16</v>
      </c>
      <c r="Q8140" s="13">
        <f>IFERROR(__xludf.DUMMYFUNCTION("VALUE(SUBSTITUTE((INDEX(SPLIT(A8140,"",""),2)),""."","","",1))"),100.0)</f>
        <v>100</v>
      </c>
      <c r="R8140" s="14" t="b">
        <f t="shared" si="1"/>
        <v>1</v>
      </c>
      <c r="S8140" s="14" t="str">
        <f t="shared" si="2"/>
        <v>100.100,16</v>
      </c>
      <c r="T8140" s="12"/>
    </row>
    <row r="8141">
      <c r="A8141" s="112" t="s">
        <v>51257</v>
      </c>
      <c r="B8141" s="34"/>
      <c r="C8141" s="34" t="s">
        <v>51258</v>
      </c>
      <c r="D8141" s="34" t="s">
        <v>51013</v>
      </c>
      <c r="E8141" s="34"/>
      <c r="F8141" s="34"/>
      <c r="G8141" s="34"/>
      <c r="H8141" s="34"/>
      <c r="I8141" s="34"/>
      <c r="J8141" s="34"/>
      <c r="K8141" s="34"/>
      <c r="L8141" s="34"/>
      <c r="M8141" s="34"/>
      <c r="N8141" s="12"/>
      <c r="O8141" s="12"/>
      <c r="P8141" s="13">
        <f>IFERROR(__xludf.DUMMYFUNCTION("VALUE(SUBSTITUTE((INDEX(SPLIT(A8141,"",""),1)),""."","","",1))"),100.161)</f>
        <v>100.161</v>
      </c>
      <c r="Q8141" s="13">
        <f>IFERROR(__xludf.DUMMYFUNCTION("VALUE(SUBSTITUTE((INDEX(SPLIT(A8141,"",""),2)),""."","","",1))"),100.0)</f>
        <v>100</v>
      </c>
      <c r="R8141" s="14" t="b">
        <f t="shared" si="1"/>
        <v>1</v>
      </c>
      <c r="S8141" s="14" t="str">
        <f t="shared" si="2"/>
        <v>100.100,161</v>
      </c>
      <c r="T8141" s="12"/>
    </row>
    <row r="8142">
      <c r="A8142" s="112" t="s">
        <v>51259</v>
      </c>
      <c r="B8142" s="34"/>
      <c r="C8142" s="34" t="s">
        <v>51260</v>
      </c>
      <c r="D8142" s="34" t="s">
        <v>51013</v>
      </c>
      <c r="E8142" s="34"/>
      <c r="F8142" s="34"/>
      <c r="G8142" s="34"/>
      <c r="H8142" s="34"/>
      <c r="I8142" s="34"/>
      <c r="J8142" s="34"/>
      <c r="K8142" s="34"/>
      <c r="L8142" s="34"/>
      <c r="M8142" s="34"/>
      <c r="N8142" s="12"/>
      <c r="O8142" s="12"/>
      <c r="P8142" s="13">
        <f>IFERROR(__xludf.DUMMYFUNCTION("VALUE(SUBSTITUTE((INDEX(SPLIT(A8142,"",""),1)),""."","","",1))"),100.162)</f>
        <v>100.162</v>
      </c>
      <c r="Q8142" s="13">
        <f>IFERROR(__xludf.DUMMYFUNCTION("VALUE(SUBSTITUTE((INDEX(SPLIT(A8142,"",""),2)),""."","","",1))"),100.0)</f>
        <v>100</v>
      </c>
      <c r="R8142" s="14" t="b">
        <f t="shared" si="1"/>
        <v>1</v>
      </c>
      <c r="S8142" s="14" t="str">
        <f t="shared" si="2"/>
        <v>100.100,162</v>
      </c>
      <c r="T8142" s="12"/>
    </row>
    <row r="8143">
      <c r="A8143" s="112" t="s">
        <v>51261</v>
      </c>
      <c r="B8143" s="34"/>
      <c r="C8143" s="34" t="s">
        <v>51035</v>
      </c>
      <c r="D8143" s="34" t="s">
        <v>51013</v>
      </c>
      <c r="E8143" s="34"/>
      <c r="F8143" s="34"/>
      <c r="G8143" s="34"/>
      <c r="H8143" s="34"/>
      <c r="I8143" s="34"/>
      <c r="J8143" s="34"/>
      <c r="K8143" s="34"/>
      <c r="L8143" s="34"/>
      <c r="M8143" s="34"/>
      <c r="N8143" s="12"/>
      <c r="O8143" s="12"/>
      <c r="P8143" s="13">
        <f>IFERROR(__xludf.DUMMYFUNCTION("VALUE(SUBSTITUTE((INDEX(SPLIT(A8143,"",""),1)),""."","","",1))"),100.163)</f>
        <v>100.163</v>
      </c>
      <c r="Q8143" s="13">
        <f>IFERROR(__xludf.DUMMYFUNCTION("VALUE(SUBSTITUTE((INDEX(SPLIT(A8143,"",""),2)),""."","","",1))"),100.0)</f>
        <v>100</v>
      </c>
      <c r="R8143" s="14" t="b">
        <f t="shared" si="1"/>
        <v>1</v>
      </c>
      <c r="S8143" s="14" t="str">
        <f t="shared" si="2"/>
        <v>100.100,163</v>
      </c>
      <c r="T8143" s="12"/>
    </row>
    <row r="8144">
      <c r="A8144" s="112" t="s">
        <v>51262</v>
      </c>
      <c r="B8144" s="34"/>
      <c r="C8144" s="34" t="s">
        <v>51263</v>
      </c>
      <c r="D8144" s="34" t="s">
        <v>51013</v>
      </c>
      <c r="E8144" s="34"/>
      <c r="F8144" s="34"/>
      <c r="G8144" s="34"/>
      <c r="H8144" s="34"/>
      <c r="I8144" s="34"/>
      <c r="J8144" s="34"/>
      <c r="K8144" s="34"/>
      <c r="L8144" s="34"/>
      <c r="M8144" s="34"/>
      <c r="N8144" s="12"/>
      <c r="O8144" s="12"/>
      <c r="P8144" s="13">
        <f>IFERROR(__xludf.DUMMYFUNCTION("VALUE(SUBSTITUTE((INDEX(SPLIT(A8144,"",""),1)),""."","","",1))"),100.164)</f>
        <v>100.164</v>
      </c>
      <c r="Q8144" s="13">
        <f>IFERROR(__xludf.DUMMYFUNCTION("VALUE(SUBSTITUTE((INDEX(SPLIT(A8144,"",""),2)),""."","","",1))"),100.0)</f>
        <v>100</v>
      </c>
      <c r="R8144" s="14" t="b">
        <f t="shared" si="1"/>
        <v>1</v>
      </c>
      <c r="S8144" s="14" t="str">
        <f t="shared" si="2"/>
        <v>100.100,164</v>
      </c>
      <c r="T8144" s="12"/>
    </row>
    <row r="8145">
      <c r="A8145" s="112" t="s">
        <v>51264</v>
      </c>
      <c r="B8145" s="34"/>
      <c r="C8145" s="34" t="s">
        <v>51265</v>
      </c>
      <c r="D8145" s="34" t="s">
        <v>51013</v>
      </c>
      <c r="E8145" s="34"/>
      <c r="F8145" s="34"/>
      <c r="G8145" s="34"/>
      <c r="H8145" s="34"/>
      <c r="I8145" s="34"/>
      <c r="J8145" s="34"/>
      <c r="K8145" s="34"/>
      <c r="L8145" s="34"/>
      <c r="M8145" s="34"/>
      <c r="N8145" s="12"/>
      <c r="O8145" s="12"/>
      <c r="P8145" s="13">
        <f>IFERROR(__xludf.DUMMYFUNCTION("VALUE(SUBSTITUTE((INDEX(SPLIT(A8145,"",""),1)),""."","","",1))"),100.165)</f>
        <v>100.165</v>
      </c>
      <c r="Q8145" s="13">
        <f>IFERROR(__xludf.DUMMYFUNCTION("VALUE(SUBSTITUTE((INDEX(SPLIT(A8145,"",""),2)),""."","","",1))"),100.0)</f>
        <v>100</v>
      </c>
      <c r="R8145" s="14" t="b">
        <f t="shared" si="1"/>
        <v>1</v>
      </c>
      <c r="S8145" s="14" t="str">
        <f t="shared" si="2"/>
        <v>100.100,165</v>
      </c>
      <c r="T8145" s="12"/>
    </row>
    <row r="8146">
      <c r="A8146" s="112" t="s">
        <v>51266</v>
      </c>
      <c r="B8146" s="34"/>
      <c r="C8146" s="34" t="s">
        <v>51267</v>
      </c>
      <c r="D8146" s="34" t="s">
        <v>51013</v>
      </c>
      <c r="E8146" s="34"/>
      <c r="F8146" s="34"/>
      <c r="G8146" s="34"/>
      <c r="H8146" s="34"/>
      <c r="I8146" s="34"/>
      <c r="J8146" s="34"/>
      <c r="K8146" s="34"/>
      <c r="L8146" s="34"/>
      <c r="M8146" s="34"/>
      <c r="N8146" s="12"/>
      <c r="O8146" s="12"/>
      <c r="P8146" s="13">
        <f>IFERROR(__xludf.DUMMYFUNCTION("VALUE(SUBSTITUTE((INDEX(SPLIT(A8146,"",""),1)),""."","","",1))"),100.166)</f>
        <v>100.166</v>
      </c>
      <c r="Q8146" s="13">
        <f>IFERROR(__xludf.DUMMYFUNCTION("VALUE(SUBSTITUTE((INDEX(SPLIT(A8146,"",""),2)),""."","","",1))"),100.0)</f>
        <v>100</v>
      </c>
      <c r="R8146" s="14" t="b">
        <f t="shared" si="1"/>
        <v>1</v>
      </c>
      <c r="S8146" s="14" t="str">
        <f t="shared" si="2"/>
        <v>100.100,166</v>
      </c>
      <c r="T8146" s="12"/>
    </row>
    <row r="8147">
      <c r="A8147" s="112" t="s">
        <v>51268</v>
      </c>
      <c r="B8147" s="34"/>
      <c r="C8147" s="34" t="s">
        <v>51269</v>
      </c>
      <c r="D8147" s="34" t="s">
        <v>51013</v>
      </c>
      <c r="E8147" s="34"/>
      <c r="F8147" s="34"/>
      <c r="G8147" s="34"/>
      <c r="H8147" s="34"/>
      <c r="I8147" s="34"/>
      <c r="J8147" s="34"/>
      <c r="K8147" s="34"/>
      <c r="L8147" s="34"/>
      <c r="M8147" s="34"/>
      <c r="N8147" s="12"/>
      <c r="O8147" s="12"/>
      <c r="P8147" s="13">
        <f>IFERROR(__xludf.DUMMYFUNCTION("VALUE(SUBSTITUTE((INDEX(SPLIT(A8147,"",""),1)),""."","","",1))"),100.167)</f>
        <v>100.167</v>
      </c>
      <c r="Q8147" s="13">
        <f>IFERROR(__xludf.DUMMYFUNCTION("VALUE(SUBSTITUTE((INDEX(SPLIT(A8147,"",""),2)),""."","","",1))"),100.0)</f>
        <v>100</v>
      </c>
      <c r="R8147" s="14" t="b">
        <f t="shared" si="1"/>
        <v>1</v>
      </c>
      <c r="S8147" s="14" t="str">
        <f t="shared" si="2"/>
        <v>100.100,167</v>
      </c>
      <c r="T8147" s="12"/>
    </row>
    <row r="8148">
      <c r="A8148" s="112" t="s">
        <v>51270</v>
      </c>
      <c r="B8148" s="34"/>
      <c r="C8148" s="34" t="s">
        <v>51271</v>
      </c>
      <c r="D8148" s="34" t="s">
        <v>51013</v>
      </c>
      <c r="E8148" s="34"/>
      <c r="F8148" s="34"/>
      <c r="G8148" s="34"/>
      <c r="H8148" s="34"/>
      <c r="I8148" s="34"/>
      <c r="J8148" s="34"/>
      <c r="K8148" s="34"/>
      <c r="L8148" s="34"/>
      <c r="M8148" s="34"/>
      <c r="N8148" s="12"/>
      <c r="O8148" s="12"/>
      <c r="P8148" s="13">
        <f>IFERROR(__xludf.DUMMYFUNCTION("VALUE(SUBSTITUTE((INDEX(SPLIT(A8148,"",""),1)),""."","","",1))"),100.168)</f>
        <v>100.168</v>
      </c>
      <c r="Q8148" s="13">
        <f>IFERROR(__xludf.DUMMYFUNCTION("VALUE(SUBSTITUTE((INDEX(SPLIT(A8148,"",""),2)),""."","","",1))"),100.0)</f>
        <v>100</v>
      </c>
      <c r="R8148" s="14" t="b">
        <f t="shared" si="1"/>
        <v>1</v>
      </c>
      <c r="S8148" s="14" t="str">
        <f t="shared" si="2"/>
        <v>100.100,168</v>
      </c>
      <c r="T8148" s="12"/>
    </row>
    <row r="8149">
      <c r="A8149" s="112" t="s">
        <v>51272</v>
      </c>
      <c r="B8149" s="34"/>
      <c r="C8149" s="34" t="s">
        <v>51273</v>
      </c>
      <c r="D8149" s="34" t="s">
        <v>51013</v>
      </c>
      <c r="E8149" s="34"/>
      <c r="F8149" s="34"/>
      <c r="G8149" s="34"/>
      <c r="H8149" s="34"/>
      <c r="I8149" s="34"/>
      <c r="J8149" s="34"/>
      <c r="K8149" s="34"/>
      <c r="L8149" s="34"/>
      <c r="M8149" s="34"/>
      <c r="N8149" s="12"/>
      <c r="O8149" s="12"/>
      <c r="P8149" s="13">
        <f>IFERROR(__xludf.DUMMYFUNCTION("VALUE(SUBSTITUTE((INDEX(SPLIT(A8149,"",""),1)),""."","","",1))"),100.169)</f>
        <v>100.169</v>
      </c>
      <c r="Q8149" s="13">
        <f>IFERROR(__xludf.DUMMYFUNCTION("VALUE(SUBSTITUTE((INDEX(SPLIT(A8149,"",""),2)),""."","","",1))"),100.0)</f>
        <v>100</v>
      </c>
      <c r="R8149" s="14" t="b">
        <f t="shared" si="1"/>
        <v>1</v>
      </c>
      <c r="S8149" s="14" t="str">
        <f t="shared" si="2"/>
        <v>100.100,169</v>
      </c>
      <c r="T8149" s="12"/>
    </row>
    <row r="8150">
      <c r="A8150" s="112" t="s">
        <v>51014</v>
      </c>
      <c r="B8150" s="34"/>
      <c r="C8150" s="34" t="s">
        <v>51274</v>
      </c>
      <c r="D8150" s="34" t="s">
        <v>51013</v>
      </c>
      <c r="E8150" s="34"/>
      <c r="F8150" s="34"/>
      <c r="G8150" s="34"/>
      <c r="H8150" s="34"/>
      <c r="I8150" s="34"/>
      <c r="J8150" s="34"/>
      <c r="K8150" s="34"/>
      <c r="L8150" s="34"/>
      <c r="M8150" s="34"/>
      <c r="N8150" s="12"/>
      <c r="O8150" s="12"/>
      <c r="P8150" s="13">
        <f>IFERROR(__xludf.DUMMYFUNCTION("VALUE(SUBSTITUTE((INDEX(SPLIT(A8150,"",""),1)),""."","","",1))"),100.17)</f>
        <v>100.17</v>
      </c>
      <c r="Q8150" s="13">
        <f>IFERROR(__xludf.DUMMYFUNCTION("VALUE(SUBSTITUTE((INDEX(SPLIT(A8150,"",""),2)),""."","","",1))"),100.0)</f>
        <v>100</v>
      </c>
      <c r="R8150" s="14" t="b">
        <f t="shared" si="1"/>
        <v>1</v>
      </c>
      <c r="S8150" s="14" t="str">
        <f t="shared" si="2"/>
        <v>100.100,17</v>
      </c>
      <c r="T8150" s="12"/>
    </row>
    <row r="8151">
      <c r="A8151" s="112" t="s">
        <v>51275</v>
      </c>
      <c r="B8151" s="34"/>
      <c r="C8151" s="34" t="s">
        <v>51276</v>
      </c>
      <c r="D8151" s="34" t="s">
        <v>51013</v>
      </c>
      <c r="E8151" s="34"/>
      <c r="F8151" s="34"/>
      <c r="G8151" s="34"/>
      <c r="H8151" s="34"/>
      <c r="I8151" s="34"/>
      <c r="J8151" s="34"/>
      <c r="K8151" s="34"/>
      <c r="L8151" s="34"/>
      <c r="M8151" s="34"/>
      <c r="N8151" s="12"/>
      <c r="O8151" s="12"/>
      <c r="P8151" s="13">
        <f>IFERROR(__xludf.DUMMYFUNCTION("VALUE(SUBSTITUTE((INDEX(SPLIT(A8151,"",""),1)),""."","","",1))"),100.171)</f>
        <v>100.171</v>
      </c>
      <c r="Q8151" s="13">
        <f>IFERROR(__xludf.DUMMYFUNCTION("VALUE(SUBSTITUTE((INDEX(SPLIT(A8151,"",""),2)),""."","","",1))"),100.0)</f>
        <v>100</v>
      </c>
      <c r="R8151" s="14" t="b">
        <f t="shared" si="1"/>
        <v>1</v>
      </c>
      <c r="S8151" s="14" t="str">
        <f t="shared" si="2"/>
        <v>100.100,171</v>
      </c>
      <c r="T8151" s="12"/>
    </row>
    <row r="8152">
      <c r="A8152" s="112" t="s">
        <v>51277</v>
      </c>
      <c r="B8152" s="34"/>
      <c r="C8152" s="34" t="s">
        <v>51089</v>
      </c>
      <c r="D8152" s="34" t="s">
        <v>51013</v>
      </c>
      <c r="E8152" s="34"/>
      <c r="F8152" s="34"/>
      <c r="G8152" s="34"/>
      <c r="H8152" s="34"/>
      <c r="I8152" s="34"/>
      <c r="J8152" s="34"/>
      <c r="K8152" s="34"/>
      <c r="L8152" s="34"/>
      <c r="M8152" s="34"/>
      <c r="N8152" s="12"/>
      <c r="O8152" s="12"/>
      <c r="P8152" s="13">
        <f>IFERROR(__xludf.DUMMYFUNCTION("VALUE(SUBSTITUTE((INDEX(SPLIT(A8152,"",""),1)),""."","","",1))"),100.172)</f>
        <v>100.172</v>
      </c>
      <c r="Q8152" s="13">
        <f>IFERROR(__xludf.DUMMYFUNCTION("VALUE(SUBSTITUTE((INDEX(SPLIT(A8152,"",""),2)),""."","","",1))"),100.0)</f>
        <v>100</v>
      </c>
      <c r="R8152" s="14" t="b">
        <f t="shared" si="1"/>
        <v>1</v>
      </c>
      <c r="S8152" s="14" t="str">
        <f t="shared" si="2"/>
        <v>100.100,172</v>
      </c>
      <c r="T8152" s="12"/>
    </row>
    <row r="8153">
      <c r="A8153" s="112" t="s">
        <v>51278</v>
      </c>
      <c r="B8153" s="34"/>
      <c r="C8153" s="34" t="s">
        <v>51279</v>
      </c>
      <c r="D8153" s="34" t="s">
        <v>51013</v>
      </c>
      <c r="E8153" s="34"/>
      <c r="F8153" s="34"/>
      <c r="G8153" s="34"/>
      <c r="H8153" s="34"/>
      <c r="I8153" s="34"/>
      <c r="J8153" s="34"/>
      <c r="K8153" s="34"/>
      <c r="L8153" s="34"/>
      <c r="M8153" s="34"/>
      <c r="N8153" s="12"/>
      <c r="O8153" s="12"/>
      <c r="P8153" s="13">
        <f>IFERROR(__xludf.DUMMYFUNCTION("VALUE(SUBSTITUTE((INDEX(SPLIT(A8153,"",""),1)),""."","","",1))"),100.173)</f>
        <v>100.173</v>
      </c>
      <c r="Q8153" s="13">
        <f>IFERROR(__xludf.DUMMYFUNCTION("VALUE(SUBSTITUTE((INDEX(SPLIT(A8153,"",""),2)),""."","","",1))"),100.0)</f>
        <v>100</v>
      </c>
      <c r="R8153" s="14" t="b">
        <f t="shared" si="1"/>
        <v>1</v>
      </c>
      <c r="S8153" s="14" t="str">
        <f t="shared" si="2"/>
        <v>100.100,173</v>
      </c>
      <c r="T8153" s="12"/>
    </row>
    <row r="8154">
      <c r="A8154" s="112" t="s">
        <v>51280</v>
      </c>
      <c r="B8154" s="34"/>
      <c r="C8154" s="34" t="s">
        <v>51281</v>
      </c>
      <c r="D8154" s="34" t="s">
        <v>51013</v>
      </c>
      <c r="E8154" s="34"/>
      <c r="F8154" s="34"/>
      <c r="G8154" s="34"/>
      <c r="H8154" s="34"/>
      <c r="I8154" s="34"/>
      <c r="J8154" s="34"/>
      <c r="K8154" s="34"/>
      <c r="L8154" s="34"/>
      <c r="M8154" s="34"/>
      <c r="N8154" s="12"/>
      <c r="O8154" s="12"/>
      <c r="P8154" s="13">
        <f>IFERROR(__xludf.DUMMYFUNCTION("VALUE(SUBSTITUTE((INDEX(SPLIT(A8154,"",""),1)),""."","","",1))"),100.174)</f>
        <v>100.174</v>
      </c>
      <c r="Q8154" s="13">
        <f>IFERROR(__xludf.DUMMYFUNCTION("VALUE(SUBSTITUTE((INDEX(SPLIT(A8154,"",""),2)),""."","","",1))"),100.0)</f>
        <v>100</v>
      </c>
      <c r="R8154" s="14" t="b">
        <f t="shared" si="1"/>
        <v>1</v>
      </c>
      <c r="S8154" s="14" t="str">
        <f t="shared" si="2"/>
        <v>100.100,174</v>
      </c>
      <c r="T8154" s="12"/>
    </row>
    <row r="8155">
      <c r="A8155" s="112" t="s">
        <v>51282</v>
      </c>
      <c r="B8155" s="34"/>
      <c r="C8155" s="34" t="s">
        <v>51283</v>
      </c>
      <c r="D8155" s="34" t="s">
        <v>51013</v>
      </c>
      <c r="E8155" s="34"/>
      <c r="F8155" s="34"/>
      <c r="G8155" s="34"/>
      <c r="H8155" s="34"/>
      <c r="I8155" s="34"/>
      <c r="J8155" s="34"/>
      <c r="K8155" s="34"/>
      <c r="L8155" s="34"/>
      <c r="M8155" s="34"/>
      <c r="N8155" s="12"/>
      <c r="O8155" s="12"/>
      <c r="P8155" s="13">
        <f>IFERROR(__xludf.DUMMYFUNCTION("VALUE(SUBSTITUTE((INDEX(SPLIT(A8155,"",""),1)),""."","","",1))"),100.175)</f>
        <v>100.175</v>
      </c>
      <c r="Q8155" s="13">
        <f>IFERROR(__xludf.DUMMYFUNCTION("VALUE(SUBSTITUTE((INDEX(SPLIT(A8155,"",""),2)),""."","","",1))"),100.0)</f>
        <v>100</v>
      </c>
      <c r="R8155" s="14" t="b">
        <f t="shared" si="1"/>
        <v>1</v>
      </c>
      <c r="S8155" s="14" t="str">
        <f t="shared" si="2"/>
        <v>100.100,175</v>
      </c>
      <c r="T8155" s="12"/>
    </row>
    <row r="8156">
      <c r="A8156" s="112" t="s">
        <v>51284</v>
      </c>
      <c r="B8156" s="34"/>
      <c r="C8156" s="34" t="s">
        <v>51285</v>
      </c>
      <c r="D8156" s="34" t="s">
        <v>51013</v>
      </c>
      <c r="E8156" s="34"/>
      <c r="F8156" s="34"/>
      <c r="G8156" s="34"/>
      <c r="H8156" s="34"/>
      <c r="I8156" s="34"/>
      <c r="J8156" s="34"/>
      <c r="K8156" s="34"/>
      <c r="L8156" s="34"/>
      <c r="M8156" s="34"/>
      <c r="N8156" s="12"/>
      <c r="O8156" s="12"/>
      <c r="P8156" s="13">
        <f>IFERROR(__xludf.DUMMYFUNCTION("VALUE(SUBSTITUTE((INDEX(SPLIT(A8156,"",""),1)),""."","","",1))"),100.176)</f>
        <v>100.176</v>
      </c>
      <c r="Q8156" s="13">
        <f>IFERROR(__xludf.DUMMYFUNCTION("VALUE(SUBSTITUTE((INDEX(SPLIT(A8156,"",""),2)),""."","","",1))"),100.0)</f>
        <v>100</v>
      </c>
      <c r="R8156" s="14" t="b">
        <f t="shared" si="1"/>
        <v>1</v>
      </c>
      <c r="S8156" s="14" t="str">
        <f t="shared" si="2"/>
        <v>100.100,176</v>
      </c>
      <c r="T8156" s="12"/>
    </row>
    <row r="8157">
      <c r="A8157" s="112" t="s">
        <v>51286</v>
      </c>
      <c r="B8157" s="34"/>
      <c r="C8157" s="34" t="s">
        <v>51287</v>
      </c>
      <c r="D8157" s="34" t="s">
        <v>51013</v>
      </c>
      <c r="E8157" s="34"/>
      <c r="F8157" s="34"/>
      <c r="G8157" s="34"/>
      <c r="H8157" s="34"/>
      <c r="I8157" s="34"/>
      <c r="J8157" s="34"/>
      <c r="K8157" s="34"/>
      <c r="L8157" s="34"/>
      <c r="M8157" s="34"/>
      <c r="N8157" s="12"/>
      <c r="O8157" s="12"/>
      <c r="P8157" s="13">
        <f>IFERROR(__xludf.DUMMYFUNCTION("VALUE(SUBSTITUTE((INDEX(SPLIT(A8157,"",""),1)),""."","","",1))"),100.177)</f>
        <v>100.177</v>
      </c>
      <c r="Q8157" s="13">
        <f>IFERROR(__xludf.DUMMYFUNCTION("VALUE(SUBSTITUTE((INDEX(SPLIT(A8157,"",""),2)),""."","","",1))"),100.0)</f>
        <v>100</v>
      </c>
      <c r="R8157" s="14" t="b">
        <f t="shared" si="1"/>
        <v>1</v>
      </c>
      <c r="S8157" s="14" t="str">
        <f t="shared" si="2"/>
        <v>100.100,177</v>
      </c>
      <c r="T8157" s="12"/>
    </row>
    <row r="8158">
      <c r="A8158" s="112" t="s">
        <v>51288</v>
      </c>
      <c r="B8158" s="34"/>
      <c r="C8158" s="34" t="s">
        <v>51289</v>
      </c>
      <c r="D8158" s="34" t="s">
        <v>51013</v>
      </c>
      <c r="E8158" s="34"/>
      <c r="F8158" s="34"/>
      <c r="G8158" s="34"/>
      <c r="H8158" s="34"/>
      <c r="I8158" s="34"/>
      <c r="J8158" s="34"/>
      <c r="K8158" s="34"/>
      <c r="L8158" s="34"/>
      <c r="M8158" s="34"/>
      <c r="N8158" s="12"/>
      <c r="O8158" s="12"/>
      <c r="P8158" s="13">
        <f>IFERROR(__xludf.DUMMYFUNCTION("VALUE(SUBSTITUTE((INDEX(SPLIT(A8158,"",""),1)),""."","","",1))"),100.178)</f>
        <v>100.178</v>
      </c>
      <c r="Q8158" s="13">
        <f>IFERROR(__xludf.DUMMYFUNCTION("VALUE(SUBSTITUTE((INDEX(SPLIT(A8158,"",""),2)),""."","","",1))"),100.0)</f>
        <v>100</v>
      </c>
      <c r="R8158" s="14" t="b">
        <f t="shared" si="1"/>
        <v>1</v>
      </c>
      <c r="S8158" s="14" t="str">
        <f t="shared" si="2"/>
        <v>100.100,178</v>
      </c>
      <c r="T8158" s="12"/>
    </row>
    <row r="8159">
      <c r="A8159" s="112" t="s">
        <v>51290</v>
      </c>
      <c r="B8159" s="34"/>
      <c r="C8159" s="34" t="s">
        <v>51291</v>
      </c>
      <c r="D8159" s="34" t="s">
        <v>51013</v>
      </c>
      <c r="E8159" s="34"/>
      <c r="F8159" s="34"/>
      <c r="G8159" s="34"/>
      <c r="H8159" s="34"/>
      <c r="I8159" s="34"/>
      <c r="J8159" s="34"/>
      <c r="K8159" s="34"/>
      <c r="L8159" s="34"/>
      <c r="M8159" s="34"/>
      <c r="N8159" s="12"/>
      <c r="O8159" s="12"/>
      <c r="P8159" s="13">
        <f>IFERROR(__xludf.DUMMYFUNCTION("VALUE(SUBSTITUTE((INDEX(SPLIT(A8159,"",""),1)),""."","","",1))"),100.179)</f>
        <v>100.179</v>
      </c>
      <c r="Q8159" s="13">
        <f>IFERROR(__xludf.DUMMYFUNCTION("VALUE(SUBSTITUTE((INDEX(SPLIT(A8159,"",""),2)),""."","","",1))"),100.0)</f>
        <v>100</v>
      </c>
      <c r="R8159" s="14" t="b">
        <f t="shared" si="1"/>
        <v>1</v>
      </c>
      <c r="S8159" s="14" t="str">
        <f t="shared" si="2"/>
        <v>100.100,179</v>
      </c>
      <c r="T8159" s="12"/>
    </row>
    <row r="8160">
      <c r="A8160" s="112" t="s">
        <v>51016</v>
      </c>
      <c r="B8160" s="34"/>
      <c r="C8160" s="34" t="s">
        <v>51292</v>
      </c>
      <c r="D8160" s="34" t="s">
        <v>51013</v>
      </c>
      <c r="E8160" s="34"/>
      <c r="F8160" s="34"/>
      <c r="G8160" s="34"/>
      <c r="H8160" s="34"/>
      <c r="I8160" s="34"/>
      <c r="J8160" s="34"/>
      <c r="K8160" s="34"/>
      <c r="L8160" s="34"/>
      <c r="M8160" s="34"/>
      <c r="N8160" s="12"/>
      <c r="O8160" s="12"/>
      <c r="P8160" s="13">
        <f>IFERROR(__xludf.DUMMYFUNCTION("VALUE(SUBSTITUTE((INDEX(SPLIT(A8160,"",""),1)),""."","","",1))"),100.18)</f>
        <v>100.18</v>
      </c>
      <c r="Q8160" s="13">
        <f>IFERROR(__xludf.DUMMYFUNCTION("VALUE(SUBSTITUTE((INDEX(SPLIT(A8160,"",""),2)),""."","","",1))"),100.0)</f>
        <v>100</v>
      </c>
      <c r="R8160" s="14" t="b">
        <f t="shared" si="1"/>
        <v>1</v>
      </c>
      <c r="S8160" s="14" t="str">
        <f t="shared" si="2"/>
        <v>100.100,18</v>
      </c>
      <c r="T8160" s="12"/>
    </row>
    <row r="8161">
      <c r="A8161" s="112" t="s">
        <v>51293</v>
      </c>
      <c r="B8161" s="34"/>
      <c r="C8161" s="34" t="s">
        <v>51084</v>
      </c>
      <c r="D8161" s="34" t="s">
        <v>51013</v>
      </c>
      <c r="E8161" s="34"/>
      <c r="F8161" s="34"/>
      <c r="G8161" s="34"/>
      <c r="H8161" s="34"/>
      <c r="I8161" s="34"/>
      <c r="J8161" s="34"/>
      <c r="K8161" s="34"/>
      <c r="L8161" s="34"/>
      <c r="M8161" s="34"/>
      <c r="N8161" s="12"/>
      <c r="O8161" s="12"/>
      <c r="P8161" s="13">
        <f>IFERROR(__xludf.DUMMYFUNCTION("VALUE(SUBSTITUTE((INDEX(SPLIT(A8161,"",""),1)),""."","","",1))"),100.181)</f>
        <v>100.181</v>
      </c>
      <c r="Q8161" s="13">
        <f>IFERROR(__xludf.DUMMYFUNCTION("VALUE(SUBSTITUTE((INDEX(SPLIT(A8161,"",""),2)),""."","","",1))"),100.0)</f>
        <v>100</v>
      </c>
      <c r="R8161" s="14" t="b">
        <f t="shared" si="1"/>
        <v>1</v>
      </c>
      <c r="S8161" s="14" t="str">
        <f t="shared" si="2"/>
        <v>100.100,181</v>
      </c>
      <c r="T8161" s="12"/>
    </row>
    <row r="8162">
      <c r="A8162" s="112" t="s">
        <v>51294</v>
      </c>
      <c r="B8162" s="34"/>
      <c r="C8162" s="34" t="s">
        <v>51097</v>
      </c>
      <c r="D8162" s="34" t="s">
        <v>51013</v>
      </c>
      <c r="E8162" s="34"/>
      <c r="F8162" s="34"/>
      <c r="G8162" s="34"/>
      <c r="H8162" s="34"/>
      <c r="I8162" s="34"/>
      <c r="J8162" s="34"/>
      <c r="K8162" s="34"/>
      <c r="L8162" s="34"/>
      <c r="M8162" s="34"/>
      <c r="N8162" s="12"/>
      <c r="O8162" s="12"/>
      <c r="P8162" s="13">
        <f>IFERROR(__xludf.DUMMYFUNCTION("VALUE(SUBSTITUTE((INDEX(SPLIT(A8162,"",""),1)),""."","","",1))"),100.182)</f>
        <v>100.182</v>
      </c>
      <c r="Q8162" s="13">
        <f>IFERROR(__xludf.DUMMYFUNCTION("VALUE(SUBSTITUTE((INDEX(SPLIT(A8162,"",""),2)),""."","","",1))"),100.0)</f>
        <v>100</v>
      </c>
      <c r="R8162" s="14" t="b">
        <f t="shared" si="1"/>
        <v>1</v>
      </c>
      <c r="S8162" s="14" t="str">
        <f t="shared" si="2"/>
        <v>100.100,182</v>
      </c>
      <c r="T8162" s="12"/>
    </row>
    <row r="8163">
      <c r="A8163" s="112" t="s">
        <v>51295</v>
      </c>
      <c r="B8163" s="34"/>
      <c r="C8163" s="34" t="s">
        <v>51027</v>
      </c>
      <c r="D8163" s="34" t="s">
        <v>51013</v>
      </c>
      <c r="E8163" s="34"/>
      <c r="F8163" s="34"/>
      <c r="G8163" s="34"/>
      <c r="H8163" s="34"/>
      <c r="I8163" s="34"/>
      <c r="J8163" s="34"/>
      <c r="K8163" s="34"/>
      <c r="L8163" s="34"/>
      <c r="M8163" s="34"/>
      <c r="N8163" s="12"/>
      <c r="O8163" s="12"/>
      <c r="P8163" s="13">
        <f>IFERROR(__xludf.DUMMYFUNCTION("VALUE(SUBSTITUTE((INDEX(SPLIT(A8163,"",""),1)),""."","","",1))"),100.183)</f>
        <v>100.183</v>
      </c>
      <c r="Q8163" s="13">
        <f>IFERROR(__xludf.DUMMYFUNCTION("VALUE(SUBSTITUTE((INDEX(SPLIT(A8163,"",""),2)),""."","","",1))"),100.0)</f>
        <v>100</v>
      </c>
      <c r="R8163" s="14" t="b">
        <f t="shared" si="1"/>
        <v>1</v>
      </c>
      <c r="S8163" s="14" t="str">
        <f t="shared" si="2"/>
        <v>100.100,183</v>
      </c>
      <c r="T8163" s="12"/>
    </row>
    <row r="8164">
      <c r="A8164" s="112" t="s">
        <v>51296</v>
      </c>
      <c r="B8164" s="34"/>
      <c r="C8164" s="34" t="s">
        <v>51297</v>
      </c>
      <c r="D8164" s="34" t="s">
        <v>51013</v>
      </c>
      <c r="E8164" s="34"/>
      <c r="F8164" s="34"/>
      <c r="G8164" s="34"/>
      <c r="H8164" s="34"/>
      <c r="I8164" s="34"/>
      <c r="J8164" s="34"/>
      <c r="K8164" s="34"/>
      <c r="L8164" s="34"/>
      <c r="M8164" s="34"/>
      <c r="N8164" s="12"/>
      <c r="O8164" s="12"/>
      <c r="P8164" s="13">
        <f>IFERROR(__xludf.DUMMYFUNCTION("VALUE(SUBSTITUTE((INDEX(SPLIT(A8164,"",""),1)),""."","","",1))"),100.184)</f>
        <v>100.184</v>
      </c>
      <c r="Q8164" s="13">
        <f>IFERROR(__xludf.DUMMYFUNCTION("VALUE(SUBSTITUTE((INDEX(SPLIT(A8164,"",""),2)),""."","","",1))"),100.0)</f>
        <v>100</v>
      </c>
      <c r="R8164" s="14" t="b">
        <f t="shared" si="1"/>
        <v>1</v>
      </c>
      <c r="S8164" s="14" t="str">
        <f t="shared" si="2"/>
        <v>100.100,184</v>
      </c>
      <c r="T8164" s="12"/>
    </row>
    <row r="8165">
      <c r="A8165" s="112" t="s">
        <v>51298</v>
      </c>
      <c r="B8165" s="34"/>
      <c r="C8165" s="34" t="s">
        <v>51299</v>
      </c>
      <c r="D8165" s="34" t="s">
        <v>51013</v>
      </c>
      <c r="E8165" s="34"/>
      <c r="F8165" s="34"/>
      <c r="G8165" s="34"/>
      <c r="H8165" s="34"/>
      <c r="I8165" s="34"/>
      <c r="J8165" s="34"/>
      <c r="K8165" s="34"/>
      <c r="L8165" s="34"/>
      <c r="M8165" s="34"/>
      <c r="N8165" s="12"/>
      <c r="O8165" s="12"/>
      <c r="P8165" s="13">
        <f>IFERROR(__xludf.DUMMYFUNCTION("VALUE(SUBSTITUTE((INDEX(SPLIT(A8165,"",""),1)),""."","","",1))"),100.185)</f>
        <v>100.185</v>
      </c>
      <c r="Q8165" s="13">
        <f>IFERROR(__xludf.DUMMYFUNCTION("VALUE(SUBSTITUTE((INDEX(SPLIT(A8165,"",""),2)),""."","","",1))"),100.0)</f>
        <v>100</v>
      </c>
      <c r="R8165" s="14" t="b">
        <f t="shared" si="1"/>
        <v>1</v>
      </c>
      <c r="S8165" s="14" t="str">
        <f t="shared" si="2"/>
        <v>100.100,185</v>
      </c>
      <c r="T8165" s="12"/>
    </row>
    <row r="8166">
      <c r="A8166" s="112" t="s">
        <v>51300</v>
      </c>
      <c r="B8166" s="34"/>
      <c r="C8166" s="34" t="s">
        <v>51062</v>
      </c>
      <c r="D8166" s="34" t="s">
        <v>51013</v>
      </c>
      <c r="E8166" s="34"/>
      <c r="F8166" s="34"/>
      <c r="G8166" s="34"/>
      <c r="H8166" s="34"/>
      <c r="I8166" s="34"/>
      <c r="J8166" s="34"/>
      <c r="K8166" s="34"/>
      <c r="L8166" s="34"/>
      <c r="M8166" s="34"/>
      <c r="N8166" s="12"/>
      <c r="O8166" s="12"/>
      <c r="P8166" s="13">
        <f>IFERROR(__xludf.DUMMYFUNCTION("VALUE(SUBSTITUTE((INDEX(SPLIT(A8166,"",""),1)),""."","","",1))"),100.186)</f>
        <v>100.186</v>
      </c>
      <c r="Q8166" s="13">
        <f>IFERROR(__xludf.DUMMYFUNCTION("VALUE(SUBSTITUTE((INDEX(SPLIT(A8166,"",""),2)),""."","","",1))"),100.0)</f>
        <v>100</v>
      </c>
      <c r="R8166" s="14" t="b">
        <f t="shared" si="1"/>
        <v>1</v>
      </c>
      <c r="S8166" s="14" t="str">
        <f t="shared" si="2"/>
        <v>100.100,186</v>
      </c>
      <c r="T8166" s="12"/>
    </row>
    <row r="8167">
      <c r="A8167" s="112" t="s">
        <v>51301</v>
      </c>
      <c r="B8167" s="34"/>
      <c r="C8167" s="34" t="s">
        <v>51302</v>
      </c>
      <c r="D8167" s="34" t="s">
        <v>51013</v>
      </c>
      <c r="E8167" s="34"/>
      <c r="F8167" s="34"/>
      <c r="G8167" s="34"/>
      <c r="H8167" s="34"/>
      <c r="I8167" s="34"/>
      <c r="J8167" s="34"/>
      <c r="K8167" s="34"/>
      <c r="L8167" s="34"/>
      <c r="M8167" s="34"/>
      <c r="N8167" s="12"/>
      <c r="O8167" s="12"/>
      <c r="P8167" s="13">
        <f>IFERROR(__xludf.DUMMYFUNCTION("VALUE(SUBSTITUTE((INDEX(SPLIT(A8167,"",""),1)),""."","","",1))"),100.187)</f>
        <v>100.187</v>
      </c>
      <c r="Q8167" s="13">
        <f>IFERROR(__xludf.DUMMYFUNCTION("VALUE(SUBSTITUTE((INDEX(SPLIT(A8167,"",""),2)),""."","","",1))"),100.0)</f>
        <v>100</v>
      </c>
      <c r="R8167" s="14" t="b">
        <f t="shared" si="1"/>
        <v>1</v>
      </c>
      <c r="S8167" s="14" t="str">
        <f t="shared" si="2"/>
        <v>100.100,187</v>
      </c>
      <c r="T8167" s="12"/>
    </row>
    <row r="8168">
      <c r="A8168" s="112" t="s">
        <v>51303</v>
      </c>
      <c r="B8168" s="34"/>
      <c r="C8168" s="34" t="s">
        <v>51304</v>
      </c>
      <c r="D8168" s="34" t="s">
        <v>51013</v>
      </c>
      <c r="E8168" s="34"/>
      <c r="F8168" s="34"/>
      <c r="G8168" s="34"/>
      <c r="H8168" s="34"/>
      <c r="I8168" s="34"/>
      <c r="J8168" s="34"/>
      <c r="K8168" s="34"/>
      <c r="L8168" s="34"/>
      <c r="M8168" s="34"/>
      <c r="N8168" s="12"/>
      <c r="O8168" s="12"/>
      <c r="P8168" s="13">
        <f>IFERROR(__xludf.DUMMYFUNCTION("VALUE(SUBSTITUTE((INDEX(SPLIT(A8168,"",""),1)),""."","","",1))"),100.188)</f>
        <v>100.188</v>
      </c>
      <c r="Q8168" s="13">
        <f>IFERROR(__xludf.DUMMYFUNCTION("VALUE(SUBSTITUTE((INDEX(SPLIT(A8168,"",""),2)),""."","","",1))"),100.0)</f>
        <v>100</v>
      </c>
      <c r="R8168" s="14" t="b">
        <f t="shared" si="1"/>
        <v>1</v>
      </c>
      <c r="S8168" s="14" t="str">
        <f t="shared" si="2"/>
        <v>100.100,188</v>
      </c>
      <c r="T8168" s="12"/>
    </row>
    <row r="8169">
      <c r="A8169" s="112" t="s">
        <v>51305</v>
      </c>
      <c r="B8169" s="34"/>
      <c r="C8169" s="34" t="s">
        <v>51306</v>
      </c>
      <c r="D8169" s="34" t="s">
        <v>51013</v>
      </c>
      <c r="E8169" s="34"/>
      <c r="F8169" s="34"/>
      <c r="G8169" s="34"/>
      <c r="H8169" s="34"/>
      <c r="I8169" s="34"/>
      <c r="J8169" s="34"/>
      <c r="K8169" s="34"/>
      <c r="L8169" s="34"/>
      <c r="M8169" s="34"/>
      <c r="N8169" s="12"/>
      <c r="O8169" s="12"/>
      <c r="P8169" s="13">
        <f>IFERROR(__xludf.DUMMYFUNCTION("VALUE(SUBSTITUTE((INDEX(SPLIT(A8169,"",""),1)),""."","","",1))"),100.189)</f>
        <v>100.189</v>
      </c>
      <c r="Q8169" s="13">
        <f>IFERROR(__xludf.DUMMYFUNCTION("VALUE(SUBSTITUTE((INDEX(SPLIT(A8169,"",""),2)),""."","","",1))"),100.0)</f>
        <v>100</v>
      </c>
      <c r="R8169" s="14" t="b">
        <f t="shared" si="1"/>
        <v>1</v>
      </c>
      <c r="S8169" s="14" t="str">
        <f t="shared" si="2"/>
        <v>100.100,189</v>
      </c>
      <c r="T8169" s="12"/>
    </row>
    <row r="8170">
      <c r="A8170" s="112" t="s">
        <v>51018</v>
      </c>
      <c r="B8170" s="34"/>
      <c r="C8170" s="34" t="s">
        <v>51307</v>
      </c>
      <c r="D8170" s="34" t="s">
        <v>51013</v>
      </c>
      <c r="E8170" s="34"/>
      <c r="F8170" s="34"/>
      <c r="G8170" s="34"/>
      <c r="H8170" s="34"/>
      <c r="I8170" s="34"/>
      <c r="J8170" s="34"/>
      <c r="K8170" s="34"/>
      <c r="L8170" s="34"/>
      <c r="M8170" s="34"/>
      <c r="N8170" s="12"/>
      <c r="O8170" s="12"/>
      <c r="P8170" s="13">
        <f>IFERROR(__xludf.DUMMYFUNCTION("VALUE(SUBSTITUTE((INDEX(SPLIT(A8170,"",""),1)),""."","","",1))"),100.19)</f>
        <v>100.19</v>
      </c>
      <c r="Q8170" s="13">
        <f>IFERROR(__xludf.DUMMYFUNCTION("VALUE(SUBSTITUTE((INDEX(SPLIT(A8170,"",""),2)),""."","","",1))"),100.0)</f>
        <v>100</v>
      </c>
      <c r="R8170" s="14" t="b">
        <f t="shared" si="1"/>
        <v>1</v>
      </c>
      <c r="S8170" s="14" t="str">
        <f t="shared" si="2"/>
        <v>100.100,19</v>
      </c>
      <c r="T8170" s="12"/>
    </row>
    <row r="8171">
      <c r="A8171" s="112" t="s">
        <v>51308</v>
      </c>
      <c r="B8171" s="34"/>
      <c r="C8171" s="34" t="s">
        <v>51309</v>
      </c>
      <c r="D8171" s="34" t="s">
        <v>51013</v>
      </c>
      <c r="E8171" s="34"/>
      <c r="F8171" s="34"/>
      <c r="G8171" s="34"/>
      <c r="H8171" s="34"/>
      <c r="I8171" s="34"/>
      <c r="J8171" s="34"/>
      <c r="K8171" s="34"/>
      <c r="L8171" s="34"/>
      <c r="M8171" s="34"/>
      <c r="N8171" s="12"/>
      <c r="O8171" s="12"/>
      <c r="P8171" s="13">
        <f>IFERROR(__xludf.DUMMYFUNCTION("VALUE(SUBSTITUTE((INDEX(SPLIT(A8171,"",""),1)),""."","","",1))"),100.191)</f>
        <v>100.191</v>
      </c>
      <c r="Q8171" s="13">
        <f>IFERROR(__xludf.DUMMYFUNCTION("VALUE(SUBSTITUTE((INDEX(SPLIT(A8171,"",""),2)),""."","","",1))"),100.0)</f>
        <v>100</v>
      </c>
      <c r="R8171" s="14" t="b">
        <f t="shared" si="1"/>
        <v>1</v>
      </c>
      <c r="S8171" s="14" t="str">
        <f t="shared" si="2"/>
        <v>100.100,191</v>
      </c>
      <c r="T8171" s="12"/>
    </row>
    <row r="8172">
      <c r="A8172" s="112" t="s">
        <v>51310</v>
      </c>
      <c r="B8172" s="34"/>
      <c r="C8172" s="34" t="s">
        <v>51311</v>
      </c>
      <c r="D8172" s="34" t="s">
        <v>51013</v>
      </c>
      <c r="E8172" s="34"/>
      <c r="F8172" s="34"/>
      <c r="G8172" s="34"/>
      <c r="H8172" s="34"/>
      <c r="I8172" s="34"/>
      <c r="J8172" s="34"/>
      <c r="K8172" s="34"/>
      <c r="L8172" s="34"/>
      <c r="M8172" s="34"/>
      <c r="N8172" s="12"/>
      <c r="O8172" s="12"/>
      <c r="P8172" s="13">
        <f>IFERROR(__xludf.DUMMYFUNCTION("VALUE(SUBSTITUTE((INDEX(SPLIT(A8172,"",""),1)),""."","","",1))"),100.192)</f>
        <v>100.192</v>
      </c>
      <c r="Q8172" s="13">
        <f>IFERROR(__xludf.DUMMYFUNCTION("VALUE(SUBSTITUTE((INDEX(SPLIT(A8172,"",""),2)),""."","","",1))"),100.0)</f>
        <v>100</v>
      </c>
      <c r="R8172" s="14" t="b">
        <f t="shared" si="1"/>
        <v>1</v>
      </c>
      <c r="S8172" s="14" t="str">
        <f t="shared" si="2"/>
        <v>100.100,192</v>
      </c>
      <c r="T8172" s="12"/>
    </row>
    <row r="8173">
      <c r="A8173" s="112" t="s">
        <v>51312</v>
      </c>
      <c r="B8173" s="34"/>
      <c r="C8173" s="34" t="s">
        <v>51313</v>
      </c>
      <c r="D8173" s="34" t="s">
        <v>51013</v>
      </c>
      <c r="E8173" s="34"/>
      <c r="F8173" s="34"/>
      <c r="G8173" s="34"/>
      <c r="H8173" s="34"/>
      <c r="I8173" s="34"/>
      <c r="J8173" s="34"/>
      <c r="K8173" s="34"/>
      <c r="L8173" s="34"/>
      <c r="M8173" s="34"/>
      <c r="N8173" s="12"/>
      <c r="O8173" s="12"/>
      <c r="P8173" s="13">
        <f>IFERROR(__xludf.DUMMYFUNCTION("VALUE(SUBSTITUTE((INDEX(SPLIT(A8173,"",""),1)),""."","","",1))"),100.193)</f>
        <v>100.193</v>
      </c>
      <c r="Q8173" s="13">
        <f>IFERROR(__xludf.DUMMYFUNCTION("VALUE(SUBSTITUTE((INDEX(SPLIT(A8173,"",""),2)),""."","","",1))"),100.0)</f>
        <v>100</v>
      </c>
      <c r="R8173" s="14" t="b">
        <f t="shared" si="1"/>
        <v>1</v>
      </c>
      <c r="S8173" s="14" t="str">
        <f t="shared" si="2"/>
        <v>100.100,193</v>
      </c>
      <c r="T8173" s="12"/>
    </row>
    <row r="8174">
      <c r="A8174" s="112" t="s">
        <v>51314</v>
      </c>
      <c r="B8174" s="34"/>
      <c r="C8174" s="34" t="s">
        <v>51315</v>
      </c>
      <c r="D8174" s="34" t="s">
        <v>51013</v>
      </c>
      <c r="E8174" s="34"/>
      <c r="F8174" s="34"/>
      <c r="G8174" s="34"/>
      <c r="H8174" s="34"/>
      <c r="I8174" s="34"/>
      <c r="J8174" s="34"/>
      <c r="K8174" s="34"/>
      <c r="L8174" s="34"/>
      <c r="M8174" s="34"/>
      <c r="N8174" s="12"/>
      <c r="O8174" s="12"/>
      <c r="P8174" s="13">
        <f>IFERROR(__xludf.DUMMYFUNCTION("VALUE(SUBSTITUTE((INDEX(SPLIT(A8174,"",""),1)),""."","","",1))"),100.194)</f>
        <v>100.194</v>
      </c>
      <c r="Q8174" s="13">
        <f>IFERROR(__xludf.DUMMYFUNCTION("VALUE(SUBSTITUTE((INDEX(SPLIT(A8174,"",""),2)),""."","","",1))"),100.0)</f>
        <v>100</v>
      </c>
      <c r="R8174" s="14" t="b">
        <f t="shared" si="1"/>
        <v>1</v>
      </c>
      <c r="S8174" s="14" t="str">
        <f t="shared" si="2"/>
        <v>100.100,194</v>
      </c>
      <c r="T8174" s="12"/>
    </row>
    <row r="8175">
      <c r="A8175" s="112" t="s">
        <v>51316</v>
      </c>
      <c r="B8175" s="34"/>
      <c r="C8175" s="34" t="s">
        <v>51317</v>
      </c>
      <c r="D8175" s="34" t="s">
        <v>51013</v>
      </c>
      <c r="E8175" s="34"/>
      <c r="F8175" s="34"/>
      <c r="G8175" s="34"/>
      <c r="H8175" s="34"/>
      <c r="I8175" s="34"/>
      <c r="J8175" s="34"/>
      <c r="K8175" s="34"/>
      <c r="L8175" s="34"/>
      <c r="M8175" s="34"/>
      <c r="N8175" s="12"/>
      <c r="O8175" s="12"/>
      <c r="P8175" s="13">
        <f>IFERROR(__xludf.DUMMYFUNCTION("VALUE(SUBSTITUTE((INDEX(SPLIT(A8175,"",""),1)),""."","","",1))"),100.195)</f>
        <v>100.195</v>
      </c>
      <c r="Q8175" s="13">
        <f>IFERROR(__xludf.DUMMYFUNCTION("VALUE(SUBSTITUTE((INDEX(SPLIT(A8175,"",""),2)),""."","","",1))"),100.0)</f>
        <v>100</v>
      </c>
      <c r="R8175" s="14" t="b">
        <f t="shared" si="1"/>
        <v>1</v>
      </c>
      <c r="S8175" s="14" t="str">
        <f t="shared" si="2"/>
        <v>100.100,195</v>
      </c>
      <c r="T8175" s="12"/>
    </row>
    <row r="8176">
      <c r="A8176" s="112" t="s">
        <v>51318</v>
      </c>
      <c r="B8176" s="34"/>
      <c r="C8176" s="34" t="s">
        <v>51319</v>
      </c>
      <c r="D8176" s="34" t="s">
        <v>51013</v>
      </c>
      <c r="E8176" s="34"/>
      <c r="F8176" s="34"/>
      <c r="G8176" s="34"/>
      <c r="H8176" s="34"/>
      <c r="I8176" s="34"/>
      <c r="J8176" s="34"/>
      <c r="K8176" s="34"/>
      <c r="L8176" s="34"/>
      <c r="M8176" s="34"/>
      <c r="N8176" s="12"/>
      <c r="O8176" s="12"/>
      <c r="P8176" s="13">
        <f>IFERROR(__xludf.DUMMYFUNCTION("VALUE(SUBSTITUTE((INDEX(SPLIT(A8176,"",""),1)),""."","","",1))"),100.196)</f>
        <v>100.196</v>
      </c>
      <c r="Q8176" s="13">
        <f>IFERROR(__xludf.DUMMYFUNCTION("VALUE(SUBSTITUTE((INDEX(SPLIT(A8176,"",""),2)),""."","","",1))"),100.0)</f>
        <v>100</v>
      </c>
      <c r="R8176" s="14" t="b">
        <f t="shared" si="1"/>
        <v>1</v>
      </c>
      <c r="S8176" s="14" t="str">
        <f t="shared" si="2"/>
        <v>100.100,196</v>
      </c>
      <c r="T8176" s="12"/>
    </row>
    <row r="8177">
      <c r="A8177" s="112" t="s">
        <v>51320</v>
      </c>
      <c r="B8177" s="34"/>
      <c r="C8177" s="34" t="s">
        <v>51321</v>
      </c>
      <c r="D8177" s="34" t="s">
        <v>51013</v>
      </c>
      <c r="E8177" s="34"/>
      <c r="F8177" s="34"/>
      <c r="G8177" s="34"/>
      <c r="H8177" s="34"/>
      <c r="I8177" s="34"/>
      <c r="J8177" s="34"/>
      <c r="K8177" s="34"/>
      <c r="L8177" s="34"/>
      <c r="M8177" s="34"/>
      <c r="N8177" s="12"/>
      <c r="O8177" s="12"/>
      <c r="P8177" s="13">
        <f>IFERROR(__xludf.DUMMYFUNCTION("VALUE(SUBSTITUTE((INDEX(SPLIT(A8177,"",""),1)),""."","","",1))"),100.197)</f>
        <v>100.197</v>
      </c>
      <c r="Q8177" s="13">
        <f>IFERROR(__xludf.DUMMYFUNCTION("VALUE(SUBSTITUTE((INDEX(SPLIT(A8177,"",""),2)),""."","","",1))"),100.0)</f>
        <v>100</v>
      </c>
      <c r="R8177" s="14" t="b">
        <f t="shared" si="1"/>
        <v>1</v>
      </c>
      <c r="S8177" s="14" t="str">
        <f t="shared" si="2"/>
        <v>100.100,197</v>
      </c>
      <c r="T8177" s="12"/>
    </row>
    <row r="8178">
      <c r="A8178" s="112" t="s">
        <v>51322</v>
      </c>
      <c r="B8178" s="34"/>
      <c r="C8178" s="34" t="s">
        <v>51323</v>
      </c>
      <c r="D8178" s="34" t="s">
        <v>51013</v>
      </c>
      <c r="E8178" s="34"/>
      <c r="F8178" s="34"/>
      <c r="G8178" s="34"/>
      <c r="H8178" s="34"/>
      <c r="I8178" s="34"/>
      <c r="J8178" s="34"/>
      <c r="K8178" s="34"/>
      <c r="L8178" s="34"/>
      <c r="M8178" s="34"/>
      <c r="N8178" s="12"/>
      <c r="O8178" s="12"/>
      <c r="P8178" s="13">
        <f>IFERROR(__xludf.DUMMYFUNCTION("VALUE(SUBSTITUTE((INDEX(SPLIT(A8178,"",""),1)),""."","","",1))"),100.198)</f>
        <v>100.198</v>
      </c>
      <c r="Q8178" s="13">
        <f>IFERROR(__xludf.DUMMYFUNCTION("VALUE(SUBSTITUTE((INDEX(SPLIT(A8178,"",""),2)),""."","","",1))"),100.0)</f>
        <v>100</v>
      </c>
      <c r="R8178" s="14" t="b">
        <f t="shared" si="1"/>
        <v>1</v>
      </c>
      <c r="S8178" s="14" t="str">
        <f t="shared" si="2"/>
        <v>100.100,198</v>
      </c>
      <c r="T8178" s="12"/>
    </row>
    <row r="8179">
      <c r="A8179" s="112" t="s">
        <v>51324</v>
      </c>
      <c r="B8179" s="34"/>
      <c r="C8179" s="34" t="s">
        <v>51325</v>
      </c>
      <c r="D8179" s="34" t="s">
        <v>51013</v>
      </c>
      <c r="E8179" s="34"/>
      <c r="F8179" s="34"/>
      <c r="G8179" s="34"/>
      <c r="H8179" s="34"/>
      <c r="I8179" s="34"/>
      <c r="J8179" s="34"/>
      <c r="K8179" s="34"/>
      <c r="L8179" s="34"/>
      <c r="M8179" s="34"/>
      <c r="N8179" s="12"/>
      <c r="O8179" s="12"/>
      <c r="P8179" s="13">
        <f>IFERROR(__xludf.DUMMYFUNCTION("VALUE(SUBSTITUTE((INDEX(SPLIT(A8179,"",""),1)),""."","","",1))"),100.199)</f>
        <v>100.199</v>
      </c>
      <c r="Q8179" s="13">
        <f>IFERROR(__xludf.DUMMYFUNCTION("VALUE(SUBSTITUTE((INDEX(SPLIT(A8179,"",""),2)),""."","","",1))"),100.0)</f>
        <v>100</v>
      </c>
      <c r="R8179" s="14" t="b">
        <f t="shared" si="1"/>
        <v>1</v>
      </c>
      <c r="S8179" s="14" t="str">
        <f t="shared" si="2"/>
        <v>100.100,199</v>
      </c>
      <c r="T8179" s="12"/>
    </row>
    <row r="8180">
      <c r="A8180" s="112" t="s">
        <v>50984</v>
      </c>
      <c r="B8180" s="34"/>
      <c r="C8180" s="34" t="s">
        <v>51326</v>
      </c>
      <c r="D8180" s="34" t="s">
        <v>51013</v>
      </c>
      <c r="E8180" s="34"/>
      <c r="F8180" s="34"/>
      <c r="G8180" s="34"/>
      <c r="H8180" s="34"/>
      <c r="I8180" s="34"/>
      <c r="J8180" s="34"/>
      <c r="K8180" s="34"/>
      <c r="L8180" s="34"/>
      <c r="M8180" s="34"/>
      <c r="N8180" s="12"/>
      <c r="O8180" s="12"/>
      <c r="P8180" s="13">
        <f>IFERROR(__xludf.DUMMYFUNCTION("VALUE(SUBSTITUTE((INDEX(SPLIT(A8180,"",""),1)),""."","","",1))"),100.2)</f>
        <v>100.2</v>
      </c>
      <c r="Q8180" s="13">
        <f>IFERROR(__xludf.DUMMYFUNCTION("VALUE(SUBSTITUTE((INDEX(SPLIT(A8180,"",""),2)),""."","","",1))"),100.0)</f>
        <v>100</v>
      </c>
      <c r="R8180" s="14" t="b">
        <f t="shared" si="1"/>
        <v>1</v>
      </c>
      <c r="S8180" s="14" t="str">
        <f t="shared" si="2"/>
        <v>100.100,2</v>
      </c>
      <c r="T8180" s="12"/>
    </row>
    <row r="8181">
      <c r="A8181" s="112" t="s">
        <v>51327</v>
      </c>
      <c r="B8181" s="34"/>
      <c r="C8181" s="34" t="s">
        <v>51328</v>
      </c>
      <c r="D8181" s="34" t="s">
        <v>51013</v>
      </c>
      <c r="E8181" s="34"/>
      <c r="F8181" s="34"/>
      <c r="G8181" s="34"/>
      <c r="H8181" s="34"/>
      <c r="I8181" s="34"/>
      <c r="J8181" s="34"/>
      <c r="K8181" s="34"/>
      <c r="L8181" s="34"/>
      <c r="M8181" s="34"/>
      <c r="N8181" s="12"/>
      <c r="O8181" s="12"/>
      <c r="P8181" s="13">
        <f>IFERROR(__xludf.DUMMYFUNCTION("VALUE(SUBSTITUTE((INDEX(SPLIT(A8181,"",""),1)),""."","","",1))"),100.201)</f>
        <v>100.201</v>
      </c>
      <c r="Q8181" s="13">
        <f>IFERROR(__xludf.DUMMYFUNCTION("VALUE(SUBSTITUTE((INDEX(SPLIT(A8181,"",""),2)),""."","","",1))"),100.0)</f>
        <v>100</v>
      </c>
      <c r="R8181" s="14" t="b">
        <f t="shared" si="1"/>
        <v>1</v>
      </c>
      <c r="S8181" s="14" t="str">
        <f t="shared" si="2"/>
        <v>100.100,201</v>
      </c>
      <c r="T8181" s="12"/>
    </row>
    <row r="8182">
      <c r="A8182" s="112" t="s">
        <v>51329</v>
      </c>
      <c r="B8182" s="34"/>
      <c r="C8182" s="34" t="s">
        <v>51190</v>
      </c>
      <c r="D8182" s="34" t="s">
        <v>51013</v>
      </c>
      <c r="E8182" s="34"/>
      <c r="F8182" s="34"/>
      <c r="G8182" s="34"/>
      <c r="H8182" s="34"/>
      <c r="I8182" s="34"/>
      <c r="J8182" s="34"/>
      <c r="K8182" s="34"/>
      <c r="L8182" s="34"/>
      <c r="M8182" s="34"/>
      <c r="N8182" s="12"/>
      <c r="O8182" s="12"/>
      <c r="P8182" s="13">
        <f>IFERROR(__xludf.DUMMYFUNCTION("VALUE(SUBSTITUTE((INDEX(SPLIT(A8182,"",""),1)),""."","","",1))"),100.202)</f>
        <v>100.202</v>
      </c>
      <c r="Q8182" s="13">
        <f>IFERROR(__xludf.DUMMYFUNCTION("VALUE(SUBSTITUTE((INDEX(SPLIT(A8182,"",""),2)),""."","","",1))"),100.0)</f>
        <v>100</v>
      </c>
      <c r="R8182" s="14" t="b">
        <f t="shared" si="1"/>
        <v>1</v>
      </c>
      <c r="S8182" s="14" t="str">
        <f t="shared" si="2"/>
        <v>100.100,202</v>
      </c>
      <c r="T8182" s="12"/>
    </row>
    <row r="8183">
      <c r="A8183" s="112" t="s">
        <v>51330</v>
      </c>
      <c r="B8183" s="34"/>
      <c r="C8183" s="34" t="s">
        <v>51331</v>
      </c>
      <c r="D8183" s="34" t="s">
        <v>51013</v>
      </c>
      <c r="E8183" s="34"/>
      <c r="F8183" s="34"/>
      <c r="G8183" s="34"/>
      <c r="H8183" s="34"/>
      <c r="I8183" s="34"/>
      <c r="J8183" s="34"/>
      <c r="K8183" s="34"/>
      <c r="L8183" s="34"/>
      <c r="M8183" s="34"/>
      <c r="N8183" s="12"/>
      <c r="O8183" s="12"/>
      <c r="P8183" s="13">
        <f>IFERROR(__xludf.DUMMYFUNCTION("VALUE(SUBSTITUTE((INDEX(SPLIT(A8183,"",""),1)),""."","","",1))"),100.203)</f>
        <v>100.203</v>
      </c>
      <c r="Q8183" s="13">
        <f>IFERROR(__xludf.DUMMYFUNCTION("VALUE(SUBSTITUTE((INDEX(SPLIT(A8183,"",""),2)),""."","","",1))"),100.0)</f>
        <v>100</v>
      </c>
      <c r="R8183" s="14" t="b">
        <f t="shared" si="1"/>
        <v>1</v>
      </c>
      <c r="S8183" s="14" t="str">
        <f t="shared" si="2"/>
        <v>100.100,203</v>
      </c>
      <c r="T8183" s="12"/>
    </row>
    <row r="8184">
      <c r="A8184" s="112" t="s">
        <v>51332</v>
      </c>
      <c r="B8184" s="34"/>
      <c r="C8184" s="34" t="s">
        <v>51333</v>
      </c>
      <c r="D8184" s="34" t="s">
        <v>51013</v>
      </c>
      <c r="E8184" s="34"/>
      <c r="F8184" s="34"/>
      <c r="G8184" s="34"/>
      <c r="H8184" s="34"/>
      <c r="I8184" s="34"/>
      <c r="J8184" s="34"/>
      <c r="K8184" s="34"/>
      <c r="L8184" s="34"/>
      <c r="M8184" s="34"/>
      <c r="N8184" s="12"/>
      <c r="O8184" s="12"/>
      <c r="P8184" s="13">
        <f>IFERROR(__xludf.DUMMYFUNCTION("VALUE(SUBSTITUTE((INDEX(SPLIT(A8184,"",""),1)),""."","","",1))"),100.204)</f>
        <v>100.204</v>
      </c>
      <c r="Q8184" s="13">
        <f>IFERROR(__xludf.DUMMYFUNCTION("VALUE(SUBSTITUTE((INDEX(SPLIT(A8184,"",""),2)),""."","","",1))"),100.0)</f>
        <v>100</v>
      </c>
      <c r="R8184" s="14" t="b">
        <f t="shared" si="1"/>
        <v>1</v>
      </c>
      <c r="S8184" s="14" t="str">
        <f t="shared" si="2"/>
        <v>100.100,204</v>
      </c>
      <c r="T8184" s="12"/>
    </row>
    <row r="8185">
      <c r="A8185" s="112" t="s">
        <v>51334</v>
      </c>
      <c r="B8185" s="34"/>
      <c r="C8185" s="34" t="s">
        <v>32920</v>
      </c>
      <c r="D8185" s="34" t="s">
        <v>51013</v>
      </c>
      <c r="E8185" s="34"/>
      <c r="F8185" s="34"/>
      <c r="G8185" s="34"/>
      <c r="H8185" s="34"/>
      <c r="I8185" s="34"/>
      <c r="J8185" s="34"/>
      <c r="K8185" s="34"/>
      <c r="L8185" s="34"/>
      <c r="M8185" s="34"/>
      <c r="N8185" s="12"/>
      <c r="O8185" s="12"/>
      <c r="P8185" s="13">
        <f>IFERROR(__xludf.DUMMYFUNCTION("VALUE(SUBSTITUTE((INDEX(SPLIT(A8185,"",""),1)),""."","","",1))"),100.205)</f>
        <v>100.205</v>
      </c>
      <c r="Q8185" s="13">
        <f>IFERROR(__xludf.DUMMYFUNCTION("VALUE(SUBSTITUTE((INDEX(SPLIT(A8185,"",""),2)),""."","","",1))"),100.0)</f>
        <v>100</v>
      </c>
      <c r="R8185" s="14" t="b">
        <f t="shared" si="1"/>
        <v>1</v>
      </c>
      <c r="S8185" s="14" t="str">
        <f t="shared" si="2"/>
        <v>100.100,205</v>
      </c>
      <c r="T8185" s="12"/>
    </row>
    <row r="8186">
      <c r="A8186" s="112" t="s">
        <v>51335</v>
      </c>
      <c r="B8186" s="34"/>
      <c r="C8186" s="34" t="s">
        <v>51336</v>
      </c>
      <c r="D8186" s="34" t="s">
        <v>51013</v>
      </c>
      <c r="E8186" s="34"/>
      <c r="F8186" s="34"/>
      <c r="G8186" s="34"/>
      <c r="H8186" s="34"/>
      <c r="I8186" s="34"/>
      <c r="J8186" s="34"/>
      <c r="K8186" s="34"/>
      <c r="L8186" s="34"/>
      <c r="M8186" s="34"/>
      <c r="N8186" s="12"/>
      <c r="O8186" s="12"/>
      <c r="P8186" s="13">
        <f>IFERROR(__xludf.DUMMYFUNCTION("VALUE(SUBSTITUTE((INDEX(SPLIT(A8186,"",""),1)),""."","","",1))"),100.206)</f>
        <v>100.206</v>
      </c>
      <c r="Q8186" s="13">
        <f>IFERROR(__xludf.DUMMYFUNCTION("VALUE(SUBSTITUTE((INDEX(SPLIT(A8186,"",""),2)),""."","","",1))"),100.0)</f>
        <v>100</v>
      </c>
      <c r="R8186" s="14" t="b">
        <f t="shared" si="1"/>
        <v>1</v>
      </c>
      <c r="S8186" s="14" t="str">
        <f t="shared" si="2"/>
        <v>100.100,206</v>
      </c>
      <c r="T8186" s="12"/>
    </row>
    <row r="8187">
      <c r="A8187" s="112" t="s">
        <v>51337</v>
      </c>
      <c r="B8187" s="34"/>
      <c r="C8187" s="34" t="s">
        <v>51079</v>
      </c>
      <c r="D8187" s="34" t="s">
        <v>51013</v>
      </c>
      <c r="E8187" s="34"/>
      <c r="F8187" s="34"/>
      <c r="G8187" s="34"/>
      <c r="H8187" s="34"/>
      <c r="I8187" s="34"/>
      <c r="J8187" s="34"/>
      <c r="K8187" s="34"/>
      <c r="L8187" s="34"/>
      <c r="M8187" s="34"/>
      <c r="N8187" s="12"/>
      <c r="O8187" s="12"/>
      <c r="P8187" s="13">
        <f>IFERROR(__xludf.DUMMYFUNCTION("VALUE(SUBSTITUTE((INDEX(SPLIT(A8187,"",""),1)),""."","","",1))"),100.207)</f>
        <v>100.207</v>
      </c>
      <c r="Q8187" s="13">
        <f>IFERROR(__xludf.DUMMYFUNCTION("VALUE(SUBSTITUTE((INDEX(SPLIT(A8187,"",""),2)),""."","","",1))"),100.0)</f>
        <v>100</v>
      </c>
      <c r="R8187" s="14" t="b">
        <f t="shared" si="1"/>
        <v>1</v>
      </c>
      <c r="S8187" s="14" t="str">
        <f t="shared" si="2"/>
        <v>100.100,207</v>
      </c>
      <c r="T8187" s="12"/>
    </row>
    <row r="8188">
      <c r="A8188" s="112" t="s">
        <v>51338</v>
      </c>
      <c r="B8188" s="34"/>
      <c r="C8188" s="34" t="s">
        <v>51339</v>
      </c>
      <c r="D8188" s="34" t="s">
        <v>51013</v>
      </c>
      <c r="E8188" s="34"/>
      <c r="F8188" s="34"/>
      <c r="G8188" s="34"/>
      <c r="H8188" s="34"/>
      <c r="I8188" s="34"/>
      <c r="J8188" s="34"/>
      <c r="K8188" s="34"/>
      <c r="L8188" s="34"/>
      <c r="M8188" s="34"/>
      <c r="N8188" s="12"/>
      <c r="O8188" s="12"/>
      <c r="P8188" s="13">
        <f>IFERROR(__xludf.DUMMYFUNCTION("VALUE(SUBSTITUTE((INDEX(SPLIT(A8188,"",""),1)),""."","","",1))"),100.208)</f>
        <v>100.208</v>
      </c>
      <c r="Q8188" s="13">
        <f>IFERROR(__xludf.DUMMYFUNCTION("VALUE(SUBSTITUTE((INDEX(SPLIT(A8188,"",""),2)),""."","","",1))"),100.0)</f>
        <v>100</v>
      </c>
      <c r="R8188" s="14" t="b">
        <f t="shared" si="1"/>
        <v>1</v>
      </c>
      <c r="S8188" s="14" t="str">
        <f t="shared" si="2"/>
        <v>100.100,208</v>
      </c>
      <c r="T8188" s="12"/>
    </row>
    <row r="8189">
      <c r="A8189" s="112" t="s">
        <v>51340</v>
      </c>
      <c r="B8189" s="34"/>
      <c r="C8189" s="34" t="s">
        <v>32920</v>
      </c>
      <c r="D8189" s="34" t="s">
        <v>51013</v>
      </c>
      <c r="E8189" s="34"/>
      <c r="F8189" s="34"/>
      <c r="G8189" s="34"/>
      <c r="H8189" s="34"/>
      <c r="I8189" s="34"/>
      <c r="J8189" s="34"/>
      <c r="K8189" s="34"/>
      <c r="L8189" s="34"/>
      <c r="M8189" s="34"/>
      <c r="N8189" s="12"/>
      <c r="O8189" s="12"/>
      <c r="P8189" s="13">
        <f>IFERROR(__xludf.DUMMYFUNCTION("VALUE(SUBSTITUTE((INDEX(SPLIT(A8189,"",""),1)),""."","","",1))"),100.209)</f>
        <v>100.209</v>
      </c>
      <c r="Q8189" s="13">
        <f>IFERROR(__xludf.DUMMYFUNCTION("VALUE(SUBSTITUTE((INDEX(SPLIT(A8189,"",""),2)),""."","","",1))"),100.0)</f>
        <v>100</v>
      </c>
      <c r="R8189" s="14" t="b">
        <f t="shared" si="1"/>
        <v>1</v>
      </c>
      <c r="S8189" s="14" t="str">
        <f t="shared" si="2"/>
        <v>100.100,209</v>
      </c>
      <c r="T8189" s="12"/>
    </row>
    <row r="8190">
      <c r="A8190" s="112" t="s">
        <v>51021</v>
      </c>
      <c r="B8190" s="34"/>
      <c r="C8190" s="34" t="s">
        <v>51035</v>
      </c>
      <c r="D8190" s="34" t="s">
        <v>51013</v>
      </c>
      <c r="E8190" s="34"/>
      <c r="F8190" s="34"/>
      <c r="G8190" s="34"/>
      <c r="H8190" s="34"/>
      <c r="I8190" s="34"/>
      <c r="J8190" s="34"/>
      <c r="K8190" s="34"/>
      <c r="L8190" s="34"/>
      <c r="M8190" s="34"/>
      <c r="N8190" s="12"/>
      <c r="O8190" s="12"/>
      <c r="P8190" s="13">
        <f>IFERROR(__xludf.DUMMYFUNCTION("VALUE(SUBSTITUTE((INDEX(SPLIT(A8190,"",""),1)),""."","","",1))"),100.21)</f>
        <v>100.21</v>
      </c>
      <c r="Q8190" s="13">
        <f>IFERROR(__xludf.DUMMYFUNCTION("VALUE(SUBSTITUTE((INDEX(SPLIT(A8190,"",""),2)),""."","","",1))"),100.0)</f>
        <v>100</v>
      </c>
      <c r="R8190" s="14" t="b">
        <f t="shared" si="1"/>
        <v>1</v>
      </c>
      <c r="S8190" s="14" t="str">
        <f t="shared" si="2"/>
        <v>100.100,21</v>
      </c>
      <c r="T8190" s="12"/>
    </row>
    <row r="8191">
      <c r="A8191" s="112" t="s">
        <v>51341</v>
      </c>
      <c r="B8191" s="34"/>
      <c r="C8191" s="34" t="s">
        <v>51342</v>
      </c>
      <c r="D8191" s="34" t="s">
        <v>51013</v>
      </c>
      <c r="E8191" s="34"/>
      <c r="F8191" s="34"/>
      <c r="G8191" s="34"/>
      <c r="H8191" s="34"/>
      <c r="I8191" s="34"/>
      <c r="J8191" s="34"/>
      <c r="K8191" s="34"/>
      <c r="L8191" s="34"/>
      <c r="M8191" s="34"/>
      <c r="N8191" s="12"/>
      <c r="O8191" s="12"/>
      <c r="P8191" s="13">
        <f>IFERROR(__xludf.DUMMYFUNCTION("VALUE(SUBSTITUTE((INDEX(SPLIT(A8191,"",""),1)),""."","","",1))"),100.211)</f>
        <v>100.211</v>
      </c>
      <c r="Q8191" s="13">
        <f>IFERROR(__xludf.DUMMYFUNCTION("VALUE(SUBSTITUTE((INDEX(SPLIT(A8191,"",""),2)),""."","","",1))"),100.0)</f>
        <v>100</v>
      </c>
      <c r="R8191" s="14" t="b">
        <f t="shared" si="1"/>
        <v>1</v>
      </c>
      <c r="S8191" s="14" t="str">
        <f t="shared" si="2"/>
        <v>100.100,211</v>
      </c>
      <c r="T8191" s="12"/>
    </row>
    <row r="8192">
      <c r="A8192" s="112" t="s">
        <v>51343</v>
      </c>
      <c r="B8192" s="34"/>
      <c r="C8192" s="34" t="s">
        <v>51344</v>
      </c>
      <c r="D8192" s="34" t="s">
        <v>51013</v>
      </c>
      <c r="E8192" s="34"/>
      <c r="F8192" s="34"/>
      <c r="G8192" s="34"/>
      <c r="H8192" s="34"/>
      <c r="I8192" s="34"/>
      <c r="J8192" s="34"/>
      <c r="K8192" s="34"/>
      <c r="L8192" s="34"/>
      <c r="M8192" s="34"/>
      <c r="N8192" s="12"/>
      <c r="O8192" s="12"/>
      <c r="P8192" s="13">
        <f>IFERROR(__xludf.DUMMYFUNCTION("VALUE(SUBSTITUTE((INDEX(SPLIT(A8192,"",""),1)),""."","","",1))"),100.212)</f>
        <v>100.212</v>
      </c>
      <c r="Q8192" s="13">
        <f>IFERROR(__xludf.DUMMYFUNCTION("VALUE(SUBSTITUTE((INDEX(SPLIT(A8192,"",""),2)),""."","","",1))"),100.0)</f>
        <v>100</v>
      </c>
      <c r="R8192" s="14" t="b">
        <f t="shared" si="1"/>
        <v>1</v>
      </c>
      <c r="S8192" s="14" t="str">
        <f t="shared" si="2"/>
        <v>100.100,212</v>
      </c>
      <c r="T8192" s="12"/>
    </row>
    <row r="8193">
      <c r="A8193" s="112" t="s">
        <v>51345</v>
      </c>
      <c r="B8193" s="34"/>
      <c r="C8193" s="34" t="s">
        <v>51346</v>
      </c>
      <c r="D8193" s="34" t="s">
        <v>51013</v>
      </c>
      <c r="E8193" s="34"/>
      <c r="F8193" s="34"/>
      <c r="G8193" s="34"/>
      <c r="H8193" s="34"/>
      <c r="I8193" s="34"/>
      <c r="J8193" s="34"/>
      <c r="K8193" s="34"/>
      <c r="L8193" s="34"/>
      <c r="M8193" s="34"/>
      <c r="N8193" s="12"/>
      <c r="O8193" s="12"/>
      <c r="P8193" s="13">
        <f>IFERROR(__xludf.DUMMYFUNCTION("VALUE(SUBSTITUTE((INDEX(SPLIT(A8193,"",""),1)),""."","","",1))"),100.213)</f>
        <v>100.213</v>
      </c>
      <c r="Q8193" s="13">
        <f>IFERROR(__xludf.DUMMYFUNCTION("VALUE(SUBSTITUTE((INDEX(SPLIT(A8193,"",""),2)),""."","","",1))"),100.0)</f>
        <v>100</v>
      </c>
      <c r="R8193" s="14" t="b">
        <f t="shared" si="1"/>
        <v>1</v>
      </c>
      <c r="S8193" s="14" t="str">
        <f t="shared" si="2"/>
        <v>100.100,213</v>
      </c>
      <c r="T8193" s="12"/>
    </row>
    <row r="8194">
      <c r="A8194" s="112" t="s">
        <v>51347</v>
      </c>
      <c r="B8194" s="34"/>
      <c r="C8194" s="34" t="s">
        <v>51048</v>
      </c>
      <c r="D8194" s="34" t="s">
        <v>51013</v>
      </c>
      <c r="E8194" s="34"/>
      <c r="F8194" s="34"/>
      <c r="G8194" s="34"/>
      <c r="H8194" s="34"/>
      <c r="I8194" s="34"/>
      <c r="J8194" s="34"/>
      <c r="K8194" s="34"/>
      <c r="L8194" s="34"/>
      <c r="M8194" s="34"/>
      <c r="N8194" s="12"/>
      <c r="O8194" s="12"/>
      <c r="P8194" s="13">
        <f>IFERROR(__xludf.DUMMYFUNCTION("VALUE(SUBSTITUTE((INDEX(SPLIT(A8194,"",""),1)),""."","","",1))"),100.214)</f>
        <v>100.214</v>
      </c>
      <c r="Q8194" s="13">
        <f>IFERROR(__xludf.DUMMYFUNCTION("VALUE(SUBSTITUTE((INDEX(SPLIT(A8194,"",""),2)),""."","","",1))"),100.0)</f>
        <v>100</v>
      </c>
      <c r="R8194" s="14" t="b">
        <f t="shared" si="1"/>
        <v>1</v>
      </c>
      <c r="S8194" s="14" t="str">
        <f t="shared" si="2"/>
        <v>100.100,214</v>
      </c>
      <c r="T8194" s="12"/>
    </row>
    <row r="8195">
      <c r="A8195" s="112" t="s">
        <v>51348</v>
      </c>
      <c r="B8195" s="34"/>
      <c r="C8195" s="34" t="s">
        <v>51321</v>
      </c>
      <c r="D8195" s="34" t="s">
        <v>51013</v>
      </c>
      <c r="E8195" s="34"/>
      <c r="F8195" s="34"/>
      <c r="G8195" s="34"/>
      <c r="H8195" s="34"/>
      <c r="I8195" s="34"/>
      <c r="J8195" s="34"/>
      <c r="K8195" s="34"/>
      <c r="L8195" s="34"/>
      <c r="M8195" s="34"/>
      <c r="N8195" s="12"/>
      <c r="O8195" s="12"/>
      <c r="P8195" s="13">
        <f>IFERROR(__xludf.DUMMYFUNCTION("VALUE(SUBSTITUTE((INDEX(SPLIT(A8195,"",""),1)),""."","","",1))"),100.215)</f>
        <v>100.215</v>
      </c>
      <c r="Q8195" s="13">
        <f>IFERROR(__xludf.DUMMYFUNCTION("VALUE(SUBSTITUTE((INDEX(SPLIT(A8195,"",""),2)),""."","","",1))"),100.0)</f>
        <v>100</v>
      </c>
      <c r="R8195" s="14" t="b">
        <f t="shared" si="1"/>
        <v>1</v>
      </c>
      <c r="S8195" s="14" t="str">
        <f t="shared" si="2"/>
        <v>100.100,215</v>
      </c>
      <c r="T8195" s="12"/>
    </row>
    <row r="8196">
      <c r="A8196" s="112" t="s">
        <v>51349</v>
      </c>
      <c r="B8196" s="34"/>
      <c r="C8196" s="34" t="s">
        <v>51350</v>
      </c>
      <c r="D8196" s="34" t="s">
        <v>51013</v>
      </c>
      <c r="E8196" s="34"/>
      <c r="F8196" s="34"/>
      <c r="G8196" s="34"/>
      <c r="H8196" s="34"/>
      <c r="I8196" s="34"/>
      <c r="J8196" s="34"/>
      <c r="K8196" s="34"/>
      <c r="L8196" s="34"/>
      <c r="M8196" s="34"/>
      <c r="N8196" s="12"/>
      <c r="O8196" s="12"/>
      <c r="P8196" s="13">
        <f>IFERROR(__xludf.DUMMYFUNCTION("VALUE(SUBSTITUTE((INDEX(SPLIT(A8196,"",""),1)),""."","","",1))"),100.216)</f>
        <v>100.216</v>
      </c>
      <c r="Q8196" s="13">
        <f>IFERROR(__xludf.DUMMYFUNCTION("VALUE(SUBSTITUTE((INDEX(SPLIT(A8196,"",""),2)),""."","","",1))"),100.0)</f>
        <v>100</v>
      </c>
      <c r="R8196" s="14" t="b">
        <f t="shared" si="1"/>
        <v>1</v>
      </c>
      <c r="S8196" s="14" t="str">
        <f t="shared" si="2"/>
        <v>100.100,216</v>
      </c>
      <c r="T8196" s="12"/>
    </row>
    <row r="8197">
      <c r="A8197" s="112" t="s">
        <v>51351</v>
      </c>
      <c r="B8197" s="34"/>
      <c r="C8197" s="34" t="s">
        <v>51086</v>
      </c>
      <c r="D8197" s="34" t="s">
        <v>51013</v>
      </c>
      <c r="E8197" s="34"/>
      <c r="F8197" s="34"/>
      <c r="G8197" s="34"/>
      <c r="H8197" s="34"/>
      <c r="I8197" s="34"/>
      <c r="J8197" s="34"/>
      <c r="K8197" s="34"/>
      <c r="L8197" s="34"/>
      <c r="M8197" s="34"/>
      <c r="N8197" s="12"/>
      <c r="O8197" s="12"/>
      <c r="P8197" s="13">
        <f>IFERROR(__xludf.DUMMYFUNCTION("VALUE(SUBSTITUTE((INDEX(SPLIT(A8197,"",""),1)),""."","","",1))"),100.217)</f>
        <v>100.217</v>
      </c>
      <c r="Q8197" s="13">
        <f>IFERROR(__xludf.DUMMYFUNCTION("VALUE(SUBSTITUTE((INDEX(SPLIT(A8197,"",""),2)),""."","","",1))"),100.0)</f>
        <v>100</v>
      </c>
      <c r="R8197" s="14" t="b">
        <f t="shared" si="1"/>
        <v>1</v>
      </c>
      <c r="S8197" s="14" t="str">
        <f t="shared" si="2"/>
        <v>100.100,217</v>
      </c>
      <c r="T8197" s="12"/>
    </row>
    <row r="8198">
      <c r="A8198" s="112" t="s">
        <v>51352</v>
      </c>
      <c r="B8198" s="34"/>
      <c r="C8198" s="34" t="s">
        <v>51353</v>
      </c>
      <c r="D8198" s="34" t="s">
        <v>51013</v>
      </c>
      <c r="E8198" s="34"/>
      <c r="F8198" s="34"/>
      <c r="G8198" s="34"/>
      <c r="H8198" s="34"/>
      <c r="I8198" s="34"/>
      <c r="J8198" s="34"/>
      <c r="K8198" s="34"/>
      <c r="L8198" s="34"/>
      <c r="M8198" s="34"/>
      <c r="N8198" s="12"/>
      <c r="O8198" s="12"/>
      <c r="P8198" s="13">
        <f>IFERROR(__xludf.DUMMYFUNCTION("VALUE(SUBSTITUTE((INDEX(SPLIT(A8198,"",""),1)),""."","","",1))"),100.218)</f>
        <v>100.218</v>
      </c>
      <c r="Q8198" s="13">
        <f>IFERROR(__xludf.DUMMYFUNCTION("VALUE(SUBSTITUTE((INDEX(SPLIT(A8198,"",""),2)),""."","","",1))"),100.0)</f>
        <v>100</v>
      </c>
      <c r="R8198" s="14" t="b">
        <f t="shared" si="1"/>
        <v>1</v>
      </c>
      <c r="S8198" s="14" t="str">
        <f t="shared" si="2"/>
        <v>100.100,218</v>
      </c>
      <c r="T8198" s="12"/>
    </row>
    <row r="8199">
      <c r="A8199" s="112" t="s">
        <v>51354</v>
      </c>
      <c r="B8199" s="34"/>
      <c r="C8199" s="34" t="s">
        <v>32920</v>
      </c>
      <c r="D8199" s="34" t="s">
        <v>51013</v>
      </c>
      <c r="E8199" s="34"/>
      <c r="F8199" s="34"/>
      <c r="G8199" s="34"/>
      <c r="H8199" s="34"/>
      <c r="I8199" s="34"/>
      <c r="J8199" s="34"/>
      <c r="K8199" s="34"/>
      <c r="L8199" s="34"/>
      <c r="M8199" s="34"/>
      <c r="N8199" s="12"/>
      <c r="O8199" s="12"/>
      <c r="P8199" s="13">
        <f>IFERROR(__xludf.DUMMYFUNCTION("VALUE(SUBSTITUTE((INDEX(SPLIT(A8199,"",""),1)),""."","","",1))"),100.219)</f>
        <v>100.219</v>
      </c>
      <c r="Q8199" s="13">
        <f>IFERROR(__xludf.DUMMYFUNCTION("VALUE(SUBSTITUTE((INDEX(SPLIT(A8199,"",""),2)),""."","","",1))"),100.0)</f>
        <v>100</v>
      </c>
      <c r="R8199" s="14" t="b">
        <f t="shared" si="1"/>
        <v>1</v>
      </c>
      <c r="S8199" s="14" t="str">
        <f t="shared" si="2"/>
        <v>100.100,219</v>
      </c>
      <c r="T8199" s="12"/>
    </row>
    <row r="8200">
      <c r="A8200" s="112" t="s">
        <v>51023</v>
      </c>
      <c r="B8200" s="34"/>
      <c r="C8200" s="34" t="s">
        <v>51355</v>
      </c>
      <c r="D8200" s="34" t="s">
        <v>51013</v>
      </c>
      <c r="E8200" s="34"/>
      <c r="F8200" s="34"/>
      <c r="G8200" s="34"/>
      <c r="H8200" s="34"/>
      <c r="I8200" s="34"/>
      <c r="J8200" s="34"/>
      <c r="K8200" s="34"/>
      <c r="L8200" s="34"/>
      <c r="M8200" s="34"/>
      <c r="N8200" s="12"/>
      <c r="O8200" s="12"/>
      <c r="P8200" s="13">
        <f>IFERROR(__xludf.DUMMYFUNCTION("VALUE(SUBSTITUTE((INDEX(SPLIT(A8200,"",""),1)),""."","","",1))"),100.22)</f>
        <v>100.22</v>
      </c>
      <c r="Q8200" s="13">
        <f>IFERROR(__xludf.DUMMYFUNCTION("VALUE(SUBSTITUTE((INDEX(SPLIT(A8200,"",""),2)),""."","","",1))"),100.0)</f>
        <v>100</v>
      </c>
      <c r="R8200" s="14" t="b">
        <f t="shared" si="1"/>
        <v>1</v>
      </c>
      <c r="S8200" s="14" t="str">
        <f t="shared" si="2"/>
        <v>100.100,22</v>
      </c>
      <c r="T8200" s="12"/>
    </row>
    <row r="8201">
      <c r="A8201" s="112" t="s">
        <v>51356</v>
      </c>
      <c r="B8201" s="34"/>
      <c r="C8201" s="34" t="s">
        <v>51357</v>
      </c>
      <c r="D8201" s="34" t="s">
        <v>51013</v>
      </c>
      <c r="E8201" s="34"/>
      <c r="F8201" s="34"/>
      <c r="G8201" s="34"/>
      <c r="H8201" s="34"/>
      <c r="I8201" s="34"/>
      <c r="J8201" s="34"/>
      <c r="K8201" s="34"/>
      <c r="L8201" s="34"/>
      <c r="M8201" s="34"/>
      <c r="N8201" s="12"/>
      <c r="O8201" s="12"/>
      <c r="P8201" s="13">
        <f>IFERROR(__xludf.DUMMYFUNCTION("VALUE(SUBSTITUTE((INDEX(SPLIT(A8201,"",""),1)),""."","","",1))"),100.221)</f>
        <v>100.221</v>
      </c>
      <c r="Q8201" s="13">
        <f>IFERROR(__xludf.DUMMYFUNCTION("VALUE(SUBSTITUTE((INDEX(SPLIT(A8201,"",""),2)),""."","","",1))"),100.0)</f>
        <v>100</v>
      </c>
      <c r="R8201" s="14" t="b">
        <f t="shared" si="1"/>
        <v>1</v>
      </c>
      <c r="S8201" s="14" t="str">
        <f t="shared" si="2"/>
        <v>100.100,221</v>
      </c>
      <c r="T8201" s="12"/>
    </row>
    <row r="8202">
      <c r="A8202" s="112" t="s">
        <v>51358</v>
      </c>
      <c r="B8202" s="34"/>
      <c r="C8202" s="34" t="s">
        <v>51359</v>
      </c>
      <c r="D8202" s="34" t="s">
        <v>51013</v>
      </c>
      <c r="E8202" s="34"/>
      <c r="F8202" s="34"/>
      <c r="G8202" s="34"/>
      <c r="H8202" s="34"/>
      <c r="I8202" s="34"/>
      <c r="J8202" s="34"/>
      <c r="K8202" s="34"/>
      <c r="L8202" s="34"/>
      <c r="M8202" s="34"/>
      <c r="N8202" s="12"/>
      <c r="O8202" s="12"/>
      <c r="P8202" s="13">
        <f>IFERROR(__xludf.DUMMYFUNCTION("VALUE(SUBSTITUTE((INDEX(SPLIT(A8202,"",""),1)),""."","","",1))"),100.222)</f>
        <v>100.222</v>
      </c>
      <c r="Q8202" s="13">
        <f>IFERROR(__xludf.DUMMYFUNCTION("VALUE(SUBSTITUTE((INDEX(SPLIT(A8202,"",""),2)),""."","","",1))"),100.0)</f>
        <v>100</v>
      </c>
      <c r="R8202" s="14" t="b">
        <f t="shared" si="1"/>
        <v>1</v>
      </c>
      <c r="S8202" s="14" t="str">
        <f t="shared" si="2"/>
        <v>100.100,222</v>
      </c>
      <c r="T8202" s="12"/>
    </row>
    <row r="8203">
      <c r="A8203" s="112" t="s">
        <v>51360</v>
      </c>
      <c r="B8203" s="34"/>
      <c r="C8203" s="34" t="s">
        <v>51022</v>
      </c>
      <c r="D8203" s="34" t="s">
        <v>51013</v>
      </c>
      <c r="E8203" s="34"/>
      <c r="F8203" s="34"/>
      <c r="G8203" s="34"/>
      <c r="H8203" s="34"/>
      <c r="I8203" s="34"/>
      <c r="J8203" s="34"/>
      <c r="K8203" s="34"/>
      <c r="L8203" s="34"/>
      <c r="M8203" s="34"/>
      <c r="N8203" s="12"/>
      <c r="O8203" s="12"/>
      <c r="P8203" s="13">
        <f>IFERROR(__xludf.DUMMYFUNCTION("VALUE(SUBSTITUTE((INDEX(SPLIT(A8203,"",""),1)),""."","","",1))"),100.223)</f>
        <v>100.223</v>
      </c>
      <c r="Q8203" s="13">
        <f>IFERROR(__xludf.DUMMYFUNCTION("VALUE(SUBSTITUTE((INDEX(SPLIT(A8203,"",""),2)),""."","","",1))"),100.0)</f>
        <v>100</v>
      </c>
      <c r="R8203" s="14" t="b">
        <f t="shared" si="1"/>
        <v>1</v>
      </c>
      <c r="S8203" s="14" t="str">
        <f t="shared" si="2"/>
        <v>100.100,223</v>
      </c>
      <c r="T8203" s="12"/>
    </row>
    <row r="8204">
      <c r="A8204" s="112" t="s">
        <v>51361</v>
      </c>
      <c r="B8204" s="34"/>
      <c r="C8204" s="34" t="s">
        <v>51362</v>
      </c>
      <c r="D8204" s="34" t="s">
        <v>51013</v>
      </c>
      <c r="E8204" s="34"/>
      <c r="F8204" s="34"/>
      <c r="G8204" s="34"/>
      <c r="H8204" s="34"/>
      <c r="I8204" s="34"/>
      <c r="J8204" s="34"/>
      <c r="K8204" s="34"/>
      <c r="L8204" s="34"/>
      <c r="M8204" s="34"/>
      <c r="N8204" s="12"/>
      <c r="O8204" s="12"/>
      <c r="P8204" s="13">
        <f>IFERROR(__xludf.DUMMYFUNCTION("VALUE(SUBSTITUTE((INDEX(SPLIT(A8204,"",""),1)),""."","","",1))"),100.224)</f>
        <v>100.224</v>
      </c>
      <c r="Q8204" s="13">
        <f>IFERROR(__xludf.DUMMYFUNCTION("VALUE(SUBSTITUTE((INDEX(SPLIT(A8204,"",""),2)),""."","","",1))"),100.0)</f>
        <v>100</v>
      </c>
      <c r="R8204" s="14" t="b">
        <f t="shared" si="1"/>
        <v>1</v>
      </c>
      <c r="S8204" s="14" t="str">
        <f t="shared" si="2"/>
        <v>100.100,224</v>
      </c>
      <c r="T8204" s="12"/>
    </row>
    <row r="8205">
      <c r="A8205" s="112" t="s">
        <v>51363</v>
      </c>
      <c r="B8205" s="34"/>
      <c r="C8205" s="34" t="s">
        <v>51364</v>
      </c>
      <c r="D8205" s="34" t="s">
        <v>51013</v>
      </c>
      <c r="E8205" s="34"/>
      <c r="F8205" s="34"/>
      <c r="G8205" s="34"/>
      <c r="H8205" s="34"/>
      <c r="I8205" s="34"/>
      <c r="J8205" s="34"/>
      <c r="K8205" s="34"/>
      <c r="L8205" s="34"/>
      <c r="M8205" s="34"/>
      <c r="N8205" s="12"/>
      <c r="O8205" s="12"/>
      <c r="P8205" s="13">
        <f>IFERROR(__xludf.DUMMYFUNCTION("VALUE(SUBSTITUTE((INDEX(SPLIT(A8205,"",""),1)),""."","","",1))"),100.225)</f>
        <v>100.225</v>
      </c>
      <c r="Q8205" s="13">
        <f>IFERROR(__xludf.DUMMYFUNCTION("VALUE(SUBSTITUTE((INDEX(SPLIT(A8205,"",""),2)),""."","","",1))"),100.0)</f>
        <v>100</v>
      </c>
      <c r="R8205" s="14" t="b">
        <f t="shared" si="1"/>
        <v>1</v>
      </c>
      <c r="S8205" s="14" t="str">
        <f t="shared" si="2"/>
        <v>100.100,225</v>
      </c>
      <c r="T8205" s="12"/>
    </row>
    <row r="8206">
      <c r="A8206" s="112" t="s">
        <v>51365</v>
      </c>
      <c r="B8206" s="34"/>
      <c r="C8206" s="34" t="s">
        <v>51027</v>
      </c>
      <c r="D8206" s="34" t="s">
        <v>51013</v>
      </c>
      <c r="E8206" s="34"/>
      <c r="F8206" s="34"/>
      <c r="G8206" s="34"/>
      <c r="H8206" s="34"/>
      <c r="I8206" s="34"/>
      <c r="J8206" s="34"/>
      <c r="K8206" s="34"/>
      <c r="L8206" s="34"/>
      <c r="M8206" s="34"/>
      <c r="N8206" s="12"/>
      <c r="O8206" s="12"/>
      <c r="P8206" s="13">
        <f>IFERROR(__xludf.DUMMYFUNCTION("VALUE(SUBSTITUTE((INDEX(SPLIT(A8206,"",""),1)),""."","","",1))"),100.226)</f>
        <v>100.226</v>
      </c>
      <c r="Q8206" s="13">
        <f>IFERROR(__xludf.DUMMYFUNCTION("VALUE(SUBSTITUTE((INDEX(SPLIT(A8206,"",""),2)),""."","","",1))"),100.0)</f>
        <v>100</v>
      </c>
      <c r="R8206" s="14" t="b">
        <f t="shared" si="1"/>
        <v>1</v>
      </c>
      <c r="S8206" s="14" t="str">
        <f t="shared" si="2"/>
        <v>100.100,226</v>
      </c>
      <c r="T8206" s="12"/>
    </row>
    <row r="8207">
      <c r="A8207" s="112" t="s">
        <v>51366</v>
      </c>
      <c r="B8207" s="34"/>
      <c r="C8207" s="34" t="s">
        <v>51065</v>
      </c>
      <c r="D8207" s="34" t="s">
        <v>51013</v>
      </c>
      <c r="E8207" s="34"/>
      <c r="F8207" s="34"/>
      <c r="G8207" s="34"/>
      <c r="H8207" s="34"/>
      <c r="I8207" s="34"/>
      <c r="J8207" s="34"/>
      <c r="K8207" s="34"/>
      <c r="L8207" s="34"/>
      <c r="M8207" s="34"/>
      <c r="N8207" s="12"/>
      <c r="O8207" s="12"/>
      <c r="P8207" s="13">
        <f>IFERROR(__xludf.DUMMYFUNCTION("VALUE(SUBSTITUTE((INDEX(SPLIT(A8207,"",""),1)),""."","","",1))"),100.227)</f>
        <v>100.227</v>
      </c>
      <c r="Q8207" s="13">
        <f>IFERROR(__xludf.DUMMYFUNCTION("VALUE(SUBSTITUTE((INDEX(SPLIT(A8207,"",""),2)),""."","","",1))"),100.0)</f>
        <v>100</v>
      </c>
      <c r="R8207" s="14" t="b">
        <f t="shared" si="1"/>
        <v>1</v>
      </c>
      <c r="S8207" s="14" t="str">
        <f t="shared" si="2"/>
        <v>100.100,227</v>
      </c>
      <c r="T8207" s="12"/>
    </row>
    <row r="8208">
      <c r="A8208" s="112" t="s">
        <v>51367</v>
      </c>
      <c r="B8208" s="34"/>
      <c r="C8208" s="34" t="s">
        <v>51368</v>
      </c>
      <c r="D8208" s="34" t="s">
        <v>51013</v>
      </c>
      <c r="E8208" s="34"/>
      <c r="F8208" s="34"/>
      <c r="G8208" s="34"/>
      <c r="H8208" s="34"/>
      <c r="I8208" s="34"/>
      <c r="J8208" s="34"/>
      <c r="K8208" s="34"/>
      <c r="L8208" s="34"/>
      <c r="M8208" s="34"/>
      <c r="N8208" s="12"/>
      <c r="O8208" s="12"/>
      <c r="P8208" s="13">
        <f>IFERROR(__xludf.DUMMYFUNCTION("VALUE(SUBSTITUTE((INDEX(SPLIT(A8208,"",""),1)),""."","","",1))"),100.228)</f>
        <v>100.228</v>
      </c>
      <c r="Q8208" s="13">
        <f>IFERROR(__xludf.DUMMYFUNCTION("VALUE(SUBSTITUTE((INDEX(SPLIT(A8208,"",""),2)),""."","","",1))"),100.0)</f>
        <v>100</v>
      </c>
      <c r="R8208" s="14" t="b">
        <f t="shared" si="1"/>
        <v>1</v>
      </c>
      <c r="S8208" s="14" t="str">
        <f t="shared" si="2"/>
        <v>100.100,228</v>
      </c>
      <c r="T8208" s="12"/>
    </row>
    <row r="8209">
      <c r="A8209" s="112" t="s">
        <v>51369</v>
      </c>
      <c r="B8209" s="34"/>
      <c r="C8209" s="34" t="s">
        <v>51370</v>
      </c>
      <c r="D8209" s="34" t="s">
        <v>51013</v>
      </c>
      <c r="E8209" s="34"/>
      <c r="F8209" s="34"/>
      <c r="G8209" s="34"/>
      <c r="H8209" s="34"/>
      <c r="I8209" s="34"/>
      <c r="J8209" s="34"/>
      <c r="K8209" s="34"/>
      <c r="L8209" s="34"/>
      <c r="M8209" s="34"/>
      <c r="N8209" s="12"/>
      <c r="O8209" s="12"/>
      <c r="P8209" s="13">
        <f>IFERROR(__xludf.DUMMYFUNCTION("VALUE(SUBSTITUTE((INDEX(SPLIT(A8209,"",""),1)),""."","","",1))"),100.229)</f>
        <v>100.229</v>
      </c>
      <c r="Q8209" s="13">
        <f>IFERROR(__xludf.DUMMYFUNCTION("VALUE(SUBSTITUTE((INDEX(SPLIT(A8209,"",""),2)),""."","","",1))"),100.0)</f>
        <v>100</v>
      </c>
      <c r="R8209" s="14" t="b">
        <f t="shared" si="1"/>
        <v>1</v>
      </c>
      <c r="S8209" s="14" t="str">
        <f t="shared" si="2"/>
        <v>100.100,229</v>
      </c>
      <c r="T8209" s="12"/>
    </row>
    <row r="8210">
      <c r="A8210" s="112" t="s">
        <v>51024</v>
      </c>
      <c r="B8210" s="34"/>
      <c r="C8210" s="34" t="s">
        <v>51371</v>
      </c>
      <c r="D8210" s="34" t="s">
        <v>51013</v>
      </c>
      <c r="E8210" s="34"/>
      <c r="F8210" s="34"/>
      <c r="G8210" s="34"/>
      <c r="H8210" s="34"/>
      <c r="I8210" s="34"/>
      <c r="J8210" s="34"/>
      <c r="K8210" s="34"/>
      <c r="L8210" s="34"/>
      <c r="M8210" s="34"/>
      <c r="N8210" s="12"/>
      <c r="O8210" s="12"/>
      <c r="P8210" s="13">
        <f>IFERROR(__xludf.DUMMYFUNCTION("VALUE(SUBSTITUTE((INDEX(SPLIT(A8210,"",""),1)),""."","","",1))"),100.23)</f>
        <v>100.23</v>
      </c>
      <c r="Q8210" s="13">
        <f>IFERROR(__xludf.DUMMYFUNCTION("VALUE(SUBSTITUTE((INDEX(SPLIT(A8210,"",""),2)),""."","","",1))"),100.0)</f>
        <v>100</v>
      </c>
      <c r="R8210" s="14" t="b">
        <f t="shared" si="1"/>
        <v>1</v>
      </c>
      <c r="S8210" s="14" t="str">
        <f t="shared" si="2"/>
        <v>100.100,23</v>
      </c>
      <c r="T8210" s="12"/>
    </row>
    <row r="8211">
      <c r="A8211" s="112" t="s">
        <v>51372</v>
      </c>
      <c r="B8211" s="34"/>
      <c r="C8211" s="34" t="s">
        <v>51373</v>
      </c>
      <c r="D8211" s="34" t="s">
        <v>51013</v>
      </c>
      <c r="E8211" s="34"/>
      <c r="F8211" s="34"/>
      <c r="G8211" s="34"/>
      <c r="H8211" s="34"/>
      <c r="I8211" s="34"/>
      <c r="J8211" s="34"/>
      <c r="K8211" s="34"/>
      <c r="L8211" s="34"/>
      <c r="M8211" s="34"/>
      <c r="N8211" s="12"/>
      <c r="O8211" s="12"/>
      <c r="P8211" s="13">
        <f>IFERROR(__xludf.DUMMYFUNCTION("VALUE(SUBSTITUTE((INDEX(SPLIT(A8211,"",""),1)),""."","","",1))"),100.231)</f>
        <v>100.231</v>
      </c>
      <c r="Q8211" s="13">
        <f>IFERROR(__xludf.DUMMYFUNCTION("VALUE(SUBSTITUTE((INDEX(SPLIT(A8211,"",""),2)),""."","","",1))"),100.0)</f>
        <v>100</v>
      </c>
      <c r="R8211" s="14" t="b">
        <f t="shared" si="1"/>
        <v>1</v>
      </c>
      <c r="S8211" s="14" t="str">
        <f t="shared" si="2"/>
        <v>100.100,231</v>
      </c>
      <c r="T8211" s="12"/>
    </row>
    <row r="8212">
      <c r="A8212" s="112" t="s">
        <v>51374</v>
      </c>
      <c r="B8212" s="34"/>
      <c r="C8212" s="34" t="s">
        <v>51375</v>
      </c>
      <c r="D8212" s="34" t="s">
        <v>51013</v>
      </c>
      <c r="E8212" s="34"/>
      <c r="F8212" s="34"/>
      <c r="G8212" s="34"/>
      <c r="H8212" s="34"/>
      <c r="I8212" s="34"/>
      <c r="J8212" s="34"/>
      <c r="K8212" s="34"/>
      <c r="L8212" s="34"/>
      <c r="M8212" s="34"/>
      <c r="N8212" s="12"/>
      <c r="O8212" s="12"/>
      <c r="P8212" s="13">
        <f>IFERROR(__xludf.DUMMYFUNCTION("VALUE(SUBSTITUTE((INDEX(SPLIT(A8212,"",""),1)),""."","","",1))"),100.232)</f>
        <v>100.232</v>
      </c>
      <c r="Q8212" s="13">
        <f>IFERROR(__xludf.DUMMYFUNCTION("VALUE(SUBSTITUTE((INDEX(SPLIT(A8212,"",""),2)),""."","","",1))"),100.0)</f>
        <v>100</v>
      </c>
      <c r="R8212" s="14" t="b">
        <f t="shared" si="1"/>
        <v>1</v>
      </c>
      <c r="S8212" s="14" t="str">
        <f t="shared" si="2"/>
        <v>100.100,232</v>
      </c>
      <c r="T8212" s="12"/>
    </row>
    <row r="8213">
      <c r="A8213" s="112" t="s">
        <v>51376</v>
      </c>
      <c r="B8213" s="34"/>
      <c r="C8213" s="34" t="s">
        <v>51339</v>
      </c>
      <c r="D8213" s="34" t="s">
        <v>51013</v>
      </c>
      <c r="E8213" s="34"/>
      <c r="F8213" s="34"/>
      <c r="G8213" s="34"/>
      <c r="H8213" s="34"/>
      <c r="I8213" s="34"/>
      <c r="J8213" s="34"/>
      <c r="K8213" s="34"/>
      <c r="L8213" s="34"/>
      <c r="M8213" s="34"/>
      <c r="N8213" s="12"/>
      <c r="O8213" s="12"/>
      <c r="P8213" s="13">
        <f>IFERROR(__xludf.DUMMYFUNCTION("VALUE(SUBSTITUTE((INDEX(SPLIT(A8213,"",""),1)),""."","","",1))"),100.233)</f>
        <v>100.233</v>
      </c>
      <c r="Q8213" s="13">
        <f>IFERROR(__xludf.DUMMYFUNCTION("VALUE(SUBSTITUTE((INDEX(SPLIT(A8213,"",""),2)),""."","","",1))"),100.0)</f>
        <v>100</v>
      </c>
      <c r="R8213" s="14" t="b">
        <f t="shared" si="1"/>
        <v>1</v>
      </c>
      <c r="S8213" s="14" t="str">
        <f t="shared" si="2"/>
        <v>100.100,233</v>
      </c>
      <c r="T8213" s="12"/>
    </row>
    <row r="8214">
      <c r="A8214" s="112" t="s">
        <v>51377</v>
      </c>
      <c r="B8214" s="34"/>
      <c r="C8214" s="34" t="s">
        <v>51093</v>
      </c>
      <c r="D8214" s="34" t="s">
        <v>51013</v>
      </c>
      <c r="E8214" s="34"/>
      <c r="F8214" s="34"/>
      <c r="G8214" s="34"/>
      <c r="H8214" s="34"/>
      <c r="I8214" s="34"/>
      <c r="J8214" s="34"/>
      <c r="K8214" s="34"/>
      <c r="L8214" s="34"/>
      <c r="M8214" s="34"/>
      <c r="N8214" s="12"/>
      <c r="O8214" s="12"/>
      <c r="P8214" s="13">
        <f>IFERROR(__xludf.DUMMYFUNCTION("VALUE(SUBSTITUTE((INDEX(SPLIT(A8214,"",""),1)),""."","","",1))"),100.234)</f>
        <v>100.234</v>
      </c>
      <c r="Q8214" s="13">
        <f>IFERROR(__xludf.DUMMYFUNCTION("VALUE(SUBSTITUTE((INDEX(SPLIT(A8214,"",""),2)),""."","","",1))"),100.0)</f>
        <v>100</v>
      </c>
      <c r="R8214" s="14" t="b">
        <f t="shared" si="1"/>
        <v>1</v>
      </c>
      <c r="S8214" s="14" t="str">
        <f t="shared" si="2"/>
        <v>100.100,234</v>
      </c>
      <c r="T8214" s="12"/>
    </row>
    <row r="8215">
      <c r="A8215" s="112" t="s">
        <v>51378</v>
      </c>
      <c r="B8215" s="34"/>
      <c r="C8215" s="34" t="s">
        <v>51379</v>
      </c>
      <c r="D8215" s="34" t="s">
        <v>51013</v>
      </c>
      <c r="E8215" s="34"/>
      <c r="F8215" s="34"/>
      <c r="G8215" s="34"/>
      <c r="H8215" s="34"/>
      <c r="I8215" s="34"/>
      <c r="J8215" s="34"/>
      <c r="K8215" s="34"/>
      <c r="L8215" s="34"/>
      <c r="M8215" s="34"/>
      <c r="N8215" s="12"/>
      <c r="O8215" s="12"/>
      <c r="P8215" s="13">
        <f>IFERROR(__xludf.DUMMYFUNCTION("VALUE(SUBSTITUTE((INDEX(SPLIT(A8215,"",""),1)),""."","","",1))"),100.235)</f>
        <v>100.235</v>
      </c>
      <c r="Q8215" s="13">
        <f>IFERROR(__xludf.DUMMYFUNCTION("VALUE(SUBSTITUTE((INDEX(SPLIT(A8215,"",""),2)),""."","","",1))"),100.0)</f>
        <v>100</v>
      </c>
      <c r="R8215" s="14" t="b">
        <f t="shared" si="1"/>
        <v>1</v>
      </c>
      <c r="S8215" s="14" t="str">
        <f t="shared" si="2"/>
        <v>100.100,235</v>
      </c>
      <c r="T8215" s="12"/>
    </row>
    <row r="8216">
      <c r="A8216" s="112" t="s">
        <v>51380</v>
      </c>
      <c r="B8216" s="34"/>
      <c r="C8216" s="34" t="s">
        <v>51381</v>
      </c>
      <c r="D8216" s="34" t="s">
        <v>51013</v>
      </c>
      <c r="E8216" s="34"/>
      <c r="F8216" s="34"/>
      <c r="G8216" s="34"/>
      <c r="H8216" s="34"/>
      <c r="I8216" s="34"/>
      <c r="J8216" s="34"/>
      <c r="K8216" s="34"/>
      <c r="L8216" s="34"/>
      <c r="M8216" s="34"/>
      <c r="N8216" s="12"/>
      <c r="O8216" s="12"/>
      <c r="P8216" s="13">
        <f>IFERROR(__xludf.DUMMYFUNCTION("VALUE(SUBSTITUTE((INDEX(SPLIT(A8216,"",""),1)),""."","","",1))"),100.236)</f>
        <v>100.236</v>
      </c>
      <c r="Q8216" s="13">
        <f>IFERROR(__xludf.DUMMYFUNCTION("VALUE(SUBSTITUTE((INDEX(SPLIT(A8216,"",""),2)),""."","","",1))"),100.0)</f>
        <v>100</v>
      </c>
      <c r="R8216" s="14" t="b">
        <f t="shared" si="1"/>
        <v>1</v>
      </c>
      <c r="S8216" s="14" t="str">
        <f t="shared" si="2"/>
        <v>100.100,236</v>
      </c>
      <c r="T8216" s="12"/>
    </row>
    <row r="8217">
      <c r="A8217" s="112" t="s">
        <v>51382</v>
      </c>
      <c r="B8217" s="34"/>
      <c r="C8217" s="34" t="s">
        <v>51383</v>
      </c>
      <c r="D8217" s="34" t="s">
        <v>51013</v>
      </c>
      <c r="E8217" s="34"/>
      <c r="F8217" s="34"/>
      <c r="G8217" s="34"/>
      <c r="H8217" s="34"/>
      <c r="I8217" s="34"/>
      <c r="J8217" s="34"/>
      <c r="K8217" s="34"/>
      <c r="L8217" s="34"/>
      <c r="M8217" s="34"/>
      <c r="N8217" s="12"/>
      <c r="O8217" s="12"/>
      <c r="P8217" s="13">
        <f>IFERROR(__xludf.DUMMYFUNCTION("VALUE(SUBSTITUTE((INDEX(SPLIT(A8217,"",""),1)),""."","","",1))"),100.237)</f>
        <v>100.237</v>
      </c>
      <c r="Q8217" s="13">
        <f>IFERROR(__xludf.DUMMYFUNCTION("VALUE(SUBSTITUTE((INDEX(SPLIT(A8217,"",""),2)),""."","","",1))"),100.0)</f>
        <v>100</v>
      </c>
      <c r="R8217" s="14" t="b">
        <f t="shared" si="1"/>
        <v>1</v>
      </c>
      <c r="S8217" s="14" t="str">
        <f t="shared" si="2"/>
        <v>100.100,237</v>
      </c>
      <c r="T8217" s="12"/>
    </row>
    <row r="8218">
      <c r="A8218" s="112" t="s">
        <v>51384</v>
      </c>
      <c r="B8218" s="34"/>
      <c r="C8218" s="34" t="s">
        <v>51033</v>
      </c>
      <c r="D8218" s="34" t="s">
        <v>51013</v>
      </c>
      <c r="E8218" s="34"/>
      <c r="F8218" s="34"/>
      <c r="G8218" s="34"/>
      <c r="H8218" s="34"/>
      <c r="I8218" s="34"/>
      <c r="J8218" s="34"/>
      <c r="K8218" s="34"/>
      <c r="L8218" s="34"/>
      <c r="M8218" s="34"/>
      <c r="N8218" s="12"/>
      <c r="O8218" s="12"/>
      <c r="P8218" s="13">
        <f>IFERROR(__xludf.DUMMYFUNCTION("VALUE(SUBSTITUTE((INDEX(SPLIT(A8218,"",""),1)),""."","","",1))"),100.238)</f>
        <v>100.238</v>
      </c>
      <c r="Q8218" s="13">
        <f>IFERROR(__xludf.DUMMYFUNCTION("VALUE(SUBSTITUTE((INDEX(SPLIT(A8218,"",""),2)),""."","","",1))"),100.0)</f>
        <v>100</v>
      </c>
      <c r="R8218" s="14" t="b">
        <f t="shared" si="1"/>
        <v>1</v>
      </c>
      <c r="S8218" s="14" t="str">
        <f t="shared" si="2"/>
        <v>100.100,238</v>
      </c>
      <c r="T8218" s="12"/>
    </row>
    <row r="8219">
      <c r="A8219" s="112" t="s">
        <v>51385</v>
      </c>
      <c r="B8219" s="34"/>
      <c r="C8219" s="34" t="s">
        <v>51386</v>
      </c>
      <c r="D8219" s="34" t="s">
        <v>51013</v>
      </c>
      <c r="E8219" s="34"/>
      <c r="F8219" s="34"/>
      <c r="G8219" s="34"/>
      <c r="H8219" s="34"/>
      <c r="I8219" s="34"/>
      <c r="J8219" s="34"/>
      <c r="K8219" s="34"/>
      <c r="L8219" s="34"/>
      <c r="M8219" s="34"/>
      <c r="N8219" s="12"/>
      <c r="O8219" s="12"/>
      <c r="P8219" s="13">
        <f>IFERROR(__xludf.DUMMYFUNCTION("VALUE(SUBSTITUTE((INDEX(SPLIT(A8219,"",""),1)),""."","","",1))"),100.239)</f>
        <v>100.239</v>
      </c>
      <c r="Q8219" s="13">
        <f>IFERROR(__xludf.DUMMYFUNCTION("VALUE(SUBSTITUTE((INDEX(SPLIT(A8219,"",""),2)),""."","","",1))"),100.0)</f>
        <v>100</v>
      </c>
      <c r="R8219" s="14" t="b">
        <f t="shared" si="1"/>
        <v>1</v>
      </c>
      <c r="S8219" s="14" t="str">
        <f t="shared" si="2"/>
        <v>100.100,239</v>
      </c>
      <c r="T8219" s="12"/>
    </row>
    <row r="8220">
      <c r="A8220" s="112" t="s">
        <v>51026</v>
      </c>
      <c r="B8220" s="34"/>
      <c r="C8220" s="34" t="s">
        <v>51387</v>
      </c>
      <c r="D8220" s="34" t="s">
        <v>51013</v>
      </c>
      <c r="E8220" s="34"/>
      <c r="F8220" s="34"/>
      <c r="G8220" s="34"/>
      <c r="H8220" s="34"/>
      <c r="I8220" s="34"/>
      <c r="J8220" s="34"/>
      <c r="K8220" s="34"/>
      <c r="L8220" s="34"/>
      <c r="M8220" s="34"/>
      <c r="N8220" s="12"/>
      <c r="O8220" s="12"/>
      <c r="P8220" s="13">
        <f>IFERROR(__xludf.DUMMYFUNCTION("VALUE(SUBSTITUTE((INDEX(SPLIT(A8220,"",""),1)),""."","","",1))"),100.24)</f>
        <v>100.24</v>
      </c>
      <c r="Q8220" s="13">
        <f>IFERROR(__xludf.DUMMYFUNCTION("VALUE(SUBSTITUTE((INDEX(SPLIT(A8220,"",""),2)),""."","","",1))"),100.0)</f>
        <v>100</v>
      </c>
      <c r="R8220" s="14" t="b">
        <f t="shared" si="1"/>
        <v>1</v>
      </c>
      <c r="S8220" s="14" t="str">
        <f t="shared" si="2"/>
        <v>100.100,24</v>
      </c>
      <c r="T8220" s="12"/>
    </row>
    <row r="8221">
      <c r="A8221" s="112" t="s">
        <v>51388</v>
      </c>
      <c r="B8221" s="34"/>
      <c r="C8221" s="34" t="s">
        <v>51389</v>
      </c>
      <c r="D8221" s="34" t="s">
        <v>51013</v>
      </c>
      <c r="E8221" s="34"/>
      <c r="F8221" s="34"/>
      <c r="G8221" s="34"/>
      <c r="H8221" s="34"/>
      <c r="I8221" s="34"/>
      <c r="J8221" s="34"/>
      <c r="K8221" s="34"/>
      <c r="L8221" s="34"/>
      <c r="M8221" s="34"/>
      <c r="N8221" s="12"/>
      <c r="O8221" s="12"/>
      <c r="P8221" s="13">
        <f>IFERROR(__xludf.DUMMYFUNCTION("VALUE(SUBSTITUTE((INDEX(SPLIT(A8221,"",""),1)),""."","","",1))"),100.241)</f>
        <v>100.241</v>
      </c>
      <c r="Q8221" s="13">
        <f>IFERROR(__xludf.DUMMYFUNCTION("VALUE(SUBSTITUTE((INDEX(SPLIT(A8221,"",""),2)),""."","","",1))"),100.0)</f>
        <v>100</v>
      </c>
      <c r="R8221" s="14" t="b">
        <f t="shared" si="1"/>
        <v>1</v>
      </c>
      <c r="S8221" s="14" t="str">
        <f t="shared" si="2"/>
        <v>100.100,241</v>
      </c>
      <c r="T8221" s="12"/>
    </row>
    <row r="8222">
      <c r="A8222" s="112" t="s">
        <v>51390</v>
      </c>
      <c r="B8222" s="34"/>
      <c r="C8222" s="34" t="s">
        <v>51391</v>
      </c>
      <c r="D8222" s="34" t="s">
        <v>51013</v>
      </c>
      <c r="E8222" s="34"/>
      <c r="F8222" s="34"/>
      <c r="G8222" s="34"/>
      <c r="H8222" s="34"/>
      <c r="I8222" s="34"/>
      <c r="J8222" s="34"/>
      <c r="K8222" s="34"/>
      <c r="L8222" s="34"/>
      <c r="M8222" s="34"/>
      <c r="N8222" s="12"/>
      <c r="O8222" s="12"/>
      <c r="P8222" s="13">
        <f>IFERROR(__xludf.DUMMYFUNCTION("VALUE(SUBSTITUTE((INDEX(SPLIT(A8222,"",""),1)),""."","","",1))"),100.242)</f>
        <v>100.242</v>
      </c>
      <c r="Q8222" s="13">
        <f>IFERROR(__xludf.DUMMYFUNCTION("VALUE(SUBSTITUTE((INDEX(SPLIT(A8222,"",""),2)),""."","","",1))"),100.0)</f>
        <v>100</v>
      </c>
      <c r="R8222" s="14" t="b">
        <f t="shared" si="1"/>
        <v>1</v>
      </c>
      <c r="S8222" s="14" t="str">
        <f t="shared" si="2"/>
        <v>100.100,242</v>
      </c>
      <c r="T8222" s="12"/>
    </row>
    <row r="8223">
      <c r="A8223" s="112" t="s">
        <v>51392</v>
      </c>
      <c r="B8223" s="34"/>
      <c r="C8223" s="34" t="s">
        <v>51137</v>
      </c>
      <c r="D8223" s="34" t="s">
        <v>51013</v>
      </c>
      <c r="E8223" s="34"/>
      <c r="F8223" s="34"/>
      <c r="G8223" s="34"/>
      <c r="H8223" s="34"/>
      <c r="I8223" s="34"/>
      <c r="J8223" s="34"/>
      <c r="K8223" s="34"/>
      <c r="L8223" s="34"/>
      <c r="M8223" s="34"/>
      <c r="N8223" s="12"/>
      <c r="O8223" s="12"/>
      <c r="P8223" s="13">
        <f>IFERROR(__xludf.DUMMYFUNCTION("VALUE(SUBSTITUTE((INDEX(SPLIT(A8223,"",""),1)),""."","","",1))"),100.243)</f>
        <v>100.243</v>
      </c>
      <c r="Q8223" s="13">
        <f>IFERROR(__xludf.DUMMYFUNCTION("VALUE(SUBSTITUTE((INDEX(SPLIT(A8223,"",""),2)),""."","","",1))"),100.0)</f>
        <v>100</v>
      </c>
      <c r="R8223" s="14" t="b">
        <f t="shared" si="1"/>
        <v>1</v>
      </c>
      <c r="S8223" s="14" t="str">
        <f t="shared" si="2"/>
        <v>100.100,243</v>
      </c>
      <c r="T8223" s="12"/>
    </row>
    <row r="8224">
      <c r="A8224" s="112" t="s">
        <v>51393</v>
      </c>
      <c r="B8224" s="34"/>
      <c r="C8224" s="34" t="s">
        <v>51394</v>
      </c>
      <c r="D8224" s="34" t="s">
        <v>51013</v>
      </c>
      <c r="E8224" s="34"/>
      <c r="F8224" s="34"/>
      <c r="G8224" s="34"/>
      <c r="H8224" s="34"/>
      <c r="I8224" s="34"/>
      <c r="J8224" s="34"/>
      <c r="K8224" s="34"/>
      <c r="L8224" s="34"/>
      <c r="M8224" s="34"/>
      <c r="N8224" s="12"/>
      <c r="O8224" s="12"/>
      <c r="P8224" s="13">
        <f>IFERROR(__xludf.DUMMYFUNCTION("VALUE(SUBSTITUTE((INDEX(SPLIT(A8224,"",""),1)),""."","","",1))"),100.244)</f>
        <v>100.244</v>
      </c>
      <c r="Q8224" s="13">
        <f>IFERROR(__xludf.DUMMYFUNCTION("VALUE(SUBSTITUTE((INDEX(SPLIT(A8224,"",""),2)),""."","","",1))"),100.0)</f>
        <v>100</v>
      </c>
      <c r="R8224" s="14" t="b">
        <f t="shared" si="1"/>
        <v>1</v>
      </c>
      <c r="S8224" s="14" t="str">
        <f t="shared" si="2"/>
        <v>100.100,244</v>
      </c>
      <c r="T8224" s="12"/>
    </row>
    <row r="8225">
      <c r="A8225" s="112" t="s">
        <v>51395</v>
      </c>
      <c r="B8225" s="34"/>
      <c r="C8225" s="34" t="s">
        <v>51027</v>
      </c>
      <c r="D8225" s="34" t="s">
        <v>51013</v>
      </c>
      <c r="E8225" s="34"/>
      <c r="F8225" s="34"/>
      <c r="G8225" s="34"/>
      <c r="H8225" s="34"/>
      <c r="I8225" s="34"/>
      <c r="J8225" s="34"/>
      <c r="K8225" s="34"/>
      <c r="L8225" s="34"/>
      <c r="M8225" s="34"/>
      <c r="N8225" s="12"/>
      <c r="O8225" s="12"/>
      <c r="P8225" s="13">
        <f>IFERROR(__xludf.DUMMYFUNCTION("VALUE(SUBSTITUTE((INDEX(SPLIT(A8225,"",""),1)),""."","","",1))"),100.245)</f>
        <v>100.245</v>
      </c>
      <c r="Q8225" s="13">
        <f>IFERROR(__xludf.DUMMYFUNCTION("VALUE(SUBSTITUTE((INDEX(SPLIT(A8225,"",""),2)),""."","","",1))"),100.0)</f>
        <v>100</v>
      </c>
      <c r="R8225" s="14" t="b">
        <f t="shared" si="1"/>
        <v>1</v>
      </c>
      <c r="S8225" s="14" t="str">
        <f t="shared" si="2"/>
        <v>100.100,245</v>
      </c>
      <c r="T8225" s="12"/>
    </row>
    <row r="8226">
      <c r="A8226" s="112" t="s">
        <v>51396</v>
      </c>
      <c r="B8226" s="34"/>
      <c r="C8226" s="34" t="s">
        <v>51255</v>
      </c>
      <c r="D8226" s="34" t="s">
        <v>51013</v>
      </c>
      <c r="E8226" s="34"/>
      <c r="F8226" s="34"/>
      <c r="G8226" s="34"/>
      <c r="H8226" s="34"/>
      <c r="I8226" s="34"/>
      <c r="J8226" s="34"/>
      <c r="K8226" s="34"/>
      <c r="L8226" s="34"/>
      <c r="M8226" s="34"/>
      <c r="N8226" s="12"/>
      <c r="O8226" s="12"/>
      <c r="P8226" s="13">
        <f>IFERROR(__xludf.DUMMYFUNCTION("VALUE(SUBSTITUTE((INDEX(SPLIT(A8226,"",""),1)),""."","","",1))"),100.246)</f>
        <v>100.246</v>
      </c>
      <c r="Q8226" s="13">
        <f>IFERROR(__xludf.DUMMYFUNCTION("VALUE(SUBSTITUTE((INDEX(SPLIT(A8226,"",""),2)),""."","","",1))"),100.0)</f>
        <v>100</v>
      </c>
      <c r="R8226" s="14" t="b">
        <f t="shared" si="1"/>
        <v>1</v>
      </c>
      <c r="S8226" s="14" t="str">
        <f t="shared" si="2"/>
        <v>100.100,246</v>
      </c>
      <c r="T8226" s="12"/>
    </row>
    <row r="8227">
      <c r="A8227" s="112" t="s">
        <v>51397</v>
      </c>
      <c r="B8227" s="34"/>
      <c r="C8227" s="34" t="s">
        <v>51398</v>
      </c>
      <c r="D8227" s="34" t="s">
        <v>51013</v>
      </c>
      <c r="E8227" s="34"/>
      <c r="F8227" s="34"/>
      <c r="G8227" s="34"/>
      <c r="H8227" s="34"/>
      <c r="I8227" s="34"/>
      <c r="J8227" s="34"/>
      <c r="K8227" s="34"/>
      <c r="L8227" s="34"/>
      <c r="M8227" s="34"/>
      <c r="N8227" s="12"/>
      <c r="O8227" s="12"/>
      <c r="P8227" s="13">
        <f>IFERROR(__xludf.DUMMYFUNCTION("VALUE(SUBSTITUTE((INDEX(SPLIT(A8227,"",""),1)),""."","","",1))"),100.247)</f>
        <v>100.247</v>
      </c>
      <c r="Q8227" s="13">
        <f>IFERROR(__xludf.DUMMYFUNCTION("VALUE(SUBSTITUTE((INDEX(SPLIT(A8227,"",""),2)),""."","","",1))"),100.0)</f>
        <v>100</v>
      </c>
      <c r="R8227" s="14" t="b">
        <f t="shared" si="1"/>
        <v>1</v>
      </c>
      <c r="S8227" s="14" t="str">
        <f t="shared" si="2"/>
        <v>100.100,247</v>
      </c>
      <c r="T8227" s="12"/>
    </row>
    <row r="8228">
      <c r="A8228" s="112" t="s">
        <v>51399</v>
      </c>
      <c r="B8228" s="34"/>
      <c r="C8228" s="34" t="s">
        <v>51137</v>
      </c>
      <c r="D8228" s="34" t="s">
        <v>51013</v>
      </c>
      <c r="E8228" s="34"/>
      <c r="F8228" s="34"/>
      <c r="G8228" s="34"/>
      <c r="H8228" s="34"/>
      <c r="I8228" s="34"/>
      <c r="J8228" s="34"/>
      <c r="K8228" s="34"/>
      <c r="L8228" s="34"/>
      <c r="M8228" s="34"/>
      <c r="N8228" s="12"/>
      <c r="O8228" s="12"/>
      <c r="P8228" s="13">
        <f>IFERROR(__xludf.DUMMYFUNCTION("VALUE(SUBSTITUTE((INDEX(SPLIT(A8228,"",""),1)),""."","","",1))"),100.248)</f>
        <v>100.248</v>
      </c>
      <c r="Q8228" s="13">
        <f>IFERROR(__xludf.DUMMYFUNCTION("VALUE(SUBSTITUTE((INDEX(SPLIT(A8228,"",""),2)),""."","","",1))"),100.0)</f>
        <v>100</v>
      </c>
      <c r="R8228" s="14" t="b">
        <f t="shared" si="1"/>
        <v>1</v>
      </c>
      <c r="S8228" s="14" t="str">
        <f t="shared" si="2"/>
        <v>100.100,248</v>
      </c>
      <c r="T8228" s="12"/>
    </row>
    <row r="8229">
      <c r="A8229" s="112" t="s">
        <v>51400</v>
      </c>
      <c r="B8229" s="34"/>
      <c r="C8229" s="34" t="s">
        <v>51401</v>
      </c>
      <c r="D8229" s="34" t="s">
        <v>51013</v>
      </c>
      <c r="E8229" s="34"/>
      <c r="F8229" s="34"/>
      <c r="G8229" s="34"/>
      <c r="H8229" s="34"/>
      <c r="I8229" s="34"/>
      <c r="J8229" s="34"/>
      <c r="K8229" s="34"/>
      <c r="L8229" s="34"/>
      <c r="M8229" s="34"/>
      <c r="N8229" s="12"/>
      <c r="O8229" s="12"/>
      <c r="P8229" s="13">
        <f>IFERROR(__xludf.DUMMYFUNCTION("VALUE(SUBSTITUTE((INDEX(SPLIT(A8229,"",""),1)),""."","","",1))"),100.249)</f>
        <v>100.249</v>
      </c>
      <c r="Q8229" s="13">
        <f>IFERROR(__xludf.DUMMYFUNCTION("VALUE(SUBSTITUTE((INDEX(SPLIT(A8229,"",""),2)),""."","","",1))"),100.0)</f>
        <v>100</v>
      </c>
      <c r="R8229" s="14" t="b">
        <f t="shared" si="1"/>
        <v>1</v>
      </c>
      <c r="S8229" s="14" t="str">
        <f t="shared" si="2"/>
        <v>100.100,249</v>
      </c>
      <c r="T8229" s="12"/>
    </row>
    <row r="8230">
      <c r="A8230" s="112" t="s">
        <v>51028</v>
      </c>
      <c r="B8230" s="34"/>
      <c r="C8230" s="34" t="s">
        <v>51402</v>
      </c>
      <c r="D8230" s="34" t="s">
        <v>51013</v>
      </c>
      <c r="E8230" s="34"/>
      <c r="F8230" s="34"/>
      <c r="G8230" s="34"/>
      <c r="H8230" s="34"/>
      <c r="I8230" s="34"/>
      <c r="J8230" s="34"/>
      <c r="K8230" s="34"/>
      <c r="L8230" s="34"/>
      <c r="M8230" s="34"/>
      <c r="N8230" s="12"/>
      <c r="O8230" s="12"/>
      <c r="P8230" s="13">
        <f>IFERROR(__xludf.DUMMYFUNCTION("VALUE(SUBSTITUTE((INDEX(SPLIT(A8230,"",""),1)),""."","","",1))"),100.25)</f>
        <v>100.25</v>
      </c>
      <c r="Q8230" s="13">
        <f>IFERROR(__xludf.DUMMYFUNCTION("VALUE(SUBSTITUTE((INDEX(SPLIT(A8230,"",""),2)),""."","","",1))"),100.0)</f>
        <v>100</v>
      </c>
      <c r="R8230" s="14" t="b">
        <f t="shared" si="1"/>
        <v>1</v>
      </c>
      <c r="S8230" s="14" t="str">
        <f t="shared" si="2"/>
        <v>100.100,25</v>
      </c>
      <c r="T8230" s="12"/>
    </row>
    <row r="8231">
      <c r="A8231" s="112" t="s">
        <v>51403</v>
      </c>
      <c r="B8231" s="34"/>
      <c r="C8231" s="34" t="s">
        <v>51404</v>
      </c>
      <c r="D8231" s="34" t="s">
        <v>51013</v>
      </c>
      <c r="E8231" s="34"/>
      <c r="F8231" s="34"/>
      <c r="G8231" s="34"/>
      <c r="H8231" s="34"/>
      <c r="I8231" s="34"/>
      <c r="J8231" s="34"/>
      <c r="K8231" s="34"/>
      <c r="L8231" s="34"/>
      <c r="M8231" s="34"/>
      <c r="N8231" s="12"/>
      <c r="O8231" s="12"/>
      <c r="P8231" s="13">
        <f>IFERROR(__xludf.DUMMYFUNCTION("VALUE(SUBSTITUTE((INDEX(SPLIT(A8231,"",""),1)),""."","","",1))"),100.251)</f>
        <v>100.251</v>
      </c>
      <c r="Q8231" s="13">
        <f>IFERROR(__xludf.DUMMYFUNCTION("VALUE(SUBSTITUTE((INDEX(SPLIT(A8231,"",""),2)),""."","","",1))"),100.0)</f>
        <v>100</v>
      </c>
      <c r="R8231" s="14" t="b">
        <f t="shared" si="1"/>
        <v>1</v>
      </c>
      <c r="S8231" s="14" t="str">
        <f t="shared" si="2"/>
        <v>100.100,251</v>
      </c>
      <c r="T8231" s="12"/>
    </row>
    <row r="8232">
      <c r="A8232" s="112" t="s">
        <v>51405</v>
      </c>
      <c r="B8232" s="34"/>
      <c r="C8232" s="34" t="s">
        <v>51383</v>
      </c>
      <c r="D8232" s="34" t="s">
        <v>51013</v>
      </c>
      <c r="E8232" s="34"/>
      <c r="F8232" s="34"/>
      <c r="G8232" s="34"/>
      <c r="H8232" s="34"/>
      <c r="I8232" s="34"/>
      <c r="J8232" s="34"/>
      <c r="K8232" s="34"/>
      <c r="L8232" s="34"/>
      <c r="M8232" s="34"/>
      <c r="N8232" s="12"/>
      <c r="O8232" s="12"/>
      <c r="P8232" s="13">
        <f>IFERROR(__xludf.DUMMYFUNCTION("VALUE(SUBSTITUTE((INDEX(SPLIT(A8232,"",""),1)),""."","","",1))"),100.252)</f>
        <v>100.252</v>
      </c>
      <c r="Q8232" s="13">
        <f>IFERROR(__xludf.DUMMYFUNCTION("VALUE(SUBSTITUTE((INDEX(SPLIT(A8232,"",""),2)),""."","","",1))"),100.0)</f>
        <v>100</v>
      </c>
      <c r="R8232" s="14" t="b">
        <f t="shared" si="1"/>
        <v>1</v>
      </c>
      <c r="S8232" s="14" t="str">
        <f t="shared" si="2"/>
        <v>100.100,252</v>
      </c>
      <c r="T8232" s="12"/>
    </row>
    <row r="8233">
      <c r="A8233" s="112" t="s">
        <v>51406</v>
      </c>
      <c r="B8233" s="34"/>
      <c r="C8233" s="34" t="s">
        <v>51407</v>
      </c>
      <c r="D8233" s="34" t="s">
        <v>51013</v>
      </c>
      <c r="E8233" s="34"/>
      <c r="F8233" s="34"/>
      <c r="G8233" s="34"/>
      <c r="H8233" s="34"/>
      <c r="I8233" s="34"/>
      <c r="J8233" s="34"/>
      <c r="K8233" s="34"/>
      <c r="L8233" s="34"/>
      <c r="M8233" s="34"/>
      <c r="N8233" s="12"/>
      <c r="O8233" s="12"/>
      <c r="P8233" s="13">
        <f>IFERROR(__xludf.DUMMYFUNCTION("VALUE(SUBSTITUTE((INDEX(SPLIT(A8233,"",""),1)),""."","","",1))"),100.253)</f>
        <v>100.253</v>
      </c>
      <c r="Q8233" s="13">
        <f>IFERROR(__xludf.DUMMYFUNCTION("VALUE(SUBSTITUTE((INDEX(SPLIT(A8233,"",""),2)),""."","","",1))"),100.0)</f>
        <v>100</v>
      </c>
      <c r="R8233" s="14" t="b">
        <f t="shared" si="1"/>
        <v>1</v>
      </c>
      <c r="S8233" s="14" t="str">
        <f t="shared" si="2"/>
        <v>100.100,253</v>
      </c>
      <c r="T8233" s="12"/>
    </row>
    <row r="8234">
      <c r="A8234" s="112" t="s">
        <v>51408</v>
      </c>
      <c r="B8234" s="34"/>
      <c r="C8234" s="34" t="s">
        <v>51015</v>
      </c>
      <c r="D8234" s="34" t="s">
        <v>51013</v>
      </c>
      <c r="E8234" s="34"/>
      <c r="F8234" s="34"/>
      <c r="G8234" s="34"/>
      <c r="H8234" s="34"/>
      <c r="I8234" s="34"/>
      <c r="J8234" s="34"/>
      <c r="K8234" s="34"/>
      <c r="L8234" s="34"/>
      <c r="M8234" s="34"/>
      <c r="N8234" s="12"/>
      <c r="O8234" s="12"/>
      <c r="P8234" s="13">
        <f>IFERROR(__xludf.DUMMYFUNCTION("VALUE(SUBSTITUTE((INDEX(SPLIT(A8234,"",""),1)),""."","","",1))"),100.254)</f>
        <v>100.254</v>
      </c>
      <c r="Q8234" s="13">
        <f>IFERROR(__xludf.DUMMYFUNCTION("VALUE(SUBSTITUTE((INDEX(SPLIT(A8234,"",""),2)),""."","","",1))"),100.0)</f>
        <v>100</v>
      </c>
      <c r="R8234" s="14" t="b">
        <f t="shared" si="1"/>
        <v>1</v>
      </c>
      <c r="S8234" s="14" t="str">
        <f t="shared" si="2"/>
        <v>100.100,254</v>
      </c>
      <c r="T8234" s="12"/>
    </row>
    <row r="8235">
      <c r="A8235" s="112" t="s">
        <v>51409</v>
      </c>
      <c r="B8235" s="34"/>
      <c r="C8235" s="34" t="s">
        <v>51410</v>
      </c>
      <c r="D8235" s="34" t="s">
        <v>51013</v>
      </c>
      <c r="E8235" s="34"/>
      <c r="F8235" s="34"/>
      <c r="G8235" s="34"/>
      <c r="H8235" s="34"/>
      <c r="I8235" s="34"/>
      <c r="J8235" s="34"/>
      <c r="K8235" s="34"/>
      <c r="L8235" s="34"/>
      <c r="M8235" s="34"/>
      <c r="N8235" s="12"/>
      <c r="O8235" s="12"/>
      <c r="P8235" s="13">
        <f>IFERROR(__xludf.DUMMYFUNCTION("VALUE(SUBSTITUTE((INDEX(SPLIT(A8235,"",""),1)),""."","","",1))"),100.255)</f>
        <v>100.255</v>
      </c>
      <c r="Q8235" s="13">
        <f>IFERROR(__xludf.DUMMYFUNCTION("VALUE(SUBSTITUTE((INDEX(SPLIT(A8235,"",""),2)),""."","","",1))"),100.0)</f>
        <v>100</v>
      </c>
      <c r="R8235" s="14" t="b">
        <f t="shared" si="1"/>
        <v>1</v>
      </c>
      <c r="S8235" s="14" t="str">
        <f t="shared" si="2"/>
        <v>100.100,255</v>
      </c>
      <c r="T8235" s="12"/>
    </row>
    <row r="8236">
      <c r="A8236" s="112" t="s">
        <v>51411</v>
      </c>
      <c r="B8236" s="34"/>
      <c r="C8236" s="34" t="s">
        <v>51251</v>
      </c>
      <c r="D8236" s="34" t="s">
        <v>51013</v>
      </c>
      <c r="E8236" s="34"/>
      <c r="F8236" s="34"/>
      <c r="G8236" s="34"/>
      <c r="H8236" s="34"/>
      <c r="I8236" s="34"/>
      <c r="J8236" s="34"/>
      <c r="K8236" s="34"/>
      <c r="L8236" s="34"/>
      <c r="M8236" s="34"/>
      <c r="N8236" s="12"/>
      <c r="O8236" s="12"/>
      <c r="P8236" s="13">
        <f>IFERROR(__xludf.DUMMYFUNCTION("VALUE(SUBSTITUTE((INDEX(SPLIT(A8236,"",""),1)),""."","","",1))"),100.256)</f>
        <v>100.256</v>
      </c>
      <c r="Q8236" s="13">
        <f>IFERROR(__xludf.DUMMYFUNCTION("VALUE(SUBSTITUTE((INDEX(SPLIT(A8236,"",""),2)),""."","","",1))"),100.0)</f>
        <v>100</v>
      </c>
      <c r="R8236" s="14" t="b">
        <f t="shared" si="1"/>
        <v>1</v>
      </c>
      <c r="S8236" s="14" t="str">
        <f t="shared" si="2"/>
        <v>100.100,256</v>
      </c>
      <c r="T8236" s="12"/>
    </row>
    <row r="8237">
      <c r="A8237" s="112" t="s">
        <v>51412</v>
      </c>
      <c r="B8237" s="34"/>
      <c r="C8237" s="34" t="s">
        <v>51413</v>
      </c>
      <c r="D8237" s="34" t="s">
        <v>51013</v>
      </c>
      <c r="E8237" s="34"/>
      <c r="F8237" s="34"/>
      <c r="G8237" s="34"/>
      <c r="H8237" s="34"/>
      <c r="I8237" s="34"/>
      <c r="J8237" s="34"/>
      <c r="K8237" s="34"/>
      <c r="L8237" s="34"/>
      <c r="M8237" s="34"/>
      <c r="N8237" s="12"/>
      <c r="O8237" s="12"/>
      <c r="P8237" s="13">
        <f>IFERROR(__xludf.DUMMYFUNCTION("VALUE(SUBSTITUTE((INDEX(SPLIT(A8237,"",""),1)),""."","","",1))"),100.257)</f>
        <v>100.257</v>
      </c>
      <c r="Q8237" s="13">
        <f>IFERROR(__xludf.DUMMYFUNCTION("VALUE(SUBSTITUTE((INDEX(SPLIT(A8237,"",""),2)),""."","","",1))"),100.0)</f>
        <v>100</v>
      </c>
      <c r="R8237" s="14" t="b">
        <f t="shared" si="1"/>
        <v>1</v>
      </c>
      <c r="S8237" s="14" t="str">
        <f t="shared" si="2"/>
        <v>100.100,257</v>
      </c>
      <c r="T8237" s="12"/>
    </row>
    <row r="8238">
      <c r="A8238" s="112" t="s">
        <v>51414</v>
      </c>
      <c r="B8238" s="34"/>
      <c r="C8238" s="34" t="s">
        <v>51415</v>
      </c>
      <c r="D8238" s="34" t="s">
        <v>51013</v>
      </c>
      <c r="E8238" s="34"/>
      <c r="F8238" s="34"/>
      <c r="G8238" s="34"/>
      <c r="H8238" s="34"/>
      <c r="I8238" s="34"/>
      <c r="J8238" s="34"/>
      <c r="K8238" s="34"/>
      <c r="L8238" s="34"/>
      <c r="M8238" s="34"/>
      <c r="N8238" s="12"/>
      <c r="O8238" s="12"/>
      <c r="P8238" s="13">
        <f>IFERROR(__xludf.DUMMYFUNCTION("VALUE(SUBSTITUTE((INDEX(SPLIT(A8238,"",""),1)),""."","","",1))"),100.258)</f>
        <v>100.258</v>
      </c>
      <c r="Q8238" s="13">
        <f>IFERROR(__xludf.DUMMYFUNCTION("VALUE(SUBSTITUTE((INDEX(SPLIT(A8238,"",""),2)),""."","","",1))"),100.0)</f>
        <v>100</v>
      </c>
      <c r="R8238" s="14" t="b">
        <f t="shared" si="1"/>
        <v>1</v>
      </c>
      <c r="S8238" s="14" t="str">
        <f t="shared" si="2"/>
        <v>100.100,258</v>
      </c>
      <c r="T8238" s="12"/>
    </row>
    <row r="8239">
      <c r="A8239" s="112" t="s">
        <v>51416</v>
      </c>
      <c r="B8239" s="34"/>
      <c r="C8239" s="34" t="s">
        <v>51417</v>
      </c>
      <c r="D8239" s="34" t="s">
        <v>51013</v>
      </c>
      <c r="E8239" s="34"/>
      <c r="F8239" s="34"/>
      <c r="G8239" s="34"/>
      <c r="H8239" s="34"/>
      <c r="I8239" s="34"/>
      <c r="J8239" s="34"/>
      <c r="K8239" s="34"/>
      <c r="L8239" s="34"/>
      <c r="M8239" s="34"/>
      <c r="N8239" s="12"/>
      <c r="O8239" s="12"/>
      <c r="P8239" s="13">
        <f>IFERROR(__xludf.DUMMYFUNCTION("VALUE(SUBSTITUTE((INDEX(SPLIT(A8239,"",""),1)),""."","","",1))"),100.259)</f>
        <v>100.259</v>
      </c>
      <c r="Q8239" s="13">
        <f>IFERROR(__xludf.DUMMYFUNCTION("VALUE(SUBSTITUTE((INDEX(SPLIT(A8239,"",""),2)),""."","","",1))"),100.0)</f>
        <v>100</v>
      </c>
      <c r="R8239" s="14" t="b">
        <f t="shared" si="1"/>
        <v>1</v>
      </c>
      <c r="S8239" s="14" t="str">
        <f t="shared" si="2"/>
        <v>100.100,259</v>
      </c>
      <c r="T8239" s="12"/>
    </row>
    <row r="8240">
      <c r="A8240" s="112" t="s">
        <v>51030</v>
      </c>
      <c r="B8240" s="34"/>
      <c r="C8240" s="34" t="s">
        <v>51418</v>
      </c>
      <c r="D8240" s="34" t="s">
        <v>51013</v>
      </c>
      <c r="E8240" s="34"/>
      <c r="F8240" s="34"/>
      <c r="G8240" s="34"/>
      <c r="H8240" s="34"/>
      <c r="I8240" s="34"/>
      <c r="J8240" s="34"/>
      <c r="K8240" s="34"/>
      <c r="L8240" s="34"/>
      <c r="M8240" s="34"/>
      <c r="N8240" s="12"/>
      <c r="O8240" s="12"/>
      <c r="P8240" s="13">
        <f>IFERROR(__xludf.DUMMYFUNCTION("VALUE(SUBSTITUTE((INDEX(SPLIT(A8240,"",""),1)),""."","","",1))"),100.26)</f>
        <v>100.26</v>
      </c>
      <c r="Q8240" s="13">
        <f>IFERROR(__xludf.DUMMYFUNCTION("VALUE(SUBSTITUTE((INDEX(SPLIT(A8240,"",""),2)),""."","","",1))"),100.0)</f>
        <v>100</v>
      </c>
      <c r="R8240" s="14" t="b">
        <f t="shared" si="1"/>
        <v>1</v>
      </c>
      <c r="S8240" s="14" t="str">
        <f t="shared" si="2"/>
        <v>100.100,26</v>
      </c>
      <c r="T8240" s="12"/>
    </row>
    <row r="8241">
      <c r="A8241" s="112" t="s">
        <v>51419</v>
      </c>
      <c r="B8241" s="34"/>
      <c r="C8241" s="34" t="s">
        <v>51420</v>
      </c>
      <c r="D8241" s="34" t="s">
        <v>51013</v>
      </c>
      <c r="E8241" s="34"/>
      <c r="F8241" s="34"/>
      <c r="G8241" s="34"/>
      <c r="H8241" s="34"/>
      <c r="I8241" s="34"/>
      <c r="J8241" s="34"/>
      <c r="K8241" s="34"/>
      <c r="L8241" s="34"/>
      <c r="M8241" s="34"/>
      <c r="N8241" s="12"/>
      <c r="O8241" s="12"/>
      <c r="P8241" s="13">
        <f>IFERROR(__xludf.DUMMYFUNCTION("VALUE(SUBSTITUTE((INDEX(SPLIT(A8241,"",""),1)),""."","","",1))"),100.261)</f>
        <v>100.261</v>
      </c>
      <c r="Q8241" s="13">
        <f>IFERROR(__xludf.DUMMYFUNCTION("VALUE(SUBSTITUTE((INDEX(SPLIT(A8241,"",""),2)),""."","","",1))"),100.0)</f>
        <v>100</v>
      </c>
      <c r="R8241" s="14" t="b">
        <f t="shared" si="1"/>
        <v>1</v>
      </c>
      <c r="S8241" s="14" t="str">
        <f t="shared" si="2"/>
        <v>100.100,261</v>
      </c>
      <c r="T8241" s="12"/>
    </row>
    <row r="8242">
      <c r="A8242" s="112" t="s">
        <v>51421</v>
      </c>
      <c r="B8242" s="34"/>
      <c r="C8242" s="34" t="s">
        <v>51422</v>
      </c>
      <c r="D8242" s="34" t="s">
        <v>51013</v>
      </c>
      <c r="E8242" s="34"/>
      <c r="F8242" s="34"/>
      <c r="G8242" s="34"/>
      <c r="H8242" s="34"/>
      <c r="I8242" s="34"/>
      <c r="J8242" s="34"/>
      <c r="K8242" s="34"/>
      <c r="L8242" s="34"/>
      <c r="M8242" s="34"/>
      <c r="N8242" s="12"/>
      <c r="O8242" s="12"/>
      <c r="P8242" s="13">
        <f>IFERROR(__xludf.DUMMYFUNCTION("VALUE(SUBSTITUTE((INDEX(SPLIT(A8242,"",""),1)),""."","","",1))"),100.262)</f>
        <v>100.262</v>
      </c>
      <c r="Q8242" s="13">
        <f>IFERROR(__xludf.DUMMYFUNCTION("VALUE(SUBSTITUTE((INDEX(SPLIT(A8242,"",""),2)),""."","","",1))"),100.0)</f>
        <v>100</v>
      </c>
      <c r="R8242" s="14" t="b">
        <f t="shared" si="1"/>
        <v>1</v>
      </c>
      <c r="S8242" s="14" t="str">
        <f t="shared" si="2"/>
        <v>100.100,262</v>
      </c>
      <c r="T8242" s="12"/>
    </row>
    <row r="8243">
      <c r="A8243" s="112" t="s">
        <v>51423</v>
      </c>
      <c r="B8243" s="34"/>
      <c r="C8243" s="34" t="s">
        <v>51424</v>
      </c>
      <c r="D8243" s="34" t="s">
        <v>51013</v>
      </c>
      <c r="E8243" s="34"/>
      <c r="F8243" s="34"/>
      <c r="G8243" s="34"/>
      <c r="H8243" s="34"/>
      <c r="I8243" s="34"/>
      <c r="J8243" s="34"/>
      <c r="K8243" s="34"/>
      <c r="L8243" s="34"/>
      <c r="M8243" s="34"/>
      <c r="N8243" s="12"/>
      <c r="O8243" s="12"/>
      <c r="P8243" s="13">
        <f>IFERROR(__xludf.DUMMYFUNCTION("VALUE(SUBSTITUTE((INDEX(SPLIT(A8243,"",""),1)),""."","","",1))"),100.263)</f>
        <v>100.263</v>
      </c>
      <c r="Q8243" s="13">
        <f>IFERROR(__xludf.DUMMYFUNCTION("VALUE(SUBSTITUTE((INDEX(SPLIT(A8243,"",""),2)),""."","","",1))"),100.0)</f>
        <v>100</v>
      </c>
      <c r="R8243" s="14" t="b">
        <f t="shared" si="1"/>
        <v>1</v>
      </c>
      <c r="S8243" s="14" t="str">
        <f t="shared" si="2"/>
        <v>100.100,263</v>
      </c>
      <c r="T8243" s="12"/>
    </row>
    <row r="8244">
      <c r="A8244" s="112" t="s">
        <v>51425</v>
      </c>
      <c r="B8244" s="34"/>
      <c r="C8244" s="34" t="s">
        <v>51426</v>
      </c>
      <c r="D8244" s="34" t="s">
        <v>51013</v>
      </c>
      <c r="E8244" s="34"/>
      <c r="F8244" s="34"/>
      <c r="G8244" s="34"/>
      <c r="H8244" s="34"/>
      <c r="I8244" s="34"/>
      <c r="J8244" s="34"/>
      <c r="K8244" s="34"/>
      <c r="L8244" s="34"/>
      <c r="M8244" s="34"/>
      <c r="N8244" s="12"/>
      <c r="O8244" s="12"/>
      <c r="P8244" s="13">
        <f>IFERROR(__xludf.DUMMYFUNCTION("VALUE(SUBSTITUTE((INDEX(SPLIT(A8244,"",""),1)),""."","","",1))"),100.264)</f>
        <v>100.264</v>
      </c>
      <c r="Q8244" s="13">
        <f>IFERROR(__xludf.DUMMYFUNCTION("VALUE(SUBSTITUTE((INDEX(SPLIT(A8244,"",""),2)),""."","","",1))"),100.0)</f>
        <v>100</v>
      </c>
      <c r="R8244" s="14" t="b">
        <f t="shared" si="1"/>
        <v>1</v>
      </c>
      <c r="S8244" s="14" t="str">
        <f t="shared" si="2"/>
        <v>100.100,264</v>
      </c>
      <c r="T8244" s="12"/>
    </row>
    <row r="8245">
      <c r="A8245" s="112" t="s">
        <v>51427</v>
      </c>
      <c r="B8245" s="34"/>
      <c r="C8245" s="34" t="s">
        <v>51428</v>
      </c>
      <c r="D8245" s="34" t="s">
        <v>51013</v>
      </c>
      <c r="E8245" s="34"/>
      <c r="F8245" s="34"/>
      <c r="G8245" s="34"/>
      <c r="H8245" s="34"/>
      <c r="I8245" s="34"/>
      <c r="J8245" s="34"/>
      <c r="K8245" s="34"/>
      <c r="L8245" s="34"/>
      <c r="M8245" s="34"/>
      <c r="N8245" s="12"/>
      <c r="O8245" s="12"/>
      <c r="P8245" s="13">
        <f>IFERROR(__xludf.DUMMYFUNCTION("VALUE(SUBSTITUTE((INDEX(SPLIT(A8245,"",""),1)),""."","","",1))"),100.265)</f>
        <v>100.265</v>
      </c>
      <c r="Q8245" s="13">
        <f>IFERROR(__xludf.DUMMYFUNCTION("VALUE(SUBSTITUTE((INDEX(SPLIT(A8245,"",""),2)),""."","","",1))"),100.0)</f>
        <v>100</v>
      </c>
      <c r="R8245" s="14" t="b">
        <f t="shared" si="1"/>
        <v>1</v>
      </c>
      <c r="S8245" s="14" t="str">
        <f t="shared" si="2"/>
        <v>100.100,265</v>
      </c>
      <c r="T8245" s="12"/>
    </row>
    <row r="8246">
      <c r="A8246" s="112" t="s">
        <v>51429</v>
      </c>
      <c r="B8246" s="34"/>
      <c r="C8246" s="34" t="s">
        <v>51430</v>
      </c>
      <c r="D8246" s="34" t="s">
        <v>51013</v>
      </c>
      <c r="E8246" s="34"/>
      <c r="F8246" s="34"/>
      <c r="G8246" s="34"/>
      <c r="H8246" s="34"/>
      <c r="I8246" s="34"/>
      <c r="J8246" s="34"/>
      <c r="K8246" s="34"/>
      <c r="L8246" s="34"/>
      <c r="M8246" s="34"/>
      <c r="N8246" s="12"/>
      <c r="O8246" s="12"/>
      <c r="P8246" s="13">
        <f>IFERROR(__xludf.DUMMYFUNCTION("VALUE(SUBSTITUTE((INDEX(SPLIT(A8246,"",""),1)),""."","","",1))"),100.266)</f>
        <v>100.266</v>
      </c>
      <c r="Q8246" s="13">
        <f>IFERROR(__xludf.DUMMYFUNCTION("VALUE(SUBSTITUTE((INDEX(SPLIT(A8246,"",""),2)),""."","","",1))"),100.0)</f>
        <v>100</v>
      </c>
      <c r="R8246" s="14" t="b">
        <f t="shared" si="1"/>
        <v>1</v>
      </c>
      <c r="S8246" s="14" t="str">
        <f t="shared" si="2"/>
        <v>100.100,266</v>
      </c>
      <c r="T8246" s="12"/>
    </row>
    <row r="8247">
      <c r="A8247" s="112" t="s">
        <v>51431</v>
      </c>
      <c r="B8247" s="34"/>
      <c r="C8247" s="34" t="s">
        <v>51432</v>
      </c>
      <c r="D8247" s="34" t="s">
        <v>51013</v>
      </c>
      <c r="E8247" s="34"/>
      <c r="F8247" s="34"/>
      <c r="G8247" s="34"/>
      <c r="H8247" s="34"/>
      <c r="I8247" s="34"/>
      <c r="J8247" s="34"/>
      <c r="K8247" s="34"/>
      <c r="L8247" s="34"/>
      <c r="M8247" s="34"/>
      <c r="N8247" s="12"/>
      <c r="O8247" s="12"/>
      <c r="P8247" s="13">
        <f>IFERROR(__xludf.DUMMYFUNCTION("VALUE(SUBSTITUTE((INDEX(SPLIT(A8247,"",""),1)),""."","","",1))"),100.267)</f>
        <v>100.267</v>
      </c>
      <c r="Q8247" s="13">
        <f>IFERROR(__xludf.DUMMYFUNCTION("VALUE(SUBSTITUTE((INDEX(SPLIT(A8247,"",""),2)),""."","","",1))"),100.0)</f>
        <v>100</v>
      </c>
      <c r="R8247" s="14" t="b">
        <f t="shared" si="1"/>
        <v>1</v>
      </c>
      <c r="S8247" s="14" t="str">
        <f t="shared" si="2"/>
        <v>100.100,267</v>
      </c>
      <c r="T8247" s="12"/>
    </row>
    <row r="8248">
      <c r="A8248" s="112" t="s">
        <v>51433</v>
      </c>
      <c r="B8248" s="34"/>
      <c r="C8248" s="34" t="s">
        <v>51434</v>
      </c>
      <c r="D8248" s="34" t="s">
        <v>51013</v>
      </c>
      <c r="E8248" s="34"/>
      <c r="F8248" s="34"/>
      <c r="G8248" s="34"/>
      <c r="H8248" s="34"/>
      <c r="I8248" s="34"/>
      <c r="J8248" s="34"/>
      <c r="K8248" s="34"/>
      <c r="L8248" s="34"/>
      <c r="M8248" s="34"/>
      <c r="N8248" s="12"/>
      <c r="O8248" s="12"/>
      <c r="P8248" s="13">
        <f>IFERROR(__xludf.DUMMYFUNCTION("VALUE(SUBSTITUTE((INDEX(SPLIT(A8248,"",""),1)),""."","","",1))"),100.268)</f>
        <v>100.268</v>
      </c>
      <c r="Q8248" s="13">
        <f>IFERROR(__xludf.DUMMYFUNCTION("VALUE(SUBSTITUTE((INDEX(SPLIT(A8248,"",""),2)),""."","","",1))"),100.0)</f>
        <v>100</v>
      </c>
      <c r="R8248" s="14" t="b">
        <f t="shared" si="1"/>
        <v>1</v>
      </c>
      <c r="S8248" s="14" t="str">
        <f t="shared" si="2"/>
        <v>100.100,268</v>
      </c>
      <c r="T8248" s="12"/>
    </row>
    <row r="8249">
      <c r="A8249" s="112" t="s">
        <v>51435</v>
      </c>
      <c r="B8249" s="34"/>
      <c r="C8249" s="34" t="s">
        <v>51436</v>
      </c>
      <c r="D8249" s="34" t="s">
        <v>51013</v>
      </c>
      <c r="E8249" s="34"/>
      <c r="F8249" s="34"/>
      <c r="G8249" s="34"/>
      <c r="H8249" s="34"/>
      <c r="I8249" s="34"/>
      <c r="J8249" s="34"/>
      <c r="K8249" s="34"/>
      <c r="L8249" s="34"/>
      <c r="M8249" s="34"/>
      <c r="N8249" s="12"/>
      <c r="O8249" s="12"/>
      <c r="P8249" s="13">
        <f>IFERROR(__xludf.DUMMYFUNCTION("VALUE(SUBSTITUTE((INDEX(SPLIT(A8249,"",""),1)),""."","","",1))"),100.269)</f>
        <v>100.269</v>
      </c>
      <c r="Q8249" s="13">
        <f>IFERROR(__xludf.DUMMYFUNCTION("VALUE(SUBSTITUTE((INDEX(SPLIT(A8249,"",""),2)),""."","","",1))"),100.0)</f>
        <v>100</v>
      </c>
      <c r="R8249" s="14" t="b">
        <f t="shared" si="1"/>
        <v>1</v>
      </c>
      <c r="S8249" s="14" t="str">
        <f t="shared" si="2"/>
        <v>100.100,269</v>
      </c>
      <c r="T8249" s="12"/>
    </row>
    <row r="8250">
      <c r="A8250" s="112" t="s">
        <v>51032</v>
      </c>
      <c r="B8250" s="34"/>
      <c r="C8250" s="34" t="s">
        <v>51437</v>
      </c>
      <c r="D8250" s="34" t="s">
        <v>51013</v>
      </c>
      <c r="E8250" s="34"/>
      <c r="F8250" s="34"/>
      <c r="G8250" s="34"/>
      <c r="H8250" s="34"/>
      <c r="I8250" s="34"/>
      <c r="J8250" s="34"/>
      <c r="K8250" s="34"/>
      <c r="L8250" s="34"/>
      <c r="M8250" s="34"/>
      <c r="N8250" s="12"/>
      <c r="O8250" s="12"/>
      <c r="P8250" s="13">
        <f>IFERROR(__xludf.DUMMYFUNCTION("VALUE(SUBSTITUTE((INDEX(SPLIT(A8250,"",""),1)),""."","","",1))"),100.27)</f>
        <v>100.27</v>
      </c>
      <c r="Q8250" s="13">
        <f>IFERROR(__xludf.DUMMYFUNCTION("VALUE(SUBSTITUTE((INDEX(SPLIT(A8250,"",""),2)),""."","","",1))"),100.0)</f>
        <v>100</v>
      </c>
      <c r="R8250" s="14" t="b">
        <f t="shared" si="1"/>
        <v>1</v>
      </c>
      <c r="S8250" s="14" t="str">
        <f t="shared" si="2"/>
        <v>100.100,27</v>
      </c>
      <c r="T8250" s="12"/>
    </row>
    <row r="8251">
      <c r="A8251" s="112" t="s">
        <v>51438</v>
      </c>
      <c r="B8251" s="34"/>
      <c r="C8251" s="34" t="s">
        <v>51439</v>
      </c>
      <c r="D8251" s="34" t="s">
        <v>51013</v>
      </c>
      <c r="E8251" s="34"/>
      <c r="F8251" s="34"/>
      <c r="G8251" s="34"/>
      <c r="H8251" s="34"/>
      <c r="I8251" s="34"/>
      <c r="J8251" s="34"/>
      <c r="K8251" s="34"/>
      <c r="L8251" s="34"/>
      <c r="M8251" s="34"/>
      <c r="N8251" s="12"/>
      <c r="O8251" s="12"/>
      <c r="P8251" s="13">
        <f>IFERROR(__xludf.DUMMYFUNCTION("VALUE(SUBSTITUTE((INDEX(SPLIT(A8251,"",""),1)),""."","","",1))"),100.271)</f>
        <v>100.271</v>
      </c>
      <c r="Q8251" s="13">
        <f>IFERROR(__xludf.DUMMYFUNCTION("VALUE(SUBSTITUTE((INDEX(SPLIT(A8251,"",""),2)),""."","","",1))"),100.0)</f>
        <v>100</v>
      </c>
      <c r="R8251" s="14" t="b">
        <f t="shared" si="1"/>
        <v>1</v>
      </c>
      <c r="S8251" s="14" t="str">
        <f t="shared" si="2"/>
        <v>100.100,271</v>
      </c>
      <c r="T8251" s="12"/>
    </row>
    <row r="8252">
      <c r="A8252" s="112" t="s">
        <v>51440</v>
      </c>
      <c r="B8252" s="34"/>
      <c r="C8252" s="34" t="s">
        <v>51441</v>
      </c>
      <c r="D8252" s="34" t="s">
        <v>51013</v>
      </c>
      <c r="E8252" s="34"/>
      <c r="F8252" s="34"/>
      <c r="G8252" s="34"/>
      <c r="H8252" s="34"/>
      <c r="I8252" s="34"/>
      <c r="J8252" s="34"/>
      <c r="K8252" s="34"/>
      <c r="L8252" s="34"/>
      <c r="M8252" s="34"/>
      <c r="N8252" s="12"/>
      <c r="O8252" s="12"/>
      <c r="P8252" s="13">
        <f>IFERROR(__xludf.DUMMYFUNCTION("VALUE(SUBSTITUTE((INDEX(SPLIT(A8252,"",""),1)),""."","","",1))"),100.272)</f>
        <v>100.272</v>
      </c>
      <c r="Q8252" s="13">
        <f>IFERROR(__xludf.DUMMYFUNCTION("VALUE(SUBSTITUTE((INDEX(SPLIT(A8252,"",""),2)),""."","","",1))"),100.0)</f>
        <v>100</v>
      </c>
      <c r="R8252" s="14" t="b">
        <f t="shared" si="1"/>
        <v>1</v>
      </c>
      <c r="S8252" s="14" t="str">
        <f t="shared" si="2"/>
        <v>100.100,272</v>
      </c>
      <c r="T8252" s="12"/>
    </row>
    <row r="8253">
      <c r="A8253" s="112" t="s">
        <v>51442</v>
      </c>
      <c r="B8253" s="34"/>
      <c r="C8253" s="34" t="s">
        <v>51443</v>
      </c>
      <c r="D8253" s="34" t="s">
        <v>51013</v>
      </c>
      <c r="E8253" s="34"/>
      <c r="F8253" s="34"/>
      <c r="G8253" s="34"/>
      <c r="H8253" s="34"/>
      <c r="I8253" s="34"/>
      <c r="J8253" s="34"/>
      <c r="K8253" s="34"/>
      <c r="L8253" s="34"/>
      <c r="M8253" s="34"/>
      <c r="N8253" s="12"/>
      <c r="O8253" s="12"/>
      <c r="P8253" s="13">
        <f>IFERROR(__xludf.DUMMYFUNCTION("VALUE(SUBSTITUTE((INDEX(SPLIT(A8253,"",""),1)),""."","","",1))"),100.273)</f>
        <v>100.273</v>
      </c>
      <c r="Q8253" s="13">
        <f>IFERROR(__xludf.DUMMYFUNCTION("VALUE(SUBSTITUTE((INDEX(SPLIT(A8253,"",""),2)),""."","","",1))"),100.0)</f>
        <v>100</v>
      </c>
      <c r="R8253" s="14" t="b">
        <f t="shared" si="1"/>
        <v>1</v>
      </c>
      <c r="S8253" s="14" t="str">
        <f t="shared" si="2"/>
        <v>100.100,273</v>
      </c>
      <c r="T8253" s="12"/>
    </row>
    <row r="8254">
      <c r="A8254" s="112" t="s">
        <v>51444</v>
      </c>
      <c r="B8254" s="34"/>
      <c r="C8254" s="34" t="s">
        <v>51445</v>
      </c>
      <c r="D8254" s="34" t="s">
        <v>51013</v>
      </c>
      <c r="E8254" s="34"/>
      <c r="F8254" s="34"/>
      <c r="G8254" s="34"/>
      <c r="H8254" s="34"/>
      <c r="I8254" s="34"/>
      <c r="J8254" s="34"/>
      <c r="K8254" s="34"/>
      <c r="L8254" s="34"/>
      <c r="M8254" s="34"/>
      <c r="N8254" s="12"/>
      <c r="O8254" s="12"/>
      <c r="P8254" s="13">
        <f>IFERROR(__xludf.DUMMYFUNCTION("VALUE(SUBSTITUTE((INDEX(SPLIT(A8254,"",""),1)),""."","","",1))"),100.274)</f>
        <v>100.274</v>
      </c>
      <c r="Q8254" s="13">
        <f>IFERROR(__xludf.DUMMYFUNCTION("VALUE(SUBSTITUTE((INDEX(SPLIT(A8254,"",""),2)),""."","","",1))"),100.0)</f>
        <v>100</v>
      </c>
      <c r="R8254" s="14" t="b">
        <f t="shared" si="1"/>
        <v>1</v>
      </c>
      <c r="S8254" s="14" t="str">
        <f t="shared" si="2"/>
        <v>100.100,274</v>
      </c>
      <c r="T8254" s="12"/>
    </row>
    <row r="8255">
      <c r="A8255" s="112" t="s">
        <v>51446</v>
      </c>
      <c r="B8255" s="34"/>
      <c r="C8255" s="34" t="s">
        <v>51447</v>
      </c>
      <c r="D8255" s="34" t="s">
        <v>51013</v>
      </c>
      <c r="E8255" s="34"/>
      <c r="F8255" s="34"/>
      <c r="G8255" s="34"/>
      <c r="H8255" s="34"/>
      <c r="I8255" s="34"/>
      <c r="J8255" s="34"/>
      <c r="K8255" s="34"/>
      <c r="L8255" s="34"/>
      <c r="M8255" s="34"/>
      <c r="N8255" s="12"/>
      <c r="O8255" s="12"/>
      <c r="P8255" s="13">
        <f>IFERROR(__xludf.DUMMYFUNCTION("VALUE(SUBSTITUTE((INDEX(SPLIT(A8255,"",""),1)),""."","","",1))"),100.275)</f>
        <v>100.275</v>
      </c>
      <c r="Q8255" s="13">
        <f>IFERROR(__xludf.DUMMYFUNCTION("VALUE(SUBSTITUTE((INDEX(SPLIT(A8255,"",""),2)),""."","","",1))"),100.0)</f>
        <v>100</v>
      </c>
      <c r="R8255" s="14" t="b">
        <f t="shared" si="1"/>
        <v>1</v>
      </c>
      <c r="S8255" s="14" t="str">
        <f t="shared" si="2"/>
        <v>100.100,275</v>
      </c>
      <c r="T8255" s="12"/>
    </row>
    <row r="8256">
      <c r="A8256" s="112" t="s">
        <v>51448</v>
      </c>
      <c r="B8256" s="34"/>
      <c r="C8256" s="34" t="s">
        <v>51449</v>
      </c>
      <c r="D8256" s="34" t="s">
        <v>51013</v>
      </c>
      <c r="E8256" s="34"/>
      <c r="F8256" s="34"/>
      <c r="G8256" s="34"/>
      <c r="H8256" s="34"/>
      <c r="I8256" s="34"/>
      <c r="J8256" s="34"/>
      <c r="K8256" s="34"/>
      <c r="L8256" s="34"/>
      <c r="M8256" s="34"/>
      <c r="N8256" s="12"/>
      <c r="O8256" s="12"/>
      <c r="P8256" s="13">
        <f>IFERROR(__xludf.DUMMYFUNCTION("VALUE(SUBSTITUTE((INDEX(SPLIT(A8256,"",""),1)),""."","","",1))"),100.276)</f>
        <v>100.276</v>
      </c>
      <c r="Q8256" s="13">
        <f>IFERROR(__xludf.DUMMYFUNCTION("VALUE(SUBSTITUTE((INDEX(SPLIT(A8256,"",""),2)),""."","","",1))"),100.0)</f>
        <v>100</v>
      </c>
      <c r="R8256" s="14" t="b">
        <f t="shared" si="1"/>
        <v>1</v>
      </c>
      <c r="S8256" s="14" t="str">
        <f t="shared" si="2"/>
        <v>100.100,276</v>
      </c>
      <c r="T8256" s="12"/>
    </row>
    <row r="8257">
      <c r="A8257" s="112" t="s">
        <v>51450</v>
      </c>
      <c r="B8257" s="34"/>
      <c r="C8257" s="34" t="s">
        <v>51451</v>
      </c>
      <c r="D8257" s="34" t="s">
        <v>51013</v>
      </c>
      <c r="E8257" s="34"/>
      <c r="F8257" s="34"/>
      <c r="G8257" s="34"/>
      <c r="H8257" s="34"/>
      <c r="I8257" s="34"/>
      <c r="J8257" s="34"/>
      <c r="K8257" s="34"/>
      <c r="L8257" s="34"/>
      <c r="M8257" s="34"/>
      <c r="N8257" s="12"/>
      <c r="O8257" s="12"/>
      <c r="P8257" s="13">
        <f>IFERROR(__xludf.DUMMYFUNCTION("VALUE(SUBSTITUTE((INDEX(SPLIT(A8257,"",""),1)),""."","","",1))"),100.277)</f>
        <v>100.277</v>
      </c>
      <c r="Q8257" s="13">
        <f>IFERROR(__xludf.DUMMYFUNCTION("VALUE(SUBSTITUTE((INDEX(SPLIT(A8257,"",""),2)),""."","","",1))"),100.0)</f>
        <v>100</v>
      </c>
      <c r="R8257" s="14" t="b">
        <f t="shared" si="1"/>
        <v>1</v>
      </c>
      <c r="S8257" s="14" t="str">
        <f t="shared" si="2"/>
        <v>100.100,277</v>
      </c>
      <c r="T8257" s="12"/>
    </row>
    <row r="8258">
      <c r="A8258" s="112" t="s">
        <v>51452</v>
      </c>
      <c r="B8258" s="34"/>
      <c r="C8258" s="34" t="s">
        <v>51453</v>
      </c>
      <c r="D8258" s="34" t="s">
        <v>51013</v>
      </c>
      <c r="E8258" s="34"/>
      <c r="F8258" s="34"/>
      <c r="G8258" s="34"/>
      <c r="H8258" s="34"/>
      <c r="I8258" s="34"/>
      <c r="J8258" s="34"/>
      <c r="K8258" s="34"/>
      <c r="L8258" s="34"/>
      <c r="M8258" s="34"/>
      <c r="N8258" s="12"/>
      <c r="O8258" s="12"/>
      <c r="P8258" s="13">
        <f>IFERROR(__xludf.DUMMYFUNCTION("VALUE(SUBSTITUTE((INDEX(SPLIT(A8258,"",""),1)),""."","","",1))"),100.278)</f>
        <v>100.278</v>
      </c>
      <c r="Q8258" s="13">
        <f>IFERROR(__xludf.DUMMYFUNCTION("VALUE(SUBSTITUTE((INDEX(SPLIT(A8258,"",""),2)),""."","","",1))"),100.0)</f>
        <v>100</v>
      </c>
      <c r="R8258" s="14" t="b">
        <f t="shared" si="1"/>
        <v>1</v>
      </c>
      <c r="S8258" s="14" t="str">
        <f t="shared" si="2"/>
        <v>100.100,278</v>
      </c>
      <c r="T8258" s="12"/>
    </row>
    <row r="8259">
      <c r="A8259" s="112" t="s">
        <v>51454</v>
      </c>
      <c r="B8259" s="34"/>
      <c r="C8259" s="34" t="s">
        <v>51455</v>
      </c>
      <c r="D8259" s="34" t="s">
        <v>51013</v>
      </c>
      <c r="E8259" s="34"/>
      <c r="F8259" s="34"/>
      <c r="G8259" s="34"/>
      <c r="H8259" s="34"/>
      <c r="I8259" s="34"/>
      <c r="J8259" s="34"/>
      <c r="K8259" s="34"/>
      <c r="L8259" s="34"/>
      <c r="M8259" s="34"/>
      <c r="N8259" s="12"/>
      <c r="O8259" s="12"/>
      <c r="P8259" s="13">
        <f>IFERROR(__xludf.DUMMYFUNCTION("VALUE(SUBSTITUTE((INDEX(SPLIT(A8259,"",""),1)),""."","","",1))"),100.279)</f>
        <v>100.279</v>
      </c>
      <c r="Q8259" s="13">
        <f>IFERROR(__xludf.DUMMYFUNCTION("VALUE(SUBSTITUTE((INDEX(SPLIT(A8259,"",""),2)),""."","","",1))"),100.0)</f>
        <v>100</v>
      </c>
      <c r="R8259" s="14" t="b">
        <f t="shared" si="1"/>
        <v>1</v>
      </c>
      <c r="S8259" s="14" t="str">
        <f t="shared" si="2"/>
        <v>100.100,279</v>
      </c>
      <c r="T8259" s="12"/>
    </row>
    <row r="8260">
      <c r="A8260" s="112" t="s">
        <v>51034</v>
      </c>
      <c r="B8260" s="34"/>
      <c r="C8260" s="34" t="s">
        <v>51456</v>
      </c>
      <c r="D8260" s="34" t="s">
        <v>51013</v>
      </c>
      <c r="E8260" s="34"/>
      <c r="F8260" s="34"/>
      <c r="G8260" s="34"/>
      <c r="H8260" s="34"/>
      <c r="I8260" s="34"/>
      <c r="J8260" s="34"/>
      <c r="K8260" s="34"/>
      <c r="L8260" s="34"/>
      <c r="M8260" s="34"/>
      <c r="N8260" s="12"/>
      <c r="O8260" s="12"/>
      <c r="P8260" s="13">
        <f>IFERROR(__xludf.DUMMYFUNCTION("VALUE(SUBSTITUTE((INDEX(SPLIT(A8260,"",""),1)),""."","","",1))"),100.28)</f>
        <v>100.28</v>
      </c>
      <c r="Q8260" s="13">
        <f>IFERROR(__xludf.DUMMYFUNCTION("VALUE(SUBSTITUTE((INDEX(SPLIT(A8260,"",""),2)),""."","","",1))"),100.0)</f>
        <v>100</v>
      </c>
      <c r="R8260" s="14" t="b">
        <f t="shared" si="1"/>
        <v>1</v>
      </c>
      <c r="S8260" s="14" t="str">
        <f t="shared" si="2"/>
        <v>100.100,28</v>
      </c>
      <c r="T8260" s="12"/>
    </row>
    <row r="8261">
      <c r="A8261" s="112" t="s">
        <v>51457</v>
      </c>
      <c r="B8261" s="34"/>
      <c r="C8261" s="34" t="s">
        <v>51458</v>
      </c>
      <c r="D8261" s="34" t="s">
        <v>51013</v>
      </c>
      <c r="E8261" s="34"/>
      <c r="F8261" s="34"/>
      <c r="G8261" s="34"/>
      <c r="H8261" s="34"/>
      <c r="I8261" s="34"/>
      <c r="J8261" s="34"/>
      <c r="K8261" s="34"/>
      <c r="L8261" s="34"/>
      <c r="M8261" s="34"/>
      <c r="N8261" s="12"/>
      <c r="O8261" s="12"/>
      <c r="P8261" s="13">
        <f>IFERROR(__xludf.DUMMYFUNCTION("VALUE(SUBSTITUTE((INDEX(SPLIT(A8261,"",""),1)),""."","","",1))"),100.281)</f>
        <v>100.281</v>
      </c>
      <c r="Q8261" s="13">
        <f>IFERROR(__xludf.DUMMYFUNCTION("VALUE(SUBSTITUTE((INDEX(SPLIT(A8261,"",""),2)),""."","","",1))"),100.0)</f>
        <v>100</v>
      </c>
      <c r="R8261" s="14" t="b">
        <f t="shared" si="1"/>
        <v>1</v>
      </c>
      <c r="S8261" s="14" t="str">
        <f t="shared" si="2"/>
        <v>100.100,281</v>
      </c>
      <c r="T8261" s="12"/>
    </row>
    <row r="8262">
      <c r="A8262" s="112" t="s">
        <v>51459</v>
      </c>
      <c r="B8262" s="34"/>
      <c r="C8262" s="34" t="s">
        <v>51460</v>
      </c>
      <c r="D8262" s="34" t="s">
        <v>51013</v>
      </c>
      <c r="E8262" s="34"/>
      <c r="F8262" s="34"/>
      <c r="G8262" s="34"/>
      <c r="H8262" s="34"/>
      <c r="I8262" s="34"/>
      <c r="J8262" s="34"/>
      <c r="K8262" s="34"/>
      <c r="L8262" s="34"/>
      <c r="M8262" s="34"/>
      <c r="N8262" s="12"/>
      <c r="O8262" s="12"/>
      <c r="P8262" s="13">
        <f>IFERROR(__xludf.DUMMYFUNCTION("VALUE(SUBSTITUTE((INDEX(SPLIT(A8262,"",""),1)),""."","","",1))"),100.282)</f>
        <v>100.282</v>
      </c>
      <c r="Q8262" s="13">
        <f>IFERROR(__xludf.DUMMYFUNCTION("VALUE(SUBSTITUTE((INDEX(SPLIT(A8262,"",""),2)),""."","","",1))"),100.0)</f>
        <v>100</v>
      </c>
      <c r="R8262" s="14" t="b">
        <f t="shared" si="1"/>
        <v>1</v>
      </c>
      <c r="S8262" s="14" t="str">
        <f t="shared" si="2"/>
        <v>100.100,282</v>
      </c>
      <c r="T8262" s="12"/>
    </row>
    <row r="8263">
      <c r="A8263" s="112" t="s">
        <v>51461</v>
      </c>
      <c r="B8263" s="34"/>
      <c r="C8263" s="34" t="s">
        <v>51379</v>
      </c>
      <c r="D8263" s="34" t="s">
        <v>51013</v>
      </c>
      <c r="E8263" s="34"/>
      <c r="F8263" s="34"/>
      <c r="G8263" s="34"/>
      <c r="H8263" s="34"/>
      <c r="I8263" s="34"/>
      <c r="J8263" s="34"/>
      <c r="K8263" s="34"/>
      <c r="L8263" s="34"/>
      <c r="M8263" s="34"/>
      <c r="N8263" s="12"/>
      <c r="O8263" s="12"/>
      <c r="P8263" s="13">
        <f>IFERROR(__xludf.DUMMYFUNCTION("VALUE(SUBSTITUTE((INDEX(SPLIT(A8263,"",""),1)),""."","","",1))"),100.283)</f>
        <v>100.283</v>
      </c>
      <c r="Q8263" s="13">
        <f>IFERROR(__xludf.DUMMYFUNCTION("VALUE(SUBSTITUTE((INDEX(SPLIT(A8263,"",""),2)),""."","","",1))"),100.0)</f>
        <v>100</v>
      </c>
      <c r="R8263" s="14" t="b">
        <f t="shared" si="1"/>
        <v>1</v>
      </c>
      <c r="S8263" s="14" t="str">
        <f t="shared" si="2"/>
        <v>100.100,283</v>
      </c>
      <c r="T8263" s="12"/>
    </row>
    <row r="8264">
      <c r="A8264" s="112" t="s">
        <v>51462</v>
      </c>
      <c r="B8264" s="34"/>
      <c r="C8264" s="34" t="s">
        <v>51463</v>
      </c>
      <c r="D8264" s="34" t="s">
        <v>51013</v>
      </c>
      <c r="E8264" s="34"/>
      <c r="F8264" s="34"/>
      <c r="G8264" s="34"/>
      <c r="H8264" s="34"/>
      <c r="I8264" s="34"/>
      <c r="J8264" s="34"/>
      <c r="K8264" s="34"/>
      <c r="L8264" s="34"/>
      <c r="M8264" s="34"/>
      <c r="N8264" s="12"/>
      <c r="O8264" s="12"/>
      <c r="P8264" s="13">
        <f>IFERROR(__xludf.DUMMYFUNCTION("VALUE(SUBSTITUTE((INDEX(SPLIT(A8264,"",""),1)),""."","","",1))"),100.284)</f>
        <v>100.284</v>
      </c>
      <c r="Q8264" s="13">
        <f>IFERROR(__xludf.DUMMYFUNCTION("VALUE(SUBSTITUTE((INDEX(SPLIT(A8264,"",""),2)),""."","","",1))"),100.0)</f>
        <v>100</v>
      </c>
      <c r="R8264" s="14" t="b">
        <f t="shared" si="1"/>
        <v>1</v>
      </c>
      <c r="S8264" s="14" t="str">
        <f t="shared" si="2"/>
        <v>100.100,284</v>
      </c>
      <c r="T8264" s="12"/>
    </row>
    <row r="8265">
      <c r="A8265" s="112" t="s">
        <v>51464</v>
      </c>
      <c r="B8265" s="34"/>
      <c r="C8265" s="34" t="s">
        <v>51465</v>
      </c>
      <c r="D8265" s="34" t="s">
        <v>51013</v>
      </c>
      <c r="E8265" s="34"/>
      <c r="F8265" s="34"/>
      <c r="G8265" s="34"/>
      <c r="H8265" s="34"/>
      <c r="I8265" s="34"/>
      <c r="J8265" s="34"/>
      <c r="K8265" s="34"/>
      <c r="L8265" s="34"/>
      <c r="M8265" s="34"/>
      <c r="N8265" s="12"/>
      <c r="O8265" s="12"/>
      <c r="P8265" s="13">
        <f>IFERROR(__xludf.DUMMYFUNCTION("VALUE(SUBSTITUTE((INDEX(SPLIT(A8265,"",""),1)),""."","","",1))"),100.285)</f>
        <v>100.285</v>
      </c>
      <c r="Q8265" s="13">
        <f>IFERROR(__xludf.DUMMYFUNCTION("VALUE(SUBSTITUTE((INDEX(SPLIT(A8265,"",""),2)),""."","","",1))"),100.0)</f>
        <v>100</v>
      </c>
      <c r="R8265" s="14" t="b">
        <f t="shared" si="1"/>
        <v>1</v>
      </c>
      <c r="S8265" s="14" t="str">
        <f t="shared" si="2"/>
        <v>100.100,285</v>
      </c>
      <c r="T8265" s="12"/>
    </row>
    <row r="8266">
      <c r="A8266" s="112" t="s">
        <v>51466</v>
      </c>
      <c r="B8266" s="34"/>
      <c r="C8266" s="34" t="s">
        <v>51128</v>
      </c>
      <c r="D8266" s="34" t="s">
        <v>51013</v>
      </c>
      <c r="E8266" s="34"/>
      <c r="F8266" s="34"/>
      <c r="G8266" s="34"/>
      <c r="H8266" s="34"/>
      <c r="I8266" s="34"/>
      <c r="J8266" s="34"/>
      <c r="K8266" s="34"/>
      <c r="L8266" s="34"/>
      <c r="M8266" s="34"/>
      <c r="N8266" s="12"/>
      <c r="O8266" s="12"/>
      <c r="P8266" s="13">
        <f>IFERROR(__xludf.DUMMYFUNCTION("VALUE(SUBSTITUTE((INDEX(SPLIT(A8266,"",""),1)),""."","","",1))"),100.286)</f>
        <v>100.286</v>
      </c>
      <c r="Q8266" s="13">
        <f>IFERROR(__xludf.DUMMYFUNCTION("VALUE(SUBSTITUTE((INDEX(SPLIT(A8266,"",""),2)),""."","","",1))"),100.0)</f>
        <v>100</v>
      </c>
      <c r="R8266" s="14" t="b">
        <f t="shared" si="1"/>
        <v>1</v>
      </c>
      <c r="S8266" s="14" t="str">
        <f t="shared" si="2"/>
        <v>100.100,286</v>
      </c>
      <c r="T8266" s="12"/>
    </row>
    <row r="8267">
      <c r="A8267" s="112" t="s">
        <v>51467</v>
      </c>
      <c r="B8267" s="34"/>
      <c r="C8267" s="34" t="s">
        <v>51283</v>
      </c>
      <c r="D8267" s="34" t="s">
        <v>51013</v>
      </c>
      <c r="E8267" s="34"/>
      <c r="F8267" s="34"/>
      <c r="G8267" s="34"/>
      <c r="H8267" s="34"/>
      <c r="I8267" s="34"/>
      <c r="J8267" s="34"/>
      <c r="K8267" s="34"/>
      <c r="L8267" s="34"/>
      <c r="M8267" s="34"/>
      <c r="N8267" s="12"/>
      <c r="O8267" s="12"/>
      <c r="P8267" s="13">
        <f>IFERROR(__xludf.DUMMYFUNCTION("VALUE(SUBSTITUTE((INDEX(SPLIT(A8267,"",""),1)),""."","","",1))"),100.287)</f>
        <v>100.287</v>
      </c>
      <c r="Q8267" s="13">
        <f>IFERROR(__xludf.DUMMYFUNCTION("VALUE(SUBSTITUTE((INDEX(SPLIT(A8267,"",""),2)),""."","","",1))"),100.0)</f>
        <v>100</v>
      </c>
      <c r="R8267" s="14" t="b">
        <f t="shared" si="1"/>
        <v>1</v>
      </c>
      <c r="S8267" s="14" t="str">
        <f t="shared" si="2"/>
        <v>100.100,287</v>
      </c>
      <c r="T8267" s="12"/>
    </row>
    <row r="8268">
      <c r="A8268" s="112" t="s">
        <v>51468</v>
      </c>
      <c r="B8268" s="34"/>
      <c r="C8268" s="34" t="s">
        <v>51469</v>
      </c>
      <c r="D8268" s="34" t="s">
        <v>51013</v>
      </c>
      <c r="E8268" s="34"/>
      <c r="F8268" s="34"/>
      <c r="G8268" s="34"/>
      <c r="H8268" s="34"/>
      <c r="I8268" s="34"/>
      <c r="J8268" s="34"/>
      <c r="K8268" s="34"/>
      <c r="L8268" s="34"/>
      <c r="M8268" s="34"/>
      <c r="N8268" s="12"/>
      <c r="O8268" s="12"/>
      <c r="P8268" s="13">
        <f>IFERROR(__xludf.DUMMYFUNCTION("VALUE(SUBSTITUTE((INDEX(SPLIT(A8268,"",""),1)),""."","","",1))"),100.288)</f>
        <v>100.288</v>
      </c>
      <c r="Q8268" s="13">
        <f>IFERROR(__xludf.DUMMYFUNCTION("VALUE(SUBSTITUTE((INDEX(SPLIT(A8268,"",""),2)),""."","","",1))"),100.0)</f>
        <v>100</v>
      </c>
      <c r="R8268" s="14" t="b">
        <f t="shared" si="1"/>
        <v>1</v>
      </c>
      <c r="S8268" s="14" t="str">
        <f t="shared" si="2"/>
        <v>100.100,288</v>
      </c>
      <c r="T8268" s="12"/>
    </row>
    <row r="8269">
      <c r="A8269" s="112" t="s">
        <v>51470</v>
      </c>
      <c r="B8269" s="34"/>
      <c r="C8269" s="34" t="s">
        <v>51471</v>
      </c>
      <c r="D8269" s="34" t="s">
        <v>51013</v>
      </c>
      <c r="E8269" s="34"/>
      <c r="F8269" s="34"/>
      <c r="G8269" s="34"/>
      <c r="H8269" s="34"/>
      <c r="I8269" s="34"/>
      <c r="J8269" s="34"/>
      <c r="K8269" s="34"/>
      <c r="L8269" s="34"/>
      <c r="M8269" s="34"/>
      <c r="N8269" s="12"/>
      <c r="O8269" s="12"/>
      <c r="P8269" s="13">
        <f>IFERROR(__xludf.DUMMYFUNCTION("VALUE(SUBSTITUTE((INDEX(SPLIT(A8269,"",""),1)),""."","","",1))"),100.289)</f>
        <v>100.289</v>
      </c>
      <c r="Q8269" s="13">
        <f>IFERROR(__xludf.DUMMYFUNCTION("VALUE(SUBSTITUTE((INDEX(SPLIT(A8269,"",""),2)),""."","","",1))"),100.0)</f>
        <v>100</v>
      </c>
      <c r="R8269" s="14" t="b">
        <f t="shared" si="1"/>
        <v>1</v>
      </c>
      <c r="S8269" s="14" t="str">
        <f t="shared" si="2"/>
        <v>100.100,289</v>
      </c>
      <c r="T8269" s="12"/>
    </row>
    <row r="8270">
      <c r="A8270" s="112" t="s">
        <v>51036</v>
      </c>
      <c r="B8270" s="34"/>
      <c r="C8270" s="34" t="s">
        <v>51472</v>
      </c>
      <c r="D8270" s="34" t="s">
        <v>51013</v>
      </c>
      <c r="E8270" s="34"/>
      <c r="F8270" s="34"/>
      <c r="G8270" s="34"/>
      <c r="H8270" s="34"/>
      <c r="I8270" s="34"/>
      <c r="J8270" s="34"/>
      <c r="K8270" s="34"/>
      <c r="L8270" s="34"/>
      <c r="M8270" s="34"/>
      <c r="N8270" s="12"/>
      <c r="O8270" s="12"/>
      <c r="P8270" s="13">
        <f>IFERROR(__xludf.DUMMYFUNCTION("VALUE(SUBSTITUTE((INDEX(SPLIT(A8270,"",""),1)),""."","","",1))"),100.29)</f>
        <v>100.29</v>
      </c>
      <c r="Q8270" s="13">
        <f>IFERROR(__xludf.DUMMYFUNCTION("VALUE(SUBSTITUTE((INDEX(SPLIT(A8270,"",""),2)),""."","","",1))"),100.0)</f>
        <v>100</v>
      </c>
      <c r="R8270" s="14" t="b">
        <f t="shared" si="1"/>
        <v>1</v>
      </c>
      <c r="S8270" s="14" t="str">
        <f t="shared" si="2"/>
        <v>100.100,29</v>
      </c>
      <c r="T8270" s="12"/>
    </row>
    <row r="8271">
      <c r="A8271" s="112" t="s">
        <v>51473</v>
      </c>
      <c r="B8271" s="34"/>
      <c r="C8271" s="34" t="s">
        <v>51474</v>
      </c>
      <c r="D8271" s="34" t="s">
        <v>51013</v>
      </c>
      <c r="E8271" s="34"/>
      <c r="F8271" s="34"/>
      <c r="G8271" s="34"/>
      <c r="H8271" s="34"/>
      <c r="I8271" s="34"/>
      <c r="J8271" s="34"/>
      <c r="K8271" s="34"/>
      <c r="L8271" s="34"/>
      <c r="M8271" s="34"/>
      <c r="N8271" s="12"/>
      <c r="O8271" s="12"/>
      <c r="P8271" s="13">
        <f>IFERROR(__xludf.DUMMYFUNCTION("VALUE(SUBSTITUTE((INDEX(SPLIT(A8271,"",""),1)),""."","","",1))"),100.291)</f>
        <v>100.291</v>
      </c>
      <c r="Q8271" s="13">
        <f>IFERROR(__xludf.DUMMYFUNCTION("VALUE(SUBSTITUTE((INDEX(SPLIT(A8271,"",""),2)),""."","","",1))"),100.0)</f>
        <v>100</v>
      </c>
      <c r="R8271" s="14" t="b">
        <f t="shared" si="1"/>
        <v>1</v>
      </c>
      <c r="S8271" s="14" t="str">
        <f t="shared" si="2"/>
        <v>100.100,291</v>
      </c>
      <c r="T8271" s="12"/>
    </row>
    <row r="8272">
      <c r="A8272" s="112" t="s">
        <v>51475</v>
      </c>
      <c r="B8272" s="34"/>
      <c r="C8272" s="34" t="s">
        <v>51476</v>
      </c>
      <c r="D8272" s="34" t="s">
        <v>51013</v>
      </c>
      <c r="E8272" s="34"/>
      <c r="F8272" s="34"/>
      <c r="G8272" s="34"/>
      <c r="H8272" s="34"/>
      <c r="I8272" s="34"/>
      <c r="J8272" s="34"/>
      <c r="K8272" s="34"/>
      <c r="L8272" s="34"/>
      <c r="M8272" s="34"/>
      <c r="N8272" s="12"/>
      <c r="O8272" s="12"/>
      <c r="P8272" s="13">
        <f>IFERROR(__xludf.DUMMYFUNCTION("VALUE(SUBSTITUTE((INDEX(SPLIT(A8272,"",""),1)),""."","","",1))"),100.292)</f>
        <v>100.292</v>
      </c>
      <c r="Q8272" s="13">
        <f>IFERROR(__xludf.DUMMYFUNCTION("VALUE(SUBSTITUTE((INDEX(SPLIT(A8272,"",""),2)),""."","","",1))"),100.0)</f>
        <v>100</v>
      </c>
      <c r="R8272" s="14" t="b">
        <f t="shared" si="1"/>
        <v>1</v>
      </c>
      <c r="S8272" s="14" t="str">
        <f t="shared" si="2"/>
        <v>100.100,292</v>
      </c>
      <c r="T8272" s="12"/>
    </row>
    <row r="8273">
      <c r="A8273" s="112" t="s">
        <v>51477</v>
      </c>
      <c r="B8273" s="34"/>
      <c r="C8273" s="34" t="s">
        <v>51478</v>
      </c>
      <c r="D8273" s="34" t="s">
        <v>51013</v>
      </c>
      <c r="E8273" s="34"/>
      <c r="F8273" s="34"/>
      <c r="G8273" s="34"/>
      <c r="H8273" s="34"/>
      <c r="I8273" s="34"/>
      <c r="J8273" s="34"/>
      <c r="K8273" s="34"/>
      <c r="L8273" s="34"/>
      <c r="M8273" s="34"/>
      <c r="N8273" s="12"/>
      <c r="O8273" s="12"/>
      <c r="P8273" s="13">
        <f>IFERROR(__xludf.DUMMYFUNCTION("VALUE(SUBSTITUTE((INDEX(SPLIT(A8273,"",""),1)),""."","","",1))"),100.293)</f>
        <v>100.293</v>
      </c>
      <c r="Q8273" s="13">
        <f>IFERROR(__xludf.DUMMYFUNCTION("VALUE(SUBSTITUTE((INDEX(SPLIT(A8273,"",""),2)),""."","","",1))"),100.0)</f>
        <v>100</v>
      </c>
      <c r="R8273" s="14" t="b">
        <f t="shared" si="1"/>
        <v>1</v>
      </c>
      <c r="S8273" s="14" t="str">
        <f t="shared" si="2"/>
        <v>100.100,293</v>
      </c>
      <c r="T8273" s="12"/>
    </row>
    <row r="8274">
      <c r="A8274" s="112" t="s">
        <v>51479</v>
      </c>
      <c r="B8274" s="34"/>
      <c r="C8274" s="34" t="s">
        <v>51480</v>
      </c>
      <c r="D8274" s="34" t="s">
        <v>51013</v>
      </c>
      <c r="E8274" s="34"/>
      <c r="F8274" s="34"/>
      <c r="G8274" s="34"/>
      <c r="H8274" s="34"/>
      <c r="I8274" s="34"/>
      <c r="J8274" s="34"/>
      <c r="K8274" s="34"/>
      <c r="L8274" s="34"/>
      <c r="M8274" s="34"/>
      <c r="N8274" s="12"/>
      <c r="O8274" s="12"/>
      <c r="P8274" s="13">
        <f>IFERROR(__xludf.DUMMYFUNCTION("VALUE(SUBSTITUTE((INDEX(SPLIT(A8274,"",""),1)),""."","","",1))"),100.294)</f>
        <v>100.294</v>
      </c>
      <c r="Q8274" s="13">
        <f>IFERROR(__xludf.DUMMYFUNCTION("VALUE(SUBSTITUTE((INDEX(SPLIT(A8274,"",""),2)),""."","","",1))"),100.0)</f>
        <v>100</v>
      </c>
      <c r="R8274" s="14" t="b">
        <f t="shared" si="1"/>
        <v>1</v>
      </c>
      <c r="S8274" s="14" t="str">
        <f t="shared" si="2"/>
        <v>100.100,294</v>
      </c>
      <c r="T8274" s="12"/>
    </row>
    <row r="8275">
      <c r="A8275" s="112" t="s">
        <v>51481</v>
      </c>
      <c r="B8275" s="34"/>
      <c r="C8275" s="34" t="s">
        <v>51247</v>
      </c>
      <c r="D8275" s="34" t="s">
        <v>51013</v>
      </c>
      <c r="E8275" s="34"/>
      <c r="F8275" s="34"/>
      <c r="G8275" s="34"/>
      <c r="H8275" s="34"/>
      <c r="I8275" s="34"/>
      <c r="J8275" s="34"/>
      <c r="K8275" s="34"/>
      <c r="L8275" s="34"/>
      <c r="M8275" s="34"/>
      <c r="N8275" s="12"/>
      <c r="O8275" s="12"/>
      <c r="P8275" s="13">
        <f>IFERROR(__xludf.DUMMYFUNCTION("VALUE(SUBSTITUTE((INDEX(SPLIT(A8275,"",""),1)),""."","","",1))"),100.295)</f>
        <v>100.295</v>
      </c>
      <c r="Q8275" s="13">
        <f>IFERROR(__xludf.DUMMYFUNCTION("VALUE(SUBSTITUTE((INDEX(SPLIT(A8275,"",""),2)),""."","","",1))"),100.0)</f>
        <v>100</v>
      </c>
      <c r="R8275" s="14" t="b">
        <f t="shared" si="1"/>
        <v>1</v>
      </c>
      <c r="S8275" s="14" t="str">
        <f t="shared" si="2"/>
        <v>100.100,295</v>
      </c>
      <c r="T8275" s="12"/>
    </row>
    <row r="8276">
      <c r="A8276" s="112" t="s">
        <v>51482</v>
      </c>
      <c r="B8276" s="34"/>
      <c r="C8276" s="34" t="s">
        <v>51483</v>
      </c>
      <c r="D8276" s="34" t="s">
        <v>51013</v>
      </c>
      <c r="E8276" s="34"/>
      <c r="F8276" s="34"/>
      <c r="G8276" s="34"/>
      <c r="H8276" s="34"/>
      <c r="I8276" s="34"/>
      <c r="J8276" s="34"/>
      <c r="K8276" s="34"/>
      <c r="L8276" s="34"/>
      <c r="M8276" s="34"/>
      <c r="N8276" s="12"/>
      <c r="O8276" s="12"/>
      <c r="P8276" s="13">
        <f>IFERROR(__xludf.DUMMYFUNCTION("VALUE(SUBSTITUTE((INDEX(SPLIT(A8276,"",""),1)),""."","","",1))"),100.296)</f>
        <v>100.296</v>
      </c>
      <c r="Q8276" s="13">
        <f>IFERROR(__xludf.DUMMYFUNCTION("VALUE(SUBSTITUTE((INDEX(SPLIT(A8276,"",""),2)),""."","","",1))"),100.0)</f>
        <v>100</v>
      </c>
      <c r="R8276" s="14" t="b">
        <f t="shared" si="1"/>
        <v>1</v>
      </c>
      <c r="S8276" s="14" t="str">
        <f t="shared" si="2"/>
        <v>100.100,296</v>
      </c>
      <c r="T8276" s="12"/>
    </row>
    <row r="8277">
      <c r="A8277" s="112" t="s">
        <v>51484</v>
      </c>
      <c r="B8277" s="34"/>
      <c r="C8277" s="34" t="s">
        <v>51415</v>
      </c>
      <c r="D8277" s="34" t="s">
        <v>51013</v>
      </c>
      <c r="E8277" s="34"/>
      <c r="F8277" s="34"/>
      <c r="G8277" s="34"/>
      <c r="H8277" s="34"/>
      <c r="I8277" s="34"/>
      <c r="J8277" s="34"/>
      <c r="K8277" s="34"/>
      <c r="L8277" s="34"/>
      <c r="M8277" s="34"/>
      <c r="N8277" s="12"/>
      <c r="O8277" s="12"/>
      <c r="P8277" s="13">
        <f>IFERROR(__xludf.DUMMYFUNCTION("VALUE(SUBSTITUTE((INDEX(SPLIT(A8277,"",""),1)),""."","","",1))"),100.297)</f>
        <v>100.297</v>
      </c>
      <c r="Q8277" s="13">
        <f>IFERROR(__xludf.DUMMYFUNCTION("VALUE(SUBSTITUTE((INDEX(SPLIT(A8277,"",""),2)),""."","","",1))"),100.0)</f>
        <v>100</v>
      </c>
      <c r="R8277" s="14" t="b">
        <f t="shared" si="1"/>
        <v>1</v>
      </c>
      <c r="S8277" s="14" t="str">
        <f t="shared" si="2"/>
        <v>100.100,297</v>
      </c>
      <c r="T8277" s="12"/>
    </row>
    <row r="8278">
      <c r="A8278" s="112" t="s">
        <v>51485</v>
      </c>
      <c r="B8278" s="34"/>
      <c r="C8278" s="34" t="s">
        <v>51486</v>
      </c>
      <c r="D8278" s="34" t="s">
        <v>51013</v>
      </c>
      <c r="E8278" s="34"/>
      <c r="F8278" s="34"/>
      <c r="G8278" s="34"/>
      <c r="H8278" s="34"/>
      <c r="I8278" s="34"/>
      <c r="J8278" s="34"/>
      <c r="K8278" s="34"/>
      <c r="L8278" s="34"/>
      <c r="M8278" s="34"/>
      <c r="N8278" s="12"/>
      <c r="O8278" s="12"/>
      <c r="P8278" s="13">
        <f>IFERROR(__xludf.DUMMYFUNCTION("VALUE(SUBSTITUTE((INDEX(SPLIT(A8278,"",""),1)),""."","","",1))"),100.298)</f>
        <v>100.298</v>
      </c>
      <c r="Q8278" s="13">
        <f>IFERROR(__xludf.DUMMYFUNCTION("VALUE(SUBSTITUTE((INDEX(SPLIT(A8278,"",""),2)),""."","","",1))"),100.0)</f>
        <v>100</v>
      </c>
      <c r="R8278" s="14" t="b">
        <f t="shared" si="1"/>
        <v>1</v>
      </c>
      <c r="S8278" s="14" t="str">
        <f t="shared" si="2"/>
        <v>100.100,298</v>
      </c>
      <c r="T8278" s="12"/>
    </row>
    <row r="8279">
      <c r="A8279" s="112" t="s">
        <v>51487</v>
      </c>
      <c r="B8279" s="34"/>
      <c r="C8279" s="34" t="s">
        <v>51387</v>
      </c>
      <c r="D8279" s="34" t="s">
        <v>51013</v>
      </c>
      <c r="E8279" s="34"/>
      <c r="F8279" s="34"/>
      <c r="G8279" s="34"/>
      <c r="H8279" s="34"/>
      <c r="I8279" s="34"/>
      <c r="J8279" s="34"/>
      <c r="K8279" s="34"/>
      <c r="L8279" s="34"/>
      <c r="M8279" s="34"/>
      <c r="N8279" s="12"/>
      <c r="O8279" s="12"/>
      <c r="P8279" s="13">
        <f>IFERROR(__xludf.DUMMYFUNCTION("VALUE(SUBSTITUTE((INDEX(SPLIT(A8279,"",""),1)),""."","","",1))"),100.299)</f>
        <v>100.299</v>
      </c>
      <c r="Q8279" s="13">
        <f>IFERROR(__xludf.DUMMYFUNCTION("VALUE(SUBSTITUTE((INDEX(SPLIT(A8279,"",""),2)),""."","","",1))"),100.0)</f>
        <v>100</v>
      </c>
      <c r="R8279" s="14" t="b">
        <f t="shared" si="1"/>
        <v>1</v>
      </c>
      <c r="S8279" s="14" t="str">
        <f t="shared" si="2"/>
        <v>100.100,299</v>
      </c>
      <c r="T8279" s="12"/>
    </row>
    <row r="8280">
      <c r="A8280" s="112" t="s">
        <v>50986</v>
      </c>
      <c r="B8280" s="34"/>
      <c r="C8280" s="34" t="s">
        <v>51033</v>
      </c>
      <c r="D8280" s="34" t="s">
        <v>51013</v>
      </c>
      <c r="E8280" s="34"/>
      <c r="F8280" s="34"/>
      <c r="G8280" s="34"/>
      <c r="H8280" s="34"/>
      <c r="I8280" s="34"/>
      <c r="J8280" s="34"/>
      <c r="K8280" s="34"/>
      <c r="L8280" s="34"/>
      <c r="M8280" s="34"/>
      <c r="N8280" s="12"/>
      <c r="O8280" s="12"/>
      <c r="P8280" s="13">
        <f>IFERROR(__xludf.DUMMYFUNCTION("VALUE(SUBSTITUTE((INDEX(SPLIT(A8280,"",""),1)),""."","","",1))"),100.3)</f>
        <v>100.3</v>
      </c>
      <c r="Q8280" s="13">
        <f>IFERROR(__xludf.DUMMYFUNCTION("VALUE(SUBSTITUTE((INDEX(SPLIT(A8280,"",""),2)),""."","","",1))"),100.0)</f>
        <v>100</v>
      </c>
      <c r="R8280" s="14" t="b">
        <f t="shared" si="1"/>
        <v>1</v>
      </c>
      <c r="S8280" s="14" t="str">
        <f t="shared" si="2"/>
        <v>100.100,3</v>
      </c>
      <c r="T8280" s="12"/>
    </row>
    <row r="8281">
      <c r="A8281" s="112" t="s">
        <v>51488</v>
      </c>
      <c r="B8281" s="34"/>
      <c r="C8281" s="34" t="s">
        <v>51267</v>
      </c>
      <c r="D8281" s="34" t="s">
        <v>51013</v>
      </c>
      <c r="E8281" s="34"/>
      <c r="F8281" s="34"/>
      <c r="G8281" s="34"/>
      <c r="H8281" s="34"/>
      <c r="I8281" s="34"/>
      <c r="J8281" s="34"/>
      <c r="K8281" s="34"/>
      <c r="L8281" s="34"/>
      <c r="M8281" s="34"/>
      <c r="N8281" s="12"/>
      <c r="O8281" s="12"/>
      <c r="P8281" s="13">
        <f>IFERROR(__xludf.DUMMYFUNCTION("VALUE(SUBSTITUTE((INDEX(SPLIT(A8281,"",""),1)),""."","","",1))"),100.301)</f>
        <v>100.301</v>
      </c>
      <c r="Q8281" s="13">
        <f>IFERROR(__xludf.DUMMYFUNCTION("VALUE(SUBSTITUTE((INDEX(SPLIT(A8281,"",""),2)),""."","","",1))"),100.0)</f>
        <v>100</v>
      </c>
      <c r="R8281" s="14" t="b">
        <f t="shared" si="1"/>
        <v>1</v>
      </c>
      <c r="S8281" s="14" t="str">
        <f t="shared" si="2"/>
        <v>100.100,301</v>
      </c>
      <c r="T8281" s="12"/>
    </row>
    <row r="8282">
      <c r="A8282" s="112" t="s">
        <v>51489</v>
      </c>
      <c r="B8282" s="34"/>
      <c r="C8282" s="34" t="s">
        <v>51490</v>
      </c>
      <c r="D8282" s="34" t="s">
        <v>51013</v>
      </c>
      <c r="E8282" s="34"/>
      <c r="F8282" s="34"/>
      <c r="G8282" s="34"/>
      <c r="H8282" s="34"/>
      <c r="I8282" s="34"/>
      <c r="J8282" s="34"/>
      <c r="K8282" s="34"/>
      <c r="L8282" s="34"/>
      <c r="M8282" s="34"/>
      <c r="N8282" s="12"/>
      <c r="O8282" s="12"/>
      <c r="P8282" s="13">
        <f>IFERROR(__xludf.DUMMYFUNCTION("VALUE(SUBSTITUTE((INDEX(SPLIT(A8282,"",""),1)),""."","","",1))"),100.302)</f>
        <v>100.302</v>
      </c>
      <c r="Q8282" s="13">
        <f>IFERROR(__xludf.DUMMYFUNCTION("VALUE(SUBSTITUTE((INDEX(SPLIT(A8282,"",""),2)),""."","","",1))"),100.0)</f>
        <v>100</v>
      </c>
      <c r="R8282" s="14" t="b">
        <f t="shared" si="1"/>
        <v>1</v>
      </c>
      <c r="S8282" s="14" t="str">
        <f t="shared" si="2"/>
        <v>100.100,302</v>
      </c>
      <c r="T8282" s="12"/>
    </row>
    <row r="8283">
      <c r="A8283" s="112" t="s">
        <v>51491</v>
      </c>
      <c r="B8283" s="34"/>
      <c r="C8283" s="34" t="s">
        <v>51220</v>
      </c>
      <c r="D8283" s="34" t="s">
        <v>51013</v>
      </c>
      <c r="E8283" s="34"/>
      <c r="F8283" s="34"/>
      <c r="G8283" s="34"/>
      <c r="H8283" s="34"/>
      <c r="I8283" s="34"/>
      <c r="J8283" s="34"/>
      <c r="K8283" s="34"/>
      <c r="L8283" s="34"/>
      <c r="M8283" s="34"/>
      <c r="N8283" s="12"/>
      <c r="O8283" s="12"/>
      <c r="P8283" s="13">
        <f>IFERROR(__xludf.DUMMYFUNCTION("VALUE(SUBSTITUTE((INDEX(SPLIT(A8283,"",""),1)),""."","","",1))"),100.303)</f>
        <v>100.303</v>
      </c>
      <c r="Q8283" s="13">
        <f>IFERROR(__xludf.DUMMYFUNCTION("VALUE(SUBSTITUTE((INDEX(SPLIT(A8283,"",""),2)),""."","","",1))"),100.0)</f>
        <v>100</v>
      </c>
      <c r="R8283" s="14" t="b">
        <f t="shared" si="1"/>
        <v>1</v>
      </c>
      <c r="S8283" s="14" t="str">
        <f t="shared" si="2"/>
        <v>100.100,303</v>
      </c>
      <c r="T8283" s="12"/>
    </row>
    <row r="8284">
      <c r="A8284" s="112" t="s">
        <v>51492</v>
      </c>
      <c r="B8284" s="34"/>
      <c r="C8284" s="34" t="s">
        <v>51258</v>
      </c>
      <c r="D8284" s="34" t="s">
        <v>51013</v>
      </c>
      <c r="E8284" s="34"/>
      <c r="F8284" s="34"/>
      <c r="G8284" s="34"/>
      <c r="H8284" s="34"/>
      <c r="I8284" s="34"/>
      <c r="J8284" s="34"/>
      <c r="K8284" s="34"/>
      <c r="L8284" s="34"/>
      <c r="M8284" s="34"/>
      <c r="N8284" s="12"/>
      <c r="O8284" s="12"/>
      <c r="P8284" s="13">
        <f>IFERROR(__xludf.DUMMYFUNCTION("VALUE(SUBSTITUTE((INDEX(SPLIT(A8284,"",""),1)),""."","","",1))"),100.304)</f>
        <v>100.304</v>
      </c>
      <c r="Q8284" s="13">
        <f>IFERROR(__xludf.DUMMYFUNCTION("VALUE(SUBSTITUTE((INDEX(SPLIT(A8284,"",""),2)),""."","","",1))"),100.0)</f>
        <v>100</v>
      </c>
      <c r="R8284" s="14" t="b">
        <f t="shared" si="1"/>
        <v>1</v>
      </c>
      <c r="S8284" s="14" t="str">
        <f t="shared" si="2"/>
        <v>100.100,304</v>
      </c>
      <c r="T8284" s="12"/>
    </row>
    <row r="8285">
      <c r="A8285" s="112" t="s">
        <v>51493</v>
      </c>
      <c r="B8285" s="34"/>
      <c r="C8285" s="34" t="s">
        <v>51186</v>
      </c>
      <c r="D8285" s="34" t="s">
        <v>51013</v>
      </c>
      <c r="E8285" s="34"/>
      <c r="F8285" s="34"/>
      <c r="G8285" s="34"/>
      <c r="H8285" s="34"/>
      <c r="I8285" s="34"/>
      <c r="J8285" s="34"/>
      <c r="K8285" s="34"/>
      <c r="L8285" s="34"/>
      <c r="M8285" s="34"/>
      <c r="N8285" s="12"/>
      <c r="O8285" s="12"/>
      <c r="P8285" s="13">
        <f>IFERROR(__xludf.DUMMYFUNCTION("VALUE(SUBSTITUTE((INDEX(SPLIT(A8285,"",""),1)),""."","","",1))"),100.305)</f>
        <v>100.305</v>
      </c>
      <c r="Q8285" s="13">
        <f>IFERROR(__xludf.DUMMYFUNCTION("VALUE(SUBSTITUTE((INDEX(SPLIT(A8285,"",""),2)),""."","","",1))"),100.0)</f>
        <v>100</v>
      </c>
      <c r="R8285" s="14" t="b">
        <f t="shared" si="1"/>
        <v>1</v>
      </c>
      <c r="S8285" s="14" t="str">
        <f t="shared" si="2"/>
        <v>100.100,305</v>
      </c>
      <c r="T8285" s="12"/>
    </row>
    <row r="8286">
      <c r="A8286" s="112" t="s">
        <v>51494</v>
      </c>
      <c r="B8286" s="34"/>
      <c r="C8286" s="34" t="s">
        <v>51105</v>
      </c>
      <c r="D8286" s="34" t="s">
        <v>51013</v>
      </c>
      <c r="E8286" s="34"/>
      <c r="F8286" s="34"/>
      <c r="G8286" s="34"/>
      <c r="H8286" s="34"/>
      <c r="I8286" s="34"/>
      <c r="J8286" s="34"/>
      <c r="K8286" s="34"/>
      <c r="L8286" s="34"/>
      <c r="M8286" s="34"/>
      <c r="N8286" s="12"/>
      <c r="O8286" s="12"/>
      <c r="P8286" s="13">
        <f>IFERROR(__xludf.DUMMYFUNCTION("VALUE(SUBSTITUTE((INDEX(SPLIT(A8286,"",""),1)),""."","","",1))"),100.306)</f>
        <v>100.306</v>
      </c>
      <c r="Q8286" s="13">
        <f>IFERROR(__xludf.DUMMYFUNCTION("VALUE(SUBSTITUTE((INDEX(SPLIT(A8286,"",""),2)),""."","","",1))"),100.0)</f>
        <v>100</v>
      </c>
      <c r="R8286" s="14" t="b">
        <f t="shared" si="1"/>
        <v>1</v>
      </c>
      <c r="S8286" s="14" t="str">
        <f t="shared" si="2"/>
        <v>100.100,306</v>
      </c>
      <c r="T8286" s="12"/>
    </row>
    <row r="8287">
      <c r="A8287" s="112" t="s">
        <v>51495</v>
      </c>
      <c r="B8287" s="34"/>
      <c r="C8287" s="34" t="s">
        <v>51339</v>
      </c>
      <c r="D8287" s="34" t="s">
        <v>51013</v>
      </c>
      <c r="E8287" s="34"/>
      <c r="F8287" s="34"/>
      <c r="G8287" s="34"/>
      <c r="H8287" s="34"/>
      <c r="I8287" s="34"/>
      <c r="J8287" s="34"/>
      <c r="K8287" s="34"/>
      <c r="L8287" s="34"/>
      <c r="M8287" s="34"/>
      <c r="N8287" s="12"/>
      <c r="O8287" s="12"/>
      <c r="P8287" s="13">
        <f>IFERROR(__xludf.DUMMYFUNCTION("VALUE(SUBSTITUTE((INDEX(SPLIT(A8287,"",""),1)),""."","","",1))"),100.307)</f>
        <v>100.307</v>
      </c>
      <c r="Q8287" s="13">
        <f>IFERROR(__xludf.DUMMYFUNCTION("VALUE(SUBSTITUTE((INDEX(SPLIT(A8287,"",""),2)),""."","","",1))"),100.0)</f>
        <v>100</v>
      </c>
      <c r="R8287" s="14" t="b">
        <f t="shared" si="1"/>
        <v>1</v>
      </c>
      <c r="S8287" s="14" t="str">
        <f t="shared" si="2"/>
        <v>100.100,307</v>
      </c>
      <c r="T8287" s="12"/>
    </row>
    <row r="8288">
      <c r="A8288" s="112" t="s">
        <v>51496</v>
      </c>
      <c r="B8288" s="34"/>
      <c r="C8288" s="34" t="s">
        <v>51497</v>
      </c>
      <c r="D8288" s="34" t="s">
        <v>51013</v>
      </c>
      <c r="E8288" s="34"/>
      <c r="F8288" s="34"/>
      <c r="G8288" s="34"/>
      <c r="H8288" s="34"/>
      <c r="I8288" s="34"/>
      <c r="J8288" s="34"/>
      <c r="K8288" s="34"/>
      <c r="L8288" s="34"/>
      <c r="M8288" s="34"/>
      <c r="N8288" s="12"/>
      <c r="O8288" s="12"/>
      <c r="P8288" s="13">
        <f>IFERROR(__xludf.DUMMYFUNCTION("VALUE(SUBSTITUTE((INDEX(SPLIT(A8288,"",""),1)),""."","","",1))"),100.308)</f>
        <v>100.308</v>
      </c>
      <c r="Q8288" s="13">
        <f>IFERROR(__xludf.DUMMYFUNCTION("VALUE(SUBSTITUTE((INDEX(SPLIT(A8288,"",""),2)),""."","","",1))"),100.0)</f>
        <v>100</v>
      </c>
      <c r="R8288" s="14" t="b">
        <f t="shared" si="1"/>
        <v>1</v>
      </c>
      <c r="S8288" s="14" t="str">
        <f t="shared" si="2"/>
        <v>100.100,308</v>
      </c>
      <c r="T8288" s="12"/>
    </row>
    <row r="8289">
      <c r="A8289" s="112" t="s">
        <v>51498</v>
      </c>
      <c r="B8289" s="34"/>
      <c r="C8289" s="34" t="s">
        <v>51255</v>
      </c>
      <c r="D8289" s="34" t="s">
        <v>51013</v>
      </c>
      <c r="E8289" s="34"/>
      <c r="F8289" s="34"/>
      <c r="G8289" s="34"/>
      <c r="H8289" s="34"/>
      <c r="I8289" s="34"/>
      <c r="J8289" s="34"/>
      <c r="K8289" s="34"/>
      <c r="L8289" s="34"/>
      <c r="M8289" s="34"/>
      <c r="N8289" s="12"/>
      <c r="O8289" s="12"/>
      <c r="P8289" s="13">
        <f>IFERROR(__xludf.DUMMYFUNCTION("VALUE(SUBSTITUTE((INDEX(SPLIT(A8289,"",""),1)),""."","","",1))"),100.309)</f>
        <v>100.309</v>
      </c>
      <c r="Q8289" s="13">
        <f>IFERROR(__xludf.DUMMYFUNCTION("VALUE(SUBSTITUTE((INDEX(SPLIT(A8289,"",""),2)),""."","","",1))"),100.0)</f>
        <v>100</v>
      </c>
      <c r="R8289" s="14" t="b">
        <f t="shared" si="1"/>
        <v>1</v>
      </c>
      <c r="S8289" s="14" t="str">
        <f t="shared" si="2"/>
        <v>100.100,309</v>
      </c>
      <c r="T8289" s="12"/>
    </row>
    <row r="8290">
      <c r="A8290" s="112" t="s">
        <v>51039</v>
      </c>
      <c r="B8290" s="34"/>
      <c r="C8290" s="34" t="s">
        <v>51499</v>
      </c>
      <c r="D8290" s="34" t="s">
        <v>51013</v>
      </c>
      <c r="E8290" s="34"/>
      <c r="F8290" s="34"/>
      <c r="G8290" s="34"/>
      <c r="H8290" s="34"/>
      <c r="I8290" s="34"/>
      <c r="J8290" s="34"/>
      <c r="K8290" s="34"/>
      <c r="L8290" s="34"/>
      <c r="M8290" s="34"/>
      <c r="N8290" s="12"/>
      <c r="O8290" s="12"/>
      <c r="P8290" s="13">
        <f>IFERROR(__xludf.DUMMYFUNCTION("VALUE(SUBSTITUTE((INDEX(SPLIT(A8290,"",""),1)),""."","","",1))"),100.31)</f>
        <v>100.31</v>
      </c>
      <c r="Q8290" s="13">
        <f>IFERROR(__xludf.DUMMYFUNCTION("VALUE(SUBSTITUTE((INDEX(SPLIT(A8290,"",""),2)),""."","","",1))"),100.0)</f>
        <v>100</v>
      </c>
      <c r="R8290" s="14" t="b">
        <f t="shared" si="1"/>
        <v>1</v>
      </c>
      <c r="S8290" s="14" t="str">
        <f t="shared" si="2"/>
        <v>100.100,31</v>
      </c>
      <c r="T8290" s="12"/>
    </row>
    <row r="8291">
      <c r="A8291" s="112" t="s">
        <v>51500</v>
      </c>
      <c r="B8291" s="34"/>
      <c r="C8291" s="34" t="s">
        <v>51418</v>
      </c>
      <c r="D8291" s="34" t="s">
        <v>51013</v>
      </c>
      <c r="E8291" s="34"/>
      <c r="F8291" s="34"/>
      <c r="G8291" s="34"/>
      <c r="H8291" s="34"/>
      <c r="I8291" s="34"/>
      <c r="J8291" s="34"/>
      <c r="K8291" s="34"/>
      <c r="L8291" s="34"/>
      <c r="M8291" s="34"/>
      <c r="N8291" s="12"/>
      <c r="O8291" s="12"/>
      <c r="P8291" s="13">
        <f>IFERROR(__xludf.DUMMYFUNCTION("VALUE(SUBSTITUTE((INDEX(SPLIT(A8291,"",""),1)),""."","","",1))"),100.311)</f>
        <v>100.311</v>
      </c>
      <c r="Q8291" s="13">
        <f>IFERROR(__xludf.DUMMYFUNCTION("VALUE(SUBSTITUTE((INDEX(SPLIT(A8291,"",""),2)),""."","","",1))"),100.0)</f>
        <v>100</v>
      </c>
      <c r="R8291" s="14" t="b">
        <f t="shared" si="1"/>
        <v>1</v>
      </c>
      <c r="S8291" s="14" t="str">
        <f t="shared" si="2"/>
        <v>100.100,311</v>
      </c>
      <c r="T8291" s="12"/>
    </row>
    <row r="8292">
      <c r="A8292" s="112" t="s">
        <v>51501</v>
      </c>
      <c r="B8292" s="34"/>
      <c r="C8292" s="34" t="s">
        <v>51200</v>
      </c>
      <c r="D8292" s="34" t="s">
        <v>51013</v>
      </c>
      <c r="E8292" s="34"/>
      <c r="F8292" s="34"/>
      <c r="G8292" s="34"/>
      <c r="H8292" s="34"/>
      <c r="I8292" s="34"/>
      <c r="J8292" s="34"/>
      <c r="K8292" s="34"/>
      <c r="L8292" s="34"/>
      <c r="M8292" s="34"/>
      <c r="N8292" s="12"/>
      <c r="O8292" s="12"/>
      <c r="P8292" s="13">
        <f>IFERROR(__xludf.DUMMYFUNCTION("VALUE(SUBSTITUTE((INDEX(SPLIT(A8292,"",""),1)),""."","","",1))"),100.312)</f>
        <v>100.312</v>
      </c>
      <c r="Q8292" s="13">
        <f>IFERROR(__xludf.DUMMYFUNCTION("VALUE(SUBSTITUTE((INDEX(SPLIT(A8292,"",""),2)),""."","","",1))"),100.0)</f>
        <v>100</v>
      </c>
      <c r="R8292" s="14" t="b">
        <f t="shared" si="1"/>
        <v>1</v>
      </c>
      <c r="S8292" s="14" t="str">
        <f t="shared" si="2"/>
        <v>100.100,312</v>
      </c>
      <c r="T8292" s="12"/>
    </row>
    <row r="8293">
      <c r="A8293" s="112" t="s">
        <v>51502</v>
      </c>
      <c r="B8293" s="34"/>
      <c r="C8293" s="34" t="s">
        <v>51503</v>
      </c>
      <c r="D8293" s="34" t="s">
        <v>51013</v>
      </c>
      <c r="E8293" s="34"/>
      <c r="F8293" s="34"/>
      <c r="G8293" s="34"/>
      <c r="H8293" s="34"/>
      <c r="I8293" s="34"/>
      <c r="J8293" s="34"/>
      <c r="K8293" s="34"/>
      <c r="L8293" s="34"/>
      <c r="M8293" s="34"/>
      <c r="N8293" s="12"/>
      <c r="O8293" s="12"/>
      <c r="P8293" s="13">
        <f>IFERROR(__xludf.DUMMYFUNCTION("VALUE(SUBSTITUTE((INDEX(SPLIT(A8293,"",""),1)),""."","","",1))"),100.313)</f>
        <v>100.313</v>
      </c>
      <c r="Q8293" s="13">
        <f>IFERROR(__xludf.DUMMYFUNCTION("VALUE(SUBSTITUTE((INDEX(SPLIT(A8293,"",""),2)),""."","","",1))"),100.0)</f>
        <v>100</v>
      </c>
      <c r="R8293" s="14" t="b">
        <f t="shared" si="1"/>
        <v>1</v>
      </c>
      <c r="S8293" s="14" t="str">
        <f t="shared" si="2"/>
        <v>100.100,313</v>
      </c>
      <c r="T8293" s="12"/>
    </row>
    <row r="8294">
      <c r="A8294" s="112" t="s">
        <v>51504</v>
      </c>
      <c r="B8294" s="34"/>
      <c r="C8294" s="34" t="s">
        <v>51165</v>
      </c>
      <c r="D8294" s="34" t="s">
        <v>51013</v>
      </c>
      <c r="E8294" s="34"/>
      <c r="F8294" s="34"/>
      <c r="G8294" s="34"/>
      <c r="H8294" s="34"/>
      <c r="I8294" s="34"/>
      <c r="J8294" s="34"/>
      <c r="K8294" s="34"/>
      <c r="L8294" s="34"/>
      <c r="M8294" s="34"/>
      <c r="N8294" s="12"/>
      <c r="O8294" s="12"/>
      <c r="P8294" s="13">
        <f>IFERROR(__xludf.DUMMYFUNCTION("VALUE(SUBSTITUTE((INDEX(SPLIT(A8294,"",""),1)),""."","","",1))"),100.314)</f>
        <v>100.314</v>
      </c>
      <c r="Q8294" s="13">
        <f>IFERROR(__xludf.DUMMYFUNCTION("VALUE(SUBSTITUTE((INDEX(SPLIT(A8294,"",""),2)),""."","","",1))"),100.0)</f>
        <v>100</v>
      </c>
      <c r="R8294" s="14" t="b">
        <f t="shared" si="1"/>
        <v>1</v>
      </c>
      <c r="S8294" s="14" t="str">
        <f t="shared" si="2"/>
        <v>100.100,314</v>
      </c>
      <c r="T8294" s="12"/>
    </row>
    <row r="8295">
      <c r="A8295" s="112" t="s">
        <v>51505</v>
      </c>
      <c r="B8295" s="34"/>
      <c r="C8295" s="34" t="s">
        <v>51506</v>
      </c>
      <c r="D8295" s="34" t="s">
        <v>51013</v>
      </c>
      <c r="E8295" s="34"/>
      <c r="F8295" s="34"/>
      <c r="G8295" s="34"/>
      <c r="H8295" s="34"/>
      <c r="I8295" s="34"/>
      <c r="J8295" s="34"/>
      <c r="K8295" s="34"/>
      <c r="L8295" s="34"/>
      <c r="M8295" s="34"/>
      <c r="N8295" s="12"/>
      <c r="O8295" s="12"/>
      <c r="P8295" s="13">
        <f>IFERROR(__xludf.DUMMYFUNCTION("VALUE(SUBSTITUTE((INDEX(SPLIT(A8295,"",""),1)),""."","","",1))"),100.315)</f>
        <v>100.315</v>
      </c>
      <c r="Q8295" s="13">
        <f>IFERROR(__xludf.DUMMYFUNCTION("VALUE(SUBSTITUTE((INDEX(SPLIT(A8295,"",""),2)),""."","","",1))"),100.0)</f>
        <v>100</v>
      </c>
      <c r="R8295" s="14" t="b">
        <f t="shared" si="1"/>
        <v>1</v>
      </c>
      <c r="S8295" s="14" t="str">
        <f t="shared" si="2"/>
        <v>100.100,315</v>
      </c>
      <c r="T8295" s="12"/>
    </row>
    <row r="8296">
      <c r="A8296" s="112" t="s">
        <v>51507</v>
      </c>
      <c r="B8296" s="34"/>
      <c r="C8296" s="34" t="s">
        <v>51029</v>
      </c>
      <c r="D8296" s="34" t="s">
        <v>51013</v>
      </c>
      <c r="E8296" s="34"/>
      <c r="F8296" s="34"/>
      <c r="G8296" s="34"/>
      <c r="H8296" s="34"/>
      <c r="I8296" s="34"/>
      <c r="J8296" s="34"/>
      <c r="K8296" s="34"/>
      <c r="L8296" s="34"/>
      <c r="M8296" s="34"/>
      <c r="N8296" s="12"/>
      <c r="O8296" s="12"/>
      <c r="P8296" s="13">
        <f>IFERROR(__xludf.DUMMYFUNCTION("VALUE(SUBSTITUTE((INDEX(SPLIT(A8296,"",""),1)),""."","","",1))"),100.316)</f>
        <v>100.316</v>
      </c>
      <c r="Q8296" s="13">
        <f>IFERROR(__xludf.DUMMYFUNCTION("VALUE(SUBSTITUTE((INDEX(SPLIT(A8296,"",""),2)),""."","","",1))"),100.0)</f>
        <v>100</v>
      </c>
      <c r="R8296" s="14" t="b">
        <f t="shared" si="1"/>
        <v>1</v>
      </c>
      <c r="S8296" s="14" t="str">
        <f t="shared" si="2"/>
        <v>100.100,316</v>
      </c>
      <c r="T8296" s="12"/>
    </row>
    <row r="8297">
      <c r="A8297" s="112" t="s">
        <v>51508</v>
      </c>
      <c r="B8297" s="34"/>
      <c r="C8297" s="34" t="s">
        <v>51359</v>
      </c>
      <c r="D8297" s="34" t="s">
        <v>51013</v>
      </c>
      <c r="E8297" s="34"/>
      <c r="F8297" s="34"/>
      <c r="G8297" s="34"/>
      <c r="H8297" s="34"/>
      <c r="I8297" s="34"/>
      <c r="J8297" s="34"/>
      <c r="K8297" s="34"/>
      <c r="L8297" s="34"/>
      <c r="M8297" s="34"/>
      <c r="N8297" s="12"/>
      <c r="O8297" s="12"/>
      <c r="P8297" s="13">
        <f>IFERROR(__xludf.DUMMYFUNCTION("VALUE(SUBSTITUTE((INDEX(SPLIT(A8297,"",""),1)),""."","","",1))"),100.317)</f>
        <v>100.317</v>
      </c>
      <c r="Q8297" s="13">
        <f>IFERROR(__xludf.DUMMYFUNCTION("VALUE(SUBSTITUTE((INDEX(SPLIT(A8297,"",""),2)),""."","","",1))"),100.0)</f>
        <v>100</v>
      </c>
      <c r="R8297" s="14" t="b">
        <f t="shared" si="1"/>
        <v>1</v>
      </c>
      <c r="S8297" s="14" t="str">
        <f t="shared" si="2"/>
        <v>100.100,317</v>
      </c>
      <c r="T8297" s="12"/>
    </row>
    <row r="8298">
      <c r="A8298" s="112" t="s">
        <v>51509</v>
      </c>
      <c r="B8298" s="34"/>
      <c r="C8298" s="34" t="s">
        <v>51344</v>
      </c>
      <c r="D8298" s="34" t="s">
        <v>51013</v>
      </c>
      <c r="E8298" s="34"/>
      <c r="F8298" s="34"/>
      <c r="G8298" s="34"/>
      <c r="H8298" s="34"/>
      <c r="I8298" s="34"/>
      <c r="J8298" s="34"/>
      <c r="K8298" s="34"/>
      <c r="L8298" s="34"/>
      <c r="M8298" s="34"/>
      <c r="N8298" s="12"/>
      <c r="O8298" s="12"/>
      <c r="P8298" s="13">
        <f>IFERROR(__xludf.DUMMYFUNCTION("VALUE(SUBSTITUTE((INDEX(SPLIT(A8298,"",""),1)),""."","","",1))"),100.318)</f>
        <v>100.318</v>
      </c>
      <c r="Q8298" s="13">
        <f>IFERROR(__xludf.DUMMYFUNCTION("VALUE(SUBSTITUTE((INDEX(SPLIT(A8298,"",""),2)),""."","","",1))"),100.0)</f>
        <v>100</v>
      </c>
      <c r="R8298" s="14" t="b">
        <f t="shared" si="1"/>
        <v>1</v>
      </c>
      <c r="S8298" s="14" t="str">
        <f t="shared" si="2"/>
        <v>100.100,318</v>
      </c>
      <c r="T8298" s="12"/>
    </row>
    <row r="8299">
      <c r="A8299" s="112" t="s">
        <v>51510</v>
      </c>
      <c r="B8299" s="34"/>
      <c r="C8299" s="34" t="s">
        <v>51368</v>
      </c>
      <c r="D8299" s="34" t="s">
        <v>51013</v>
      </c>
      <c r="E8299" s="34"/>
      <c r="F8299" s="34"/>
      <c r="G8299" s="34"/>
      <c r="H8299" s="34"/>
      <c r="I8299" s="34"/>
      <c r="J8299" s="34"/>
      <c r="K8299" s="34"/>
      <c r="L8299" s="34"/>
      <c r="M8299" s="34"/>
      <c r="N8299" s="12"/>
      <c r="O8299" s="12"/>
      <c r="P8299" s="13">
        <f>IFERROR(__xludf.DUMMYFUNCTION("VALUE(SUBSTITUTE((INDEX(SPLIT(A8299,"",""),1)),""."","","",1))"),100.319)</f>
        <v>100.319</v>
      </c>
      <c r="Q8299" s="13">
        <f>IFERROR(__xludf.DUMMYFUNCTION("VALUE(SUBSTITUTE((INDEX(SPLIT(A8299,"",""),2)),""."","","",1))"),100.0)</f>
        <v>100</v>
      </c>
      <c r="R8299" s="14" t="b">
        <f t="shared" si="1"/>
        <v>1</v>
      </c>
      <c r="S8299" s="14" t="str">
        <f t="shared" si="2"/>
        <v>100.100,319</v>
      </c>
      <c r="T8299" s="12"/>
    </row>
    <row r="8300">
      <c r="A8300" s="112" t="s">
        <v>51041</v>
      </c>
      <c r="B8300" s="34"/>
      <c r="C8300" s="34" t="s">
        <v>51112</v>
      </c>
      <c r="D8300" s="34" t="s">
        <v>51013</v>
      </c>
      <c r="E8300" s="34"/>
      <c r="F8300" s="34"/>
      <c r="G8300" s="34"/>
      <c r="H8300" s="34"/>
      <c r="I8300" s="34"/>
      <c r="J8300" s="34"/>
      <c r="K8300" s="34"/>
      <c r="L8300" s="34"/>
      <c r="M8300" s="34"/>
      <c r="N8300" s="12"/>
      <c r="O8300" s="12"/>
      <c r="P8300" s="13">
        <f>IFERROR(__xludf.DUMMYFUNCTION("VALUE(SUBSTITUTE((INDEX(SPLIT(A8300,"",""),1)),""."","","",1))"),100.32)</f>
        <v>100.32</v>
      </c>
      <c r="Q8300" s="13">
        <f>IFERROR(__xludf.DUMMYFUNCTION("VALUE(SUBSTITUTE((INDEX(SPLIT(A8300,"",""),2)),""."","","",1))"),100.0)</f>
        <v>100</v>
      </c>
      <c r="R8300" s="14" t="b">
        <f t="shared" si="1"/>
        <v>1</v>
      </c>
      <c r="S8300" s="14" t="str">
        <f t="shared" si="2"/>
        <v>100.100,32</v>
      </c>
      <c r="T8300" s="12"/>
    </row>
    <row r="8301">
      <c r="A8301" s="112" t="s">
        <v>51511</v>
      </c>
      <c r="B8301" s="34"/>
      <c r="C8301" s="34" t="s">
        <v>51126</v>
      </c>
      <c r="D8301" s="34" t="s">
        <v>51013</v>
      </c>
      <c r="E8301" s="34"/>
      <c r="F8301" s="34"/>
      <c r="G8301" s="34"/>
      <c r="H8301" s="34"/>
      <c r="I8301" s="34"/>
      <c r="J8301" s="34"/>
      <c r="K8301" s="34"/>
      <c r="L8301" s="34"/>
      <c r="M8301" s="34"/>
      <c r="N8301" s="12"/>
      <c r="O8301" s="12"/>
      <c r="P8301" s="13">
        <f>IFERROR(__xludf.DUMMYFUNCTION("VALUE(SUBSTITUTE((INDEX(SPLIT(A8301,"",""),1)),""."","","",1))"),100.321)</f>
        <v>100.321</v>
      </c>
      <c r="Q8301" s="13">
        <f>IFERROR(__xludf.DUMMYFUNCTION("VALUE(SUBSTITUTE((INDEX(SPLIT(A8301,"",""),2)),""."","","",1))"),100.0)</f>
        <v>100</v>
      </c>
      <c r="R8301" s="14" t="b">
        <f t="shared" si="1"/>
        <v>1</v>
      </c>
      <c r="S8301" s="14" t="str">
        <f t="shared" si="2"/>
        <v>100.100,321</v>
      </c>
      <c r="T8301" s="12"/>
    </row>
    <row r="8302">
      <c r="A8302" s="112" t="s">
        <v>51512</v>
      </c>
      <c r="B8302" s="34"/>
      <c r="C8302" s="34" t="s">
        <v>51031</v>
      </c>
      <c r="D8302" s="34" t="s">
        <v>51013</v>
      </c>
      <c r="E8302" s="34"/>
      <c r="F8302" s="34"/>
      <c r="G8302" s="34"/>
      <c r="H8302" s="34"/>
      <c r="I8302" s="34"/>
      <c r="J8302" s="34"/>
      <c r="K8302" s="34"/>
      <c r="L8302" s="34"/>
      <c r="M8302" s="34"/>
      <c r="N8302" s="12"/>
      <c r="O8302" s="12"/>
      <c r="P8302" s="13">
        <f>IFERROR(__xludf.DUMMYFUNCTION("VALUE(SUBSTITUTE((INDEX(SPLIT(A8302,"",""),1)),""."","","",1))"),100.322)</f>
        <v>100.322</v>
      </c>
      <c r="Q8302" s="13">
        <f>IFERROR(__xludf.DUMMYFUNCTION("VALUE(SUBSTITUTE((INDEX(SPLIT(A8302,"",""),2)),""."","","",1))"),100.0)</f>
        <v>100</v>
      </c>
      <c r="R8302" s="14" t="b">
        <f t="shared" si="1"/>
        <v>1</v>
      </c>
      <c r="S8302" s="14" t="str">
        <f t="shared" si="2"/>
        <v>100.100,322</v>
      </c>
      <c r="T8302" s="12"/>
    </row>
    <row r="8303">
      <c r="A8303" s="112" t="s">
        <v>51513</v>
      </c>
      <c r="B8303" s="34"/>
      <c r="C8303" s="34" t="s">
        <v>51373</v>
      </c>
      <c r="D8303" s="34" t="s">
        <v>51013</v>
      </c>
      <c r="E8303" s="34"/>
      <c r="F8303" s="34"/>
      <c r="G8303" s="34"/>
      <c r="H8303" s="34"/>
      <c r="I8303" s="34"/>
      <c r="J8303" s="34"/>
      <c r="K8303" s="34"/>
      <c r="L8303" s="34"/>
      <c r="M8303" s="34"/>
      <c r="N8303" s="12"/>
      <c r="O8303" s="12"/>
      <c r="P8303" s="13">
        <f>IFERROR(__xludf.DUMMYFUNCTION("VALUE(SUBSTITUTE((INDEX(SPLIT(A8303,"",""),1)),""."","","",1))"),100.323)</f>
        <v>100.323</v>
      </c>
      <c r="Q8303" s="13">
        <f>IFERROR(__xludf.DUMMYFUNCTION("VALUE(SUBSTITUTE((INDEX(SPLIT(A8303,"",""),2)),""."","","",1))"),100.0)</f>
        <v>100</v>
      </c>
      <c r="R8303" s="14" t="b">
        <f t="shared" si="1"/>
        <v>1</v>
      </c>
      <c r="S8303" s="14" t="str">
        <f t="shared" si="2"/>
        <v>100.100,323</v>
      </c>
      <c r="T8303" s="12"/>
    </row>
    <row r="8304">
      <c r="A8304" s="112" t="s">
        <v>51514</v>
      </c>
      <c r="B8304" s="34"/>
      <c r="C8304" s="34" t="s">
        <v>51048</v>
      </c>
      <c r="D8304" s="34" t="s">
        <v>51013</v>
      </c>
      <c r="E8304" s="34"/>
      <c r="F8304" s="34"/>
      <c r="G8304" s="34"/>
      <c r="H8304" s="34"/>
      <c r="I8304" s="34"/>
      <c r="J8304" s="34"/>
      <c r="K8304" s="34"/>
      <c r="L8304" s="34"/>
      <c r="M8304" s="34"/>
      <c r="N8304" s="12"/>
      <c r="O8304" s="12"/>
      <c r="P8304" s="13">
        <f>IFERROR(__xludf.DUMMYFUNCTION("VALUE(SUBSTITUTE((INDEX(SPLIT(A8304,"",""),1)),""."","","",1))"),100.324)</f>
        <v>100.324</v>
      </c>
      <c r="Q8304" s="13">
        <f>IFERROR(__xludf.DUMMYFUNCTION("VALUE(SUBSTITUTE((INDEX(SPLIT(A8304,"",""),2)),""."","","",1))"),100.0)</f>
        <v>100</v>
      </c>
      <c r="R8304" s="14" t="b">
        <f t="shared" si="1"/>
        <v>1</v>
      </c>
      <c r="S8304" s="14" t="str">
        <f t="shared" si="2"/>
        <v>100.100,324</v>
      </c>
      <c r="T8304" s="12"/>
    </row>
    <row r="8305">
      <c r="A8305" s="112" t="s">
        <v>51515</v>
      </c>
      <c r="B8305" s="34"/>
      <c r="C8305" s="34" t="s">
        <v>51516</v>
      </c>
      <c r="D8305" s="34" t="s">
        <v>51013</v>
      </c>
      <c r="E8305" s="34"/>
      <c r="F8305" s="34"/>
      <c r="G8305" s="34"/>
      <c r="H8305" s="34"/>
      <c r="I8305" s="34"/>
      <c r="J8305" s="34"/>
      <c r="K8305" s="34"/>
      <c r="L8305" s="34"/>
      <c r="M8305" s="34"/>
      <c r="N8305" s="12"/>
      <c r="O8305" s="12"/>
      <c r="P8305" s="13">
        <f>IFERROR(__xludf.DUMMYFUNCTION("VALUE(SUBSTITUTE((INDEX(SPLIT(A8305,"",""),1)),""."","","",1))"),100.325)</f>
        <v>100.325</v>
      </c>
      <c r="Q8305" s="13">
        <f>IFERROR(__xludf.DUMMYFUNCTION("VALUE(SUBSTITUTE((INDEX(SPLIT(A8305,"",""),2)),""."","","",1))"),100.0)</f>
        <v>100</v>
      </c>
      <c r="R8305" s="14" t="b">
        <f t="shared" si="1"/>
        <v>1</v>
      </c>
      <c r="S8305" s="14" t="str">
        <f t="shared" si="2"/>
        <v>100.100,325</v>
      </c>
      <c r="T8305" s="12"/>
    </row>
    <row r="8306">
      <c r="A8306" s="112" t="s">
        <v>51517</v>
      </c>
      <c r="B8306" s="34"/>
      <c r="C8306" s="34" t="s">
        <v>51518</v>
      </c>
      <c r="D8306" s="34" t="s">
        <v>51013</v>
      </c>
      <c r="E8306" s="34"/>
      <c r="F8306" s="34"/>
      <c r="G8306" s="34"/>
      <c r="H8306" s="34"/>
      <c r="I8306" s="34"/>
      <c r="J8306" s="34"/>
      <c r="K8306" s="34"/>
      <c r="L8306" s="34"/>
      <c r="M8306" s="34"/>
      <c r="N8306" s="12"/>
      <c r="O8306" s="12"/>
      <c r="P8306" s="13">
        <f>IFERROR(__xludf.DUMMYFUNCTION("VALUE(SUBSTITUTE((INDEX(SPLIT(A8306,"",""),1)),""."","","",1))"),100.326)</f>
        <v>100.326</v>
      </c>
      <c r="Q8306" s="13">
        <f>IFERROR(__xludf.DUMMYFUNCTION("VALUE(SUBSTITUTE((INDEX(SPLIT(A8306,"",""),2)),""."","","",1))"),100.0)</f>
        <v>100</v>
      </c>
      <c r="R8306" s="14" t="b">
        <f t="shared" si="1"/>
        <v>1</v>
      </c>
      <c r="S8306" s="14" t="str">
        <f t="shared" si="2"/>
        <v>100.100,326</v>
      </c>
      <c r="T8306" s="12"/>
    </row>
    <row r="8307">
      <c r="A8307" s="112" t="s">
        <v>51519</v>
      </c>
      <c r="B8307" s="34"/>
      <c r="C8307" s="34" t="s">
        <v>51052</v>
      </c>
      <c r="D8307" s="34" t="s">
        <v>51013</v>
      </c>
      <c r="E8307" s="34"/>
      <c r="F8307" s="34"/>
      <c r="G8307" s="34"/>
      <c r="H8307" s="34"/>
      <c r="I8307" s="34"/>
      <c r="J8307" s="34"/>
      <c r="K8307" s="34"/>
      <c r="L8307" s="34"/>
      <c r="M8307" s="34"/>
      <c r="N8307" s="12"/>
      <c r="O8307" s="12"/>
      <c r="P8307" s="13">
        <f>IFERROR(__xludf.DUMMYFUNCTION("VALUE(SUBSTITUTE((INDEX(SPLIT(A8307,"",""),1)),""."","","",1))"),100.327)</f>
        <v>100.327</v>
      </c>
      <c r="Q8307" s="13">
        <f>IFERROR(__xludf.DUMMYFUNCTION("VALUE(SUBSTITUTE((INDEX(SPLIT(A8307,"",""),2)),""."","","",1))"),100.0)</f>
        <v>100</v>
      </c>
      <c r="R8307" s="14" t="b">
        <f t="shared" si="1"/>
        <v>1</v>
      </c>
      <c r="S8307" s="14" t="str">
        <f t="shared" si="2"/>
        <v>100.100,327</v>
      </c>
      <c r="T8307" s="12"/>
    </row>
    <row r="8308">
      <c r="A8308" s="112" t="s">
        <v>51520</v>
      </c>
      <c r="B8308" s="34"/>
      <c r="C8308" s="34" t="s">
        <v>51436</v>
      </c>
      <c r="D8308" s="34" t="s">
        <v>51013</v>
      </c>
      <c r="E8308" s="34"/>
      <c r="F8308" s="34"/>
      <c r="G8308" s="34"/>
      <c r="H8308" s="34"/>
      <c r="I8308" s="34"/>
      <c r="J8308" s="34"/>
      <c r="K8308" s="34"/>
      <c r="L8308" s="34"/>
      <c r="M8308" s="34"/>
      <c r="N8308" s="12"/>
      <c r="O8308" s="12"/>
      <c r="P8308" s="13">
        <f>IFERROR(__xludf.DUMMYFUNCTION("VALUE(SUBSTITUTE((INDEX(SPLIT(A8308,"",""),1)),""."","","",1))"),100.328)</f>
        <v>100.328</v>
      </c>
      <c r="Q8308" s="13">
        <f>IFERROR(__xludf.DUMMYFUNCTION("VALUE(SUBSTITUTE((INDEX(SPLIT(A8308,"",""),2)),""."","","",1))"),100.0)</f>
        <v>100</v>
      </c>
      <c r="R8308" s="14" t="b">
        <f t="shared" si="1"/>
        <v>1</v>
      </c>
      <c r="S8308" s="14" t="str">
        <f t="shared" si="2"/>
        <v>100.100,328</v>
      </c>
      <c r="T8308" s="12"/>
    </row>
    <row r="8309">
      <c r="A8309" s="112" t="s">
        <v>51521</v>
      </c>
      <c r="B8309" s="34"/>
      <c r="C8309" s="34" t="s">
        <v>51522</v>
      </c>
      <c r="D8309" s="34" t="s">
        <v>51013</v>
      </c>
      <c r="E8309" s="34"/>
      <c r="F8309" s="34"/>
      <c r="G8309" s="34"/>
      <c r="H8309" s="34"/>
      <c r="I8309" s="34"/>
      <c r="J8309" s="34"/>
      <c r="K8309" s="34"/>
      <c r="L8309" s="34"/>
      <c r="M8309" s="34"/>
      <c r="N8309" s="12"/>
      <c r="O8309" s="12"/>
      <c r="P8309" s="13">
        <f>IFERROR(__xludf.DUMMYFUNCTION("VALUE(SUBSTITUTE((INDEX(SPLIT(A8309,"",""),1)),""."","","",1))"),100.329)</f>
        <v>100.329</v>
      </c>
      <c r="Q8309" s="13">
        <f>IFERROR(__xludf.DUMMYFUNCTION("VALUE(SUBSTITUTE((INDEX(SPLIT(A8309,"",""),2)),""."","","",1))"),100.0)</f>
        <v>100</v>
      </c>
      <c r="R8309" s="14" t="b">
        <f t="shared" si="1"/>
        <v>1</v>
      </c>
      <c r="S8309" s="14" t="str">
        <f t="shared" si="2"/>
        <v>100.100,329</v>
      </c>
      <c r="T8309" s="12"/>
    </row>
    <row r="8310">
      <c r="A8310" s="112" t="s">
        <v>51043</v>
      </c>
      <c r="B8310" s="34"/>
      <c r="C8310" s="34" t="s">
        <v>51523</v>
      </c>
      <c r="D8310" s="34" t="s">
        <v>51013</v>
      </c>
      <c r="E8310" s="34"/>
      <c r="F8310" s="34"/>
      <c r="G8310" s="34"/>
      <c r="H8310" s="34"/>
      <c r="I8310" s="34"/>
      <c r="J8310" s="34"/>
      <c r="K8310" s="34"/>
      <c r="L8310" s="34"/>
      <c r="M8310" s="34"/>
      <c r="N8310" s="12"/>
      <c r="O8310" s="12"/>
      <c r="P8310" s="13">
        <f>IFERROR(__xludf.DUMMYFUNCTION("VALUE(SUBSTITUTE((INDEX(SPLIT(A8310,"",""),1)),""."","","",1))"),100.33)</f>
        <v>100.33</v>
      </c>
      <c r="Q8310" s="13">
        <f>IFERROR(__xludf.DUMMYFUNCTION("VALUE(SUBSTITUTE((INDEX(SPLIT(A8310,"",""),2)),""."","","",1))"),100.0)</f>
        <v>100</v>
      </c>
      <c r="R8310" s="14" t="b">
        <f t="shared" si="1"/>
        <v>1</v>
      </c>
      <c r="S8310" s="14" t="str">
        <f t="shared" si="2"/>
        <v>100.100,33</v>
      </c>
      <c r="T8310" s="12"/>
    </row>
    <row r="8311">
      <c r="A8311" s="112" t="s">
        <v>51524</v>
      </c>
      <c r="B8311" s="34"/>
      <c r="C8311" s="34" t="s">
        <v>51525</v>
      </c>
      <c r="D8311" s="34" t="s">
        <v>51013</v>
      </c>
      <c r="E8311" s="34"/>
      <c r="F8311" s="34"/>
      <c r="G8311" s="34"/>
      <c r="H8311" s="34"/>
      <c r="I8311" s="34"/>
      <c r="J8311" s="34"/>
      <c r="K8311" s="34"/>
      <c r="L8311" s="34"/>
      <c r="M8311" s="34"/>
      <c r="N8311" s="12"/>
      <c r="O8311" s="12"/>
      <c r="P8311" s="13">
        <f>IFERROR(__xludf.DUMMYFUNCTION("VALUE(SUBSTITUTE((INDEX(SPLIT(A8311,"",""),1)),""."","","",1))"),100.331)</f>
        <v>100.331</v>
      </c>
      <c r="Q8311" s="13">
        <f>IFERROR(__xludf.DUMMYFUNCTION("VALUE(SUBSTITUTE((INDEX(SPLIT(A8311,"",""),2)),""."","","",1))"),100.0)</f>
        <v>100</v>
      </c>
      <c r="R8311" s="14" t="b">
        <f t="shared" si="1"/>
        <v>1</v>
      </c>
      <c r="S8311" s="14" t="str">
        <f t="shared" si="2"/>
        <v>100.100,331</v>
      </c>
      <c r="T8311" s="12"/>
    </row>
    <row r="8312">
      <c r="A8312" s="112" t="s">
        <v>51526</v>
      </c>
      <c r="B8312" s="34"/>
      <c r="C8312" s="34" t="s">
        <v>51222</v>
      </c>
      <c r="D8312" s="34" t="s">
        <v>51013</v>
      </c>
      <c r="E8312" s="34"/>
      <c r="F8312" s="34"/>
      <c r="G8312" s="34"/>
      <c r="H8312" s="34"/>
      <c r="I8312" s="34"/>
      <c r="J8312" s="34"/>
      <c r="K8312" s="34"/>
      <c r="L8312" s="34"/>
      <c r="M8312" s="34"/>
      <c r="N8312" s="12"/>
      <c r="O8312" s="12"/>
      <c r="P8312" s="13">
        <f>IFERROR(__xludf.DUMMYFUNCTION("VALUE(SUBSTITUTE((INDEX(SPLIT(A8312,"",""),1)),""."","","",1))"),100.332)</f>
        <v>100.332</v>
      </c>
      <c r="Q8312" s="13">
        <f>IFERROR(__xludf.DUMMYFUNCTION("VALUE(SUBSTITUTE((INDEX(SPLIT(A8312,"",""),2)),""."","","",1))"),100.0)</f>
        <v>100</v>
      </c>
      <c r="R8312" s="14" t="b">
        <f t="shared" si="1"/>
        <v>1</v>
      </c>
      <c r="S8312" s="14" t="str">
        <f t="shared" si="2"/>
        <v>100.100,332</v>
      </c>
      <c r="T8312" s="12"/>
    </row>
    <row r="8313">
      <c r="A8313" s="112" t="s">
        <v>51527</v>
      </c>
      <c r="B8313" s="34"/>
      <c r="C8313" s="34" t="s">
        <v>51188</v>
      </c>
      <c r="D8313" s="34" t="s">
        <v>51013</v>
      </c>
      <c r="E8313" s="34"/>
      <c r="F8313" s="34"/>
      <c r="G8313" s="34"/>
      <c r="H8313" s="34"/>
      <c r="I8313" s="34"/>
      <c r="J8313" s="34"/>
      <c r="K8313" s="34"/>
      <c r="L8313" s="34"/>
      <c r="M8313" s="34"/>
      <c r="N8313" s="12"/>
      <c r="O8313" s="12"/>
      <c r="P8313" s="13">
        <f>IFERROR(__xludf.DUMMYFUNCTION("VALUE(SUBSTITUTE((INDEX(SPLIT(A8313,"",""),1)),""."","","",1))"),100.333)</f>
        <v>100.333</v>
      </c>
      <c r="Q8313" s="13">
        <f>IFERROR(__xludf.DUMMYFUNCTION("VALUE(SUBSTITUTE((INDEX(SPLIT(A8313,"",""),2)),""."","","",1))"),100.0)</f>
        <v>100</v>
      </c>
      <c r="R8313" s="14" t="b">
        <f t="shared" si="1"/>
        <v>1</v>
      </c>
      <c r="S8313" s="14" t="str">
        <f t="shared" si="2"/>
        <v>100.100,333</v>
      </c>
      <c r="T8313" s="12"/>
    </row>
    <row r="8314">
      <c r="A8314" s="112" t="s">
        <v>51528</v>
      </c>
      <c r="B8314" s="34"/>
      <c r="C8314" s="34" t="s">
        <v>51132</v>
      </c>
      <c r="D8314" s="34" t="s">
        <v>51013</v>
      </c>
      <c r="E8314" s="34"/>
      <c r="F8314" s="34"/>
      <c r="G8314" s="34"/>
      <c r="H8314" s="34"/>
      <c r="I8314" s="34"/>
      <c r="J8314" s="34"/>
      <c r="K8314" s="34"/>
      <c r="L8314" s="34"/>
      <c r="M8314" s="34"/>
      <c r="N8314" s="12"/>
      <c r="O8314" s="12"/>
      <c r="P8314" s="13">
        <f>IFERROR(__xludf.DUMMYFUNCTION("VALUE(SUBSTITUTE((INDEX(SPLIT(A8314,"",""),1)),""."","","",1))"),100.334)</f>
        <v>100.334</v>
      </c>
      <c r="Q8314" s="13">
        <f>IFERROR(__xludf.DUMMYFUNCTION("VALUE(SUBSTITUTE((INDEX(SPLIT(A8314,"",""),2)),""."","","",1))"),100.0)</f>
        <v>100</v>
      </c>
      <c r="R8314" s="14" t="b">
        <f t="shared" si="1"/>
        <v>1</v>
      </c>
      <c r="S8314" s="14" t="str">
        <f t="shared" si="2"/>
        <v>100.100,334</v>
      </c>
      <c r="T8314" s="12"/>
    </row>
    <row r="8315">
      <c r="A8315" s="112" t="s">
        <v>51529</v>
      </c>
      <c r="B8315" s="34"/>
      <c r="C8315" s="34" t="s">
        <v>51530</v>
      </c>
      <c r="D8315" s="34" t="s">
        <v>51013</v>
      </c>
      <c r="E8315" s="34">
        <v>2.465315783E9</v>
      </c>
      <c r="F8315" s="34"/>
      <c r="G8315" s="34"/>
      <c r="H8315" s="34"/>
      <c r="I8315" s="34"/>
      <c r="J8315" s="34"/>
      <c r="K8315" s="34"/>
      <c r="L8315" s="34"/>
      <c r="M8315" s="34"/>
      <c r="N8315" s="12"/>
      <c r="O8315" s="12"/>
      <c r="P8315" s="13">
        <f>IFERROR(__xludf.DUMMYFUNCTION("VALUE(SUBSTITUTE((INDEX(SPLIT(A8315,"",""),1)),""."","","",1))"),56.053236)</f>
        <v>56.053236</v>
      </c>
      <c r="Q8315" s="13">
        <f>IFERROR(__xludf.DUMMYFUNCTION("VALUE(SUBSTITUTE((INDEX(SPLIT(A8315,"",""),2)),""."","","",1))"),92.908106)</f>
        <v>92.908106</v>
      </c>
      <c r="R8315" s="14" t="b">
        <f t="shared" si="1"/>
        <v>0</v>
      </c>
      <c r="S8315" s="14" t="str">
        <f t="shared" si="2"/>
        <v>56.053236,92.908106</v>
      </c>
      <c r="T8315" s="12"/>
    </row>
    <row r="8316">
      <c r="A8316" s="112" t="s">
        <v>51531</v>
      </c>
      <c r="B8316" s="34"/>
      <c r="C8316" s="34" t="s">
        <v>51417</v>
      </c>
      <c r="D8316" s="34" t="s">
        <v>51013</v>
      </c>
      <c r="E8316" s="34">
        <v>2.244005215E9</v>
      </c>
      <c r="F8316" s="34"/>
      <c r="G8316" s="34"/>
      <c r="H8316" s="34"/>
      <c r="I8316" s="34"/>
      <c r="J8316" s="34"/>
      <c r="K8316" s="34"/>
      <c r="L8316" s="34"/>
      <c r="M8316" s="34"/>
      <c r="N8316" s="12"/>
      <c r="O8316" s="12"/>
      <c r="P8316" s="13">
        <f>IFERROR(__xludf.DUMMYFUNCTION("VALUE(SUBSTITUTE((INDEX(SPLIT(A8316,"",""),1)),""."","","",1))"),53.842199)</f>
        <v>53.842199</v>
      </c>
      <c r="Q8316" s="13">
        <f>IFERROR(__xludf.DUMMYFUNCTION("VALUE(SUBSTITUTE((INDEX(SPLIT(A8316,"",""),2)),""."","","",1))"),85.438524)</f>
        <v>85.438524</v>
      </c>
      <c r="R8316" s="14" t="b">
        <f t="shared" si="1"/>
        <v>0</v>
      </c>
      <c r="S8316" s="14" t="str">
        <f t="shared" si="2"/>
        <v>53.842199,85.438524</v>
      </c>
      <c r="T8316" s="12"/>
    </row>
    <row r="8317">
      <c r="A8317" s="146" t="s">
        <v>51532</v>
      </c>
      <c r="B8317" s="147" t="s">
        <v>9665</v>
      </c>
      <c r="C8317" s="147" t="s">
        <v>51533</v>
      </c>
      <c r="D8317" s="147" t="s">
        <v>33342</v>
      </c>
      <c r="E8317" s="148" t="s">
        <v>51534</v>
      </c>
      <c r="F8317" s="146" t="s">
        <v>5334</v>
      </c>
      <c r="G8317" s="146" t="s">
        <v>33344</v>
      </c>
      <c r="H8317" s="146"/>
      <c r="I8317" s="147"/>
      <c r="J8317" s="147" t="s">
        <v>51535</v>
      </c>
      <c r="K8317" s="147" t="s">
        <v>51536</v>
      </c>
      <c r="L8317" s="149" t="s">
        <v>51537</v>
      </c>
      <c r="M8317" s="147"/>
      <c r="N8317" s="12"/>
      <c r="O8317" s="12"/>
      <c r="P8317" s="13">
        <f>IFERROR(__xludf.DUMMYFUNCTION("VALUE(SUBSTITUTE((INDEX(SPLIT(A8317,"",""),1)),""."","","",1))"),67.613212585)</f>
        <v>67.61321259</v>
      </c>
      <c r="Q8317" s="13">
        <f>IFERROR(__xludf.DUMMYFUNCTION("VALUE(SUBSTITUTE((INDEX(SPLIT(A8317,"",""),2)),""."","","",1))"),33.659629822)</f>
        <v>33.65962982</v>
      </c>
      <c r="R8317" s="14" t="b">
        <f t="shared" si="1"/>
        <v>0</v>
      </c>
      <c r="S8317" s="14" t="str">
        <f t="shared" si="2"/>
        <v>67.613212585,33.659629822</v>
      </c>
      <c r="T8317" s="12"/>
    </row>
    <row r="8318">
      <c r="A8318" s="136" t="s">
        <v>51538</v>
      </c>
      <c r="B8318" s="137" t="s">
        <v>51539</v>
      </c>
      <c r="C8318" s="137" t="s">
        <v>51540</v>
      </c>
      <c r="D8318" s="137" t="s">
        <v>33342</v>
      </c>
      <c r="E8318" s="138" t="s">
        <v>51541</v>
      </c>
      <c r="F8318" s="136" t="s">
        <v>5334</v>
      </c>
      <c r="G8318" s="136" t="s">
        <v>33344</v>
      </c>
      <c r="H8318" s="136"/>
      <c r="I8318" s="137"/>
      <c r="J8318" s="137" t="s">
        <v>51542</v>
      </c>
      <c r="K8318" s="137" t="s">
        <v>51543</v>
      </c>
      <c r="L8318" s="137"/>
      <c r="M8318" s="137"/>
      <c r="N8318" s="12"/>
      <c r="O8318" s="12"/>
      <c r="P8318" s="13">
        <f>IFERROR(__xludf.DUMMYFUNCTION("VALUE(SUBSTITUTE((INDEX(SPLIT(A8318,"",""),1)),""."","","",1))"),68.977005005)</f>
        <v>68.97700501</v>
      </c>
      <c r="Q8318" s="13">
        <f>IFERROR(__xludf.DUMMYFUNCTION("VALUE(SUBSTITUTE((INDEX(SPLIT(A8318,"",""),2)),""."","","",1))"),33.066204071)</f>
        <v>33.06620407</v>
      </c>
      <c r="R8318" s="14" t="b">
        <f t="shared" si="1"/>
        <v>0</v>
      </c>
      <c r="S8318" s="14" t="str">
        <f t="shared" si="2"/>
        <v>68.977005005,33.066204071</v>
      </c>
      <c r="T8318" s="12"/>
    </row>
    <row r="8319">
      <c r="A8319" s="139" t="s">
        <v>49205</v>
      </c>
      <c r="B8319" s="140" t="s">
        <v>51544</v>
      </c>
      <c r="C8319" s="140" t="s">
        <v>51545</v>
      </c>
      <c r="D8319" s="140" t="s">
        <v>33342</v>
      </c>
      <c r="E8319" s="141" t="s">
        <v>51546</v>
      </c>
      <c r="F8319" s="139" t="s">
        <v>26306</v>
      </c>
      <c r="G8319" s="139" t="s">
        <v>33344</v>
      </c>
      <c r="H8319" s="139"/>
      <c r="I8319" s="140"/>
      <c r="J8319" s="140" t="s">
        <v>50767</v>
      </c>
      <c r="K8319" s="140" t="s">
        <v>51547</v>
      </c>
      <c r="L8319" s="140"/>
      <c r="M8319" s="140"/>
      <c r="N8319" s="12"/>
      <c r="O8319" s="12"/>
      <c r="P8319" s="13">
        <f>IFERROR(__xludf.DUMMYFUNCTION("VALUE(SUBSTITUTE((INDEX(SPLIT(A8319,"",""),1)),""."","","",1))"),69.326798)</f>
        <v>69.326798</v>
      </c>
      <c r="Q8319" s="13">
        <f>IFERROR(__xludf.DUMMYFUNCTION("VALUE(SUBSTITUTE((INDEX(SPLIT(A8319,"",""),2)),""."","","",1))"),88.208012)</f>
        <v>88.208012</v>
      </c>
      <c r="R8319" s="14" t="b">
        <f t="shared" si="1"/>
        <v>0</v>
      </c>
      <c r="S8319" s="14" t="str">
        <f t="shared" si="2"/>
        <v>69.326798,88.208012</v>
      </c>
      <c r="T8319" s="12"/>
    </row>
    <row r="8320">
      <c r="A8320" s="136" t="s">
        <v>51548</v>
      </c>
      <c r="B8320" s="137" t="s">
        <v>51549</v>
      </c>
      <c r="C8320" s="137" t="s">
        <v>51550</v>
      </c>
      <c r="D8320" s="137" t="s">
        <v>33342</v>
      </c>
      <c r="E8320" s="138" t="s">
        <v>51551</v>
      </c>
      <c r="F8320" s="136" t="s">
        <v>26306</v>
      </c>
      <c r="G8320" s="136" t="s">
        <v>33344</v>
      </c>
      <c r="H8320" s="136"/>
      <c r="I8320" s="137"/>
      <c r="J8320" s="137" t="s">
        <v>51552</v>
      </c>
      <c r="K8320" s="137" t="s">
        <v>51553</v>
      </c>
      <c r="L8320" s="137"/>
      <c r="M8320" s="137"/>
      <c r="N8320" s="12"/>
      <c r="O8320" s="12"/>
      <c r="P8320" s="13">
        <f>IFERROR(__xludf.DUMMYFUNCTION("VALUE(SUBSTITUTE((INDEX(SPLIT(A8320,"",""),1)),""."","","",1))"),69.347184)</f>
        <v>69.347184</v>
      </c>
      <c r="Q8320" s="13">
        <f>IFERROR(__xludf.DUMMYFUNCTION("VALUE(SUBSTITUTE((INDEX(SPLIT(A8320,"",""),2)),""."","","",1))"),87.761208)</f>
        <v>87.761208</v>
      </c>
      <c r="R8320" s="14" t="b">
        <f t="shared" si="1"/>
        <v>0</v>
      </c>
      <c r="S8320" s="14" t="str">
        <f t="shared" si="2"/>
        <v>69.347184,87.761208</v>
      </c>
      <c r="T8320" s="12"/>
    </row>
    <row r="8321">
      <c r="A8321" s="139" t="s">
        <v>51554</v>
      </c>
      <c r="B8321" s="140" t="s">
        <v>23124</v>
      </c>
      <c r="C8321" s="140" t="s">
        <v>51555</v>
      </c>
      <c r="D8321" s="140" t="s">
        <v>33342</v>
      </c>
      <c r="E8321" s="141" t="s">
        <v>51556</v>
      </c>
      <c r="F8321" s="139" t="s">
        <v>26306</v>
      </c>
      <c r="G8321" s="139" t="s">
        <v>33344</v>
      </c>
      <c r="H8321" s="139"/>
      <c r="I8321" s="140"/>
      <c r="J8321" s="140" t="s">
        <v>51557</v>
      </c>
      <c r="K8321" s="140" t="s">
        <v>51558</v>
      </c>
      <c r="L8321" s="140"/>
      <c r="M8321" s="140"/>
      <c r="N8321" s="12"/>
      <c r="O8321" s="12"/>
      <c r="P8321" s="13">
        <f>IFERROR(__xludf.DUMMYFUNCTION("VALUE(SUBSTITUTE((INDEX(SPLIT(A8321,"",""),1)),""."","","",1))"),69.340908)</f>
        <v>69.340908</v>
      </c>
      <c r="Q8321" s="13">
        <f>IFERROR(__xludf.DUMMYFUNCTION("VALUE(SUBSTITUTE((INDEX(SPLIT(A8321,"",""),2)),""."","","",1))"),88.21024)</f>
        <v>88.21024</v>
      </c>
      <c r="R8321" s="14" t="b">
        <f t="shared" si="1"/>
        <v>0</v>
      </c>
      <c r="S8321" s="14" t="str">
        <f t="shared" si="2"/>
        <v>69.340908,88.21024</v>
      </c>
      <c r="T8321" s="12"/>
    </row>
    <row r="8322">
      <c r="A8322" s="136" t="s">
        <v>51559</v>
      </c>
      <c r="B8322" s="137" t="s">
        <v>51560</v>
      </c>
      <c r="C8322" s="137" t="s">
        <v>51561</v>
      </c>
      <c r="D8322" s="137" t="s">
        <v>33342</v>
      </c>
      <c r="E8322" s="138" t="s">
        <v>51562</v>
      </c>
      <c r="F8322" s="136" t="s">
        <v>26306</v>
      </c>
      <c r="G8322" s="136" t="s">
        <v>33344</v>
      </c>
      <c r="H8322" s="136"/>
      <c r="I8322" s="137"/>
      <c r="J8322" s="137" t="s">
        <v>51563</v>
      </c>
      <c r="K8322" s="137" t="s">
        <v>51564</v>
      </c>
      <c r="L8322" s="137"/>
      <c r="M8322" s="137"/>
      <c r="N8322" s="12"/>
      <c r="O8322" s="12"/>
      <c r="P8322" s="13">
        <f>IFERROR(__xludf.DUMMYFUNCTION("VALUE(SUBSTITUTE((INDEX(SPLIT(A8322,"",""),1)),""."","","",1))"),69.342044)</f>
        <v>69.342044</v>
      </c>
      <c r="Q8322" s="13">
        <f>IFERROR(__xludf.DUMMYFUNCTION("VALUE(SUBSTITUTE((INDEX(SPLIT(A8322,"",""),2)),""."","","",1))"),88.210545)</f>
        <v>88.210545</v>
      </c>
      <c r="R8322" s="14" t="b">
        <f t="shared" si="1"/>
        <v>0</v>
      </c>
      <c r="S8322" s="14" t="str">
        <f t="shared" si="2"/>
        <v>69.342044,88.210545</v>
      </c>
      <c r="T8322" s="12"/>
    </row>
    <row r="8323">
      <c r="A8323" s="139" t="s">
        <v>51565</v>
      </c>
      <c r="B8323" s="140" t="s">
        <v>51566</v>
      </c>
      <c r="C8323" s="140" t="s">
        <v>51567</v>
      </c>
      <c r="D8323" s="140" t="s">
        <v>33342</v>
      </c>
      <c r="E8323" s="141" t="s">
        <v>51568</v>
      </c>
      <c r="F8323" s="139" t="s">
        <v>5334</v>
      </c>
      <c r="G8323" s="139" t="s">
        <v>33344</v>
      </c>
      <c r="H8323" s="139"/>
      <c r="I8323" s="140"/>
      <c r="J8323" s="140" t="s">
        <v>51569</v>
      </c>
      <c r="K8323" s="140" t="s">
        <v>51570</v>
      </c>
      <c r="L8323" s="140"/>
      <c r="M8323" s="140"/>
      <c r="N8323" s="12"/>
      <c r="O8323" s="12"/>
      <c r="P8323" s="13">
        <f>IFERROR(__xludf.DUMMYFUNCTION("VALUE(SUBSTITUTE((INDEX(SPLIT(A8323,"",""),1)),""."","","",1))"),69.429866)</f>
        <v>69.429866</v>
      </c>
      <c r="Q8323" s="13">
        <f>IFERROR(__xludf.DUMMYFUNCTION("VALUE(SUBSTITUTE((INDEX(SPLIT(A8323,"",""),2)),""."","","",1))"),30.827665)</f>
        <v>30.827665</v>
      </c>
      <c r="R8323" s="14" t="b">
        <f t="shared" si="1"/>
        <v>0</v>
      </c>
      <c r="S8323" s="14" t="str">
        <f t="shared" si="2"/>
        <v>69.429866,30.827665</v>
      </c>
      <c r="T8323" s="12"/>
    </row>
    <row r="8324">
      <c r="A8324" s="136" t="s">
        <v>51571</v>
      </c>
      <c r="B8324" s="137" t="s">
        <v>51572</v>
      </c>
      <c r="C8324" s="137" t="s">
        <v>51573</v>
      </c>
      <c r="D8324" s="137" t="s">
        <v>33342</v>
      </c>
      <c r="E8324" s="138" t="s">
        <v>51574</v>
      </c>
      <c r="F8324" s="136" t="s">
        <v>5334</v>
      </c>
      <c r="G8324" s="136" t="s">
        <v>33344</v>
      </c>
      <c r="H8324" s="136"/>
      <c r="I8324" s="137"/>
      <c r="J8324" s="137" t="s">
        <v>51575</v>
      </c>
      <c r="K8324" s="137" t="s">
        <v>51576</v>
      </c>
      <c r="L8324" s="137"/>
      <c r="M8324" s="153" t="s">
        <v>51577</v>
      </c>
      <c r="N8324" s="12"/>
      <c r="O8324" s="12"/>
      <c r="P8324" s="13">
        <f>IFERROR(__xludf.DUMMYFUNCTION("VALUE(SUBSTITUTE((INDEX(SPLIT(A8324,"",""),1)),""."","","",1))"),68.883809)</f>
        <v>68.883809</v>
      </c>
      <c r="Q8324" s="13">
        <f>IFERROR(__xludf.DUMMYFUNCTION("VALUE(SUBSTITUTE((INDEX(SPLIT(A8324,"",""),2)),""."","","",1))"),33.079203)</f>
        <v>33.079203</v>
      </c>
      <c r="R8324" s="14" t="b">
        <f t="shared" si="1"/>
        <v>0</v>
      </c>
      <c r="S8324" s="14" t="str">
        <f t="shared" si="2"/>
        <v>68.883809,33.079203</v>
      </c>
      <c r="T8324" s="12"/>
    </row>
    <row r="8325">
      <c r="A8325" s="146" t="s">
        <v>51578</v>
      </c>
      <c r="B8325" s="147" t="s">
        <v>9191</v>
      </c>
      <c r="C8325" s="147" t="s">
        <v>51579</v>
      </c>
      <c r="D8325" s="147" t="s">
        <v>33342</v>
      </c>
      <c r="E8325" s="148" t="s">
        <v>51580</v>
      </c>
      <c r="F8325" s="146" t="s">
        <v>5334</v>
      </c>
      <c r="G8325" s="146" t="s">
        <v>33344</v>
      </c>
      <c r="H8325" s="146"/>
      <c r="I8325" s="147"/>
      <c r="J8325" s="147" t="s">
        <v>51581</v>
      </c>
      <c r="K8325" s="147" t="s">
        <v>51582</v>
      </c>
      <c r="L8325" s="149" t="s">
        <v>51583</v>
      </c>
      <c r="M8325" s="147"/>
      <c r="N8325" s="12"/>
      <c r="O8325" s="12"/>
      <c r="P8325" s="13">
        <f>IFERROR(__xludf.DUMMYFUNCTION("VALUE(SUBSTITUTE((INDEX(SPLIT(A8325,"",""),1)),""."","","",1))"),68.891102)</f>
        <v>68.891102</v>
      </c>
      <c r="Q8325" s="13">
        <f>IFERROR(__xludf.DUMMYFUNCTION("VALUE(SUBSTITUTE((INDEX(SPLIT(A8325,"",""),2)),""."","","",1))"),33.053071)</f>
        <v>33.053071</v>
      </c>
      <c r="R8325" s="14" t="b">
        <f t="shared" si="1"/>
        <v>0</v>
      </c>
      <c r="S8325" s="14" t="str">
        <f t="shared" si="2"/>
        <v>68.891102,33.053071</v>
      </c>
      <c r="T8325" s="12"/>
    </row>
    <row r="8326">
      <c r="A8326" s="136" t="s">
        <v>51584</v>
      </c>
      <c r="B8326" s="137" t="s">
        <v>51585</v>
      </c>
      <c r="C8326" s="137" t="s">
        <v>51586</v>
      </c>
      <c r="D8326" s="137" t="s">
        <v>33342</v>
      </c>
      <c r="E8326" s="138" t="s">
        <v>51587</v>
      </c>
      <c r="F8326" s="136" t="s">
        <v>5334</v>
      </c>
      <c r="G8326" s="136" t="s">
        <v>33344</v>
      </c>
      <c r="H8326" s="136"/>
      <c r="I8326" s="137"/>
      <c r="J8326" s="137" t="s">
        <v>51588</v>
      </c>
      <c r="K8326" s="137" t="s">
        <v>51589</v>
      </c>
      <c r="L8326" s="137"/>
      <c r="M8326" s="153" t="s">
        <v>51590</v>
      </c>
      <c r="N8326" s="12"/>
      <c r="O8326" s="12"/>
      <c r="P8326" s="13">
        <f>IFERROR(__xludf.DUMMYFUNCTION("VALUE(SUBSTITUTE((INDEX(SPLIT(A8326,"",""),1)),""."","","",1))"),67.939508)</f>
        <v>67.939508</v>
      </c>
      <c r="Q8326" s="13">
        <f>IFERROR(__xludf.DUMMYFUNCTION("VALUE(SUBSTITUTE((INDEX(SPLIT(A8326,"",""),2)),""."","","",1))"),32.902738)</f>
        <v>32.902738</v>
      </c>
      <c r="R8326" s="14" t="b">
        <f t="shared" si="1"/>
        <v>0</v>
      </c>
      <c r="S8326" s="14" t="str">
        <f t="shared" si="2"/>
        <v>67.939508,32.902738</v>
      </c>
      <c r="T8326" s="12"/>
    </row>
    <row r="8327">
      <c r="A8327" s="139" t="s">
        <v>51591</v>
      </c>
      <c r="B8327" s="140" t="s">
        <v>14396</v>
      </c>
      <c r="C8327" s="140" t="s">
        <v>51592</v>
      </c>
      <c r="D8327" s="140" t="s">
        <v>33342</v>
      </c>
      <c r="E8327" s="141" t="s">
        <v>51593</v>
      </c>
      <c r="F8327" s="139" t="s">
        <v>5334</v>
      </c>
      <c r="G8327" s="139" t="s">
        <v>33344</v>
      </c>
      <c r="H8327" s="139"/>
      <c r="I8327" s="140"/>
      <c r="J8327" s="140" t="s">
        <v>51594</v>
      </c>
      <c r="K8327" s="140" t="s">
        <v>51595</v>
      </c>
      <c r="L8327" s="140"/>
      <c r="M8327" s="140"/>
      <c r="N8327" s="12"/>
      <c r="O8327" s="12"/>
      <c r="P8327" s="13">
        <f>IFERROR(__xludf.DUMMYFUNCTION("VALUE(SUBSTITUTE((INDEX(SPLIT(A8327,"",""),1)),""."","","",1))"),67.928726)</f>
        <v>67.928726</v>
      </c>
      <c r="Q8327" s="13">
        <f>IFERROR(__xludf.DUMMYFUNCTION("VALUE(SUBSTITUTE((INDEX(SPLIT(A8327,"",""),2)),""."","","",1))"),32.82895)</f>
        <v>32.82895</v>
      </c>
      <c r="R8327" s="14" t="b">
        <f t="shared" si="1"/>
        <v>0</v>
      </c>
      <c r="S8327" s="14" t="str">
        <f t="shared" si="2"/>
        <v>67.928726,32.82895</v>
      </c>
      <c r="T8327" s="12"/>
    </row>
    <row r="8328">
      <c r="A8328" s="136" t="s">
        <v>51596</v>
      </c>
      <c r="B8328" s="137" t="s">
        <v>51597</v>
      </c>
      <c r="C8328" s="137" t="s">
        <v>51598</v>
      </c>
      <c r="D8328" s="137" t="s">
        <v>33342</v>
      </c>
      <c r="E8328" s="138" t="s">
        <v>51599</v>
      </c>
      <c r="F8328" s="136" t="s">
        <v>5334</v>
      </c>
      <c r="G8328" s="136" t="s">
        <v>33344</v>
      </c>
      <c r="H8328" s="136"/>
      <c r="I8328" s="137"/>
      <c r="J8328" s="137" t="s">
        <v>51600</v>
      </c>
      <c r="K8328" s="137" t="s">
        <v>51601</v>
      </c>
      <c r="L8328" s="137"/>
      <c r="M8328" s="137"/>
      <c r="N8328" s="12"/>
      <c r="O8328" s="12"/>
      <c r="P8328" s="13">
        <f>IFERROR(__xludf.DUMMYFUNCTION("VALUE(SUBSTITUTE((INDEX(SPLIT(A8328,"",""),1)),""."","","",1))"),68.141886)</f>
        <v>68.141886</v>
      </c>
      <c r="Q8328" s="13">
        <f>IFERROR(__xludf.DUMMYFUNCTION("VALUE(SUBSTITUTE((INDEX(SPLIT(A8328,"",""),2)),""."","","",1))"),33.291933)</f>
        <v>33.291933</v>
      </c>
      <c r="R8328" s="14" t="b">
        <f t="shared" si="1"/>
        <v>0</v>
      </c>
      <c r="S8328" s="14" t="str">
        <f t="shared" si="2"/>
        <v>68.141886,33.291933</v>
      </c>
      <c r="T8328" s="12"/>
    </row>
    <row r="8329">
      <c r="A8329" s="136" t="s">
        <v>51602</v>
      </c>
      <c r="B8329" s="137" t="s">
        <v>51603</v>
      </c>
      <c r="C8329" s="137" t="s">
        <v>51604</v>
      </c>
      <c r="D8329" s="137" t="s">
        <v>33342</v>
      </c>
      <c r="E8329" s="138" t="s">
        <v>51605</v>
      </c>
      <c r="F8329" s="136" t="s">
        <v>5334</v>
      </c>
      <c r="G8329" s="136" t="s">
        <v>33344</v>
      </c>
      <c r="H8329" s="136"/>
      <c r="I8329" s="137"/>
      <c r="J8329" s="137" t="s">
        <v>51606</v>
      </c>
      <c r="K8329" s="137" t="s">
        <v>51607</v>
      </c>
      <c r="L8329" s="137"/>
      <c r="M8329" s="153" t="s">
        <v>51608</v>
      </c>
      <c r="N8329" s="12"/>
      <c r="O8329" s="12"/>
      <c r="P8329" s="13">
        <f>IFERROR(__xludf.DUMMYFUNCTION("VALUE(SUBSTITUTE((INDEX(SPLIT(A8329,"",""),1)),""."","","",1))"),68.970663)</f>
        <v>68.970663</v>
      </c>
      <c r="Q8329" s="13">
        <f>IFERROR(__xludf.DUMMYFUNCTION("VALUE(SUBSTITUTE((INDEX(SPLIT(A8329,"",""),2)),""."","","",1))"),33.074918)</f>
        <v>33.074918</v>
      </c>
      <c r="R8329" s="14" t="b">
        <f t="shared" si="1"/>
        <v>0</v>
      </c>
      <c r="S8329" s="14" t="str">
        <f t="shared" si="2"/>
        <v>68.970663,33.074918</v>
      </c>
      <c r="T8329" s="12"/>
    </row>
    <row r="8330">
      <c r="A8330" s="139" t="s">
        <v>51609</v>
      </c>
      <c r="B8330" s="140" t="s">
        <v>51610</v>
      </c>
      <c r="C8330" s="140" t="s">
        <v>51611</v>
      </c>
      <c r="D8330" s="140" t="s">
        <v>33342</v>
      </c>
      <c r="E8330" s="141" t="s">
        <v>51612</v>
      </c>
      <c r="F8330" s="139" t="s">
        <v>5334</v>
      </c>
      <c r="G8330" s="139" t="s">
        <v>33344</v>
      </c>
      <c r="H8330" s="139"/>
      <c r="I8330" s="140"/>
      <c r="J8330" s="140" t="s">
        <v>51613</v>
      </c>
      <c r="K8330" s="140" t="s">
        <v>51614</v>
      </c>
      <c r="L8330" s="140"/>
      <c r="M8330" s="140"/>
      <c r="N8330" s="12"/>
      <c r="O8330" s="12"/>
      <c r="P8330" s="13">
        <f>IFERROR(__xludf.DUMMYFUNCTION("VALUE(SUBSTITUTE((INDEX(SPLIT(A8330,"",""),1)),""."","","",1))"),68.95838)</f>
        <v>68.95838</v>
      </c>
      <c r="Q8330" s="13">
        <f>IFERROR(__xludf.DUMMYFUNCTION("VALUE(SUBSTITUTE((INDEX(SPLIT(A8330,"",""),2)),""."","","",1))"),33.095875)</f>
        <v>33.095875</v>
      </c>
      <c r="R8330" s="14" t="b">
        <f t="shared" si="1"/>
        <v>0</v>
      </c>
      <c r="S8330" s="14" t="str">
        <f t="shared" si="2"/>
        <v>68.95838,33.095875</v>
      </c>
      <c r="T8330" s="12"/>
    </row>
    <row r="8331">
      <c r="A8331" s="136" t="s">
        <v>51615</v>
      </c>
      <c r="B8331" s="137" t="s">
        <v>51616</v>
      </c>
      <c r="C8331" s="137" t="s">
        <v>51617</v>
      </c>
      <c r="D8331" s="137" t="s">
        <v>33342</v>
      </c>
      <c r="E8331" s="138" t="s">
        <v>51618</v>
      </c>
      <c r="F8331" s="136" t="s">
        <v>5334</v>
      </c>
      <c r="G8331" s="136" t="s">
        <v>33344</v>
      </c>
      <c r="H8331" s="136"/>
      <c r="I8331" s="137"/>
      <c r="J8331" s="137" t="s">
        <v>51619</v>
      </c>
      <c r="K8331" s="137" t="s">
        <v>51620</v>
      </c>
      <c r="L8331" s="137"/>
      <c r="M8331" s="137"/>
      <c r="N8331" s="12"/>
      <c r="O8331" s="12"/>
      <c r="P8331" s="13">
        <f>IFERROR(__xludf.DUMMYFUNCTION("VALUE(SUBSTITUTE((INDEX(SPLIT(A8331,"",""),1)),""."","","",1))"),68.994741)</f>
        <v>68.994741</v>
      </c>
      <c r="Q8331" s="13">
        <f>IFERROR(__xludf.DUMMYFUNCTION("VALUE(SUBSTITUTE((INDEX(SPLIT(A8331,"",""),2)),""."","","",1))"),33.124038)</f>
        <v>33.124038</v>
      </c>
      <c r="R8331" s="14" t="b">
        <f t="shared" si="1"/>
        <v>0</v>
      </c>
      <c r="S8331" s="14" t="str">
        <f t="shared" si="2"/>
        <v>68.994741,33.124038</v>
      </c>
      <c r="T8331" s="12"/>
    </row>
    <row r="8332">
      <c r="A8332" s="139" t="s">
        <v>51621</v>
      </c>
      <c r="B8332" s="140" t="s">
        <v>6974</v>
      </c>
      <c r="C8332" s="140" t="s">
        <v>51622</v>
      </c>
      <c r="D8332" s="140" t="s">
        <v>33342</v>
      </c>
      <c r="E8332" s="141" t="s">
        <v>51623</v>
      </c>
      <c r="F8332" s="139" t="s">
        <v>738</v>
      </c>
      <c r="G8332" s="139" t="s">
        <v>33344</v>
      </c>
      <c r="H8332" s="139"/>
      <c r="I8332" s="140"/>
      <c r="J8332" s="140" t="s">
        <v>51624</v>
      </c>
      <c r="K8332" s="140" t="s">
        <v>51625</v>
      </c>
      <c r="L8332" s="140"/>
      <c r="M8332" s="140"/>
      <c r="N8332" s="12"/>
      <c r="O8332" s="12"/>
      <c r="P8332" s="13">
        <f>IFERROR(__xludf.DUMMYFUNCTION("VALUE(SUBSTITUTE((INDEX(SPLIT(A8332,"",""),1)),""."","","",1))"),52.075281)</f>
        <v>52.075281</v>
      </c>
      <c r="Q8332" s="13">
        <f>IFERROR(__xludf.DUMMYFUNCTION("VALUE(SUBSTITUTE((INDEX(SPLIT(A8332,"",""),2)),""."","","",1))"),113.484026)</f>
        <v>113.484026</v>
      </c>
      <c r="R8332" s="14" t="b">
        <f t="shared" si="1"/>
        <v>0</v>
      </c>
      <c r="S8332" s="14" t="str">
        <f t="shared" si="2"/>
        <v>52.075281,113.484026</v>
      </c>
      <c r="T8332" s="12"/>
    </row>
    <row r="8333">
      <c r="A8333" s="142" t="s">
        <v>51626</v>
      </c>
      <c r="B8333" s="143" t="s">
        <v>51627</v>
      </c>
      <c r="C8333" s="143" t="s">
        <v>51628</v>
      </c>
      <c r="D8333" s="143" t="s">
        <v>33342</v>
      </c>
      <c r="E8333" s="144" t="s">
        <v>51629</v>
      </c>
      <c r="F8333" s="142" t="s">
        <v>3883</v>
      </c>
      <c r="G8333" s="142" t="s">
        <v>33344</v>
      </c>
      <c r="H8333" s="142"/>
      <c r="I8333" s="143"/>
      <c r="J8333" s="143" t="s">
        <v>51630</v>
      </c>
      <c r="K8333" s="143" t="s">
        <v>51631</v>
      </c>
      <c r="L8333" s="145" t="s">
        <v>51632</v>
      </c>
      <c r="M8333" s="143"/>
      <c r="N8333" s="12"/>
      <c r="O8333" s="12"/>
      <c r="P8333" s="13">
        <f>IFERROR(__xludf.DUMMYFUNCTION("VALUE(SUBSTITUTE((INDEX(SPLIT(A8333,"",""),1)),""."","","",1))"),55.038398)</f>
        <v>55.038398</v>
      </c>
      <c r="Q8333" s="13">
        <f>IFERROR(__xludf.DUMMYFUNCTION("VALUE(SUBSTITUTE((INDEX(SPLIT(A8333,"",""),2)),""."","","",1))"),82.755095)</f>
        <v>82.755095</v>
      </c>
      <c r="R8333" s="14" t="b">
        <f t="shared" si="1"/>
        <v>0</v>
      </c>
      <c r="S8333" s="14" t="str">
        <f t="shared" si="2"/>
        <v>55.038398,82.755095</v>
      </c>
      <c r="T8333" s="12"/>
    </row>
    <row r="8334">
      <c r="A8334" s="136" t="s">
        <v>51633</v>
      </c>
      <c r="B8334" s="137" t="s">
        <v>51634</v>
      </c>
      <c r="C8334" s="137" t="s">
        <v>51635</v>
      </c>
      <c r="D8334" s="137" t="s">
        <v>33342</v>
      </c>
      <c r="E8334" s="138" t="s">
        <v>51636</v>
      </c>
      <c r="F8334" s="136" t="s">
        <v>51637</v>
      </c>
      <c r="G8334" s="136" t="s">
        <v>33344</v>
      </c>
      <c r="H8334" s="136"/>
      <c r="I8334" s="137"/>
      <c r="J8334" s="137" t="s">
        <v>51638</v>
      </c>
      <c r="K8334" s="137" t="s">
        <v>51639</v>
      </c>
      <c r="L8334" s="137"/>
      <c r="M8334" s="153" t="s">
        <v>51640</v>
      </c>
      <c r="N8334" s="12"/>
      <c r="O8334" s="12"/>
      <c r="P8334" s="13">
        <f>IFERROR(__xludf.DUMMYFUNCTION("VALUE(SUBSTITUTE((INDEX(SPLIT(A8334,"",""),1)),""."","","",1))"),63.064074)</f>
        <v>63.064074</v>
      </c>
      <c r="Q8334" s="13">
        <f>IFERROR(__xludf.DUMMYFUNCTION("VALUE(SUBSTITUTE((INDEX(SPLIT(A8334,"",""),2)),""."","","",1))"),179.251548)</f>
        <v>179.251548</v>
      </c>
      <c r="R8334" s="14" t="b">
        <f t="shared" si="1"/>
        <v>0</v>
      </c>
      <c r="S8334" s="14" t="str">
        <f t="shared" si="2"/>
        <v>63.064074,179.251548</v>
      </c>
      <c r="T8334" s="12"/>
    </row>
    <row r="8335">
      <c r="A8335" s="146" t="s">
        <v>51641</v>
      </c>
      <c r="B8335" s="147" t="s">
        <v>51642</v>
      </c>
      <c r="C8335" s="147" t="s">
        <v>659</v>
      </c>
      <c r="D8335" s="147" t="s">
        <v>33342</v>
      </c>
      <c r="E8335" s="148" t="s">
        <v>51643</v>
      </c>
      <c r="F8335" s="146" t="s">
        <v>4881</v>
      </c>
      <c r="G8335" s="146" t="s">
        <v>33344</v>
      </c>
      <c r="H8335" s="146"/>
      <c r="I8335" s="147"/>
      <c r="J8335" s="147" t="s">
        <v>51644</v>
      </c>
      <c r="K8335" s="147" t="s">
        <v>51645</v>
      </c>
      <c r="L8335" s="149" t="s">
        <v>51646</v>
      </c>
      <c r="M8335" s="147"/>
      <c r="N8335" s="12"/>
      <c r="O8335" s="12"/>
      <c r="P8335" s="13">
        <f>IFERROR(__xludf.DUMMYFUNCTION("VALUE(SUBSTITUTE((INDEX(SPLIT(A8335,"",""),1)),""."","","",1))"),66.08852)</f>
        <v>66.08852</v>
      </c>
      <c r="Q8335" s="13">
        <f>IFERROR(__xludf.DUMMYFUNCTION("VALUE(SUBSTITUTE((INDEX(SPLIT(A8335,"",""),2)),""."","","",1))"),76.644017)</f>
        <v>76.644017</v>
      </c>
      <c r="R8335" s="14" t="b">
        <f t="shared" si="1"/>
        <v>0</v>
      </c>
      <c r="S8335" s="14" t="str">
        <f t="shared" si="2"/>
        <v>66.08852,76.644017</v>
      </c>
      <c r="T8335" s="12"/>
    </row>
    <row r="8336">
      <c r="A8336" s="142" t="s">
        <v>51647</v>
      </c>
      <c r="B8336" s="143" t="s">
        <v>51648</v>
      </c>
      <c r="C8336" s="143" t="s">
        <v>51649</v>
      </c>
      <c r="D8336" s="143" t="s">
        <v>33342</v>
      </c>
      <c r="E8336" s="144" t="s">
        <v>51650</v>
      </c>
      <c r="F8336" s="142" t="s">
        <v>4881</v>
      </c>
      <c r="G8336" s="142" t="s">
        <v>33344</v>
      </c>
      <c r="H8336" s="142"/>
      <c r="I8336" s="143"/>
      <c r="J8336" s="143" t="s">
        <v>51651</v>
      </c>
      <c r="K8336" s="143" t="s">
        <v>51652</v>
      </c>
      <c r="L8336" s="145" t="s">
        <v>51653</v>
      </c>
      <c r="M8336" s="145" t="s">
        <v>51654</v>
      </c>
      <c r="N8336" s="12"/>
      <c r="O8336" s="12"/>
      <c r="P8336" s="13">
        <f>IFERROR(__xludf.DUMMYFUNCTION("VALUE(SUBSTITUTE((INDEX(SPLIT(A8336,"",""),1)),""."","","",1))"),63.197875)</f>
        <v>63.197875</v>
      </c>
      <c r="Q8336" s="13">
        <f>IFERROR(__xludf.DUMMYFUNCTION("VALUE(SUBSTITUTE((INDEX(SPLIT(A8336,"",""),2)),""."","","",1))"),75.505825)</f>
        <v>75.505825</v>
      </c>
      <c r="R8336" s="14" t="b">
        <f t="shared" si="1"/>
        <v>0</v>
      </c>
      <c r="S8336" s="14" t="str">
        <f t="shared" si="2"/>
        <v>63.197875,75.505825</v>
      </c>
      <c r="T8336" s="12"/>
    </row>
  </sheetData>
  <autoFilter ref="$A$1:$T$8336">
    <sortState ref="A1:T8336">
      <sortCondition ref="R1:R8336"/>
    </sortState>
  </autoFilter>
  <conditionalFormatting sqref="A1:B8336 C1:C8314 D1:M8336">
    <cfRule type="containsBlanks" dxfId="0" priority="1">
      <formula>LEN(TRIM(A1))=0</formula>
    </cfRule>
  </conditionalFormatting>
  <hyperlinks>
    <hyperlink r:id="rId1" ref="I42"/>
    <hyperlink r:id="rId2" ref="I55"/>
    <hyperlink r:id="rId3" ref="I226"/>
    <hyperlink r:id="rId4" ref="I338"/>
    <hyperlink r:id="rId5" ref="I547"/>
    <hyperlink r:id="rId6" ref="I565"/>
    <hyperlink r:id="rId7" ref="I569"/>
    <hyperlink r:id="rId8" ref="I624"/>
    <hyperlink r:id="rId9" ref="I701"/>
    <hyperlink r:id="rId10" ref="I736"/>
    <hyperlink r:id="rId11" ref="I765"/>
    <hyperlink r:id="rId12" ref="I811"/>
    <hyperlink r:id="rId13" ref="I852"/>
    <hyperlink r:id="rId14" ref="I863"/>
    <hyperlink r:id="rId15" ref="I864"/>
    <hyperlink r:id="rId16" ref="I882"/>
    <hyperlink r:id="rId17" ref="I922"/>
    <hyperlink r:id="rId18" ref="I969"/>
    <hyperlink r:id="rId19" ref="I983"/>
    <hyperlink r:id="rId20" ref="I991"/>
    <hyperlink r:id="rId21" ref="I1052"/>
    <hyperlink r:id="rId22" ref="I1111"/>
    <hyperlink r:id="rId23" ref="I1127"/>
    <hyperlink r:id="rId24" ref="I1179"/>
    <hyperlink r:id="rId25" ref="I1245"/>
    <hyperlink r:id="rId26" ref="I1261"/>
    <hyperlink r:id="rId27" ref="I1268"/>
    <hyperlink r:id="rId28" ref="I1279"/>
    <hyperlink r:id="rId29" ref="I1302"/>
    <hyperlink r:id="rId30" ref="I1350"/>
    <hyperlink r:id="rId31" ref="I1353"/>
    <hyperlink r:id="rId32" ref="I1416"/>
    <hyperlink r:id="rId33" ref="I1418"/>
    <hyperlink r:id="rId34" ref="I1426"/>
    <hyperlink r:id="rId35" ref="I1491"/>
    <hyperlink r:id="rId36" ref="I1505"/>
    <hyperlink r:id="rId37" ref="I1529"/>
    <hyperlink r:id="rId38" ref="I1530"/>
    <hyperlink r:id="rId39" ref="I1531"/>
    <hyperlink r:id="rId40" ref="I1536"/>
    <hyperlink r:id="rId41" ref="I1598"/>
    <hyperlink r:id="rId42" ref="I1628"/>
    <hyperlink r:id="rId43" ref="I1721"/>
    <hyperlink r:id="rId44" ref="I1735"/>
    <hyperlink r:id="rId45" ref="I1747"/>
    <hyperlink r:id="rId46" ref="I1765"/>
    <hyperlink r:id="rId47" ref="I1766"/>
    <hyperlink r:id="rId48" ref="I1810"/>
    <hyperlink r:id="rId49" ref="I1818"/>
    <hyperlink r:id="rId50" ref="I1826"/>
    <hyperlink r:id="rId51" ref="I1870"/>
    <hyperlink r:id="rId52" ref="I1873"/>
    <hyperlink r:id="rId53" ref="I1881"/>
    <hyperlink r:id="rId54" ref="I1951"/>
    <hyperlink r:id="rId55" ref="I1979"/>
    <hyperlink r:id="rId56" ref="I1982"/>
    <hyperlink r:id="rId57" ref="I1996"/>
    <hyperlink r:id="rId58" ref="I2018"/>
    <hyperlink r:id="rId59" ref="I2019"/>
    <hyperlink r:id="rId60" ref="I2035"/>
    <hyperlink r:id="rId61" ref="I2047"/>
    <hyperlink r:id="rId62" ref="I2064"/>
    <hyperlink r:id="rId63" ref="I2068"/>
    <hyperlink r:id="rId64" ref="I2091"/>
    <hyperlink r:id="rId65" ref="I2099"/>
    <hyperlink r:id="rId66" ref="I2101"/>
    <hyperlink r:id="rId67" ref="I2124"/>
    <hyperlink r:id="rId68" ref="I2129"/>
    <hyperlink r:id="rId69" ref="I2130"/>
    <hyperlink r:id="rId70" ref="I2149"/>
    <hyperlink r:id="rId71" ref="I2169"/>
    <hyperlink r:id="rId72" ref="I2190"/>
    <hyperlink r:id="rId73" ref="I2264"/>
    <hyperlink r:id="rId74" ref="I2279"/>
    <hyperlink r:id="rId75" ref="I2289"/>
    <hyperlink r:id="rId76" ref="I2296"/>
    <hyperlink r:id="rId77" ref="I2352"/>
    <hyperlink r:id="rId78" ref="I2357"/>
    <hyperlink r:id="rId79" ref="I2360"/>
    <hyperlink r:id="rId80" ref="I2425"/>
    <hyperlink r:id="rId81" ref="I2466"/>
    <hyperlink r:id="rId82" ref="I2499"/>
    <hyperlink r:id="rId83" ref="I2523"/>
    <hyperlink r:id="rId84" ref="I2565"/>
    <hyperlink r:id="rId85" ref="I2569"/>
    <hyperlink r:id="rId86" ref="I2576"/>
    <hyperlink r:id="rId87" ref="I2586"/>
    <hyperlink r:id="rId88" ref="I2607"/>
    <hyperlink r:id="rId89" ref="I2635"/>
    <hyperlink r:id="rId90" ref="I2650"/>
    <hyperlink r:id="rId91" ref="I2686"/>
    <hyperlink r:id="rId92" ref="I2694"/>
    <hyperlink r:id="rId93" ref="I2697"/>
    <hyperlink r:id="rId94" ref="I2729"/>
    <hyperlink r:id="rId95" ref="I2761"/>
    <hyperlink r:id="rId96" ref="I2782"/>
    <hyperlink r:id="rId97" ref="I2793"/>
    <hyperlink r:id="rId98" ref="I2823"/>
    <hyperlink r:id="rId99" ref="I2826"/>
    <hyperlink r:id="rId100" ref="I2839"/>
    <hyperlink r:id="rId101" ref="I2969"/>
    <hyperlink r:id="rId102" ref="I2980"/>
    <hyperlink r:id="rId103" ref="I2984"/>
    <hyperlink r:id="rId104" ref="I2988"/>
    <hyperlink r:id="rId105" ref="I2995"/>
    <hyperlink r:id="rId106" ref="I3024"/>
    <hyperlink r:id="rId107" ref="I3028"/>
    <hyperlink r:id="rId108" ref="I3029"/>
    <hyperlink r:id="rId109" ref="I3030"/>
    <hyperlink r:id="rId110" ref="I3096"/>
    <hyperlink r:id="rId111" ref="I3124"/>
    <hyperlink r:id="rId112" ref="I3131"/>
    <hyperlink r:id="rId113" ref="I3193"/>
    <hyperlink r:id="rId114" ref="I3211"/>
    <hyperlink r:id="rId115" ref="I3216"/>
    <hyperlink r:id="rId116" ref="I3233"/>
    <hyperlink r:id="rId117" ref="I3263"/>
    <hyperlink r:id="rId118" ref="I3281"/>
    <hyperlink r:id="rId119" ref="I3289"/>
    <hyperlink r:id="rId120" ref="I3293"/>
    <hyperlink r:id="rId121" ref="I3294"/>
    <hyperlink r:id="rId122" ref="I3300"/>
    <hyperlink r:id="rId123" ref="I3302"/>
    <hyperlink r:id="rId124" ref="I3348"/>
    <hyperlink r:id="rId125" ref="I3459"/>
    <hyperlink r:id="rId126" ref="I3485"/>
    <hyperlink r:id="rId127" ref="I3487"/>
    <hyperlink r:id="rId128" ref="I3493"/>
    <hyperlink r:id="rId129" ref="I3555"/>
    <hyperlink r:id="rId130" ref="I3568"/>
    <hyperlink r:id="rId131" ref="I3574"/>
    <hyperlink r:id="rId132" ref="I3589"/>
    <hyperlink r:id="rId133" ref="I3603"/>
    <hyperlink r:id="rId134" ref="I3608"/>
    <hyperlink r:id="rId135" ref="I3626"/>
    <hyperlink r:id="rId136" ref="I3640"/>
    <hyperlink r:id="rId137" ref="I3669"/>
    <hyperlink r:id="rId138" ref="I3689"/>
    <hyperlink r:id="rId139" ref="I3751"/>
    <hyperlink r:id="rId140" ref="I3761"/>
    <hyperlink r:id="rId141" ref="I3849"/>
    <hyperlink r:id="rId142" ref="I3866"/>
    <hyperlink r:id="rId143" ref="I3873"/>
    <hyperlink r:id="rId144" ref="I3887"/>
    <hyperlink r:id="rId145" ref="I3901"/>
    <hyperlink r:id="rId146" ref="I3904"/>
    <hyperlink r:id="rId147" ref="I3909"/>
    <hyperlink r:id="rId148" ref="I3913"/>
    <hyperlink r:id="rId149" ref="I3914"/>
    <hyperlink r:id="rId150" ref="I3919"/>
    <hyperlink r:id="rId151" ref="I3928"/>
    <hyperlink r:id="rId152" ref="I3939"/>
    <hyperlink r:id="rId153" ref="I3945"/>
    <hyperlink r:id="rId154" ref="I3947"/>
    <hyperlink r:id="rId155" ref="I3957"/>
    <hyperlink r:id="rId156" ref="I3963"/>
    <hyperlink r:id="rId157" ref="I3965"/>
    <hyperlink r:id="rId158" ref="I3988"/>
    <hyperlink r:id="rId159" ref="I3998"/>
    <hyperlink r:id="rId160" ref="I4045"/>
    <hyperlink r:id="rId161" ref="I4048"/>
    <hyperlink r:id="rId162" ref="I4054"/>
    <hyperlink r:id="rId163" ref="I4066"/>
    <hyperlink r:id="rId164" ref="I4071"/>
    <hyperlink r:id="rId165" ref="I4072"/>
    <hyperlink r:id="rId166" ref="I4073"/>
    <hyperlink r:id="rId167" ref="I4090"/>
    <hyperlink r:id="rId168" ref="I4127"/>
    <hyperlink r:id="rId169" ref="I4130"/>
    <hyperlink r:id="rId170" ref="I4147"/>
    <hyperlink r:id="rId171" ref="I4150"/>
    <hyperlink r:id="rId172" ref="I4165"/>
    <hyperlink r:id="rId173" ref="I4170"/>
    <hyperlink r:id="rId174" ref="I4178"/>
    <hyperlink r:id="rId175" ref="I4243"/>
    <hyperlink r:id="rId176" ref="I4271"/>
    <hyperlink r:id="rId177" ref="I4274"/>
    <hyperlink r:id="rId178" ref="I4304"/>
    <hyperlink r:id="rId179" ref="I4307"/>
    <hyperlink r:id="rId180" ref="I4312"/>
    <hyperlink r:id="rId181" ref="I4318"/>
    <hyperlink r:id="rId182" ref="I4328"/>
    <hyperlink r:id="rId183" ref="I4363"/>
    <hyperlink r:id="rId184" ref="I4388"/>
    <hyperlink r:id="rId185" ref="I4407"/>
    <hyperlink r:id="rId186" ref="I4413"/>
    <hyperlink r:id="rId187" ref="I4426"/>
    <hyperlink r:id="rId188" ref="I4430"/>
    <hyperlink r:id="rId189" ref="I4431"/>
    <hyperlink r:id="rId190" ref="I4438"/>
    <hyperlink r:id="rId191" ref="I4440"/>
    <hyperlink r:id="rId192" ref="I4445"/>
    <hyperlink r:id="rId193" ref="I4446"/>
    <hyperlink r:id="rId194" ref="I4449"/>
    <hyperlink r:id="rId195" ref="I4459"/>
    <hyperlink r:id="rId196" ref="I4489"/>
    <hyperlink r:id="rId197" ref="I4500"/>
    <hyperlink r:id="rId198" ref="I4524"/>
    <hyperlink r:id="rId199" ref="I4533"/>
    <hyperlink r:id="rId200" ref="I4565"/>
    <hyperlink r:id="rId201" ref="I4569"/>
    <hyperlink r:id="rId202" ref="I4590"/>
    <hyperlink r:id="rId203" ref="I4615"/>
    <hyperlink r:id="rId204" ref="I4636"/>
    <hyperlink r:id="rId205" ref="I4640"/>
    <hyperlink r:id="rId206" ref="I4644"/>
    <hyperlink r:id="rId207" ref="I4649"/>
    <hyperlink r:id="rId208" ref="I4664"/>
    <hyperlink r:id="rId209" ref="I4667"/>
    <hyperlink r:id="rId210" ref="I4678"/>
    <hyperlink r:id="rId211" ref="I4690"/>
    <hyperlink r:id="rId212" ref="I4699"/>
    <hyperlink r:id="rId213" ref="I4733"/>
    <hyperlink r:id="rId214" ref="I4756"/>
    <hyperlink r:id="rId215" ref="I4766"/>
    <hyperlink r:id="rId216" ref="I4780"/>
    <hyperlink r:id="rId217" ref="I4858"/>
    <hyperlink r:id="rId218" ref="I4867"/>
    <hyperlink r:id="rId219" ref="I4893"/>
    <hyperlink r:id="rId220" ref="I4895"/>
    <hyperlink r:id="rId221" ref="I4904"/>
    <hyperlink r:id="rId222" ref="I5004"/>
    <hyperlink r:id="rId223" ref="I5010"/>
    <hyperlink r:id="rId224" ref="I5029"/>
    <hyperlink r:id="rId225" ref="I5081"/>
    <hyperlink r:id="rId226" ref="I5115"/>
    <hyperlink r:id="rId227" ref="I5128"/>
    <hyperlink r:id="rId228" ref="I5137"/>
    <hyperlink r:id="rId229" ref="M5137"/>
    <hyperlink r:id="rId230" ref="M5138"/>
    <hyperlink r:id="rId231" ref="B5139"/>
    <hyperlink r:id="rId232" ref="I5139"/>
    <hyperlink r:id="rId233" ref="M5139"/>
    <hyperlink r:id="rId234" ref="I5140"/>
    <hyperlink r:id="rId235" ref="M5140"/>
    <hyperlink r:id="rId236" ref="I5141"/>
    <hyperlink r:id="rId237" ref="M5141"/>
    <hyperlink r:id="rId238" ref="I5142"/>
    <hyperlink r:id="rId239" ref="M5142"/>
    <hyperlink r:id="rId240" ref="B5143"/>
    <hyperlink r:id="rId241" ref="I5143"/>
    <hyperlink r:id="rId242" ref="M5143"/>
    <hyperlink r:id="rId243" ref="I5144"/>
    <hyperlink r:id="rId244" ref="I5145"/>
    <hyperlink r:id="rId245" ref="I5146"/>
    <hyperlink r:id="rId246" ref="I5147"/>
    <hyperlink r:id="rId247" ref="B5148"/>
    <hyperlink r:id="rId248" ref="I5149"/>
    <hyperlink r:id="rId249" ref="I5150"/>
    <hyperlink r:id="rId250" ref="I5151"/>
    <hyperlink r:id="rId251" ref="I5152"/>
    <hyperlink r:id="rId252" ref="I5153"/>
    <hyperlink r:id="rId253" ref="I5154"/>
    <hyperlink r:id="rId254" ref="I5155"/>
    <hyperlink r:id="rId255" ref="I5156"/>
    <hyperlink r:id="rId256" ref="I5157"/>
    <hyperlink r:id="rId257" ref="I5158"/>
    <hyperlink r:id="rId258" ref="I5159"/>
    <hyperlink r:id="rId259" ref="I5160"/>
    <hyperlink r:id="rId260" ref="I5161"/>
    <hyperlink r:id="rId261" ref="I5162"/>
    <hyperlink r:id="rId262" ref="I5163"/>
    <hyperlink r:id="rId263" ref="M5163"/>
    <hyperlink r:id="rId264" ref="I5164"/>
    <hyperlink r:id="rId265" ref="M5164"/>
    <hyperlink r:id="rId266" ref="I5165"/>
    <hyperlink r:id="rId267" ref="M5165"/>
    <hyperlink r:id="rId268" ref="I5166"/>
    <hyperlink r:id="rId269" ref="M5166"/>
    <hyperlink r:id="rId270" ref="I5167"/>
    <hyperlink r:id="rId271" ref="M5167"/>
    <hyperlink r:id="rId272" ref="I5168"/>
    <hyperlink r:id="rId273" ref="M5168"/>
    <hyperlink r:id="rId274" ref="I5169"/>
    <hyperlink r:id="rId275" ref="M5169"/>
    <hyperlink r:id="rId276" ref="I5170"/>
    <hyperlink r:id="rId277" ref="M5170"/>
    <hyperlink r:id="rId278" ref="I5171"/>
    <hyperlink r:id="rId279" ref="I5172"/>
    <hyperlink r:id="rId280" ref="I5173"/>
    <hyperlink r:id="rId281" ref="I5174"/>
    <hyperlink r:id="rId282" ref="I5175"/>
    <hyperlink r:id="rId283" ref="I5176"/>
    <hyperlink r:id="rId284" ref="M5176"/>
    <hyperlink r:id="rId285" ref="I5178"/>
    <hyperlink r:id="rId286" ref="I5179"/>
    <hyperlink r:id="rId287" ref="I5180"/>
    <hyperlink r:id="rId288" ref="I5182"/>
    <hyperlink r:id="rId289" ref="I5183"/>
    <hyperlink r:id="rId290" ref="I5184"/>
    <hyperlink r:id="rId291" ref="I5185"/>
    <hyperlink r:id="rId292" ref="I5186"/>
    <hyperlink r:id="rId293" ref="M5186"/>
    <hyperlink r:id="rId294" ref="I5187"/>
    <hyperlink r:id="rId295" ref="M5187"/>
    <hyperlink r:id="rId296" ref="I5188"/>
    <hyperlink r:id="rId297" ref="M5188"/>
    <hyperlink r:id="rId298" ref="I5189"/>
    <hyperlink r:id="rId299" ref="I5190"/>
    <hyperlink r:id="rId300" ref="I5191"/>
    <hyperlink r:id="rId301" ref="M5191"/>
    <hyperlink r:id="rId302" ref="I5192"/>
    <hyperlink r:id="rId303" ref="M5192"/>
    <hyperlink r:id="rId304" ref="I5193"/>
    <hyperlink r:id="rId305" ref="M5193"/>
    <hyperlink r:id="rId306" ref="M5194"/>
    <hyperlink r:id="rId307" ref="I5195"/>
    <hyperlink r:id="rId308" ref="M5195"/>
    <hyperlink r:id="rId309" ref="I5196"/>
    <hyperlink r:id="rId310" ref="M5196"/>
    <hyperlink r:id="rId311" ref="I5197"/>
    <hyperlink r:id="rId312" ref="M5197"/>
    <hyperlink r:id="rId313" ref="I5213"/>
    <hyperlink r:id="rId314" ref="I5241"/>
    <hyperlink r:id="rId315" ref="I5245"/>
    <hyperlink r:id="rId316" ref="I5250"/>
    <hyperlink r:id="rId317" ref="I5267"/>
    <hyperlink r:id="rId318" ref="I5287"/>
    <hyperlink r:id="rId319" ref="I5300"/>
    <hyperlink r:id="rId320" ref="I5309"/>
    <hyperlink r:id="rId321" ref="I5342"/>
    <hyperlink r:id="rId322" ref="I5362"/>
    <hyperlink r:id="rId323" ref="I5364"/>
    <hyperlink r:id="rId324" ref="I5375"/>
    <hyperlink r:id="rId325" ref="I5393"/>
    <hyperlink r:id="rId326" ref="I5405"/>
    <hyperlink r:id="rId327" ref="I5408"/>
    <hyperlink r:id="rId328" ref="I5411"/>
    <hyperlink r:id="rId329" ref="I5412"/>
    <hyperlink r:id="rId330" ref="I5417"/>
    <hyperlink r:id="rId331" ref="I5418"/>
    <hyperlink r:id="rId332" ref="I5428"/>
    <hyperlink r:id="rId333" ref="I5433"/>
    <hyperlink r:id="rId334" ref="I5440"/>
    <hyperlink r:id="rId335" ref="I5446"/>
    <hyperlink r:id="rId336" ref="I5457"/>
    <hyperlink r:id="rId337" ref="I5468"/>
    <hyperlink r:id="rId338" ref="I5502"/>
    <hyperlink r:id="rId339" ref="I5599"/>
    <hyperlink r:id="rId340" ref="I5600"/>
    <hyperlink r:id="rId341" ref="I5601"/>
    <hyperlink r:id="rId342" ref="I5608"/>
    <hyperlink r:id="rId343" ref="I5636"/>
    <hyperlink r:id="rId344" ref="I5671"/>
    <hyperlink r:id="rId345" ref="I5845"/>
    <hyperlink r:id="rId346" ref="I5868"/>
    <hyperlink r:id="rId347" ref="I5999"/>
    <hyperlink r:id="rId348" ref="I6029"/>
    <hyperlink r:id="rId349" ref="I6033"/>
    <hyperlink r:id="rId350" ref="I6038"/>
    <hyperlink r:id="rId351" ref="I6096"/>
    <hyperlink r:id="rId352" ref="I6121"/>
    <hyperlink r:id="rId353" ref="I6143"/>
    <hyperlink r:id="rId354" ref="I6172"/>
    <hyperlink r:id="rId355" ref="I6249"/>
    <hyperlink r:id="rId356" ref="I6298"/>
    <hyperlink r:id="rId357" ref="I6378"/>
    <hyperlink r:id="rId358" ref="I6418"/>
    <hyperlink r:id="rId359" ref="I6421"/>
    <hyperlink r:id="rId360" ref="I6438"/>
    <hyperlink r:id="rId361" ref="I6439"/>
    <hyperlink r:id="rId362" ref="I6442"/>
    <hyperlink r:id="rId363" ref="I6477"/>
    <hyperlink r:id="rId364" ref="I6504"/>
    <hyperlink r:id="rId365" ref="I6531"/>
    <hyperlink r:id="rId366" ref="I6566"/>
    <hyperlink r:id="rId367" ref="I6628"/>
    <hyperlink r:id="rId368" ref="I6643"/>
    <hyperlink r:id="rId369" ref="I6666"/>
    <hyperlink r:id="rId370" ref="I6670"/>
    <hyperlink r:id="rId371" ref="I6675"/>
    <hyperlink r:id="rId372" ref="I6677"/>
    <hyperlink r:id="rId373" ref="I6703"/>
    <hyperlink r:id="rId374" ref="I6704"/>
    <hyperlink r:id="rId375" ref="I6706"/>
    <hyperlink r:id="rId376" ref="I6711"/>
    <hyperlink r:id="rId377" ref="I6712"/>
    <hyperlink r:id="rId378" ref="I6726"/>
    <hyperlink r:id="rId379" ref="I6779"/>
    <hyperlink r:id="rId380" ref="I6780"/>
    <hyperlink r:id="rId381" ref="I6783"/>
    <hyperlink r:id="rId382" ref="I6810"/>
    <hyperlink r:id="rId383" ref="I6865"/>
    <hyperlink r:id="rId384" ref="I6889"/>
    <hyperlink r:id="rId385" ref="I6927"/>
    <hyperlink r:id="rId386" ref="I6980"/>
    <hyperlink r:id="rId387" ref="I7029"/>
    <hyperlink r:id="rId388" ref="I7073"/>
    <hyperlink r:id="rId389" ref="I7137"/>
    <hyperlink r:id="rId390" ref="I7201"/>
    <hyperlink r:id="rId391" ref="I7210"/>
    <hyperlink r:id="rId392" ref="I7298"/>
    <hyperlink r:id="rId393" ref="I7318"/>
    <hyperlink r:id="rId394" ref="I7330"/>
    <hyperlink r:id="rId395" ref="I7340"/>
    <hyperlink r:id="rId396" ref="I7347"/>
    <hyperlink r:id="rId397" ref="I7365"/>
    <hyperlink r:id="rId398" ref="I7389"/>
    <hyperlink r:id="rId399" ref="I7395"/>
    <hyperlink r:id="rId400" ref="I7406"/>
    <hyperlink r:id="rId401" ref="I7502"/>
    <hyperlink r:id="rId402" ref="I7509"/>
    <hyperlink r:id="rId403" ref="I7658"/>
    <hyperlink r:id="rId404" ref="I7662"/>
    <hyperlink r:id="rId405" ref="I7675"/>
    <hyperlink r:id="rId406" ref="I7751"/>
    <hyperlink r:id="rId407" ref="I7871"/>
    <hyperlink r:id="rId408" ref="I7879"/>
    <hyperlink r:id="rId409" ref="I7887"/>
    <hyperlink r:id="rId410" ref="I7905"/>
    <hyperlink r:id="rId411" ref="I7934"/>
    <hyperlink r:id="rId412" ref="I7968"/>
  </hyperlinks>
  <drawing r:id="rId413"/>
</worksheet>
</file>